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omments6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ustomProperty2.bin" ContentType="application/vnd.openxmlformats-officedocument.spreadsheetml.customProperty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ustomProperty3.bin" ContentType="application/vnd.openxmlformats-officedocument.spreadsheetml.customProperty"/>
  <Override PartName="/xl/drawings/drawing3.xml" ContentType="application/vnd.openxmlformats-officedocument.drawing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ustomProperty4.bin" ContentType="application/vnd.openxmlformats-officedocument.spreadsheetml.customProperty"/>
  <Override PartName="/xl/comments14.xml" ContentType="application/vnd.openxmlformats-officedocument.spreadsheetml.comments+xml"/>
  <Override PartName="/xl/customProperty5.bin" ContentType="application/vnd.openxmlformats-officedocument.spreadsheetml.customProperty"/>
  <Override PartName="/xl/comments15.xml" ContentType="application/vnd.openxmlformats-officedocument.spreadsheetml.comments+xml"/>
  <Override PartName="/xl/customProperty6.bin" ContentType="application/vnd.openxmlformats-officedocument.spreadsheetml.customProperty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xycoke-my.sharepoint.com/personal/jhlim_lcinc_world/Documents/@MNC/@@계획보고/10_사업계획/"/>
    </mc:Choice>
  </mc:AlternateContent>
  <xr:revisionPtr revIDLastSave="5" documentId="13_ncr:1_{B1A8DB6C-5201-4860-BBBF-8BE221D9D16D}" xr6:coauthVersionLast="47" xr6:coauthVersionMax="47" xr10:uidLastSave="{D250FE4A-27AA-4AE9-9FCC-8FE059469A19}"/>
  <bookViews>
    <workbookView xWindow="-96" yWindow="0" windowWidth="11712" windowHeight="12336" tabRatio="911" firstSheet="4" activeTab="5" xr2:uid="{00000000-000D-0000-FFFF-FFFF00000000}"/>
  </bookViews>
  <sheets>
    <sheet name="Cover" sheetId="131" r:id="rId1"/>
    <sheet name="Index" sheetId="132" r:id="rId2"/>
    <sheet name="1. Assumption" sheetId="196" state="hidden" r:id="rId3"/>
    <sheet name="1-1.Assumption" sheetId="140" state="hidden" r:id="rId4"/>
    <sheet name="1. Master Plan" sheetId="203" r:id="rId5"/>
    <sheet name="2. S Plan" sheetId="58" r:id="rId6"/>
    <sheet name="요약" sheetId="190" state="hidden" r:id="rId7"/>
    <sheet name="SOP 2024" sheetId="188" state="hidden" r:id="rId8"/>
    <sheet name="3. P PLAN" sheetId="110" r:id="rId9"/>
    <sheet name="3. P PLAN-2" sheetId="137" r:id="rId10"/>
    <sheet name="Chart1" sheetId="200" state="hidden" r:id="rId11"/>
    <sheet name="4. L PLAN a" sheetId="192" state="hidden" r:id="rId12"/>
    <sheet name="4-1. 인원계획" sheetId="193" state="hidden" r:id="rId13"/>
    <sheet name="4. L PLAN" sheetId="133" r:id="rId14"/>
    <sheet name="5. M Plan" sheetId="124" r:id="rId15"/>
    <sheet name="AP Plan" sheetId="199" state="hidden" r:id="rId16"/>
    <sheet name="6. O Plan" sheetId="181" r:id="rId17"/>
    <sheet name="7. E Plan" sheetId="35" r:id="rId18"/>
    <sheet name="8. I Plan" sheetId="178" r:id="rId19"/>
    <sheet name="7-2. S-E Plan" sheetId="177" state="hidden" r:id="rId20"/>
    <sheet name="9. C Plan" sheetId="157" r:id="rId21"/>
    <sheet name="10. IS" sheetId="26" r:id="rId22"/>
    <sheet name="11. CF-2026" sheetId="138" r:id="rId23"/>
    <sheet name="12. FA Loan" sheetId="184" r:id="rId24"/>
    <sheet name="A1. E Plan(계획vs실적)" sheetId="205" state="hidden" r:id="rId25"/>
    <sheet name="A2. IS(계획vs실적)" sheetId="206" state="hidden" r:id="rId26"/>
    <sheet name="상각 기준" sheetId="204" state="hidden" r:id="rId27"/>
    <sheet name="Sorting-Log-WH(Ref) " sheetId="202" state="hidden" r:id="rId28"/>
    <sheet name="Chailease Plan 2026" sheetId="201" state="hidden" r:id="rId29"/>
    <sheet name="B.BasicInfomation" sheetId="197" r:id="rId30"/>
    <sheet name="Sub-L plan" sheetId="180" state="hidden" r:id="rId31"/>
    <sheet name="기준정보" sheetId="195" state="hidden" r:id="rId32"/>
    <sheet name="11. CF-2023" sheetId="175" state="hidden" r:id="rId33"/>
    <sheet name="Utilty_Data" sheetId="119" state="hidden" r:id="rId34"/>
  </sheets>
  <definedNames>
    <definedName name="__DemandLoad">TRUE</definedName>
    <definedName name="__IntlFixup">TRUE</definedName>
    <definedName name="_1a1_" localSheetId="2">{"'Sheet1'!$L$16"}</definedName>
    <definedName name="_1a1_" localSheetId="16">{"'Sheet1'!$L$16"}</definedName>
    <definedName name="_1a1_" localSheetId="15">{"'Sheet1'!$L$16"}</definedName>
    <definedName name="_1a1_" localSheetId="28">{"'Sheet1'!$L$16"}</definedName>
    <definedName name="_1a1_" localSheetId="6">{"'Sheet1'!$L$16"}</definedName>
    <definedName name="_1a1_">{"'Sheet1'!$L$16"}</definedName>
    <definedName name="_xlnm._FilterDatabase" localSheetId="5" hidden="1">'2. S Plan'!$A$4:$X$105</definedName>
    <definedName name="_xlnm._FilterDatabase" localSheetId="17" hidden="1">'7. E Plan'!$A$8:$V$69</definedName>
    <definedName name="_xlnm._FilterDatabase" localSheetId="18" hidden="1">'8. I Plan'!$B$5:$W$81</definedName>
    <definedName name="_xlnm._FilterDatabase" localSheetId="24" hidden="1">'A1. E Plan(계획vs실적)'!$A$10:$AV$72</definedName>
    <definedName name="_xlnm._FilterDatabase" localSheetId="29" hidden="1">B.BasicInfomation!$A$9:$O$9</definedName>
    <definedName name="_xlnm._FilterDatabase" localSheetId="7" hidden="1">'SOP 2024'!$A$89:$AG$90</definedName>
    <definedName name="_Order1">255</definedName>
    <definedName name="_Order2">255</definedName>
    <definedName name="_PA3" localSheetId="2">{"'Sheet1'!$L$16"}</definedName>
    <definedName name="_PA3" localSheetId="16">{"'Sheet1'!$L$16"}</definedName>
    <definedName name="_PA3" localSheetId="15">{"'Sheet1'!$L$16"}</definedName>
    <definedName name="_PA3" localSheetId="28">{"'Sheet1'!$L$16"}</definedName>
    <definedName name="_PA3" localSheetId="6">{"'Sheet1'!$L$16"}</definedName>
    <definedName name="_PA3">{"'Sheet1'!$L$16"}</definedName>
    <definedName name="_Regression_Int">1</definedName>
    <definedName name="AS2DocOpenMode">"AS2DocumentEdit"</definedName>
    <definedName name="AS2ReportLS">1</definedName>
    <definedName name="AS2SyncStepLS">0</definedName>
    <definedName name="AS2VersionLS">300</definedName>
    <definedName name="BG_Del">15</definedName>
    <definedName name="BG_Ins">4</definedName>
    <definedName name="BG_Mod">6</definedName>
    <definedName name="CTCT1" localSheetId="2">{"'Sheet1'!$L$16"}</definedName>
    <definedName name="CTCT1" localSheetId="16">{"'Sheet1'!$L$16"}</definedName>
    <definedName name="CTCT1" localSheetId="15">{"'Sheet1'!$L$16"}</definedName>
    <definedName name="CTCT1" localSheetId="28">{"'Sheet1'!$L$16"}</definedName>
    <definedName name="CTCT1" localSheetId="6">{"'Sheet1'!$L$16"}</definedName>
    <definedName name="CTCT1">{"'Sheet1'!$L$16"}</definedName>
    <definedName name="HTML_CodePage">950</definedName>
    <definedName name="HTML_Control" localSheetId="2">{"'Sheet1'!$L$16"}</definedName>
    <definedName name="HTML_Control" localSheetId="16">{"'Sheet1'!$L$16"}</definedName>
    <definedName name="HTML_Control" localSheetId="15">{"'Sheet1'!$L$16"}</definedName>
    <definedName name="HTML_Control" localSheetId="28">{"'Sheet1'!$L$16"}</definedName>
    <definedName name="HTML_Control" localSheetId="6">{"'Sheet1'!$L$16"}</definedName>
    <definedName name="HTML_Control">{"'Sheet1'!$L$16"}</definedName>
    <definedName name="HTML_Description">""</definedName>
    <definedName name="HTML_Email">""</definedName>
    <definedName name="HTML_Header">"Sheet1"</definedName>
    <definedName name="HTML_LastUpdate">"2000/9/14"</definedName>
    <definedName name="HTML_LineAfter">FALSE</definedName>
    <definedName name="HTML_LineBefore">FALSE</definedName>
    <definedName name="HTML_Name">"J.C.WONG"</definedName>
    <definedName name="HTML_OBDlg2">TRUE</definedName>
    <definedName name="HTML_OBDlg4">TRUE</definedName>
    <definedName name="HTML_OS">0</definedName>
    <definedName name="HTML_PathFile">"C:\2689\Q\國內\00q3961台化龍德PTA3建造\MyHTML.htm"</definedName>
    <definedName name="HTML_Title">"00Q3961-SUM"</definedName>
    <definedName name="huy" localSheetId="2">{"'Sheet1'!$L$16"}</definedName>
    <definedName name="huy" localSheetId="16">{"'Sheet1'!$L$16"}</definedName>
    <definedName name="huy" localSheetId="15">{"'Sheet1'!$L$16"}</definedName>
    <definedName name="huy" localSheetId="28">{"'Sheet1'!$L$16"}</definedName>
    <definedName name="huy" localSheetId="6">{"'Sheet1'!$L$16"}</definedName>
    <definedName name="huy">{"'Sheet1'!$L$16"}</definedName>
    <definedName name="JYFUJ" localSheetId="24">BLCH</definedName>
    <definedName name="JYFUJ" localSheetId="25">BLCH</definedName>
    <definedName name="JYFUJ" localSheetId="28">BLCH</definedName>
    <definedName name="JYFUJ">BLCH</definedName>
    <definedName name="KUGHIKJ" localSheetId="24">BLCH</definedName>
    <definedName name="KUGHIKJ" localSheetId="25">BLCH</definedName>
    <definedName name="KUGHIKJ" localSheetId="28">BLCH</definedName>
    <definedName name="KUGHIKJ">BLCH</definedName>
    <definedName name="_xlnm.Print_Area" localSheetId="28">'Chailease Plan 2026'!$A$1:$AA$18</definedName>
    <definedName name="SAPBEXrevision">1</definedName>
    <definedName name="SAPBEXsysID">"BW1"</definedName>
    <definedName name="SAPBEXwbID">"3QT0CSGPFJF5207Y4HB3WVBJY"</definedName>
    <definedName name="TextRefCopyRangeCount">1</definedName>
    <definedName name="XRefColumnsCount">2</definedName>
    <definedName name="XRefCopyRangeCount">9</definedName>
    <definedName name="XRefPasteRangeCount">8</definedName>
    <definedName name="수정PL" localSheetId="24">BLCH</definedName>
    <definedName name="수정PL" localSheetId="25">BLCH</definedName>
    <definedName name="수정PL" localSheetId="28">BLCH</definedName>
    <definedName name="수정PL">BLCH</definedName>
    <definedName name="템플리트모듈1" localSheetId="24">BLCH</definedName>
    <definedName name="템플리트모듈1" localSheetId="25">BLCH</definedName>
    <definedName name="템플리트모듈1" localSheetId="28">BLCH</definedName>
    <definedName name="템플리트모듈1">BLCH</definedName>
    <definedName name="템플리트모듈2" localSheetId="24">BLCH</definedName>
    <definedName name="템플리트모듈2" localSheetId="25">BLCH</definedName>
    <definedName name="템플리트모듈2" localSheetId="28">BLCH</definedName>
    <definedName name="템플리트모듈2">BLCH</definedName>
    <definedName name="템플리트모듈3" localSheetId="24">BLCH</definedName>
    <definedName name="템플리트모듈3" localSheetId="25">BLCH</definedName>
    <definedName name="템플리트모듈3" localSheetId="28">BLCH</definedName>
    <definedName name="템플리트모듈3">BLCH</definedName>
    <definedName name="템플리트모듈4" localSheetId="24">BLCH</definedName>
    <definedName name="템플리트모듈4" localSheetId="25">BLCH</definedName>
    <definedName name="템플리트모듈4" localSheetId="28">BLCH</definedName>
    <definedName name="템플리트모듈4">BLCH</definedName>
    <definedName name="템플리트모듈5" localSheetId="24">BLCH</definedName>
    <definedName name="템플리트모듈5" localSheetId="25">BLCH</definedName>
    <definedName name="템플리트모듈5" localSheetId="28">BLCH</definedName>
    <definedName name="템플리트모듈5">BLCH</definedName>
    <definedName name="템플리트모듈6" localSheetId="24">BLCH</definedName>
    <definedName name="템플리트모듈6" localSheetId="25">BLCH</definedName>
    <definedName name="템플리트모듈6" localSheetId="28">BLCH</definedName>
    <definedName name="템플리트모듈6">BLCH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1" i="133" l="1"/>
  <c r="J10" i="197"/>
  <c r="I10" i="197"/>
  <c r="F128" i="133"/>
  <c r="G128" i="133"/>
  <c r="H128" i="133"/>
  <c r="I128" i="133"/>
  <c r="J128" i="133"/>
  <c r="G129" i="133"/>
  <c r="H129" i="133"/>
  <c r="I129" i="133"/>
  <c r="J129" i="133"/>
  <c r="S47" i="178"/>
  <c r="R47" i="178"/>
  <c r="Q47" i="178"/>
  <c r="P47" i="178"/>
  <c r="O47" i="178"/>
  <c r="N47" i="178"/>
  <c r="M47" i="178"/>
  <c r="L47" i="178"/>
  <c r="K47" i="178"/>
  <c r="J47" i="178"/>
  <c r="I47" i="178"/>
  <c r="H47" i="178"/>
  <c r="E46" i="178"/>
  <c r="G46" i="178" s="1"/>
  <c r="G45" i="178"/>
  <c r="N45" i="178" s="1"/>
  <c r="G21" i="178"/>
  <c r="N21" i="178" s="1"/>
  <c r="O20" i="178"/>
  <c r="N20" i="178"/>
  <c r="M20" i="178"/>
  <c r="G20" i="178"/>
  <c r="O46" i="178" l="1"/>
  <c r="N46" i="178"/>
  <c r="M45" i="178"/>
  <c r="T45" i="178" s="1"/>
  <c r="T20" i="178"/>
  <c r="T21" i="178"/>
  <c r="R21" i="178"/>
  <c r="T46" i="178" l="1"/>
  <c r="G201" i="58" l="1"/>
  <c r="E23" i="124" l="1"/>
  <c r="E26" i="124"/>
  <c r="E29" i="124"/>
  <c r="M41" i="181"/>
  <c r="H74" i="181"/>
  <c r="T69" i="181" l="1"/>
  <c r="S69" i="181"/>
  <c r="R69" i="181"/>
  <c r="Q69" i="181"/>
  <c r="J69" i="181"/>
  <c r="I69" i="181"/>
  <c r="G57" i="138"/>
  <c r="G58" i="138" l="1"/>
  <c r="F58" i="138"/>
  <c r="Q288" i="58" l="1"/>
  <c r="O6" i="206"/>
  <c r="O14" i="206" l="1"/>
  <c r="T81" i="205"/>
  <c r="T78" i="205"/>
  <c r="T77" i="205"/>
  <c r="T76" i="205"/>
  <c r="T70" i="205"/>
  <c r="T69" i="205"/>
  <c r="T68" i="205"/>
  <c r="T67" i="205"/>
  <c r="T66" i="205"/>
  <c r="T65" i="205"/>
  <c r="T64" i="205"/>
  <c r="T63" i="205"/>
  <c r="T62" i="205"/>
  <c r="T61" i="205"/>
  <c r="T60" i="205"/>
  <c r="T59" i="205"/>
  <c r="T58" i="205"/>
  <c r="T57" i="205"/>
  <c r="T56" i="205"/>
  <c r="T55" i="205"/>
  <c r="T54" i="205"/>
  <c r="T53" i="205"/>
  <c r="T52" i="205"/>
  <c r="T51" i="205"/>
  <c r="T50" i="205"/>
  <c r="T49" i="205"/>
  <c r="T48" i="205"/>
  <c r="T34" i="205"/>
  <c r="T33" i="205"/>
  <c r="T32" i="205"/>
  <c r="T31" i="205"/>
  <c r="T30" i="205"/>
  <c r="T29" i="205"/>
  <c r="T28" i="205"/>
  <c r="T27" i="205"/>
  <c r="T26" i="205"/>
  <c r="T25" i="205"/>
  <c r="T24" i="205"/>
  <c r="T23" i="205"/>
  <c r="T22" i="205"/>
  <c r="T21" i="205"/>
  <c r="T20" i="205"/>
  <c r="T19" i="205"/>
  <c r="T18" i="205"/>
  <c r="T17" i="205"/>
  <c r="T16" i="205"/>
  <c r="T15" i="205"/>
  <c r="T14" i="205"/>
  <c r="T13" i="205"/>
  <c r="T12" i="205"/>
  <c r="T11" i="205"/>
  <c r="U20" i="205" l="1"/>
  <c r="N34" i="178"/>
  <c r="M34" i="178"/>
  <c r="T71" i="205"/>
  <c r="T72" i="205" s="1"/>
  <c r="N36" i="206"/>
  <c r="N37" i="206"/>
  <c r="K36" i="206"/>
  <c r="K37" i="206"/>
  <c r="H36" i="206"/>
  <c r="H37" i="206"/>
  <c r="E36" i="206"/>
  <c r="E37" i="206"/>
  <c r="B36" i="206"/>
  <c r="B37" i="206"/>
  <c r="AM16" i="206"/>
  <c r="P16" i="206"/>
  <c r="P14" i="206"/>
  <c r="M16" i="206"/>
  <c r="M14" i="206"/>
  <c r="M6" i="206"/>
  <c r="J16" i="206"/>
  <c r="J14" i="206"/>
  <c r="G16" i="206"/>
  <c r="D16" i="206"/>
  <c r="K27" i="206"/>
  <c r="K26" i="206"/>
  <c r="K25" i="206"/>
  <c r="H27" i="206"/>
  <c r="H26" i="206"/>
  <c r="H25" i="206"/>
  <c r="E27" i="206"/>
  <c r="E26" i="206"/>
  <c r="E25" i="206"/>
  <c r="B27" i="206"/>
  <c r="B26" i="206"/>
  <c r="B25" i="206"/>
  <c r="P40" i="205"/>
  <c r="M40" i="205"/>
  <c r="J40" i="205"/>
  <c r="G40" i="205"/>
  <c r="L81" i="205"/>
  <c r="I81" i="205"/>
  <c r="AR77" i="205"/>
  <c r="AR76" i="205"/>
  <c r="AP77" i="205"/>
  <c r="AM77" i="205"/>
  <c r="AJ77" i="205"/>
  <c r="AG77" i="205"/>
  <c r="AD77" i="205"/>
  <c r="AA77" i="205"/>
  <c r="X77" i="205"/>
  <c r="U78" i="205"/>
  <c r="U77" i="205"/>
  <c r="R77" i="205"/>
  <c r="R76" i="205"/>
  <c r="O77" i="205"/>
  <c r="O76" i="205"/>
  <c r="L77" i="205"/>
  <c r="L76" i="205"/>
  <c r="AO79" i="205"/>
  <c r="AL79" i="205"/>
  <c r="AI79" i="205"/>
  <c r="AF79" i="205"/>
  <c r="AC79" i="205"/>
  <c r="Z79" i="205"/>
  <c r="W79" i="205"/>
  <c r="T79" i="205"/>
  <c r="P79" i="205"/>
  <c r="M79" i="205"/>
  <c r="J79" i="205"/>
  <c r="G79" i="205"/>
  <c r="I77" i="205"/>
  <c r="I76" i="205"/>
  <c r="P71" i="205"/>
  <c r="P72" i="205" s="1"/>
  <c r="M71" i="205"/>
  <c r="M72" i="205" s="1"/>
  <c r="J71" i="205"/>
  <c r="J72" i="205" s="1"/>
  <c r="G71" i="205"/>
  <c r="G72" i="205" s="1"/>
  <c r="AR69" i="205"/>
  <c r="AR68" i="205"/>
  <c r="AR67" i="205"/>
  <c r="AR66" i="205"/>
  <c r="AR65" i="205"/>
  <c r="AR64" i="205"/>
  <c r="AR63" i="205"/>
  <c r="AR62" i="205"/>
  <c r="AR61" i="205"/>
  <c r="AR60" i="205"/>
  <c r="AR59" i="205"/>
  <c r="AR58" i="205"/>
  <c r="AR57" i="205"/>
  <c r="AR56" i="205"/>
  <c r="AR55" i="205"/>
  <c r="AR54" i="205"/>
  <c r="AR53" i="205"/>
  <c r="AR52" i="205"/>
  <c r="AR51" i="205"/>
  <c r="AR50" i="205"/>
  <c r="AR49" i="205"/>
  <c r="AR48" i="205"/>
  <c r="AP68" i="205"/>
  <c r="AP55" i="205"/>
  <c r="AM68" i="205"/>
  <c r="AM55" i="205"/>
  <c r="AJ68" i="205"/>
  <c r="AJ55" i="205"/>
  <c r="AG68" i="205"/>
  <c r="AG55" i="205"/>
  <c r="AD68" i="205"/>
  <c r="AD55" i="205"/>
  <c r="AA68" i="205"/>
  <c r="AA55" i="205"/>
  <c r="X68" i="205"/>
  <c r="X55" i="205"/>
  <c r="U68" i="205"/>
  <c r="U66" i="205"/>
  <c r="U65" i="205"/>
  <c r="U64" i="205"/>
  <c r="U63" i="205"/>
  <c r="U62" i="205"/>
  <c r="U61" i="205"/>
  <c r="U59" i="205"/>
  <c r="U58" i="205"/>
  <c r="U57" i="205"/>
  <c r="U56" i="205"/>
  <c r="U55" i="205"/>
  <c r="U51" i="205"/>
  <c r="U49" i="205"/>
  <c r="U48" i="205"/>
  <c r="R70" i="205"/>
  <c r="R69" i="205"/>
  <c r="R68" i="205"/>
  <c r="R67" i="205"/>
  <c r="R66" i="205"/>
  <c r="R65" i="205"/>
  <c r="R64" i="205"/>
  <c r="R63" i="205"/>
  <c r="R62" i="205"/>
  <c r="R61" i="205"/>
  <c r="R60" i="205"/>
  <c r="R59" i="205"/>
  <c r="R58" i="205"/>
  <c r="R57" i="205"/>
  <c r="R56" i="205"/>
  <c r="R55" i="205"/>
  <c r="R54" i="205"/>
  <c r="R53" i="205"/>
  <c r="R52" i="205"/>
  <c r="R51" i="205"/>
  <c r="R50" i="205"/>
  <c r="R49" i="205"/>
  <c r="R48" i="205"/>
  <c r="O69" i="205"/>
  <c r="O68" i="205"/>
  <c r="O67" i="205"/>
  <c r="O66" i="205"/>
  <c r="O65" i="205"/>
  <c r="O64" i="205"/>
  <c r="O63" i="205"/>
  <c r="O62" i="205"/>
  <c r="O61" i="205"/>
  <c r="O60" i="205"/>
  <c r="O59" i="205"/>
  <c r="O58" i="205"/>
  <c r="O57" i="205"/>
  <c r="O56" i="205"/>
  <c r="O55" i="205"/>
  <c r="O54" i="205"/>
  <c r="O53" i="205"/>
  <c r="O52" i="205"/>
  <c r="O51" i="205"/>
  <c r="O50" i="205"/>
  <c r="O49" i="205"/>
  <c r="O48" i="205"/>
  <c r="L70" i="205"/>
  <c r="L69" i="205"/>
  <c r="L68" i="205"/>
  <c r="L67" i="205"/>
  <c r="L66" i="205"/>
  <c r="L65" i="205"/>
  <c r="L64" i="205"/>
  <c r="L63" i="205"/>
  <c r="L62" i="205"/>
  <c r="L61" i="205"/>
  <c r="L60" i="205"/>
  <c r="L59" i="205"/>
  <c r="L58" i="205"/>
  <c r="L57" i="205"/>
  <c r="L56" i="205"/>
  <c r="L55" i="205"/>
  <c r="L54" i="205"/>
  <c r="L53" i="205"/>
  <c r="L52" i="205"/>
  <c r="L51" i="205"/>
  <c r="L50" i="205"/>
  <c r="L49" i="205"/>
  <c r="L48" i="205"/>
  <c r="I69" i="205"/>
  <c r="I68" i="205"/>
  <c r="I67" i="205"/>
  <c r="I66" i="205"/>
  <c r="I65" i="205"/>
  <c r="I64" i="205"/>
  <c r="I63" i="205"/>
  <c r="I62" i="205"/>
  <c r="I61" i="205"/>
  <c r="I60" i="205"/>
  <c r="I59" i="205"/>
  <c r="I58" i="205"/>
  <c r="I57" i="205"/>
  <c r="I56" i="205"/>
  <c r="I55" i="205"/>
  <c r="I54" i="205"/>
  <c r="I53" i="205"/>
  <c r="I52" i="205"/>
  <c r="I51" i="205"/>
  <c r="I50" i="205"/>
  <c r="I49" i="205"/>
  <c r="I48" i="205"/>
  <c r="AP34" i="205"/>
  <c r="AP17" i="205"/>
  <c r="AM34" i="205"/>
  <c r="AM17" i="205"/>
  <c r="AG34" i="205"/>
  <c r="AG17" i="205"/>
  <c r="AJ34" i="205"/>
  <c r="AJ17" i="205"/>
  <c r="AD34" i="205"/>
  <c r="AD17" i="205"/>
  <c r="AA34" i="205"/>
  <c r="AA17" i="205"/>
  <c r="X34" i="205"/>
  <c r="X17" i="205"/>
  <c r="U17" i="205"/>
  <c r="R34" i="205"/>
  <c r="R33" i="205"/>
  <c r="R32" i="205"/>
  <c r="R31" i="205"/>
  <c r="R30" i="205"/>
  <c r="R29" i="205"/>
  <c r="R28" i="205"/>
  <c r="R27" i="205"/>
  <c r="R26" i="205"/>
  <c r="R25" i="205"/>
  <c r="R24" i="205"/>
  <c r="R23" i="205"/>
  <c r="R22" i="205"/>
  <c r="R21" i="205"/>
  <c r="R20" i="205"/>
  <c r="R19" i="205"/>
  <c r="R18" i="205"/>
  <c r="R17" i="205"/>
  <c r="R16" i="205"/>
  <c r="R15" i="205"/>
  <c r="R14" i="205"/>
  <c r="R13" i="205"/>
  <c r="R12" i="205"/>
  <c r="R11" i="205"/>
  <c r="O34" i="205"/>
  <c r="O32" i="205"/>
  <c r="O31" i="205"/>
  <c r="O30" i="205"/>
  <c r="O29" i="205"/>
  <c r="O28" i="205"/>
  <c r="O27" i="205"/>
  <c r="O26" i="205"/>
  <c r="O25" i="205"/>
  <c r="O24" i="205"/>
  <c r="O23" i="205"/>
  <c r="O22" i="205"/>
  <c r="O21" i="205"/>
  <c r="O20" i="205"/>
  <c r="O19" i="205"/>
  <c r="O18" i="205"/>
  <c r="O17" i="205"/>
  <c r="O16" i="205"/>
  <c r="O15" i="205"/>
  <c r="O14" i="205"/>
  <c r="O13" i="205"/>
  <c r="O12" i="205"/>
  <c r="O11" i="205"/>
  <c r="L34" i="205"/>
  <c r="L33" i="205"/>
  <c r="L32" i="205"/>
  <c r="L31" i="205"/>
  <c r="L30" i="205"/>
  <c r="L29" i="205"/>
  <c r="L28" i="205"/>
  <c r="L27" i="205"/>
  <c r="L26" i="205"/>
  <c r="L25" i="205"/>
  <c r="L24" i="205"/>
  <c r="L23" i="205"/>
  <c r="L22" i="205"/>
  <c r="L21" i="205"/>
  <c r="L20" i="205"/>
  <c r="L19" i="205"/>
  <c r="L18" i="205"/>
  <c r="L17" i="205"/>
  <c r="L16" i="205"/>
  <c r="L15" i="205"/>
  <c r="L14" i="205"/>
  <c r="L13" i="205"/>
  <c r="L12" i="205"/>
  <c r="L11" i="205"/>
  <c r="I12" i="205" l="1"/>
  <c r="I13" i="205"/>
  <c r="I14" i="205"/>
  <c r="I15" i="205"/>
  <c r="I16" i="205"/>
  <c r="I17" i="205"/>
  <c r="I19" i="205"/>
  <c r="I20" i="205"/>
  <c r="I21" i="205"/>
  <c r="I22" i="205"/>
  <c r="I23" i="205"/>
  <c r="I24" i="205"/>
  <c r="I25" i="205"/>
  <c r="I26" i="205"/>
  <c r="I27" i="205"/>
  <c r="I28" i="205"/>
  <c r="I29" i="205"/>
  <c r="I30" i="205"/>
  <c r="I31" i="205"/>
  <c r="I32" i="205"/>
  <c r="I33" i="205"/>
  <c r="I34" i="205"/>
  <c r="I11" i="205"/>
  <c r="AR34" i="205"/>
  <c r="AR32" i="205"/>
  <c r="AR31" i="205"/>
  <c r="AR30" i="205"/>
  <c r="AR29" i="205"/>
  <c r="AR28" i="205"/>
  <c r="AR27" i="205"/>
  <c r="AR26" i="205"/>
  <c r="AR25" i="205"/>
  <c r="AR24" i="205"/>
  <c r="AR23" i="205"/>
  <c r="AR22" i="205"/>
  <c r="AR21" i="205"/>
  <c r="AR20" i="205"/>
  <c r="AR19" i="205"/>
  <c r="AR17" i="205"/>
  <c r="AR16" i="205"/>
  <c r="AR15" i="205"/>
  <c r="AR14" i="205"/>
  <c r="AR13" i="205"/>
  <c r="AR12" i="205"/>
  <c r="AR11" i="205"/>
  <c r="AO35" i="205"/>
  <c r="AO36" i="205" s="1"/>
  <c r="AL35" i="205"/>
  <c r="AL36" i="205" s="1"/>
  <c r="AI35" i="205"/>
  <c r="AF35" i="205"/>
  <c r="AC35" i="205"/>
  <c r="AC36" i="205" s="1"/>
  <c r="Z35" i="205"/>
  <c r="W35" i="205"/>
  <c r="T35" i="205"/>
  <c r="P35" i="205"/>
  <c r="P36" i="205" s="1"/>
  <c r="M35" i="205"/>
  <c r="M36" i="205" s="1"/>
  <c r="J35" i="205"/>
  <c r="J36" i="205" s="1"/>
  <c r="G35" i="205"/>
  <c r="G36" i="205" s="1"/>
  <c r="M39" i="205" l="1"/>
  <c r="M38" i="205"/>
  <c r="G39" i="205"/>
  <c r="G38" i="205"/>
  <c r="J38" i="205"/>
  <c r="J39" i="205"/>
  <c r="P38" i="205"/>
  <c r="P39" i="205"/>
  <c r="W36" i="205"/>
  <c r="Z36" i="205"/>
  <c r="T36" i="205"/>
  <c r="T39" i="205" s="1"/>
  <c r="AF36" i="205"/>
  <c r="AI36" i="205"/>
  <c r="T3" i="206" l="1"/>
  <c r="T29" i="206" s="1"/>
  <c r="W3" i="206"/>
  <c r="W29" i="206" s="1"/>
  <c r="Q3" i="206"/>
  <c r="Q29" i="206" s="1"/>
  <c r="L22" i="206" l="1"/>
  <c r="M22" i="206" s="1"/>
  <c r="I22" i="206"/>
  <c r="J22" i="206" s="1"/>
  <c r="F22" i="206"/>
  <c r="G22" i="206" s="1"/>
  <c r="C22" i="206"/>
  <c r="L21" i="206"/>
  <c r="M21" i="206" s="1"/>
  <c r="I21" i="206"/>
  <c r="J21" i="206" s="1"/>
  <c r="F21" i="206"/>
  <c r="G21" i="206" s="1"/>
  <c r="C21" i="206"/>
  <c r="F14" i="206"/>
  <c r="G14" i="206" s="1"/>
  <c r="C14" i="206"/>
  <c r="AI7" i="206"/>
  <c r="AF7" i="206"/>
  <c r="AC7" i="206"/>
  <c r="Z7" i="206"/>
  <c r="W7" i="206"/>
  <c r="T7" i="206"/>
  <c r="Q7" i="206"/>
  <c r="O7" i="206"/>
  <c r="P7" i="206" s="1"/>
  <c r="L7" i="206"/>
  <c r="M7" i="206" s="1"/>
  <c r="I7" i="206"/>
  <c r="F7" i="206"/>
  <c r="C7" i="206"/>
  <c r="AL3" i="206"/>
  <c r="AL29" i="206" s="1"/>
  <c r="AI3" i="206"/>
  <c r="AI29" i="206" s="1"/>
  <c r="AF3" i="206"/>
  <c r="AF29" i="206" s="1"/>
  <c r="AC3" i="206"/>
  <c r="AC29" i="206" s="1"/>
  <c r="Z3" i="206"/>
  <c r="Z29" i="206" s="1"/>
  <c r="N3" i="206"/>
  <c r="N29" i="206" s="1"/>
  <c r="K3" i="206"/>
  <c r="K29" i="206" s="1"/>
  <c r="H3" i="206"/>
  <c r="H29" i="206" s="1"/>
  <c r="E3" i="206"/>
  <c r="E29" i="206" s="1"/>
  <c r="B3" i="206"/>
  <c r="B29" i="206" s="1"/>
  <c r="AN81" i="205"/>
  <c r="AP81" i="205" s="1"/>
  <c r="AK81" i="205"/>
  <c r="AM81" i="205" s="1"/>
  <c r="AH81" i="205"/>
  <c r="AJ81" i="205" s="1"/>
  <c r="AE81" i="205"/>
  <c r="AG81" i="205" s="1"/>
  <c r="AB81" i="205"/>
  <c r="AD81" i="205" s="1"/>
  <c r="Y81" i="205"/>
  <c r="AA81" i="205" s="1"/>
  <c r="V81" i="205"/>
  <c r="X81" i="205" s="1"/>
  <c r="S81" i="205"/>
  <c r="Q81" i="205"/>
  <c r="R81" i="205" s="1"/>
  <c r="N81" i="205"/>
  <c r="Q71" i="205"/>
  <c r="R71" i="205" s="1"/>
  <c r="K71" i="205"/>
  <c r="L71" i="205" s="1"/>
  <c r="N70" i="205"/>
  <c r="H70" i="205"/>
  <c r="AV69" i="205"/>
  <c r="AW68" i="205"/>
  <c r="AV68" i="205"/>
  <c r="AV67" i="205"/>
  <c r="AV66" i="205"/>
  <c r="AV65" i="205"/>
  <c r="AN65" i="205"/>
  <c r="AP65" i="205" s="1"/>
  <c r="AK65" i="205"/>
  <c r="AM65" i="205" s="1"/>
  <c r="AH65" i="205"/>
  <c r="AJ65" i="205" s="1"/>
  <c r="AE65" i="205"/>
  <c r="AG65" i="205" s="1"/>
  <c r="AB65" i="205"/>
  <c r="AD65" i="205" s="1"/>
  <c r="Y65" i="205"/>
  <c r="AA65" i="205" s="1"/>
  <c r="V65" i="205"/>
  <c r="X65" i="205" s="1"/>
  <c r="AV64" i="205"/>
  <c r="AN64" i="205"/>
  <c r="AP64" i="205" s="1"/>
  <c r="AK64" i="205"/>
  <c r="AM64" i="205" s="1"/>
  <c r="AH64" i="205"/>
  <c r="AJ64" i="205" s="1"/>
  <c r="AE64" i="205"/>
  <c r="AG64" i="205" s="1"/>
  <c r="AB64" i="205"/>
  <c r="AD64" i="205" s="1"/>
  <c r="Y64" i="205"/>
  <c r="AA64" i="205" s="1"/>
  <c r="V64" i="205"/>
  <c r="X64" i="205" s="1"/>
  <c r="AV63" i="205"/>
  <c r="AN63" i="205"/>
  <c r="AP63" i="205" s="1"/>
  <c r="AK63" i="205"/>
  <c r="AM63" i="205" s="1"/>
  <c r="AH63" i="205"/>
  <c r="AJ63" i="205" s="1"/>
  <c r="AE63" i="205"/>
  <c r="AG63" i="205" s="1"/>
  <c r="AB63" i="205"/>
  <c r="AD63" i="205" s="1"/>
  <c r="Y63" i="205"/>
  <c r="AA63" i="205" s="1"/>
  <c r="V63" i="205"/>
  <c r="X63" i="205" s="1"/>
  <c r="AV62" i="205"/>
  <c r="AV61" i="205"/>
  <c r="AV60" i="205"/>
  <c r="AV59" i="205"/>
  <c r="AV58" i="205"/>
  <c r="AV57" i="205"/>
  <c r="AV56" i="205"/>
  <c r="AW55" i="205"/>
  <c r="AV55" i="205"/>
  <c r="AV54" i="205"/>
  <c r="AV53" i="205"/>
  <c r="AV52" i="205"/>
  <c r="AV51" i="205"/>
  <c r="AV50" i="205"/>
  <c r="AV49" i="205"/>
  <c r="AV48" i="205"/>
  <c r="Q37" i="205"/>
  <c r="R37" i="205" s="1"/>
  <c r="Q35" i="205"/>
  <c r="K35" i="205"/>
  <c r="AV34" i="205"/>
  <c r="F34" i="205"/>
  <c r="N33" i="205"/>
  <c r="AV32" i="205"/>
  <c r="U32" i="205"/>
  <c r="AV31" i="205"/>
  <c r="AV30" i="205"/>
  <c r="AN30" i="205"/>
  <c r="AP30" i="205" s="1"/>
  <c r="AK30" i="205"/>
  <c r="AM30" i="205" s="1"/>
  <c r="AH30" i="205"/>
  <c r="AJ30" i="205" s="1"/>
  <c r="AE30" i="205"/>
  <c r="AG30" i="205" s="1"/>
  <c r="AB30" i="205"/>
  <c r="AD30" i="205" s="1"/>
  <c r="Y30" i="205"/>
  <c r="AA30" i="205" s="1"/>
  <c r="V30" i="205"/>
  <c r="X30" i="205" s="1"/>
  <c r="U30" i="205"/>
  <c r="AV29" i="205"/>
  <c r="Y29" i="205"/>
  <c r="AA29" i="205" s="1"/>
  <c r="V29" i="205"/>
  <c r="X29" i="205" s="1"/>
  <c r="U29" i="205"/>
  <c r="AV28" i="205"/>
  <c r="AV27" i="205"/>
  <c r="AV26" i="205"/>
  <c r="AV25" i="205"/>
  <c r="U25" i="205"/>
  <c r="AV24" i="205"/>
  <c r="AV23" i="205"/>
  <c r="AV22" i="205"/>
  <c r="U22" i="205"/>
  <c r="AV21" i="205"/>
  <c r="AV20" i="205"/>
  <c r="AV19" i="205"/>
  <c r="U19" i="205"/>
  <c r="H18" i="205"/>
  <c r="AW17" i="205"/>
  <c r="AV17" i="205"/>
  <c r="C17" i="205"/>
  <c r="C18" i="205" s="1"/>
  <c r="C19" i="205" s="1"/>
  <c r="C20" i="205" s="1"/>
  <c r="C21" i="205" s="1"/>
  <c r="C22" i="205" s="1"/>
  <c r="C23" i="205" s="1"/>
  <c r="C24" i="205" s="1"/>
  <c r="C25" i="205" s="1"/>
  <c r="C26" i="205" s="1"/>
  <c r="C27" i="205" s="1"/>
  <c r="C28" i="205" s="1"/>
  <c r="C29" i="205" s="1"/>
  <c r="C30" i="205" s="1"/>
  <c r="C31" i="205" s="1"/>
  <c r="C32" i="205" s="1"/>
  <c r="C33" i="205" s="1"/>
  <c r="AV16" i="205"/>
  <c r="AV15" i="205"/>
  <c r="AV14" i="205"/>
  <c r="AV13" i="205"/>
  <c r="AV12" i="205"/>
  <c r="U12" i="205"/>
  <c r="AV11" i="205"/>
  <c r="U11" i="205"/>
  <c r="AQ4" i="205"/>
  <c r="AQ9" i="205" s="1"/>
  <c r="AQ46" i="205" s="1"/>
  <c r="AN4" i="205"/>
  <c r="AN9" i="205" s="1"/>
  <c r="AN46" i="205" s="1"/>
  <c r="AK4" i="205"/>
  <c r="AH4" i="205"/>
  <c r="AE4" i="205"/>
  <c r="AB4" i="205"/>
  <c r="Y4" i="205"/>
  <c r="V4" i="205"/>
  <c r="S4" i="205"/>
  <c r="P4" i="205"/>
  <c r="M4" i="205"/>
  <c r="J4" i="205"/>
  <c r="G4" i="205"/>
  <c r="V9" i="205" l="1"/>
  <c r="V46" i="205" s="1"/>
  <c r="I70" i="205"/>
  <c r="H71" i="205"/>
  <c r="I71" i="205" s="1"/>
  <c r="AR70" i="205"/>
  <c r="J9" i="205"/>
  <c r="J46" i="205" s="1"/>
  <c r="AB9" i="205"/>
  <c r="AB46" i="205" s="1"/>
  <c r="N71" i="205"/>
  <c r="O71" i="205" s="1"/>
  <c r="O70" i="205"/>
  <c r="M9" i="205"/>
  <c r="M46" i="205" s="1"/>
  <c r="AE9" i="205"/>
  <c r="AE46" i="205" s="1"/>
  <c r="G9" i="205"/>
  <c r="G46" i="205" s="1"/>
  <c r="P9" i="205"/>
  <c r="P46" i="205" s="1"/>
  <c r="AH9" i="205"/>
  <c r="AH46" i="205" s="1"/>
  <c r="O81" i="205"/>
  <c r="AR81" i="205"/>
  <c r="Y9" i="205"/>
  <c r="Y46" i="205" s="1"/>
  <c r="S9" i="205"/>
  <c r="S46" i="205" s="1"/>
  <c r="AK9" i="205"/>
  <c r="AK46" i="205" s="1"/>
  <c r="U81" i="205"/>
  <c r="AM14" i="206"/>
  <c r="D7" i="206"/>
  <c r="AM7" i="206"/>
  <c r="D21" i="206"/>
  <c r="D14" i="206"/>
  <c r="F6" i="206"/>
  <c r="G6" i="206" s="1"/>
  <c r="G7" i="206"/>
  <c r="I6" i="206"/>
  <c r="J6" i="206" s="1"/>
  <c r="J7" i="206"/>
  <c r="D22" i="206"/>
  <c r="S79" i="205"/>
  <c r="U76" i="205"/>
  <c r="U79" i="205" s="1"/>
  <c r="V53" i="205"/>
  <c r="U53" i="205"/>
  <c r="V52" i="205"/>
  <c r="X52" i="205" s="1"/>
  <c r="U52" i="205"/>
  <c r="V67" i="205"/>
  <c r="X67" i="205" s="1"/>
  <c r="U67" i="205"/>
  <c r="V54" i="205"/>
  <c r="X54" i="205" s="1"/>
  <c r="U54" i="205"/>
  <c r="U28" i="205"/>
  <c r="U34" i="205"/>
  <c r="AW34" i="205" s="1"/>
  <c r="AX34" i="205" s="1"/>
  <c r="U13" i="205"/>
  <c r="V31" i="205"/>
  <c r="U31" i="205"/>
  <c r="I18" i="205"/>
  <c r="AV18" i="205" s="1"/>
  <c r="AR18" i="205"/>
  <c r="U18" i="205"/>
  <c r="O33" i="205"/>
  <c r="AV33" i="205" s="1"/>
  <c r="AR33" i="205"/>
  <c r="U26" i="205"/>
  <c r="U6" i="205"/>
  <c r="K36" i="205"/>
  <c r="L36" i="205" s="1"/>
  <c r="L35" i="205"/>
  <c r="Q36" i="205"/>
  <c r="R36" i="205" s="1"/>
  <c r="R35" i="205"/>
  <c r="AX55" i="205"/>
  <c r="U15" i="205"/>
  <c r="U21" i="205"/>
  <c r="U14" i="205"/>
  <c r="U23" i="205"/>
  <c r="N35" i="205"/>
  <c r="S40" i="205"/>
  <c r="AX17" i="205"/>
  <c r="AW64" i="205"/>
  <c r="AX64" i="205" s="1"/>
  <c r="AX68" i="205"/>
  <c r="U16" i="205"/>
  <c r="AW30" i="205"/>
  <c r="AX30" i="205" s="1"/>
  <c r="F23" i="206"/>
  <c r="G23" i="206" s="1"/>
  <c r="C23" i="206"/>
  <c r="L23" i="206"/>
  <c r="M23" i="206" s="1"/>
  <c r="I23" i="206"/>
  <c r="J23" i="206" s="1"/>
  <c r="C6" i="206"/>
  <c r="V76" i="205"/>
  <c r="AW63" i="205"/>
  <c r="AX63" i="205" s="1"/>
  <c r="AW65" i="205"/>
  <c r="AX65" i="205" s="1"/>
  <c r="V32" i="205"/>
  <c r="X32" i="205" s="1"/>
  <c r="U27" i="205"/>
  <c r="H35" i="205"/>
  <c r="U33" i="205"/>
  <c r="V22" i="205"/>
  <c r="U24" i="205"/>
  <c r="P110" i="58"/>
  <c r="AV70" i="205" l="1"/>
  <c r="AV71" i="205"/>
  <c r="Y54" i="205"/>
  <c r="AB54" i="205" s="1"/>
  <c r="Y52" i="205"/>
  <c r="AA52" i="205" s="1"/>
  <c r="Y67" i="205"/>
  <c r="AB67" i="205" s="1"/>
  <c r="U60" i="205"/>
  <c r="U50" i="205"/>
  <c r="U69" i="205"/>
  <c r="U70" i="205"/>
  <c r="D23" i="206"/>
  <c r="D6" i="206"/>
  <c r="X76" i="205"/>
  <c r="Y53" i="205"/>
  <c r="X53" i="205"/>
  <c r="Y31" i="205"/>
  <c r="X31" i="205"/>
  <c r="Y22" i="205"/>
  <c r="X22" i="205"/>
  <c r="AR35" i="205"/>
  <c r="I35" i="205"/>
  <c r="N36" i="205"/>
  <c r="O35" i="205"/>
  <c r="Q38" i="205"/>
  <c r="S71" i="205"/>
  <c r="U71" i="205" s="1"/>
  <c r="Y32" i="205"/>
  <c r="AA32" i="205" s="1"/>
  <c r="H36" i="205"/>
  <c r="I36" i="205" s="1"/>
  <c r="Y76" i="205"/>
  <c r="S35" i="205"/>
  <c r="U35" i="205" s="1"/>
  <c r="P12" i="58"/>
  <c r="Q12" i="58"/>
  <c r="R12" i="58"/>
  <c r="S12" i="58"/>
  <c r="T12" i="58"/>
  <c r="U12" i="58"/>
  <c r="V12" i="58"/>
  <c r="W12" i="58"/>
  <c r="G29" i="138"/>
  <c r="G39" i="138"/>
  <c r="G44" i="138"/>
  <c r="P289" i="58"/>
  <c r="AB52" i="205" l="1"/>
  <c r="AE52" i="205" s="1"/>
  <c r="AA54" i="205"/>
  <c r="AA67" i="205"/>
  <c r="G56" i="138"/>
  <c r="G52" i="138"/>
  <c r="S72" i="205"/>
  <c r="S41" i="205"/>
  <c r="S42" i="205" s="1"/>
  <c r="AB53" i="205"/>
  <c r="AA53" i="205"/>
  <c r="AE54" i="205"/>
  <c r="AD54" i="205"/>
  <c r="AE67" i="205"/>
  <c r="AD67" i="205"/>
  <c r="AA76" i="205"/>
  <c r="AA31" i="205"/>
  <c r="AB31" i="205"/>
  <c r="AB22" i="205"/>
  <c r="AA22" i="205"/>
  <c r="O36" i="205"/>
  <c r="AR71" i="205"/>
  <c r="AB32" i="205"/>
  <c r="AD32" i="205" s="1"/>
  <c r="S36" i="205"/>
  <c r="U36" i="205" s="1"/>
  <c r="AB76" i="205"/>
  <c r="P54" i="58"/>
  <c r="Q54" i="58"/>
  <c r="R54" i="58"/>
  <c r="S54" i="58"/>
  <c r="T54" i="58"/>
  <c r="U54" i="58"/>
  <c r="V54" i="58"/>
  <c r="W54" i="58"/>
  <c r="AD52" i="205" l="1"/>
  <c r="S43" i="205"/>
  <c r="AD76" i="205"/>
  <c r="AH67" i="205"/>
  <c r="AG67" i="205"/>
  <c r="AH54" i="205"/>
  <c r="AG54" i="205"/>
  <c r="AE53" i="205"/>
  <c r="AD53" i="205"/>
  <c r="AH52" i="205"/>
  <c r="AG52" i="205"/>
  <c r="AE31" i="205"/>
  <c r="AD31" i="205"/>
  <c r="AE22" i="205"/>
  <c r="AD22" i="205"/>
  <c r="AE76" i="205"/>
  <c r="AE32" i="205"/>
  <c r="AG32" i="205" s="1"/>
  <c r="S39" i="205"/>
  <c r="S38" i="205"/>
  <c r="W115" i="58"/>
  <c r="V115" i="58"/>
  <c r="U115" i="58"/>
  <c r="U114" i="58"/>
  <c r="T114" i="58"/>
  <c r="S114" i="58"/>
  <c r="R114" i="58"/>
  <c r="Q114" i="58"/>
  <c r="P114" i="58"/>
  <c r="V113" i="58"/>
  <c r="W113" i="58"/>
  <c r="U113" i="58"/>
  <c r="T113" i="58"/>
  <c r="Q113" i="58"/>
  <c r="R113" i="58"/>
  <c r="S113" i="58"/>
  <c r="P113" i="58"/>
  <c r="P112" i="58"/>
  <c r="P111" i="58"/>
  <c r="Q111" i="58"/>
  <c r="Q110" i="58"/>
  <c r="S110" i="58"/>
  <c r="R110" i="58"/>
  <c r="W110" i="58"/>
  <c r="V110" i="58"/>
  <c r="U110" i="58"/>
  <c r="T110" i="58"/>
  <c r="AC110" i="58"/>
  <c r="AC111" i="58" s="1"/>
  <c r="AC112" i="58" s="1"/>
  <c r="AC113" i="58" s="1"/>
  <c r="AC114" i="58" s="1"/>
  <c r="AC115" i="58" s="1"/>
  <c r="AC117" i="58" s="1"/>
  <c r="AB110" i="58"/>
  <c r="AB111" i="58" s="1"/>
  <c r="AB112" i="58" s="1"/>
  <c r="AB113" i="58" s="1"/>
  <c r="AB114" i="58" s="1"/>
  <c r="AB115" i="58" s="1"/>
  <c r="AB117" i="58" s="1"/>
  <c r="P187" i="58"/>
  <c r="P67" i="58"/>
  <c r="Q67" i="58"/>
  <c r="R67" i="58"/>
  <c r="S67" i="58"/>
  <c r="T67" i="58"/>
  <c r="U67" i="58"/>
  <c r="V67" i="58"/>
  <c r="W67" i="58"/>
  <c r="P75" i="58"/>
  <c r="Q75" i="58"/>
  <c r="R75" i="58"/>
  <c r="S75" i="58"/>
  <c r="T75" i="58"/>
  <c r="U75" i="58"/>
  <c r="V75" i="58"/>
  <c r="W75" i="58"/>
  <c r="P77" i="58"/>
  <c r="Q77" i="58"/>
  <c r="R77" i="58"/>
  <c r="S77" i="58"/>
  <c r="T77" i="58"/>
  <c r="U77" i="58"/>
  <c r="V77" i="58"/>
  <c r="W77" i="58"/>
  <c r="P82" i="58"/>
  <c r="Q82" i="58"/>
  <c r="R82" i="58"/>
  <c r="S82" i="58"/>
  <c r="T82" i="58"/>
  <c r="U82" i="58"/>
  <c r="V82" i="58"/>
  <c r="W82" i="58"/>
  <c r="P86" i="58"/>
  <c r="Q86" i="58"/>
  <c r="R86" i="58"/>
  <c r="S86" i="58"/>
  <c r="T86" i="58"/>
  <c r="U86" i="58"/>
  <c r="V86" i="58"/>
  <c r="W86" i="58"/>
  <c r="P93" i="58"/>
  <c r="Q93" i="58"/>
  <c r="R93" i="58"/>
  <c r="S93" i="58"/>
  <c r="T93" i="58"/>
  <c r="U93" i="58"/>
  <c r="V93" i="58"/>
  <c r="W93" i="58"/>
  <c r="P102" i="58"/>
  <c r="Q102" i="58"/>
  <c r="R102" i="58"/>
  <c r="S102" i="58"/>
  <c r="T102" i="58"/>
  <c r="U102" i="58"/>
  <c r="V102" i="58"/>
  <c r="W102" i="58"/>
  <c r="W48" i="58"/>
  <c r="V48" i="58"/>
  <c r="U48" i="58"/>
  <c r="T48" i="58"/>
  <c r="S48" i="58"/>
  <c r="R48" i="58"/>
  <c r="Q48" i="58"/>
  <c r="P48" i="58"/>
  <c r="X35" i="58"/>
  <c r="X36" i="58"/>
  <c r="X37" i="58"/>
  <c r="X38" i="58"/>
  <c r="X39" i="58"/>
  <c r="X40" i="58"/>
  <c r="X41" i="58"/>
  <c r="X42" i="58"/>
  <c r="U94" i="58" l="1"/>
  <c r="AJ52" i="205"/>
  <c r="AK52" i="205"/>
  <c r="AK54" i="205"/>
  <c r="AJ54" i="205"/>
  <c r="AK67" i="205"/>
  <c r="AJ67" i="205"/>
  <c r="AH53" i="205"/>
  <c r="AG53" i="205"/>
  <c r="AG76" i="205"/>
  <c r="AH22" i="205"/>
  <c r="AG22" i="205"/>
  <c r="AH31" i="205"/>
  <c r="AG31" i="205"/>
  <c r="AH32" i="205"/>
  <c r="AJ32" i="205" s="1"/>
  <c r="AH76" i="205"/>
  <c r="V94" i="58"/>
  <c r="W94" i="58"/>
  <c r="T94" i="58"/>
  <c r="S94" i="58"/>
  <c r="T78" i="58"/>
  <c r="S78" i="58"/>
  <c r="P78" i="58"/>
  <c r="W78" i="58"/>
  <c r="U78" i="58"/>
  <c r="Q78" i="58"/>
  <c r="V78" i="58"/>
  <c r="R78" i="58"/>
  <c r="Q94" i="58"/>
  <c r="R94" i="58"/>
  <c r="P94" i="58"/>
  <c r="AN67" i="205" l="1"/>
  <c r="AP67" i="205" s="1"/>
  <c r="AM67" i="205"/>
  <c r="AN54" i="205"/>
  <c r="AP54" i="205" s="1"/>
  <c r="AM54" i="205"/>
  <c r="AK53" i="205"/>
  <c r="AJ53" i="205"/>
  <c r="AN52" i="205"/>
  <c r="AM52" i="205"/>
  <c r="AJ76" i="205"/>
  <c r="AK31" i="205"/>
  <c r="AJ31" i="205"/>
  <c r="AK22" i="205"/>
  <c r="AJ22" i="205"/>
  <c r="AK76" i="205"/>
  <c r="AK32" i="205"/>
  <c r="AM32" i="205" s="1"/>
  <c r="E16" i="178"/>
  <c r="O16" i="178" s="1"/>
  <c r="L62" i="178"/>
  <c r="L9" i="178"/>
  <c r="AW54" i="205" l="1"/>
  <c r="AX54" i="205" s="1"/>
  <c r="AW52" i="205"/>
  <c r="AX52" i="205" s="1"/>
  <c r="AW67" i="205"/>
  <c r="AX67" i="205" s="1"/>
  <c r="L16" i="178"/>
  <c r="P16" i="178"/>
  <c r="AN53" i="205"/>
  <c r="AM53" i="205"/>
  <c r="AP52" i="205"/>
  <c r="AM76" i="205"/>
  <c r="AN22" i="205"/>
  <c r="AM22" i="205"/>
  <c r="AN31" i="205"/>
  <c r="AM31" i="205"/>
  <c r="AN32" i="205"/>
  <c r="AP32" i="205" s="1"/>
  <c r="AN76" i="205"/>
  <c r="M16" i="178"/>
  <c r="N16" i="178"/>
  <c r="AP76" i="205" l="1"/>
  <c r="AP53" i="205"/>
  <c r="AW53" i="205"/>
  <c r="AX53" i="205" s="1"/>
  <c r="AP31" i="205"/>
  <c r="AW31" i="205"/>
  <c r="AX31" i="205" s="1"/>
  <c r="AP22" i="205"/>
  <c r="AW22" i="205"/>
  <c r="AX22" i="205" s="1"/>
  <c r="AW32" i="205"/>
  <c r="AX32" i="205" s="1"/>
  <c r="P288" i="58"/>
  <c r="AR36" i="205" l="1"/>
  <c r="G17" i="178"/>
  <c r="Q17" i="178" s="1"/>
  <c r="T17" i="178" s="1"/>
  <c r="E22" i="178"/>
  <c r="G22" i="178" s="1"/>
  <c r="M22" i="178" s="1"/>
  <c r="T22" i="178" s="1"/>
  <c r="M17" i="133"/>
  <c r="F32" i="35"/>
  <c r="D63" i="133" l="1"/>
  <c r="C63" i="133"/>
  <c r="E114" i="133"/>
  <c r="F114" i="133" s="1"/>
  <c r="E75" i="133"/>
  <c r="M27" i="35"/>
  <c r="L27" i="35"/>
  <c r="L64" i="35"/>
  <c r="M64" i="35" s="1"/>
  <c r="N64" i="35" s="1"/>
  <c r="O64" i="35" s="1"/>
  <c r="P64" i="35" s="1"/>
  <c r="Q64" i="35" s="1"/>
  <c r="R64" i="35" s="1"/>
  <c r="R62" i="35"/>
  <c r="Q62" i="35"/>
  <c r="P62" i="35"/>
  <c r="O62" i="35"/>
  <c r="N62" i="35"/>
  <c r="M62" i="35"/>
  <c r="L62" i="35"/>
  <c r="R61" i="35"/>
  <c r="Q61" i="35"/>
  <c r="P61" i="35"/>
  <c r="O61" i="35"/>
  <c r="N61" i="35"/>
  <c r="M61" i="35"/>
  <c r="L61" i="35"/>
  <c r="R60" i="35"/>
  <c r="Q60" i="35"/>
  <c r="P60" i="35"/>
  <c r="O60" i="35"/>
  <c r="N60" i="35"/>
  <c r="M60" i="35"/>
  <c r="L60" i="35"/>
  <c r="O95" i="178" l="1"/>
  <c r="AB29" i="205" s="1"/>
  <c r="AD29" i="205" l="1"/>
  <c r="P95" i="178"/>
  <c r="AE29" i="205" s="1"/>
  <c r="AG29" i="205" s="1"/>
  <c r="N27" i="35"/>
  <c r="O27" i="35" l="1"/>
  <c r="Q95" i="178"/>
  <c r="AH29" i="205" s="1"/>
  <c r="AJ29" i="205" s="1"/>
  <c r="C61" i="133"/>
  <c r="V13" i="35"/>
  <c r="V14" i="35"/>
  <c r="V15" i="35"/>
  <c r="W15" i="35"/>
  <c r="V17" i="35"/>
  <c r="V18" i="35"/>
  <c r="V19" i="35"/>
  <c r="V20" i="35"/>
  <c r="V21" i="35"/>
  <c r="V22" i="35"/>
  <c r="V23" i="35"/>
  <c r="V24" i="35"/>
  <c r="V25" i="35"/>
  <c r="V26" i="35"/>
  <c r="V27" i="35"/>
  <c r="V28" i="35"/>
  <c r="V29" i="35"/>
  <c r="V30" i="35"/>
  <c r="V32" i="35"/>
  <c r="W32" i="35"/>
  <c r="V12" i="35"/>
  <c r="V11" i="35"/>
  <c r="V10" i="35"/>
  <c r="V9" i="35"/>
  <c r="V46" i="35"/>
  <c r="V47" i="35"/>
  <c r="V48" i="35"/>
  <c r="V49" i="35"/>
  <c r="V50" i="35"/>
  <c r="V51" i="35"/>
  <c r="V52" i="35"/>
  <c r="W52" i="35"/>
  <c r="V53" i="35"/>
  <c r="V54" i="35"/>
  <c r="V55" i="35"/>
  <c r="V56" i="35"/>
  <c r="V57" i="35"/>
  <c r="V58" i="35"/>
  <c r="V59" i="35"/>
  <c r="V60" i="35"/>
  <c r="V61" i="35"/>
  <c r="V62" i="35"/>
  <c r="V63" i="35"/>
  <c r="V64" i="35"/>
  <c r="V65" i="35"/>
  <c r="W65" i="35"/>
  <c r="V66" i="35"/>
  <c r="V45" i="35"/>
  <c r="E52" i="138"/>
  <c r="F52" i="138"/>
  <c r="C52" i="138"/>
  <c r="X65" i="35" l="1"/>
  <c r="X52" i="35"/>
  <c r="X32" i="35"/>
  <c r="P27" i="35"/>
  <c r="R95" i="178"/>
  <c r="AK29" i="205" s="1"/>
  <c r="AM29" i="205" s="1"/>
  <c r="X15" i="35"/>
  <c r="R252" i="58"/>
  <c r="R268" i="58"/>
  <c r="V177" i="58"/>
  <c r="U177" i="58"/>
  <c r="T177" i="58"/>
  <c r="W268" i="58" s="1"/>
  <c r="S177" i="58"/>
  <c r="V268" i="58" s="1"/>
  <c r="R177" i="58"/>
  <c r="U268" i="58" s="1"/>
  <c r="V176" i="58"/>
  <c r="U176" i="58"/>
  <c r="T176" i="58"/>
  <c r="S176" i="58"/>
  <c r="R176" i="58"/>
  <c r="Q176" i="58"/>
  <c r="Q177" i="58"/>
  <c r="T268" i="58" s="1"/>
  <c r="W177" i="58"/>
  <c r="P177" i="58"/>
  <c r="S268" i="58" s="1"/>
  <c r="X73" i="58"/>
  <c r="X74" i="58"/>
  <c r="O54" i="58"/>
  <c r="X53" i="58"/>
  <c r="W157" i="58"/>
  <c r="V157" i="58"/>
  <c r="U157" i="58"/>
  <c r="T157" i="58"/>
  <c r="W252" i="58" s="1"/>
  <c r="S157" i="58"/>
  <c r="V252" i="58" s="1"/>
  <c r="R157" i="58"/>
  <c r="U252" i="58" s="1"/>
  <c r="Q157" i="58"/>
  <c r="T252" i="58" s="1"/>
  <c r="P157" i="58"/>
  <c r="S252" i="58" l="1"/>
  <c r="X252" i="58" s="1"/>
  <c r="X268" i="58"/>
  <c r="Q27" i="35"/>
  <c r="S95" i="178"/>
  <c r="AN29" i="205" s="1"/>
  <c r="AP29" i="205" s="1"/>
  <c r="X177" i="58"/>
  <c r="X157" i="58"/>
  <c r="AW29" i="205" l="1"/>
  <c r="AX29" i="205" s="1"/>
  <c r="R27" i="35"/>
  <c r="T95" i="178"/>
  <c r="O74" i="181"/>
  <c r="N74" i="181"/>
  <c r="M74" i="181"/>
  <c r="L74" i="181"/>
  <c r="K74" i="181"/>
  <c r="J74" i="181"/>
  <c r="I74" i="181"/>
  <c r="G74" i="181"/>
  <c r="F5" i="58"/>
  <c r="F5" i="110" s="1"/>
  <c r="X29" i="58"/>
  <c r="H73" i="197"/>
  <c r="H72" i="197"/>
  <c r="H71" i="197"/>
  <c r="H11" i="197"/>
  <c r="H12" i="197"/>
  <c r="H13" i="197"/>
  <c r="H14" i="197"/>
  <c r="H15" i="197"/>
  <c r="H16" i="197"/>
  <c r="H17" i="197"/>
  <c r="H18" i="197"/>
  <c r="H19" i="197"/>
  <c r="H20" i="197"/>
  <c r="H21" i="197"/>
  <c r="H22" i="197"/>
  <c r="H23" i="197"/>
  <c r="H24" i="197"/>
  <c r="H25" i="197"/>
  <c r="H26" i="197"/>
  <c r="H27" i="197"/>
  <c r="H28" i="197"/>
  <c r="H29" i="197"/>
  <c r="H30" i="197"/>
  <c r="H31" i="197"/>
  <c r="H32" i="197"/>
  <c r="H33" i="197"/>
  <c r="H34" i="197"/>
  <c r="H35" i="197"/>
  <c r="H36" i="197"/>
  <c r="H37" i="197"/>
  <c r="H38" i="197"/>
  <c r="H39" i="197"/>
  <c r="H40" i="197"/>
  <c r="H41" i="197"/>
  <c r="H42" i="197"/>
  <c r="H43" i="197"/>
  <c r="H44" i="197"/>
  <c r="H45" i="197"/>
  <c r="H46" i="197"/>
  <c r="H47" i="197"/>
  <c r="H48" i="197"/>
  <c r="H49" i="197"/>
  <c r="H50" i="197"/>
  <c r="H51" i="197"/>
  <c r="H52" i="197"/>
  <c r="H53" i="197"/>
  <c r="H54" i="197"/>
  <c r="H55" i="197"/>
  <c r="H56" i="197"/>
  <c r="H57" i="197"/>
  <c r="H58" i="197"/>
  <c r="H59" i="197"/>
  <c r="H60" i="197"/>
  <c r="H61" i="197"/>
  <c r="H62" i="197"/>
  <c r="H63" i="197"/>
  <c r="H64" i="197"/>
  <c r="H65" i="197"/>
  <c r="H66" i="197"/>
  <c r="H67" i="197"/>
  <c r="H68" i="197"/>
  <c r="H69" i="197"/>
  <c r="H70" i="197"/>
  <c r="H74" i="197"/>
  <c r="H75" i="197"/>
  <c r="H76" i="197"/>
  <c r="H77" i="197"/>
  <c r="H78" i="197"/>
  <c r="H79" i="197"/>
  <c r="H80" i="197"/>
  <c r="H81" i="197"/>
  <c r="H82" i="197"/>
  <c r="H83" i="197"/>
  <c r="H84" i="197"/>
  <c r="H85" i="197"/>
  <c r="H86" i="197"/>
  <c r="H87" i="197"/>
  <c r="H88" i="197"/>
  <c r="H89" i="197"/>
  <c r="H90" i="197"/>
  <c r="H91" i="197"/>
  <c r="H92" i="197"/>
  <c r="H93" i="197"/>
  <c r="H94" i="197"/>
  <c r="H95" i="197"/>
  <c r="H96" i="197"/>
  <c r="H97" i="197"/>
  <c r="H98" i="197"/>
  <c r="H99" i="197"/>
  <c r="H100" i="197"/>
  <c r="H101" i="197"/>
  <c r="H102" i="197"/>
  <c r="H10" i="197"/>
  <c r="P290" i="58"/>
  <c r="F5" i="137" l="1"/>
  <c r="E5" i="181"/>
  <c r="I31" i="35" l="1"/>
  <c r="V31" i="35" s="1"/>
  <c r="J35" i="35" l="1"/>
  <c r="J33" i="35"/>
  <c r="O173" i="58"/>
  <c r="O180" i="58"/>
  <c r="O193" i="58"/>
  <c r="O183" i="58"/>
  <c r="O135" i="58"/>
  <c r="M204" i="58"/>
  <c r="N204" i="58"/>
  <c r="O199" i="58"/>
  <c r="M200" i="58" l="1"/>
  <c r="M199" i="58"/>
  <c r="N122" i="58"/>
  <c r="Z15" i="58" l="1"/>
  <c r="Z16" i="58"/>
  <c r="Z17" i="58"/>
  <c r="Z18" i="58"/>
  <c r="Z19" i="58"/>
  <c r="Z20" i="58"/>
  <c r="X11" i="58" l="1"/>
  <c r="I49" i="184" l="1"/>
  <c r="H48" i="184"/>
  <c r="G48" i="184"/>
  <c r="E48" i="184"/>
  <c r="H47" i="184"/>
  <c r="G47" i="184"/>
  <c r="E47" i="184"/>
  <c r="H46" i="184"/>
  <c r="G46" i="184"/>
  <c r="H45" i="184"/>
  <c r="G45" i="184"/>
  <c r="E45" i="184"/>
  <c r="H44" i="184"/>
  <c r="G44" i="184"/>
  <c r="E44" i="184"/>
  <c r="L43" i="184"/>
  <c r="X43" i="184" s="1"/>
  <c r="J43" i="184" s="1"/>
  <c r="H43" i="184"/>
  <c r="G43" i="184"/>
  <c r="E43" i="184"/>
  <c r="L42" i="184"/>
  <c r="X42" i="184" s="1"/>
  <c r="J42" i="184" s="1"/>
  <c r="H42" i="184"/>
  <c r="G42" i="184"/>
  <c r="E42" i="184"/>
  <c r="L41" i="184"/>
  <c r="X41" i="184" s="1"/>
  <c r="J41" i="184" s="1"/>
  <c r="H41" i="184"/>
  <c r="G41" i="184"/>
  <c r="E41" i="184"/>
  <c r="L40" i="184"/>
  <c r="X40" i="184" s="1"/>
  <c r="J40" i="184" s="1"/>
  <c r="H40" i="184"/>
  <c r="G40" i="184"/>
  <c r="L39" i="184"/>
  <c r="X39" i="184" s="1"/>
  <c r="J39" i="184" s="1"/>
  <c r="H39" i="184"/>
  <c r="G39" i="184"/>
  <c r="H38" i="184"/>
  <c r="G38" i="184"/>
  <c r="H37" i="184"/>
  <c r="G37" i="184"/>
  <c r="E37" i="184"/>
  <c r="E36" i="184"/>
  <c r="J35" i="184"/>
  <c r="I35" i="184" s="1"/>
  <c r="J34" i="184"/>
  <c r="I34" i="184" s="1"/>
  <c r="W33" i="184"/>
  <c r="V33" i="184"/>
  <c r="U33" i="184"/>
  <c r="T33" i="184"/>
  <c r="S33" i="184"/>
  <c r="R33" i="184"/>
  <c r="Q33" i="184"/>
  <c r="P33" i="184"/>
  <c r="O33" i="184"/>
  <c r="N33" i="184"/>
  <c r="M33" i="184"/>
  <c r="L33" i="184"/>
  <c r="I33" i="184"/>
  <c r="B33" i="184"/>
  <c r="W32" i="184"/>
  <c r="V32" i="184"/>
  <c r="U32" i="184"/>
  <c r="T32" i="184"/>
  <c r="S32" i="184"/>
  <c r="R32" i="184"/>
  <c r="Q32" i="184"/>
  <c r="P32" i="184"/>
  <c r="O32" i="184"/>
  <c r="N32" i="184"/>
  <c r="M32" i="184"/>
  <c r="L32" i="184"/>
  <c r="I32" i="184"/>
  <c r="B32" i="184"/>
  <c r="W31" i="184"/>
  <c r="V31" i="184"/>
  <c r="U31" i="184"/>
  <c r="T31" i="184"/>
  <c r="S31" i="184"/>
  <c r="R31" i="184"/>
  <c r="Q31" i="184"/>
  <c r="P31" i="184"/>
  <c r="O31" i="184"/>
  <c r="N31" i="184"/>
  <c r="M31" i="184"/>
  <c r="L31" i="184"/>
  <c r="I31" i="184"/>
  <c r="B31" i="184"/>
  <c r="Q30" i="184"/>
  <c r="P30" i="184"/>
  <c r="O30" i="184"/>
  <c r="N30" i="184"/>
  <c r="M30" i="184"/>
  <c r="L30" i="184"/>
  <c r="I30" i="184"/>
  <c r="B30" i="184"/>
  <c r="X29" i="184"/>
  <c r="W29" i="184"/>
  <c r="V29" i="184"/>
  <c r="U29" i="184"/>
  <c r="T29" i="184"/>
  <c r="S29" i="184"/>
  <c r="R29" i="184"/>
  <c r="Q29" i="184"/>
  <c r="P29" i="184"/>
  <c r="O29" i="184"/>
  <c r="N29" i="184"/>
  <c r="M29" i="184"/>
  <c r="L29" i="184"/>
  <c r="X25" i="184"/>
  <c r="AE23" i="184"/>
  <c r="AF23" i="184" s="1"/>
  <c r="AG23" i="184" s="1"/>
  <c r="AH23" i="184" s="1"/>
  <c r="AI23" i="184" s="1"/>
  <c r="AJ23" i="184" s="1"/>
  <c r="AK23" i="184" s="1"/>
  <c r="AC23" i="184"/>
  <c r="I23" i="184"/>
  <c r="E23" i="184"/>
  <c r="J23" i="184" s="1"/>
  <c r="L23" i="184" s="1"/>
  <c r="AE22" i="184"/>
  <c r="AF22" i="184" s="1"/>
  <c r="AG22" i="184" s="1"/>
  <c r="AH22" i="184" s="1"/>
  <c r="AI22" i="184" s="1"/>
  <c r="AJ22" i="184" s="1"/>
  <c r="AK22" i="184" s="1"/>
  <c r="AC22" i="184"/>
  <c r="I22" i="184"/>
  <c r="E22" i="184"/>
  <c r="J22" i="184" s="1"/>
  <c r="L22" i="184" s="1"/>
  <c r="AE21" i="184"/>
  <c r="AF21" i="184" s="1"/>
  <c r="AG21" i="184" s="1"/>
  <c r="AH21" i="184" s="1"/>
  <c r="AI21" i="184" s="1"/>
  <c r="AJ21" i="184" s="1"/>
  <c r="AK21" i="184" s="1"/>
  <c r="AC21" i="184"/>
  <c r="I21" i="184"/>
  <c r="E21" i="184"/>
  <c r="J21" i="184" s="1"/>
  <c r="L21" i="184" s="1"/>
  <c r="M21" i="184" s="1"/>
  <c r="N21" i="184" s="1"/>
  <c r="O21" i="184" s="1"/>
  <c r="P21" i="184" s="1"/>
  <c r="Q21" i="184" s="1"/>
  <c r="R21" i="184" s="1"/>
  <c r="S21" i="184" s="1"/>
  <c r="T21" i="184" s="1"/>
  <c r="U21" i="184" s="1"/>
  <c r="AE20" i="184"/>
  <c r="AF20" i="184" s="1"/>
  <c r="AG20" i="184" s="1"/>
  <c r="AH20" i="184" s="1"/>
  <c r="AI20" i="184" s="1"/>
  <c r="AJ20" i="184" s="1"/>
  <c r="AK20" i="184" s="1"/>
  <c r="AC20" i="184"/>
  <c r="I20" i="184"/>
  <c r="E20" i="184"/>
  <c r="J20" i="184" s="1"/>
  <c r="L20" i="184" s="1"/>
  <c r="AE19" i="184"/>
  <c r="AF19" i="184" s="1"/>
  <c r="AG19" i="184" s="1"/>
  <c r="AH19" i="184" s="1"/>
  <c r="AI19" i="184" s="1"/>
  <c r="AJ19" i="184" s="1"/>
  <c r="AK19" i="184" s="1"/>
  <c r="AC19" i="184"/>
  <c r="I19" i="184"/>
  <c r="L44" i="184" s="1"/>
  <c r="E19" i="184"/>
  <c r="J19" i="184" s="1"/>
  <c r="L19" i="184" s="1"/>
  <c r="M19" i="184" s="1"/>
  <c r="N19" i="184" s="1"/>
  <c r="O19" i="184" s="1"/>
  <c r="P19" i="184" s="1"/>
  <c r="Q19" i="184" s="1"/>
  <c r="R19" i="184" s="1"/>
  <c r="AE18" i="184"/>
  <c r="AF18" i="184" s="1"/>
  <c r="AG18" i="184" s="1"/>
  <c r="AH18" i="184" s="1"/>
  <c r="AI18" i="184" s="1"/>
  <c r="AJ18" i="184" s="1"/>
  <c r="AK18" i="184" s="1"/>
  <c r="AC18" i="184"/>
  <c r="L18" i="184"/>
  <c r="X18" i="184" s="1"/>
  <c r="K18" i="184" s="1"/>
  <c r="AD18" i="184" s="1"/>
  <c r="J18" i="184"/>
  <c r="AE17" i="184"/>
  <c r="AF17" i="184" s="1"/>
  <c r="AG17" i="184" s="1"/>
  <c r="AH17" i="184" s="1"/>
  <c r="AI17" i="184" s="1"/>
  <c r="AJ17" i="184" s="1"/>
  <c r="AK17" i="184" s="1"/>
  <c r="AC17" i="184"/>
  <c r="L17" i="184"/>
  <c r="X17" i="184" s="1"/>
  <c r="K17" i="184" s="1"/>
  <c r="AD17" i="184" s="1"/>
  <c r="J17" i="184"/>
  <c r="AE16" i="184"/>
  <c r="AF16" i="184" s="1"/>
  <c r="AG16" i="184" s="1"/>
  <c r="AH16" i="184" s="1"/>
  <c r="AI16" i="184" s="1"/>
  <c r="AJ16" i="184" s="1"/>
  <c r="AK16" i="184" s="1"/>
  <c r="AC16" i="184"/>
  <c r="L16" i="184"/>
  <c r="X16" i="184" s="1"/>
  <c r="K16" i="184" s="1"/>
  <c r="AD16" i="184" s="1"/>
  <c r="J16" i="184"/>
  <c r="AE15" i="184"/>
  <c r="AF15" i="184" s="1"/>
  <c r="AG15" i="184" s="1"/>
  <c r="AH15" i="184" s="1"/>
  <c r="AI15" i="184" s="1"/>
  <c r="AJ15" i="184" s="1"/>
  <c r="AK15" i="184" s="1"/>
  <c r="AC15" i="184"/>
  <c r="L15" i="184"/>
  <c r="X15" i="184" s="1"/>
  <c r="K15" i="184" s="1"/>
  <c r="AD15" i="184" s="1"/>
  <c r="J15" i="184"/>
  <c r="AE14" i="184"/>
  <c r="AF14" i="184" s="1"/>
  <c r="AG14" i="184" s="1"/>
  <c r="AH14" i="184" s="1"/>
  <c r="AI14" i="184" s="1"/>
  <c r="AJ14" i="184" s="1"/>
  <c r="AK14" i="184" s="1"/>
  <c r="AC14" i="184"/>
  <c r="L14" i="184"/>
  <c r="X14" i="184" s="1"/>
  <c r="K14" i="184" s="1"/>
  <c r="AD14" i="184" s="1"/>
  <c r="J14" i="184"/>
  <c r="AE13" i="184"/>
  <c r="AF13" i="184" s="1"/>
  <c r="AG13" i="184" s="1"/>
  <c r="AH13" i="184" s="1"/>
  <c r="AI13" i="184" s="1"/>
  <c r="AJ13" i="184" s="1"/>
  <c r="AK13" i="184" s="1"/>
  <c r="AC13" i="184"/>
  <c r="J13" i="184"/>
  <c r="L13" i="184" s="1"/>
  <c r="I13" i="184"/>
  <c r="AE12" i="184"/>
  <c r="AF12" i="184" s="1"/>
  <c r="AG12" i="184" s="1"/>
  <c r="AH12" i="184" s="1"/>
  <c r="AI12" i="184" s="1"/>
  <c r="AJ12" i="184" s="1"/>
  <c r="AK12" i="184" s="1"/>
  <c r="AC12" i="184"/>
  <c r="J12" i="184"/>
  <c r="L12" i="184" s="1"/>
  <c r="I12" i="184"/>
  <c r="W11" i="184"/>
  <c r="E11" i="184"/>
  <c r="J10" i="184"/>
  <c r="I10" i="184" s="1"/>
  <c r="AA9" i="184"/>
  <c r="J9" i="184"/>
  <c r="I9" i="184" s="1"/>
  <c r="X8" i="184"/>
  <c r="K8" i="184" s="1"/>
  <c r="X7" i="184"/>
  <c r="K7" i="184" s="1"/>
  <c r="J7" i="184"/>
  <c r="X6" i="184"/>
  <c r="K6" i="184" s="1"/>
  <c r="Q5" i="184"/>
  <c r="F39" i="138"/>
  <c r="F56" i="138" s="1"/>
  <c r="X31" i="184" l="1"/>
  <c r="J31" i="184" s="1"/>
  <c r="O46" i="184"/>
  <c r="E49" i="184"/>
  <c r="E50" i="184" s="1"/>
  <c r="X33" i="184"/>
  <c r="J33" i="184" s="1"/>
  <c r="L10" i="184"/>
  <c r="M37" i="184"/>
  <c r="I36" i="184"/>
  <c r="I50" i="184" s="1"/>
  <c r="J11" i="184"/>
  <c r="L34" i="184"/>
  <c r="I11" i="184"/>
  <c r="M13" i="184"/>
  <c r="N13" i="184" s="1"/>
  <c r="O13" i="184" s="1"/>
  <c r="P13" i="184" s="1"/>
  <c r="Q13" i="184" s="1"/>
  <c r="AD24" i="184"/>
  <c r="S19" i="184"/>
  <c r="T44" i="184" s="1"/>
  <c r="V21" i="184"/>
  <c r="X21" i="184" s="1"/>
  <c r="K21" i="184" s="1"/>
  <c r="L9" i="184"/>
  <c r="M34" i="184" s="1"/>
  <c r="M20" i="184"/>
  <c r="N20" i="184" s="1"/>
  <c r="O20" i="184" s="1"/>
  <c r="P20" i="184" s="1"/>
  <c r="Q20" i="184" s="1"/>
  <c r="R20" i="184" s="1"/>
  <c r="S20" i="184" s="1"/>
  <c r="T20" i="184" s="1"/>
  <c r="M22" i="184"/>
  <c r="N47" i="184" s="1"/>
  <c r="M23" i="184"/>
  <c r="N48" i="184" s="1"/>
  <c r="U46" i="184"/>
  <c r="T46" i="184"/>
  <c r="L37" i="184"/>
  <c r="I24" i="184"/>
  <c r="M48" i="184"/>
  <c r="E24" i="184"/>
  <c r="E26" i="184" s="1"/>
  <c r="X32" i="184"/>
  <c r="J32" i="184" s="1"/>
  <c r="J24" i="184"/>
  <c r="J26" i="184" s="1"/>
  <c r="M38" i="184"/>
  <c r="L38" i="184"/>
  <c r="Q44" i="184"/>
  <c r="P44" i="184"/>
  <c r="O44" i="184"/>
  <c r="N44" i="184"/>
  <c r="S44" i="184"/>
  <c r="M44" i="184"/>
  <c r="X30" i="184"/>
  <c r="J30" i="184" s="1"/>
  <c r="L35" i="184"/>
  <c r="L24" i="184"/>
  <c r="M12" i="184"/>
  <c r="X5" i="184"/>
  <c r="R44" i="184"/>
  <c r="L48" i="184"/>
  <c r="P46" i="184"/>
  <c r="V46" i="184"/>
  <c r="L47" i="184"/>
  <c r="L45" i="184"/>
  <c r="Q46" i="184"/>
  <c r="M47" i="184"/>
  <c r="M45" i="184"/>
  <c r="L46" i="184"/>
  <c r="R46" i="184"/>
  <c r="M46" i="184"/>
  <c r="S46" i="184"/>
  <c r="N46" i="184"/>
  <c r="S45" i="184" l="1"/>
  <c r="T45" i="184"/>
  <c r="R45" i="184"/>
  <c r="N45" i="184"/>
  <c r="Q45" i="184"/>
  <c r="O38" i="184"/>
  <c r="N38" i="184"/>
  <c r="M35" i="184"/>
  <c r="Q38" i="184"/>
  <c r="X13" i="184"/>
  <c r="K13" i="184" s="1"/>
  <c r="M36" i="184"/>
  <c r="M10" i="184"/>
  <c r="N22" i="184"/>
  <c r="L36" i="184"/>
  <c r="J36" i="184"/>
  <c r="M49" i="184"/>
  <c r="P38" i="184"/>
  <c r="X46" i="184"/>
  <c r="J46" i="184" s="1"/>
  <c r="X44" i="184"/>
  <c r="J44" i="184" s="1"/>
  <c r="O45" i="184"/>
  <c r="T19" i="184"/>
  <c r="K5" i="184"/>
  <c r="P45" i="184"/>
  <c r="M24" i="184"/>
  <c r="N12" i="184"/>
  <c r="L49" i="184"/>
  <c r="X20" i="184"/>
  <c r="K20" i="184" s="1"/>
  <c r="I26" i="184"/>
  <c r="N23" i="184"/>
  <c r="O48" i="184" s="1"/>
  <c r="M9" i="184"/>
  <c r="L11" i="184"/>
  <c r="L26" i="184" s="1"/>
  <c r="N37" i="184"/>
  <c r="M50" i="184" l="1"/>
  <c r="M51" i="184" s="1"/>
  <c r="K78" i="205" s="1"/>
  <c r="K79" i="205" s="1"/>
  <c r="X38" i="184"/>
  <c r="J38" i="184" s="1"/>
  <c r="N49" i="184"/>
  <c r="N10" i="184"/>
  <c r="O10" i="184" s="1"/>
  <c r="P10" i="184" s="1"/>
  <c r="Q10" i="184" s="1"/>
  <c r="R10" i="184" s="1"/>
  <c r="S10" i="184" s="1"/>
  <c r="T10" i="184" s="1"/>
  <c r="U10" i="184" s="1"/>
  <c r="V10" i="184" s="1"/>
  <c r="N35" i="184"/>
  <c r="O22" i="184"/>
  <c r="O47" i="184"/>
  <c r="X45" i="184"/>
  <c r="J45" i="184" s="1"/>
  <c r="X19" i="184"/>
  <c r="K19" i="184" s="1"/>
  <c r="L50" i="184"/>
  <c r="L51" i="184" s="1"/>
  <c r="N24" i="184"/>
  <c r="O12" i="184"/>
  <c r="M11" i="184"/>
  <c r="M26" i="184" s="1"/>
  <c r="N9" i="184"/>
  <c r="O34" i="184" s="1"/>
  <c r="N34" i="184"/>
  <c r="O23" i="184"/>
  <c r="O37" i="184"/>
  <c r="L78" i="205" l="1"/>
  <c r="L79" i="205" s="1"/>
  <c r="M53" i="184"/>
  <c r="V35" i="184"/>
  <c r="T35" i="184"/>
  <c r="L53" i="184"/>
  <c r="H78" i="205"/>
  <c r="P35" i="184"/>
  <c r="O35" i="184"/>
  <c r="O36" i="184" s="1"/>
  <c r="R35" i="184"/>
  <c r="U35" i="184"/>
  <c r="S35" i="184"/>
  <c r="X10" i="184"/>
  <c r="K10" i="184" s="1"/>
  <c r="W35" i="184"/>
  <c r="P22" i="184"/>
  <c r="Q22" i="184" s="1"/>
  <c r="R22" i="184" s="1"/>
  <c r="S22" i="184" s="1"/>
  <c r="T22" i="184" s="1"/>
  <c r="U22" i="184" s="1"/>
  <c r="V22" i="184" s="1"/>
  <c r="W22" i="184" s="1"/>
  <c r="O49" i="184"/>
  <c r="P47" i="184"/>
  <c r="Q35" i="184"/>
  <c r="P23" i="184"/>
  <c r="Q48" i="184" s="1"/>
  <c r="N36" i="184"/>
  <c r="O24" i="184"/>
  <c r="P12" i="184"/>
  <c r="O9" i="184"/>
  <c r="N11" i="184"/>
  <c r="N26" i="184" s="1"/>
  <c r="P48" i="184"/>
  <c r="P37" i="184"/>
  <c r="X22" i="184" l="1"/>
  <c r="K22" i="184" s="1"/>
  <c r="V47" i="184"/>
  <c r="Q47" i="184"/>
  <c r="S47" i="184"/>
  <c r="U47" i="184"/>
  <c r="P49" i="184"/>
  <c r="R47" i="184"/>
  <c r="W47" i="184"/>
  <c r="O50" i="184"/>
  <c r="O51" i="184" s="1"/>
  <c r="Q78" i="205" s="1"/>
  <c r="H79" i="205"/>
  <c r="I78" i="205"/>
  <c r="I79" i="205" s="1"/>
  <c r="X35" i="184"/>
  <c r="T47" i="184"/>
  <c r="Q23" i="184"/>
  <c r="R23" i="184" s="1"/>
  <c r="S23" i="184" s="1"/>
  <c r="N50" i="184"/>
  <c r="N51" i="184" s="1"/>
  <c r="O11" i="184"/>
  <c r="O26" i="184" s="1"/>
  <c r="O53" i="184" s="1"/>
  <c r="P9" i="184"/>
  <c r="P34" i="184"/>
  <c r="P36" i="184" s="1"/>
  <c r="Q12" i="184"/>
  <c r="P24" i="184"/>
  <c r="Q37" i="184"/>
  <c r="Q49" i="184" l="1"/>
  <c r="Q24" i="184"/>
  <c r="X47" i="184"/>
  <c r="J47" i="184" s="1"/>
  <c r="N53" i="184"/>
  <c r="N78" i="205"/>
  <c r="R48" i="184"/>
  <c r="R49" i="184" s="1"/>
  <c r="R78" i="205"/>
  <c r="R79" i="205" s="1"/>
  <c r="Q79" i="205"/>
  <c r="S48" i="184"/>
  <c r="S49" i="184" s="1"/>
  <c r="R24" i="184"/>
  <c r="X37" i="184"/>
  <c r="J37" i="184" s="1"/>
  <c r="T23" i="184"/>
  <c r="S24" i="184"/>
  <c r="T48" i="184"/>
  <c r="T49" i="184" s="1"/>
  <c r="X12" i="184"/>
  <c r="K12" i="184" s="1"/>
  <c r="Q9" i="184"/>
  <c r="P11" i="184"/>
  <c r="P26" i="184" s="1"/>
  <c r="G41" i="138" s="1"/>
  <c r="Q34" i="184"/>
  <c r="Q36" i="184" s="1"/>
  <c r="Q50" i="184" s="1"/>
  <c r="Q51" i="184" s="1"/>
  <c r="V78" i="205" s="1"/>
  <c r="X78" i="205" l="1"/>
  <c r="X79" i="205" s="1"/>
  <c r="V79" i="205"/>
  <c r="O78" i="205"/>
  <c r="O79" i="205" s="1"/>
  <c r="N79" i="205"/>
  <c r="AR78" i="205"/>
  <c r="AR79" i="205" s="1"/>
  <c r="U23" i="184"/>
  <c r="T24" i="184"/>
  <c r="U48" i="184"/>
  <c r="U49" i="184" s="1"/>
  <c r="R9" i="184"/>
  <c r="Q11" i="184"/>
  <c r="Q26" i="184" s="1"/>
  <c r="Q53" i="184" s="1"/>
  <c r="R34" i="184"/>
  <c r="R36" i="184" s="1"/>
  <c r="R50" i="184" s="1"/>
  <c r="R51" i="184" s="1"/>
  <c r="Y78" i="205" s="1"/>
  <c r="P50" i="184"/>
  <c r="P51" i="184" s="1"/>
  <c r="P53" i="184" s="1"/>
  <c r="AA78" i="205" l="1"/>
  <c r="AA79" i="205" s="1"/>
  <c r="Y79" i="205"/>
  <c r="V23" i="184"/>
  <c r="W48" i="184" s="1"/>
  <c r="U24" i="184"/>
  <c r="V48" i="184"/>
  <c r="V49" i="184" s="1"/>
  <c r="S9" i="184"/>
  <c r="R11" i="184"/>
  <c r="R26" i="184" s="1"/>
  <c r="R53" i="184" s="1"/>
  <c r="S34" i="184"/>
  <c r="S36" i="184" s="1"/>
  <c r="S50" i="184" s="1"/>
  <c r="S51" i="184" s="1"/>
  <c r="AB78" i="205" s="1"/>
  <c r="AD78" i="205" l="1"/>
  <c r="AD79" i="205" s="1"/>
  <c r="AB79" i="205"/>
  <c r="W49" i="184"/>
  <c r="X49" i="184" s="1"/>
  <c r="X48" i="184"/>
  <c r="J48" i="184" s="1"/>
  <c r="J49" i="184" s="1"/>
  <c r="J50" i="184" s="1"/>
  <c r="S11" i="184"/>
  <c r="S26" i="184" s="1"/>
  <c r="S53" i="184" s="1"/>
  <c r="T9" i="184"/>
  <c r="T34" i="184"/>
  <c r="T36" i="184" s="1"/>
  <c r="W23" i="184"/>
  <c r="V24" i="184"/>
  <c r="W24" i="184" l="1"/>
  <c r="X23" i="184"/>
  <c r="K23" i="184" s="1"/>
  <c r="K24" i="184" s="1"/>
  <c r="T11" i="184"/>
  <c r="T26" i="184" s="1"/>
  <c r="U9" i="184"/>
  <c r="U34" i="184"/>
  <c r="U36" i="184" s="1"/>
  <c r="U50" i="184" s="1"/>
  <c r="U51" i="184" s="1"/>
  <c r="AH78" i="205" s="1"/>
  <c r="T50" i="184"/>
  <c r="T51" i="184" s="1"/>
  <c r="AE78" i="205" s="1"/>
  <c r="AG78" i="205" l="1"/>
  <c r="AG79" i="205" s="1"/>
  <c r="AE79" i="205"/>
  <c r="AJ78" i="205"/>
  <c r="AJ79" i="205" s="1"/>
  <c r="AH79" i="205"/>
  <c r="U11" i="184"/>
  <c r="U26" i="184" s="1"/>
  <c r="U53" i="184" s="1"/>
  <c r="V9" i="184"/>
  <c r="V34" i="184"/>
  <c r="V36" i="184" s="1"/>
  <c r="V50" i="184" s="1"/>
  <c r="V51" i="184" s="1"/>
  <c r="AK78" i="205" s="1"/>
  <c r="T53" i="184"/>
  <c r="W26" i="184"/>
  <c r="X24" i="184"/>
  <c r="AM78" i="205" l="1"/>
  <c r="AM79" i="205" s="1"/>
  <c r="AK79" i="205"/>
  <c r="V11" i="184"/>
  <c r="V26" i="184" s="1"/>
  <c r="V53" i="184" s="1"/>
  <c r="X9" i="184"/>
  <c r="W34" i="184"/>
  <c r="K9" i="184" l="1"/>
  <c r="K11" i="184" s="1"/>
  <c r="K26" i="184" s="1"/>
  <c r="X11" i="184"/>
  <c r="X26" i="184" s="1"/>
  <c r="W36" i="184"/>
  <c r="X34" i="184"/>
  <c r="W50" i="184" l="1"/>
  <c r="W51" i="184" s="1"/>
  <c r="X36" i="184"/>
  <c r="X50" i="184" s="1"/>
  <c r="X51" i="184" s="1"/>
  <c r="X53" i="184" s="1"/>
  <c r="W53" i="184" l="1"/>
  <c r="X54" i="184" s="1"/>
  <c r="AN78" i="205"/>
  <c r="AP78" i="205" l="1"/>
  <c r="AP79" i="205" s="1"/>
  <c r="AN79" i="205"/>
  <c r="J98" i="178"/>
  <c r="I98" i="178"/>
  <c r="H98" i="178"/>
  <c r="T97" i="178"/>
  <c r="T96" i="178"/>
  <c r="T94" i="178"/>
  <c r="I93" i="178"/>
  <c r="J93" i="178" s="1"/>
  <c r="S85" i="178"/>
  <c r="R85" i="178"/>
  <c r="Q85" i="178"/>
  <c r="P85" i="178"/>
  <c r="O85" i="178"/>
  <c r="G80" i="178"/>
  <c r="T80" i="178" s="1"/>
  <c r="G79" i="178"/>
  <c r="T79" i="178" s="1"/>
  <c r="G78" i="178"/>
  <c r="T78" i="178" s="1"/>
  <c r="G77" i="178"/>
  <c r="T77" i="178" s="1"/>
  <c r="G76" i="178"/>
  <c r="T76" i="178" s="1"/>
  <c r="G75" i="178"/>
  <c r="T75" i="178" s="1"/>
  <c r="G74" i="178"/>
  <c r="T74" i="178" s="1"/>
  <c r="G73" i="178"/>
  <c r="T73" i="178" s="1"/>
  <c r="G72" i="178"/>
  <c r="T72" i="178" s="1"/>
  <c r="G71" i="178"/>
  <c r="T71" i="178" s="1"/>
  <c r="G70" i="178"/>
  <c r="T70" i="178" s="1"/>
  <c r="G69" i="178"/>
  <c r="T69" i="178" s="1"/>
  <c r="G68" i="178"/>
  <c r="T68" i="178" s="1"/>
  <c r="O62" i="178"/>
  <c r="P62" i="178" s="1"/>
  <c r="Q62" i="178" s="1"/>
  <c r="R62" i="178" s="1"/>
  <c r="S62" i="178" s="1"/>
  <c r="K62" i="178"/>
  <c r="G62" i="178"/>
  <c r="T61" i="178"/>
  <c r="G61" i="178"/>
  <c r="E60" i="178"/>
  <c r="G60" i="178" s="1"/>
  <c r="J60" i="178" s="1"/>
  <c r="T59" i="178"/>
  <c r="G59" i="178"/>
  <c r="T58" i="178"/>
  <c r="G58" i="178"/>
  <c r="T57" i="178"/>
  <c r="G57" i="178"/>
  <c r="T56" i="178"/>
  <c r="G56" i="178"/>
  <c r="E55" i="178"/>
  <c r="G55" i="178" s="1"/>
  <c r="J55" i="178" s="1"/>
  <c r="E54" i="178"/>
  <c r="J54" i="178" s="1"/>
  <c r="J53" i="178"/>
  <c r="I53" i="178"/>
  <c r="G53" i="178"/>
  <c r="R53" i="178" s="1"/>
  <c r="W52" i="178"/>
  <c r="G52" i="178"/>
  <c r="G51" i="178"/>
  <c r="G50" i="178"/>
  <c r="G49" i="178"/>
  <c r="W48" i="178"/>
  <c r="G48" i="178"/>
  <c r="T44" i="178"/>
  <c r="G44" i="178"/>
  <c r="G43" i="178"/>
  <c r="T42" i="178"/>
  <c r="G42" i="178"/>
  <c r="T41" i="178"/>
  <c r="G41" i="178"/>
  <c r="G40" i="178"/>
  <c r="P40" i="178" s="1"/>
  <c r="T39" i="178"/>
  <c r="G39" i="178"/>
  <c r="J38" i="178"/>
  <c r="T38" i="178" s="1"/>
  <c r="G38" i="178"/>
  <c r="G37" i="178"/>
  <c r="K37" i="178" s="1"/>
  <c r="T37" i="178" s="1"/>
  <c r="T36" i="178"/>
  <c r="G36" i="178"/>
  <c r="T35" i="178"/>
  <c r="G35" i="178"/>
  <c r="J34" i="178"/>
  <c r="I34" i="178"/>
  <c r="G34" i="178"/>
  <c r="K33" i="178"/>
  <c r="T33" i="178" s="1"/>
  <c r="E33" i="178"/>
  <c r="G33" i="178" s="1"/>
  <c r="T32" i="178"/>
  <c r="G32" i="178"/>
  <c r="G31" i="178"/>
  <c r="G30" i="178"/>
  <c r="G29" i="178"/>
  <c r="G28" i="178"/>
  <c r="G27" i="178"/>
  <c r="G26" i="178"/>
  <c r="G25" i="178"/>
  <c r="G24" i="178"/>
  <c r="G23" i="178"/>
  <c r="I19" i="178"/>
  <c r="G19" i="178"/>
  <c r="G18" i="178"/>
  <c r="G15" i="178"/>
  <c r="G14" i="178"/>
  <c r="G13" i="178"/>
  <c r="G12" i="178"/>
  <c r="G11" i="178"/>
  <c r="G10" i="178"/>
  <c r="G9" i="178"/>
  <c r="O9" i="178" s="1"/>
  <c r="G8" i="178"/>
  <c r="S7" i="178"/>
  <c r="R7" i="178"/>
  <c r="Q7" i="178"/>
  <c r="P7" i="178"/>
  <c r="O7" i="178"/>
  <c r="N7" i="178"/>
  <c r="M7" i="178"/>
  <c r="J7" i="178"/>
  <c r="I7" i="178"/>
  <c r="H7" i="178"/>
  <c r="T6" i="178"/>
  <c r="G6" i="178"/>
  <c r="L7" i="178"/>
  <c r="T5" i="178"/>
  <c r="G5" i="178"/>
  <c r="P2" i="178"/>
  <c r="R2" i="178" s="1"/>
  <c r="S2" i="178" s="1"/>
  <c r="O10" i="178" l="1"/>
  <c r="M10" i="178"/>
  <c r="N29" i="178"/>
  <c r="M29" i="178"/>
  <c r="N31" i="178"/>
  <c r="P31" i="178"/>
  <c r="O31" i="178"/>
  <c r="M31" i="178"/>
  <c r="O15" i="178"/>
  <c r="N15" i="178"/>
  <c r="M15" i="178"/>
  <c r="O48" i="178"/>
  <c r="Q48" i="178"/>
  <c r="P48" i="178"/>
  <c r="M48" i="178"/>
  <c r="M12" i="178"/>
  <c r="O12" i="178"/>
  <c r="Q12" i="178"/>
  <c r="N43" i="178"/>
  <c r="M43" i="178"/>
  <c r="P11" i="178"/>
  <c r="M11" i="178"/>
  <c r="N13" i="178"/>
  <c r="P13" i="178"/>
  <c r="O25" i="178"/>
  <c r="N25" i="178"/>
  <c r="M25" i="178"/>
  <c r="P8" i="178"/>
  <c r="N8" i="178"/>
  <c r="N14" i="178"/>
  <c r="M14" i="178"/>
  <c r="K52" i="178"/>
  <c r="M52" i="178"/>
  <c r="N52" i="178"/>
  <c r="O28" i="178"/>
  <c r="N28" i="178"/>
  <c r="M28" i="178"/>
  <c r="N26" i="178"/>
  <c r="M26" i="178"/>
  <c r="Q28" i="178"/>
  <c r="P28" i="178"/>
  <c r="O30" i="178"/>
  <c r="M30" i="178"/>
  <c r="N30" i="178"/>
  <c r="H18" i="178"/>
  <c r="M18" i="178"/>
  <c r="O27" i="178"/>
  <c r="N27" i="178"/>
  <c r="M27" i="178"/>
  <c r="S49" i="178"/>
  <c r="L49" i="178"/>
  <c r="O49" i="178"/>
  <c r="P49" i="178"/>
  <c r="Q49" i="178"/>
  <c r="R49" i="178"/>
  <c r="M49" i="178"/>
  <c r="T10" i="178"/>
  <c r="Q50" i="178"/>
  <c r="L50" i="178"/>
  <c r="P50" i="178"/>
  <c r="N49" i="178"/>
  <c r="Q40" i="178"/>
  <c r="S53" i="178"/>
  <c r="T53" i="178" s="1"/>
  <c r="K24" i="178"/>
  <c r="L24" i="178"/>
  <c r="K98" i="178"/>
  <c r="G54" i="178"/>
  <c r="G63" i="178" s="1"/>
  <c r="T81" i="178"/>
  <c r="O40" i="178"/>
  <c r="K7" i="178"/>
  <c r="T7" i="178" s="1"/>
  <c r="T19" i="178"/>
  <c r="J43" i="178"/>
  <c r="J24" i="178"/>
  <c r="J63" i="178"/>
  <c r="J18" i="178"/>
  <c r="H55" i="178"/>
  <c r="T34" i="178"/>
  <c r="T62" i="178"/>
  <c r="K93" i="178"/>
  <c r="L93" i="178" s="1"/>
  <c r="M93" i="178" s="1"/>
  <c r="N93" i="178" s="1"/>
  <c r="O93" i="178" s="1"/>
  <c r="P93" i="178" s="1"/>
  <c r="Q93" i="178" s="1"/>
  <c r="R93" i="178" s="1"/>
  <c r="S93" i="178" s="1"/>
  <c r="K60" i="178"/>
  <c r="H60" i="178"/>
  <c r="G81" i="178"/>
  <c r="T16" i="178"/>
  <c r="O23" i="178"/>
  <c r="N23" i="178"/>
  <c r="T85" i="178"/>
  <c r="P23" i="178"/>
  <c r="I54" i="178"/>
  <c r="T54" i="178" s="1"/>
  <c r="I55" i="178"/>
  <c r="N40" i="178"/>
  <c r="L100" i="178"/>
  <c r="M100" i="178" s="1"/>
  <c r="L99" i="178"/>
  <c r="T29" i="178" l="1"/>
  <c r="N100" i="178"/>
  <c r="V62" i="205"/>
  <c r="T52" i="178"/>
  <c r="T8" i="178"/>
  <c r="T60" i="178"/>
  <c r="T55" i="178"/>
  <c r="T9" i="178"/>
  <c r="L63" i="178"/>
  <c r="T11" i="178"/>
  <c r="T50" i="178"/>
  <c r="T15" i="178"/>
  <c r="T40" i="178"/>
  <c r="T27" i="178"/>
  <c r="T25" i="178"/>
  <c r="T13" i="178"/>
  <c r="T93" i="178"/>
  <c r="T31" i="178"/>
  <c r="T23" i="178"/>
  <c r="T12" i="178"/>
  <c r="J64" i="178"/>
  <c r="J86" i="178" s="1"/>
  <c r="J87" i="178" s="1"/>
  <c r="T49" i="178"/>
  <c r="T18" i="178"/>
  <c r="T43" i="178"/>
  <c r="T24" i="178"/>
  <c r="H63" i="178"/>
  <c r="H64" i="178" s="1"/>
  <c r="I63" i="178"/>
  <c r="I64" i="178" s="1"/>
  <c r="I86" i="178" s="1"/>
  <c r="I87" i="178" s="1"/>
  <c r="T30" i="178"/>
  <c r="T26" i="178"/>
  <c r="K63" i="178"/>
  <c r="T48" i="178"/>
  <c r="M99" i="178"/>
  <c r="V61" i="205" s="1"/>
  <c r="L98" i="178"/>
  <c r="M63" i="178"/>
  <c r="T28" i="178"/>
  <c r="T14" i="178"/>
  <c r="H86" i="178" l="1"/>
  <c r="H87" i="178" s="1"/>
  <c r="X62" i="205"/>
  <c r="X61" i="205"/>
  <c r="O100" i="178"/>
  <c r="Y62" i="205"/>
  <c r="AA62" i="205" s="1"/>
  <c r="L64" i="178"/>
  <c r="M64" i="178"/>
  <c r="N99" i="178"/>
  <c r="Y61" i="205" s="1"/>
  <c r="AA61" i="205" s="1"/>
  <c r="M98" i="178"/>
  <c r="K64" i="178"/>
  <c r="O51" i="178"/>
  <c r="N63" i="178"/>
  <c r="N64" i="178" s="1"/>
  <c r="N86" i="178" s="1"/>
  <c r="N87" i="178" s="1"/>
  <c r="T47" i="178"/>
  <c r="H91" i="178" l="1"/>
  <c r="H101" i="178" s="1"/>
  <c r="M86" i="178"/>
  <c r="M87" i="178" s="1"/>
  <c r="P100" i="178"/>
  <c r="AB62" i="205"/>
  <c r="AD62" i="205" s="1"/>
  <c r="L86" i="178"/>
  <c r="L87" i="178" s="1"/>
  <c r="K86" i="178"/>
  <c r="N98" i="178"/>
  <c r="O99" i="178"/>
  <c r="AB61" i="205" s="1"/>
  <c r="AD61" i="205" s="1"/>
  <c r="P51" i="178"/>
  <c r="O63" i="178"/>
  <c r="O64" i="178" s="1"/>
  <c r="O86" i="178" s="1"/>
  <c r="O87" i="178" s="1"/>
  <c r="I91" i="178" l="1"/>
  <c r="I101" i="178" s="1"/>
  <c r="Q100" i="178"/>
  <c r="AE62" i="205"/>
  <c r="K87" i="178"/>
  <c r="M92" i="178" s="1"/>
  <c r="O98" i="178"/>
  <c r="P99" i="178"/>
  <c r="AE61" i="205" s="1"/>
  <c r="AG61" i="205" s="1"/>
  <c r="Q51" i="178"/>
  <c r="P63" i="178"/>
  <c r="P64" i="178" s="1"/>
  <c r="J91" i="178" l="1"/>
  <c r="J101" i="178" s="1"/>
  <c r="AG62" i="205"/>
  <c r="R100" i="178"/>
  <c r="AH62" i="205"/>
  <c r="AJ62" i="205" s="1"/>
  <c r="P86" i="178"/>
  <c r="P87" i="178" s="1"/>
  <c r="P98" i="178"/>
  <c r="Q99" i="178"/>
  <c r="AH61" i="205" s="1"/>
  <c r="AJ61" i="205" s="1"/>
  <c r="Q63" i="178"/>
  <c r="Q64" i="178" s="1"/>
  <c r="Q86" i="178" s="1"/>
  <c r="Q87" i="178" s="1"/>
  <c r="R51" i="178"/>
  <c r="K91" i="178" l="1"/>
  <c r="K101" i="178" s="1"/>
  <c r="S100" i="178"/>
  <c r="AK62" i="205"/>
  <c r="AM62" i="205" s="1"/>
  <c r="R63" i="178"/>
  <c r="R64" i="178" s="1"/>
  <c r="R86" i="178" s="1"/>
  <c r="R87" i="178" s="1"/>
  <c r="S51" i="178"/>
  <c r="Q98" i="178"/>
  <c r="R99" i="178"/>
  <c r="AK61" i="205" s="1"/>
  <c r="AM61" i="205" s="1"/>
  <c r="L91" i="178" l="1"/>
  <c r="L101" i="178" s="1"/>
  <c r="AN62" i="205"/>
  <c r="AP62" i="205" s="1"/>
  <c r="T100" i="178"/>
  <c r="AW62" i="205"/>
  <c r="AX62" i="205" s="1"/>
  <c r="S63" i="178"/>
  <c r="S64" i="178" s="1"/>
  <c r="S86" i="178" s="1"/>
  <c r="T51" i="178"/>
  <c r="T63" i="178" s="1"/>
  <c r="T64" i="178" s="1"/>
  <c r="S99" i="178"/>
  <c r="AN61" i="205" s="1"/>
  <c r="R98" i="178"/>
  <c r="N92" i="178" l="1"/>
  <c r="V28" i="205"/>
  <c r="X28" i="205" s="1"/>
  <c r="M91" i="178"/>
  <c r="M101" i="178" s="1"/>
  <c r="AP61" i="205"/>
  <c r="AW61" i="205"/>
  <c r="AX61" i="205" s="1"/>
  <c r="T65" i="178"/>
  <c r="S98" i="178"/>
  <c r="T98" i="178" s="1"/>
  <c r="T99" i="178"/>
  <c r="S87" i="178"/>
  <c r="T86" i="178"/>
  <c r="T87" i="178" s="1"/>
  <c r="Y28" i="205" l="1"/>
  <c r="AA28" i="205" s="1"/>
  <c r="O92" i="178"/>
  <c r="N91" i="178"/>
  <c r="N101" i="178" s="1"/>
  <c r="T88" i="178"/>
  <c r="AB28" i="205" l="1"/>
  <c r="AD28" i="205" s="1"/>
  <c r="P92" i="178"/>
  <c r="O91" i="178"/>
  <c r="O101" i="178" s="1"/>
  <c r="AE28" i="205" l="1"/>
  <c r="AG28" i="205" s="1"/>
  <c r="Q92" i="178"/>
  <c r="P91" i="178"/>
  <c r="P101" i="178" s="1"/>
  <c r="AH28" i="205" l="1"/>
  <c r="AJ28" i="205" s="1"/>
  <c r="R92" i="178"/>
  <c r="Q91" i="178"/>
  <c r="Q101" i="178" s="1"/>
  <c r="AK28" i="205" l="1"/>
  <c r="AM28" i="205" s="1"/>
  <c r="S92" i="178"/>
  <c r="R91" i="178"/>
  <c r="R101" i="178" s="1"/>
  <c r="L34" i="58"/>
  <c r="M34" i="58"/>
  <c r="N34" i="58"/>
  <c r="O34" i="58"/>
  <c r="P34" i="58"/>
  <c r="Q34" i="58"/>
  <c r="R34" i="58"/>
  <c r="S34" i="58"/>
  <c r="T34" i="58"/>
  <c r="U34" i="58"/>
  <c r="V34" i="58"/>
  <c r="W34" i="58"/>
  <c r="L45" i="58"/>
  <c r="M45" i="58"/>
  <c r="N45" i="58"/>
  <c r="O45" i="58"/>
  <c r="P45" i="58"/>
  <c r="Q45" i="58"/>
  <c r="R45" i="58"/>
  <c r="S45" i="58"/>
  <c r="T45" i="58"/>
  <c r="U45" i="58"/>
  <c r="V45" i="58"/>
  <c r="W45" i="58"/>
  <c r="L48" i="58"/>
  <c r="M48" i="58"/>
  <c r="N48" i="58"/>
  <c r="O48" i="58"/>
  <c r="L54" i="58"/>
  <c r="M54" i="58"/>
  <c r="N54" i="58"/>
  <c r="AN28" i="205" l="1"/>
  <c r="S91" i="178"/>
  <c r="S101" i="178" s="1"/>
  <c r="T92" i="178"/>
  <c r="T91" i="178" s="1"/>
  <c r="T101" i="178" s="1"/>
  <c r="R4" i="119"/>
  <c r="P4" i="119"/>
  <c r="T4" i="119"/>
  <c r="R5" i="119"/>
  <c r="T5" i="119"/>
  <c r="B7" i="119"/>
  <c r="C7" i="119"/>
  <c r="D7" i="119"/>
  <c r="E7" i="119"/>
  <c r="F7" i="119"/>
  <c r="G7" i="119"/>
  <c r="H7" i="119"/>
  <c r="I7" i="119"/>
  <c r="J7" i="119"/>
  <c r="K7" i="119"/>
  <c r="L7" i="119"/>
  <c r="M7" i="119"/>
  <c r="N7" i="119"/>
  <c r="N10" i="119"/>
  <c r="B11" i="119"/>
  <c r="C11" i="119"/>
  <c r="D11" i="119"/>
  <c r="E11" i="119"/>
  <c r="F11" i="119"/>
  <c r="G11" i="119"/>
  <c r="N12" i="119"/>
  <c r="J117" i="58"/>
  <c r="K117" i="58"/>
  <c r="G117" i="58"/>
  <c r="T102" i="178" l="1"/>
  <c r="AW28" i="205"/>
  <c r="AX28" i="205" s="1"/>
  <c r="AP28" i="205"/>
  <c r="N11" i="119"/>
  <c r="I8" i="119"/>
  <c r="I24" i="119" s="1"/>
  <c r="M16" i="119"/>
  <c r="G18" i="119"/>
  <c r="F18" i="119"/>
  <c r="H18" i="119"/>
  <c r="J16" i="119"/>
  <c r="K16" i="119"/>
  <c r="L16" i="119"/>
  <c r="C18" i="119"/>
  <c r="H16" i="119"/>
  <c r="B16" i="119"/>
  <c r="E18" i="119"/>
  <c r="I16" i="119"/>
  <c r="D18" i="119"/>
  <c r="D16" i="119"/>
  <c r="G17" i="119"/>
  <c r="F17" i="119"/>
  <c r="F19" i="119" s="1"/>
  <c r="D17" i="119"/>
  <c r="K18" i="119"/>
  <c r="C17" i="119"/>
  <c r="K8" i="119"/>
  <c r="K24" i="119" s="1"/>
  <c r="G16" i="119"/>
  <c r="B18" i="119"/>
  <c r="E16" i="119"/>
  <c r="K17" i="119"/>
  <c r="J17" i="119"/>
  <c r="I17" i="119"/>
  <c r="M18" i="119"/>
  <c r="E17" i="119"/>
  <c r="L18" i="119"/>
  <c r="J18" i="119"/>
  <c r="B17" i="119"/>
  <c r="H8" i="119"/>
  <c r="H24" i="119" s="1"/>
  <c r="F16" i="119"/>
  <c r="M17" i="119"/>
  <c r="L17" i="119"/>
  <c r="C16" i="119"/>
  <c r="H17" i="119"/>
  <c r="I18" i="119"/>
  <c r="G8" i="119"/>
  <c r="G13" i="119" s="1"/>
  <c r="J8" i="119"/>
  <c r="J24" i="119" s="1"/>
  <c r="D8" i="119"/>
  <c r="D24" i="119" s="1"/>
  <c r="C8" i="119"/>
  <c r="C13" i="119" s="1"/>
  <c r="C14" i="119" s="1"/>
  <c r="B8" i="119"/>
  <c r="B13" i="119" s="1"/>
  <c r="B14" i="119" s="1"/>
  <c r="L8" i="119"/>
  <c r="F8" i="119"/>
  <c r="F24" i="119" s="1"/>
  <c r="E8" i="119"/>
  <c r="E13" i="119" s="1"/>
  <c r="M8" i="119"/>
  <c r="I13" i="119"/>
  <c r="G19" i="119" l="1"/>
  <c r="C19" i="119"/>
  <c r="E24" i="119"/>
  <c r="F13" i="119"/>
  <c r="F22" i="119" s="1"/>
  <c r="H19" i="119"/>
  <c r="H21" i="119" s="1"/>
  <c r="H25" i="119" s="1"/>
  <c r="H26" i="119" s="1"/>
  <c r="K13" i="119"/>
  <c r="K14" i="119" s="1"/>
  <c r="D19" i="119"/>
  <c r="D21" i="119" s="1"/>
  <c r="D25" i="119" s="1"/>
  <c r="D26" i="119" s="1"/>
  <c r="L19" i="119"/>
  <c r="N18" i="119"/>
  <c r="J19" i="119"/>
  <c r="J21" i="119" s="1"/>
  <c r="J25" i="119" s="1"/>
  <c r="J26" i="119" s="1"/>
  <c r="E19" i="119"/>
  <c r="E21" i="119" s="1"/>
  <c r="E25" i="119" s="1"/>
  <c r="E26" i="119" s="1"/>
  <c r="I19" i="119"/>
  <c r="I22" i="119" s="1"/>
  <c r="K19" i="119"/>
  <c r="B24" i="119"/>
  <c r="M19" i="119"/>
  <c r="B19" i="119"/>
  <c r="C22" i="119"/>
  <c r="N17" i="119"/>
  <c r="N16" i="119"/>
  <c r="C24" i="119"/>
  <c r="C21" i="119" s="1"/>
  <c r="D13" i="119"/>
  <c r="H13" i="119"/>
  <c r="H14" i="119" s="1"/>
  <c r="J13" i="119"/>
  <c r="G24" i="119"/>
  <c r="G21" i="119" s="1"/>
  <c r="L13" i="119"/>
  <c r="L24" i="119"/>
  <c r="N8" i="119"/>
  <c r="M24" i="119"/>
  <c r="M13" i="119"/>
  <c r="F21" i="119"/>
  <c r="F25" i="119" s="1"/>
  <c r="F26" i="119" s="1"/>
  <c r="G22" i="119"/>
  <c r="G14" i="119"/>
  <c r="I14" i="119"/>
  <c r="E14" i="119"/>
  <c r="F14" i="119" l="1"/>
  <c r="E22" i="119"/>
  <c r="E23" i="119" s="1"/>
  <c r="H22" i="119"/>
  <c r="I21" i="119"/>
  <c r="I25" i="119" s="1"/>
  <c r="I26" i="119" s="1"/>
  <c r="D22" i="119"/>
  <c r="D23" i="119" s="1"/>
  <c r="C23" i="119"/>
  <c r="J22" i="119"/>
  <c r="J23" i="119" s="1"/>
  <c r="L21" i="119"/>
  <c r="L25" i="119" s="1"/>
  <c r="L26" i="119" s="1"/>
  <c r="B21" i="119"/>
  <c r="B25" i="119" s="1"/>
  <c r="B26" i="119" s="1"/>
  <c r="K22" i="119"/>
  <c r="K21" i="119"/>
  <c r="K25" i="119" s="1"/>
  <c r="K26" i="119" s="1"/>
  <c r="H23" i="119"/>
  <c r="D14" i="119"/>
  <c r="C25" i="119"/>
  <c r="C26" i="119" s="1"/>
  <c r="N19" i="119"/>
  <c r="B22" i="119"/>
  <c r="G23" i="119"/>
  <c r="G25" i="119"/>
  <c r="G26" i="119" s="1"/>
  <c r="J14" i="119"/>
  <c r="L14" i="119"/>
  <c r="L22" i="119"/>
  <c r="N24" i="119"/>
  <c r="N13" i="119"/>
  <c r="M14" i="119"/>
  <c r="M22" i="119"/>
  <c r="M21" i="119"/>
  <c r="M25" i="119" s="1"/>
  <c r="F23" i="119"/>
  <c r="I23" i="119" l="1"/>
  <c r="L23" i="119"/>
  <c r="K23" i="119"/>
  <c r="B23" i="119"/>
  <c r="N14" i="119"/>
  <c r="N21" i="119"/>
  <c r="M26" i="119"/>
  <c r="N26" i="119" s="1"/>
  <c r="N28" i="119" s="1"/>
  <c r="N25" i="119"/>
  <c r="M23" i="119"/>
  <c r="S301" i="110" l="1"/>
  <c r="T301" i="110" s="1"/>
  <c r="U301" i="110" s="1"/>
  <c r="K43" i="181" l="1"/>
  <c r="T19" i="181"/>
  <c r="S19" i="181"/>
  <c r="R19" i="181"/>
  <c r="Q19" i="181"/>
  <c r="P19" i="181"/>
  <c r="P42" i="181" s="1"/>
  <c r="O19" i="181"/>
  <c r="O42" i="181" s="1"/>
  <c r="N19" i="181"/>
  <c r="N42" i="181" s="1"/>
  <c r="M19" i="181"/>
  <c r="M42" i="181" s="1"/>
  <c r="M68" i="181" s="1"/>
  <c r="L19" i="181"/>
  <c r="K19" i="181"/>
  <c r="J19" i="181"/>
  <c r="I19" i="181"/>
  <c r="E19" i="181"/>
  <c r="F133" i="58"/>
  <c r="F132" i="58"/>
  <c r="T41" i="181"/>
  <c r="T43" i="181" s="1"/>
  <c r="S41" i="181"/>
  <c r="S43" i="181" s="1"/>
  <c r="R41" i="181"/>
  <c r="R43" i="181" s="1"/>
  <c r="Q41" i="181"/>
  <c r="Q43" i="181" s="1"/>
  <c r="P41" i="181"/>
  <c r="O41" i="181"/>
  <c r="N41" i="181"/>
  <c r="L41" i="181"/>
  <c r="L43" i="181" s="1"/>
  <c r="U71" i="181"/>
  <c r="G71" i="181"/>
  <c r="S34" i="124" a="1"/>
  <c r="S34" i="124" s="1"/>
  <c r="S60" i="124" a="1"/>
  <c r="S60" i="124" s="1"/>
  <c r="L35" i="133"/>
  <c r="M35" i="133"/>
  <c r="N43" i="181" l="1"/>
  <c r="N68" i="181"/>
  <c r="N69" i="181" s="1"/>
  <c r="O43" i="181"/>
  <c r="O68" i="181"/>
  <c r="O69" i="181" s="1"/>
  <c r="P43" i="181"/>
  <c r="P68" i="181"/>
  <c r="M43" i="181"/>
  <c r="U42" i="181"/>
  <c r="T20" i="181"/>
  <c r="T44" i="181" s="1"/>
  <c r="T70" i="181" s="1"/>
  <c r="T72" i="181" s="1"/>
  <c r="S20" i="181"/>
  <c r="S44" i="181" s="1"/>
  <c r="R20" i="181"/>
  <c r="R44" i="181" s="1"/>
  <c r="Q20" i="181"/>
  <c r="Q44" i="181" s="1"/>
  <c r="P20" i="181"/>
  <c r="P44" i="181" s="1"/>
  <c r="O20" i="181"/>
  <c r="O44" i="181" s="1"/>
  <c r="N20" i="181"/>
  <c r="N44" i="181" s="1"/>
  <c r="M20" i="181"/>
  <c r="M44" i="181" s="1"/>
  <c r="L20" i="181"/>
  <c r="L44" i="181" s="1"/>
  <c r="K20" i="181"/>
  <c r="J20" i="181"/>
  <c r="I20" i="181"/>
  <c r="E20" i="181"/>
  <c r="K70" i="181"/>
  <c r="K46" i="181"/>
  <c r="N282" i="58"/>
  <c r="M282" i="58"/>
  <c r="L282" i="58"/>
  <c r="N281" i="58"/>
  <c r="M281" i="58"/>
  <c r="L281" i="58"/>
  <c r="N280" i="58"/>
  <c r="M280" i="58"/>
  <c r="L280" i="58"/>
  <c r="F285" i="58"/>
  <c r="L285" i="58"/>
  <c r="L284" i="58"/>
  <c r="L283" i="58"/>
  <c r="O284" i="58"/>
  <c r="U68" i="181" l="1"/>
  <c r="P69" i="181"/>
  <c r="P70" i="181"/>
  <c r="P72" i="181" s="1"/>
  <c r="P46" i="181"/>
  <c r="R70" i="181"/>
  <c r="R72" i="181" s="1"/>
  <c r="R46" i="181"/>
  <c r="S70" i="181"/>
  <c r="S72" i="181" s="1"/>
  <c r="S46" i="181"/>
  <c r="M70" i="181"/>
  <c r="M72" i="181" s="1"/>
  <c r="M46" i="181"/>
  <c r="Q70" i="181"/>
  <c r="Q72" i="181" s="1"/>
  <c r="Q46" i="181"/>
  <c r="N70" i="181"/>
  <c r="N72" i="181" s="1"/>
  <c r="N46" i="181"/>
  <c r="L46" i="181"/>
  <c r="L70" i="181"/>
  <c r="L72" i="181" s="1"/>
  <c r="O46" i="181"/>
  <c r="O70" i="181"/>
  <c r="O72" i="181" s="1"/>
  <c r="U20" i="181"/>
  <c r="T46" i="181"/>
  <c r="U44" i="181"/>
  <c r="N181" i="58"/>
  <c r="O102" i="58"/>
  <c r="N102" i="58"/>
  <c r="M102" i="58"/>
  <c r="L102" i="58"/>
  <c r="O82" i="58"/>
  <c r="N82" i="58"/>
  <c r="M82" i="58"/>
  <c r="L82" i="58"/>
  <c r="O93" i="58"/>
  <c r="N93" i="58"/>
  <c r="M93" i="58"/>
  <c r="O86" i="58"/>
  <c r="N86" i="58"/>
  <c r="M86" i="58"/>
  <c r="L86" i="58"/>
  <c r="L93" i="58"/>
  <c r="Q133" i="58"/>
  <c r="O77" i="58"/>
  <c r="N77" i="58"/>
  <c r="M77" i="58"/>
  <c r="L77" i="58"/>
  <c r="N94" i="58" l="1"/>
  <c r="U46" i="181"/>
  <c r="L94" i="58"/>
  <c r="M94" i="58"/>
  <c r="O94" i="58"/>
  <c r="X77" i="58"/>
  <c r="O75" i="58" l="1"/>
  <c r="N75" i="58"/>
  <c r="M75" i="58"/>
  <c r="L75" i="58"/>
  <c r="O67" i="58"/>
  <c r="N67" i="58"/>
  <c r="M67" i="58"/>
  <c r="L67" i="58"/>
  <c r="W59" i="58"/>
  <c r="V59" i="58"/>
  <c r="U59" i="58"/>
  <c r="T59" i="58"/>
  <c r="S59" i="58"/>
  <c r="R59" i="58"/>
  <c r="Q59" i="58"/>
  <c r="P59" i="58"/>
  <c r="O59" i="58"/>
  <c r="N59" i="58"/>
  <c r="M59" i="58"/>
  <c r="L59" i="58"/>
  <c r="L78" i="58" l="1"/>
  <c r="M78" i="58"/>
  <c r="N78" i="58"/>
  <c r="O78" i="58"/>
  <c r="L60" i="58"/>
  <c r="L103" i="58" s="1"/>
  <c r="O60" i="58"/>
  <c r="P60" i="58"/>
  <c r="P103" i="58" s="1"/>
  <c r="R60" i="58"/>
  <c r="R103" i="58" s="1"/>
  <c r="W60" i="58"/>
  <c r="W103" i="58" s="1"/>
  <c r="V60" i="58"/>
  <c r="V103" i="58" s="1"/>
  <c r="M60" i="58"/>
  <c r="N60" i="58"/>
  <c r="Q60" i="58"/>
  <c r="Q103" i="58" s="1"/>
  <c r="S60" i="58"/>
  <c r="S103" i="58" s="1"/>
  <c r="T60" i="58"/>
  <c r="T103" i="58" s="1"/>
  <c r="U60" i="58"/>
  <c r="U103" i="58" s="1"/>
  <c r="O103" i="58" l="1"/>
  <c r="M103" i="58"/>
  <c r="N103" i="58"/>
  <c r="N185" i="58" l="1"/>
  <c r="M161" i="58" l="1"/>
  <c r="M163" i="58" s="1"/>
  <c r="N161" i="58"/>
  <c r="N163" i="58" s="1"/>
  <c r="C70" i="133" l="1"/>
  <c r="E70" i="133" s="1"/>
  <c r="C71" i="133"/>
  <c r="C72" i="133"/>
  <c r="C73" i="133"/>
  <c r="C74" i="133"/>
  <c r="N15" i="26" l="1"/>
  <c r="G67" i="35" l="1"/>
  <c r="I67" i="35" l="1"/>
  <c r="V67" i="35" s="1"/>
  <c r="U41" i="181" l="1"/>
  <c r="H67" i="181"/>
  <c r="M67" i="181" s="1"/>
  <c r="M69" i="181" s="1"/>
  <c r="H58" i="181"/>
  <c r="K58" i="181" s="1"/>
  <c r="U43" i="181" l="1"/>
  <c r="L67" i="181"/>
  <c r="L69" i="181" s="1"/>
  <c r="K67" i="181"/>
  <c r="K69" i="181" s="1"/>
  <c r="X13" i="58"/>
  <c r="D6" i="26"/>
  <c r="D5" i="26" s="1"/>
  <c r="N37" i="205" s="1"/>
  <c r="O37" i="205" l="1"/>
  <c r="N38" i="205"/>
  <c r="U67" i="181"/>
  <c r="U69" i="181" s="1"/>
  <c r="C32" i="203"/>
  <c r="V69" i="181" l="1"/>
  <c r="N287" i="58"/>
  <c r="N239" i="58"/>
  <c r="N286" i="58" s="1"/>
  <c r="Z24" i="203" l="1"/>
  <c r="D22" i="203"/>
  <c r="K45" i="203" l="1"/>
  <c r="D44" i="203"/>
  <c r="D43" i="203"/>
  <c r="D42" i="203"/>
  <c r="D41" i="203"/>
  <c r="D40" i="203"/>
  <c r="D39" i="203"/>
  <c r="D38" i="203"/>
  <c r="D37" i="203"/>
  <c r="D36" i="203"/>
  <c r="D35" i="203"/>
  <c r="D34" i="203"/>
  <c r="D33" i="203"/>
  <c r="D32" i="203"/>
  <c r="D30" i="203"/>
  <c r="D29" i="203"/>
  <c r="D28" i="203"/>
  <c r="D27" i="203"/>
  <c r="L26" i="203"/>
  <c r="L45" i="203" s="1"/>
  <c r="D26" i="203"/>
  <c r="D25" i="203"/>
  <c r="D24" i="203"/>
  <c r="D23" i="203"/>
  <c r="D21" i="203"/>
  <c r="D20" i="203"/>
  <c r="D19" i="203"/>
  <c r="D18" i="203"/>
  <c r="D17" i="203"/>
  <c r="D16" i="203"/>
  <c r="D15" i="203"/>
  <c r="D14" i="203"/>
  <c r="Q11" i="203"/>
  <c r="P11" i="203"/>
  <c r="O11" i="203"/>
  <c r="N11" i="203"/>
  <c r="M11" i="203"/>
  <c r="L11" i="203"/>
  <c r="D11" i="203"/>
  <c r="C11" i="203"/>
  <c r="AA8" i="203"/>
  <c r="L5" i="203"/>
  <c r="M5" i="203" s="1"/>
  <c r="N5" i="203" s="1"/>
  <c r="O5" i="203" s="1"/>
  <c r="P5" i="203" s="1"/>
  <c r="Q5" i="203" s="1"/>
  <c r="R5" i="203" s="1"/>
  <c r="S5" i="203" s="1"/>
  <c r="T5" i="203" s="1"/>
  <c r="U5" i="203" s="1"/>
  <c r="V5" i="203" s="1"/>
  <c r="K4" i="203"/>
  <c r="L4" i="203" s="1"/>
  <c r="M4" i="203" s="1"/>
  <c r="N4" i="203" s="1"/>
  <c r="O4" i="203" s="1"/>
  <c r="P4" i="203" s="1"/>
  <c r="Q4" i="203" s="1"/>
  <c r="R4" i="203" s="1"/>
  <c r="S4" i="203" s="1"/>
  <c r="T4" i="203" s="1"/>
  <c r="U4" i="203" s="1"/>
  <c r="V4" i="203" s="1"/>
  <c r="R3" i="203"/>
  <c r="S3" i="203" l="1"/>
  <c r="S11" i="203" s="1"/>
  <c r="R11" i="203"/>
  <c r="M26" i="203"/>
  <c r="N26" i="203" s="1"/>
  <c r="O26" i="203" s="1"/>
  <c r="N45" i="203" l="1"/>
  <c r="T3" i="203"/>
  <c r="T11" i="203" s="1"/>
  <c r="M45" i="203"/>
  <c r="O45" i="203"/>
  <c r="P26" i="203"/>
  <c r="U3" i="203" l="1"/>
  <c r="V3" i="203" s="1"/>
  <c r="V11" i="203" s="1"/>
  <c r="Q26" i="203"/>
  <c r="P45" i="203"/>
  <c r="U11" i="203" l="1"/>
  <c r="R26" i="203"/>
  <c r="Q45" i="203"/>
  <c r="S26" i="203" l="1"/>
  <c r="R45" i="203"/>
  <c r="S45" i="203" l="1"/>
  <c r="T26" i="203"/>
  <c r="U26" i="203" l="1"/>
  <c r="T45" i="203"/>
  <c r="U45" i="203" l="1"/>
  <c r="V26" i="203"/>
  <c r="V45" i="203" s="1"/>
  <c r="C13" i="26" l="1"/>
  <c r="D57" i="138" l="1"/>
  <c r="D32" i="138" l="1"/>
  <c r="D28" i="138"/>
  <c r="D52" i="138" s="1"/>
  <c r="M288" i="58"/>
  <c r="M224" i="58"/>
  <c r="M124" i="58"/>
  <c r="M123" i="58"/>
  <c r="M122" i="58"/>
  <c r="M121" i="58"/>
  <c r="M120" i="58"/>
  <c r="M119" i="58"/>
  <c r="G115" i="58" l="1"/>
  <c r="G111" i="58"/>
  <c r="G110" i="58"/>
  <c r="G109" i="58"/>
  <c r="W158" i="137"/>
  <c r="V158" i="137"/>
  <c r="U158" i="137"/>
  <c r="T158" i="137"/>
  <c r="S158" i="137"/>
  <c r="R158" i="137"/>
  <c r="Q158" i="137"/>
  <c r="P158" i="137"/>
  <c r="O158" i="137"/>
  <c r="N158" i="137"/>
  <c r="M158" i="137"/>
  <c r="L158" i="137"/>
  <c r="W159" i="137"/>
  <c r="V159" i="137"/>
  <c r="U159" i="137"/>
  <c r="T159" i="137"/>
  <c r="S159" i="137"/>
  <c r="R159" i="137"/>
  <c r="Q159" i="137"/>
  <c r="P159" i="137"/>
  <c r="O159" i="137"/>
  <c r="N159" i="137"/>
  <c r="M159" i="137"/>
  <c r="L159" i="137"/>
  <c r="V143" i="137"/>
  <c r="U143" i="137"/>
  <c r="T143" i="137"/>
  <c r="S143" i="137"/>
  <c r="R143" i="137"/>
  <c r="Q143" i="137"/>
  <c r="P143" i="137"/>
  <c r="O143" i="137"/>
  <c r="N143" i="137"/>
  <c r="M143" i="137"/>
  <c r="L143" i="137"/>
  <c r="K267" i="110"/>
  <c r="L267" i="110" s="1"/>
  <c r="M267" i="110" s="1"/>
  <c r="N267" i="110" s="1"/>
  <c r="O267" i="110" s="1"/>
  <c r="P267" i="110" s="1"/>
  <c r="Q267" i="110" s="1"/>
  <c r="R267" i="110" s="1"/>
  <c r="S267" i="110" s="1"/>
  <c r="T267" i="110" s="1"/>
  <c r="U267" i="110" s="1"/>
  <c r="H61" i="181"/>
  <c r="E70" i="124"/>
  <c r="E69" i="124"/>
  <c r="G68" i="124"/>
  <c r="G67" i="124"/>
  <c r="W109" i="58" l="1"/>
  <c r="T109" i="58"/>
  <c r="V109" i="58"/>
  <c r="S109" i="58"/>
  <c r="U109" i="58"/>
  <c r="R68" i="124"/>
  <c r="W21" i="58" l="1"/>
  <c r="V21" i="58"/>
  <c r="U21" i="58"/>
  <c r="T21" i="58"/>
  <c r="S21" i="58"/>
  <c r="R21" i="58"/>
  <c r="Q21" i="58"/>
  <c r="P21" i="58"/>
  <c r="O21" i="58"/>
  <c r="N21" i="58"/>
  <c r="M21" i="58"/>
  <c r="L21" i="58"/>
  <c r="W14" i="58"/>
  <c r="V14" i="58"/>
  <c r="U14" i="58"/>
  <c r="T14" i="58"/>
  <c r="S14" i="58"/>
  <c r="R14" i="58"/>
  <c r="Q14" i="58"/>
  <c r="P14" i="58"/>
  <c r="O12" i="58"/>
  <c r="O14" i="58" s="1"/>
  <c r="N12" i="58"/>
  <c r="N14" i="58" s="1"/>
  <c r="M12" i="58"/>
  <c r="M14" i="58" s="1"/>
  <c r="L12" i="58"/>
  <c r="L14" i="58" s="1"/>
  <c r="S22" i="58" l="1"/>
  <c r="S105" i="58" s="1"/>
  <c r="L22" i="58"/>
  <c r="L105" i="58" s="1"/>
  <c r="T22" i="58"/>
  <c r="T105" i="58" s="1"/>
  <c r="N22" i="58"/>
  <c r="N105" i="58" s="1"/>
  <c r="O22" i="58"/>
  <c r="P22" i="58"/>
  <c r="P105" i="58" s="1"/>
  <c r="Q22" i="58"/>
  <c r="Q105" i="58" s="1"/>
  <c r="M22" i="58"/>
  <c r="M105" i="58" s="1"/>
  <c r="U22" i="58"/>
  <c r="U105" i="58" s="1"/>
  <c r="V22" i="58"/>
  <c r="V105" i="58" s="1"/>
  <c r="W22" i="58"/>
  <c r="W105" i="58" s="1"/>
  <c r="R22" i="58"/>
  <c r="R105" i="58" s="1"/>
  <c r="X12" i="58"/>
  <c r="X21" i="58"/>
  <c r="O105" i="58" l="1"/>
  <c r="X22" i="58"/>
  <c r="Y21" i="58"/>
  <c r="S15" i="35" l="1"/>
  <c r="O283" i="110" l="1"/>
  <c r="P283" i="110" s="1"/>
  <c r="Q283" i="110" s="1"/>
  <c r="R283" i="110" s="1"/>
  <c r="S283" i="110" s="1"/>
  <c r="T283" i="110" s="1"/>
  <c r="U283" i="110" s="1"/>
  <c r="C31" i="203" l="1"/>
  <c r="D31" i="203" s="1"/>
  <c r="D45" i="203" s="1"/>
  <c r="G22" i="138"/>
  <c r="H35" i="133" l="1"/>
  <c r="J19" i="133" l="1"/>
  <c r="K19" i="133" s="1"/>
  <c r="M19" i="133" s="1"/>
  <c r="N19" i="133" s="1"/>
  <c r="P19" i="133" s="1"/>
  <c r="Q19" i="133" s="1"/>
  <c r="P286" i="110"/>
  <c r="Q286" i="110" s="1"/>
  <c r="K286" i="110"/>
  <c r="L286" i="110" s="1"/>
  <c r="L283" i="110"/>
  <c r="K280" i="110"/>
  <c r="G442" i="110"/>
  <c r="G441" i="110"/>
  <c r="G440" i="110"/>
  <c r="G439" i="110"/>
  <c r="G438" i="110"/>
  <c r="G437" i="110"/>
  <c r="G436" i="110"/>
  <c r="G430" i="110"/>
  <c r="G429" i="110"/>
  <c r="G428" i="110"/>
  <c r="G427" i="110"/>
  <c r="G426" i="110"/>
  <c r="G425" i="110"/>
  <c r="G424" i="110"/>
  <c r="G418" i="110"/>
  <c r="G417" i="110"/>
  <c r="G416" i="110"/>
  <c r="G415" i="110"/>
  <c r="G414" i="110"/>
  <c r="G413" i="110"/>
  <c r="G412" i="110"/>
  <c r="M286" i="110" l="1"/>
  <c r="R286" i="110"/>
  <c r="M283" i="110"/>
  <c r="L280" i="110"/>
  <c r="S286" i="110" l="1"/>
  <c r="N286" i="110"/>
  <c r="N280" i="110" l="1"/>
  <c r="O280" i="110" s="1"/>
  <c r="P280" i="110" s="1"/>
  <c r="Q280" i="110" s="1"/>
  <c r="R280" i="110" s="1"/>
  <c r="S280" i="110" s="1"/>
  <c r="T280" i="110" s="1"/>
  <c r="U280" i="110" s="1"/>
  <c r="T286" i="110"/>
  <c r="U286" i="110" l="1"/>
  <c r="V283" i="110"/>
  <c r="V280" i="110" l="1"/>
  <c r="V286" i="110"/>
  <c r="L328" i="58" l="1"/>
  <c r="L368" i="58" s="1"/>
  <c r="AB6" i="58"/>
  <c r="AB7" i="58" s="1"/>
  <c r="AB8" i="58" s="1"/>
  <c r="AB9" i="58" s="1"/>
  <c r="AB10" i="58" s="1"/>
  <c r="AB11" i="58" s="1"/>
  <c r="AB13" i="58" s="1"/>
  <c r="AC6" i="58"/>
  <c r="AC7" i="58" s="1"/>
  <c r="AC8" i="58" s="1"/>
  <c r="AC9" i="58" s="1"/>
  <c r="AC10" i="58" s="1"/>
  <c r="AC11" i="58" s="1"/>
  <c r="AC13" i="58" s="1"/>
  <c r="AB16" i="58"/>
  <c r="AB17" i="58" s="1"/>
  <c r="AB18" i="58" s="1"/>
  <c r="AB19" i="58" s="1"/>
  <c r="AB20" i="58" s="1"/>
  <c r="AC16" i="58"/>
  <c r="AC17" i="58" s="1"/>
  <c r="AC18" i="58" s="1"/>
  <c r="AC19" i="58" s="1"/>
  <c r="AC20" i="58" s="1"/>
  <c r="AC24" i="58"/>
  <c r="AC25" i="58" s="1"/>
  <c r="AC26" i="58" s="1"/>
  <c r="AC27" i="58" s="1"/>
  <c r="AC28" i="58" s="1"/>
  <c r="AC29" i="58" s="1"/>
  <c r="AC30" i="58" s="1"/>
  <c r="AC31" i="58" s="1"/>
  <c r="AC32" i="58" s="1"/>
  <c r="AC33" i="58" s="1"/>
  <c r="AC36" i="58"/>
  <c r="AC37" i="58" s="1"/>
  <c r="AC38" i="58" s="1"/>
  <c r="AC39" i="58" s="1"/>
  <c r="AC40" i="58" s="1"/>
  <c r="AC41" i="58" s="1"/>
  <c r="AC42" i="58" s="1"/>
  <c r="AC43" i="58" s="1"/>
  <c r="AC44" i="58" s="1"/>
  <c r="AC47" i="58"/>
  <c r="AC50" i="58"/>
  <c r="AC51" i="58" s="1"/>
  <c r="AC52" i="58" s="1"/>
  <c r="AB24" i="58"/>
  <c r="AB25" i="58" s="1"/>
  <c r="AB26" i="58" s="1"/>
  <c r="AB27" i="58" s="1"/>
  <c r="AB28" i="58" s="1"/>
  <c r="AB29" i="58" s="1"/>
  <c r="AB30" i="58" s="1"/>
  <c r="AB31" i="58" s="1"/>
  <c r="AB32" i="58" s="1"/>
  <c r="AB33" i="58" s="1"/>
  <c r="AB35" i="58" s="1"/>
  <c r="AB36" i="58" s="1"/>
  <c r="AB37" i="58" s="1"/>
  <c r="AB38" i="58" s="1"/>
  <c r="AB39" i="58" s="1"/>
  <c r="AB40" i="58" s="1"/>
  <c r="AB41" i="58" s="1"/>
  <c r="AB42" i="58" s="1"/>
  <c r="AB43" i="58" s="1"/>
  <c r="AB44" i="58" s="1"/>
  <c r="AB46" i="58" s="1"/>
  <c r="AB47" i="58" s="1"/>
  <c r="AB49" i="58" s="1"/>
  <c r="AB50" i="58" s="1"/>
  <c r="AB51" i="58" s="1"/>
  <c r="AB52" i="58" s="1"/>
  <c r="AB55" i="58" s="1"/>
  <c r="AB56" i="58" s="1"/>
  <c r="AB57" i="58" s="1"/>
  <c r="AB58" i="58" s="1"/>
  <c r="AC56" i="58"/>
  <c r="AC57" i="58" s="1"/>
  <c r="AC58" i="58" s="1"/>
  <c r="AC62" i="58"/>
  <c r="AC63" i="58" s="1"/>
  <c r="AC64" i="58" s="1"/>
  <c r="AC65" i="58" s="1"/>
  <c r="AC66" i="58" s="1"/>
  <c r="AC69" i="58"/>
  <c r="AC70" i="58" s="1"/>
  <c r="AC71" i="58" s="1"/>
  <c r="AC72" i="58" s="1"/>
  <c r="AC74" i="58" s="1"/>
  <c r="AB62" i="58"/>
  <c r="AB63" i="58" s="1"/>
  <c r="AB64" i="58" s="1"/>
  <c r="AB65" i="58" s="1"/>
  <c r="AB66" i="58" s="1"/>
  <c r="AB68" i="58" s="1"/>
  <c r="AB69" i="58" s="1"/>
  <c r="AB70" i="58" s="1"/>
  <c r="AB71" i="58" s="1"/>
  <c r="AB72" i="58" s="1"/>
  <c r="AB74" i="58" s="1"/>
  <c r="AB76" i="58" s="1"/>
  <c r="AC80" i="58"/>
  <c r="AC81" i="58" s="1"/>
  <c r="AC84" i="58"/>
  <c r="AC85" i="58" s="1"/>
  <c r="AB80" i="58"/>
  <c r="AB81" i="58" s="1"/>
  <c r="AB83" i="58" s="1"/>
  <c r="AB84" i="58" s="1"/>
  <c r="AB85" i="58" s="1"/>
  <c r="AB87" i="58" s="1"/>
  <c r="AB88" i="58" s="1"/>
  <c r="AB89" i="58" s="1"/>
  <c r="AB90" i="58" s="1"/>
  <c r="AB91" i="58" s="1"/>
  <c r="AB92" i="58" s="1"/>
  <c r="AC89" i="58"/>
  <c r="AC90" i="58" s="1"/>
  <c r="AC91" i="58" s="1"/>
  <c r="AC92" i="58" s="1"/>
  <c r="AC96" i="58" s="1"/>
  <c r="AB96" i="58"/>
  <c r="AB106" i="58"/>
  <c r="AB107" i="58" s="1"/>
  <c r="AC106" i="58"/>
  <c r="AC107" i="58" s="1"/>
  <c r="AB120" i="58"/>
  <c r="AB121" i="58" s="1"/>
  <c r="AB122" i="58" s="1"/>
  <c r="AB123" i="58" s="1"/>
  <c r="AB124" i="58" s="1"/>
  <c r="AC120" i="58"/>
  <c r="AC121" i="58" s="1"/>
  <c r="AC122" i="58" s="1"/>
  <c r="AC123" i="58" s="1"/>
  <c r="AC124" i="58" s="1"/>
  <c r="AC128" i="58"/>
  <c r="AC129" i="58" s="1"/>
  <c r="AC130" i="58" s="1"/>
  <c r="AC131" i="58" s="1"/>
  <c r="AC132" i="58" s="1"/>
  <c r="AC133" i="58" s="1"/>
  <c r="AC134" i="58" s="1"/>
  <c r="AC135" i="58" s="1"/>
  <c r="AC136" i="58" s="1"/>
  <c r="AC137" i="58" s="1"/>
  <c r="AC140" i="58"/>
  <c r="AC141" i="58" s="1"/>
  <c r="AC142" i="58" s="1"/>
  <c r="AC143" i="58" s="1"/>
  <c r="AC144" i="58" s="1"/>
  <c r="AC145" i="58" s="1"/>
  <c r="AC146" i="58" s="1"/>
  <c r="AC147" i="58" s="1"/>
  <c r="AC148" i="58" s="1"/>
  <c r="AC151" i="58"/>
  <c r="AC154" i="58"/>
  <c r="AC155" i="58" s="1"/>
  <c r="AC156" i="58" s="1"/>
  <c r="AB128" i="58"/>
  <c r="AB129" i="58" s="1"/>
  <c r="AB130" i="58" s="1"/>
  <c r="AB131" i="58" s="1"/>
  <c r="AB132" i="58" s="1"/>
  <c r="AB133" i="58" s="1"/>
  <c r="AB134" i="58" s="1"/>
  <c r="AB135" i="58" s="1"/>
  <c r="AB136" i="58" s="1"/>
  <c r="AB137" i="58" s="1"/>
  <c r="AB139" i="58" s="1"/>
  <c r="AB140" i="58" s="1"/>
  <c r="AB141" i="58" s="1"/>
  <c r="AB142" i="58" s="1"/>
  <c r="AB143" i="58" s="1"/>
  <c r="AB144" i="58" s="1"/>
  <c r="AB145" i="58" s="1"/>
  <c r="AB146" i="58" s="1"/>
  <c r="AB147" i="58" s="1"/>
  <c r="AB148" i="58" s="1"/>
  <c r="AB150" i="58" s="1"/>
  <c r="AB151" i="58" s="1"/>
  <c r="AB153" i="58" s="1"/>
  <c r="AB154" i="58" s="1"/>
  <c r="AB155" i="58" s="1"/>
  <c r="AB156" i="58" s="1"/>
  <c r="AB159" i="58" s="1"/>
  <c r="AB160" i="58" s="1"/>
  <c r="AB161" i="58" s="1"/>
  <c r="AB162" i="58" s="1"/>
  <c r="AC160" i="58"/>
  <c r="AC161" i="58" s="1"/>
  <c r="AC162" i="58" s="1"/>
  <c r="AC166" i="58"/>
  <c r="AC167" i="58" s="1"/>
  <c r="AC168" i="58" s="1"/>
  <c r="AC169" i="58" s="1"/>
  <c r="AC170" i="58" s="1"/>
  <c r="AC173" i="58"/>
  <c r="AC174" i="58" s="1"/>
  <c r="AC175" i="58" s="1"/>
  <c r="AC176" i="58" s="1"/>
  <c r="AC178" i="58" s="1"/>
  <c r="AB166" i="58"/>
  <c r="AB167" i="58" s="1"/>
  <c r="AB168" i="58" s="1"/>
  <c r="AB169" i="58" s="1"/>
  <c r="AB170" i="58" s="1"/>
  <c r="AB172" i="58" s="1"/>
  <c r="AB173" i="58" s="1"/>
  <c r="AB174" i="58" s="1"/>
  <c r="AB175" i="58" s="1"/>
  <c r="AB176" i="58" s="1"/>
  <c r="AB178" i="58" s="1"/>
  <c r="AB180" i="58" s="1"/>
  <c r="AC184" i="58"/>
  <c r="AC185" i="58" s="1"/>
  <c r="AC188" i="58"/>
  <c r="AC189" i="58" s="1"/>
  <c r="AB184" i="58"/>
  <c r="AB185" i="58" s="1"/>
  <c r="AB187" i="58" s="1"/>
  <c r="AB188" i="58" s="1"/>
  <c r="AB189" i="58" s="1"/>
  <c r="AB191" i="58" s="1"/>
  <c r="AB192" i="58" s="1"/>
  <c r="AB193" i="58" s="1"/>
  <c r="AB194" i="58" s="1"/>
  <c r="AB195" i="58" s="1"/>
  <c r="AB196" i="58" s="1"/>
  <c r="AC193" i="58"/>
  <c r="AC194" i="58" s="1"/>
  <c r="AC195" i="58" s="1"/>
  <c r="AC196" i="58" s="1"/>
  <c r="AC200" i="58" s="1"/>
  <c r="AC201" i="58" s="1"/>
  <c r="AC208" i="58" s="1"/>
  <c r="AB200" i="58"/>
  <c r="AB201" i="58" s="1"/>
  <c r="AB208" i="58"/>
  <c r="AB211" i="58"/>
  <c r="AB212" i="58" s="1"/>
  <c r="AB213" i="58" s="1"/>
  <c r="AB214" i="58" s="1"/>
  <c r="AB215" i="58" s="1"/>
  <c r="AB216" i="58" s="1"/>
  <c r="AB217" i="58" s="1"/>
  <c r="AC211" i="58"/>
  <c r="AC212" i="58" s="1"/>
  <c r="AC213" i="58" s="1"/>
  <c r="AC214" i="58" s="1"/>
  <c r="AC215" i="58" s="1"/>
  <c r="AC216" i="58" s="1"/>
  <c r="AC217" i="58" s="1"/>
  <c r="AB219" i="58"/>
  <c r="AB220" i="58" s="1"/>
  <c r="AB221" i="58" s="1"/>
  <c r="AB222" i="58" s="1"/>
  <c r="AB223" i="58" s="1"/>
  <c r="AC219" i="58"/>
  <c r="AC220" i="58" s="1"/>
  <c r="AC221" i="58" s="1"/>
  <c r="AC222" i="58" s="1"/>
  <c r="AC223" i="58" s="1"/>
  <c r="AC247" i="58"/>
  <c r="AB226" i="58"/>
  <c r="AB227" i="58" s="1"/>
  <c r="AB228" i="58" s="1"/>
  <c r="AB229" i="58" s="1"/>
  <c r="AB230" i="58" s="1"/>
  <c r="AB231" i="58" s="1"/>
  <c r="AB232" i="58" s="1"/>
  <c r="AB233" i="58" s="1"/>
  <c r="AB234" i="58" s="1"/>
  <c r="AB235" i="58" s="1"/>
  <c r="AB236" i="58" s="1"/>
  <c r="AB237" i="58" s="1"/>
  <c r="AB238" i="58" s="1"/>
  <c r="AB239" i="58" s="1"/>
  <c r="AB240" i="58" s="1"/>
  <c r="AB241" i="58" s="1"/>
  <c r="AB242" i="58" s="1"/>
  <c r="AB243" i="58" s="1"/>
  <c r="AB244" i="58" s="1"/>
  <c r="AB245" i="58" s="1"/>
  <c r="AB246" i="58" s="1"/>
  <c r="AB247" i="58" s="1"/>
  <c r="AB248" i="58" s="1"/>
  <c r="AB249" i="58" s="1"/>
  <c r="AB250" i="58" s="1"/>
  <c r="AB251" i="58" s="1"/>
  <c r="AB253" i="58" s="1"/>
  <c r="AB254" i="58" s="1"/>
  <c r="AB255" i="58" s="1"/>
  <c r="AB256" i="58" s="1"/>
  <c r="AB258" i="58"/>
  <c r="AB259" i="58" s="1"/>
  <c r="AB260" i="58" s="1"/>
  <c r="AB261" i="58" s="1"/>
  <c r="AB262" i="58" s="1"/>
  <c r="AB263" i="58" s="1"/>
  <c r="AB264" i="58" s="1"/>
  <c r="AB265" i="58" s="1"/>
  <c r="AB266" i="58" s="1"/>
  <c r="AB267" i="58" s="1"/>
  <c r="AB269" i="58" s="1"/>
  <c r="AB270" i="58" s="1"/>
  <c r="AB272" i="58"/>
  <c r="AB273" i="58" s="1"/>
  <c r="AB274" i="58" s="1"/>
  <c r="AB275" i="58" s="1"/>
  <c r="AB276" i="58" s="1"/>
  <c r="AB277" i="58" s="1"/>
  <c r="AB278" i="58" s="1"/>
  <c r="AB279" i="58" s="1"/>
  <c r="AB280" i="58" s="1"/>
  <c r="AB281" i="58" s="1"/>
  <c r="AB282" i="58" s="1"/>
  <c r="AB284" i="58"/>
  <c r="AC278" i="58"/>
  <c r="AC279" i="58" s="1"/>
  <c r="AC280" i="58" s="1"/>
  <c r="AC281" i="58" s="1"/>
  <c r="AC282" i="58" s="1"/>
  <c r="AC284" i="58" s="1"/>
  <c r="AC277" i="58"/>
  <c r="AC274" i="58"/>
  <c r="AC275" i="58" s="1"/>
  <c r="AC276" i="58" s="1"/>
  <c r="AC271" i="58"/>
  <c r="AC272" i="58" s="1"/>
  <c r="AC273" i="58" s="1"/>
  <c r="AC270" i="58"/>
  <c r="AC263" i="58"/>
  <c r="AC264" i="58" s="1"/>
  <c r="AC265" i="58" s="1"/>
  <c r="AC266" i="58" s="1"/>
  <c r="AC267" i="58" s="1"/>
  <c r="AC269" i="58" s="1"/>
  <c r="AC257" i="58"/>
  <c r="AC258" i="58" s="1"/>
  <c r="AC259" i="58" s="1"/>
  <c r="AC260" i="58" s="1"/>
  <c r="AC261" i="58" s="1"/>
  <c r="AC262" i="58" s="1"/>
  <c r="AC253" i="58"/>
  <c r="AC254" i="58" s="1"/>
  <c r="AC255" i="58" s="1"/>
  <c r="AC256" i="58" s="1"/>
  <c r="AC248" i="58"/>
  <c r="AC249" i="58" s="1"/>
  <c r="AC250" i="58" s="1"/>
  <c r="AC251" i="58" s="1"/>
  <c r="AC236" i="58"/>
  <c r="AC237" i="58" s="1"/>
  <c r="AC238" i="58" s="1"/>
  <c r="AC239" i="58" s="1"/>
  <c r="AC240" i="58" s="1"/>
  <c r="AC241" i="58" s="1"/>
  <c r="AC242" i="58" s="1"/>
  <c r="AC243" i="58" s="1"/>
  <c r="AC244" i="58" s="1"/>
  <c r="AC245" i="58" s="1"/>
  <c r="AC225" i="58"/>
  <c r="AC226" i="58" s="1"/>
  <c r="AC227" i="58" s="1"/>
  <c r="AC228" i="58" s="1"/>
  <c r="AC229" i="58" s="1"/>
  <c r="AC230" i="58" s="1"/>
  <c r="AC231" i="58" s="1"/>
  <c r="AC232" i="58" s="1"/>
  <c r="AC233" i="58" s="1"/>
  <c r="AC234" i="58" s="1"/>
  <c r="AC235" i="58" s="1"/>
  <c r="N284" i="58"/>
  <c r="N283" i="58"/>
  <c r="M196" i="58"/>
  <c r="M195" i="58"/>
  <c r="M194" i="58"/>
  <c r="M193" i="58"/>
  <c r="M192" i="58"/>
  <c r="M191" i="58"/>
  <c r="M189" i="58"/>
  <c r="M188" i="58"/>
  <c r="M187" i="58"/>
  <c r="M184" i="58"/>
  <c r="M183" i="58"/>
  <c r="M180" i="58"/>
  <c r="M181" i="58" s="1"/>
  <c r="M178" i="58"/>
  <c r="M176" i="58"/>
  <c r="M175" i="58"/>
  <c r="M174" i="58"/>
  <c r="M173" i="58"/>
  <c r="M172" i="58"/>
  <c r="M170" i="58"/>
  <c r="M169" i="58"/>
  <c r="M168" i="58"/>
  <c r="M167" i="58"/>
  <c r="M166" i="58"/>
  <c r="M165" i="58"/>
  <c r="M162" i="58"/>
  <c r="M160" i="58"/>
  <c r="M159" i="58"/>
  <c r="M156" i="58"/>
  <c r="M155" i="58"/>
  <c r="M154" i="58"/>
  <c r="M153" i="58"/>
  <c r="M151" i="58"/>
  <c r="M152" i="58" s="1"/>
  <c r="M150" i="58"/>
  <c r="M148" i="58"/>
  <c r="M147" i="58"/>
  <c r="M146" i="58"/>
  <c r="M145" i="58"/>
  <c r="M144" i="58"/>
  <c r="M143" i="58"/>
  <c r="M142" i="58"/>
  <c r="M141" i="58"/>
  <c r="M140" i="58"/>
  <c r="M139" i="58"/>
  <c r="M137" i="58"/>
  <c r="M136" i="58"/>
  <c r="M135" i="58"/>
  <c r="M134" i="58"/>
  <c r="M133" i="58"/>
  <c r="M132" i="58"/>
  <c r="M131" i="58"/>
  <c r="M130" i="58"/>
  <c r="M129" i="58"/>
  <c r="M128" i="58"/>
  <c r="M127" i="58"/>
  <c r="M190" i="58" l="1"/>
  <c r="M158" i="58"/>
  <c r="M138" i="58"/>
  <c r="M171" i="58"/>
  <c r="M197" i="58"/>
  <c r="M149" i="58"/>
  <c r="M164" i="58" s="1"/>
  <c r="M179" i="58"/>
  <c r="M185" i="58"/>
  <c r="M186" i="58" s="1"/>
  <c r="W140" i="58"/>
  <c r="V140" i="58"/>
  <c r="U140" i="58"/>
  <c r="T140" i="58"/>
  <c r="N140" i="58"/>
  <c r="S140" i="58"/>
  <c r="R140" i="58"/>
  <c r="O140" i="58"/>
  <c r="Q140" i="58"/>
  <c r="P140" i="58"/>
  <c r="W166" i="58"/>
  <c r="U166" i="58"/>
  <c r="V166" i="58"/>
  <c r="P166" i="58"/>
  <c r="O166" i="58"/>
  <c r="N166" i="58"/>
  <c r="T166" i="58"/>
  <c r="Q166" i="58"/>
  <c r="S166" i="58"/>
  <c r="R166" i="58"/>
  <c r="W193" i="58"/>
  <c r="U193" i="58"/>
  <c r="T193" i="58"/>
  <c r="V193" i="58"/>
  <c r="N193" i="58"/>
  <c r="R193" i="58"/>
  <c r="S193" i="58"/>
  <c r="Q193" i="58"/>
  <c r="P193" i="58"/>
  <c r="S141" i="58"/>
  <c r="R141" i="58"/>
  <c r="Q141" i="58"/>
  <c r="O141" i="58"/>
  <c r="P141" i="58"/>
  <c r="N141" i="58"/>
  <c r="U141" i="58"/>
  <c r="W141" i="58"/>
  <c r="V141" i="58"/>
  <c r="T141" i="58"/>
  <c r="W167" i="58"/>
  <c r="V167" i="58"/>
  <c r="U167" i="58"/>
  <c r="T167" i="58"/>
  <c r="S167" i="58"/>
  <c r="R167" i="58"/>
  <c r="Q167" i="58"/>
  <c r="P167" i="58"/>
  <c r="O167" i="58"/>
  <c r="N167" i="58"/>
  <c r="V194" i="58"/>
  <c r="U194" i="58"/>
  <c r="T194" i="58"/>
  <c r="S194" i="58"/>
  <c r="R194" i="58"/>
  <c r="Q194" i="58"/>
  <c r="P194" i="58"/>
  <c r="O194" i="58"/>
  <c r="W194" i="58"/>
  <c r="N194" i="58"/>
  <c r="W142" i="58"/>
  <c r="U142" i="58"/>
  <c r="V142" i="58"/>
  <c r="T142" i="58"/>
  <c r="S142" i="58"/>
  <c r="R142" i="58"/>
  <c r="Q142" i="58"/>
  <c r="P142" i="58"/>
  <c r="O142" i="58"/>
  <c r="N142" i="58"/>
  <c r="W168" i="58"/>
  <c r="U168" i="58"/>
  <c r="V168" i="58"/>
  <c r="S168" i="58"/>
  <c r="R168" i="58"/>
  <c r="Q168" i="58"/>
  <c r="P168" i="58"/>
  <c r="O168" i="58"/>
  <c r="N168" i="58"/>
  <c r="T168" i="58"/>
  <c r="W195" i="58"/>
  <c r="U195" i="58"/>
  <c r="T195" i="58"/>
  <c r="V195" i="58"/>
  <c r="Q195" i="58"/>
  <c r="P195" i="58"/>
  <c r="O195" i="58"/>
  <c r="N195" i="58"/>
  <c r="S195" i="58"/>
  <c r="R195" i="58"/>
  <c r="V143" i="58"/>
  <c r="U143" i="58"/>
  <c r="T143" i="58"/>
  <c r="S143" i="58"/>
  <c r="R143" i="58"/>
  <c r="Q143" i="58"/>
  <c r="P143" i="58"/>
  <c r="W143" i="58"/>
  <c r="O143" i="58"/>
  <c r="N143" i="58"/>
  <c r="V169" i="58"/>
  <c r="U169" i="58"/>
  <c r="T169" i="58"/>
  <c r="S169" i="58"/>
  <c r="R169" i="58"/>
  <c r="Q169" i="58"/>
  <c r="P169" i="58"/>
  <c r="O169" i="58"/>
  <c r="N169" i="58"/>
  <c r="W169" i="58"/>
  <c r="V196" i="58"/>
  <c r="U196" i="58"/>
  <c r="T196" i="58"/>
  <c r="W196" i="58"/>
  <c r="S196" i="58"/>
  <c r="R196" i="58"/>
  <c r="Q196" i="58"/>
  <c r="P196" i="58"/>
  <c r="O196" i="58"/>
  <c r="N196" i="58"/>
  <c r="W144" i="58"/>
  <c r="V144" i="58"/>
  <c r="U144" i="58"/>
  <c r="N144" i="58"/>
  <c r="R144" i="58"/>
  <c r="Q144" i="58"/>
  <c r="P144" i="58"/>
  <c r="O144" i="58"/>
  <c r="T144" i="58"/>
  <c r="S144" i="58"/>
  <c r="W170" i="58"/>
  <c r="U170" i="58"/>
  <c r="V170" i="58"/>
  <c r="T170" i="58"/>
  <c r="S170" i="58"/>
  <c r="R170" i="58"/>
  <c r="Q170" i="58"/>
  <c r="P170" i="58"/>
  <c r="O170" i="58"/>
  <c r="N170" i="58"/>
  <c r="W199" i="58"/>
  <c r="V199" i="58"/>
  <c r="W283" i="58" s="1"/>
  <c r="U199" i="58"/>
  <c r="V283" i="58" s="1"/>
  <c r="P199" i="58"/>
  <c r="Q283" i="58" s="1"/>
  <c r="P283" i="58"/>
  <c r="N199" i="58"/>
  <c r="O283" i="58" s="1"/>
  <c r="T199" i="58"/>
  <c r="U283" i="58" s="1"/>
  <c r="S199" i="58"/>
  <c r="T283" i="58" s="1"/>
  <c r="R199" i="58"/>
  <c r="S283" i="58" s="1"/>
  <c r="Q199" i="58"/>
  <c r="R283" i="58" s="1"/>
  <c r="W145" i="58"/>
  <c r="V145" i="58"/>
  <c r="U145" i="58"/>
  <c r="T145" i="58"/>
  <c r="S145" i="58"/>
  <c r="R145" i="58"/>
  <c r="O145" i="58"/>
  <c r="P145" i="58"/>
  <c r="N145" i="58"/>
  <c r="Q145" i="58"/>
  <c r="O172" i="58"/>
  <c r="N172" i="58"/>
  <c r="W172" i="58"/>
  <c r="V172" i="58"/>
  <c r="U172" i="58"/>
  <c r="T172" i="58"/>
  <c r="S172" i="58"/>
  <c r="R172" i="58"/>
  <c r="Q172" i="58"/>
  <c r="P172" i="58"/>
  <c r="W146" i="58"/>
  <c r="V146" i="58"/>
  <c r="U146" i="58"/>
  <c r="O146" i="58"/>
  <c r="T146" i="58"/>
  <c r="S146" i="58"/>
  <c r="R146" i="58"/>
  <c r="Q146" i="58"/>
  <c r="P146" i="58"/>
  <c r="W173" i="58"/>
  <c r="V173" i="58"/>
  <c r="U173" i="58"/>
  <c r="T173" i="58"/>
  <c r="S173" i="58"/>
  <c r="R173" i="58"/>
  <c r="N173" i="58"/>
  <c r="Q173" i="58"/>
  <c r="P173" i="58"/>
  <c r="W200" i="58"/>
  <c r="U200" i="58"/>
  <c r="V284" i="58" s="1"/>
  <c r="T200" i="58"/>
  <c r="U284" i="58" s="1"/>
  <c r="V200" i="58"/>
  <c r="W284" i="58" s="1"/>
  <c r="S200" i="58"/>
  <c r="T284" i="58" s="1"/>
  <c r="R200" i="58"/>
  <c r="S284" i="58" s="1"/>
  <c r="Q200" i="58"/>
  <c r="R284" i="58" s="1"/>
  <c r="P200" i="58"/>
  <c r="Q284" i="58" s="1"/>
  <c r="O200" i="58"/>
  <c r="P284" i="58" s="1"/>
  <c r="W147" i="58"/>
  <c r="V147" i="58"/>
  <c r="Q147" i="58"/>
  <c r="P147" i="58"/>
  <c r="O147" i="58"/>
  <c r="N147" i="58"/>
  <c r="U147" i="58"/>
  <c r="T147" i="58"/>
  <c r="S147" i="58"/>
  <c r="R147" i="58"/>
  <c r="R174" i="58"/>
  <c r="Q174" i="58"/>
  <c r="P174" i="58"/>
  <c r="N174" i="58"/>
  <c r="O174" i="58"/>
  <c r="W174" i="58"/>
  <c r="V174" i="58"/>
  <c r="U174" i="58"/>
  <c r="T174" i="58"/>
  <c r="S174" i="58"/>
  <c r="W127" i="58"/>
  <c r="U127" i="58"/>
  <c r="V127" i="58"/>
  <c r="T127" i="58"/>
  <c r="S127" i="58"/>
  <c r="R127" i="58"/>
  <c r="Q127" i="58"/>
  <c r="P127" i="58"/>
  <c r="O127" i="58"/>
  <c r="N127" i="58"/>
  <c r="W148" i="58"/>
  <c r="V148" i="58"/>
  <c r="U148" i="58"/>
  <c r="R148" i="58"/>
  <c r="Q148" i="58"/>
  <c r="P148" i="58"/>
  <c r="N148" i="58"/>
  <c r="O148" i="58"/>
  <c r="T148" i="58"/>
  <c r="S148" i="58"/>
  <c r="W175" i="58"/>
  <c r="U175" i="58"/>
  <c r="V175" i="58"/>
  <c r="S175" i="58"/>
  <c r="R175" i="58"/>
  <c r="Q175" i="58"/>
  <c r="P175" i="58"/>
  <c r="O175" i="58"/>
  <c r="N175" i="58"/>
  <c r="T175" i="58"/>
  <c r="U128" i="58"/>
  <c r="T128" i="58"/>
  <c r="R128" i="58"/>
  <c r="Q128" i="58"/>
  <c r="P128" i="58"/>
  <c r="S128" i="58"/>
  <c r="O128" i="58"/>
  <c r="N128" i="58"/>
  <c r="W128" i="58"/>
  <c r="V128" i="58"/>
  <c r="W150" i="58"/>
  <c r="P150" i="58"/>
  <c r="O150" i="58"/>
  <c r="N150" i="58"/>
  <c r="U150" i="58"/>
  <c r="S150" i="58"/>
  <c r="V150" i="58"/>
  <c r="T150" i="58"/>
  <c r="Q150" i="58"/>
  <c r="R150" i="58"/>
  <c r="P176" i="58"/>
  <c r="O176" i="58"/>
  <c r="N176" i="58"/>
  <c r="W176" i="58"/>
  <c r="W129" i="58"/>
  <c r="V129" i="58"/>
  <c r="U129" i="58"/>
  <c r="O129" i="58"/>
  <c r="N129" i="58"/>
  <c r="T129" i="58"/>
  <c r="R129" i="58"/>
  <c r="Q129" i="58"/>
  <c r="P129" i="58"/>
  <c r="S129" i="58"/>
  <c r="W151" i="58"/>
  <c r="W152" i="58" s="1"/>
  <c r="V151" i="58"/>
  <c r="V152" i="58" s="1"/>
  <c r="U151" i="58"/>
  <c r="U152" i="58" s="1"/>
  <c r="T151" i="58"/>
  <c r="T152" i="58" s="1"/>
  <c r="S151" i="58"/>
  <c r="S152" i="58" s="1"/>
  <c r="R151" i="58"/>
  <c r="R152" i="58" s="1"/>
  <c r="Q151" i="58"/>
  <c r="Q152" i="58" s="1"/>
  <c r="P151" i="58"/>
  <c r="P152" i="58" s="1"/>
  <c r="O151" i="58"/>
  <c r="O152" i="58" s="1"/>
  <c r="N151" i="58"/>
  <c r="W178" i="58"/>
  <c r="U178" i="58"/>
  <c r="V178" i="58"/>
  <c r="P178" i="58"/>
  <c r="O178" i="58"/>
  <c r="N178" i="58"/>
  <c r="T178" i="58"/>
  <c r="R178" i="58"/>
  <c r="Q178" i="58"/>
  <c r="S178" i="58"/>
  <c r="W130" i="58"/>
  <c r="V130" i="58"/>
  <c r="T130" i="58"/>
  <c r="U130" i="58"/>
  <c r="S130" i="58"/>
  <c r="R130" i="58"/>
  <c r="O130" i="58"/>
  <c r="Q130" i="58"/>
  <c r="P130" i="58"/>
  <c r="N130" i="58"/>
  <c r="N153" i="58"/>
  <c r="Q153" i="58"/>
  <c r="P153" i="58"/>
  <c r="O153" i="58"/>
  <c r="W153" i="58"/>
  <c r="V153" i="58"/>
  <c r="U153" i="58"/>
  <c r="T153" i="58"/>
  <c r="S153" i="58"/>
  <c r="R153" i="58"/>
  <c r="W180" i="58"/>
  <c r="W181" i="58" s="1"/>
  <c r="V180" i="58"/>
  <c r="V181" i="58" s="1"/>
  <c r="U180" i="58"/>
  <c r="U181" i="58" s="1"/>
  <c r="T180" i="58"/>
  <c r="T181" i="58" s="1"/>
  <c r="S180" i="58"/>
  <c r="S181" i="58" s="1"/>
  <c r="R180" i="58"/>
  <c r="R181" i="58" s="1"/>
  <c r="Q180" i="58"/>
  <c r="Q181" i="58" s="1"/>
  <c r="O181" i="58"/>
  <c r="P180" i="58"/>
  <c r="P181" i="58" s="1"/>
  <c r="W131" i="58"/>
  <c r="V131" i="58"/>
  <c r="U131" i="58"/>
  <c r="N131" i="58"/>
  <c r="T131" i="58"/>
  <c r="S131" i="58"/>
  <c r="R131" i="58"/>
  <c r="Q131" i="58"/>
  <c r="P131" i="58"/>
  <c r="O131" i="58"/>
  <c r="W154" i="58"/>
  <c r="U154" i="58"/>
  <c r="V154" i="58"/>
  <c r="T154" i="58"/>
  <c r="S154" i="58"/>
  <c r="R154" i="58"/>
  <c r="Q154" i="58"/>
  <c r="P154" i="58"/>
  <c r="O154" i="58"/>
  <c r="N154" i="58"/>
  <c r="W183" i="58"/>
  <c r="U183" i="58"/>
  <c r="V183" i="58"/>
  <c r="N183" i="58"/>
  <c r="T183" i="58"/>
  <c r="S183" i="58"/>
  <c r="R183" i="58"/>
  <c r="Q183" i="58"/>
  <c r="P183" i="58"/>
  <c r="V132" i="58"/>
  <c r="W132" i="58"/>
  <c r="U132" i="58"/>
  <c r="N132" i="58"/>
  <c r="T132" i="58"/>
  <c r="S132" i="58"/>
  <c r="R132" i="58"/>
  <c r="Q132" i="58"/>
  <c r="P132" i="58"/>
  <c r="O132" i="58"/>
  <c r="Q155" i="58"/>
  <c r="P155" i="58"/>
  <c r="O155" i="58"/>
  <c r="N155" i="58"/>
  <c r="W155" i="58"/>
  <c r="U155" i="58"/>
  <c r="T155" i="58"/>
  <c r="S155" i="58"/>
  <c r="R155" i="58"/>
  <c r="V155" i="58"/>
  <c r="W184" i="58"/>
  <c r="V184" i="58"/>
  <c r="U184" i="58"/>
  <c r="T184" i="58"/>
  <c r="S184" i="58"/>
  <c r="R184" i="58"/>
  <c r="Q184" i="58"/>
  <c r="P184" i="58"/>
  <c r="O184" i="58"/>
  <c r="N184" i="58"/>
  <c r="W133" i="58"/>
  <c r="V133" i="58"/>
  <c r="U133" i="58"/>
  <c r="P133" i="58"/>
  <c r="O133" i="58"/>
  <c r="N133" i="58"/>
  <c r="T133" i="58"/>
  <c r="S133" i="58"/>
  <c r="R133" i="58"/>
  <c r="W156" i="58"/>
  <c r="V156" i="58"/>
  <c r="U156" i="58"/>
  <c r="Q156" i="58"/>
  <c r="P156" i="58"/>
  <c r="O156" i="58"/>
  <c r="N156" i="58"/>
  <c r="R156" i="58"/>
  <c r="S156" i="58"/>
  <c r="T156" i="58"/>
  <c r="W185" i="58"/>
  <c r="U185" i="58"/>
  <c r="V185" i="58"/>
  <c r="Q185" i="58"/>
  <c r="P185" i="58"/>
  <c r="O185" i="58"/>
  <c r="R185" i="58"/>
  <c r="T185" i="58"/>
  <c r="S185" i="58"/>
  <c r="W134" i="58"/>
  <c r="V134" i="58"/>
  <c r="U134" i="58"/>
  <c r="T134" i="58"/>
  <c r="S134" i="58"/>
  <c r="Q134" i="58"/>
  <c r="P134" i="58"/>
  <c r="R134" i="58"/>
  <c r="O134" i="58"/>
  <c r="N134" i="58"/>
  <c r="T159" i="58"/>
  <c r="S159" i="58"/>
  <c r="Q159" i="58"/>
  <c r="P159" i="58"/>
  <c r="R159" i="58"/>
  <c r="O159" i="58"/>
  <c r="N159" i="58"/>
  <c r="V159" i="58"/>
  <c r="U159" i="58"/>
  <c r="W159" i="58"/>
  <c r="W187" i="58"/>
  <c r="O187" i="58"/>
  <c r="N187" i="58"/>
  <c r="U187" i="58"/>
  <c r="V187" i="58"/>
  <c r="T187" i="58"/>
  <c r="S187" i="58"/>
  <c r="R187" i="58"/>
  <c r="Q187" i="58"/>
  <c r="W135" i="58"/>
  <c r="V135" i="58"/>
  <c r="U135" i="58"/>
  <c r="T135" i="58"/>
  <c r="S135" i="58"/>
  <c r="R135" i="58"/>
  <c r="P135" i="58"/>
  <c r="Q135" i="58"/>
  <c r="N135" i="58"/>
  <c r="W160" i="58"/>
  <c r="U160" i="58"/>
  <c r="V160" i="58"/>
  <c r="T160" i="58"/>
  <c r="S160" i="58"/>
  <c r="R160" i="58"/>
  <c r="Q160" i="58"/>
  <c r="N160" i="58"/>
  <c r="P160" i="58"/>
  <c r="O160" i="58"/>
  <c r="W188" i="58"/>
  <c r="U188" i="58"/>
  <c r="T188" i="58"/>
  <c r="V188" i="58"/>
  <c r="S188" i="58"/>
  <c r="R188" i="58"/>
  <c r="Q188" i="58"/>
  <c r="P188" i="58"/>
  <c r="O188" i="58"/>
  <c r="N188" i="58"/>
  <c r="N136" i="58"/>
  <c r="W136" i="58"/>
  <c r="V136" i="58"/>
  <c r="U136" i="58"/>
  <c r="T136" i="58"/>
  <c r="S136" i="58"/>
  <c r="R136" i="58"/>
  <c r="Q136" i="58"/>
  <c r="P136" i="58"/>
  <c r="O136" i="58"/>
  <c r="W161" i="58"/>
  <c r="W163" i="58" s="1"/>
  <c r="V161" i="58"/>
  <c r="V163" i="58" s="1"/>
  <c r="U161" i="58"/>
  <c r="U163" i="58" s="1"/>
  <c r="S161" i="58"/>
  <c r="S163" i="58" s="1"/>
  <c r="T161" i="58"/>
  <c r="T163" i="58" s="1"/>
  <c r="R161" i="58"/>
  <c r="R163" i="58" s="1"/>
  <c r="Q161" i="58"/>
  <c r="Q163" i="58" s="1"/>
  <c r="P161" i="58"/>
  <c r="P163" i="58" s="1"/>
  <c r="O161" i="58"/>
  <c r="O163" i="58" s="1"/>
  <c r="N189" i="58"/>
  <c r="W189" i="58"/>
  <c r="V189" i="58"/>
  <c r="U189" i="58"/>
  <c r="T189" i="58"/>
  <c r="S189" i="58"/>
  <c r="R189" i="58"/>
  <c r="P189" i="58"/>
  <c r="O189" i="58"/>
  <c r="Q189" i="58"/>
  <c r="W137" i="58"/>
  <c r="V137" i="58"/>
  <c r="U137" i="58"/>
  <c r="T137" i="58"/>
  <c r="S137" i="58"/>
  <c r="R137" i="58"/>
  <c r="Q137" i="58"/>
  <c r="P137" i="58"/>
  <c r="O137" i="58"/>
  <c r="N137" i="58"/>
  <c r="W162" i="58"/>
  <c r="V162" i="58"/>
  <c r="U162" i="58"/>
  <c r="R162" i="58"/>
  <c r="Q162" i="58"/>
  <c r="P162" i="58"/>
  <c r="O162" i="58"/>
  <c r="N162" i="58"/>
  <c r="T162" i="58"/>
  <c r="S162" i="58"/>
  <c r="W191" i="58"/>
  <c r="U191" i="58"/>
  <c r="T191" i="58"/>
  <c r="V191" i="58"/>
  <c r="S191" i="58"/>
  <c r="R191" i="58"/>
  <c r="Q191" i="58"/>
  <c r="P191" i="58"/>
  <c r="O191" i="58"/>
  <c r="N191" i="58"/>
  <c r="P139" i="58"/>
  <c r="O139" i="58"/>
  <c r="N139" i="58"/>
  <c r="W139" i="58"/>
  <c r="V139" i="58"/>
  <c r="U139" i="58"/>
  <c r="T139" i="58"/>
  <c r="R139" i="58"/>
  <c r="Q139" i="58"/>
  <c r="S139" i="58"/>
  <c r="W165" i="58"/>
  <c r="V165" i="58"/>
  <c r="U165" i="58"/>
  <c r="T165" i="58"/>
  <c r="S165" i="58"/>
  <c r="O165" i="58"/>
  <c r="N165" i="58"/>
  <c r="Q165" i="58"/>
  <c r="P165" i="58"/>
  <c r="R165" i="58"/>
  <c r="R192" i="58"/>
  <c r="Q192" i="58"/>
  <c r="P192" i="58"/>
  <c r="O192" i="58"/>
  <c r="N192" i="58"/>
  <c r="W192" i="58"/>
  <c r="V192" i="58"/>
  <c r="U192" i="58"/>
  <c r="T192" i="58"/>
  <c r="S192" i="58"/>
  <c r="L339" i="58"/>
  <c r="L340" i="58" s="1"/>
  <c r="L323" i="58"/>
  <c r="L325" i="58"/>
  <c r="L364" i="58"/>
  <c r="L306" i="58"/>
  <c r="L302" i="58"/>
  <c r="L305" i="58"/>
  <c r="L304" i="58"/>
  <c r="L342" i="58"/>
  <c r="L300" i="58"/>
  <c r="L347" i="58"/>
  <c r="L344" i="58"/>
  <c r="L299" i="58"/>
  <c r="L308" i="58"/>
  <c r="L349" i="58" s="1"/>
  <c r="L346" i="58"/>
  <c r="L345" i="58"/>
  <c r="L303" i="58"/>
  <c r="L343" i="58"/>
  <c r="L341" i="58"/>
  <c r="M182" i="58" l="1"/>
  <c r="U158" i="58"/>
  <c r="V158" i="58"/>
  <c r="W158" i="58"/>
  <c r="R158" i="58"/>
  <c r="S158" i="58"/>
  <c r="P158" i="58"/>
  <c r="T158" i="58"/>
  <c r="Q158" i="58"/>
  <c r="O138" i="58"/>
  <c r="V190" i="58"/>
  <c r="N190" i="58"/>
  <c r="M198" i="58"/>
  <c r="W197" i="58"/>
  <c r="T190" i="58"/>
  <c r="W171" i="58"/>
  <c r="R190" i="58"/>
  <c r="S190" i="58"/>
  <c r="N152" i="58"/>
  <c r="Q190" i="58"/>
  <c r="O186" i="58"/>
  <c r="N186" i="58"/>
  <c r="U190" i="58"/>
  <c r="O190" i="58"/>
  <c r="W190" i="58"/>
  <c r="P186" i="58"/>
  <c r="T186" i="58"/>
  <c r="S197" i="58"/>
  <c r="U186" i="58"/>
  <c r="V197" i="58"/>
  <c r="W186" i="58"/>
  <c r="P190" i="58"/>
  <c r="Q186" i="58"/>
  <c r="N197" i="58"/>
  <c r="R186" i="58"/>
  <c r="Q197" i="58"/>
  <c r="V186" i="58"/>
  <c r="T197" i="58"/>
  <c r="O197" i="58"/>
  <c r="S186" i="58"/>
  <c r="P197" i="58"/>
  <c r="R197" i="58"/>
  <c r="U197" i="58"/>
  <c r="U171" i="58"/>
  <c r="V171" i="58"/>
  <c r="S149" i="58"/>
  <c r="R149" i="58"/>
  <c r="V149" i="58"/>
  <c r="W149" i="58"/>
  <c r="N138" i="58"/>
  <c r="R179" i="58"/>
  <c r="N149" i="58"/>
  <c r="T179" i="58"/>
  <c r="R138" i="58"/>
  <c r="V179" i="58"/>
  <c r="P171" i="58"/>
  <c r="S138" i="58"/>
  <c r="O158" i="58"/>
  <c r="N171" i="58"/>
  <c r="V138" i="58"/>
  <c r="O179" i="58"/>
  <c r="T149" i="58"/>
  <c r="U149" i="58"/>
  <c r="S179" i="58"/>
  <c r="O149" i="58"/>
  <c r="W179" i="58"/>
  <c r="Q171" i="58"/>
  <c r="N179" i="58"/>
  <c r="O171" i="58"/>
  <c r="U138" i="58"/>
  <c r="S171" i="58"/>
  <c r="N158" i="58"/>
  <c r="W138" i="58"/>
  <c r="Q149" i="58"/>
  <c r="P179" i="58"/>
  <c r="Q179" i="58"/>
  <c r="P138" i="58"/>
  <c r="P149" i="58"/>
  <c r="Q138" i="58"/>
  <c r="U179" i="58"/>
  <c r="R171" i="58"/>
  <c r="T138" i="58"/>
  <c r="T171" i="58"/>
  <c r="G70" i="124"/>
  <c r="G69" i="124"/>
  <c r="H70" i="124"/>
  <c r="H69" i="124"/>
  <c r="L348" i="58"/>
  <c r="L350" i="58" s="1"/>
  <c r="L307" i="58"/>
  <c r="L301" i="58"/>
  <c r="W198" i="58" l="1"/>
  <c r="N198" i="58"/>
  <c r="W182" i="58"/>
  <c r="T164" i="58"/>
  <c r="T198" i="58"/>
  <c r="Q198" i="58"/>
  <c r="O198" i="58"/>
  <c r="H71" i="124"/>
  <c r="V182" i="58"/>
  <c r="R182" i="58"/>
  <c r="P198" i="58"/>
  <c r="R198" i="58"/>
  <c r="V198" i="58"/>
  <c r="S198" i="58"/>
  <c r="U198" i="58"/>
  <c r="U182" i="58"/>
  <c r="W164" i="58"/>
  <c r="S182" i="58"/>
  <c r="Q182" i="58"/>
  <c r="P182" i="58"/>
  <c r="T182" i="58"/>
  <c r="R164" i="58"/>
  <c r="O182" i="58"/>
  <c r="O164" i="58"/>
  <c r="Q164" i="58"/>
  <c r="V164" i="58"/>
  <c r="P164" i="58"/>
  <c r="N164" i="58"/>
  <c r="S164" i="58"/>
  <c r="U164" i="58"/>
  <c r="N182" i="58"/>
  <c r="R70" i="124"/>
  <c r="R69" i="124"/>
  <c r="L309" i="58"/>
  <c r="L351" i="58" s="1"/>
  <c r="B13" i="26"/>
  <c r="M6" i="26"/>
  <c r="L6" i="26"/>
  <c r="K6" i="26"/>
  <c r="J6" i="26"/>
  <c r="I6" i="26"/>
  <c r="H6" i="26"/>
  <c r="G6" i="26"/>
  <c r="F6" i="26"/>
  <c r="E6" i="26"/>
  <c r="C6" i="26"/>
  <c r="C5" i="26" s="1"/>
  <c r="K37" i="205" s="1"/>
  <c r="B6" i="26"/>
  <c r="B5" i="26" s="1"/>
  <c r="H37" i="205" s="1"/>
  <c r="S52" i="35"/>
  <c r="G16" i="35"/>
  <c r="V16" i="35" s="1"/>
  <c r="C15" i="35"/>
  <c r="C16" i="35" s="1"/>
  <c r="C17" i="35" s="1"/>
  <c r="C18" i="35" s="1"/>
  <c r="C19" i="35" s="1"/>
  <c r="C20" i="35" s="1"/>
  <c r="C21" i="35" s="1"/>
  <c r="C22" i="35" s="1"/>
  <c r="C23" i="35" s="1"/>
  <c r="C24" i="35" s="1"/>
  <c r="C25" i="35" s="1"/>
  <c r="C26" i="35" s="1"/>
  <c r="C27" i="35" s="1"/>
  <c r="C28" i="35" s="1"/>
  <c r="C29" i="35" s="1"/>
  <c r="C30" i="35" s="1"/>
  <c r="C31" i="35" s="1"/>
  <c r="L180" i="58"/>
  <c r="L181" i="58" s="1"/>
  <c r="L193" i="58"/>
  <c r="L173" i="58"/>
  <c r="L161" i="58"/>
  <c r="L163" i="58" s="1"/>
  <c r="L124" i="58"/>
  <c r="L37" i="205" l="1"/>
  <c r="K38" i="205"/>
  <c r="I37" i="205"/>
  <c r="AV37" i="205" s="1"/>
  <c r="H38" i="205"/>
  <c r="L311" i="58"/>
  <c r="L312" i="58"/>
  <c r="G33" i="35"/>
  <c r="C57" i="138"/>
  <c r="S32" i="35" l="1"/>
  <c r="C21" i="138" l="1"/>
  <c r="L290" i="58"/>
  <c r="L239" i="58"/>
  <c r="L286" i="58" s="1"/>
  <c r="L289" i="58" l="1"/>
  <c r="X95" i="58" l="1"/>
  <c r="X92" i="58"/>
  <c r="X91" i="58"/>
  <c r="X90" i="58"/>
  <c r="X89" i="58"/>
  <c r="X88" i="58"/>
  <c r="X87" i="58"/>
  <c r="X85" i="58"/>
  <c r="X84" i="58"/>
  <c r="X83" i="58"/>
  <c r="X81" i="58"/>
  <c r="X80" i="58"/>
  <c r="X79" i="58"/>
  <c r="X76" i="58"/>
  <c r="X72" i="58"/>
  <c r="X71" i="58"/>
  <c r="X70" i="58"/>
  <c r="X69" i="58"/>
  <c r="X68" i="58"/>
  <c r="X66" i="58"/>
  <c r="X65" i="58"/>
  <c r="X64" i="58"/>
  <c r="X63" i="58"/>
  <c r="X62" i="58"/>
  <c r="X61" i="58"/>
  <c r="X58" i="58"/>
  <c r="X57" i="58"/>
  <c r="U19" i="181" s="1"/>
  <c r="X56" i="58"/>
  <c r="X55" i="58"/>
  <c r="X52" i="58"/>
  <c r="X51" i="58"/>
  <c r="X50" i="58"/>
  <c r="X49" i="58"/>
  <c r="X47" i="58"/>
  <c r="X48" i="58" s="1"/>
  <c r="Y48" i="58" s="1"/>
  <c r="X46" i="58"/>
  <c r="X44" i="58"/>
  <c r="X43" i="58"/>
  <c r="X33" i="58"/>
  <c r="X32" i="58"/>
  <c r="X31" i="58"/>
  <c r="X30" i="58"/>
  <c r="X28" i="58"/>
  <c r="X27" i="58"/>
  <c r="X26" i="58"/>
  <c r="X25" i="58"/>
  <c r="X24" i="58"/>
  <c r="X23" i="58"/>
  <c r="X54" i="58" l="1"/>
  <c r="X82" i="58"/>
  <c r="X34" i="58"/>
  <c r="Y34" i="58" s="1"/>
  <c r="X86" i="58"/>
  <c r="X93" i="58"/>
  <c r="X75" i="58"/>
  <c r="X67" i="58"/>
  <c r="X45" i="58"/>
  <c r="Y45" i="58" s="1"/>
  <c r="Y54" i="58"/>
  <c r="X59" i="58"/>
  <c r="Y59" i="58" s="1"/>
  <c r="X94" i="58" l="1"/>
  <c r="Y94" i="58" s="1"/>
  <c r="X78" i="58"/>
  <c r="Y78" i="58" s="1"/>
  <c r="X60" i="58"/>
  <c r="G34" i="202" l="1"/>
  <c r="F34" i="202"/>
  <c r="H33" i="202"/>
  <c r="H32" i="202"/>
  <c r="H31" i="202"/>
  <c r="H30" i="202"/>
  <c r="H29" i="202"/>
  <c r="H28" i="202"/>
  <c r="H27" i="202"/>
  <c r="H26" i="202"/>
  <c r="H25" i="202"/>
  <c r="H24" i="202"/>
  <c r="H23" i="202"/>
  <c r="H22" i="202"/>
  <c r="V17" i="202"/>
  <c r="U17" i="202"/>
  <c r="P17" i="202"/>
  <c r="O17" i="202"/>
  <c r="J17" i="202"/>
  <c r="I17" i="202"/>
  <c r="G17" i="202"/>
  <c r="F17" i="202"/>
  <c r="Y16" i="202"/>
  <c r="X16" i="202"/>
  <c r="W16" i="202"/>
  <c r="S16" i="202"/>
  <c r="R16" i="202"/>
  <c r="Q16" i="202"/>
  <c r="M16" i="202"/>
  <c r="L16" i="202"/>
  <c r="K16" i="202"/>
  <c r="H16" i="202"/>
  <c r="Y15" i="202"/>
  <c r="X15" i="202"/>
  <c r="W15" i="202"/>
  <c r="S15" i="202"/>
  <c r="R15" i="202"/>
  <c r="Q15" i="202"/>
  <c r="M15" i="202"/>
  <c r="L15" i="202"/>
  <c r="K15" i="202"/>
  <c r="H15" i="202"/>
  <c r="Y14" i="202"/>
  <c r="X14" i="202"/>
  <c r="W14" i="202"/>
  <c r="S14" i="202"/>
  <c r="R14" i="202"/>
  <c r="Q14" i="202"/>
  <c r="M14" i="202"/>
  <c r="L14" i="202"/>
  <c r="K14" i="202"/>
  <c r="H14" i="202"/>
  <c r="Y13" i="202"/>
  <c r="X13" i="202"/>
  <c r="W13" i="202"/>
  <c r="S13" i="202"/>
  <c r="R13" i="202"/>
  <c r="Q13" i="202"/>
  <c r="M13" i="202"/>
  <c r="L13" i="202"/>
  <c r="K13" i="202"/>
  <c r="H13" i="202"/>
  <c r="Y12" i="202"/>
  <c r="X12" i="202"/>
  <c r="W12" i="202"/>
  <c r="S12" i="202"/>
  <c r="R12" i="202"/>
  <c r="Q12" i="202"/>
  <c r="M12" i="202"/>
  <c r="L12" i="202"/>
  <c r="K12" i="202"/>
  <c r="H12" i="202"/>
  <c r="Y11" i="202"/>
  <c r="X11" i="202"/>
  <c r="W11" i="202"/>
  <c r="S11" i="202"/>
  <c r="R11" i="202"/>
  <c r="Q11" i="202"/>
  <c r="M11" i="202"/>
  <c r="L11" i="202"/>
  <c r="K11" i="202"/>
  <c r="H11" i="202"/>
  <c r="Y10" i="202"/>
  <c r="X10" i="202"/>
  <c r="W10" i="202"/>
  <c r="S10" i="202"/>
  <c r="R10" i="202"/>
  <c r="Q10" i="202"/>
  <c r="M10" i="202"/>
  <c r="L10" i="202"/>
  <c r="K10" i="202"/>
  <c r="H10" i="202"/>
  <c r="Y9" i="202"/>
  <c r="X9" i="202"/>
  <c r="W9" i="202"/>
  <c r="S9" i="202"/>
  <c r="R9" i="202"/>
  <c r="Q9" i="202"/>
  <c r="M9" i="202"/>
  <c r="L9" i="202"/>
  <c r="K9" i="202"/>
  <c r="H9" i="202"/>
  <c r="Y8" i="202"/>
  <c r="X8" i="202"/>
  <c r="W8" i="202"/>
  <c r="S8" i="202"/>
  <c r="R8" i="202"/>
  <c r="Q8" i="202"/>
  <c r="M8" i="202"/>
  <c r="L8" i="202"/>
  <c r="K8" i="202"/>
  <c r="H8" i="202"/>
  <c r="Y7" i="202"/>
  <c r="X7" i="202"/>
  <c r="W7" i="202"/>
  <c r="S7" i="202"/>
  <c r="R7" i="202"/>
  <c r="Q7" i="202"/>
  <c r="M7" i="202"/>
  <c r="L7" i="202"/>
  <c r="K7" i="202"/>
  <c r="H7" i="202"/>
  <c r="Y6" i="202"/>
  <c r="X6" i="202"/>
  <c r="W6" i="202"/>
  <c r="S6" i="202"/>
  <c r="R6" i="202"/>
  <c r="Q6" i="202"/>
  <c r="M6" i="202"/>
  <c r="L6" i="202"/>
  <c r="K6" i="202"/>
  <c r="H6" i="202"/>
  <c r="Y5" i="202"/>
  <c r="X5" i="202"/>
  <c r="W5" i="202"/>
  <c r="S5" i="202"/>
  <c r="R5" i="202"/>
  <c r="Q5" i="202"/>
  <c r="M5" i="202"/>
  <c r="L5" i="202"/>
  <c r="K5" i="202"/>
  <c r="H5" i="202"/>
  <c r="Y17" i="202" l="1"/>
  <c r="W17" i="202"/>
  <c r="R17" i="202"/>
  <c r="O24" i="202" s="1"/>
  <c r="R24" i="202" s="1"/>
  <c r="S17" i="202"/>
  <c r="X17" i="202"/>
  <c r="U31" i="202" s="1"/>
  <c r="X31" i="202" s="1"/>
  <c r="Q17" i="202"/>
  <c r="H34" i="202"/>
  <c r="L17" i="202"/>
  <c r="H17" i="202"/>
  <c r="K17" i="202"/>
  <c r="M17" i="202"/>
  <c r="J23" i="202" s="1"/>
  <c r="M23" i="202" s="1"/>
  <c r="V30" i="202"/>
  <c r="Y30" i="202" s="1"/>
  <c r="V32" i="202"/>
  <c r="Y32" i="202" s="1"/>
  <c r="J33" i="202" l="1"/>
  <c r="M33" i="202" s="1"/>
  <c r="U23" i="202"/>
  <c r="J26" i="202"/>
  <c r="M26" i="202" s="1"/>
  <c r="J32" i="202"/>
  <c r="M32" i="202" s="1"/>
  <c r="J29" i="202"/>
  <c r="M29" i="202" s="1"/>
  <c r="V26" i="202"/>
  <c r="Y26" i="202" s="1"/>
  <c r="V25" i="202"/>
  <c r="Y25" i="202" s="1"/>
  <c r="V23" i="202"/>
  <c r="V27" i="202"/>
  <c r="V29" i="202"/>
  <c r="Y29" i="202" s="1"/>
  <c r="V31" i="202"/>
  <c r="V33" i="202"/>
  <c r="Y33" i="202" s="1"/>
  <c r="V22" i="202"/>
  <c r="V28" i="202"/>
  <c r="Y28" i="202" s="1"/>
  <c r="V24" i="202"/>
  <c r="Y24" i="202" s="1"/>
  <c r="P32" i="202"/>
  <c r="S32" i="202" s="1"/>
  <c r="P22" i="202"/>
  <c r="S22" i="202" s="1"/>
  <c r="P28" i="202"/>
  <c r="S28" i="202" s="1"/>
  <c r="P31" i="202"/>
  <c r="S31" i="202" s="1"/>
  <c r="P27" i="202"/>
  <c r="S27" i="202" s="1"/>
  <c r="P33" i="202"/>
  <c r="S33" i="202" s="1"/>
  <c r="P24" i="202"/>
  <c r="S24" i="202" s="1"/>
  <c r="P26" i="202"/>
  <c r="S26" i="202" s="1"/>
  <c r="U27" i="202"/>
  <c r="X27" i="202" s="1"/>
  <c r="U24" i="202"/>
  <c r="U28" i="202"/>
  <c r="U22" i="202"/>
  <c r="I32" i="202"/>
  <c r="L32" i="202" s="1"/>
  <c r="I23" i="202"/>
  <c r="I30" i="202"/>
  <c r="L30" i="202" s="1"/>
  <c r="O28" i="202"/>
  <c r="O32" i="202"/>
  <c r="R32" i="202" s="1"/>
  <c r="J28" i="202"/>
  <c r="M28" i="202" s="1"/>
  <c r="U29" i="202"/>
  <c r="W29" i="202" s="1"/>
  <c r="U26" i="202"/>
  <c r="O22" i="202"/>
  <c r="O30" i="202"/>
  <c r="R30" i="202" s="1"/>
  <c r="J31" i="202"/>
  <c r="M31" i="202" s="1"/>
  <c r="J25" i="202"/>
  <c r="M25" i="202" s="1"/>
  <c r="U33" i="202"/>
  <c r="U32" i="202"/>
  <c r="X32" i="202" s="1"/>
  <c r="O25" i="202"/>
  <c r="R25" i="202" s="1"/>
  <c r="O31" i="202"/>
  <c r="R31" i="202" s="1"/>
  <c r="O26" i="202"/>
  <c r="R26" i="202" s="1"/>
  <c r="U30" i="202"/>
  <c r="O23" i="202"/>
  <c r="R23" i="202" s="1"/>
  <c r="O29" i="202"/>
  <c r="R29" i="202" s="1"/>
  <c r="I22" i="202"/>
  <c r="L22" i="202" s="1"/>
  <c r="I26" i="202"/>
  <c r="U25" i="202"/>
  <c r="O27" i="202"/>
  <c r="P23" i="202"/>
  <c r="S23" i="202" s="1"/>
  <c r="O33" i="202"/>
  <c r="R33" i="202" s="1"/>
  <c r="K32" i="202"/>
  <c r="J30" i="202"/>
  <c r="M30" i="202" s="1"/>
  <c r="J24" i="202"/>
  <c r="M24" i="202" s="1"/>
  <c r="I27" i="202"/>
  <c r="L27" i="202" s="1"/>
  <c r="J22" i="202"/>
  <c r="M22" i="202" s="1"/>
  <c r="I31" i="202"/>
  <c r="I24" i="202"/>
  <c r="K24" i="202" s="1"/>
  <c r="P25" i="202"/>
  <c r="S25" i="202" s="1"/>
  <c r="J27" i="202"/>
  <c r="M27" i="202" s="1"/>
  <c r="I28" i="202"/>
  <c r="P29" i="202"/>
  <c r="I33" i="202"/>
  <c r="K33" i="202" s="1"/>
  <c r="I29" i="202"/>
  <c r="L29" i="202" s="1"/>
  <c r="P30" i="202"/>
  <c r="S30" i="202" s="1"/>
  <c r="I25" i="202"/>
  <c r="X23" i="202"/>
  <c r="Q24" i="202"/>
  <c r="X24" i="202"/>
  <c r="K25" i="202" l="1"/>
  <c r="K26" i="202"/>
  <c r="W24" i="202"/>
  <c r="Q31" i="202"/>
  <c r="K31" i="202"/>
  <c r="U34" i="202"/>
  <c r="X34" i="202" s="1"/>
  <c r="K28" i="202"/>
  <c r="Y23" i="202"/>
  <c r="W23" i="202"/>
  <c r="Y27" i="202"/>
  <c r="W27" i="202"/>
  <c r="Y31" i="202"/>
  <c r="W31" i="202"/>
  <c r="Y22" i="202"/>
  <c r="V34" i="202"/>
  <c r="Y34" i="202" s="1"/>
  <c r="X28" i="202"/>
  <c r="W28" i="202"/>
  <c r="X22" i="202"/>
  <c r="W22" i="202"/>
  <c r="L23" i="202"/>
  <c r="K23" i="202"/>
  <c r="R28" i="202"/>
  <c r="Q28" i="202"/>
  <c r="W26" i="202"/>
  <c r="X26" i="202"/>
  <c r="R22" i="202"/>
  <c r="Q22" i="202"/>
  <c r="X33" i="202"/>
  <c r="W33" i="202"/>
  <c r="X25" i="202"/>
  <c r="W25" i="202"/>
  <c r="R27" i="202"/>
  <c r="Q27" i="202"/>
  <c r="W30" i="202"/>
  <c r="X30" i="202"/>
  <c r="K30" i="202"/>
  <c r="W32" i="202"/>
  <c r="X29" i="202"/>
  <c r="Q26" i="202"/>
  <c r="L26" i="202"/>
  <c r="O34" i="202"/>
  <c r="R34" i="202" s="1"/>
  <c r="Q29" i="202"/>
  <c r="Q23" i="202"/>
  <c r="Q32" i="202"/>
  <c r="Q25" i="202"/>
  <c r="Q33" i="202"/>
  <c r="L31" i="202"/>
  <c r="K22" i="202"/>
  <c r="S29" i="202"/>
  <c r="K29" i="202"/>
  <c r="L33" i="202"/>
  <c r="L28" i="202"/>
  <c r="L25" i="202"/>
  <c r="K27" i="202"/>
  <c r="I34" i="202"/>
  <c r="L34" i="202" s="1"/>
  <c r="L24" i="202"/>
  <c r="J34" i="202"/>
  <c r="M34" i="202" s="1"/>
  <c r="P34" i="202"/>
  <c r="S34" i="202" s="1"/>
  <c r="Q30" i="202"/>
  <c r="W34" i="202" l="1"/>
  <c r="Q34" i="202"/>
  <c r="K34" i="202"/>
  <c r="Q5" i="201"/>
  <c r="Q4" i="201"/>
  <c r="G52" i="133" l="1"/>
  <c r="M16" i="201" l="1"/>
  <c r="R10" i="201"/>
  <c r="X10" i="201" s="1"/>
  <c r="R9" i="201"/>
  <c r="X9" i="201" s="1"/>
  <c r="R8" i="201"/>
  <c r="X8" i="201" s="1"/>
  <c r="R7" i="201"/>
  <c r="X7" i="201" s="1"/>
  <c r="Q15" i="201"/>
  <c r="Q14" i="201"/>
  <c r="Q13" i="201"/>
  <c r="Q12" i="201"/>
  <c r="Q11" i="201"/>
  <c r="Q6" i="201"/>
  <c r="R6" i="201" s="1"/>
  <c r="X6" i="201" s="1"/>
  <c r="R5" i="201"/>
  <c r="Y5" i="201" s="1"/>
  <c r="N15" i="201"/>
  <c r="N14" i="201"/>
  <c r="N13" i="201"/>
  <c r="N12" i="201"/>
  <c r="N11" i="201"/>
  <c r="N8" i="201"/>
  <c r="N6" i="201"/>
  <c r="N4" i="201"/>
  <c r="N16" i="201" l="1"/>
  <c r="M17" i="201" l="1"/>
  <c r="L16" i="201"/>
  <c r="L17" i="201" s="1"/>
  <c r="E16" i="201"/>
  <c r="E17" i="201" s="1"/>
  <c r="V15" i="201"/>
  <c r="W15" i="201" s="1"/>
  <c r="R15" i="201"/>
  <c r="V14" i="201"/>
  <c r="W14" i="201" s="1"/>
  <c r="R14" i="201"/>
  <c r="V13" i="201"/>
  <c r="W13" i="201" s="1"/>
  <c r="V12" i="201"/>
  <c r="W12" i="201" s="1"/>
  <c r="R12" i="201"/>
  <c r="Z12" i="201" s="1"/>
  <c r="V11" i="201"/>
  <c r="W11" i="201" s="1"/>
  <c r="V8" i="201"/>
  <c r="W8" i="201" s="1"/>
  <c r="V6" i="201"/>
  <c r="W6" i="201" s="1"/>
  <c r="V4" i="201"/>
  <c r="W4" i="201" s="1"/>
  <c r="S16" i="201"/>
  <c r="AC15" i="201" l="1"/>
  <c r="AC16" i="201" s="1"/>
  <c r="AB14" i="201"/>
  <c r="AB16" i="201" s="1"/>
  <c r="P16" i="201"/>
  <c r="Q16" i="201"/>
  <c r="R13" i="201"/>
  <c r="R4" i="201"/>
  <c r="Y4" i="201" s="1"/>
  <c r="X16" i="201"/>
  <c r="R11" i="201"/>
  <c r="AA13" i="201" l="1"/>
  <c r="AA16" i="201" s="1"/>
  <c r="Z11" i="201"/>
  <c r="Z16" i="201" s="1"/>
  <c r="R16" i="201"/>
  <c r="Y16" i="201"/>
  <c r="F21" i="133" l="1"/>
  <c r="C59" i="133"/>
  <c r="G22" i="133"/>
  <c r="H22" i="133" s="1"/>
  <c r="I22" i="133" s="1"/>
  <c r="J22" i="133" s="1"/>
  <c r="K22" i="133" s="1"/>
  <c r="L22" i="133" s="1"/>
  <c r="M22" i="133" s="1"/>
  <c r="N22" i="133" s="1"/>
  <c r="O22" i="133" s="1"/>
  <c r="P22" i="133" s="1"/>
  <c r="Q22" i="133" s="1"/>
  <c r="M23" i="133"/>
  <c r="N23" i="133" s="1"/>
  <c r="P23" i="133" s="1"/>
  <c r="Q23" i="133" s="1"/>
  <c r="G21" i="133"/>
  <c r="H21" i="133" s="1"/>
  <c r="I21" i="133" s="1"/>
  <c r="J21" i="133" s="1"/>
  <c r="K21" i="133" s="1"/>
  <c r="L21" i="133" s="1"/>
  <c r="M21" i="133" s="1"/>
  <c r="N21" i="133" s="1"/>
  <c r="O21" i="133" s="1"/>
  <c r="P21" i="133" s="1"/>
  <c r="Q21" i="133" s="1"/>
  <c r="H19" i="133"/>
  <c r="G19" i="133"/>
  <c r="G18" i="133"/>
  <c r="H18" i="133" s="1"/>
  <c r="I18" i="133" s="1"/>
  <c r="J18" i="133" s="1"/>
  <c r="K18" i="133" s="1"/>
  <c r="L18" i="133" s="1"/>
  <c r="M18" i="133" s="1"/>
  <c r="N18" i="133" s="1"/>
  <c r="O18" i="133" s="1"/>
  <c r="P18" i="133" s="1"/>
  <c r="Q18" i="133" s="1"/>
  <c r="C57" i="133"/>
  <c r="C50" i="133"/>
  <c r="C49" i="133"/>
  <c r="G17" i="133"/>
  <c r="H17" i="133" s="1"/>
  <c r="I17" i="133" s="1"/>
  <c r="J17" i="133" s="1"/>
  <c r="K17" i="133" s="1"/>
  <c r="N17" i="133" s="1"/>
  <c r="O17" i="133" s="1"/>
  <c r="P17" i="133" s="1"/>
  <c r="Q17" i="133" s="1"/>
  <c r="E94" i="133"/>
  <c r="C48" i="133"/>
  <c r="H7" i="133"/>
  <c r="I7" i="133"/>
  <c r="J7" i="133"/>
  <c r="G7" i="133"/>
  <c r="G6" i="133"/>
  <c r="H6" i="133" s="1"/>
  <c r="I6" i="133" s="1"/>
  <c r="K6" i="133" s="1"/>
  <c r="L6" i="133" s="1"/>
  <c r="M6" i="133" s="1"/>
  <c r="N6" i="133" s="1"/>
  <c r="O6" i="133" s="1"/>
  <c r="P6" i="133" s="1"/>
  <c r="Q6" i="133" s="1"/>
  <c r="C46" i="133"/>
  <c r="K46" i="133" s="1"/>
  <c r="C45" i="133"/>
  <c r="K45" i="133" s="1"/>
  <c r="C44" i="133"/>
  <c r="C50" i="138" l="1"/>
  <c r="N18" i="138" l="1"/>
  <c r="M18" i="138"/>
  <c r="L18" i="138"/>
  <c r="K18" i="138"/>
  <c r="J18" i="138"/>
  <c r="I18" i="138"/>
  <c r="H18" i="138"/>
  <c r="G18" i="138"/>
  <c r="F18" i="138"/>
  <c r="E18" i="138"/>
  <c r="D18" i="138"/>
  <c r="C18" i="138"/>
  <c r="L108" i="58" l="1"/>
  <c r="M108" i="58"/>
  <c r="M209" i="58" s="1"/>
  <c r="N108" i="58"/>
  <c r="O108" i="58"/>
  <c r="P108" i="58"/>
  <c r="Q108" i="58"/>
  <c r="R108" i="58"/>
  <c r="S108" i="58"/>
  <c r="T108" i="58"/>
  <c r="U108" i="58"/>
  <c r="V108" i="58"/>
  <c r="W108" i="58"/>
  <c r="E41" i="138" l="1"/>
  <c r="G75" i="35" l="1"/>
  <c r="I41" i="138" l="1"/>
  <c r="J41" i="138" l="1"/>
  <c r="K41" i="138" l="1"/>
  <c r="L41" i="138" l="1"/>
  <c r="M41" i="138" l="1"/>
  <c r="R76" i="133" l="1"/>
  <c r="O44" i="138" l="1"/>
  <c r="F127" i="133"/>
  <c r="N121" i="133"/>
  <c r="O121" i="133" s="1"/>
  <c r="P121" i="133" s="1"/>
  <c r="Q121" i="133" s="1"/>
  <c r="G121" i="133"/>
  <c r="H121" i="133" s="1"/>
  <c r="I121" i="133" s="1"/>
  <c r="J121" i="133" s="1"/>
  <c r="K121" i="133" s="1"/>
  <c r="Q114" i="133"/>
  <c r="D113" i="133"/>
  <c r="E113" i="133" s="1"/>
  <c r="F113" i="133" l="1"/>
  <c r="F115" i="133" s="1"/>
  <c r="G113" i="133"/>
  <c r="G115" i="133" s="1"/>
  <c r="H114" i="133"/>
  <c r="K114" i="133"/>
  <c r="L114" i="133"/>
  <c r="I114" i="133"/>
  <c r="M114" i="133"/>
  <c r="N114" i="133"/>
  <c r="G114" i="133"/>
  <c r="O114" i="133"/>
  <c r="J114" i="133"/>
  <c r="P113" i="133"/>
  <c r="P115" i="133" s="1"/>
  <c r="H113" i="133"/>
  <c r="H115" i="133" s="1"/>
  <c r="O113" i="133"/>
  <c r="O115" i="133" s="1"/>
  <c r="I113" i="133"/>
  <c r="I115" i="133" s="1"/>
  <c r="N113" i="133"/>
  <c r="N115" i="133" s="1"/>
  <c r="K113" i="133"/>
  <c r="K115" i="133" s="1"/>
  <c r="M113" i="133"/>
  <c r="M115" i="133" s="1"/>
  <c r="Q113" i="133"/>
  <c r="Q115" i="133" s="1"/>
  <c r="L113" i="133"/>
  <c r="L115" i="133" s="1"/>
  <c r="J113" i="133"/>
  <c r="J115" i="133" s="1"/>
  <c r="P114" i="133"/>
  <c r="H77" i="181" l="1"/>
  <c r="G66" i="124"/>
  <c r="K66" i="124"/>
  <c r="L66" i="124"/>
  <c r="M66" i="124"/>
  <c r="N66" i="124"/>
  <c r="O66" i="124"/>
  <c r="P66" i="124"/>
  <c r="Q66" i="124"/>
  <c r="F66" i="124"/>
  <c r="R67" i="124" l="1"/>
  <c r="R66" i="124"/>
  <c r="F200" i="58"/>
  <c r="G78" i="181"/>
  <c r="G52" i="181" s="1"/>
  <c r="G77" i="181"/>
  <c r="G51" i="181" s="1"/>
  <c r="F284" i="58" l="1"/>
  <c r="E22" i="181" s="1"/>
  <c r="E96" i="133"/>
  <c r="E95" i="133"/>
  <c r="F231" i="58" l="1"/>
  <c r="F232" i="58"/>
  <c r="F233" i="58"/>
  <c r="F234" i="58"/>
  <c r="F235" i="58"/>
  <c r="F236" i="58"/>
  <c r="F237" i="58"/>
  <c r="F238" i="58"/>
  <c r="F239" i="58"/>
  <c r="F240" i="58"/>
  <c r="F241" i="58"/>
  <c r="F242" i="58"/>
  <c r="F243" i="58"/>
  <c r="W243" i="58"/>
  <c r="V243" i="58"/>
  <c r="U243" i="58"/>
  <c r="T243" i="58"/>
  <c r="S243" i="58"/>
  <c r="R243" i="58"/>
  <c r="W241" i="58"/>
  <c r="V241" i="58"/>
  <c r="U241" i="58"/>
  <c r="T241" i="58"/>
  <c r="S241" i="58"/>
  <c r="R241" i="58"/>
  <c r="L146" i="58"/>
  <c r="L145" i="58"/>
  <c r="L144" i="58"/>
  <c r="W233" i="58"/>
  <c r="V233" i="58"/>
  <c r="U233" i="58"/>
  <c r="T233" i="58"/>
  <c r="S233" i="58"/>
  <c r="R233" i="58"/>
  <c r="L135" i="58"/>
  <c r="L134" i="58"/>
  <c r="W231" i="58"/>
  <c r="V231" i="58"/>
  <c r="U231" i="58"/>
  <c r="T231" i="58"/>
  <c r="S231" i="58"/>
  <c r="R231" i="58"/>
  <c r="L133" i="58"/>
  <c r="L128" i="58"/>
  <c r="L129" i="58"/>
  <c r="L130" i="58"/>
  <c r="L131" i="58"/>
  <c r="L132" i="58"/>
  <c r="L136" i="58"/>
  <c r="L137" i="58"/>
  <c r="L139" i="58"/>
  <c r="L140" i="58"/>
  <c r="L141" i="58"/>
  <c r="L142" i="58"/>
  <c r="R239" i="58"/>
  <c r="S239" i="58"/>
  <c r="T239" i="58"/>
  <c r="U239" i="58"/>
  <c r="V239" i="58"/>
  <c r="W239" i="58"/>
  <c r="L143" i="58"/>
  <c r="L147" i="58"/>
  <c r="L148" i="58"/>
  <c r="L150" i="58"/>
  <c r="L151" i="58"/>
  <c r="L152" i="58" s="1"/>
  <c r="L153" i="58"/>
  <c r="L154" i="58"/>
  <c r="L155" i="58"/>
  <c r="L156" i="58"/>
  <c r="L159" i="58"/>
  <c r="L160" i="58"/>
  <c r="L162" i="58"/>
  <c r="L165" i="58"/>
  <c r="L166" i="58"/>
  <c r="L167" i="58"/>
  <c r="L168" i="58"/>
  <c r="L169" i="58"/>
  <c r="L170" i="58"/>
  <c r="L172" i="58"/>
  <c r="L174" i="58"/>
  <c r="L175" i="58"/>
  <c r="L176" i="58"/>
  <c r="L178" i="58"/>
  <c r="L183" i="58"/>
  <c r="L184" i="58"/>
  <c r="L185" i="58"/>
  <c r="L187" i="58"/>
  <c r="L188" i="58"/>
  <c r="L189" i="58"/>
  <c r="L191" i="58"/>
  <c r="L192" i="58"/>
  <c r="L194" i="58"/>
  <c r="O280" i="58" s="1"/>
  <c r="L195" i="58"/>
  <c r="O281" i="58" s="1"/>
  <c r="L196" i="58"/>
  <c r="O282" i="58" s="1"/>
  <c r="L199" i="58"/>
  <c r="M283" i="58" s="1"/>
  <c r="U76" i="110"/>
  <c r="T76" i="110"/>
  <c r="S76" i="110"/>
  <c r="R76" i="110"/>
  <c r="Q76" i="110"/>
  <c r="P76" i="110"/>
  <c r="O76" i="110"/>
  <c r="N76" i="110"/>
  <c r="M76" i="110"/>
  <c r="L76" i="110"/>
  <c r="K76" i="110"/>
  <c r="J76" i="110"/>
  <c r="U75" i="110"/>
  <c r="T75" i="110"/>
  <c r="S75" i="110"/>
  <c r="R75" i="110"/>
  <c r="Q75" i="110"/>
  <c r="P75" i="110"/>
  <c r="O75" i="110"/>
  <c r="N75" i="110"/>
  <c r="M75" i="110"/>
  <c r="L75" i="110"/>
  <c r="K75" i="110"/>
  <c r="J75" i="110"/>
  <c r="U74" i="110"/>
  <c r="T74" i="110"/>
  <c r="S74" i="110"/>
  <c r="R74" i="110"/>
  <c r="Q74" i="110"/>
  <c r="P74" i="110"/>
  <c r="O74" i="110"/>
  <c r="N74" i="110"/>
  <c r="M74" i="110"/>
  <c r="L74" i="110"/>
  <c r="K74" i="110"/>
  <c r="J74" i="110"/>
  <c r="U73" i="110"/>
  <c r="T73" i="110"/>
  <c r="S73" i="110"/>
  <c r="R73" i="110"/>
  <c r="Q73" i="110"/>
  <c r="P73" i="110"/>
  <c r="O73" i="110"/>
  <c r="N73" i="110"/>
  <c r="M73" i="110"/>
  <c r="L73" i="110"/>
  <c r="K73" i="110"/>
  <c r="J73" i="110"/>
  <c r="U72" i="110"/>
  <c r="T72" i="110"/>
  <c r="S72" i="110"/>
  <c r="R72" i="110"/>
  <c r="Q72" i="110"/>
  <c r="P72" i="110"/>
  <c r="O72" i="110"/>
  <c r="N72" i="110"/>
  <c r="M72" i="110"/>
  <c r="L72" i="110"/>
  <c r="K72" i="110"/>
  <c r="J72" i="110"/>
  <c r="U71" i="110"/>
  <c r="T71" i="110"/>
  <c r="S71" i="110"/>
  <c r="R71" i="110"/>
  <c r="Q71" i="110"/>
  <c r="P71" i="110"/>
  <c r="O71" i="110"/>
  <c r="N71" i="110"/>
  <c r="M71" i="110"/>
  <c r="L71" i="110"/>
  <c r="K71" i="110"/>
  <c r="J71" i="110"/>
  <c r="U70" i="110"/>
  <c r="T70" i="110"/>
  <c r="S70" i="110"/>
  <c r="R70" i="110"/>
  <c r="Q70" i="110"/>
  <c r="P70" i="110"/>
  <c r="O70" i="110"/>
  <c r="N70" i="110"/>
  <c r="M70" i="110"/>
  <c r="L70" i="110"/>
  <c r="K70" i="110"/>
  <c r="J70" i="110"/>
  <c r="U69" i="110"/>
  <c r="T69" i="110"/>
  <c r="S69" i="110"/>
  <c r="R69" i="110"/>
  <c r="Q69" i="110"/>
  <c r="P69" i="110"/>
  <c r="O69" i="110"/>
  <c r="N69" i="110"/>
  <c r="M69" i="110"/>
  <c r="L69" i="110"/>
  <c r="K69" i="110"/>
  <c r="J69" i="110"/>
  <c r="U68" i="110"/>
  <c r="T68" i="110"/>
  <c r="S68" i="110"/>
  <c r="R68" i="110"/>
  <c r="Q68" i="110"/>
  <c r="P68" i="110"/>
  <c r="O68" i="110"/>
  <c r="N68" i="110"/>
  <c r="M68" i="110"/>
  <c r="L68" i="110"/>
  <c r="K68" i="110"/>
  <c r="J68" i="110"/>
  <c r="U67" i="110"/>
  <c r="T67" i="110"/>
  <c r="S67" i="110"/>
  <c r="R67" i="110"/>
  <c r="Q67" i="110"/>
  <c r="P67" i="110"/>
  <c r="O67" i="110"/>
  <c r="N67" i="110"/>
  <c r="M67" i="110"/>
  <c r="L67" i="110"/>
  <c r="K67" i="110"/>
  <c r="J67" i="110"/>
  <c r="U66" i="110"/>
  <c r="T66" i="110"/>
  <c r="S66" i="110"/>
  <c r="R66" i="110"/>
  <c r="Q66" i="110"/>
  <c r="P66" i="110"/>
  <c r="O66" i="110"/>
  <c r="N66" i="110"/>
  <c r="M66" i="110"/>
  <c r="L66" i="110"/>
  <c r="K66" i="110"/>
  <c r="J66" i="110"/>
  <c r="U65" i="110"/>
  <c r="T65" i="110"/>
  <c r="S65" i="110"/>
  <c r="R65" i="110"/>
  <c r="Q65" i="110"/>
  <c r="P65" i="110"/>
  <c r="O65" i="110"/>
  <c r="N65" i="110"/>
  <c r="M65" i="110"/>
  <c r="L65" i="110"/>
  <c r="K65" i="110"/>
  <c r="J65" i="110"/>
  <c r="U64" i="110"/>
  <c r="T64" i="110"/>
  <c r="S64" i="110"/>
  <c r="R64" i="110"/>
  <c r="Q64" i="110"/>
  <c r="P64" i="110"/>
  <c r="O64" i="110"/>
  <c r="N64" i="110"/>
  <c r="M64" i="110"/>
  <c r="L64" i="110"/>
  <c r="K64" i="110"/>
  <c r="J64" i="110"/>
  <c r="U63" i="110"/>
  <c r="T63" i="110"/>
  <c r="S63" i="110"/>
  <c r="R63" i="110"/>
  <c r="Q63" i="110"/>
  <c r="P63" i="110"/>
  <c r="O63" i="110"/>
  <c r="N63" i="110"/>
  <c r="M63" i="110"/>
  <c r="L63" i="110"/>
  <c r="K63" i="110"/>
  <c r="J63" i="110"/>
  <c r="U62" i="110"/>
  <c r="T62" i="110"/>
  <c r="S62" i="110"/>
  <c r="R62" i="110"/>
  <c r="Q62" i="110"/>
  <c r="P62" i="110"/>
  <c r="O62" i="110"/>
  <c r="N62" i="110"/>
  <c r="M62" i="110"/>
  <c r="L62" i="110"/>
  <c r="K62" i="110"/>
  <c r="J62" i="110"/>
  <c r="U61" i="110"/>
  <c r="T61" i="110"/>
  <c r="S61" i="110"/>
  <c r="R61" i="110"/>
  <c r="Q61" i="110"/>
  <c r="P61" i="110"/>
  <c r="O61" i="110"/>
  <c r="N61" i="110"/>
  <c r="M61" i="110"/>
  <c r="L61" i="110"/>
  <c r="K61" i="110"/>
  <c r="J61" i="110"/>
  <c r="U60" i="110"/>
  <c r="T60" i="110"/>
  <c r="S60" i="110"/>
  <c r="R60" i="110"/>
  <c r="Q60" i="110"/>
  <c r="P60" i="110"/>
  <c r="O60" i="110"/>
  <c r="N60" i="110"/>
  <c r="M60" i="110"/>
  <c r="L60" i="110"/>
  <c r="K60" i="110"/>
  <c r="J60" i="110"/>
  <c r="U59" i="110"/>
  <c r="T59" i="110"/>
  <c r="S59" i="110"/>
  <c r="R59" i="110"/>
  <c r="Q59" i="110"/>
  <c r="P59" i="110"/>
  <c r="O59" i="110"/>
  <c r="N59" i="110"/>
  <c r="M59" i="110"/>
  <c r="L59" i="110"/>
  <c r="K59" i="110"/>
  <c r="J59" i="110"/>
  <c r="U58" i="110"/>
  <c r="T58" i="110"/>
  <c r="S58" i="110"/>
  <c r="R58" i="110"/>
  <c r="Q58" i="110"/>
  <c r="P58" i="110"/>
  <c r="O58" i="110"/>
  <c r="N58" i="110"/>
  <c r="M58" i="110"/>
  <c r="L58" i="110"/>
  <c r="K58" i="110"/>
  <c r="J58" i="110"/>
  <c r="U57" i="110"/>
  <c r="T57" i="110"/>
  <c r="S57" i="110"/>
  <c r="R57" i="110"/>
  <c r="Q57" i="110"/>
  <c r="P57" i="110"/>
  <c r="O57" i="110"/>
  <c r="N57" i="110"/>
  <c r="M57" i="110"/>
  <c r="L57" i="110"/>
  <c r="K57" i="110"/>
  <c r="J57" i="110"/>
  <c r="U56" i="110"/>
  <c r="T56" i="110"/>
  <c r="S56" i="110"/>
  <c r="R56" i="110"/>
  <c r="Q56" i="110"/>
  <c r="P56" i="110"/>
  <c r="O56" i="110"/>
  <c r="N56" i="110"/>
  <c r="M56" i="110"/>
  <c r="L56" i="110"/>
  <c r="K56" i="110"/>
  <c r="J56" i="110"/>
  <c r="U55" i="110"/>
  <c r="T55" i="110"/>
  <c r="S55" i="110"/>
  <c r="R55" i="110"/>
  <c r="Q55" i="110"/>
  <c r="P55" i="110"/>
  <c r="O55" i="110"/>
  <c r="N55" i="110"/>
  <c r="M55" i="110"/>
  <c r="L55" i="110"/>
  <c r="K55" i="110"/>
  <c r="J55" i="110"/>
  <c r="U54" i="110"/>
  <c r="T54" i="110"/>
  <c r="S54" i="110"/>
  <c r="R54" i="110"/>
  <c r="Q54" i="110"/>
  <c r="P54" i="110"/>
  <c r="O54" i="110"/>
  <c r="N54" i="110"/>
  <c r="M54" i="110"/>
  <c r="L54" i="110"/>
  <c r="K54" i="110"/>
  <c r="J54" i="110"/>
  <c r="U53" i="110"/>
  <c r="T53" i="110"/>
  <c r="S53" i="110"/>
  <c r="R53" i="110"/>
  <c r="Q53" i="110"/>
  <c r="P53" i="110"/>
  <c r="O53" i="110"/>
  <c r="N53" i="110"/>
  <c r="M53" i="110"/>
  <c r="L53" i="110"/>
  <c r="K53" i="110"/>
  <c r="J53" i="110"/>
  <c r="U52" i="110"/>
  <c r="T52" i="110"/>
  <c r="S52" i="110"/>
  <c r="R52" i="110"/>
  <c r="Q52" i="110"/>
  <c r="P52" i="110"/>
  <c r="O52" i="110"/>
  <c r="N52" i="110"/>
  <c r="M52" i="110"/>
  <c r="L52" i="110"/>
  <c r="K52" i="110"/>
  <c r="J52" i="110"/>
  <c r="U51" i="110"/>
  <c r="T51" i="110"/>
  <c r="S51" i="110"/>
  <c r="R51" i="110"/>
  <c r="Q51" i="110"/>
  <c r="P51" i="110"/>
  <c r="O51" i="110"/>
  <c r="N51" i="110"/>
  <c r="M51" i="110"/>
  <c r="L51" i="110"/>
  <c r="K51" i="110"/>
  <c r="J51" i="110"/>
  <c r="U50" i="110"/>
  <c r="T50" i="110"/>
  <c r="S50" i="110"/>
  <c r="R50" i="110"/>
  <c r="Q50" i="110"/>
  <c r="P50" i="110"/>
  <c r="O50" i="110"/>
  <c r="N50" i="110"/>
  <c r="M50" i="110"/>
  <c r="L50" i="110"/>
  <c r="K50" i="110"/>
  <c r="J50" i="110"/>
  <c r="U49" i="110"/>
  <c r="T49" i="110"/>
  <c r="S49" i="110"/>
  <c r="R49" i="110"/>
  <c r="Q49" i="110"/>
  <c r="P49" i="110"/>
  <c r="O49" i="110"/>
  <c r="N49" i="110"/>
  <c r="M49" i="110"/>
  <c r="L49" i="110"/>
  <c r="K49" i="110"/>
  <c r="J49" i="110"/>
  <c r="U48" i="110"/>
  <c r="T48" i="110"/>
  <c r="S48" i="110"/>
  <c r="R48" i="110"/>
  <c r="Q48" i="110"/>
  <c r="P48" i="110"/>
  <c r="O48" i="110"/>
  <c r="N48" i="110"/>
  <c r="M48" i="110"/>
  <c r="L48" i="110"/>
  <c r="K48" i="110"/>
  <c r="J48" i="110"/>
  <c r="U47" i="110"/>
  <c r="T47" i="110"/>
  <c r="S47" i="110"/>
  <c r="R47" i="110"/>
  <c r="Q47" i="110"/>
  <c r="P47" i="110"/>
  <c r="O47" i="110"/>
  <c r="N47" i="110"/>
  <c r="M47" i="110"/>
  <c r="L47" i="110"/>
  <c r="K47" i="110"/>
  <c r="J47" i="110"/>
  <c r="U46" i="110"/>
  <c r="T46" i="110"/>
  <c r="S46" i="110"/>
  <c r="R46" i="110"/>
  <c r="Q46" i="110"/>
  <c r="P46" i="110"/>
  <c r="O46" i="110"/>
  <c r="N46" i="110"/>
  <c r="M46" i="110"/>
  <c r="L46" i="110"/>
  <c r="K46" i="110"/>
  <c r="J46" i="110"/>
  <c r="U45" i="110"/>
  <c r="T45" i="110"/>
  <c r="S45" i="110"/>
  <c r="R45" i="110"/>
  <c r="Q45" i="110"/>
  <c r="P45" i="110"/>
  <c r="O45" i="110"/>
  <c r="N45" i="110"/>
  <c r="M45" i="110"/>
  <c r="L45" i="110"/>
  <c r="K45" i="110"/>
  <c r="J45" i="110"/>
  <c r="U44" i="110"/>
  <c r="T44" i="110"/>
  <c r="S44" i="110"/>
  <c r="R44" i="110"/>
  <c r="Q44" i="110"/>
  <c r="P44" i="110"/>
  <c r="O44" i="110"/>
  <c r="N44" i="110"/>
  <c r="M44" i="110"/>
  <c r="L44" i="110"/>
  <c r="K44" i="110"/>
  <c r="J44" i="110"/>
  <c r="U43" i="110"/>
  <c r="T43" i="110"/>
  <c r="S43" i="110"/>
  <c r="R43" i="110"/>
  <c r="Q43" i="110"/>
  <c r="P43" i="110"/>
  <c r="O43" i="110"/>
  <c r="N43" i="110"/>
  <c r="M43" i="110"/>
  <c r="L43" i="110"/>
  <c r="K43" i="110"/>
  <c r="J43" i="110"/>
  <c r="U42" i="110"/>
  <c r="T42" i="110"/>
  <c r="S42" i="110"/>
  <c r="R42" i="110"/>
  <c r="Q42" i="110"/>
  <c r="P42" i="110"/>
  <c r="O42" i="110"/>
  <c r="N42" i="110"/>
  <c r="M42" i="110"/>
  <c r="L42" i="110"/>
  <c r="K42" i="110"/>
  <c r="J42" i="110"/>
  <c r="U41" i="110"/>
  <c r="T41" i="110"/>
  <c r="S41" i="110"/>
  <c r="R41" i="110"/>
  <c r="Q41" i="110"/>
  <c r="P41" i="110"/>
  <c r="O41" i="110"/>
  <c r="N41" i="110"/>
  <c r="M41" i="110"/>
  <c r="L41" i="110"/>
  <c r="K41" i="110"/>
  <c r="J41" i="110"/>
  <c r="U40" i="110"/>
  <c r="T40" i="110"/>
  <c r="S40" i="110"/>
  <c r="R40" i="110"/>
  <c r="Q40" i="110"/>
  <c r="P40" i="110"/>
  <c r="O40" i="110"/>
  <c r="N40" i="110"/>
  <c r="M40" i="110"/>
  <c r="L40" i="110"/>
  <c r="K40" i="110"/>
  <c r="J40" i="110"/>
  <c r="U39" i="110"/>
  <c r="T39" i="110"/>
  <c r="S39" i="110"/>
  <c r="R39" i="110"/>
  <c r="Q39" i="110"/>
  <c r="P39" i="110"/>
  <c r="O39" i="110"/>
  <c r="N39" i="110"/>
  <c r="M39" i="110"/>
  <c r="L39" i="110"/>
  <c r="K39" i="110"/>
  <c r="J39" i="110"/>
  <c r="U38" i="110"/>
  <c r="T38" i="110"/>
  <c r="S38" i="110"/>
  <c r="R38" i="110"/>
  <c r="Q38" i="110"/>
  <c r="P38" i="110"/>
  <c r="O38" i="110"/>
  <c r="N38" i="110"/>
  <c r="M38" i="110"/>
  <c r="L38" i="110"/>
  <c r="K38" i="110"/>
  <c r="J38" i="110"/>
  <c r="U37" i="110"/>
  <c r="T37" i="110"/>
  <c r="S37" i="110"/>
  <c r="R37" i="110"/>
  <c r="Q37" i="110"/>
  <c r="P37" i="110"/>
  <c r="O37" i="110"/>
  <c r="N37" i="110"/>
  <c r="M37" i="110"/>
  <c r="L37" i="110"/>
  <c r="K37" i="110"/>
  <c r="J37" i="110"/>
  <c r="U36" i="110"/>
  <c r="T36" i="110"/>
  <c r="S36" i="110"/>
  <c r="R36" i="110"/>
  <c r="Q36" i="110"/>
  <c r="P36" i="110"/>
  <c r="O36" i="110"/>
  <c r="N36" i="110"/>
  <c r="M36" i="110"/>
  <c r="L36" i="110"/>
  <c r="K36" i="110"/>
  <c r="J36" i="110"/>
  <c r="U35" i="110"/>
  <c r="T35" i="110"/>
  <c r="S35" i="110"/>
  <c r="R35" i="110"/>
  <c r="Q35" i="110"/>
  <c r="P35" i="110"/>
  <c r="O35" i="110"/>
  <c r="N35" i="110"/>
  <c r="M35" i="110"/>
  <c r="L35" i="110"/>
  <c r="K35" i="110"/>
  <c r="J35" i="110"/>
  <c r="U34" i="110"/>
  <c r="T34" i="110"/>
  <c r="S34" i="110"/>
  <c r="R34" i="110"/>
  <c r="Q34" i="110"/>
  <c r="P34" i="110"/>
  <c r="O34" i="110"/>
  <c r="N34" i="110"/>
  <c r="M34" i="110"/>
  <c r="L34" i="110"/>
  <c r="K34" i="110"/>
  <c r="J34" i="110"/>
  <c r="U33" i="110"/>
  <c r="T33" i="110"/>
  <c r="S33" i="110"/>
  <c r="R33" i="110"/>
  <c r="Q33" i="110"/>
  <c r="P33" i="110"/>
  <c r="O33" i="110"/>
  <c r="N33" i="110"/>
  <c r="M33" i="110"/>
  <c r="L33" i="110"/>
  <c r="K33" i="110"/>
  <c r="J33" i="110"/>
  <c r="U32" i="110"/>
  <c r="T32" i="110"/>
  <c r="S32" i="110"/>
  <c r="R32" i="110"/>
  <c r="Q32" i="110"/>
  <c r="P32" i="110"/>
  <c r="O32" i="110"/>
  <c r="N32" i="110"/>
  <c r="M32" i="110"/>
  <c r="L32" i="110"/>
  <c r="K32" i="110"/>
  <c r="J32" i="110"/>
  <c r="U31" i="110"/>
  <c r="T31" i="110"/>
  <c r="S31" i="110"/>
  <c r="R31" i="110"/>
  <c r="Q31" i="110"/>
  <c r="P31" i="110"/>
  <c r="O31" i="110"/>
  <c r="N31" i="110"/>
  <c r="M31" i="110"/>
  <c r="L31" i="110"/>
  <c r="K31" i="110"/>
  <c r="J31" i="110"/>
  <c r="U30" i="110"/>
  <c r="T30" i="110"/>
  <c r="S30" i="110"/>
  <c r="R30" i="110"/>
  <c r="Q30" i="110"/>
  <c r="P30" i="110"/>
  <c r="O30" i="110"/>
  <c r="N30" i="110"/>
  <c r="M30" i="110"/>
  <c r="L30" i="110"/>
  <c r="K30" i="110"/>
  <c r="J30" i="110"/>
  <c r="U29" i="110"/>
  <c r="T29" i="110"/>
  <c r="S29" i="110"/>
  <c r="R29" i="110"/>
  <c r="Q29" i="110"/>
  <c r="P29" i="110"/>
  <c r="O29" i="110"/>
  <c r="N29" i="110"/>
  <c r="M29" i="110"/>
  <c r="L29" i="110"/>
  <c r="K29" i="110"/>
  <c r="J29" i="110"/>
  <c r="U28" i="110"/>
  <c r="T28" i="110"/>
  <c r="S28" i="110"/>
  <c r="R28" i="110"/>
  <c r="Q28" i="110"/>
  <c r="P28" i="110"/>
  <c r="O28" i="110"/>
  <c r="N28" i="110"/>
  <c r="M28" i="110"/>
  <c r="L28" i="110"/>
  <c r="K28" i="110"/>
  <c r="J28" i="110"/>
  <c r="U27" i="110"/>
  <c r="T27" i="110"/>
  <c r="S27" i="110"/>
  <c r="R27" i="110"/>
  <c r="Q27" i="110"/>
  <c r="P27" i="110"/>
  <c r="O27" i="110"/>
  <c r="N27" i="110"/>
  <c r="M27" i="110"/>
  <c r="L27" i="110"/>
  <c r="K27" i="110"/>
  <c r="J27" i="110"/>
  <c r="U26" i="110"/>
  <c r="T26" i="110"/>
  <c r="S26" i="110"/>
  <c r="R26" i="110"/>
  <c r="Q26" i="110"/>
  <c r="P26" i="110"/>
  <c r="O26" i="110"/>
  <c r="N26" i="110"/>
  <c r="M26" i="110"/>
  <c r="L26" i="110"/>
  <c r="K26" i="110"/>
  <c r="J26" i="110"/>
  <c r="U25" i="110"/>
  <c r="T25" i="110"/>
  <c r="S25" i="110"/>
  <c r="R25" i="110"/>
  <c r="Q25" i="110"/>
  <c r="P25" i="110"/>
  <c r="O25" i="110"/>
  <c r="N25" i="110"/>
  <c r="M25" i="110"/>
  <c r="L25" i="110"/>
  <c r="K25" i="110"/>
  <c r="J25" i="110"/>
  <c r="U24" i="110"/>
  <c r="T24" i="110"/>
  <c r="S24" i="110"/>
  <c r="R24" i="110"/>
  <c r="Q24" i="110"/>
  <c r="P24" i="110"/>
  <c r="O24" i="110"/>
  <c r="N24" i="110"/>
  <c r="M24" i="110"/>
  <c r="L24" i="110"/>
  <c r="K24" i="110"/>
  <c r="J24" i="110"/>
  <c r="U23" i="110"/>
  <c r="T23" i="110"/>
  <c r="S23" i="110"/>
  <c r="R23" i="110"/>
  <c r="Q23" i="110"/>
  <c r="P23" i="110"/>
  <c r="O23" i="110"/>
  <c r="N23" i="110"/>
  <c r="M23" i="110"/>
  <c r="L23" i="110"/>
  <c r="K23" i="110"/>
  <c r="J23" i="110"/>
  <c r="U22" i="110"/>
  <c r="T22" i="110"/>
  <c r="S22" i="110"/>
  <c r="R22" i="110"/>
  <c r="Q22" i="110"/>
  <c r="P22" i="110"/>
  <c r="O22" i="110"/>
  <c r="N22" i="110"/>
  <c r="M22" i="110"/>
  <c r="L22" i="110"/>
  <c r="K22" i="110"/>
  <c r="J22" i="110"/>
  <c r="U21" i="110"/>
  <c r="T21" i="110"/>
  <c r="S21" i="110"/>
  <c r="R21" i="110"/>
  <c r="Q21" i="110"/>
  <c r="P21" i="110"/>
  <c r="O21" i="110"/>
  <c r="N21" i="110"/>
  <c r="M21" i="110"/>
  <c r="L21" i="110"/>
  <c r="K21" i="110"/>
  <c r="J21" i="110"/>
  <c r="U20" i="110"/>
  <c r="T20" i="110"/>
  <c r="S20" i="110"/>
  <c r="R20" i="110"/>
  <c r="Q20" i="110"/>
  <c r="P20" i="110"/>
  <c r="O20" i="110"/>
  <c r="N20" i="110"/>
  <c r="M20" i="110"/>
  <c r="L20" i="110"/>
  <c r="K20" i="110"/>
  <c r="F26" i="110"/>
  <c r="F110" i="110" s="1"/>
  <c r="F27" i="110"/>
  <c r="G27" i="110" s="1"/>
  <c r="F28" i="110"/>
  <c r="G28" i="110" s="1"/>
  <c r="F29" i="110"/>
  <c r="G29" i="110" s="1"/>
  <c r="F30" i="110"/>
  <c r="I30" i="110" s="1"/>
  <c r="F31" i="110"/>
  <c r="H31" i="110" s="1"/>
  <c r="F32" i="110"/>
  <c r="F116" i="110" s="1"/>
  <c r="F33" i="110"/>
  <c r="F117" i="110" s="1"/>
  <c r="F34" i="110"/>
  <c r="G34" i="110" s="1"/>
  <c r="F35" i="110"/>
  <c r="F119" i="110" s="1"/>
  <c r="F36" i="110"/>
  <c r="I36" i="110" s="1"/>
  <c r="F37" i="110"/>
  <c r="G37" i="110" s="1"/>
  <c r="F38" i="110"/>
  <c r="F122" i="110" s="1"/>
  <c r="O286" i="58" l="1"/>
  <c r="L197" i="58"/>
  <c r="L361" i="58"/>
  <c r="L190" i="58"/>
  <c r="L186" i="58"/>
  <c r="L158" i="58"/>
  <c r="L179" i="58"/>
  <c r="L149" i="58"/>
  <c r="L171" i="58"/>
  <c r="L324" i="58"/>
  <c r="L322" i="58"/>
  <c r="L362" i="58"/>
  <c r="L365" i="58"/>
  <c r="L363" i="58"/>
  <c r="L360" i="58"/>
  <c r="V31" i="110"/>
  <c r="V38" i="110"/>
  <c r="V30" i="110"/>
  <c r="V37" i="110"/>
  <c r="V44" i="110"/>
  <c r="V26" i="110"/>
  <c r="V33" i="110"/>
  <c r="V40" i="110"/>
  <c r="V25" i="110"/>
  <c r="V32" i="110"/>
  <c r="V39" i="110"/>
  <c r="V28" i="110"/>
  <c r="V35" i="110"/>
  <c r="V42" i="110"/>
  <c r="V43" i="110"/>
  <c r="V27" i="110"/>
  <c r="V34" i="110"/>
  <c r="V41" i="110"/>
  <c r="V36" i="110"/>
  <c r="V29" i="110"/>
  <c r="X192" i="58"/>
  <c r="X233" i="58"/>
  <c r="X239" i="58"/>
  <c r="X231" i="58"/>
  <c r="X241" i="58"/>
  <c r="X243" i="58"/>
  <c r="X180" i="58"/>
  <c r="X181" i="58" s="1"/>
  <c r="X169" i="58"/>
  <c r="X159" i="58"/>
  <c r="X147" i="58"/>
  <c r="X130" i="58"/>
  <c r="X146" i="58"/>
  <c r="X145" i="58"/>
  <c r="X139" i="58"/>
  <c r="X193" i="58"/>
  <c r="X183" i="58"/>
  <c r="X170" i="58"/>
  <c r="X160" i="58"/>
  <c r="X148" i="58"/>
  <c r="X140" i="58"/>
  <c r="X131" i="58"/>
  <c r="X199" i="58"/>
  <c r="X195" i="58"/>
  <c r="X191" i="58"/>
  <c r="X188" i="58"/>
  <c r="X185" i="58"/>
  <c r="X178" i="58"/>
  <c r="X175" i="58"/>
  <c r="X173" i="58"/>
  <c r="X168" i="58"/>
  <c r="X166" i="58"/>
  <c r="X162" i="58"/>
  <c r="X156" i="58"/>
  <c r="X154" i="58"/>
  <c r="X151" i="58"/>
  <c r="X152" i="58" s="1"/>
  <c r="X143" i="58"/>
  <c r="X141" i="58"/>
  <c r="X136" i="58"/>
  <c r="X129" i="58"/>
  <c r="X133" i="58"/>
  <c r="X135" i="58"/>
  <c r="X196" i="58"/>
  <c r="X194" i="58"/>
  <c r="X189" i="58"/>
  <c r="X187" i="58"/>
  <c r="X184" i="58"/>
  <c r="X176" i="58"/>
  <c r="X174" i="58"/>
  <c r="X172" i="58"/>
  <c r="X167" i="58"/>
  <c r="X165" i="58"/>
  <c r="X161" i="58"/>
  <c r="X163" i="58" s="1"/>
  <c r="X155" i="58"/>
  <c r="X153" i="58"/>
  <c r="X150" i="58"/>
  <c r="X142" i="58"/>
  <c r="X137" i="58"/>
  <c r="X132" i="58"/>
  <c r="X128" i="58"/>
  <c r="X134" i="58"/>
  <c r="X144" i="58"/>
  <c r="G36" i="110"/>
  <c r="H33" i="110"/>
  <c r="I33" i="110"/>
  <c r="I26" i="110"/>
  <c r="H26" i="110"/>
  <c r="H36" i="110"/>
  <c r="H110" i="110"/>
  <c r="I110" i="110"/>
  <c r="G110" i="110"/>
  <c r="L110" i="110" s="1"/>
  <c r="F196" i="110"/>
  <c r="G119" i="110"/>
  <c r="H119" i="110"/>
  <c r="F205" i="110"/>
  <c r="I119" i="110"/>
  <c r="I117" i="110"/>
  <c r="F203" i="110"/>
  <c r="G122" i="110"/>
  <c r="N122" i="110" s="1"/>
  <c r="F208" i="110"/>
  <c r="H116" i="110"/>
  <c r="F202" i="110"/>
  <c r="G116" i="110"/>
  <c r="I28" i="110"/>
  <c r="G26" i="110"/>
  <c r="H38" i="110"/>
  <c r="I35" i="110"/>
  <c r="G33" i="110"/>
  <c r="H30" i="110"/>
  <c r="F121" i="110"/>
  <c r="F113" i="110"/>
  <c r="I38" i="110"/>
  <c r="F114" i="110"/>
  <c r="I114" i="110" s="1"/>
  <c r="H28" i="110"/>
  <c r="G38" i="110"/>
  <c r="H35" i="110"/>
  <c r="I32" i="110"/>
  <c r="G30" i="110"/>
  <c r="F120" i="110"/>
  <c r="F112" i="110"/>
  <c r="F115" i="110"/>
  <c r="H115" i="110" s="1"/>
  <c r="I37" i="110"/>
  <c r="G35" i="110"/>
  <c r="H32" i="110"/>
  <c r="I29" i="110"/>
  <c r="F111" i="110"/>
  <c r="G31" i="110"/>
  <c r="I27" i="110"/>
  <c r="H37" i="110"/>
  <c r="I34" i="110"/>
  <c r="G32" i="110"/>
  <c r="H29" i="110"/>
  <c r="F118" i="110"/>
  <c r="H27" i="110"/>
  <c r="H34" i="110"/>
  <c r="I31" i="110"/>
  <c r="I122" i="110"/>
  <c r="H117" i="110"/>
  <c r="H122" i="110"/>
  <c r="G117" i="110"/>
  <c r="I116" i="110"/>
  <c r="E57" i="124"/>
  <c r="X158" i="58" l="1"/>
  <c r="X190" i="58"/>
  <c r="L198" i="58"/>
  <c r="X197" i="58"/>
  <c r="X186" i="58"/>
  <c r="X171" i="58"/>
  <c r="L182" i="58"/>
  <c r="X179" i="58"/>
  <c r="X149" i="58"/>
  <c r="H114" i="110"/>
  <c r="O122" i="110"/>
  <c r="U122" i="110"/>
  <c r="K122" i="110"/>
  <c r="P122" i="110"/>
  <c r="M122" i="110"/>
  <c r="S110" i="110"/>
  <c r="U110" i="110"/>
  <c r="P110" i="110"/>
  <c r="J122" i="110"/>
  <c r="Q110" i="110"/>
  <c r="N110" i="110"/>
  <c r="S122" i="110"/>
  <c r="M110" i="110"/>
  <c r="R122" i="110"/>
  <c r="T110" i="110"/>
  <c r="O110" i="110"/>
  <c r="Q122" i="110"/>
  <c r="T122" i="110"/>
  <c r="K110" i="110"/>
  <c r="R110" i="110"/>
  <c r="J110" i="110"/>
  <c r="L122" i="110"/>
  <c r="F207" i="110"/>
  <c r="I121" i="110"/>
  <c r="G121" i="110"/>
  <c r="H121" i="110"/>
  <c r="G202" i="110"/>
  <c r="H202" i="110"/>
  <c r="I202" i="110"/>
  <c r="F321" i="110"/>
  <c r="G115" i="110"/>
  <c r="F201" i="110"/>
  <c r="I115" i="110"/>
  <c r="G114" i="110"/>
  <c r="F200" i="110"/>
  <c r="G208" i="110"/>
  <c r="H208" i="110"/>
  <c r="F327" i="110"/>
  <c r="I208" i="110"/>
  <c r="F315" i="110"/>
  <c r="I196" i="110"/>
  <c r="G196" i="110"/>
  <c r="H196" i="110"/>
  <c r="G111" i="110"/>
  <c r="H111" i="110"/>
  <c r="I111" i="110"/>
  <c r="F197" i="110"/>
  <c r="H112" i="110"/>
  <c r="F198" i="110"/>
  <c r="I112" i="110"/>
  <c r="G112" i="110"/>
  <c r="I118" i="110"/>
  <c r="H118" i="110"/>
  <c r="F204" i="110"/>
  <c r="G118" i="110"/>
  <c r="F206" i="110"/>
  <c r="G120" i="110"/>
  <c r="H120" i="110"/>
  <c r="I120" i="110"/>
  <c r="G203" i="110"/>
  <c r="F322" i="110"/>
  <c r="H203" i="110"/>
  <c r="I203" i="110"/>
  <c r="F324" i="110"/>
  <c r="G205" i="110"/>
  <c r="H205" i="110"/>
  <c r="I205" i="110"/>
  <c r="F199" i="110"/>
  <c r="G113" i="110"/>
  <c r="H113" i="110"/>
  <c r="I113" i="110"/>
  <c r="P124" i="58"/>
  <c r="S223" i="58" s="1"/>
  <c r="P123" i="58"/>
  <c r="S222" i="58" s="1"/>
  <c r="Q122" i="58"/>
  <c r="T221" i="58" s="1"/>
  <c r="T214" i="58"/>
  <c r="S213" i="58"/>
  <c r="P267" i="58"/>
  <c r="P280" i="58"/>
  <c r="Q219" i="58"/>
  <c r="Q269" i="58"/>
  <c r="Q280" i="58"/>
  <c r="Q281" i="58"/>
  <c r="Q282" i="58"/>
  <c r="O119" i="58"/>
  <c r="O120" i="58"/>
  <c r="R219" i="58" s="1"/>
  <c r="R225" i="58"/>
  <c r="R227" i="58"/>
  <c r="R228" i="58"/>
  <c r="R229" i="58"/>
  <c r="R230" i="58"/>
  <c r="R232" i="58"/>
  <c r="R234" i="58"/>
  <c r="R235" i="58"/>
  <c r="R238" i="58"/>
  <c r="R240" i="58"/>
  <c r="R242" i="58"/>
  <c r="R244" i="58"/>
  <c r="R245" i="58"/>
  <c r="R247" i="58"/>
  <c r="R248" i="58"/>
  <c r="R249" i="58"/>
  <c r="R250" i="58"/>
  <c r="R251" i="58"/>
  <c r="R254" i="58"/>
  <c r="R257" i="58"/>
  <c r="R259" i="58"/>
  <c r="R260" i="58"/>
  <c r="R261" i="58"/>
  <c r="R262" i="58"/>
  <c r="R264" i="58"/>
  <c r="R265" i="58"/>
  <c r="R266" i="58"/>
  <c r="R269" i="58"/>
  <c r="R270" i="58"/>
  <c r="R271" i="58"/>
  <c r="R273" i="58"/>
  <c r="R274" i="58"/>
  <c r="R275" i="58"/>
  <c r="R277" i="58"/>
  <c r="R278" i="58"/>
  <c r="R281" i="58"/>
  <c r="R282" i="58"/>
  <c r="O202" i="58"/>
  <c r="P119" i="58"/>
  <c r="P120" i="58"/>
  <c r="S219" i="58" s="1"/>
  <c r="S226" i="58"/>
  <c r="S227" i="58"/>
  <c r="S230" i="58"/>
  <c r="S232" i="58"/>
  <c r="S235" i="58"/>
  <c r="S236" i="58"/>
  <c r="S237" i="58"/>
  <c r="S240" i="58"/>
  <c r="S242" i="58"/>
  <c r="S244" i="58"/>
  <c r="S245" i="58"/>
  <c r="S246" i="58"/>
  <c r="S247" i="58"/>
  <c r="S250" i="58"/>
  <c r="S251" i="58"/>
  <c r="S255" i="58"/>
  <c r="S256" i="58"/>
  <c r="S258" i="58"/>
  <c r="S259" i="58"/>
  <c r="S260" i="58"/>
  <c r="S262" i="58"/>
  <c r="S263" i="58"/>
  <c r="S264" i="58"/>
  <c r="S266" i="58"/>
  <c r="S267" i="58"/>
  <c r="S269" i="58"/>
  <c r="S271" i="58"/>
  <c r="S272" i="58"/>
  <c r="S273" i="58"/>
  <c r="S276" i="58"/>
  <c r="S277" i="58"/>
  <c r="S279" i="58"/>
  <c r="S280" i="58"/>
  <c r="S281" i="58"/>
  <c r="P202" i="58"/>
  <c r="Q119" i="58"/>
  <c r="Q120" i="58"/>
  <c r="T219" i="58" s="1"/>
  <c r="T225" i="58"/>
  <c r="T227" i="58"/>
  <c r="T228" i="58"/>
  <c r="T229" i="58"/>
  <c r="T230" i="58"/>
  <c r="T234" i="58"/>
  <c r="T235" i="58"/>
  <c r="T237" i="58"/>
  <c r="T238" i="58"/>
  <c r="T240" i="58"/>
  <c r="T242" i="58"/>
  <c r="T244" i="58"/>
  <c r="T245" i="58"/>
  <c r="T247" i="58"/>
  <c r="T249" i="58"/>
  <c r="T250" i="58"/>
  <c r="T253" i="58"/>
  <c r="T254" i="58"/>
  <c r="T256" i="58"/>
  <c r="T257" i="58"/>
  <c r="T258" i="58"/>
  <c r="T259" i="58"/>
  <c r="T261" i="58"/>
  <c r="T262" i="58"/>
  <c r="T265" i="58"/>
  <c r="T266" i="58"/>
  <c r="T270" i="58"/>
  <c r="T271" i="58"/>
  <c r="T273" i="58"/>
  <c r="T274" i="58"/>
  <c r="T275" i="58"/>
  <c r="T276" i="58"/>
  <c r="T277" i="58"/>
  <c r="T278" i="58"/>
  <c r="T279" i="58"/>
  <c r="T281" i="58"/>
  <c r="T282" i="58"/>
  <c r="Q365" i="58"/>
  <c r="Q201" i="58"/>
  <c r="Q202" i="58" s="1"/>
  <c r="R119" i="58"/>
  <c r="R120" i="58"/>
  <c r="U219" i="58" s="1"/>
  <c r="U226" i="58"/>
  <c r="U227" i="58"/>
  <c r="U230" i="58"/>
  <c r="U232" i="58"/>
  <c r="U234" i="58"/>
  <c r="U235" i="58"/>
  <c r="U236" i="58"/>
  <c r="U237" i="58"/>
  <c r="U240" i="58"/>
  <c r="U242" i="58"/>
  <c r="U244" i="58"/>
  <c r="U245" i="58"/>
  <c r="U246" i="58"/>
  <c r="U247" i="58"/>
  <c r="U250" i="58"/>
  <c r="U251" i="58"/>
  <c r="U253" i="58"/>
  <c r="U254" i="58"/>
  <c r="U255" i="58"/>
  <c r="U256" i="58"/>
  <c r="U259" i="58"/>
  <c r="U260" i="58"/>
  <c r="U261" i="58"/>
  <c r="U262" i="58"/>
  <c r="U263" i="58"/>
  <c r="U264" i="58"/>
  <c r="U267" i="58"/>
  <c r="U269" i="58"/>
  <c r="U270" i="58"/>
  <c r="U271" i="58"/>
  <c r="U272" i="58"/>
  <c r="U273" i="58"/>
  <c r="U276" i="58"/>
  <c r="U277" i="58"/>
  <c r="U278" i="58"/>
  <c r="U279" i="58"/>
  <c r="U280" i="58"/>
  <c r="U281" i="58"/>
  <c r="R201" i="58"/>
  <c r="R202" i="58" s="1"/>
  <c r="S119" i="58"/>
  <c r="S120" i="58"/>
  <c r="V219" i="58" s="1"/>
  <c r="V225" i="58"/>
  <c r="V226" i="58"/>
  <c r="V227" i="58"/>
  <c r="V228" i="58"/>
  <c r="V229" i="58"/>
  <c r="V234" i="58"/>
  <c r="V235" i="58"/>
  <c r="V236" i="58"/>
  <c r="V237" i="58"/>
  <c r="V238" i="58"/>
  <c r="V245" i="58"/>
  <c r="V246" i="58"/>
  <c r="V247" i="58"/>
  <c r="V248" i="58"/>
  <c r="V249" i="58"/>
  <c r="V254" i="58"/>
  <c r="V255" i="58"/>
  <c r="V256" i="58"/>
  <c r="V257" i="58"/>
  <c r="V258" i="58"/>
  <c r="V262" i="58"/>
  <c r="V263" i="58"/>
  <c r="V264" i="58"/>
  <c r="V265" i="58"/>
  <c r="V266" i="58"/>
  <c r="V271" i="58"/>
  <c r="V272" i="58"/>
  <c r="V273" i="58"/>
  <c r="V274" i="58"/>
  <c r="V275" i="58"/>
  <c r="V279" i="58"/>
  <c r="V280" i="58"/>
  <c r="V281" i="58"/>
  <c r="V282" i="58"/>
  <c r="S201" i="58"/>
  <c r="S202" i="58" s="1"/>
  <c r="T119" i="58"/>
  <c r="T120" i="58"/>
  <c r="W219" i="58" s="1"/>
  <c r="W227" i="58"/>
  <c r="W228" i="58"/>
  <c r="W229" i="58"/>
  <c r="W230" i="58"/>
  <c r="W232" i="58"/>
  <c r="W237" i="58"/>
  <c r="W238" i="58"/>
  <c r="W240" i="58"/>
  <c r="W242" i="58"/>
  <c r="W247" i="58"/>
  <c r="W249" i="58"/>
  <c r="W250" i="58"/>
  <c r="W251" i="58"/>
  <c r="W256" i="58"/>
  <c r="W257" i="58"/>
  <c r="W258" i="58"/>
  <c r="W259" i="58"/>
  <c r="W260" i="58"/>
  <c r="W264" i="58"/>
  <c r="W265" i="58"/>
  <c r="W266" i="58"/>
  <c r="W267" i="58"/>
  <c r="W269" i="58"/>
  <c r="W273" i="58"/>
  <c r="W274" i="58"/>
  <c r="W275" i="58"/>
  <c r="W276" i="58"/>
  <c r="W277" i="58"/>
  <c r="W281" i="58"/>
  <c r="W282" i="58"/>
  <c r="T201" i="58"/>
  <c r="T202" i="58" s="1"/>
  <c r="U119" i="58"/>
  <c r="U120" i="58"/>
  <c r="U201" i="58"/>
  <c r="U202" i="58" s="1"/>
  <c r="V119" i="58"/>
  <c r="V120" i="58"/>
  <c r="V201" i="58"/>
  <c r="V202" i="58" s="1"/>
  <c r="W119" i="58"/>
  <c r="W120" i="58"/>
  <c r="W365" i="58"/>
  <c r="W201" i="58"/>
  <c r="L119" i="58"/>
  <c r="L120" i="58"/>
  <c r="L127" i="58"/>
  <c r="L138" i="58" s="1"/>
  <c r="L164" i="58" s="1"/>
  <c r="L200" i="58"/>
  <c r="M284" i="58" s="1"/>
  <c r="M285" i="58"/>
  <c r="Q35" i="133"/>
  <c r="P35" i="133"/>
  <c r="O35" i="133"/>
  <c r="N35" i="133"/>
  <c r="K35" i="133"/>
  <c r="J35" i="133"/>
  <c r="I35" i="133"/>
  <c r="G35" i="133"/>
  <c r="F35" i="133"/>
  <c r="J5" i="110"/>
  <c r="I5" i="181" s="1"/>
  <c r="K5" i="110"/>
  <c r="J5" i="181" s="1"/>
  <c r="L5" i="110"/>
  <c r="M5" i="110"/>
  <c r="L5" i="181" s="1"/>
  <c r="N5" i="110"/>
  <c r="M5" i="181" s="1"/>
  <c r="O5" i="110"/>
  <c r="N5" i="181" s="1"/>
  <c r="P5" i="110"/>
  <c r="Q5" i="110"/>
  <c r="P5" i="181" s="1"/>
  <c r="P48" i="181" s="1"/>
  <c r="R5" i="110"/>
  <c r="Q5" i="181" s="1"/>
  <c r="Q48" i="181" s="1"/>
  <c r="S5" i="110"/>
  <c r="R5" i="181" s="1"/>
  <c r="R48" i="181" s="1"/>
  <c r="T5" i="110"/>
  <c r="S5" i="181" s="1"/>
  <c r="S48" i="181" s="1"/>
  <c r="U5" i="110"/>
  <c r="T5" i="181" s="1"/>
  <c r="T48" i="181" s="1"/>
  <c r="F6" i="110"/>
  <c r="J6" i="110"/>
  <c r="I6" i="181" s="1"/>
  <c r="K6" i="110"/>
  <c r="J6" i="181" s="1"/>
  <c r="L6" i="110"/>
  <c r="K6" i="181" s="1"/>
  <c r="M6" i="110"/>
  <c r="L6" i="181" s="1"/>
  <c r="N6" i="110"/>
  <c r="M6" i="181" s="1"/>
  <c r="O6" i="110"/>
  <c r="N6" i="181" s="1"/>
  <c r="P6" i="110"/>
  <c r="O6" i="181" s="1"/>
  <c r="Q6" i="110"/>
  <c r="R6" i="110"/>
  <c r="Q6" i="181" s="1"/>
  <c r="S6" i="110"/>
  <c r="T6" i="110"/>
  <c r="S6" i="181" s="1"/>
  <c r="U6" i="110"/>
  <c r="T6" i="181" s="1"/>
  <c r="F7" i="110"/>
  <c r="J7" i="110"/>
  <c r="K7" i="110"/>
  <c r="J7" i="181" s="1"/>
  <c r="L7" i="110"/>
  <c r="K7" i="181" s="1"/>
  <c r="M7" i="110"/>
  <c r="L7" i="181" s="1"/>
  <c r="N7" i="110"/>
  <c r="M7" i="181" s="1"/>
  <c r="O7" i="110"/>
  <c r="N7" i="181" s="1"/>
  <c r="P7" i="110"/>
  <c r="O7" i="181" s="1"/>
  <c r="Q7" i="110"/>
  <c r="P7" i="181" s="1"/>
  <c r="R7" i="110"/>
  <c r="S7" i="110"/>
  <c r="R7" i="181" s="1"/>
  <c r="T7" i="110"/>
  <c r="S7" i="181" s="1"/>
  <c r="U7" i="110"/>
  <c r="T7" i="181" s="1"/>
  <c r="F8" i="110"/>
  <c r="J8" i="110"/>
  <c r="I8" i="181" s="1"/>
  <c r="K8" i="110"/>
  <c r="L8" i="110"/>
  <c r="K8" i="181" s="1"/>
  <c r="M8" i="110"/>
  <c r="L8" i="181" s="1"/>
  <c r="N8" i="110"/>
  <c r="M8" i="181" s="1"/>
  <c r="O8" i="110"/>
  <c r="N8" i="181" s="1"/>
  <c r="P8" i="110"/>
  <c r="Q8" i="110"/>
  <c r="P8" i="181" s="1"/>
  <c r="R8" i="110"/>
  <c r="Q8" i="181" s="1"/>
  <c r="S8" i="110"/>
  <c r="R8" i="181" s="1"/>
  <c r="T8" i="110"/>
  <c r="S8" i="181" s="1"/>
  <c r="U8" i="110"/>
  <c r="T8" i="181" s="1"/>
  <c r="F9" i="110"/>
  <c r="J9" i="110"/>
  <c r="I9" i="181" s="1"/>
  <c r="K9" i="110"/>
  <c r="J9" i="181" s="1"/>
  <c r="L9" i="110"/>
  <c r="M9" i="110"/>
  <c r="L9" i="181" s="1"/>
  <c r="N9" i="110"/>
  <c r="M9" i="181" s="1"/>
  <c r="O9" i="110"/>
  <c r="N9" i="181" s="1"/>
  <c r="P9" i="110"/>
  <c r="O9" i="181" s="1"/>
  <c r="Q9" i="110"/>
  <c r="P9" i="181" s="1"/>
  <c r="R9" i="110"/>
  <c r="Q9" i="181" s="1"/>
  <c r="S9" i="110"/>
  <c r="R9" i="181" s="1"/>
  <c r="T9" i="110"/>
  <c r="U9" i="110"/>
  <c r="T9" i="181" s="1"/>
  <c r="F10" i="110"/>
  <c r="J10" i="110"/>
  <c r="I10" i="181" s="1"/>
  <c r="K10" i="110"/>
  <c r="J10" i="181" s="1"/>
  <c r="L10" i="110"/>
  <c r="K10" i="181" s="1"/>
  <c r="M10" i="110"/>
  <c r="N10" i="110"/>
  <c r="M10" i="181" s="1"/>
  <c r="N10" i="181"/>
  <c r="O10" i="181"/>
  <c r="P10" i="181"/>
  <c r="Q10" i="181"/>
  <c r="R10" i="181"/>
  <c r="T10" i="110"/>
  <c r="S10" i="181" s="1"/>
  <c r="U10" i="110"/>
  <c r="F11" i="110"/>
  <c r="J11" i="110"/>
  <c r="I11" i="181" s="1"/>
  <c r="K11" i="110"/>
  <c r="L11" i="110"/>
  <c r="K11" i="181" s="1"/>
  <c r="M11" i="110"/>
  <c r="L11" i="181" s="1"/>
  <c r="N11" i="110"/>
  <c r="O11" i="110"/>
  <c r="N11" i="181" s="1"/>
  <c r="P11" i="110"/>
  <c r="Q11" i="110"/>
  <c r="P11" i="181" s="1"/>
  <c r="R11" i="110"/>
  <c r="Q11" i="181" s="1"/>
  <c r="S11" i="110"/>
  <c r="R11" i="181" s="1"/>
  <c r="T11" i="110"/>
  <c r="S11" i="181" s="1"/>
  <c r="U11" i="110"/>
  <c r="T11" i="181" s="1"/>
  <c r="F13" i="110"/>
  <c r="F97" i="110" s="1"/>
  <c r="J13" i="110"/>
  <c r="K13" i="110"/>
  <c r="L13" i="110"/>
  <c r="M13" i="110"/>
  <c r="N13" i="110"/>
  <c r="O13" i="110"/>
  <c r="P13" i="110"/>
  <c r="Q13" i="110"/>
  <c r="R13" i="110"/>
  <c r="S13" i="110"/>
  <c r="T13" i="110"/>
  <c r="U13" i="110"/>
  <c r="F14" i="110"/>
  <c r="H14" i="110" s="1"/>
  <c r="AB14" i="110" s="1"/>
  <c r="AE14" i="110" s="1"/>
  <c r="J14" i="110"/>
  <c r="K14" i="110"/>
  <c r="L14" i="110"/>
  <c r="M14" i="110"/>
  <c r="N14" i="110"/>
  <c r="O14" i="110"/>
  <c r="P14" i="110"/>
  <c r="Q14" i="110"/>
  <c r="R14" i="110"/>
  <c r="S14" i="110"/>
  <c r="T14" i="110"/>
  <c r="U14" i="110"/>
  <c r="F15" i="110"/>
  <c r="F99" i="110" s="1"/>
  <c r="G99" i="110" s="1"/>
  <c r="J15" i="110"/>
  <c r="K15" i="110"/>
  <c r="L15" i="110"/>
  <c r="M15" i="110"/>
  <c r="N15" i="110"/>
  <c r="O15" i="110"/>
  <c r="P15" i="110"/>
  <c r="Q15" i="110"/>
  <c r="R15" i="110"/>
  <c r="S15" i="110"/>
  <c r="T15" i="110"/>
  <c r="U15" i="110"/>
  <c r="F16" i="110"/>
  <c r="F100" i="110" s="1"/>
  <c r="J16" i="110"/>
  <c r="K16" i="110"/>
  <c r="J16" i="181" s="1"/>
  <c r="L16" i="110"/>
  <c r="K16" i="181" s="1"/>
  <c r="M16" i="110"/>
  <c r="L16" i="181" s="1"/>
  <c r="N16" i="110"/>
  <c r="M16" i="181" s="1"/>
  <c r="O16" i="110"/>
  <c r="N16" i="181" s="1"/>
  <c r="P16" i="110"/>
  <c r="O16" i="181" s="1"/>
  <c r="Q16" i="110"/>
  <c r="P16" i="181" s="1"/>
  <c r="R16" i="110"/>
  <c r="Q16" i="181" s="1"/>
  <c r="S16" i="110"/>
  <c r="R16" i="181" s="1"/>
  <c r="T16" i="110"/>
  <c r="S16" i="181" s="1"/>
  <c r="U16" i="110"/>
  <c r="T16" i="181" s="1"/>
  <c r="F17" i="110"/>
  <c r="G17" i="110" s="1"/>
  <c r="AA17" i="110" s="1"/>
  <c r="AD17" i="110" s="1"/>
  <c r="J17" i="110"/>
  <c r="I17" i="181" s="1"/>
  <c r="K17" i="110"/>
  <c r="J17" i="181" s="1"/>
  <c r="L17" i="110"/>
  <c r="K17" i="181" s="1"/>
  <c r="M17" i="110"/>
  <c r="N17" i="110"/>
  <c r="M17" i="181" s="1"/>
  <c r="O17" i="110"/>
  <c r="N17" i="181" s="1"/>
  <c r="P17" i="110"/>
  <c r="O17" i="181" s="1"/>
  <c r="Q17" i="110"/>
  <c r="P17" i="181" s="1"/>
  <c r="R17" i="110"/>
  <c r="Q17" i="181" s="1"/>
  <c r="S17" i="110"/>
  <c r="R17" i="181" s="1"/>
  <c r="R35" i="181" s="1"/>
  <c r="R61" i="181" s="1"/>
  <c r="T17" i="110"/>
  <c r="S17" i="181" s="1"/>
  <c r="U17" i="110"/>
  <c r="T17" i="181" s="1"/>
  <c r="F18" i="110"/>
  <c r="G18" i="110" s="1"/>
  <c r="AA18" i="110" s="1"/>
  <c r="AD18" i="110" s="1"/>
  <c r="J18" i="110"/>
  <c r="K18" i="110"/>
  <c r="L18" i="110"/>
  <c r="M18" i="110"/>
  <c r="N18" i="110"/>
  <c r="O18" i="110"/>
  <c r="P18" i="110"/>
  <c r="Q18" i="110"/>
  <c r="R18" i="110"/>
  <c r="S18" i="110"/>
  <c r="T18" i="110"/>
  <c r="U18" i="110"/>
  <c r="F12" i="110"/>
  <c r="J12" i="110"/>
  <c r="K12" i="110"/>
  <c r="L12" i="110"/>
  <c r="M12" i="110"/>
  <c r="N12" i="110"/>
  <c r="O12" i="110"/>
  <c r="P12" i="110"/>
  <c r="Q12" i="110"/>
  <c r="R12" i="110"/>
  <c r="S12" i="110"/>
  <c r="T12" i="110"/>
  <c r="U12" i="110"/>
  <c r="F20" i="110"/>
  <c r="Y20" i="110" s="1"/>
  <c r="J20" i="110"/>
  <c r="E390" i="110"/>
  <c r="E387" i="110"/>
  <c r="E391" i="110"/>
  <c r="E388" i="110"/>
  <c r="F21" i="110"/>
  <c r="F105" i="110" s="1"/>
  <c r="F22" i="110"/>
  <c r="F106" i="110" s="1"/>
  <c r="F23" i="110"/>
  <c r="H23" i="110" s="1"/>
  <c r="AB23" i="110" s="1"/>
  <c r="AE23" i="110" s="1"/>
  <c r="F24" i="110"/>
  <c r="F108" i="110" s="1"/>
  <c r="H108" i="110" s="1"/>
  <c r="AB108" i="110" s="1"/>
  <c r="AE108" i="110" s="1"/>
  <c r="F25" i="110"/>
  <c r="F109" i="110" s="1"/>
  <c r="I109" i="110" s="1"/>
  <c r="AA27" i="110"/>
  <c r="AD27" i="110" s="1"/>
  <c r="AC31" i="110"/>
  <c r="AF31" i="110" s="1"/>
  <c r="AC34" i="110"/>
  <c r="AF34" i="110" s="1"/>
  <c r="AC35" i="110"/>
  <c r="AF35" i="110" s="1"/>
  <c r="F39" i="110"/>
  <c r="F40" i="110"/>
  <c r="F41" i="110"/>
  <c r="F125" i="110" s="1"/>
  <c r="F42" i="110"/>
  <c r="F126" i="110" s="1"/>
  <c r="F43" i="110"/>
  <c r="F127" i="110" s="1"/>
  <c r="H127" i="110" s="1"/>
  <c r="AB127" i="110" s="1"/>
  <c r="AE127" i="110" s="1"/>
  <c r="F44" i="110"/>
  <c r="F128" i="110" s="1"/>
  <c r="G128" i="110" s="1"/>
  <c r="F45" i="110"/>
  <c r="F129" i="110" s="1"/>
  <c r="F46" i="110"/>
  <c r="G46" i="110" s="1"/>
  <c r="AA46" i="110" s="1"/>
  <c r="AD46" i="110" s="1"/>
  <c r="F47" i="110"/>
  <c r="Y47" i="110" s="1"/>
  <c r="F48" i="110"/>
  <c r="F132" i="110" s="1"/>
  <c r="F49" i="110"/>
  <c r="Y49" i="110" s="1"/>
  <c r="F50" i="110"/>
  <c r="F51" i="110"/>
  <c r="F135" i="110" s="1"/>
  <c r="F52" i="110"/>
  <c r="F136" i="110" s="1"/>
  <c r="H136" i="110" s="1"/>
  <c r="AB136" i="110" s="1"/>
  <c r="AE136" i="110" s="1"/>
  <c r="F53" i="110"/>
  <c r="F137" i="110" s="1"/>
  <c r="F54" i="110"/>
  <c r="F138" i="110" s="1"/>
  <c r="F55" i="110"/>
  <c r="F139" i="110" s="1"/>
  <c r="F56" i="110"/>
  <c r="I56" i="110" s="1"/>
  <c r="AC56" i="110" s="1"/>
  <c r="AF56" i="110" s="1"/>
  <c r="F57" i="110"/>
  <c r="F141" i="110" s="1"/>
  <c r="G141" i="110" s="1"/>
  <c r="AA141" i="110" s="1"/>
  <c r="AD141" i="110" s="1"/>
  <c r="F58" i="110"/>
  <c r="F142" i="110" s="1"/>
  <c r="G142" i="110" s="1"/>
  <c r="AA142" i="110" s="1"/>
  <c r="AD142" i="110" s="1"/>
  <c r="F59" i="110"/>
  <c r="F60" i="110"/>
  <c r="I60" i="110" s="1"/>
  <c r="AC60" i="110" s="1"/>
  <c r="AF60" i="110" s="1"/>
  <c r="F61" i="110"/>
  <c r="F145" i="110" s="1"/>
  <c r="F62" i="110"/>
  <c r="F146" i="110" s="1"/>
  <c r="F180" i="58"/>
  <c r="F63" i="110" s="1"/>
  <c r="Y63" i="110" s="1"/>
  <c r="F183" i="58"/>
  <c r="F64" i="110" s="1"/>
  <c r="F148" i="110" s="1"/>
  <c r="G148" i="110" s="1"/>
  <c r="F184" i="58"/>
  <c r="F65" i="110" s="1"/>
  <c r="F185" i="58"/>
  <c r="F66" i="110" s="1"/>
  <c r="F187" i="58"/>
  <c r="F67" i="110" s="1"/>
  <c r="F188" i="58"/>
  <c r="F68" i="110" s="1"/>
  <c r="I68" i="110" s="1"/>
  <c r="AC68" i="110" s="1"/>
  <c r="AF68" i="110" s="1"/>
  <c r="F189" i="58"/>
  <c r="F69" i="110" s="1"/>
  <c r="F191" i="58"/>
  <c r="F70" i="110" s="1"/>
  <c r="F154" i="110" s="1"/>
  <c r="F192" i="58"/>
  <c r="F71" i="110" s="1"/>
  <c r="F193" i="58"/>
  <c r="F72" i="110" s="1"/>
  <c r="F156" i="110" s="1"/>
  <c r="F73" i="110"/>
  <c r="H73" i="110" s="1"/>
  <c r="AB73" i="110" s="1"/>
  <c r="AE73" i="110" s="1"/>
  <c r="F74" i="110"/>
  <c r="F158" i="110" s="1"/>
  <c r="F75" i="110"/>
  <c r="F159" i="110" s="1"/>
  <c r="G159" i="110" s="1"/>
  <c r="F199" i="58"/>
  <c r="F76" i="110" s="1"/>
  <c r="J77" i="110"/>
  <c r="J161" i="110" s="1"/>
  <c r="K77" i="110"/>
  <c r="K161" i="110" s="1"/>
  <c r="L77" i="110"/>
  <c r="L161" i="110" s="1"/>
  <c r="M77" i="110"/>
  <c r="M161" i="110" s="1"/>
  <c r="N77" i="110"/>
  <c r="N161" i="110" s="1"/>
  <c r="O77" i="110"/>
  <c r="O161" i="110" s="1"/>
  <c r="P77" i="110"/>
  <c r="P161" i="110" s="1"/>
  <c r="Q77" i="110"/>
  <c r="Q161" i="110" s="1"/>
  <c r="R77" i="110"/>
  <c r="R161" i="110" s="1"/>
  <c r="S77" i="110"/>
  <c r="S161" i="110" s="1"/>
  <c r="T77" i="110"/>
  <c r="T161" i="110" s="1"/>
  <c r="U77" i="110"/>
  <c r="J78" i="110"/>
  <c r="J162" i="110" s="1"/>
  <c r="K78" i="110"/>
  <c r="K162" i="110" s="1"/>
  <c r="L78" i="110"/>
  <c r="L162" i="110" s="1"/>
  <c r="M78" i="110"/>
  <c r="M162" i="110" s="1"/>
  <c r="N78" i="110"/>
  <c r="N162" i="110" s="1"/>
  <c r="O78" i="110"/>
  <c r="O162" i="110" s="1"/>
  <c r="P78" i="110"/>
  <c r="P162" i="110" s="1"/>
  <c r="Q78" i="110"/>
  <c r="Q162" i="110" s="1"/>
  <c r="R78" i="110"/>
  <c r="R162" i="110" s="1"/>
  <c r="S78" i="110"/>
  <c r="S162" i="110" s="1"/>
  <c r="T78" i="110"/>
  <c r="T162" i="110" s="1"/>
  <c r="U78" i="110"/>
  <c r="U162" i="110" s="1"/>
  <c r="J79" i="110"/>
  <c r="J163" i="110" s="1"/>
  <c r="K79" i="110"/>
  <c r="K163" i="110" s="1"/>
  <c r="L79" i="110"/>
  <c r="L163" i="110" s="1"/>
  <c r="M79" i="110"/>
  <c r="N79" i="110"/>
  <c r="N163" i="110" s="1"/>
  <c r="O79" i="110"/>
  <c r="O163" i="110" s="1"/>
  <c r="P79" i="110"/>
  <c r="P163" i="110" s="1"/>
  <c r="Q79" i="110"/>
  <c r="Q163" i="110" s="1"/>
  <c r="R79" i="110"/>
  <c r="R163" i="110" s="1"/>
  <c r="S79" i="110"/>
  <c r="S163" i="110" s="1"/>
  <c r="T79" i="110"/>
  <c r="T163" i="110" s="1"/>
  <c r="U79" i="110"/>
  <c r="U163" i="110" s="1"/>
  <c r="J80" i="110"/>
  <c r="J164" i="110" s="1"/>
  <c r="K80" i="110"/>
  <c r="L80" i="110"/>
  <c r="L164" i="110" s="1"/>
  <c r="M80" i="110"/>
  <c r="M164" i="110" s="1"/>
  <c r="N80" i="110"/>
  <c r="N164" i="110" s="1"/>
  <c r="O80" i="110"/>
  <c r="P80" i="110"/>
  <c r="P164" i="110" s="1"/>
  <c r="Q80" i="110"/>
  <c r="Q164" i="110" s="1"/>
  <c r="R80" i="110"/>
  <c r="S80" i="110"/>
  <c r="S164" i="110" s="1"/>
  <c r="T80" i="110"/>
  <c r="T164" i="110" s="1"/>
  <c r="U80" i="110"/>
  <c r="U164" i="110" s="1"/>
  <c r="J81" i="110"/>
  <c r="K81" i="110"/>
  <c r="K165" i="110" s="1"/>
  <c r="L81" i="110"/>
  <c r="L165" i="110" s="1"/>
  <c r="M81" i="110"/>
  <c r="M165" i="110" s="1"/>
  <c r="N81" i="110"/>
  <c r="N165" i="110" s="1"/>
  <c r="O81" i="110"/>
  <c r="P81" i="110"/>
  <c r="P165" i="110" s="1"/>
  <c r="Q81" i="110"/>
  <c r="Q165" i="110" s="1"/>
  <c r="R81" i="110"/>
  <c r="R165" i="110" s="1"/>
  <c r="S81" i="110"/>
  <c r="S165" i="110" s="1"/>
  <c r="T81" i="110"/>
  <c r="T165" i="110" s="1"/>
  <c r="U81" i="110"/>
  <c r="U165" i="110" s="1"/>
  <c r="F78" i="137"/>
  <c r="F79" i="137"/>
  <c r="F80" i="137"/>
  <c r="F81" i="137"/>
  <c r="F82" i="137"/>
  <c r="F83" i="137"/>
  <c r="F84" i="137"/>
  <c r="F85" i="137"/>
  <c r="F86" i="137"/>
  <c r="F87" i="137"/>
  <c r="F88" i="137"/>
  <c r="F89" i="137"/>
  <c r="F90" i="137"/>
  <c r="E279" i="58"/>
  <c r="E278" i="58"/>
  <c r="E277" i="58"/>
  <c r="E276" i="58"/>
  <c r="E275" i="58"/>
  <c r="E274" i="58"/>
  <c r="E273" i="58"/>
  <c r="E272" i="58"/>
  <c r="E271" i="58"/>
  <c r="E270" i="58"/>
  <c r="E269" i="58"/>
  <c r="E267" i="58"/>
  <c r="E266" i="58"/>
  <c r="E265" i="58"/>
  <c r="E264" i="58"/>
  <c r="E263" i="58"/>
  <c r="E259" i="58"/>
  <c r="E258" i="58"/>
  <c r="E257" i="58"/>
  <c r="E255" i="58"/>
  <c r="E248" i="58"/>
  <c r="E247" i="58"/>
  <c r="E245" i="58"/>
  <c r="E242" i="58"/>
  <c r="E240" i="58"/>
  <c r="E238" i="58"/>
  <c r="E235" i="58"/>
  <c r="E232" i="58"/>
  <c r="E230" i="58"/>
  <c r="E226" i="58"/>
  <c r="E225" i="58"/>
  <c r="E222" i="58"/>
  <c r="E221" i="58"/>
  <c r="E219" i="58"/>
  <c r="E218" i="58"/>
  <c r="E216" i="58"/>
  <c r="E215" i="58"/>
  <c r="E214" i="58"/>
  <c r="E213" i="58"/>
  <c r="E212" i="58"/>
  <c r="E211" i="58"/>
  <c r="F142" i="137"/>
  <c r="F141" i="137"/>
  <c r="F140" i="137"/>
  <c r="F139" i="137"/>
  <c r="F138" i="137"/>
  <c r="F137" i="137"/>
  <c r="F136" i="137"/>
  <c r="F135" i="137"/>
  <c r="F134" i="137"/>
  <c r="F133" i="137"/>
  <c r="F132" i="137"/>
  <c r="F131" i="137"/>
  <c r="F130" i="137"/>
  <c r="F129" i="137"/>
  <c r="F128" i="137"/>
  <c r="F127" i="137"/>
  <c r="F126" i="137"/>
  <c r="F125" i="137"/>
  <c r="F124" i="137"/>
  <c r="F123" i="137"/>
  <c r="F122" i="137"/>
  <c r="F121" i="137"/>
  <c r="F120" i="137"/>
  <c r="F119" i="137"/>
  <c r="F118" i="137"/>
  <c r="F117" i="137"/>
  <c r="F116" i="137"/>
  <c r="F115" i="137"/>
  <c r="F114" i="137"/>
  <c r="F113" i="137"/>
  <c r="F112" i="137"/>
  <c r="F111" i="137"/>
  <c r="F110" i="137"/>
  <c r="F109" i="137"/>
  <c r="F108" i="137"/>
  <c r="F107" i="137"/>
  <c r="F106" i="137"/>
  <c r="F105" i="137"/>
  <c r="F104" i="137"/>
  <c r="F103" i="137"/>
  <c r="F102" i="137"/>
  <c r="F101" i="137"/>
  <c r="F100" i="137"/>
  <c r="F99" i="137"/>
  <c r="F98" i="137"/>
  <c r="F97" i="137"/>
  <c r="F96" i="137"/>
  <c r="F95" i="137"/>
  <c r="F94" i="137"/>
  <c r="F93" i="137"/>
  <c r="F92" i="137"/>
  <c r="F91" i="137"/>
  <c r="AC37" i="110"/>
  <c r="AF37" i="110" s="1"/>
  <c r="AB37" i="110"/>
  <c r="AE37" i="110" s="1"/>
  <c r="AA37" i="110"/>
  <c r="AD37" i="110" s="1"/>
  <c r="AC33" i="110"/>
  <c r="AF33" i="110" s="1"/>
  <c r="AB33" i="110"/>
  <c r="AE33" i="110" s="1"/>
  <c r="AA33" i="110"/>
  <c r="AD33" i="110" s="1"/>
  <c r="AC32" i="110"/>
  <c r="AF32" i="110" s="1"/>
  <c r="AB32" i="110"/>
  <c r="AE32" i="110" s="1"/>
  <c r="AA32" i="110"/>
  <c r="AD32" i="110" s="1"/>
  <c r="AC29" i="110"/>
  <c r="AF29" i="110" s="1"/>
  <c r="AB29" i="110"/>
  <c r="AE29" i="110" s="1"/>
  <c r="AA29" i="110"/>
  <c r="AD29" i="110" s="1"/>
  <c r="D50" i="138"/>
  <c r="E50" i="138" s="1"/>
  <c r="F50" i="138" s="1"/>
  <c r="G50" i="138" s="1"/>
  <c r="H50" i="138" s="1"/>
  <c r="I50" i="138" s="1"/>
  <c r="J50" i="138" s="1"/>
  <c r="K50" i="138" s="1"/>
  <c r="L50" i="138" s="1"/>
  <c r="M50" i="138" s="1"/>
  <c r="N50" i="138" s="1"/>
  <c r="O50" i="138" s="1"/>
  <c r="E46" i="133"/>
  <c r="B50" i="133"/>
  <c r="B49" i="133"/>
  <c r="G9" i="133"/>
  <c r="G48" i="133" s="1"/>
  <c r="G378" i="110"/>
  <c r="X96" i="58"/>
  <c r="X97" i="58"/>
  <c r="X98" i="58"/>
  <c r="X99" i="58"/>
  <c r="X100" i="58"/>
  <c r="X101" i="58"/>
  <c r="C62" i="133"/>
  <c r="C58" i="133"/>
  <c r="I46" i="133"/>
  <c r="E134" i="133"/>
  <c r="E133" i="133"/>
  <c r="F36" i="133"/>
  <c r="Z106" i="58"/>
  <c r="Y11" i="119"/>
  <c r="X11" i="119"/>
  <c r="W11" i="119"/>
  <c r="V11" i="119"/>
  <c r="U11" i="119"/>
  <c r="T11" i="119"/>
  <c r="S11" i="119"/>
  <c r="R11" i="119"/>
  <c r="Q11" i="119"/>
  <c r="Q8" i="119" s="1"/>
  <c r="P11" i="119"/>
  <c r="P8" i="119" s="1"/>
  <c r="W328" i="58"/>
  <c r="W368" i="58" s="1"/>
  <c r="V328" i="58"/>
  <c r="V368" i="58" s="1"/>
  <c r="U328" i="58"/>
  <c r="U368" i="58" s="1"/>
  <c r="T328" i="58"/>
  <c r="T368" i="58" s="1"/>
  <c r="S328" i="58"/>
  <c r="S368" i="58" s="1"/>
  <c r="R328" i="58"/>
  <c r="R368" i="58" s="1"/>
  <c r="Q328" i="58"/>
  <c r="Q368" i="58" s="1"/>
  <c r="P328" i="58"/>
  <c r="P368" i="58" s="1"/>
  <c r="O328" i="58"/>
  <c r="O368" i="58" s="1"/>
  <c r="N328" i="58"/>
  <c r="N368" i="58" s="1"/>
  <c r="M328" i="58"/>
  <c r="M368" i="58" s="1"/>
  <c r="S234" i="58"/>
  <c r="W234" i="58"/>
  <c r="V244" i="58"/>
  <c r="W244" i="58"/>
  <c r="T96" i="133"/>
  <c r="U96" i="133"/>
  <c r="W96" i="133"/>
  <c r="AB96" i="133"/>
  <c r="AC96" i="133"/>
  <c r="AF96" i="133"/>
  <c r="AJ96" i="133"/>
  <c r="AK96" i="133"/>
  <c r="AL96" i="133"/>
  <c r="AN96" i="133"/>
  <c r="AT96" i="133"/>
  <c r="AU96" i="133"/>
  <c r="AW96" i="133"/>
  <c r="BA96" i="133"/>
  <c r="BB96" i="133"/>
  <c r="BC96" i="133"/>
  <c r="T121" i="133"/>
  <c r="U121" i="133" s="1"/>
  <c r="AA121" i="133"/>
  <c r="AB121" i="133" s="1"/>
  <c r="AC121" i="133" s="1"/>
  <c r="AG121" i="133"/>
  <c r="AG127" i="133" s="1"/>
  <c r="AN121" i="133"/>
  <c r="AN127" i="133" s="1"/>
  <c r="AT121" i="133"/>
  <c r="AT127" i="133" s="1"/>
  <c r="BA121" i="133"/>
  <c r="BA127" i="133" s="1"/>
  <c r="R122" i="133"/>
  <c r="AE122" i="133"/>
  <c r="AR122" i="133"/>
  <c r="BE122" i="133"/>
  <c r="AE123" i="133"/>
  <c r="AR123" i="133"/>
  <c r="BE123" i="133"/>
  <c r="AE124" i="133"/>
  <c r="AR124" i="133"/>
  <c r="BE124" i="133"/>
  <c r="AE125" i="133"/>
  <c r="AR125" i="133"/>
  <c r="BE125" i="133"/>
  <c r="AE126" i="133"/>
  <c r="AR126" i="133"/>
  <c r="BE126" i="133"/>
  <c r="S127" i="133"/>
  <c r="Y127" i="133"/>
  <c r="Z127" i="133"/>
  <c r="AF127" i="133"/>
  <c r="AL127" i="133"/>
  <c r="AM127" i="133"/>
  <c r="AS127" i="133"/>
  <c r="AY127" i="133"/>
  <c r="AZ127" i="133"/>
  <c r="U164" i="137"/>
  <c r="T164" i="137"/>
  <c r="P164" i="137"/>
  <c r="M160" i="137"/>
  <c r="L160" i="137"/>
  <c r="U165" i="137"/>
  <c r="G405" i="110"/>
  <c r="AA405" i="110" s="1"/>
  <c r="AD405" i="110" s="1"/>
  <c r="G404" i="110"/>
  <c r="AA404" i="110" s="1"/>
  <c r="AD404" i="110" s="1"/>
  <c r="G403" i="110"/>
  <c r="AA403" i="110" s="1"/>
  <c r="AD403" i="110" s="1"/>
  <c r="G402" i="110"/>
  <c r="AA402" i="110" s="1"/>
  <c r="AD402" i="110" s="1"/>
  <c r="G401" i="110"/>
  <c r="AA401" i="110" s="1"/>
  <c r="AD401" i="110" s="1"/>
  <c r="G400" i="110"/>
  <c r="AA400" i="110" s="1"/>
  <c r="AD400" i="110" s="1"/>
  <c r="V301" i="110"/>
  <c r="Q260" i="110"/>
  <c r="R260" i="110" s="1"/>
  <c r="S260" i="110" s="1"/>
  <c r="T260" i="110" s="1"/>
  <c r="U260" i="110" s="1"/>
  <c r="V367" i="58"/>
  <c r="O43" i="138"/>
  <c r="O45" i="138"/>
  <c r="I78" i="35"/>
  <c r="J78" i="35"/>
  <c r="L78" i="35"/>
  <c r="M78" i="35"/>
  <c r="N78" i="35"/>
  <c r="O78" i="35"/>
  <c r="P78" i="35"/>
  <c r="Q78" i="35"/>
  <c r="R78" i="35"/>
  <c r="S282" i="58"/>
  <c r="S274" i="58"/>
  <c r="S265" i="58"/>
  <c r="S261" i="58"/>
  <c r="S257" i="58"/>
  <c r="S253" i="58"/>
  <c r="S248" i="58"/>
  <c r="S238" i="58"/>
  <c r="S228" i="58"/>
  <c r="U282" i="58"/>
  <c r="P282" i="58"/>
  <c r="P281" i="58"/>
  <c r="W280" i="58"/>
  <c r="T280" i="58"/>
  <c r="R280" i="58"/>
  <c r="W279" i="58"/>
  <c r="R279" i="58"/>
  <c r="W278" i="58"/>
  <c r="V278" i="58"/>
  <c r="S278" i="58"/>
  <c r="V277" i="58"/>
  <c r="V276" i="58"/>
  <c r="R276" i="58"/>
  <c r="U275" i="58"/>
  <c r="U274" i="58"/>
  <c r="W272" i="58"/>
  <c r="T272" i="58"/>
  <c r="R272" i="58"/>
  <c r="W271" i="58"/>
  <c r="W270" i="58"/>
  <c r="V270" i="58"/>
  <c r="S270" i="58"/>
  <c r="V269" i="58"/>
  <c r="T269" i="58"/>
  <c r="V267" i="58"/>
  <c r="R267" i="58"/>
  <c r="Q267" i="58"/>
  <c r="U266" i="58"/>
  <c r="U265" i="58"/>
  <c r="P265" i="58"/>
  <c r="T264" i="58"/>
  <c r="W263" i="58"/>
  <c r="T263" i="58"/>
  <c r="R263" i="58"/>
  <c r="W262" i="58"/>
  <c r="W261" i="58"/>
  <c r="V261" i="58"/>
  <c r="V260" i="58"/>
  <c r="V259" i="58"/>
  <c r="U258" i="58"/>
  <c r="U257" i="58"/>
  <c r="W255" i="58"/>
  <c r="T255" i="58"/>
  <c r="R255" i="58"/>
  <c r="W254" i="58"/>
  <c r="S254" i="58"/>
  <c r="W253" i="58"/>
  <c r="V253" i="58"/>
  <c r="R253" i="58"/>
  <c r="V251" i="58"/>
  <c r="V250" i="58"/>
  <c r="U249" i="58"/>
  <c r="W248" i="58"/>
  <c r="U248" i="58"/>
  <c r="W246" i="58"/>
  <c r="T246" i="58"/>
  <c r="R246" i="58"/>
  <c r="W245" i="58"/>
  <c r="V242" i="58"/>
  <c r="V240" i="58"/>
  <c r="U238" i="58"/>
  <c r="W236" i="58"/>
  <c r="T236" i="58"/>
  <c r="R236" i="58"/>
  <c r="W235" i="58"/>
  <c r="V232" i="58"/>
  <c r="T232" i="58"/>
  <c r="V230" i="58"/>
  <c r="U229" i="58"/>
  <c r="U228" i="58"/>
  <c r="W226" i="58"/>
  <c r="T226" i="58"/>
  <c r="R226" i="58"/>
  <c r="W225" i="58"/>
  <c r="S225" i="58"/>
  <c r="N367" i="58"/>
  <c r="P260" i="58"/>
  <c r="P269" i="58"/>
  <c r="T267" i="58"/>
  <c r="P266" i="58"/>
  <c r="T248" i="58"/>
  <c r="R59" i="35"/>
  <c r="Q59" i="35"/>
  <c r="P59" i="35"/>
  <c r="O59" i="35"/>
  <c r="N59" i="35"/>
  <c r="M59" i="35"/>
  <c r="L59" i="35"/>
  <c r="O22" i="206"/>
  <c r="R28" i="35"/>
  <c r="Q28" i="35"/>
  <c r="P28" i="35"/>
  <c r="O28" i="35"/>
  <c r="N28" i="35"/>
  <c r="M28" i="35"/>
  <c r="L28" i="35"/>
  <c r="N22" i="138"/>
  <c r="M22" i="138"/>
  <c r="L22" i="138"/>
  <c r="K22" i="138"/>
  <c r="J22" i="138"/>
  <c r="I22" i="138"/>
  <c r="H22" i="138"/>
  <c r="F22" i="138"/>
  <c r="E22" i="138"/>
  <c r="D22" i="138"/>
  <c r="C22" i="138"/>
  <c r="W288" i="58"/>
  <c r="N20" i="138" s="1"/>
  <c r="V288" i="58"/>
  <c r="M20" i="138" s="1"/>
  <c r="U288" i="58"/>
  <c r="L20" i="138" s="1"/>
  <c r="T288" i="58"/>
  <c r="K20" i="138" s="1"/>
  <c r="S288" i="58"/>
  <c r="J20" i="138" s="1"/>
  <c r="R288" i="58"/>
  <c r="I20" i="138" s="1"/>
  <c r="H20" i="138"/>
  <c r="G20" i="138"/>
  <c r="F20" i="138"/>
  <c r="E20" i="138"/>
  <c r="D20" i="138"/>
  <c r="W287" i="58"/>
  <c r="N23" i="138" s="1"/>
  <c r="V287" i="58"/>
  <c r="M23" i="138" s="1"/>
  <c r="U287" i="58"/>
  <c r="T287" i="58"/>
  <c r="K23" i="138" s="1"/>
  <c r="S287" i="58"/>
  <c r="J23" i="138" s="1"/>
  <c r="R287" i="58"/>
  <c r="I23" i="138" s="1"/>
  <c r="H23" i="138"/>
  <c r="G23" i="138"/>
  <c r="F23" i="138"/>
  <c r="E23" i="138"/>
  <c r="D23" i="138"/>
  <c r="O46" i="138"/>
  <c r="C20" i="138"/>
  <c r="C23" i="138"/>
  <c r="J142" i="137"/>
  <c r="H142" i="137"/>
  <c r="J141" i="137"/>
  <c r="H141" i="137"/>
  <c r="J140" i="137"/>
  <c r="H140" i="137"/>
  <c r="J139" i="137"/>
  <c r="H139" i="137"/>
  <c r="J138" i="137"/>
  <c r="H138" i="137"/>
  <c r="J137" i="137"/>
  <c r="H137" i="137"/>
  <c r="J136" i="137"/>
  <c r="H136" i="137"/>
  <c r="J135" i="137"/>
  <c r="H135" i="137"/>
  <c r="J134" i="137"/>
  <c r="H134" i="137"/>
  <c r="J133" i="137"/>
  <c r="H133" i="137"/>
  <c r="J132" i="137"/>
  <c r="H132" i="137"/>
  <c r="J131" i="137"/>
  <c r="H131" i="137"/>
  <c r="J130" i="137"/>
  <c r="H130" i="137"/>
  <c r="J129" i="137"/>
  <c r="H129" i="137"/>
  <c r="J128" i="137"/>
  <c r="H128" i="137"/>
  <c r="J127" i="137"/>
  <c r="H127" i="137"/>
  <c r="J126" i="137"/>
  <c r="H126" i="137"/>
  <c r="J125" i="137"/>
  <c r="H125" i="137"/>
  <c r="J124" i="137"/>
  <c r="H124" i="137"/>
  <c r="J123" i="137"/>
  <c r="H123" i="137"/>
  <c r="J122" i="137"/>
  <c r="H122" i="137"/>
  <c r="J121" i="137"/>
  <c r="H121" i="137"/>
  <c r="J120" i="137"/>
  <c r="H120" i="137"/>
  <c r="J119" i="137"/>
  <c r="H119" i="137"/>
  <c r="J118" i="137"/>
  <c r="H118" i="137"/>
  <c r="J117" i="137"/>
  <c r="H117" i="137"/>
  <c r="J116" i="137"/>
  <c r="H116" i="137"/>
  <c r="J115" i="137"/>
  <c r="H115" i="137"/>
  <c r="J114" i="137"/>
  <c r="H114" i="137"/>
  <c r="J113" i="137"/>
  <c r="H113" i="137"/>
  <c r="J112" i="137"/>
  <c r="H112" i="137"/>
  <c r="J111" i="137"/>
  <c r="H111" i="137"/>
  <c r="J110" i="137"/>
  <c r="H110" i="137"/>
  <c r="J109" i="137"/>
  <c r="H109" i="137"/>
  <c r="J108" i="137"/>
  <c r="H108" i="137"/>
  <c r="J107" i="137"/>
  <c r="H107" i="137"/>
  <c r="J106" i="137"/>
  <c r="H106" i="137"/>
  <c r="J105" i="137"/>
  <c r="H105" i="137"/>
  <c r="J104" i="137"/>
  <c r="H104" i="137"/>
  <c r="J103" i="137"/>
  <c r="H103" i="137"/>
  <c r="J102" i="137"/>
  <c r="H102" i="137"/>
  <c r="J101" i="137"/>
  <c r="H101" i="137"/>
  <c r="J100" i="137"/>
  <c r="H100" i="137"/>
  <c r="J99" i="137"/>
  <c r="H99" i="137"/>
  <c r="J98" i="137"/>
  <c r="H98" i="137"/>
  <c r="J97" i="137"/>
  <c r="H97" i="137"/>
  <c r="J96" i="137"/>
  <c r="H96" i="137"/>
  <c r="J95" i="137"/>
  <c r="H95" i="137"/>
  <c r="J94" i="137"/>
  <c r="H94" i="137"/>
  <c r="J93" i="137"/>
  <c r="H93" i="137"/>
  <c r="J92" i="137"/>
  <c r="H92" i="137"/>
  <c r="K277" i="110"/>
  <c r="L277" i="110" s="1"/>
  <c r="G11" i="133"/>
  <c r="H11" i="133" s="1"/>
  <c r="I11" i="133" s="1"/>
  <c r="J11" i="133" s="1"/>
  <c r="K11" i="133" s="1"/>
  <c r="T27" i="181"/>
  <c r="S27" i="181"/>
  <c r="R27" i="181"/>
  <c r="Q27" i="181"/>
  <c r="P27" i="181"/>
  <c r="O27" i="181"/>
  <c r="N27" i="181"/>
  <c r="M27" i="181"/>
  <c r="L27" i="181"/>
  <c r="K27" i="181"/>
  <c r="J27" i="181"/>
  <c r="I27" i="181"/>
  <c r="T26" i="181"/>
  <c r="S26" i="181"/>
  <c r="R26" i="181"/>
  <c r="Q26" i="181"/>
  <c r="P26" i="181"/>
  <c r="O26" i="181"/>
  <c r="N26" i="181"/>
  <c r="M26" i="181"/>
  <c r="L26" i="181"/>
  <c r="K26" i="181"/>
  <c r="J26" i="181"/>
  <c r="I26" i="181"/>
  <c r="T25" i="181"/>
  <c r="S25" i="181"/>
  <c r="R25" i="181"/>
  <c r="Q25" i="181"/>
  <c r="P25" i="181"/>
  <c r="O25" i="181"/>
  <c r="N25" i="181"/>
  <c r="M25" i="181"/>
  <c r="L25" i="181"/>
  <c r="K25" i="181"/>
  <c r="J25" i="181"/>
  <c r="I25" i="181"/>
  <c r="T24" i="181"/>
  <c r="S24" i="181"/>
  <c r="R24" i="181"/>
  <c r="Q24" i="181"/>
  <c r="P24" i="181"/>
  <c r="O24" i="181"/>
  <c r="N24" i="181"/>
  <c r="M24" i="181"/>
  <c r="L24" i="181"/>
  <c r="K24" i="181"/>
  <c r="J24" i="181"/>
  <c r="I24" i="181"/>
  <c r="T23" i="181"/>
  <c r="S23" i="181"/>
  <c r="R23" i="181"/>
  <c r="Q23" i="181"/>
  <c r="P23" i="181"/>
  <c r="O23" i="181"/>
  <c r="N23" i="181"/>
  <c r="M23" i="181"/>
  <c r="L23" i="181"/>
  <c r="K23" i="181"/>
  <c r="J23" i="181"/>
  <c r="I23" i="181"/>
  <c r="T22" i="181"/>
  <c r="S22" i="181"/>
  <c r="R22" i="181"/>
  <c r="Q22" i="181"/>
  <c r="P22" i="181"/>
  <c r="O22" i="181"/>
  <c r="N22" i="181"/>
  <c r="M22" i="181"/>
  <c r="L22" i="181"/>
  <c r="K22" i="181"/>
  <c r="J22" i="181"/>
  <c r="I22" i="181"/>
  <c r="I52" i="181"/>
  <c r="T21" i="181"/>
  <c r="T50" i="181" s="1"/>
  <c r="S21" i="181"/>
  <c r="S50" i="181" s="1"/>
  <c r="R21" i="181"/>
  <c r="R50" i="181" s="1"/>
  <c r="R76" i="181" s="1"/>
  <c r="Q21" i="181"/>
  <c r="Q50" i="181" s="1"/>
  <c r="P21" i="181"/>
  <c r="P51" i="181" s="1"/>
  <c r="P77" i="181" s="1"/>
  <c r="O21" i="181"/>
  <c r="O50" i="181" s="1"/>
  <c r="O76" i="181" s="1"/>
  <c r="N21" i="181"/>
  <c r="N50" i="181" s="1"/>
  <c r="N76" i="181" s="1"/>
  <c r="M21" i="181"/>
  <c r="M51" i="181" s="1"/>
  <c r="M77" i="181" s="1"/>
  <c r="L21" i="181"/>
  <c r="L77" i="181" s="1"/>
  <c r="K21" i="181"/>
  <c r="J21" i="181"/>
  <c r="J76" i="181" s="1"/>
  <c r="I21" i="181"/>
  <c r="I51" i="181" s="1"/>
  <c r="D21" i="181"/>
  <c r="E27" i="181"/>
  <c r="E26" i="181"/>
  <c r="E25" i="181"/>
  <c r="E24" i="181"/>
  <c r="E23" i="181"/>
  <c r="K270" i="110"/>
  <c r="M270" i="110"/>
  <c r="O270" i="110"/>
  <c r="P270" i="110" s="1"/>
  <c r="Q270" i="110" s="1"/>
  <c r="R270" i="110" s="1"/>
  <c r="T270" i="110" s="1"/>
  <c r="AC406" i="110"/>
  <c r="AF406" i="110" s="1"/>
  <c r="AB406" i="110"/>
  <c r="AE406" i="110" s="1"/>
  <c r="AA406" i="110"/>
  <c r="AD406" i="110" s="1"/>
  <c r="AC405" i="110"/>
  <c r="AF405" i="110" s="1"/>
  <c r="AB405" i="110"/>
  <c r="AE405" i="110" s="1"/>
  <c r="AC404" i="110"/>
  <c r="AF404" i="110" s="1"/>
  <c r="AB404" i="110"/>
  <c r="AE404" i="110" s="1"/>
  <c r="AC403" i="110"/>
  <c r="AF403" i="110" s="1"/>
  <c r="AB403" i="110"/>
  <c r="AE403" i="110" s="1"/>
  <c r="AC402" i="110"/>
  <c r="AF402" i="110" s="1"/>
  <c r="AB402" i="110"/>
  <c r="AE402" i="110" s="1"/>
  <c r="AC401" i="110"/>
  <c r="AF401" i="110" s="1"/>
  <c r="AB401" i="110"/>
  <c r="AE401" i="110" s="1"/>
  <c r="AC400" i="110"/>
  <c r="AF400" i="110" s="1"/>
  <c r="AB400" i="110"/>
  <c r="AE400" i="110" s="1"/>
  <c r="Q65" i="124"/>
  <c r="Q71" i="124" s="1"/>
  <c r="P65" i="124"/>
  <c r="P71" i="124" s="1"/>
  <c r="O65" i="124"/>
  <c r="O71" i="124" s="1"/>
  <c r="N65" i="124"/>
  <c r="N71" i="124" s="1"/>
  <c r="M65" i="124"/>
  <c r="M71" i="124" s="1"/>
  <c r="L65" i="124"/>
  <c r="L71" i="124" s="1"/>
  <c r="K65" i="124"/>
  <c r="J71" i="124"/>
  <c r="I71" i="124"/>
  <c r="G65" i="124"/>
  <c r="G71" i="124" s="1"/>
  <c r="F65" i="124"/>
  <c r="F71" i="124" s="1"/>
  <c r="AC380" i="110"/>
  <c r="AF380" i="110" s="1"/>
  <c r="AB380" i="110"/>
  <c r="AE380" i="110" s="1"/>
  <c r="AA380" i="110"/>
  <c r="AD380" i="110" s="1"/>
  <c r="AC379" i="110"/>
  <c r="AF379" i="110" s="1"/>
  <c r="AB379" i="110"/>
  <c r="AE379" i="110" s="1"/>
  <c r="AA379" i="110"/>
  <c r="AD379" i="110" s="1"/>
  <c r="AC378" i="110"/>
  <c r="AF378" i="110" s="1"/>
  <c r="AB378" i="110"/>
  <c r="AE378" i="110" s="1"/>
  <c r="AC373" i="110"/>
  <c r="AF373" i="110" s="1"/>
  <c r="AA373" i="110"/>
  <c r="AD373" i="110" s="1"/>
  <c r="AC372" i="110"/>
  <c r="AF372" i="110" s="1"/>
  <c r="AB372" i="110"/>
  <c r="AE372" i="110" s="1"/>
  <c r="AA372" i="110"/>
  <c r="AD372" i="110" s="1"/>
  <c r="AC371" i="110"/>
  <c r="AF371" i="110" s="1"/>
  <c r="AB371" i="110"/>
  <c r="AE371" i="110" s="1"/>
  <c r="AA371" i="110"/>
  <c r="AD371" i="110" s="1"/>
  <c r="AC370" i="110"/>
  <c r="AF370" i="110" s="1"/>
  <c r="AB370" i="110"/>
  <c r="AE370" i="110" s="1"/>
  <c r="AA370" i="110"/>
  <c r="AD370" i="110" s="1"/>
  <c r="AC369" i="110"/>
  <c r="AF369" i="110" s="1"/>
  <c r="AB369" i="110"/>
  <c r="AE369" i="110" s="1"/>
  <c r="AA369" i="110"/>
  <c r="AD369" i="110" s="1"/>
  <c r="AC368" i="110"/>
  <c r="AF368" i="110" s="1"/>
  <c r="AB368" i="110"/>
  <c r="AE368" i="110" s="1"/>
  <c r="AA368" i="110"/>
  <c r="AD368" i="110" s="1"/>
  <c r="AC367" i="110"/>
  <c r="AF367" i="110" s="1"/>
  <c r="AB367" i="110"/>
  <c r="AE367" i="110" s="1"/>
  <c r="AA367" i="110"/>
  <c r="AD367" i="110" s="1"/>
  <c r="AC366" i="110"/>
  <c r="AF366" i="110" s="1"/>
  <c r="AB366" i="110"/>
  <c r="AE366" i="110" s="1"/>
  <c r="AA366" i="110"/>
  <c r="AD366" i="110" s="1"/>
  <c r="AC365" i="110"/>
  <c r="AF365" i="110" s="1"/>
  <c r="AB365" i="110"/>
  <c r="AE365" i="110" s="1"/>
  <c r="AA365" i="110"/>
  <c r="AD365" i="110" s="1"/>
  <c r="AA166" i="110"/>
  <c r="AD166" i="110" s="1"/>
  <c r="AA165" i="110"/>
  <c r="AD165" i="110" s="1"/>
  <c r="AA164" i="110"/>
  <c r="AD164" i="110" s="1"/>
  <c r="AA163" i="110"/>
  <c r="AD163" i="110" s="1"/>
  <c r="AA162" i="110"/>
  <c r="AD162" i="110" s="1"/>
  <c r="AA161" i="110"/>
  <c r="AD161" i="110" s="1"/>
  <c r="AF19" i="110"/>
  <c r="AE19" i="110"/>
  <c r="AC381" i="110"/>
  <c r="AF381" i="110" s="1"/>
  <c r="AB381" i="110"/>
  <c r="AE381" i="110" s="1"/>
  <c r="AA381" i="110"/>
  <c r="AD381" i="110" s="1"/>
  <c r="J82" i="110"/>
  <c r="K82" i="110"/>
  <c r="L82" i="110"/>
  <c r="L166" i="110" s="1"/>
  <c r="M82" i="110"/>
  <c r="M166" i="110" s="1"/>
  <c r="N82" i="110"/>
  <c r="N166" i="110" s="1"/>
  <c r="O82" i="110"/>
  <c r="O166" i="110" s="1"/>
  <c r="P82" i="110"/>
  <c r="Q82" i="110"/>
  <c r="Q166" i="110" s="1"/>
  <c r="R82" i="110"/>
  <c r="R166" i="110" s="1"/>
  <c r="S82" i="110"/>
  <c r="S166" i="110" s="1"/>
  <c r="T82" i="110"/>
  <c r="T166" i="110" s="1"/>
  <c r="U82" i="110"/>
  <c r="F366" i="110"/>
  <c r="F77" i="110"/>
  <c r="F161" i="110" s="1"/>
  <c r="F247" i="110" s="1"/>
  <c r="F78" i="110"/>
  <c r="F162" i="110" s="1"/>
  <c r="F248" i="110" s="1"/>
  <c r="F79" i="110"/>
  <c r="F163" i="110" s="1"/>
  <c r="F249" i="110" s="1"/>
  <c r="F80" i="110"/>
  <c r="F164" i="110" s="1"/>
  <c r="F250" i="110" s="1"/>
  <c r="F81" i="110"/>
  <c r="F165" i="110" s="1"/>
  <c r="F251" i="110" s="1"/>
  <c r="F371" i="110" s="1"/>
  <c r="F82" i="110"/>
  <c r="F166" i="110" s="1"/>
  <c r="F252" i="110" s="1"/>
  <c r="F372" i="110" s="1"/>
  <c r="X144" i="137"/>
  <c r="X142" i="137"/>
  <c r="X141" i="137"/>
  <c r="X140" i="137"/>
  <c r="X139" i="137"/>
  <c r="X138" i="137"/>
  <c r="X137" i="137"/>
  <c r="X136" i="137"/>
  <c r="X135" i="137"/>
  <c r="X134" i="137"/>
  <c r="X133" i="137"/>
  <c r="X132" i="137"/>
  <c r="X131" i="137"/>
  <c r="X130" i="137"/>
  <c r="X129" i="137"/>
  <c r="X128" i="137"/>
  <c r="X127" i="137"/>
  <c r="X126" i="137"/>
  <c r="X125" i="137"/>
  <c r="X124" i="137"/>
  <c r="X123" i="137"/>
  <c r="X122" i="137"/>
  <c r="X121" i="137"/>
  <c r="X120" i="137"/>
  <c r="X119" i="137"/>
  <c r="X118" i="137"/>
  <c r="X117" i="137"/>
  <c r="X116" i="137"/>
  <c r="X115" i="137"/>
  <c r="X114" i="137"/>
  <c r="X113" i="137"/>
  <c r="X112" i="137"/>
  <c r="X111" i="137"/>
  <c r="X110" i="137"/>
  <c r="X109" i="137"/>
  <c r="X108" i="137"/>
  <c r="X107" i="137"/>
  <c r="X106" i="137"/>
  <c r="X105" i="137"/>
  <c r="X104" i="137"/>
  <c r="X103" i="137"/>
  <c r="X102" i="137"/>
  <c r="X101" i="137"/>
  <c r="X100" i="137"/>
  <c r="X99" i="137"/>
  <c r="X98" i="137"/>
  <c r="X97" i="137"/>
  <c r="X96" i="137"/>
  <c r="X95" i="137"/>
  <c r="X94" i="137"/>
  <c r="X93" i="137"/>
  <c r="X92" i="137"/>
  <c r="X91" i="137"/>
  <c r="X90" i="137"/>
  <c r="X89" i="137"/>
  <c r="X88" i="137"/>
  <c r="X87" i="137"/>
  <c r="X86" i="137"/>
  <c r="X85" i="137"/>
  <c r="X84" i="137"/>
  <c r="X83" i="137"/>
  <c r="X82" i="137"/>
  <c r="X81" i="137"/>
  <c r="X80" i="137"/>
  <c r="X79" i="137"/>
  <c r="K144" i="137"/>
  <c r="I144" i="137"/>
  <c r="AA79" i="110"/>
  <c r="AD79" i="110" s="1"/>
  <c r="AB247" i="110"/>
  <c r="AE247" i="110" s="1"/>
  <c r="AA82" i="110"/>
  <c r="AD82" i="110" s="1"/>
  <c r="AA81" i="110"/>
  <c r="AD81" i="110" s="1"/>
  <c r="AB80" i="110"/>
  <c r="AE80" i="110" s="1"/>
  <c r="N327" i="58"/>
  <c r="AA77" i="110"/>
  <c r="AD77" i="110" s="1"/>
  <c r="AB78" i="110"/>
  <c r="AE78" i="110" s="1"/>
  <c r="S18" i="181"/>
  <c r="S39" i="181" s="1"/>
  <c r="R18" i="181"/>
  <c r="R39" i="181" s="1"/>
  <c r="R40" i="181" s="1"/>
  <c r="Q18" i="181"/>
  <c r="Q39" i="181" s="1"/>
  <c r="P18" i="181"/>
  <c r="P39" i="181" s="1"/>
  <c r="O18" i="181"/>
  <c r="O39" i="181" s="1"/>
  <c r="N18" i="181"/>
  <c r="N39" i="181" s="1"/>
  <c r="M18" i="181"/>
  <c r="M39" i="181" s="1"/>
  <c r="L18" i="181"/>
  <c r="L39" i="181" s="1"/>
  <c r="K18" i="181"/>
  <c r="K39" i="181" s="1"/>
  <c r="J18" i="181"/>
  <c r="J39" i="181" s="1"/>
  <c r="I18" i="181"/>
  <c r="I39" i="181" s="1"/>
  <c r="T18" i="181"/>
  <c r="T39" i="181" s="1"/>
  <c r="J91" i="137"/>
  <c r="J90" i="137"/>
  <c r="J89" i="137"/>
  <c r="J88" i="137"/>
  <c r="J87" i="137"/>
  <c r="J86" i="137"/>
  <c r="J85" i="137"/>
  <c r="J84" i="137"/>
  <c r="J83" i="137"/>
  <c r="J82" i="137"/>
  <c r="J81" i="137"/>
  <c r="J80" i="137"/>
  <c r="J79" i="137"/>
  <c r="J78" i="137"/>
  <c r="AA248" i="110"/>
  <c r="AD248" i="110" s="1"/>
  <c r="AB248" i="110"/>
  <c r="AE248" i="110" s="1"/>
  <c r="AC248" i="110"/>
  <c r="AF248" i="110" s="1"/>
  <c r="AB79" i="110"/>
  <c r="AE79" i="110" s="1"/>
  <c r="AC79" i="110"/>
  <c r="AF79" i="110" s="1"/>
  <c r="AC80" i="110"/>
  <c r="AF80" i="110" s="1"/>
  <c r="AC82" i="110"/>
  <c r="AF82" i="110" s="1"/>
  <c r="AB82" i="110"/>
  <c r="AE82" i="110" s="1"/>
  <c r="AC81" i="110"/>
  <c r="AF81" i="110" s="1"/>
  <c r="AB81" i="110"/>
  <c r="AE81" i="110" s="1"/>
  <c r="AA80" i="110"/>
  <c r="AD80" i="110" s="1"/>
  <c r="AC247" i="110"/>
  <c r="AF247" i="110" s="1"/>
  <c r="AB162" i="110"/>
  <c r="AE162" i="110" s="1"/>
  <c r="AC165" i="110"/>
  <c r="AF165" i="110" s="1"/>
  <c r="AC162" i="110"/>
  <c r="AF162" i="110" s="1"/>
  <c r="AC77" i="110"/>
  <c r="AF77" i="110" s="1"/>
  <c r="AB77" i="110"/>
  <c r="AE77" i="110" s="1"/>
  <c r="AA78" i="110"/>
  <c r="AD78" i="110" s="1"/>
  <c r="AC78" i="110"/>
  <c r="AF78" i="110" s="1"/>
  <c r="AC161" i="110"/>
  <c r="AF161" i="110" s="1"/>
  <c r="AB161" i="110"/>
  <c r="AE161" i="110" s="1"/>
  <c r="G90" i="137"/>
  <c r="G89" i="137"/>
  <c r="G88" i="137"/>
  <c r="G87" i="137"/>
  <c r="G86" i="137"/>
  <c r="G85" i="137"/>
  <c r="G84" i="137"/>
  <c r="G83" i="137"/>
  <c r="G82" i="137"/>
  <c r="G81" i="137"/>
  <c r="G80" i="137"/>
  <c r="G79" i="137"/>
  <c r="G78" i="137"/>
  <c r="AA10" i="119"/>
  <c r="AA7" i="119"/>
  <c r="Z7" i="119"/>
  <c r="Y7" i="119"/>
  <c r="X7" i="119"/>
  <c r="W7" i="119"/>
  <c r="V7" i="119"/>
  <c r="U7" i="119"/>
  <c r="T7" i="119"/>
  <c r="S7" i="119"/>
  <c r="R7" i="119"/>
  <c r="Q7" i="119"/>
  <c r="P7" i="119"/>
  <c r="O7" i="119"/>
  <c r="N13" i="26"/>
  <c r="N3" i="26"/>
  <c r="N28" i="26" s="1"/>
  <c r="M3" i="26"/>
  <c r="M28" i="26" s="1"/>
  <c r="L3" i="26"/>
  <c r="L28" i="26" s="1"/>
  <c r="K3" i="26"/>
  <c r="K28" i="26" s="1"/>
  <c r="J3" i="26"/>
  <c r="J28" i="26" s="1"/>
  <c r="I3" i="26"/>
  <c r="I28" i="26" s="1"/>
  <c r="H3" i="26"/>
  <c r="H28" i="26" s="1"/>
  <c r="G3" i="26"/>
  <c r="G28" i="26" s="1"/>
  <c r="F3" i="26"/>
  <c r="F28" i="26" s="1"/>
  <c r="E3" i="26"/>
  <c r="E28" i="26" s="1"/>
  <c r="D3" i="26"/>
  <c r="D28" i="26" s="1"/>
  <c r="C3" i="26"/>
  <c r="C28" i="26" s="1"/>
  <c r="B3" i="26"/>
  <c r="B28" i="26" s="1"/>
  <c r="F16" i="157"/>
  <c r="E16" i="157"/>
  <c r="D16" i="157"/>
  <c r="P15" i="157"/>
  <c r="O16" i="157"/>
  <c r="N16" i="157"/>
  <c r="M16" i="157"/>
  <c r="L16" i="157"/>
  <c r="K16" i="157"/>
  <c r="J16" i="157"/>
  <c r="I16" i="157"/>
  <c r="H16" i="157"/>
  <c r="G16" i="157"/>
  <c r="O9" i="157"/>
  <c r="N9" i="157"/>
  <c r="M9" i="157"/>
  <c r="L9" i="157"/>
  <c r="K9" i="157"/>
  <c r="J9" i="157"/>
  <c r="I9" i="157"/>
  <c r="H9" i="157"/>
  <c r="G9" i="157"/>
  <c r="F9" i="157"/>
  <c r="E9" i="157"/>
  <c r="D9" i="157"/>
  <c r="O8" i="157"/>
  <c r="N27" i="138" s="1"/>
  <c r="N8" i="157"/>
  <c r="M8" i="157"/>
  <c r="L8" i="157"/>
  <c r="K27" i="138" s="1"/>
  <c r="K8" i="157"/>
  <c r="J27" i="138" s="1"/>
  <c r="J8" i="157"/>
  <c r="I27" i="138" s="1"/>
  <c r="I8" i="157"/>
  <c r="H27" i="138" s="1"/>
  <c r="H8" i="157"/>
  <c r="G8" i="157"/>
  <c r="F8" i="157"/>
  <c r="E8" i="157"/>
  <c r="D8" i="157"/>
  <c r="P7" i="157"/>
  <c r="P6" i="157"/>
  <c r="P5" i="157"/>
  <c r="P4" i="157"/>
  <c r="P13" i="157" s="1"/>
  <c r="O4" i="157"/>
  <c r="O18" i="157" s="1"/>
  <c r="N4" i="157"/>
  <c r="M4" i="157"/>
  <c r="M18" i="157" s="1"/>
  <c r="L4" i="157"/>
  <c r="L13" i="157" s="1"/>
  <c r="K4" i="157"/>
  <c r="K13" i="157" s="1"/>
  <c r="J4" i="157"/>
  <c r="J13" i="157" s="1"/>
  <c r="I4" i="157"/>
  <c r="I13" i="157" s="1"/>
  <c r="H4" i="157"/>
  <c r="H13" i="157" s="1"/>
  <c r="G4" i="157"/>
  <c r="G18" i="157" s="1"/>
  <c r="F4" i="157"/>
  <c r="F18" i="157" s="1"/>
  <c r="E4" i="157"/>
  <c r="E18" i="157" s="1"/>
  <c r="D4" i="157"/>
  <c r="D18" i="157" s="1"/>
  <c r="S65" i="35"/>
  <c r="S4" i="35"/>
  <c r="S8" i="35" s="1"/>
  <c r="S44" i="35" s="1"/>
  <c r="S72" i="35" s="1"/>
  <c r="R4" i="35"/>
  <c r="R8" i="35" s="1"/>
  <c r="R44" i="35" s="1"/>
  <c r="R72" i="35" s="1"/>
  <c r="Q4" i="35"/>
  <c r="Q8" i="35" s="1"/>
  <c r="Q44" i="35" s="1"/>
  <c r="Q72" i="35" s="1"/>
  <c r="P4" i="35"/>
  <c r="P8" i="35" s="1"/>
  <c r="P44" i="35" s="1"/>
  <c r="P72" i="35" s="1"/>
  <c r="O4" i="35"/>
  <c r="O8" i="35" s="1"/>
  <c r="O44" i="35" s="1"/>
  <c r="O72" i="35" s="1"/>
  <c r="N4" i="35"/>
  <c r="N8" i="35" s="1"/>
  <c r="N44" i="35" s="1"/>
  <c r="N72" i="35" s="1"/>
  <c r="M4" i="35"/>
  <c r="M8" i="35" s="1"/>
  <c r="M44" i="35" s="1"/>
  <c r="M72" i="35" s="1"/>
  <c r="L4" i="35"/>
  <c r="L8" i="35" s="1"/>
  <c r="L44" i="35" s="1"/>
  <c r="L72" i="35" s="1"/>
  <c r="K4" i="35"/>
  <c r="K8" i="35" s="1"/>
  <c r="K44" i="35" s="1"/>
  <c r="K72" i="35" s="1"/>
  <c r="J4" i="35"/>
  <c r="J8" i="35" s="1"/>
  <c r="J44" i="35" s="1"/>
  <c r="J72" i="35" s="1"/>
  <c r="I4" i="35"/>
  <c r="I8" i="35" s="1"/>
  <c r="I44" i="35" s="1"/>
  <c r="I72" i="35" s="1"/>
  <c r="H4" i="35"/>
  <c r="H8" i="35" s="1"/>
  <c r="H44" i="35" s="1"/>
  <c r="H72" i="35" s="1"/>
  <c r="G4" i="35"/>
  <c r="G8" i="35" s="1"/>
  <c r="G44" i="35" s="1"/>
  <c r="G72" i="35" s="1"/>
  <c r="U4" i="181"/>
  <c r="U31" i="181" s="1"/>
  <c r="T4" i="181"/>
  <c r="T57" i="181" s="1"/>
  <c r="S4" i="181"/>
  <c r="S57" i="181" s="1"/>
  <c r="R4" i="181"/>
  <c r="R57" i="181" s="1"/>
  <c r="Q4" i="181"/>
  <c r="P4" i="181"/>
  <c r="O4" i="181"/>
  <c r="O31" i="181" s="1"/>
  <c r="N4" i="181"/>
  <c r="N57" i="181" s="1"/>
  <c r="M4" i="181"/>
  <c r="M31" i="181" s="1"/>
  <c r="L4" i="181"/>
  <c r="L31" i="181" s="1"/>
  <c r="K4" i="181"/>
  <c r="J4" i="181"/>
  <c r="J31" i="181" s="1"/>
  <c r="I4" i="181"/>
  <c r="I31" i="181" s="1"/>
  <c r="R4" i="124"/>
  <c r="Q4" i="124"/>
  <c r="Q8" i="124" s="1"/>
  <c r="P4" i="124"/>
  <c r="O4" i="124"/>
  <c r="O49" i="124" s="1"/>
  <c r="N4" i="124"/>
  <c r="N56" i="124" s="1"/>
  <c r="N64" i="124" s="1"/>
  <c r="M4" i="124"/>
  <c r="M35" i="124" s="1"/>
  <c r="L4" i="124"/>
  <c r="L8" i="124" s="1"/>
  <c r="K4" i="124"/>
  <c r="K22" i="124" s="1"/>
  <c r="J4" i="124"/>
  <c r="J56" i="124" s="1"/>
  <c r="J64" i="124" s="1"/>
  <c r="I4" i="124"/>
  <c r="I35" i="124" s="1"/>
  <c r="H4" i="124"/>
  <c r="H8" i="124" s="1"/>
  <c r="G4" i="124"/>
  <c r="F4" i="124"/>
  <c r="F22" i="124" s="1"/>
  <c r="R27" i="124"/>
  <c r="R24" i="124"/>
  <c r="BE4" i="133"/>
  <c r="BD4" i="133"/>
  <c r="BC4" i="133"/>
  <c r="BB4" i="133"/>
  <c r="BB82" i="133" s="1"/>
  <c r="BA4" i="133"/>
  <c r="AZ4" i="133"/>
  <c r="AZ82" i="133" s="1"/>
  <c r="AY4" i="133"/>
  <c r="AY69" i="133" s="1"/>
  <c r="AX4" i="133"/>
  <c r="AW4" i="133"/>
  <c r="AW106" i="133" s="1"/>
  <c r="AV4" i="133"/>
  <c r="AV106" i="133" s="1"/>
  <c r="AU4" i="133"/>
  <c r="AT4" i="133"/>
  <c r="AS4" i="133"/>
  <c r="AS82" i="133" s="1"/>
  <c r="AR4" i="133"/>
  <c r="AQ4" i="133"/>
  <c r="AP4" i="133"/>
  <c r="AO4" i="133"/>
  <c r="AO93" i="133" s="1"/>
  <c r="AN4" i="133"/>
  <c r="AM4" i="133"/>
  <c r="AL4" i="133"/>
  <c r="AK4" i="133"/>
  <c r="AJ4" i="133"/>
  <c r="AI4" i="133"/>
  <c r="AH4" i="133"/>
  <c r="AG4" i="133"/>
  <c r="AG69" i="133" s="1"/>
  <c r="AF4" i="133"/>
  <c r="AE4" i="133"/>
  <c r="AD4" i="133"/>
  <c r="AC4" i="133"/>
  <c r="AB4" i="133"/>
  <c r="AA4" i="133"/>
  <c r="Z4" i="133"/>
  <c r="Y4" i="133"/>
  <c r="Y69" i="133" s="1"/>
  <c r="X4" i="133"/>
  <c r="W4" i="133"/>
  <c r="V4" i="133"/>
  <c r="U4" i="133"/>
  <c r="T4" i="133"/>
  <c r="S4" i="133"/>
  <c r="R4" i="133"/>
  <c r="Q4" i="133"/>
  <c r="Q93" i="133" s="1"/>
  <c r="P4" i="133"/>
  <c r="P56" i="133" s="1"/>
  <c r="O4" i="133"/>
  <c r="N4" i="133"/>
  <c r="M4" i="133"/>
  <c r="L4" i="133"/>
  <c r="K4" i="133"/>
  <c r="K93" i="133" s="1"/>
  <c r="J4" i="133"/>
  <c r="I4" i="133"/>
  <c r="I56" i="133" s="1"/>
  <c r="H4" i="133"/>
  <c r="G4" i="133"/>
  <c r="F4" i="133"/>
  <c r="J4" i="110"/>
  <c r="L4" i="137" s="1"/>
  <c r="L77" i="137" s="1"/>
  <c r="L150" i="137" s="1"/>
  <c r="L157" i="137" s="1"/>
  <c r="L163" i="137" s="1"/>
  <c r="BA135" i="133"/>
  <c r="AZ135" i="133"/>
  <c r="AY135" i="133"/>
  <c r="AX135" i="133"/>
  <c r="AW135" i="133"/>
  <c r="AV135" i="133"/>
  <c r="AU135" i="133"/>
  <c r="AT135" i="133"/>
  <c r="AS135" i="133"/>
  <c r="BE134" i="133"/>
  <c r="BE133" i="133"/>
  <c r="BE129" i="133"/>
  <c r="BE116" i="133"/>
  <c r="BD114" i="133"/>
  <c r="BC114" i="133"/>
  <c r="BB114" i="133"/>
  <c r="BA114" i="133"/>
  <c r="AZ114" i="133"/>
  <c r="AY114" i="133"/>
  <c r="AX114" i="133"/>
  <c r="AW114" i="133"/>
  <c r="AV114" i="133"/>
  <c r="AU114" i="133"/>
  <c r="AT114" i="133"/>
  <c r="AS114" i="133"/>
  <c r="BD108" i="133"/>
  <c r="BD109" i="133" s="1"/>
  <c r="BC108" i="133"/>
  <c r="BC109" i="133" s="1"/>
  <c r="BB108" i="133"/>
  <c r="BB109" i="133" s="1"/>
  <c r="BA108" i="133"/>
  <c r="BA109" i="133" s="1"/>
  <c r="AZ108" i="133"/>
  <c r="AZ109" i="133" s="1"/>
  <c r="AY108" i="133"/>
  <c r="AY109" i="133" s="1"/>
  <c r="AX108" i="133"/>
  <c r="AX109" i="133" s="1"/>
  <c r="AW108" i="133"/>
  <c r="AW109" i="133" s="1"/>
  <c r="AV108" i="133"/>
  <c r="AV109" i="133" s="1"/>
  <c r="AU108" i="133"/>
  <c r="AU109" i="133" s="1"/>
  <c r="AT108" i="133"/>
  <c r="AT109" i="133" s="1"/>
  <c r="AS108" i="133"/>
  <c r="AS109" i="133" s="1"/>
  <c r="BE107" i="133"/>
  <c r="AT77" i="133"/>
  <c r="AT85" i="133" s="1"/>
  <c r="AS77" i="133"/>
  <c r="AS85" i="133" s="1"/>
  <c r="BE76" i="133"/>
  <c r="BE65" i="133"/>
  <c r="BE52" i="133"/>
  <c r="BD35" i="133"/>
  <c r="BC35" i="133"/>
  <c r="BB35" i="133"/>
  <c r="BA35" i="133"/>
  <c r="AZ35" i="133"/>
  <c r="AY35" i="133"/>
  <c r="AX35" i="133"/>
  <c r="AW35" i="133"/>
  <c r="AV35" i="133"/>
  <c r="AU35" i="133"/>
  <c r="AT35" i="133"/>
  <c r="AS35" i="133"/>
  <c r="AW23" i="133"/>
  <c r="AX23" i="133" s="1"/>
  <c r="AY23" i="133" s="1"/>
  <c r="AT21" i="133"/>
  <c r="AU21" i="133" s="1"/>
  <c r="AV21" i="133" s="1"/>
  <c r="AW21" i="133" s="1"/>
  <c r="AX21" i="133" s="1"/>
  <c r="AY21" i="133" s="1"/>
  <c r="AZ21" i="133" s="1"/>
  <c r="BA21" i="133" s="1"/>
  <c r="BB21" i="133" s="1"/>
  <c r="BC21" i="133" s="1"/>
  <c r="BD21" i="133" s="1"/>
  <c r="AS20" i="133"/>
  <c r="AW19" i="133"/>
  <c r="AX19" i="133" s="1"/>
  <c r="AT19" i="133"/>
  <c r="AU18" i="133"/>
  <c r="AV18" i="133" s="1"/>
  <c r="AW18" i="133" s="1"/>
  <c r="AX18" i="133" s="1"/>
  <c r="AY18" i="133" s="1"/>
  <c r="AZ18" i="133" s="1"/>
  <c r="BA18" i="133" s="1"/>
  <c r="BB18" i="133" s="1"/>
  <c r="BC18" i="133" s="1"/>
  <c r="BD18" i="133" s="1"/>
  <c r="AT17" i="133"/>
  <c r="AU17" i="133" s="1"/>
  <c r="AV17" i="133" s="1"/>
  <c r="AV10" i="133"/>
  <c r="AW10" i="133" s="1"/>
  <c r="AV9" i="133"/>
  <c r="AV48" i="133" s="1"/>
  <c r="AS8" i="133"/>
  <c r="AV7" i="133"/>
  <c r="AT6" i="133"/>
  <c r="AV5" i="133"/>
  <c r="AV44" i="133" s="1"/>
  <c r="AT5" i="133"/>
  <c r="AT44" i="133" s="1"/>
  <c r="AN135" i="133"/>
  <c r="AM135" i="133"/>
  <c r="AL135" i="133"/>
  <c r="AK135" i="133"/>
  <c r="AJ135" i="133"/>
  <c r="AI135" i="133"/>
  <c r="AH135" i="133"/>
  <c r="AG135" i="133"/>
  <c r="AF135" i="133"/>
  <c r="AR134" i="133"/>
  <c r="AR133" i="133"/>
  <c r="AR129" i="133"/>
  <c r="AR116" i="133"/>
  <c r="AQ114" i="133"/>
  <c r="AP114" i="133"/>
  <c r="AO114" i="133"/>
  <c r="AN114" i="133"/>
  <c r="AM114" i="133"/>
  <c r="AL114" i="133"/>
  <c r="AK114" i="133"/>
  <c r="AJ114" i="133"/>
  <c r="AI114" i="133"/>
  <c r="AH114" i="133"/>
  <c r="AG114" i="133"/>
  <c r="AF114" i="133"/>
  <c r="AQ108" i="133"/>
  <c r="AQ109" i="133" s="1"/>
  <c r="AP108" i="133"/>
  <c r="AP109" i="133" s="1"/>
  <c r="AO108" i="133"/>
  <c r="AO109" i="133" s="1"/>
  <c r="AN108" i="133"/>
  <c r="AN109" i="133" s="1"/>
  <c r="AM108" i="133"/>
  <c r="AM109" i="133" s="1"/>
  <c r="AL108" i="133"/>
  <c r="AL109" i="133" s="1"/>
  <c r="AK108" i="133"/>
  <c r="AK109" i="133" s="1"/>
  <c r="AJ108" i="133"/>
  <c r="AJ109" i="133" s="1"/>
  <c r="AI108" i="133"/>
  <c r="AI109" i="133" s="1"/>
  <c r="AH108" i="133"/>
  <c r="AH109" i="133" s="1"/>
  <c r="AG108" i="133"/>
  <c r="AG109" i="133" s="1"/>
  <c r="AF108" i="133"/>
  <c r="AF109" i="133" s="1"/>
  <c r="AR107" i="133"/>
  <c r="AG77" i="133"/>
  <c r="AG85" i="133" s="1"/>
  <c r="AF77" i="133"/>
  <c r="AF85" i="133" s="1"/>
  <c r="AR76" i="133"/>
  <c r="AR65" i="133"/>
  <c r="AR52" i="133"/>
  <c r="AQ35" i="133"/>
  <c r="AP35" i="133"/>
  <c r="AO35" i="133"/>
  <c r="AN35" i="133"/>
  <c r="AM35" i="133"/>
  <c r="AL35" i="133"/>
  <c r="AK35" i="133"/>
  <c r="AJ35" i="133"/>
  <c r="AI35" i="133"/>
  <c r="AH35" i="133"/>
  <c r="AG35" i="133"/>
  <c r="AF35" i="133"/>
  <c r="AJ23" i="133"/>
  <c r="AK23" i="133" s="1"/>
  <c r="AL23" i="133" s="1"/>
  <c r="AG21" i="133"/>
  <c r="AH21" i="133" s="1"/>
  <c r="AI21" i="133" s="1"/>
  <c r="AF20" i="133"/>
  <c r="AJ19" i="133"/>
  <c r="AG19" i="133"/>
  <c r="AH18" i="133"/>
  <c r="AI18" i="133" s="1"/>
  <c r="AJ18" i="133" s="1"/>
  <c r="AG17" i="133"/>
  <c r="AI10" i="133"/>
  <c r="AI9" i="133"/>
  <c r="AI48" i="133" s="1"/>
  <c r="AF8" i="133"/>
  <c r="AI7" i="133"/>
  <c r="AG6" i="133"/>
  <c r="AH6" i="133" s="1"/>
  <c r="AI5" i="133"/>
  <c r="AJ5" i="133" s="1"/>
  <c r="AG5" i="133"/>
  <c r="AA135" i="133"/>
  <c r="Z135" i="133"/>
  <c r="Y135" i="133"/>
  <c r="X135" i="133"/>
  <c r="W135" i="133"/>
  <c r="V135" i="133"/>
  <c r="U135" i="133"/>
  <c r="T135" i="133"/>
  <c r="S135" i="133"/>
  <c r="AE134" i="133"/>
  <c r="AE133" i="133"/>
  <c r="AE129" i="133"/>
  <c r="AE116" i="133"/>
  <c r="AD114" i="133"/>
  <c r="AC114" i="133"/>
  <c r="AB114" i="133"/>
  <c r="AA114" i="133"/>
  <c r="Z114" i="133"/>
  <c r="Y114" i="133"/>
  <c r="X114" i="133"/>
  <c r="W114" i="133"/>
  <c r="V114" i="133"/>
  <c r="U114" i="133"/>
  <c r="T114" i="133"/>
  <c r="S114" i="133"/>
  <c r="AD108" i="133"/>
  <c r="AD109" i="133" s="1"/>
  <c r="AC108" i="133"/>
  <c r="AC109" i="133" s="1"/>
  <c r="AB108" i="133"/>
  <c r="AB109" i="133" s="1"/>
  <c r="AA108" i="133"/>
  <c r="AA109" i="133" s="1"/>
  <c r="Z108" i="133"/>
  <c r="Z109" i="133" s="1"/>
  <c r="Y108" i="133"/>
  <c r="Y109" i="133" s="1"/>
  <c r="X108" i="133"/>
  <c r="X109" i="133" s="1"/>
  <c r="W108" i="133"/>
  <c r="W109" i="133" s="1"/>
  <c r="V108" i="133"/>
  <c r="V109" i="133" s="1"/>
  <c r="U108" i="133"/>
  <c r="U109" i="133" s="1"/>
  <c r="T108" i="133"/>
  <c r="T109" i="133" s="1"/>
  <c r="S108" i="133"/>
  <c r="S109" i="133" s="1"/>
  <c r="AE107" i="133"/>
  <c r="T77" i="133"/>
  <c r="T85" i="133" s="1"/>
  <c r="S77" i="133"/>
  <c r="S85" i="133" s="1"/>
  <c r="AE76" i="133"/>
  <c r="AE65" i="133"/>
  <c r="AE52" i="133"/>
  <c r="AD35" i="133"/>
  <c r="AC35" i="133"/>
  <c r="AB35" i="133"/>
  <c r="AA35" i="133"/>
  <c r="Z35" i="133"/>
  <c r="Y35" i="133"/>
  <c r="X35" i="133"/>
  <c r="W35" i="133"/>
  <c r="V35" i="133"/>
  <c r="U35" i="133"/>
  <c r="T35" i="133"/>
  <c r="S35" i="133"/>
  <c r="W23" i="133"/>
  <c r="X23" i="133" s="1"/>
  <c r="T21" i="133"/>
  <c r="U21" i="133" s="1"/>
  <c r="S20" i="133"/>
  <c r="W19" i="133"/>
  <c r="X19" i="133" s="1"/>
  <c r="T19" i="133"/>
  <c r="U18" i="133"/>
  <c r="V18" i="133" s="1"/>
  <c r="W18" i="133" s="1"/>
  <c r="X18" i="133" s="1"/>
  <c r="Y18" i="133" s="1"/>
  <c r="Z18" i="133" s="1"/>
  <c r="AA18" i="133" s="1"/>
  <c r="AB18" i="133" s="1"/>
  <c r="T17" i="133"/>
  <c r="V10" i="133"/>
  <c r="W10" i="133" s="1"/>
  <c r="W49" i="133" s="1"/>
  <c r="V9" i="133"/>
  <c r="W9" i="133" s="1"/>
  <c r="W48" i="133" s="1"/>
  <c r="S8" i="133"/>
  <c r="V7" i="133"/>
  <c r="T6" i="133"/>
  <c r="U6" i="133" s="1"/>
  <c r="U8" i="133" s="1"/>
  <c r="V5" i="133"/>
  <c r="W5" i="133" s="1"/>
  <c r="W44" i="133" s="1"/>
  <c r="T5" i="133"/>
  <c r="T44" i="133" s="1"/>
  <c r="N135" i="133"/>
  <c r="M135" i="133"/>
  <c r="L135" i="133"/>
  <c r="K135" i="133"/>
  <c r="J135" i="133"/>
  <c r="I135" i="133"/>
  <c r="H135" i="133"/>
  <c r="G135" i="133"/>
  <c r="F135" i="133"/>
  <c r="R134" i="133"/>
  <c r="R133" i="133"/>
  <c r="R116" i="133"/>
  <c r="Z11" i="119"/>
  <c r="P109" i="133"/>
  <c r="T365" i="110" s="1"/>
  <c r="O109" i="133"/>
  <c r="S365" i="110" s="1"/>
  <c r="N109" i="133"/>
  <c r="R365" i="110" s="1"/>
  <c r="M109" i="133"/>
  <c r="Q365" i="110" s="1"/>
  <c r="L109" i="133"/>
  <c r="P365" i="110" s="1"/>
  <c r="K109" i="133"/>
  <c r="O365" i="110" s="1"/>
  <c r="J109" i="133"/>
  <c r="N389" i="110" s="1"/>
  <c r="I109" i="133"/>
  <c r="M365" i="110" s="1"/>
  <c r="H109" i="133"/>
  <c r="G109" i="133"/>
  <c r="O11" i="119"/>
  <c r="R107" i="133"/>
  <c r="R65" i="133"/>
  <c r="F24" i="133"/>
  <c r="F20" i="133"/>
  <c r="F12" i="133"/>
  <c r="W165" i="137"/>
  <c r="T165" i="137"/>
  <c r="R165" i="137"/>
  <c r="P165" i="137"/>
  <c r="V164" i="137"/>
  <c r="S164" i="137"/>
  <c r="Q164" i="137"/>
  <c r="W152" i="137"/>
  <c r="Q152" i="137"/>
  <c r="L152" i="137"/>
  <c r="R146" i="137"/>
  <c r="R152" i="137" s="1"/>
  <c r="M146" i="137"/>
  <c r="W143" i="137"/>
  <c r="W145" i="137" s="1"/>
  <c r="W147" i="137" s="1"/>
  <c r="W151" i="137" s="1"/>
  <c r="V145" i="137"/>
  <c r="U145" i="137"/>
  <c r="T145" i="137"/>
  <c r="S145" i="137"/>
  <c r="Q145" i="137"/>
  <c r="Q147" i="137" s="1"/>
  <c r="Q151" i="137" s="1"/>
  <c r="P145" i="137"/>
  <c r="O145" i="137"/>
  <c r="N145" i="137"/>
  <c r="M145" i="137"/>
  <c r="L145" i="137"/>
  <c r="L147" i="137" s="1"/>
  <c r="X78" i="137"/>
  <c r="K274" i="110"/>
  <c r="L274" i="110" s="1"/>
  <c r="M274" i="110" s="1"/>
  <c r="N274" i="110" s="1"/>
  <c r="O274" i="110" s="1"/>
  <c r="P274" i="110" s="1"/>
  <c r="Q274" i="110" s="1"/>
  <c r="R274" i="110" s="1"/>
  <c r="S274" i="110" s="1"/>
  <c r="T274" i="110" s="1"/>
  <c r="U274" i="110" s="1"/>
  <c r="V267" i="110"/>
  <c r="V88" i="110"/>
  <c r="V174" i="110" s="1"/>
  <c r="U88" i="110"/>
  <c r="U174" i="110" s="1"/>
  <c r="T88" i="110"/>
  <c r="T174" i="110" s="1"/>
  <c r="S88" i="110"/>
  <c r="S174" i="110" s="1"/>
  <c r="R88" i="110"/>
  <c r="R174" i="110" s="1"/>
  <c r="Q88" i="110"/>
  <c r="Q174" i="110" s="1"/>
  <c r="P88" i="110"/>
  <c r="P174" i="110" s="1"/>
  <c r="O88" i="110"/>
  <c r="O174" i="110" s="1"/>
  <c r="N88" i="110"/>
  <c r="N174" i="110" s="1"/>
  <c r="M88" i="110"/>
  <c r="M174" i="110" s="1"/>
  <c r="L88" i="110"/>
  <c r="L174" i="110" s="1"/>
  <c r="K88" i="110"/>
  <c r="K174" i="110" s="1"/>
  <c r="J88" i="110"/>
  <c r="J174" i="110" s="1"/>
  <c r="V4" i="110"/>
  <c r="X4" i="137" s="1"/>
  <c r="X77" i="137" s="1"/>
  <c r="X150" i="137" s="1"/>
  <c r="X157" i="137" s="1"/>
  <c r="X163" i="137" s="1"/>
  <c r="U4" i="110"/>
  <c r="W4" i="137" s="1"/>
  <c r="W77" i="137" s="1"/>
  <c r="W150" i="137" s="1"/>
  <c r="W157" i="137" s="1"/>
  <c r="W163" i="137" s="1"/>
  <c r="T4" i="110"/>
  <c r="V4" i="137" s="1"/>
  <c r="V77" i="137" s="1"/>
  <c r="V150" i="137" s="1"/>
  <c r="V157" i="137" s="1"/>
  <c r="V163" i="137" s="1"/>
  <c r="S4" i="110"/>
  <c r="U4" i="137" s="1"/>
  <c r="U77" i="137" s="1"/>
  <c r="U150" i="137" s="1"/>
  <c r="U157" i="137" s="1"/>
  <c r="U163" i="137" s="1"/>
  <c r="R4" i="110"/>
  <c r="T4" i="137" s="1"/>
  <c r="T77" i="137" s="1"/>
  <c r="T150" i="137" s="1"/>
  <c r="T157" i="137" s="1"/>
  <c r="T163" i="137" s="1"/>
  <c r="Q4" i="110"/>
  <c r="S4" i="137" s="1"/>
  <c r="S77" i="137" s="1"/>
  <c r="S150" i="137" s="1"/>
  <c r="S157" i="137" s="1"/>
  <c r="S163" i="137" s="1"/>
  <c r="P4" i="110"/>
  <c r="R4" i="137" s="1"/>
  <c r="R77" i="137" s="1"/>
  <c r="R150" i="137" s="1"/>
  <c r="R157" i="137" s="1"/>
  <c r="R163" i="137" s="1"/>
  <c r="O4" i="110"/>
  <c r="Q4" i="137" s="1"/>
  <c r="Q77" i="137" s="1"/>
  <c r="Q150" i="137" s="1"/>
  <c r="Q157" i="137" s="1"/>
  <c r="Q163" i="137" s="1"/>
  <c r="N4" i="110"/>
  <c r="P4" i="137" s="1"/>
  <c r="P77" i="137" s="1"/>
  <c r="P150" i="137" s="1"/>
  <c r="P157" i="137" s="1"/>
  <c r="P163" i="137" s="1"/>
  <c r="M4" i="110"/>
  <c r="O4" i="137" s="1"/>
  <c r="O77" i="137" s="1"/>
  <c r="O150" i="137" s="1"/>
  <c r="O157" i="137" s="1"/>
  <c r="O163" i="137" s="1"/>
  <c r="L4" i="110"/>
  <c r="N4" i="137" s="1"/>
  <c r="N77" i="137" s="1"/>
  <c r="N150" i="137" s="1"/>
  <c r="N157" i="137" s="1"/>
  <c r="N163" i="137" s="1"/>
  <c r="K4" i="110"/>
  <c r="M4" i="137" s="1"/>
  <c r="M77" i="137" s="1"/>
  <c r="M150" i="137" s="1"/>
  <c r="M157" i="137" s="1"/>
  <c r="M163" i="137" s="1"/>
  <c r="AC364" i="110"/>
  <c r="AF364" i="110" s="1"/>
  <c r="AB364" i="110"/>
  <c r="AE364" i="110" s="1"/>
  <c r="AA364" i="110"/>
  <c r="AD364" i="110" s="1"/>
  <c r="AC363" i="110"/>
  <c r="AF363" i="110" s="1"/>
  <c r="AB363" i="110"/>
  <c r="AE363" i="110" s="1"/>
  <c r="AA363" i="110"/>
  <c r="AD363" i="110" s="1"/>
  <c r="AC362" i="110"/>
  <c r="AF362" i="110" s="1"/>
  <c r="AB362" i="110"/>
  <c r="AE362" i="110" s="1"/>
  <c r="AA362" i="110"/>
  <c r="AD362" i="110" s="1"/>
  <c r="AC361" i="110"/>
  <c r="AF361" i="110" s="1"/>
  <c r="AB361" i="110"/>
  <c r="AE361" i="110" s="1"/>
  <c r="AA361" i="110"/>
  <c r="AD361" i="110" s="1"/>
  <c r="AC360" i="110"/>
  <c r="AF360" i="110" s="1"/>
  <c r="AB360" i="110"/>
  <c r="AE360" i="110" s="1"/>
  <c r="AA360" i="110"/>
  <c r="AD360" i="110" s="1"/>
  <c r="AC359" i="110"/>
  <c r="AF359" i="110" s="1"/>
  <c r="AB359" i="110"/>
  <c r="AE359" i="110" s="1"/>
  <c r="AA359" i="110"/>
  <c r="AD359" i="110" s="1"/>
  <c r="AC358" i="110"/>
  <c r="AF358" i="110" s="1"/>
  <c r="AB358" i="110"/>
  <c r="AE358" i="110" s="1"/>
  <c r="AA358" i="110"/>
  <c r="AD358" i="110" s="1"/>
  <c r="AC357" i="110"/>
  <c r="AF357" i="110" s="1"/>
  <c r="AB357" i="110"/>
  <c r="AE357" i="110" s="1"/>
  <c r="AA357" i="110"/>
  <c r="AD357" i="110" s="1"/>
  <c r="AC356" i="110"/>
  <c r="AF356" i="110" s="1"/>
  <c r="AB356" i="110"/>
  <c r="AE356" i="110" s="1"/>
  <c r="AA356" i="110"/>
  <c r="AD356" i="110" s="1"/>
  <c r="AC355" i="110"/>
  <c r="AF355" i="110" s="1"/>
  <c r="AB355" i="110"/>
  <c r="AE355" i="110" s="1"/>
  <c r="AA355" i="110"/>
  <c r="AD355" i="110" s="1"/>
  <c r="AC354" i="110"/>
  <c r="AF354" i="110" s="1"/>
  <c r="AB354" i="110"/>
  <c r="AE354" i="110" s="1"/>
  <c r="AA354" i="110"/>
  <c r="AD354" i="110" s="1"/>
  <c r="AC353" i="110"/>
  <c r="AF353" i="110" s="1"/>
  <c r="AB353" i="110"/>
  <c r="AE353" i="110" s="1"/>
  <c r="AA353" i="110"/>
  <c r="AD353" i="110" s="1"/>
  <c r="AC352" i="110"/>
  <c r="AF352" i="110" s="1"/>
  <c r="AB352" i="110"/>
  <c r="AE352" i="110" s="1"/>
  <c r="AA352" i="110"/>
  <c r="AD352" i="110" s="1"/>
  <c r="AC351" i="110"/>
  <c r="AF351" i="110" s="1"/>
  <c r="AB351" i="110"/>
  <c r="AE351" i="110" s="1"/>
  <c r="AA351" i="110"/>
  <c r="AD351" i="110" s="1"/>
  <c r="AC350" i="110"/>
  <c r="AF350" i="110" s="1"/>
  <c r="AB350" i="110"/>
  <c r="AE350" i="110" s="1"/>
  <c r="AA350" i="110"/>
  <c r="AD350" i="110" s="1"/>
  <c r="AC349" i="110"/>
  <c r="AF349" i="110" s="1"/>
  <c r="AB349" i="110"/>
  <c r="AE349" i="110" s="1"/>
  <c r="AA349" i="110"/>
  <c r="AD349" i="110" s="1"/>
  <c r="AC348" i="110"/>
  <c r="AF348" i="110" s="1"/>
  <c r="AB348" i="110"/>
  <c r="AE348" i="110" s="1"/>
  <c r="AA348" i="110"/>
  <c r="AD348" i="110" s="1"/>
  <c r="AC347" i="110"/>
  <c r="AF347" i="110" s="1"/>
  <c r="AB347" i="110"/>
  <c r="AE347" i="110" s="1"/>
  <c r="AA347" i="110"/>
  <c r="AD347" i="110" s="1"/>
  <c r="AC346" i="110"/>
  <c r="AF346" i="110" s="1"/>
  <c r="AB346" i="110"/>
  <c r="AE346" i="110" s="1"/>
  <c r="AA346" i="110"/>
  <c r="AD346" i="110" s="1"/>
  <c r="AC345" i="110"/>
  <c r="AF345" i="110" s="1"/>
  <c r="AB345" i="110"/>
  <c r="AE345" i="110" s="1"/>
  <c r="AA345" i="110"/>
  <c r="AD345" i="110" s="1"/>
  <c r="AC344" i="110"/>
  <c r="AF344" i="110" s="1"/>
  <c r="AB344" i="110"/>
  <c r="AE344" i="110" s="1"/>
  <c r="AA344" i="110"/>
  <c r="AD344" i="110" s="1"/>
  <c r="AC343" i="110"/>
  <c r="AF343" i="110" s="1"/>
  <c r="AB343" i="110"/>
  <c r="AE343" i="110" s="1"/>
  <c r="AA343" i="110"/>
  <c r="AD343" i="110" s="1"/>
  <c r="AC342" i="110"/>
  <c r="AF342" i="110" s="1"/>
  <c r="AB342" i="110"/>
  <c r="AE342" i="110" s="1"/>
  <c r="AA342" i="110"/>
  <c r="AD342" i="110" s="1"/>
  <c r="AC341" i="110"/>
  <c r="AF341" i="110" s="1"/>
  <c r="AB341" i="110"/>
  <c r="AE341" i="110" s="1"/>
  <c r="AA341" i="110"/>
  <c r="AD341" i="110" s="1"/>
  <c r="AC340" i="110"/>
  <c r="AF340" i="110" s="1"/>
  <c r="AB340" i="110"/>
  <c r="AE340" i="110" s="1"/>
  <c r="AA340" i="110"/>
  <c r="AD340" i="110" s="1"/>
  <c r="AC339" i="110"/>
  <c r="AF339" i="110" s="1"/>
  <c r="AB339" i="110"/>
  <c r="AE339" i="110" s="1"/>
  <c r="AA339" i="110"/>
  <c r="AD339" i="110" s="1"/>
  <c r="AC338" i="110"/>
  <c r="AF338" i="110" s="1"/>
  <c r="AB338" i="110"/>
  <c r="AE338" i="110" s="1"/>
  <c r="AA338" i="110"/>
  <c r="AD338" i="110" s="1"/>
  <c r="AC337" i="110"/>
  <c r="AF337" i="110" s="1"/>
  <c r="AB337" i="110"/>
  <c r="AE337" i="110" s="1"/>
  <c r="AA337" i="110"/>
  <c r="AD337" i="110" s="1"/>
  <c r="AC336" i="110"/>
  <c r="AF336" i="110" s="1"/>
  <c r="AB336" i="110"/>
  <c r="AE336" i="110" s="1"/>
  <c r="AA336" i="110"/>
  <c r="AD336" i="110" s="1"/>
  <c r="AC335" i="110"/>
  <c r="AF335" i="110" s="1"/>
  <c r="AB335" i="110"/>
  <c r="AE335" i="110" s="1"/>
  <c r="AA335" i="110"/>
  <c r="AD335" i="110" s="1"/>
  <c r="AC334" i="110"/>
  <c r="AF334" i="110" s="1"/>
  <c r="AB334" i="110"/>
  <c r="AE334" i="110" s="1"/>
  <c r="AA334" i="110"/>
  <c r="AD334" i="110" s="1"/>
  <c r="AC333" i="110"/>
  <c r="AF333" i="110" s="1"/>
  <c r="AB333" i="110"/>
  <c r="AE333" i="110" s="1"/>
  <c r="AA333" i="110"/>
  <c r="AD333" i="110" s="1"/>
  <c r="AC332" i="110"/>
  <c r="AF332" i="110" s="1"/>
  <c r="AB332" i="110"/>
  <c r="AE332" i="110" s="1"/>
  <c r="AA332" i="110"/>
  <c r="AD332" i="110" s="1"/>
  <c r="AC331" i="110"/>
  <c r="AF331" i="110" s="1"/>
  <c r="AB331" i="110"/>
  <c r="AE331" i="110" s="1"/>
  <c r="AA331" i="110"/>
  <c r="AD331" i="110" s="1"/>
  <c r="AC330" i="110"/>
  <c r="AF330" i="110" s="1"/>
  <c r="AB330" i="110"/>
  <c r="AE330" i="110" s="1"/>
  <c r="AA330" i="110"/>
  <c r="AD330" i="110" s="1"/>
  <c r="AC329" i="110"/>
  <c r="AF329" i="110" s="1"/>
  <c r="AB329" i="110"/>
  <c r="AE329" i="110" s="1"/>
  <c r="AA329" i="110"/>
  <c r="AD329" i="110" s="1"/>
  <c r="AC328" i="110"/>
  <c r="AF328" i="110" s="1"/>
  <c r="AB328" i="110"/>
  <c r="AE328" i="110" s="1"/>
  <c r="AA328" i="110"/>
  <c r="AD328" i="110" s="1"/>
  <c r="AC326" i="110"/>
  <c r="AF326" i="110" s="1"/>
  <c r="AB326" i="110"/>
  <c r="AE326" i="110" s="1"/>
  <c r="AA326" i="110"/>
  <c r="AD326" i="110" s="1"/>
  <c r="AC324" i="110"/>
  <c r="AF324" i="110" s="1"/>
  <c r="AB324" i="110"/>
  <c r="AE324" i="110" s="1"/>
  <c r="AA324" i="110"/>
  <c r="AD324" i="110" s="1"/>
  <c r="AC323" i="110"/>
  <c r="AF323" i="110" s="1"/>
  <c r="AB323" i="110"/>
  <c r="AE323" i="110" s="1"/>
  <c r="AA323" i="110"/>
  <c r="AD323" i="110" s="1"/>
  <c r="AC322" i="110"/>
  <c r="AF322" i="110" s="1"/>
  <c r="AB322" i="110"/>
  <c r="AE322" i="110" s="1"/>
  <c r="AA322" i="110"/>
  <c r="AD322" i="110" s="1"/>
  <c r="AC321" i="110"/>
  <c r="AF321" i="110" s="1"/>
  <c r="AB321" i="110"/>
  <c r="AE321" i="110" s="1"/>
  <c r="AA321" i="110"/>
  <c r="AD321" i="110" s="1"/>
  <c r="AC320" i="110"/>
  <c r="AF320" i="110" s="1"/>
  <c r="AB320" i="110"/>
  <c r="AE320" i="110" s="1"/>
  <c r="AA320" i="110"/>
  <c r="AD320" i="110" s="1"/>
  <c r="AC319" i="110"/>
  <c r="AF319" i="110" s="1"/>
  <c r="AB319" i="110"/>
  <c r="AE319" i="110" s="1"/>
  <c r="AA319" i="110"/>
  <c r="AD319" i="110" s="1"/>
  <c r="AC318" i="110"/>
  <c r="AF318" i="110" s="1"/>
  <c r="AB318" i="110"/>
  <c r="AE318" i="110" s="1"/>
  <c r="AA318" i="110"/>
  <c r="AD318" i="110" s="1"/>
  <c r="AC316" i="110"/>
  <c r="AF316" i="110" s="1"/>
  <c r="AB316" i="110"/>
  <c r="AE316" i="110" s="1"/>
  <c r="AA316" i="110"/>
  <c r="AD316" i="110" s="1"/>
  <c r="AC314" i="110"/>
  <c r="AF314" i="110" s="1"/>
  <c r="AB314" i="110"/>
  <c r="AE314" i="110" s="1"/>
  <c r="AA314" i="110"/>
  <c r="AD314" i="110" s="1"/>
  <c r="AC313" i="110"/>
  <c r="AF313" i="110" s="1"/>
  <c r="AB313" i="110"/>
  <c r="AE313" i="110" s="1"/>
  <c r="AA313" i="110"/>
  <c r="AD313" i="110" s="1"/>
  <c r="AC312" i="110"/>
  <c r="AF312" i="110" s="1"/>
  <c r="AB312" i="110"/>
  <c r="AE312" i="110" s="1"/>
  <c r="AA312" i="110"/>
  <c r="AD312" i="110" s="1"/>
  <c r="AC311" i="110"/>
  <c r="AF311" i="110" s="1"/>
  <c r="AB311" i="110"/>
  <c r="AE311" i="110" s="1"/>
  <c r="AA311" i="110"/>
  <c r="AD311" i="110" s="1"/>
  <c r="AC310" i="110"/>
  <c r="AF310" i="110" s="1"/>
  <c r="AB310" i="110"/>
  <c r="AE310" i="110" s="1"/>
  <c r="AA310" i="110"/>
  <c r="AD310" i="110" s="1"/>
  <c r="AC309" i="110"/>
  <c r="AF309" i="110" s="1"/>
  <c r="AB309" i="110"/>
  <c r="AE309" i="110" s="1"/>
  <c r="AA309" i="110"/>
  <c r="AD309" i="110" s="1"/>
  <c r="AC308" i="110"/>
  <c r="AF308" i="110" s="1"/>
  <c r="AB308" i="110"/>
  <c r="AE308" i="110" s="1"/>
  <c r="AA308" i="110"/>
  <c r="AD308" i="110" s="1"/>
  <c r="AC307" i="110"/>
  <c r="AF307" i="110" s="1"/>
  <c r="AB307" i="110"/>
  <c r="AE307" i="110" s="1"/>
  <c r="AA307" i="110"/>
  <c r="AD307" i="110" s="1"/>
  <c r="AC306" i="110"/>
  <c r="AF306" i="110" s="1"/>
  <c r="AB306" i="110"/>
  <c r="AE306" i="110" s="1"/>
  <c r="AC305" i="110"/>
  <c r="AF305" i="110" s="1"/>
  <c r="AB305" i="110"/>
  <c r="AE305" i="110" s="1"/>
  <c r="AC304" i="110"/>
  <c r="AF304" i="110" s="1"/>
  <c r="AB304" i="110"/>
  <c r="AE304" i="110" s="1"/>
  <c r="AC303" i="110"/>
  <c r="AF303" i="110" s="1"/>
  <c r="AB303" i="110"/>
  <c r="AE303" i="110" s="1"/>
  <c r="AC302" i="110"/>
  <c r="AF302" i="110" s="1"/>
  <c r="AB302" i="110"/>
  <c r="AE302" i="110" s="1"/>
  <c r="AC301" i="110"/>
  <c r="AF301" i="110" s="1"/>
  <c r="AB301" i="110"/>
  <c r="AE301" i="110" s="1"/>
  <c r="AA301" i="110"/>
  <c r="AD301" i="110" s="1"/>
  <c r="AC300" i="110"/>
  <c r="AF300" i="110" s="1"/>
  <c r="AB300" i="110"/>
  <c r="AE300" i="110" s="1"/>
  <c r="AA300" i="110"/>
  <c r="AD300" i="110" s="1"/>
  <c r="AC299" i="110"/>
  <c r="AF299" i="110" s="1"/>
  <c r="AB299" i="110"/>
  <c r="AE299" i="110" s="1"/>
  <c r="AA299" i="110"/>
  <c r="AD299" i="110" s="1"/>
  <c r="AC298" i="110"/>
  <c r="AF298" i="110" s="1"/>
  <c r="AB298" i="110"/>
  <c r="AE298" i="110" s="1"/>
  <c r="AA298" i="110"/>
  <c r="AD298" i="110" s="1"/>
  <c r="AC253" i="110"/>
  <c r="AB253" i="110"/>
  <c r="AA253" i="110"/>
  <c r="AC189" i="110"/>
  <c r="AF189" i="110" s="1"/>
  <c r="AB189" i="110"/>
  <c r="AE189" i="110" s="1"/>
  <c r="AA189" i="110"/>
  <c r="AD189" i="110" s="1"/>
  <c r="AC167" i="110"/>
  <c r="AF167" i="110" s="1"/>
  <c r="AB167" i="110"/>
  <c r="AE167" i="110" s="1"/>
  <c r="AA167" i="110"/>
  <c r="AD167" i="110" s="1"/>
  <c r="AC103" i="110"/>
  <c r="AF103" i="110" s="1"/>
  <c r="AB103" i="110"/>
  <c r="AE103" i="110" s="1"/>
  <c r="AA103" i="110"/>
  <c r="AD103" i="110" s="1"/>
  <c r="AC83" i="110"/>
  <c r="AB83" i="110"/>
  <c r="AA83" i="110"/>
  <c r="M346" i="58"/>
  <c r="N346" i="58"/>
  <c r="O346" i="58"/>
  <c r="P346" i="58"/>
  <c r="Q346" i="58"/>
  <c r="R346" i="58"/>
  <c r="S346" i="58"/>
  <c r="T346" i="58"/>
  <c r="U346" i="58"/>
  <c r="V346" i="58"/>
  <c r="W346" i="58"/>
  <c r="W347" i="58"/>
  <c r="V347" i="58"/>
  <c r="U347" i="58"/>
  <c r="T347" i="58"/>
  <c r="S347" i="58"/>
  <c r="R347" i="58"/>
  <c r="Q347" i="58"/>
  <c r="P347" i="58"/>
  <c r="O347" i="58"/>
  <c r="N347" i="58"/>
  <c r="M347" i="58"/>
  <c r="W345" i="58"/>
  <c r="V345" i="58"/>
  <c r="U345" i="58"/>
  <c r="T345" i="58"/>
  <c r="S345" i="58"/>
  <c r="R345" i="58"/>
  <c r="Q345" i="58"/>
  <c r="P345" i="58"/>
  <c r="O345" i="58"/>
  <c r="N345" i="58"/>
  <c r="M345" i="58"/>
  <c r="W344" i="58"/>
  <c r="V344" i="58"/>
  <c r="U344" i="58"/>
  <c r="T344" i="58"/>
  <c r="S344" i="58"/>
  <c r="R344" i="58"/>
  <c r="Q344" i="58"/>
  <c r="P344" i="58"/>
  <c r="O344" i="58"/>
  <c r="N344" i="58"/>
  <c r="M344" i="58"/>
  <c r="W343" i="58"/>
  <c r="V343" i="58"/>
  <c r="U343" i="58"/>
  <c r="T343" i="58"/>
  <c r="S343" i="58"/>
  <c r="R343" i="58"/>
  <c r="Q343" i="58"/>
  <c r="P343" i="58"/>
  <c r="O343" i="58"/>
  <c r="N343" i="58"/>
  <c r="M343" i="58"/>
  <c r="W342" i="58"/>
  <c r="V342" i="58"/>
  <c r="U342" i="58"/>
  <c r="T342" i="58"/>
  <c r="S342" i="58"/>
  <c r="R342" i="58"/>
  <c r="Q342" i="58"/>
  <c r="P342" i="58"/>
  <c r="O342" i="58"/>
  <c r="N342" i="58"/>
  <c r="M342" i="58"/>
  <c r="W341" i="58"/>
  <c r="V341" i="58"/>
  <c r="U341" i="58"/>
  <c r="T341" i="58"/>
  <c r="S341" i="58"/>
  <c r="R341" i="58"/>
  <c r="Q341" i="58"/>
  <c r="P341" i="58"/>
  <c r="O341" i="58"/>
  <c r="N341" i="58"/>
  <c r="M341" i="58"/>
  <c r="W339" i="58"/>
  <c r="W340" i="58" s="1"/>
  <c r="Q339" i="58"/>
  <c r="Q340" i="58" s="1"/>
  <c r="P339" i="58"/>
  <c r="P340" i="58" s="1"/>
  <c r="O339" i="58"/>
  <c r="O340" i="58" s="1"/>
  <c r="N339" i="58"/>
  <c r="N340" i="58" s="1"/>
  <c r="M339" i="58"/>
  <c r="M340" i="58" s="1"/>
  <c r="W323" i="58"/>
  <c r="V323" i="58"/>
  <c r="U323" i="58"/>
  <c r="T323" i="58"/>
  <c r="S323" i="58"/>
  <c r="R323" i="58"/>
  <c r="Q323" i="58"/>
  <c r="P323" i="58"/>
  <c r="O323" i="58"/>
  <c r="N323" i="58"/>
  <c r="M323" i="58"/>
  <c r="W308" i="58"/>
  <c r="W349" i="58" s="1"/>
  <c r="V308" i="58"/>
  <c r="V349" i="58" s="1"/>
  <c r="U308" i="58"/>
  <c r="U349" i="58" s="1"/>
  <c r="T308" i="58"/>
  <c r="T349" i="58" s="1"/>
  <c r="S308" i="58"/>
  <c r="S349" i="58" s="1"/>
  <c r="R308" i="58"/>
  <c r="R349" i="58" s="1"/>
  <c r="Q308" i="58"/>
  <c r="Q349" i="58" s="1"/>
  <c r="P308" i="58"/>
  <c r="P349" i="58" s="1"/>
  <c r="O308" i="58"/>
  <c r="O349" i="58" s="1"/>
  <c r="N308" i="58"/>
  <c r="N349" i="58" s="1"/>
  <c r="M308" i="58"/>
  <c r="W306" i="58"/>
  <c r="V306" i="58"/>
  <c r="U306" i="58"/>
  <c r="T306" i="58"/>
  <c r="S306" i="58"/>
  <c r="R306" i="58"/>
  <c r="Q306" i="58"/>
  <c r="P306" i="58"/>
  <c r="O306" i="58"/>
  <c r="N306" i="58"/>
  <c r="M306" i="58"/>
  <c r="W305" i="58"/>
  <c r="V305" i="58"/>
  <c r="U305" i="58"/>
  <c r="T305" i="58"/>
  <c r="S305" i="58"/>
  <c r="R305" i="58"/>
  <c r="Q305" i="58"/>
  <c r="P305" i="58"/>
  <c r="O305" i="58"/>
  <c r="N305" i="58"/>
  <c r="M305" i="58"/>
  <c r="W304" i="58"/>
  <c r="V304" i="58"/>
  <c r="U304" i="58"/>
  <c r="T304" i="58"/>
  <c r="S304" i="58"/>
  <c r="R304" i="58"/>
  <c r="Q304" i="58"/>
  <c r="P304" i="58"/>
  <c r="O304" i="58"/>
  <c r="N304" i="58"/>
  <c r="M304" i="58"/>
  <c r="W303" i="58"/>
  <c r="V303" i="58"/>
  <c r="U303" i="58"/>
  <c r="T303" i="58"/>
  <c r="S303" i="58"/>
  <c r="R303" i="58"/>
  <c r="Q303" i="58"/>
  <c r="P303" i="58"/>
  <c r="O303" i="58"/>
  <c r="N303" i="58"/>
  <c r="M303" i="58"/>
  <c r="W302" i="58"/>
  <c r="V302" i="58"/>
  <c r="U302" i="58"/>
  <c r="T302" i="58"/>
  <c r="S302" i="58"/>
  <c r="R302" i="58"/>
  <c r="Q302" i="58"/>
  <c r="P302" i="58"/>
  <c r="O302" i="58"/>
  <c r="N302" i="58"/>
  <c r="M302" i="58"/>
  <c r="W300" i="58"/>
  <c r="Q300" i="58"/>
  <c r="P300" i="58"/>
  <c r="O300" i="58"/>
  <c r="N300" i="58"/>
  <c r="M300" i="58"/>
  <c r="W299" i="58"/>
  <c r="Q299" i="58"/>
  <c r="P299" i="58"/>
  <c r="O299" i="58"/>
  <c r="N299" i="58"/>
  <c r="M299" i="58"/>
  <c r="Q109" i="133"/>
  <c r="U365" i="110" s="1"/>
  <c r="AA247" i="110"/>
  <c r="AD247" i="110" s="1"/>
  <c r="F109" i="133"/>
  <c r="AC166" i="110"/>
  <c r="AF166" i="110" s="1"/>
  <c r="AB163" i="110"/>
  <c r="AE163" i="110" s="1"/>
  <c r="AC163" i="110"/>
  <c r="AF163" i="110" s="1"/>
  <c r="AB165" i="110"/>
  <c r="AE165" i="110" s="1"/>
  <c r="AB164" i="110"/>
  <c r="AE164" i="110" s="1"/>
  <c r="AB166" i="110"/>
  <c r="AE166" i="110" s="1"/>
  <c r="AC164" i="110"/>
  <c r="AF164" i="110" s="1"/>
  <c r="O165" i="137"/>
  <c r="S74" i="35"/>
  <c r="P14" i="157"/>
  <c r="G20" i="133"/>
  <c r="X159" i="137"/>
  <c r="M263" i="110"/>
  <c r="N263" i="110" s="1"/>
  <c r="Q263" i="110" s="1"/>
  <c r="R263" i="110" s="1"/>
  <c r="X10" i="58"/>
  <c r="X20" i="58"/>
  <c r="X19" i="58"/>
  <c r="X9" i="58"/>
  <c r="X7" i="58"/>
  <c r="X5" i="58"/>
  <c r="X205" i="58"/>
  <c r="X108" i="58"/>
  <c r="X209" i="58" s="1"/>
  <c r="X298" i="58" s="1"/>
  <c r="X317" i="58" s="1"/>
  <c r="X338" i="58" s="1"/>
  <c r="X356" i="58" s="1"/>
  <c r="W209" i="58"/>
  <c r="W298" i="58" s="1"/>
  <c r="W317" i="58" s="1"/>
  <c r="W338" i="58" s="1"/>
  <c r="W356" i="58" s="1"/>
  <c r="V209" i="58"/>
  <c r="V298" i="58" s="1"/>
  <c r="V317" i="58" s="1"/>
  <c r="V338" i="58" s="1"/>
  <c r="V356" i="58" s="1"/>
  <c r="U209" i="58"/>
  <c r="U298" i="58" s="1"/>
  <c r="U317" i="58" s="1"/>
  <c r="U338" i="58" s="1"/>
  <c r="U356" i="58" s="1"/>
  <c r="T209" i="58"/>
  <c r="T298" i="58" s="1"/>
  <c r="T317" i="58" s="1"/>
  <c r="T338" i="58" s="1"/>
  <c r="T356" i="58" s="1"/>
  <c r="S209" i="58"/>
  <c r="S298" i="58" s="1"/>
  <c r="S317" i="58" s="1"/>
  <c r="S338" i="58" s="1"/>
  <c r="S356" i="58" s="1"/>
  <c r="R209" i="58"/>
  <c r="R298" i="58" s="1"/>
  <c r="R317" i="58" s="1"/>
  <c r="R338" i="58" s="1"/>
  <c r="R356" i="58" s="1"/>
  <c r="Q209" i="58"/>
  <c r="Q298" i="58" s="1"/>
  <c r="Q317" i="58" s="1"/>
  <c r="Q338" i="58" s="1"/>
  <c r="Q356" i="58" s="1"/>
  <c r="P209" i="58"/>
  <c r="P298" i="58" s="1"/>
  <c r="P317" i="58" s="1"/>
  <c r="P338" i="58" s="1"/>
  <c r="P356" i="58" s="1"/>
  <c r="O209" i="58"/>
  <c r="O298" i="58" s="1"/>
  <c r="O317" i="58" s="1"/>
  <c r="O338" i="58" s="1"/>
  <c r="O356" i="58" s="1"/>
  <c r="N209" i="58"/>
  <c r="N298" i="58" s="1"/>
  <c r="N317" i="58" s="1"/>
  <c r="N338" i="58" s="1"/>
  <c r="N356" i="58" s="1"/>
  <c r="M298" i="58"/>
  <c r="M317" i="58" s="1"/>
  <c r="M338" i="58" s="1"/>
  <c r="M356" i="58" s="1"/>
  <c r="L209" i="58"/>
  <c r="L298" i="58" s="1"/>
  <c r="L317" i="58" s="1"/>
  <c r="L338" i="58" s="1"/>
  <c r="L356" i="58" s="1"/>
  <c r="X104" i="58"/>
  <c r="F223" i="58"/>
  <c r="F222" i="58"/>
  <c r="F221" i="58"/>
  <c r="F220" i="58"/>
  <c r="F219" i="58"/>
  <c r="F218" i="58"/>
  <c r="F217" i="58"/>
  <c r="F216" i="58"/>
  <c r="F215" i="58"/>
  <c r="F214" i="58"/>
  <c r="F213" i="58"/>
  <c r="F212" i="58"/>
  <c r="F211" i="58"/>
  <c r="F210" i="58"/>
  <c r="R216" i="58"/>
  <c r="Q216" i="58"/>
  <c r="Q217" i="58"/>
  <c r="R217" i="58"/>
  <c r="U211" i="58"/>
  <c r="W211" i="58"/>
  <c r="T211" i="58"/>
  <c r="S211" i="58"/>
  <c r="R211" i="58"/>
  <c r="V211" i="58"/>
  <c r="P121" i="58"/>
  <c r="S220" i="58" s="1"/>
  <c r="O121" i="58"/>
  <c r="R220" i="58" s="1"/>
  <c r="N121" i="58"/>
  <c r="L121" i="58"/>
  <c r="O220" i="58" s="1"/>
  <c r="W121" i="58"/>
  <c r="P220" i="58"/>
  <c r="Q121" i="58"/>
  <c r="T220" i="58" s="1"/>
  <c r="T215" i="58"/>
  <c r="S215" i="58"/>
  <c r="W215" i="58"/>
  <c r="R215" i="58"/>
  <c r="U215" i="58"/>
  <c r="V215" i="58"/>
  <c r="AB249" i="110"/>
  <c r="AE249" i="110" s="1"/>
  <c r="AC249" i="110"/>
  <c r="AF249" i="110" s="1"/>
  <c r="AC251" i="110"/>
  <c r="AF251" i="110" s="1"/>
  <c r="AB251" i="110"/>
  <c r="AE251" i="110" s="1"/>
  <c r="AB250" i="110"/>
  <c r="AE250" i="110" s="1"/>
  <c r="AC250" i="110"/>
  <c r="AF250" i="110" s="1"/>
  <c r="AB252" i="110"/>
  <c r="AE252" i="110" s="1"/>
  <c r="AC252" i="110"/>
  <c r="AF252" i="110" s="1"/>
  <c r="W325" i="58"/>
  <c r="M325" i="58"/>
  <c r="V325" i="58"/>
  <c r="U325" i="58"/>
  <c r="H20" i="133"/>
  <c r="G24" i="133"/>
  <c r="X6" i="58"/>
  <c r="X8" i="58"/>
  <c r="X204" i="58"/>
  <c r="F170" i="58"/>
  <c r="F169" i="58"/>
  <c r="F168" i="58"/>
  <c r="F167" i="58"/>
  <c r="F166" i="58"/>
  <c r="F165" i="58"/>
  <c r="F117" i="58"/>
  <c r="F115" i="58"/>
  <c r="F114" i="58"/>
  <c r="F113" i="58"/>
  <c r="F112" i="58"/>
  <c r="F111" i="58"/>
  <c r="F110" i="58"/>
  <c r="F109" i="58"/>
  <c r="AA251" i="110"/>
  <c r="AD251" i="110" s="1"/>
  <c r="AA252" i="110"/>
  <c r="AD252" i="110" s="1"/>
  <c r="AA250" i="110"/>
  <c r="AD250" i="110" s="1"/>
  <c r="AA249" i="110"/>
  <c r="AD249" i="110" s="1"/>
  <c r="V362" i="58"/>
  <c r="T363" i="58"/>
  <c r="U362" i="58"/>
  <c r="N362" i="58"/>
  <c r="I20" i="133"/>
  <c r="H24" i="133"/>
  <c r="M362" i="58"/>
  <c r="W362" i="58"/>
  <c r="U364" i="58"/>
  <c r="P364" i="58"/>
  <c r="M364" i="58"/>
  <c r="V364" i="58"/>
  <c r="N364" i="58"/>
  <c r="W364" i="58"/>
  <c r="O364" i="58"/>
  <c r="Q364" i="58"/>
  <c r="W321" i="58"/>
  <c r="R364" i="58"/>
  <c r="S364" i="58"/>
  <c r="T364" i="58"/>
  <c r="R360" i="58"/>
  <c r="R322" i="58"/>
  <c r="U324" i="58"/>
  <c r="U360" i="58"/>
  <c r="V360" i="58"/>
  <c r="N324" i="58"/>
  <c r="W359" i="58"/>
  <c r="M365" i="58"/>
  <c r="W324" i="58"/>
  <c r="S365" i="58"/>
  <c r="W360" i="58"/>
  <c r="N361" i="58"/>
  <c r="V365" i="58"/>
  <c r="O324" i="58"/>
  <c r="O360" i="58"/>
  <c r="N365" i="58"/>
  <c r="Q324" i="58"/>
  <c r="V361" i="58"/>
  <c r="R324" i="58"/>
  <c r="P325" i="58"/>
  <c r="S324" i="58"/>
  <c r="V324" i="58"/>
  <c r="T362" i="58"/>
  <c r="P359" i="58"/>
  <c r="P321" i="58"/>
  <c r="S322" i="58"/>
  <c r="T324" i="58"/>
  <c r="W361" i="58"/>
  <c r="T361" i="58"/>
  <c r="M359" i="58"/>
  <c r="M321" i="58"/>
  <c r="U322" i="58"/>
  <c r="O363" i="58"/>
  <c r="N359" i="58"/>
  <c r="N321" i="58"/>
  <c r="T322" i="58"/>
  <c r="P363" i="58"/>
  <c r="Q363" i="58"/>
  <c r="N325" i="58"/>
  <c r="O359" i="58"/>
  <c r="O321" i="58"/>
  <c r="R363" i="58"/>
  <c r="N360" i="58"/>
  <c r="O362" i="58"/>
  <c r="Q359" i="58"/>
  <c r="Q321" i="58"/>
  <c r="M361" i="58"/>
  <c r="M322" i="58"/>
  <c r="S363" i="58"/>
  <c r="O325" i="58"/>
  <c r="P362" i="58"/>
  <c r="O361" i="58"/>
  <c r="V322" i="58"/>
  <c r="U363" i="58"/>
  <c r="Q325" i="58"/>
  <c r="Q362" i="58"/>
  <c r="P361" i="58"/>
  <c r="N322" i="58"/>
  <c r="M363" i="58"/>
  <c r="R325" i="58"/>
  <c r="P324" i="58"/>
  <c r="R362" i="58"/>
  <c r="T360" i="58"/>
  <c r="Q361" i="58"/>
  <c r="W322" i="58"/>
  <c r="V363" i="58"/>
  <c r="S325" i="58"/>
  <c r="M360" i="58"/>
  <c r="S362" i="58"/>
  <c r="R361" i="58"/>
  <c r="O322" i="58"/>
  <c r="N363" i="58"/>
  <c r="T325" i="58"/>
  <c r="P360" i="58"/>
  <c r="S361" i="58"/>
  <c r="P322" i="58"/>
  <c r="W363" i="58"/>
  <c r="S360" i="58"/>
  <c r="M324" i="58"/>
  <c r="Q360" i="58"/>
  <c r="U361" i="58"/>
  <c r="Q322" i="58"/>
  <c r="J24" i="133"/>
  <c r="I24" i="133"/>
  <c r="J20" i="133"/>
  <c r="I9" i="137"/>
  <c r="I82" i="137" s="1"/>
  <c r="K24" i="133"/>
  <c r="K20" i="133"/>
  <c r="I11" i="137"/>
  <c r="I84" i="137" s="1"/>
  <c r="I10" i="137"/>
  <c r="I83" i="137" s="1"/>
  <c r="L24" i="133"/>
  <c r="L20" i="133"/>
  <c r="M20" i="133"/>
  <c r="M24" i="133"/>
  <c r="N20" i="133"/>
  <c r="R19" i="133"/>
  <c r="R23" i="133"/>
  <c r="R10" i="133"/>
  <c r="O20" i="133"/>
  <c r="N24" i="133"/>
  <c r="R18" i="133"/>
  <c r="O24" i="133"/>
  <c r="P20" i="133"/>
  <c r="Q24" i="133"/>
  <c r="P24" i="133"/>
  <c r="R21" i="133"/>
  <c r="Q20" i="133"/>
  <c r="R17" i="133"/>
  <c r="R22" i="133"/>
  <c r="S22" i="133" s="1"/>
  <c r="W210" i="58"/>
  <c r="R210" i="58"/>
  <c r="V210" i="58"/>
  <c r="U210" i="58"/>
  <c r="T210" i="58"/>
  <c r="S210" i="58"/>
  <c r="X292" i="58"/>
  <c r="AB141" i="133"/>
  <c r="BD141" i="133"/>
  <c r="AP141" i="133"/>
  <c r="AQ141" i="133"/>
  <c r="AD141" i="133"/>
  <c r="BC141" i="133"/>
  <c r="S141" i="133"/>
  <c r="AC141" i="133"/>
  <c r="AS141" i="133"/>
  <c r="AO141" i="133"/>
  <c r="BB141" i="133"/>
  <c r="AF141" i="133"/>
  <c r="D62" i="133"/>
  <c r="D61" i="133"/>
  <c r="I61" i="133" s="1"/>
  <c r="D59" i="133"/>
  <c r="D58" i="133"/>
  <c r="D57" i="133"/>
  <c r="AY96" i="133"/>
  <c r="AG96" i="133"/>
  <c r="AA96" i="133"/>
  <c r="AX96" i="133"/>
  <c r="AQ96" i="133"/>
  <c r="Y96" i="133"/>
  <c r="AP96" i="133"/>
  <c r="X96" i="133"/>
  <c r="AV96" i="133"/>
  <c r="BD96" i="133"/>
  <c r="AM96" i="133"/>
  <c r="V96" i="133"/>
  <c r="AS96" i="133"/>
  <c r="AD96" i="133"/>
  <c r="AZ96" i="133"/>
  <c r="AI96" i="133"/>
  <c r="Z96" i="133"/>
  <c r="AO96" i="133"/>
  <c r="AH96" i="133"/>
  <c r="S96" i="133"/>
  <c r="AA16" i="119"/>
  <c r="AA18" i="119"/>
  <c r="E63" i="133"/>
  <c r="N15" i="180"/>
  <c r="AC395" i="110"/>
  <c r="AB395" i="110"/>
  <c r="AA395" i="110"/>
  <c r="AC394" i="110"/>
  <c r="AF394" i="110" s="1"/>
  <c r="AB394" i="110"/>
  <c r="AE394" i="110" s="1"/>
  <c r="AA394" i="110"/>
  <c r="AD394" i="110" s="1"/>
  <c r="AC393" i="110"/>
  <c r="AF393" i="110" s="1"/>
  <c r="AB393" i="110"/>
  <c r="AE393" i="110" s="1"/>
  <c r="AA393" i="110"/>
  <c r="AD393" i="110" s="1"/>
  <c r="AC391" i="110"/>
  <c r="AF391" i="110" s="1"/>
  <c r="AB391" i="110"/>
  <c r="AE391" i="110" s="1"/>
  <c r="AA391" i="110"/>
  <c r="AD391" i="110" s="1"/>
  <c r="AC390" i="110"/>
  <c r="AF390" i="110" s="1"/>
  <c r="AB390" i="110"/>
  <c r="AE390" i="110" s="1"/>
  <c r="AA390" i="110"/>
  <c r="AD390" i="110" s="1"/>
  <c r="AC388" i="110"/>
  <c r="AF388" i="110" s="1"/>
  <c r="AB388" i="110"/>
  <c r="AE388" i="110" s="1"/>
  <c r="AA388" i="110"/>
  <c r="AD388" i="110" s="1"/>
  <c r="AC387" i="110"/>
  <c r="AF387" i="110" s="1"/>
  <c r="AB387" i="110"/>
  <c r="AE387" i="110" s="1"/>
  <c r="AA387" i="110"/>
  <c r="AD387" i="110" s="1"/>
  <c r="AC386" i="110"/>
  <c r="AF386" i="110" s="1"/>
  <c r="AB386" i="110"/>
  <c r="AE386" i="110" s="1"/>
  <c r="AA386" i="110"/>
  <c r="AD386" i="110" s="1"/>
  <c r="AC297" i="110"/>
  <c r="AF297" i="110" s="1"/>
  <c r="AB297" i="110"/>
  <c r="AE297" i="110" s="1"/>
  <c r="AA297" i="110"/>
  <c r="AD297" i="110" s="1"/>
  <c r="AC296" i="110"/>
  <c r="AF296" i="110" s="1"/>
  <c r="AB296" i="110"/>
  <c r="AE296" i="110" s="1"/>
  <c r="AA296" i="110"/>
  <c r="AD296" i="110" s="1"/>
  <c r="AC295" i="110"/>
  <c r="AF295" i="110" s="1"/>
  <c r="AB295" i="110"/>
  <c r="AE295" i="110" s="1"/>
  <c r="AA295" i="110"/>
  <c r="AD295" i="110" s="1"/>
  <c r="AC294" i="110"/>
  <c r="AF294" i="110" s="1"/>
  <c r="AB294" i="110"/>
  <c r="AE294" i="110" s="1"/>
  <c r="AA294" i="110"/>
  <c r="AD294" i="110" s="1"/>
  <c r="E28" i="124"/>
  <c r="E41" i="124" s="1"/>
  <c r="E42" i="124"/>
  <c r="H87" i="137"/>
  <c r="H88" i="137"/>
  <c r="AA304" i="110"/>
  <c r="AD304" i="110" s="1"/>
  <c r="B10" i="133"/>
  <c r="Q61" i="199"/>
  <c r="P61" i="199"/>
  <c r="O61" i="199"/>
  <c r="N61" i="199"/>
  <c r="M61" i="199"/>
  <c r="L61" i="199"/>
  <c r="K61" i="199"/>
  <c r="J61" i="199"/>
  <c r="I61" i="199"/>
  <c r="H61" i="199"/>
  <c r="G61" i="199"/>
  <c r="F61" i="199"/>
  <c r="Q62" i="199"/>
  <c r="P62" i="199"/>
  <c r="O62" i="199"/>
  <c r="N62" i="199"/>
  <c r="M62" i="199"/>
  <c r="L62" i="199"/>
  <c r="A48" i="199"/>
  <c r="H42" i="199"/>
  <c r="H49" i="199" s="1"/>
  <c r="G42" i="199"/>
  <c r="G49" i="199" s="1"/>
  <c r="F42" i="199"/>
  <c r="F49" i="199" s="1"/>
  <c r="Q41" i="199"/>
  <c r="Q42" i="199" s="1"/>
  <c r="Q49" i="199" s="1"/>
  <c r="P41" i="199"/>
  <c r="P42" i="199" s="1"/>
  <c r="P49" i="199" s="1"/>
  <c r="O41" i="199"/>
  <c r="O42" i="199" s="1"/>
  <c r="O49" i="199" s="1"/>
  <c r="N41" i="199"/>
  <c r="N42" i="199" s="1"/>
  <c r="N49" i="199" s="1"/>
  <c r="M41" i="199"/>
  <c r="M42" i="199" s="1"/>
  <c r="M49" i="199" s="1"/>
  <c r="L41" i="199"/>
  <c r="L42" i="199" s="1"/>
  <c r="L49" i="199" s="1"/>
  <c r="K41" i="199"/>
  <c r="K42" i="199" s="1"/>
  <c r="J41" i="199"/>
  <c r="J42" i="199" s="1"/>
  <c r="J49" i="199" s="1"/>
  <c r="I41" i="199"/>
  <c r="I42" i="199" s="1"/>
  <c r="I49" i="199" s="1"/>
  <c r="R36" i="199"/>
  <c r="D20" i="199"/>
  <c r="Q19" i="199"/>
  <c r="E18" i="199"/>
  <c r="I15" i="199"/>
  <c r="J15" i="199" s="1"/>
  <c r="K15" i="199" s="1"/>
  <c r="K21" i="199" s="1"/>
  <c r="F21" i="199"/>
  <c r="E22" i="199"/>
  <c r="H21" i="199"/>
  <c r="E21" i="199"/>
  <c r="G21" i="199"/>
  <c r="H65" i="181"/>
  <c r="E36" i="133"/>
  <c r="B11" i="133"/>
  <c r="P62" i="193"/>
  <c r="H86" i="137"/>
  <c r="H89" i="137"/>
  <c r="H90" i="137"/>
  <c r="H85" i="137"/>
  <c r="AA305" i="110"/>
  <c r="AD305" i="110" s="1"/>
  <c r="AA306" i="110"/>
  <c r="AD306" i="110" s="1"/>
  <c r="F225" i="58"/>
  <c r="F226" i="58"/>
  <c r="F227" i="58"/>
  <c r="F229" i="58"/>
  <c r="F230" i="58"/>
  <c r="F247" i="58"/>
  <c r="F248" i="58"/>
  <c r="F250" i="58"/>
  <c r="F253" i="58"/>
  <c r="F254" i="58"/>
  <c r="F255" i="58"/>
  <c r="F257" i="58"/>
  <c r="F258" i="58"/>
  <c r="F259" i="58"/>
  <c r="F263" i="58"/>
  <c r="F264" i="58"/>
  <c r="F270" i="58"/>
  <c r="F271" i="58"/>
  <c r="F272" i="58"/>
  <c r="F273" i="58"/>
  <c r="F274" i="58"/>
  <c r="F275" i="58"/>
  <c r="F276" i="58"/>
  <c r="F277" i="58"/>
  <c r="F278" i="58"/>
  <c r="F279" i="58"/>
  <c r="AA88" i="110"/>
  <c r="C73" i="181"/>
  <c r="G73" i="181"/>
  <c r="E73" i="181"/>
  <c r="D97" i="110"/>
  <c r="D36" i="124"/>
  <c r="G332" i="58"/>
  <c r="G331" i="58"/>
  <c r="G312" i="58"/>
  <c r="G311" i="58"/>
  <c r="L21" i="180"/>
  <c r="D89" i="110"/>
  <c r="D175" i="110"/>
  <c r="D294" i="110"/>
  <c r="D302" i="110" s="1"/>
  <c r="D353" i="110"/>
  <c r="D359" i="110"/>
  <c r="D360" i="110"/>
  <c r="D346" i="110"/>
  <c r="D340" i="110"/>
  <c r="D336" i="110"/>
  <c r="D320" i="110"/>
  <c r="D309" i="110"/>
  <c r="H373" i="110"/>
  <c r="AB373" i="110" s="1"/>
  <c r="AE373" i="110" s="1"/>
  <c r="E22" i="193"/>
  <c r="E71" i="193" s="1"/>
  <c r="O35" i="193"/>
  <c r="N35" i="193"/>
  <c r="M35" i="193"/>
  <c r="L35" i="193"/>
  <c r="K35" i="193"/>
  <c r="J35" i="193"/>
  <c r="I35" i="193"/>
  <c r="H35" i="193"/>
  <c r="G35" i="193"/>
  <c r="F35" i="193"/>
  <c r="E35" i="193"/>
  <c r="D35" i="193"/>
  <c r="D71" i="193"/>
  <c r="D57" i="193"/>
  <c r="D66" i="193" s="1"/>
  <c r="D75" i="193" s="1"/>
  <c r="H91" i="137"/>
  <c r="D278" i="58"/>
  <c r="D277" i="58"/>
  <c r="D274" i="58"/>
  <c r="D271" i="58"/>
  <c r="D270" i="58"/>
  <c r="D263" i="58"/>
  <c r="D257" i="58"/>
  <c r="D253" i="58"/>
  <c r="D248" i="58"/>
  <c r="D236" i="58"/>
  <c r="D225" i="58"/>
  <c r="M97" i="193"/>
  <c r="M96" i="193"/>
  <c r="L97" i="193"/>
  <c r="L96" i="193"/>
  <c r="K98" i="193"/>
  <c r="J98" i="193"/>
  <c r="I98" i="193"/>
  <c r="H98" i="193"/>
  <c r="G98" i="193"/>
  <c r="F98" i="193"/>
  <c r="E98" i="193"/>
  <c r="D98" i="193"/>
  <c r="C98" i="193"/>
  <c r="D53" i="193"/>
  <c r="D27" i="193"/>
  <c r="D36" i="193" s="1"/>
  <c r="O111" i="193"/>
  <c r="N111" i="193"/>
  <c r="M111" i="193"/>
  <c r="L111" i="193"/>
  <c r="K111" i="193"/>
  <c r="J111" i="193"/>
  <c r="I111" i="193"/>
  <c r="H111" i="193"/>
  <c r="G111" i="193"/>
  <c r="F111" i="193"/>
  <c r="E111" i="193"/>
  <c r="D111" i="193"/>
  <c r="P110" i="193"/>
  <c r="P105" i="193"/>
  <c r="O14" i="193"/>
  <c r="P12" i="193"/>
  <c r="K90" i="193"/>
  <c r="J90" i="193"/>
  <c r="D90" i="193"/>
  <c r="P89" i="193"/>
  <c r="P88" i="193"/>
  <c r="R25" i="193" s="1"/>
  <c r="P87" i="193"/>
  <c r="R24" i="193" s="1"/>
  <c r="P86" i="193"/>
  <c r="R23" i="193" s="1"/>
  <c r="P85" i="193"/>
  <c r="N90" i="193"/>
  <c r="E90" i="193"/>
  <c r="L90" i="193"/>
  <c r="O90" i="193"/>
  <c r="M90" i="193"/>
  <c r="F90" i="193"/>
  <c r="G90" i="193"/>
  <c r="H90" i="193"/>
  <c r="I90" i="193"/>
  <c r="F173" i="58"/>
  <c r="F172" i="58"/>
  <c r="E98" i="192"/>
  <c r="F29" i="192"/>
  <c r="Q85" i="192"/>
  <c r="P85" i="192"/>
  <c r="O85" i="192"/>
  <c r="N85" i="192"/>
  <c r="M85" i="192"/>
  <c r="L85" i="192"/>
  <c r="K85" i="192"/>
  <c r="J85" i="192"/>
  <c r="I85" i="192"/>
  <c r="H85" i="192"/>
  <c r="G85" i="192"/>
  <c r="F85" i="192"/>
  <c r="Q24" i="192"/>
  <c r="P24" i="192"/>
  <c r="O24" i="192"/>
  <c r="N24" i="192"/>
  <c r="M24" i="192"/>
  <c r="L24" i="192"/>
  <c r="K24" i="192"/>
  <c r="J24" i="192"/>
  <c r="I24" i="192"/>
  <c r="H24" i="192"/>
  <c r="G24" i="192"/>
  <c r="R42" i="192"/>
  <c r="R43" i="192"/>
  <c r="R44" i="192"/>
  <c r="R45" i="192"/>
  <c r="F46" i="192"/>
  <c r="F47" i="192" s="1"/>
  <c r="G40" i="192"/>
  <c r="R40" i="192" s="1"/>
  <c r="G50" i="192"/>
  <c r="N50" i="192"/>
  <c r="C33" i="192"/>
  <c r="C45" i="192" s="1"/>
  <c r="C55" i="192" s="1"/>
  <c r="C32" i="192"/>
  <c r="C44" i="192" s="1"/>
  <c r="C54" i="192" s="1"/>
  <c r="C31" i="192"/>
  <c r="C43" i="192" s="1"/>
  <c r="C53" i="192" s="1"/>
  <c r="C30" i="192"/>
  <c r="C42" i="192" s="1"/>
  <c r="C52" i="192" s="1"/>
  <c r="C29" i="192"/>
  <c r="C41" i="192" s="1"/>
  <c r="C51" i="192" s="1"/>
  <c r="H40" i="192"/>
  <c r="D39" i="124"/>
  <c r="Q119" i="192"/>
  <c r="P119" i="192"/>
  <c r="O119" i="192"/>
  <c r="N119" i="192"/>
  <c r="M119" i="192"/>
  <c r="L119" i="192"/>
  <c r="K119" i="192"/>
  <c r="J119" i="192"/>
  <c r="I119" i="192"/>
  <c r="H119" i="192"/>
  <c r="G119" i="192"/>
  <c r="F119" i="192"/>
  <c r="R118" i="192"/>
  <c r="R117" i="192"/>
  <c r="Q105" i="192"/>
  <c r="Q116" i="192" s="1"/>
  <c r="Q97" i="192" s="1"/>
  <c r="P105" i="192"/>
  <c r="P116" i="192" s="1"/>
  <c r="P97" i="192" s="1"/>
  <c r="O105" i="192"/>
  <c r="O116" i="192" s="1"/>
  <c r="O97" i="192" s="1"/>
  <c r="N105" i="192"/>
  <c r="N116" i="192" s="1"/>
  <c r="N97" i="192" s="1"/>
  <c r="M105" i="192"/>
  <c r="M116" i="192" s="1"/>
  <c r="M97" i="192" s="1"/>
  <c r="L105" i="192"/>
  <c r="L116" i="192" s="1"/>
  <c r="L97" i="192" s="1"/>
  <c r="K105" i="192"/>
  <c r="K116" i="192" s="1"/>
  <c r="K97" i="192" s="1"/>
  <c r="J105" i="192"/>
  <c r="J116" i="192" s="1"/>
  <c r="J97" i="192" s="1"/>
  <c r="I105" i="192"/>
  <c r="I116" i="192" s="1"/>
  <c r="I97" i="192" s="1"/>
  <c r="H105" i="192"/>
  <c r="H116" i="192" s="1"/>
  <c r="H97" i="192" s="1"/>
  <c r="G105" i="192"/>
  <c r="G116" i="192" s="1"/>
  <c r="G97" i="192" s="1"/>
  <c r="F105" i="192"/>
  <c r="F116" i="192" s="1"/>
  <c r="F97" i="192" s="1"/>
  <c r="R81" i="192"/>
  <c r="E79" i="192"/>
  <c r="C79" i="192"/>
  <c r="E78" i="192"/>
  <c r="C78" i="192"/>
  <c r="E77" i="192"/>
  <c r="C77" i="192"/>
  <c r="B77" i="192"/>
  <c r="D76" i="192"/>
  <c r="C76" i="192"/>
  <c r="E75" i="192"/>
  <c r="C75" i="192"/>
  <c r="E74" i="192"/>
  <c r="C74" i="192"/>
  <c r="E73" i="192"/>
  <c r="C73" i="192"/>
  <c r="B73" i="192"/>
  <c r="R68" i="192"/>
  <c r="E66" i="192"/>
  <c r="E65" i="192"/>
  <c r="C65" i="192"/>
  <c r="G65" i="192" s="1"/>
  <c r="E64" i="192"/>
  <c r="B64" i="192"/>
  <c r="E62" i="192"/>
  <c r="B62" i="192"/>
  <c r="E61" i="192"/>
  <c r="C61" i="192"/>
  <c r="B61" i="192"/>
  <c r="E60" i="192"/>
  <c r="B60" i="192"/>
  <c r="M56" i="192"/>
  <c r="L56" i="192"/>
  <c r="F56" i="192"/>
  <c r="R55" i="192"/>
  <c r="R54" i="192"/>
  <c r="R53" i="192"/>
  <c r="R52" i="192"/>
  <c r="R51" i="192"/>
  <c r="Q33" i="192"/>
  <c r="Q90" i="192" s="1"/>
  <c r="P33" i="192"/>
  <c r="P90" i="192" s="1"/>
  <c r="O33" i="192"/>
  <c r="O90" i="192" s="1"/>
  <c r="N33" i="192"/>
  <c r="N90" i="192" s="1"/>
  <c r="M33" i="192"/>
  <c r="M90" i="192" s="1"/>
  <c r="L33" i="192"/>
  <c r="L90" i="192" s="1"/>
  <c r="K33" i="192"/>
  <c r="K90" i="192" s="1"/>
  <c r="J33" i="192"/>
  <c r="J90" i="192" s="1"/>
  <c r="I33" i="192"/>
  <c r="H33" i="192"/>
  <c r="H90" i="192" s="1"/>
  <c r="G33" i="192"/>
  <c r="G90" i="192" s="1"/>
  <c r="F33" i="192"/>
  <c r="F90" i="192" s="1"/>
  <c r="Q32" i="192"/>
  <c r="Q89" i="192" s="1"/>
  <c r="P32" i="192"/>
  <c r="P89" i="192" s="1"/>
  <c r="O32" i="192"/>
  <c r="O89" i="192" s="1"/>
  <c r="N32" i="192"/>
  <c r="N89" i="192" s="1"/>
  <c r="M32" i="192"/>
  <c r="M89" i="192" s="1"/>
  <c r="L32" i="192"/>
  <c r="L89" i="192" s="1"/>
  <c r="K32" i="192"/>
  <c r="K89" i="192" s="1"/>
  <c r="J32" i="192"/>
  <c r="J89" i="192" s="1"/>
  <c r="I32" i="192"/>
  <c r="I89" i="192" s="1"/>
  <c r="H32" i="192"/>
  <c r="H89" i="192" s="1"/>
  <c r="G32" i="192"/>
  <c r="G89" i="192" s="1"/>
  <c r="F32" i="192"/>
  <c r="F89" i="192" s="1"/>
  <c r="Q31" i="192"/>
  <c r="Q88" i="192" s="1"/>
  <c r="P31" i="192"/>
  <c r="P88" i="192" s="1"/>
  <c r="O31" i="192"/>
  <c r="O88" i="192" s="1"/>
  <c r="N31" i="192"/>
  <c r="N88" i="192" s="1"/>
  <c r="M31" i="192"/>
  <c r="M88" i="192" s="1"/>
  <c r="L31" i="192"/>
  <c r="K31" i="192"/>
  <c r="K88" i="192" s="1"/>
  <c r="J31" i="192"/>
  <c r="J88" i="192" s="1"/>
  <c r="I31" i="192"/>
  <c r="I88" i="192" s="1"/>
  <c r="H31" i="192"/>
  <c r="H88" i="192" s="1"/>
  <c r="G31" i="192"/>
  <c r="G88" i="192" s="1"/>
  <c r="F31" i="192"/>
  <c r="F88" i="192" s="1"/>
  <c r="Q30" i="192"/>
  <c r="Q87" i="192" s="1"/>
  <c r="P30" i="192"/>
  <c r="P87" i="192" s="1"/>
  <c r="O30" i="192"/>
  <c r="O87" i="192" s="1"/>
  <c r="N30" i="192"/>
  <c r="N87" i="192" s="1"/>
  <c r="M30" i="192"/>
  <c r="M87" i="192" s="1"/>
  <c r="L30" i="192"/>
  <c r="L87" i="192" s="1"/>
  <c r="K30" i="192"/>
  <c r="K87" i="192" s="1"/>
  <c r="J30" i="192"/>
  <c r="J87" i="192" s="1"/>
  <c r="I30" i="192"/>
  <c r="I87" i="192" s="1"/>
  <c r="H30" i="192"/>
  <c r="H87" i="192" s="1"/>
  <c r="G30" i="192"/>
  <c r="G87" i="192" s="1"/>
  <c r="F30" i="192"/>
  <c r="E24" i="192"/>
  <c r="R23" i="192"/>
  <c r="R22" i="192"/>
  <c r="R21" i="192"/>
  <c r="F20" i="192"/>
  <c r="E20" i="192"/>
  <c r="M19" i="192"/>
  <c r="N19" i="192" s="1"/>
  <c r="O19" i="192" s="1"/>
  <c r="P19" i="192" s="1"/>
  <c r="Q19" i="192" s="1"/>
  <c r="I19" i="192"/>
  <c r="J19" i="192" s="1"/>
  <c r="K19" i="192" s="1"/>
  <c r="G18" i="192"/>
  <c r="R17" i="192"/>
  <c r="H12" i="192"/>
  <c r="G12" i="192"/>
  <c r="F12" i="192"/>
  <c r="E12" i="192"/>
  <c r="R11" i="192"/>
  <c r="C11" i="192"/>
  <c r="C66" i="192" s="1"/>
  <c r="B11" i="192"/>
  <c r="B66" i="192" s="1"/>
  <c r="I10" i="192"/>
  <c r="B10" i="192"/>
  <c r="B65" i="192" s="1"/>
  <c r="I9" i="192"/>
  <c r="C9" i="192"/>
  <c r="C64" i="192" s="1"/>
  <c r="G64" i="192" s="1"/>
  <c r="F8" i="192"/>
  <c r="E8" i="192"/>
  <c r="I7" i="192"/>
  <c r="J7" i="192" s="1"/>
  <c r="K7" i="192" s="1"/>
  <c r="L7" i="192" s="1"/>
  <c r="M7" i="192" s="1"/>
  <c r="C7" i="192"/>
  <c r="C62" i="192" s="1"/>
  <c r="G6" i="192"/>
  <c r="H6" i="192" s="1"/>
  <c r="I6" i="192" s="1"/>
  <c r="G5" i="192"/>
  <c r="H5" i="192" s="1"/>
  <c r="I5" i="192" s="1"/>
  <c r="J5" i="192" s="1"/>
  <c r="K5" i="192" s="1"/>
  <c r="L5" i="192" s="1"/>
  <c r="M5" i="192" s="1"/>
  <c r="N5" i="192" s="1"/>
  <c r="C5" i="192"/>
  <c r="C60" i="192" s="1"/>
  <c r="I40" i="192"/>
  <c r="F24" i="192"/>
  <c r="J40" i="192"/>
  <c r="K40" i="192"/>
  <c r="L40" i="192"/>
  <c r="M40" i="192"/>
  <c r="N40" i="192"/>
  <c r="O40" i="192"/>
  <c r="P40" i="192"/>
  <c r="Q40" i="192"/>
  <c r="O19" i="138"/>
  <c r="DX150" i="188"/>
  <c r="DW150" i="188"/>
  <c r="DV150" i="188"/>
  <c r="DU150" i="188"/>
  <c r="DT150" i="188"/>
  <c r="DS150" i="188"/>
  <c r="DR150" i="188"/>
  <c r="DQ150" i="188"/>
  <c r="DP150" i="188"/>
  <c r="DO150" i="188"/>
  <c r="CX150" i="188"/>
  <c r="CW150" i="188"/>
  <c r="CV150" i="188"/>
  <c r="CU150" i="188"/>
  <c r="CT150" i="188"/>
  <c r="CS150" i="188"/>
  <c r="CR150" i="188"/>
  <c r="CQ150" i="188"/>
  <c r="CP150" i="188"/>
  <c r="CO150" i="188"/>
  <c r="X150" i="188"/>
  <c r="W150" i="188"/>
  <c r="V150" i="188"/>
  <c r="U150" i="188"/>
  <c r="T150" i="188"/>
  <c r="S150" i="188"/>
  <c r="R150" i="188"/>
  <c r="Q150" i="188"/>
  <c r="P150" i="188"/>
  <c r="O150" i="188"/>
  <c r="DX149" i="188"/>
  <c r="DW149" i="188"/>
  <c r="DV149" i="188"/>
  <c r="DU149" i="188"/>
  <c r="DT149" i="188"/>
  <c r="DS149" i="188"/>
  <c r="DR149" i="188"/>
  <c r="DQ149" i="188"/>
  <c r="DP149" i="188"/>
  <c r="DO149" i="188"/>
  <c r="CX149" i="188"/>
  <c r="CW149" i="188"/>
  <c r="CV149" i="188"/>
  <c r="CU149" i="188"/>
  <c r="CT149" i="188"/>
  <c r="CS149" i="188"/>
  <c r="CR149" i="188"/>
  <c r="CQ149" i="188"/>
  <c r="CP149" i="188"/>
  <c r="CO149" i="188"/>
  <c r="X149" i="188"/>
  <c r="W149" i="188"/>
  <c r="U149" i="188"/>
  <c r="S149" i="188"/>
  <c r="Q149" i="188"/>
  <c r="P149" i="188"/>
  <c r="O149" i="188"/>
  <c r="DX148" i="188"/>
  <c r="DW148" i="188"/>
  <c r="DV148" i="188"/>
  <c r="DU148" i="188"/>
  <c r="DT148" i="188"/>
  <c r="DS148" i="188"/>
  <c r="DR148" i="188"/>
  <c r="DQ148" i="188"/>
  <c r="DP148" i="188"/>
  <c r="DO148" i="188"/>
  <c r="CX148" i="188"/>
  <c r="CW148" i="188"/>
  <c r="CV148" i="188"/>
  <c r="CU148" i="188"/>
  <c r="CT148" i="188"/>
  <c r="CS148" i="188"/>
  <c r="CR148" i="188"/>
  <c r="CQ148" i="188"/>
  <c r="CP148" i="188"/>
  <c r="CO148" i="188"/>
  <c r="BX148" i="188"/>
  <c r="BW148" i="188"/>
  <c r="BV148" i="188"/>
  <c r="BU148" i="188"/>
  <c r="BT148" i="188"/>
  <c r="BS148" i="188"/>
  <c r="BR148" i="188"/>
  <c r="BQ148" i="188"/>
  <c r="BP148" i="188"/>
  <c r="BO148" i="188"/>
  <c r="X148" i="188"/>
  <c r="W148" i="188"/>
  <c r="V148" i="188"/>
  <c r="U148" i="188"/>
  <c r="T148" i="188"/>
  <c r="S148" i="188"/>
  <c r="R148" i="188"/>
  <c r="Q148" i="188"/>
  <c r="P148" i="188"/>
  <c r="O148" i="188"/>
  <c r="DX147" i="188"/>
  <c r="DW147" i="188"/>
  <c r="DV147" i="188"/>
  <c r="DU147" i="188"/>
  <c r="DT147" i="188"/>
  <c r="DS147" i="188"/>
  <c r="DR147" i="188"/>
  <c r="DQ147" i="188"/>
  <c r="DP147" i="188"/>
  <c r="DO147" i="188"/>
  <c r="X147" i="188"/>
  <c r="W147" i="188"/>
  <c r="V147" i="188"/>
  <c r="U147" i="188"/>
  <c r="T147" i="188"/>
  <c r="S147" i="188"/>
  <c r="R147" i="188"/>
  <c r="Q147" i="188"/>
  <c r="P147" i="188"/>
  <c r="O147" i="188"/>
  <c r="DX146" i="188"/>
  <c r="DW146" i="188"/>
  <c r="DV146" i="188"/>
  <c r="DU146" i="188"/>
  <c r="DT146" i="188"/>
  <c r="DS146" i="188"/>
  <c r="DR146" i="188"/>
  <c r="DQ146" i="188"/>
  <c r="DP146" i="188"/>
  <c r="DO146" i="188"/>
  <c r="X146" i="188"/>
  <c r="W146" i="188"/>
  <c r="V146" i="188"/>
  <c r="U146" i="188"/>
  <c r="T146" i="188"/>
  <c r="S146" i="188"/>
  <c r="R146" i="188"/>
  <c r="Q146" i="188"/>
  <c r="P146" i="188"/>
  <c r="O146" i="188"/>
  <c r="DX145" i="188"/>
  <c r="DW145" i="188"/>
  <c r="DV145" i="188"/>
  <c r="DU145" i="188"/>
  <c r="DT145" i="188"/>
  <c r="DS145" i="188"/>
  <c r="DR145" i="188"/>
  <c r="DQ145" i="188"/>
  <c r="DP145" i="188"/>
  <c r="DO145" i="188"/>
  <c r="BX145" i="188"/>
  <c r="BW145" i="188"/>
  <c r="BV145" i="188"/>
  <c r="BU145" i="188"/>
  <c r="BT145" i="188"/>
  <c r="BS145" i="188"/>
  <c r="BR145" i="188"/>
  <c r="BQ145" i="188"/>
  <c r="BP145" i="188"/>
  <c r="BO145" i="188"/>
  <c r="X145" i="188"/>
  <c r="W145" i="188"/>
  <c r="V145" i="188"/>
  <c r="U145" i="188"/>
  <c r="T145" i="188"/>
  <c r="S145" i="188"/>
  <c r="R145" i="188"/>
  <c r="Q145" i="188"/>
  <c r="P145" i="188"/>
  <c r="O145" i="188"/>
  <c r="DX144" i="188"/>
  <c r="DW144" i="188"/>
  <c r="DV144" i="188"/>
  <c r="DU144" i="188"/>
  <c r="DT144" i="188"/>
  <c r="DS144" i="188"/>
  <c r="DR144" i="188"/>
  <c r="DQ144" i="188"/>
  <c r="DP144" i="188"/>
  <c r="DO144" i="188"/>
  <c r="BX144" i="188"/>
  <c r="BW144" i="188"/>
  <c r="BV144" i="188"/>
  <c r="BU144" i="188"/>
  <c r="BT144" i="188"/>
  <c r="BS144" i="188"/>
  <c r="BR144" i="188"/>
  <c r="BQ144" i="188"/>
  <c r="BP144" i="188"/>
  <c r="BO144" i="188"/>
  <c r="X144" i="188"/>
  <c r="W144" i="188"/>
  <c r="V144" i="188"/>
  <c r="U144" i="188"/>
  <c r="T144" i="188"/>
  <c r="S144" i="188"/>
  <c r="R144" i="188"/>
  <c r="Q144" i="188"/>
  <c r="P144" i="188"/>
  <c r="O144" i="188"/>
  <c r="X143" i="188"/>
  <c r="W143" i="188"/>
  <c r="V143" i="188"/>
  <c r="U143" i="188"/>
  <c r="T143" i="188"/>
  <c r="S143" i="188"/>
  <c r="R143" i="188"/>
  <c r="Q143" i="188"/>
  <c r="P143" i="188"/>
  <c r="O143" i="188"/>
  <c r="X142" i="188"/>
  <c r="W142" i="188"/>
  <c r="V142" i="188"/>
  <c r="U142" i="188"/>
  <c r="T142" i="188"/>
  <c r="S142" i="188"/>
  <c r="R142" i="188"/>
  <c r="Q142" i="188"/>
  <c r="P142" i="188"/>
  <c r="O142" i="188"/>
  <c r="DX141" i="188"/>
  <c r="DW141" i="188"/>
  <c r="DV141" i="188"/>
  <c r="DU141" i="188"/>
  <c r="DT141" i="188"/>
  <c r="DS141" i="188"/>
  <c r="DR141" i="188"/>
  <c r="DQ141" i="188"/>
  <c r="DP141" i="188"/>
  <c r="DO141" i="188"/>
  <c r="CX141" i="188"/>
  <c r="CW141" i="188"/>
  <c r="CV141" i="188"/>
  <c r="CU141" i="188"/>
  <c r="CT141" i="188"/>
  <c r="CS141" i="188"/>
  <c r="CR141" i="188"/>
  <c r="CQ141" i="188"/>
  <c r="CP141" i="188"/>
  <c r="CO141" i="188"/>
  <c r="X141" i="188"/>
  <c r="W141" i="188"/>
  <c r="V141" i="188"/>
  <c r="U141" i="188"/>
  <c r="T141" i="188"/>
  <c r="S141" i="188"/>
  <c r="R141" i="188"/>
  <c r="Q141" i="188"/>
  <c r="O141" i="188"/>
  <c r="DX140" i="188"/>
  <c r="DW140" i="188"/>
  <c r="DV140" i="188"/>
  <c r="DU140" i="188"/>
  <c r="DT140" i="188"/>
  <c r="DS140" i="188"/>
  <c r="DR140" i="188"/>
  <c r="DQ140" i="188"/>
  <c r="DP140" i="188"/>
  <c r="DO140" i="188"/>
  <c r="CX140" i="188"/>
  <c r="CW140" i="188"/>
  <c r="CV140" i="188"/>
  <c r="CU140" i="188"/>
  <c r="CT140" i="188"/>
  <c r="CS140" i="188"/>
  <c r="CR140" i="188"/>
  <c r="CQ140" i="188"/>
  <c r="CP140" i="188"/>
  <c r="CO140" i="188"/>
  <c r="X140" i="188"/>
  <c r="W140" i="188"/>
  <c r="V140" i="188"/>
  <c r="U140" i="188"/>
  <c r="T140" i="188"/>
  <c r="S140" i="188"/>
  <c r="R140" i="188"/>
  <c r="Q140" i="188"/>
  <c r="O140" i="188"/>
  <c r="DX139" i="188"/>
  <c r="DW139" i="188"/>
  <c r="DV139" i="188"/>
  <c r="DU139" i="188"/>
  <c r="DT139" i="188"/>
  <c r="DS139" i="188"/>
  <c r="DR139" i="188"/>
  <c r="DQ139" i="188"/>
  <c r="DP139" i="188"/>
  <c r="DO139" i="188"/>
  <c r="CX139" i="188"/>
  <c r="CW139" i="188"/>
  <c r="CV139" i="188"/>
  <c r="CU139" i="188"/>
  <c r="CT139" i="188"/>
  <c r="CS139" i="188"/>
  <c r="CR139" i="188"/>
  <c r="CQ139" i="188"/>
  <c r="CP139" i="188"/>
  <c r="CO139" i="188"/>
  <c r="X139" i="188"/>
  <c r="W139" i="188"/>
  <c r="V139" i="188"/>
  <c r="U139" i="188"/>
  <c r="T139" i="188"/>
  <c r="S139" i="188"/>
  <c r="R139" i="188"/>
  <c r="Q139" i="188"/>
  <c r="P139" i="188"/>
  <c r="O139" i="188"/>
  <c r="DX138" i="188"/>
  <c r="DW138" i="188"/>
  <c r="DV138" i="188"/>
  <c r="DU138" i="188"/>
  <c r="DT138" i="188"/>
  <c r="DS138" i="188"/>
  <c r="DR138" i="188"/>
  <c r="DQ138" i="188"/>
  <c r="DP138" i="188"/>
  <c r="DO138" i="188"/>
  <c r="CX138" i="188"/>
  <c r="CW138" i="188"/>
  <c r="CV138" i="188"/>
  <c r="CU138" i="188"/>
  <c r="CT138" i="188"/>
  <c r="CS138" i="188"/>
  <c r="CR138" i="188"/>
  <c r="CQ138" i="188"/>
  <c r="CP138" i="188"/>
  <c r="CO138" i="188"/>
  <c r="X138" i="188"/>
  <c r="W138" i="188"/>
  <c r="V138" i="188"/>
  <c r="U138" i="188"/>
  <c r="T138" i="188"/>
  <c r="S138" i="188"/>
  <c r="R138" i="188"/>
  <c r="Q138" i="188"/>
  <c r="P138" i="188"/>
  <c r="O138" i="188"/>
  <c r="DX137" i="188"/>
  <c r="DW137" i="188"/>
  <c r="DV137" i="188"/>
  <c r="DU137" i="188"/>
  <c r="DT137" i="188"/>
  <c r="DS137" i="188"/>
  <c r="DR137" i="188"/>
  <c r="DQ137" i="188"/>
  <c r="DP137" i="188"/>
  <c r="DO137" i="188"/>
  <c r="CX137" i="188"/>
  <c r="CW137" i="188"/>
  <c r="CV137" i="188"/>
  <c r="CU137" i="188"/>
  <c r="CT137" i="188"/>
  <c r="CS137" i="188"/>
  <c r="CR137" i="188"/>
  <c r="CQ137" i="188"/>
  <c r="CP137" i="188"/>
  <c r="CO137" i="188"/>
  <c r="BX137" i="188"/>
  <c r="BW137" i="188"/>
  <c r="BV137" i="188"/>
  <c r="BU137" i="188"/>
  <c r="BT137" i="188"/>
  <c r="BS137" i="188"/>
  <c r="BR137" i="188"/>
  <c r="BQ137" i="188"/>
  <c r="BP137" i="188"/>
  <c r="BO137" i="188"/>
  <c r="X137" i="188"/>
  <c r="W137" i="188"/>
  <c r="V137" i="188"/>
  <c r="U137" i="188"/>
  <c r="T137" i="188"/>
  <c r="S137" i="188"/>
  <c r="R137" i="188"/>
  <c r="Q137" i="188"/>
  <c r="P137" i="188"/>
  <c r="O137" i="188"/>
  <c r="X136" i="188"/>
  <c r="W136" i="188"/>
  <c r="V136" i="188"/>
  <c r="U136" i="188"/>
  <c r="T136" i="188"/>
  <c r="S136" i="188"/>
  <c r="P136" i="188"/>
  <c r="O136" i="188"/>
  <c r="X135" i="188"/>
  <c r="W135" i="188"/>
  <c r="V135" i="188"/>
  <c r="U135" i="188"/>
  <c r="T135" i="188"/>
  <c r="S135" i="188"/>
  <c r="R135" i="188"/>
  <c r="Q135" i="188"/>
  <c r="P135" i="188"/>
  <c r="O135" i="188"/>
  <c r="X134" i="188"/>
  <c r="W134" i="188"/>
  <c r="V134" i="188"/>
  <c r="U134" i="188"/>
  <c r="T134" i="188"/>
  <c r="S134" i="188"/>
  <c r="R134" i="188"/>
  <c r="Q134" i="188"/>
  <c r="P134" i="188"/>
  <c r="O134" i="188"/>
  <c r="BX133" i="188"/>
  <c r="BW133" i="188"/>
  <c r="BV133" i="188"/>
  <c r="BU133" i="188"/>
  <c r="BT133" i="188"/>
  <c r="BS133" i="188"/>
  <c r="BR133" i="188"/>
  <c r="BQ133" i="188"/>
  <c r="BP133" i="188"/>
  <c r="BO133" i="188"/>
  <c r="X133" i="188"/>
  <c r="W133" i="188"/>
  <c r="V133" i="188"/>
  <c r="U133" i="188"/>
  <c r="T133" i="188"/>
  <c r="S133" i="188"/>
  <c r="R133" i="188"/>
  <c r="Q133" i="188"/>
  <c r="P133" i="188"/>
  <c r="O133" i="188"/>
  <c r="EL129" i="188"/>
  <c r="DY129" i="188"/>
  <c r="DL129" i="188"/>
  <c r="CY129" i="188"/>
  <c r="CL129" i="188"/>
  <c r="BY129" i="188"/>
  <c r="BL129" i="188"/>
  <c r="AY129" i="188"/>
  <c r="AE129" i="188"/>
  <c r="AD129" i="188"/>
  <c r="AC129" i="188"/>
  <c r="AB129" i="188"/>
  <c r="AA129" i="188"/>
  <c r="Z129" i="188"/>
  <c r="Y129" i="188"/>
  <c r="EK128" i="188"/>
  <c r="EJ128" i="188"/>
  <c r="EI128" i="188"/>
  <c r="EH128" i="188"/>
  <c r="EG128" i="188"/>
  <c r="EF128" i="188"/>
  <c r="EE128" i="188"/>
  <c r="ED128" i="188"/>
  <c r="EC128" i="188"/>
  <c r="EB128" i="188"/>
  <c r="EA128" i="188"/>
  <c r="DZ128" i="188"/>
  <c r="DY128" i="188"/>
  <c r="DK128" i="188"/>
  <c r="DJ128" i="188"/>
  <c r="DI128" i="188"/>
  <c r="DH128" i="188"/>
  <c r="DG128" i="188"/>
  <c r="DF128" i="188"/>
  <c r="DE128" i="188"/>
  <c r="DD128" i="188"/>
  <c r="DC128" i="188"/>
  <c r="DB128" i="188"/>
  <c r="DA128" i="188"/>
  <c r="CZ128" i="188"/>
  <c r="CY128" i="188"/>
  <c r="CK128" i="188"/>
  <c r="CJ128" i="188"/>
  <c r="CI128" i="188"/>
  <c r="CH128" i="188"/>
  <c r="CG128" i="188"/>
  <c r="CF128" i="188"/>
  <c r="CE128" i="188"/>
  <c r="CD128" i="188"/>
  <c r="CC128" i="188"/>
  <c r="CB128" i="188"/>
  <c r="CA128" i="188"/>
  <c r="BZ128" i="188"/>
  <c r="BY128" i="188"/>
  <c r="BK128" i="188"/>
  <c r="BJ128" i="188"/>
  <c r="BI128" i="188"/>
  <c r="BH128" i="188"/>
  <c r="BG128" i="188"/>
  <c r="BF128" i="188"/>
  <c r="BE128" i="188"/>
  <c r="BD128" i="188"/>
  <c r="BC128" i="188"/>
  <c r="BB128" i="188"/>
  <c r="BA128" i="188"/>
  <c r="AZ128" i="188"/>
  <c r="AY128" i="188"/>
  <c r="AK128" i="188"/>
  <c r="AJ128" i="188"/>
  <c r="AI128" i="188"/>
  <c r="AH128" i="188"/>
  <c r="AG128" i="188"/>
  <c r="AF128" i="188"/>
  <c r="AD128" i="188"/>
  <c r="AC128" i="188"/>
  <c r="AB128" i="188"/>
  <c r="AA128" i="188"/>
  <c r="Z128" i="188"/>
  <c r="R128" i="188"/>
  <c r="Y128" i="188" s="1"/>
  <c r="X127" i="188"/>
  <c r="W127" i="188"/>
  <c r="V127" i="188"/>
  <c r="U127" i="188"/>
  <c r="Q127" i="188"/>
  <c r="P127" i="188"/>
  <c r="O127" i="188"/>
  <c r="N127" i="188"/>
  <c r="M127" i="188"/>
  <c r="DX126" i="188"/>
  <c r="EK126" i="188" s="1"/>
  <c r="DW126" i="188"/>
  <c r="EJ126" i="188" s="1"/>
  <c r="DV126" i="188"/>
  <c r="EI126" i="188" s="1"/>
  <c r="DU126" i="188"/>
  <c r="EH126" i="188" s="1"/>
  <c r="DT126" i="188"/>
  <c r="EG126" i="188" s="1"/>
  <c r="DS126" i="188"/>
  <c r="EF126" i="188" s="1"/>
  <c r="DR126" i="188"/>
  <c r="EE126" i="188" s="1"/>
  <c r="DQ126" i="188"/>
  <c r="ED126" i="188" s="1"/>
  <c r="DP126" i="188"/>
  <c r="EC126" i="188" s="1"/>
  <c r="DO126" i="188"/>
  <c r="EB126" i="188" s="1"/>
  <c r="DN126" i="188"/>
  <c r="EA126" i="188" s="1"/>
  <c r="DM126" i="188"/>
  <c r="DZ126" i="188" s="1"/>
  <c r="CX126" i="188"/>
  <c r="DK126" i="188" s="1"/>
  <c r="CW126" i="188"/>
  <c r="DJ126" i="188" s="1"/>
  <c r="CV126" i="188"/>
  <c r="DI126" i="188" s="1"/>
  <c r="CU126" i="188"/>
  <c r="DH126" i="188" s="1"/>
  <c r="CT126" i="188"/>
  <c r="CS126" i="188"/>
  <c r="DF126" i="188" s="1"/>
  <c r="CR126" i="188"/>
  <c r="DE126" i="188" s="1"/>
  <c r="CQ126" i="188"/>
  <c r="DD126" i="188" s="1"/>
  <c r="CP126" i="188"/>
  <c r="DC126" i="188" s="1"/>
  <c r="CO126" i="188"/>
  <c r="DB126" i="188" s="1"/>
  <c r="CN126" i="188"/>
  <c r="DA126" i="188" s="1"/>
  <c r="CM126" i="188"/>
  <c r="CZ126" i="188" s="1"/>
  <c r="BX126" i="188"/>
  <c r="CK126" i="188" s="1"/>
  <c r="BW126" i="188"/>
  <c r="CJ126" i="188" s="1"/>
  <c r="BV126" i="188"/>
  <c r="CI126" i="188" s="1"/>
  <c r="BU126" i="188"/>
  <c r="CH126" i="188" s="1"/>
  <c r="BT126" i="188"/>
  <c r="CG126" i="188" s="1"/>
  <c r="BS126" i="188"/>
  <c r="CF126" i="188" s="1"/>
  <c r="BR126" i="188"/>
  <c r="CE126" i="188" s="1"/>
  <c r="BQ126" i="188"/>
  <c r="CD126" i="188" s="1"/>
  <c r="BP126" i="188"/>
  <c r="CC126" i="188" s="1"/>
  <c r="BO126" i="188"/>
  <c r="CB126" i="188" s="1"/>
  <c r="BN126" i="188"/>
  <c r="BM126" i="188"/>
  <c r="BZ126" i="188" s="1"/>
  <c r="BK126" i="188"/>
  <c r="BJ126" i="188"/>
  <c r="BI126" i="188"/>
  <c r="BH126" i="188"/>
  <c r="BG126" i="188"/>
  <c r="BF126" i="188"/>
  <c r="BE126" i="188"/>
  <c r="BD126" i="188"/>
  <c r="BC126" i="188"/>
  <c r="BB126" i="188"/>
  <c r="BA126" i="188"/>
  <c r="AZ126" i="188"/>
  <c r="AY126" i="188"/>
  <c r="AK126" i="188"/>
  <c r="AJ126" i="188"/>
  <c r="AI126" i="188"/>
  <c r="AH126" i="188"/>
  <c r="AG126" i="188"/>
  <c r="AF126" i="188"/>
  <c r="AE126" i="188"/>
  <c r="AD126" i="188"/>
  <c r="AC126" i="188"/>
  <c r="AB126" i="188"/>
  <c r="AA126" i="188"/>
  <c r="Z126" i="188"/>
  <c r="Y126" i="188"/>
  <c r="DX125" i="188"/>
  <c r="EK125" i="188" s="1"/>
  <c r="DW125" i="188"/>
  <c r="EJ125" i="188" s="1"/>
  <c r="DV125" i="188"/>
  <c r="EI125" i="188" s="1"/>
  <c r="DU125" i="188"/>
  <c r="EH125" i="188" s="1"/>
  <c r="DT125" i="188"/>
  <c r="DS125" i="188"/>
  <c r="EF125" i="188" s="1"/>
  <c r="DR125" i="188"/>
  <c r="EE125" i="188" s="1"/>
  <c r="DQ125" i="188"/>
  <c r="DP125" i="188"/>
  <c r="EC125" i="188" s="1"/>
  <c r="DO125" i="188"/>
  <c r="EB125" i="188" s="1"/>
  <c r="DN125" i="188"/>
  <c r="EA125" i="188" s="1"/>
  <c r="DM125" i="188"/>
  <c r="DZ125" i="188" s="1"/>
  <c r="CX125" i="188"/>
  <c r="DK125" i="188" s="1"/>
  <c r="CW125" i="188"/>
  <c r="DJ125" i="188" s="1"/>
  <c r="CV125" i="188"/>
  <c r="DI125" i="188" s="1"/>
  <c r="CU125" i="188"/>
  <c r="DH125" i="188" s="1"/>
  <c r="CT125" i="188"/>
  <c r="DG125" i="188" s="1"/>
  <c r="CS125" i="188"/>
  <c r="DF125" i="188" s="1"/>
  <c r="CR125" i="188"/>
  <c r="CQ125" i="188"/>
  <c r="DD125" i="188" s="1"/>
  <c r="CP125" i="188"/>
  <c r="DC125" i="188" s="1"/>
  <c r="CO125" i="188"/>
  <c r="DB125" i="188" s="1"/>
  <c r="CN125" i="188"/>
  <c r="DA125" i="188" s="1"/>
  <c r="CM125" i="188"/>
  <c r="CZ125" i="188" s="1"/>
  <c r="BX125" i="188"/>
  <c r="BW125" i="188"/>
  <c r="CJ125" i="188" s="1"/>
  <c r="BV125" i="188"/>
  <c r="CI125" i="188" s="1"/>
  <c r="BU125" i="188"/>
  <c r="CH125" i="188" s="1"/>
  <c r="BT125" i="188"/>
  <c r="CG125" i="188" s="1"/>
  <c r="BS125" i="188"/>
  <c r="BR125" i="188"/>
  <c r="CE125" i="188" s="1"/>
  <c r="BQ125" i="188"/>
  <c r="BP125" i="188"/>
  <c r="CC125" i="188" s="1"/>
  <c r="BO125" i="188"/>
  <c r="BN125" i="188"/>
  <c r="CA125" i="188" s="1"/>
  <c r="BM125" i="188"/>
  <c r="BZ125" i="188" s="1"/>
  <c r="BK125" i="188"/>
  <c r="BJ125" i="188"/>
  <c r="BI125" i="188"/>
  <c r="BH125" i="188"/>
  <c r="BG125" i="188"/>
  <c r="BF125" i="188"/>
  <c r="BE125" i="188"/>
  <c r="BD125" i="188"/>
  <c r="BC125" i="188"/>
  <c r="BB125" i="188"/>
  <c r="BA125" i="188"/>
  <c r="AZ125" i="188"/>
  <c r="AY125" i="188"/>
  <c r="AK125" i="188"/>
  <c r="AJ125" i="188"/>
  <c r="AI125" i="188"/>
  <c r="AH125" i="188"/>
  <c r="AG125" i="188"/>
  <c r="AF125" i="188"/>
  <c r="AE125" i="188"/>
  <c r="AD125" i="188"/>
  <c r="AC125" i="188"/>
  <c r="AB125" i="188"/>
  <c r="AA125" i="188"/>
  <c r="Z125" i="188"/>
  <c r="Y125" i="188"/>
  <c r="DX124" i="188"/>
  <c r="DW124" i="188"/>
  <c r="EJ124" i="188" s="1"/>
  <c r="DV124" i="188"/>
  <c r="EI124" i="188" s="1"/>
  <c r="DU124" i="188"/>
  <c r="EH124" i="188" s="1"/>
  <c r="DT124" i="188"/>
  <c r="EG124" i="188" s="1"/>
  <c r="DS124" i="188"/>
  <c r="EF124" i="188" s="1"/>
  <c r="DR124" i="188"/>
  <c r="EE124" i="188" s="1"/>
  <c r="DQ124" i="188"/>
  <c r="ED124" i="188" s="1"/>
  <c r="DP124" i="188"/>
  <c r="EC124" i="188" s="1"/>
  <c r="DO124" i="188"/>
  <c r="DN124" i="188"/>
  <c r="EA124" i="188" s="1"/>
  <c r="DM124" i="188"/>
  <c r="DZ124" i="188" s="1"/>
  <c r="CX124" i="188"/>
  <c r="DK124" i="188" s="1"/>
  <c r="CW124" i="188"/>
  <c r="CV124" i="188"/>
  <c r="DI124" i="188" s="1"/>
  <c r="CU124" i="188"/>
  <c r="DH124" i="188" s="1"/>
  <c r="CT124" i="188"/>
  <c r="DG124" i="188" s="1"/>
  <c r="CS124" i="188"/>
  <c r="CR124" i="188"/>
  <c r="DE124" i="188" s="1"/>
  <c r="CQ124" i="188"/>
  <c r="CP124" i="188"/>
  <c r="CO124" i="188"/>
  <c r="CN124" i="188"/>
  <c r="CM124" i="188"/>
  <c r="CZ124" i="188" s="1"/>
  <c r="BX124" i="188"/>
  <c r="CK124" i="188" s="1"/>
  <c r="BW124" i="188"/>
  <c r="CJ124" i="188" s="1"/>
  <c r="BV124" i="188"/>
  <c r="CI124" i="188" s="1"/>
  <c r="BU124" i="188"/>
  <c r="CH124" i="188" s="1"/>
  <c r="BT124" i="188"/>
  <c r="CG124" i="188" s="1"/>
  <c r="BS124" i="188"/>
  <c r="CF124" i="188" s="1"/>
  <c r="BR124" i="188"/>
  <c r="CE124" i="188" s="1"/>
  <c r="BQ124" i="188"/>
  <c r="CD124" i="188" s="1"/>
  <c r="BP124" i="188"/>
  <c r="CC124" i="188" s="1"/>
  <c r="BO124" i="188"/>
  <c r="CB124" i="188" s="1"/>
  <c r="BN124" i="188"/>
  <c r="BM124" i="188"/>
  <c r="BZ124" i="188" s="1"/>
  <c r="AX124" i="188"/>
  <c r="BK124" i="188" s="1"/>
  <c r="AW124" i="188"/>
  <c r="BJ124" i="188" s="1"/>
  <c r="AV124" i="188"/>
  <c r="AU124" i="188"/>
  <c r="BH124" i="188" s="1"/>
  <c r="AT124" i="188"/>
  <c r="BG124" i="188" s="1"/>
  <c r="AS124" i="188"/>
  <c r="BF124" i="188" s="1"/>
  <c r="AR124" i="188"/>
  <c r="BE124" i="188" s="1"/>
  <c r="AQ124" i="188"/>
  <c r="BD124" i="188" s="1"/>
  <c r="AP124" i="188"/>
  <c r="BC124" i="188" s="1"/>
  <c r="AO124" i="188"/>
  <c r="BB124" i="188" s="1"/>
  <c r="AN124" i="188"/>
  <c r="BA124" i="188" s="1"/>
  <c r="AM124" i="188"/>
  <c r="AK124" i="188"/>
  <c r="AJ124" i="188"/>
  <c r="AI124" i="188"/>
  <c r="AH124" i="188"/>
  <c r="AG124" i="188"/>
  <c r="AF124" i="188"/>
  <c r="AE124" i="188"/>
  <c r="AD124" i="188"/>
  <c r="AC124" i="188"/>
  <c r="AB124" i="188"/>
  <c r="AA124" i="188"/>
  <c r="Z124" i="188"/>
  <c r="Y124" i="188"/>
  <c r="DX123" i="188"/>
  <c r="EK123" i="188" s="1"/>
  <c r="DW123" i="188"/>
  <c r="DV123" i="188"/>
  <c r="EI123" i="188" s="1"/>
  <c r="DU123" i="188"/>
  <c r="EH123" i="188" s="1"/>
  <c r="DT123" i="188"/>
  <c r="EG123" i="188" s="1"/>
  <c r="DS123" i="188"/>
  <c r="EF123" i="188" s="1"/>
  <c r="DR123" i="188"/>
  <c r="EE123" i="188" s="1"/>
  <c r="DQ123" i="188"/>
  <c r="ED123" i="188" s="1"/>
  <c r="DP123" i="188"/>
  <c r="EC123" i="188" s="1"/>
  <c r="DO123" i="188"/>
  <c r="EB123" i="188" s="1"/>
  <c r="DN123" i="188"/>
  <c r="DM123" i="188"/>
  <c r="DZ123" i="188" s="1"/>
  <c r="CX123" i="188"/>
  <c r="CW123" i="188"/>
  <c r="DJ123" i="188" s="1"/>
  <c r="CV123" i="188"/>
  <c r="CU123" i="188"/>
  <c r="DH123" i="188" s="1"/>
  <c r="CT123" i="188"/>
  <c r="DG123" i="188" s="1"/>
  <c r="CS123" i="188"/>
  <c r="DF123" i="188" s="1"/>
  <c r="CR123" i="188"/>
  <c r="DE123" i="188" s="1"/>
  <c r="CQ123" i="188"/>
  <c r="DD123" i="188" s="1"/>
  <c r="CP123" i="188"/>
  <c r="DC123" i="188" s="1"/>
  <c r="CO123" i="188"/>
  <c r="DB123" i="188" s="1"/>
  <c r="CN123" i="188"/>
  <c r="DA123" i="188" s="1"/>
  <c r="CM123" i="188"/>
  <c r="BX123" i="188"/>
  <c r="CK123" i="188" s="1"/>
  <c r="BW123" i="188"/>
  <c r="CJ123" i="188" s="1"/>
  <c r="BV123" i="188"/>
  <c r="CI123" i="188" s="1"/>
  <c r="BU123" i="188"/>
  <c r="BT123" i="188"/>
  <c r="CG123" i="188" s="1"/>
  <c r="BS123" i="188"/>
  <c r="CF123" i="188" s="1"/>
  <c r="BR123" i="188"/>
  <c r="CE123" i="188" s="1"/>
  <c r="BQ123" i="188"/>
  <c r="CD123" i="188" s="1"/>
  <c r="BP123" i="188"/>
  <c r="CC123" i="188" s="1"/>
  <c r="BO123" i="188"/>
  <c r="BN123" i="188"/>
  <c r="CA123" i="188" s="1"/>
  <c r="BM123" i="188"/>
  <c r="BZ123" i="188" s="1"/>
  <c r="AX123" i="188"/>
  <c r="AW123" i="188"/>
  <c r="BJ123" i="188" s="1"/>
  <c r="AV123" i="188"/>
  <c r="AU123" i="188"/>
  <c r="AT123" i="188"/>
  <c r="BG123" i="188" s="1"/>
  <c r="AS123" i="188"/>
  <c r="BF123" i="188" s="1"/>
  <c r="AR123" i="188"/>
  <c r="BE123" i="188" s="1"/>
  <c r="AQ123" i="188"/>
  <c r="BD123" i="188" s="1"/>
  <c r="AP123" i="188"/>
  <c r="AO123" i="188"/>
  <c r="AN123" i="188"/>
  <c r="BA123" i="188" s="1"/>
  <c r="AM123" i="188"/>
  <c r="AZ123" i="188" s="1"/>
  <c r="AK123" i="188"/>
  <c r="AJ123" i="188"/>
  <c r="AI123" i="188"/>
  <c r="AH123" i="188"/>
  <c r="AG123" i="188"/>
  <c r="AD123" i="188"/>
  <c r="AC123" i="188"/>
  <c r="AB123" i="188"/>
  <c r="AA123" i="188"/>
  <c r="Z123" i="188"/>
  <c r="T123" i="188"/>
  <c r="T127" i="188" s="1"/>
  <c r="S123" i="188"/>
  <c r="R123" i="188"/>
  <c r="AW122" i="188"/>
  <c r="AU122" i="188"/>
  <c r="AR122" i="188"/>
  <c r="AQ122" i="188"/>
  <c r="AO122" i="188"/>
  <c r="AB122" i="188"/>
  <c r="AA122" i="188"/>
  <c r="Z122" i="188"/>
  <c r="X122" i="188"/>
  <c r="W122" i="188"/>
  <c r="U122" i="188"/>
  <c r="S122" i="188"/>
  <c r="O122" i="188"/>
  <c r="N122" i="188"/>
  <c r="M122" i="188"/>
  <c r="EK121" i="188"/>
  <c r="EJ121" i="188"/>
  <c r="EI121" i="188"/>
  <c r="EH121" i="188"/>
  <c r="EG121" i="188"/>
  <c r="EF121" i="188"/>
  <c r="EE121" i="188"/>
  <c r="ED121" i="188"/>
  <c r="EC121" i="188"/>
  <c r="EB121" i="188"/>
  <c r="EA121" i="188"/>
  <c r="DZ121" i="188"/>
  <c r="DY121" i="188"/>
  <c r="DK121" i="188"/>
  <c r="DJ121" i="188"/>
  <c r="DI121" i="188"/>
  <c r="DH121" i="188"/>
  <c r="DG121" i="188"/>
  <c r="DF121" i="188"/>
  <c r="DE121" i="188"/>
  <c r="DD121" i="188"/>
  <c r="DC121" i="188"/>
  <c r="DB121" i="188"/>
  <c r="DA121" i="188"/>
  <c r="CZ121" i="188"/>
  <c r="CY121" i="188"/>
  <c r="CK121" i="188"/>
  <c r="CJ121" i="188"/>
  <c r="CI121" i="188"/>
  <c r="CH121" i="188"/>
  <c r="CG121" i="188"/>
  <c r="CF121" i="188"/>
  <c r="CE121" i="188"/>
  <c r="CD121" i="188"/>
  <c r="CC121" i="188"/>
  <c r="CB121" i="188"/>
  <c r="CA121" i="188"/>
  <c r="BZ121" i="188"/>
  <c r="BY121" i="188"/>
  <c r="BK121" i="188"/>
  <c r="BJ121" i="188"/>
  <c r="BI121" i="188"/>
  <c r="BH121" i="188"/>
  <c r="BG121" i="188"/>
  <c r="BF121" i="188"/>
  <c r="BE121" i="188"/>
  <c r="BD121" i="188"/>
  <c r="BC121" i="188"/>
  <c r="BB121" i="188"/>
  <c r="BA121" i="188"/>
  <c r="AZ121" i="188"/>
  <c r="AY121" i="188"/>
  <c r="AK121" i="188"/>
  <c r="AJ121" i="188"/>
  <c r="AI121" i="188"/>
  <c r="AH121" i="188"/>
  <c r="AG121" i="188"/>
  <c r="AF121" i="188"/>
  <c r="AE121" i="188"/>
  <c r="Y121" i="188"/>
  <c r="DX120" i="188"/>
  <c r="DW120" i="188"/>
  <c r="DV120" i="188"/>
  <c r="DU120" i="188"/>
  <c r="DT120" i="188"/>
  <c r="DS120" i="188"/>
  <c r="DR120" i="188"/>
  <c r="DQ120" i="188"/>
  <c r="DP120" i="188"/>
  <c r="DO120" i="188"/>
  <c r="DN120" i="188"/>
  <c r="DM120" i="188"/>
  <c r="CX120" i="188"/>
  <c r="CW120" i="188"/>
  <c r="CV120" i="188"/>
  <c r="CU120" i="188"/>
  <c r="CT120" i="188"/>
  <c r="CS120" i="188"/>
  <c r="CR120" i="188"/>
  <c r="CQ120" i="188"/>
  <c r="CP120" i="188"/>
  <c r="CO120" i="188"/>
  <c r="CN120" i="188"/>
  <c r="CM120" i="188"/>
  <c r="BX120" i="188"/>
  <c r="BW120" i="188"/>
  <c r="BV120" i="188"/>
  <c r="BU120" i="188"/>
  <c r="BT120" i="188"/>
  <c r="BS120" i="188"/>
  <c r="AK120" i="188"/>
  <c r="AJ120" i="188"/>
  <c r="AI120" i="188"/>
  <c r="AH120" i="188"/>
  <c r="AG120" i="188"/>
  <c r="AF120" i="188"/>
  <c r="AE120" i="188"/>
  <c r="I120" i="188"/>
  <c r="CB120" i="188" s="1"/>
  <c r="DX119" i="188"/>
  <c r="DW119" i="188"/>
  <c r="DV119" i="188"/>
  <c r="DU119" i="188"/>
  <c r="DT119" i="188"/>
  <c r="DS119" i="188"/>
  <c r="DR119" i="188"/>
  <c r="DQ119" i="188"/>
  <c r="DP119" i="188"/>
  <c r="DO119" i="188"/>
  <c r="DN119" i="188"/>
  <c r="DM119" i="188"/>
  <c r="CX119" i="188"/>
  <c r="CW119" i="188"/>
  <c r="CV119" i="188"/>
  <c r="CU119" i="188"/>
  <c r="CT119" i="188"/>
  <c r="CS119" i="188"/>
  <c r="CR119" i="188"/>
  <c r="CQ119" i="188"/>
  <c r="CP119" i="188"/>
  <c r="CO119" i="188"/>
  <c r="CN119" i="188"/>
  <c r="CM119" i="188"/>
  <c r="BX119" i="188"/>
  <c r="BW119" i="188"/>
  <c r="BV119" i="188"/>
  <c r="BU119" i="188"/>
  <c r="BT119" i="188"/>
  <c r="BS119" i="188"/>
  <c r="AK119" i="188"/>
  <c r="AJ119" i="188"/>
  <c r="AI119" i="188"/>
  <c r="AH119" i="188"/>
  <c r="AG119" i="188"/>
  <c r="AF119" i="188"/>
  <c r="AE119" i="188"/>
  <c r="I119" i="188"/>
  <c r="CD119" i="188" s="1"/>
  <c r="DX118" i="188"/>
  <c r="DW118" i="188"/>
  <c r="DV118" i="188"/>
  <c r="DU118" i="188"/>
  <c r="DT118" i="188"/>
  <c r="DS118" i="188"/>
  <c r="DR118" i="188"/>
  <c r="DQ118" i="188"/>
  <c r="DP118" i="188"/>
  <c r="DO118" i="188"/>
  <c r="DN118" i="188"/>
  <c r="DM118" i="188"/>
  <c r="CX118" i="188"/>
  <c r="CW118" i="188"/>
  <c r="CV118" i="188"/>
  <c r="CU118" i="188"/>
  <c r="CT118" i="188"/>
  <c r="CS118" i="188"/>
  <c r="CR118" i="188"/>
  <c r="CQ118" i="188"/>
  <c r="CP118" i="188"/>
  <c r="CO118" i="188"/>
  <c r="CN118" i="188"/>
  <c r="CM118" i="188"/>
  <c r="BX118" i="188"/>
  <c r="BW118" i="188"/>
  <c r="BV118" i="188"/>
  <c r="BU118" i="188"/>
  <c r="BT118" i="188"/>
  <c r="BS118" i="188"/>
  <c r="AK118" i="188"/>
  <c r="AJ118" i="188"/>
  <c r="AI118" i="188"/>
  <c r="AH118" i="188"/>
  <c r="AG118" i="188"/>
  <c r="AF118" i="188"/>
  <c r="AE118" i="188"/>
  <c r="I118" i="188"/>
  <c r="BZ118" i="188" s="1"/>
  <c r="DX117" i="188"/>
  <c r="DW117" i="188"/>
  <c r="DV117" i="188"/>
  <c r="DU117" i="188"/>
  <c r="DT117" i="188"/>
  <c r="DS117" i="188"/>
  <c r="DR117" i="188"/>
  <c r="DQ117" i="188"/>
  <c r="DP117" i="188"/>
  <c r="DO117" i="188"/>
  <c r="DN117" i="188"/>
  <c r="DM117" i="188"/>
  <c r="CX117" i="188"/>
  <c r="CW117" i="188"/>
  <c r="CV117" i="188"/>
  <c r="CU117" i="188"/>
  <c r="CT117" i="188"/>
  <c r="CS117" i="188"/>
  <c r="CR117" i="188"/>
  <c r="CQ117" i="188"/>
  <c r="CP117" i="188"/>
  <c r="CO117" i="188"/>
  <c r="CN117" i="188"/>
  <c r="CM117" i="188"/>
  <c r="BX117" i="188"/>
  <c r="BW117" i="188"/>
  <c r="BV117" i="188"/>
  <c r="BU117" i="188"/>
  <c r="BT117" i="188"/>
  <c r="BS117" i="188"/>
  <c r="BR117" i="188"/>
  <c r="BQ117" i="188"/>
  <c r="BP117" i="188"/>
  <c r="BO117" i="188"/>
  <c r="BN117" i="188"/>
  <c r="BM117" i="188"/>
  <c r="BK117" i="188"/>
  <c r="BJ117" i="188"/>
  <c r="BI117" i="188"/>
  <c r="BH117" i="188"/>
  <c r="BG117" i="188"/>
  <c r="BF117" i="188"/>
  <c r="BE117" i="188"/>
  <c r="BD117" i="188"/>
  <c r="BC117" i="188"/>
  <c r="BB117" i="188"/>
  <c r="BA117" i="188"/>
  <c r="AZ117" i="188"/>
  <c r="AY117" i="188"/>
  <c r="AK117" i="188"/>
  <c r="AJ117" i="188"/>
  <c r="AI117" i="188"/>
  <c r="AH117" i="188"/>
  <c r="AG117" i="188"/>
  <c r="Y117" i="188"/>
  <c r="I117" i="188"/>
  <c r="G117" i="188"/>
  <c r="E117" i="188"/>
  <c r="AE117" i="188" s="1"/>
  <c r="DX116" i="188"/>
  <c r="DW116" i="188"/>
  <c r="DV116" i="188"/>
  <c r="DU116" i="188"/>
  <c r="DT116" i="188"/>
  <c r="DS116" i="188"/>
  <c r="DR116" i="188"/>
  <c r="DQ116" i="188"/>
  <c r="DP116" i="188"/>
  <c r="DO116" i="188"/>
  <c r="DN116" i="188"/>
  <c r="DM116" i="188"/>
  <c r="CX116" i="188"/>
  <c r="CW116" i="188"/>
  <c r="CV116" i="188"/>
  <c r="CU116" i="188"/>
  <c r="CT116" i="188"/>
  <c r="CS116" i="188"/>
  <c r="CR116" i="188"/>
  <c r="CQ116" i="188"/>
  <c r="CP116" i="188"/>
  <c r="CO116" i="188"/>
  <c r="CN116" i="188"/>
  <c r="CM116" i="188"/>
  <c r="BX116" i="188"/>
  <c r="BW116" i="188"/>
  <c r="BV116" i="188"/>
  <c r="BU116" i="188"/>
  <c r="BT116" i="188"/>
  <c r="BS116" i="188"/>
  <c r="BR116" i="188"/>
  <c r="BQ116" i="188"/>
  <c r="BP116" i="188"/>
  <c r="BO116" i="188"/>
  <c r="BN116" i="188"/>
  <c r="BM116" i="188"/>
  <c r="BK116" i="188"/>
  <c r="BJ116" i="188"/>
  <c r="BI116" i="188"/>
  <c r="BH116" i="188"/>
  <c r="BG116" i="188"/>
  <c r="BF116" i="188"/>
  <c r="BE116" i="188"/>
  <c r="BD116" i="188"/>
  <c r="BC116" i="188"/>
  <c r="BB116" i="188"/>
  <c r="BA116" i="188"/>
  <c r="AZ116" i="188"/>
  <c r="AY116" i="188"/>
  <c r="AK116" i="188"/>
  <c r="AJ116" i="188"/>
  <c r="AI116" i="188"/>
  <c r="AH116" i="188"/>
  <c r="AG116" i="188"/>
  <c r="Y116" i="188"/>
  <c r="I116" i="188"/>
  <c r="G116" i="188"/>
  <c r="E116" i="188"/>
  <c r="AF116" i="188" s="1"/>
  <c r="DY115" i="188"/>
  <c r="CY115" i="188"/>
  <c r="BX115" i="188"/>
  <c r="BX150" i="188" s="1"/>
  <c r="BW115" i="188"/>
  <c r="BW150" i="188" s="1"/>
  <c r="BV115" i="188"/>
  <c r="BV150" i="188" s="1"/>
  <c r="BU115" i="188"/>
  <c r="BU150" i="188" s="1"/>
  <c r="BT115" i="188"/>
  <c r="BT150" i="188" s="1"/>
  <c r="BS115" i="188"/>
  <c r="BS150" i="188" s="1"/>
  <c r="BR115" i="188"/>
  <c r="BR150" i="188" s="1"/>
  <c r="BQ115" i="188"/>
  <c r="BQ150" i="188" s="1"/>
  <c r="BP115" i="188"/>
  <c r="BP150" i="188" s="1"/>
  <c r="BO115" i="188"/>
  <c r="BO150" i="188" s="1"/>
  <c r="BN115" i="188"/>
  <c r="BM115" i="188"/>
  <c r="AY115" i="188"/>
  <c r="AK115" i="188"/>
  <c r="AJ115" i="188"/>
  <c r="AI115" i="188"/>
  <c r="AH115" i="188"/>
  <c r="AG115" i="188"/>
  <c r="AF115" i="188"/>
  <c r="AE115" i="188"/>
  <c r="AD115" i="188"/>
  <c r="AC115" i="188"/>
  <c r="Y115" i="188"/>
  <c r="G115" i="188"/>
  <c r="H115" i="188" s="1"/>
  <c r="BA115" i="188" s="1"/>
  <c r="DY114" i="188"/>
  <c r="CY114" i="188"/>
  <c r="BX114" i="188"/>
  <c r="BX149" i="188" s="1"/>
  <c r="BW114" i="188"/>
  <c r="BW149" i="188" s="1"/>
  <c r="BV114" i="188"/>
  <c r="BV149" i="188" s="1"/>
  <c r="BU114" i="188"/>
  <c r="BU149" i="188" s="1"/>
  <c r="BT114" i="188"/>
  <c r="BT149" i="188" s="1"/>
  <c r="BS114" i="188"/>
  <c r="BS149" i="188" s="1"/>
  <c r="BR114" i="188"/>
  <c r="BR149" i="188" s="1"/>
  <c r="BQ114" i="188"/>
  <c r="BQ149" i="188" s="1"/>
  <c r="BP114" i="188"/>
  <c r="BP149" i="188" s="1"/>
  <c r="BO114" i="188"/>
  <c r="BO149" i="188" s="1"/>
  <c r="BN114" i="188"/>
  <c r="BM114" i="188"/>
  <c r="AM114" i="188"/>
  <c r="AK114" i="188"/>
  <c r="AJ114" i="188"/>
  <c r="AH114" i="188"/>
  <c r="AF114" i="188"/>
  <c r="AD114" i="188"/>
  <c r="AC114" i="188"/>
  <c r="V114" i="188"/>
  <c r="V149" i="188" s="1"/>
  <c r="T114" i="188"/>
  <c r="R114" i="188"/>
  <c r="R149" i="188" s="1"/>
  <c r="G114" i="188"/>
  <c r="H114" i="188" s="1"/>
  <c r="BB114" i="188" s="1"/>
  <c r="DY113" i="188"/>
  <c r="CY113" i="188"/>
  <c r="BY113" i="188"/>
  <c r="AY113" i="188"/>
  <c r="AK113" i="188"/>
  <c r="AJ113" i="188"/>
  <c r="AI113" i="188"/>
  <c r="AH113" i="188"/>
  <c r="AG113" i="188"/>
  <c r="AF113" i="188"/>
  <c r="Y113" i="188"/>
  <c r="G113" i="188"/>
  <c r="H113" i="188" s="1"/>
  <c r="BA113" i="188" s="1"/>
  <c r="E113" i="188"/>
  <c r="AD113" i="188" s="1"/>
  <c r="DY112" i="188"/>
  <c r="CX112" i="188"/>
  <c r="CX147" i="188" s="1"/>
  <c r="CW112" i="188"/>
  <c r="CW147" i="188" s="1"/>
  <c r="CV112" i="188"/>
  <c r="CU112" i="188"/>
  <c r="CU147" i="188" s="1"/>
  <c r="CT112" i="188"/>
  <c r="CT147" i="188" s="1"/>
  <c r="CS112" i="188"/>
  <c r="CS147" i="188" s="1"/>
  <c r="CR112" i="188"/>
  <c r="CR147" i="188" s="1"/>
  <c r="CQ112" i="188"/>
  <c r="CQ147" i="188" s="1"/>
  <c r="CP112" i="188"/>
  <c r="CP147" i="188" s="1"/>
  <c r="CO112" i="188"/>
  <c r="CO147" i="188" s="1"/>
  <c r="CN112" i="188"/>
  <c r="CM112" i="188"/>
  <c r="BX112" i="188"/>
  <c r="BX147" i="188" s="1"/>
  <c r="BW112" i="188"/>
  <c r="BW147" i="188" s="1"/>
  <c r="BV112" i="188"/>
  <c r="BV147" i="188" s="1"/>
  <c r="BU112" i="188"/>
  <c r="BU147" i="188" s="1"/>
  <c r="BT112" i="188"/>
  <c r="BT147" i="188" s="1"/>
  <c r="BS112" i="188"/>
  <c r="BS147" i="188" s="1"/>
  <c r="BR112" i="188"/>
  <c r="BQ112" i="188"/>
  <c r="BQ147" i="188" s="1"/>
  <c r="BP112" i="188"/>
  <c r="BP147" i="188" s="1"/>
  <c r="BO112" i="188"/>
  <c r="BN112" i="188"/>
  <c r="BM112" i="188"/>
  <c r="AY112" i="188"/>
  <c r="AK112" i="188"/>
  <c r="AJ112" i="188"/>
  <c r="AI112" i="188"/>
  <c r="AH112" i="188"/>
  <c r="AG112" i="188"/>
  <c r="AF112" i="188"/>
  <c r="AE112" i="188"/>
  <c r="AD112" i="188"/>
  <c r="AC112" i="188"/>
  <c r="Y112" i="188"/>
  <c r="G112" i="188"/>
  <c r="H112" i="188" s="1"/>
  <c r="BC112" i="188" s="1"/>
  <c r="DY111" i="188"/>
  <c r="CX111" i="188"/>
  <c r="CX146" i="188" s="1"/>
  <c r="CW111" i="188"/>
  <c r="CW146" i="188" s="1"/>
  <c r="CV111" i="188"/>
  <c r="CU111" i="188"/>
  <c r="CU146" i="188" s="1"/>
  <c r="CT111" i="188"/>
  <c r="CS111" i="188"/>
  <c r="CS146" i="188" s="1"/>
  <c r="CR111" i="188"/>
  <c r="CQ111" i="188"/>
  <c r="CQ146" i="188" s="1"/>
  <c r="CP111" i="188"/>
  <c r="CO111" i="188"/>
  <c r="CO146" i="188" s="1"/>
  <c r="CN111" i="188"/>
  <c r="CM111" i="188"/>
  <c r="BX111" i="188"/>
  <c r="BW111" i="188"/>
  <c r="BW146" i="188" s="1"/>
  <c r="BV111" i="188"/>
  <c r="BV146" i="188" s="1"/>
  <c r="BU111" i="188"/>
  <c r="BU146" i="188" s="1"/>
  <c r="BT111" i="188"/>
  <c r="BS111" i="188"/>
  <c r="BS146" i="188" s="1"/>
  <c r="BR111" i="188"/>
  <c r="BR146" i="188" s="1"/>
  <c r="BQ111" i="188"/>
  <c r="BQ146" i="188" s="1"/>
  <c r="BP111" i="188"/>
  <c r="BP146" i="188" s="1"/>
  <c r="BO111" i="188"/>
  <c r="BO146" i="188" s="1"/>
  <c r="BN111" i="188"/>
  <c r="BM111" i="188"/>
  <c r="AY111" i="188"/>
  <c r="AK111" i="188"/>
  <c r="AJ111" i="188"/>
  <c r="AI111" i="188"/>
  <c r="AH111" i="188"/>
  <c r="AG111" i="188"/>
  <c r="AF111" i="188"/>
  <c r="AE111" i="188"/>
  <c r="AD111" i="188"/>
  <c r="AC111" i="188"/>
  <c r="Y111" i="188"/>
  <c r="G111" i="188"/>
  <c r="H111" i="188" s="1"/>
  <c r="BJ111" i="188" s="1"/>
  <c r="DY110" i="188"/>
  <c r="CX110" i="188"/>
  <c r="CX145" i="188" s="1"/>
  <c r="CW110" i="188"/>
  <c r="CW145" i="188" s="1"/>
  <c r="CV110" i="188"/>
  <c r="CV145" i="188" s="1"/>
  <c r="CU110" i="188"/>
  <c r="CU145" i="188" s="1"/>
  <c r="CT110" i="188"/>
  <c r="CT145" i="188" s="1"/>
  <c r="CS110" i="188"/>
  <c r="CR110" i="188"/>
  <c r="CR145" i="188" s="1"/>
  <c r="CQ110" i="188"/>
  <c r="CP110" i="188"/>
  <c r="CP145" i="188" s="1"/>
  <c r="CO110" i="188"/>
  <c r="CO145" i="188" s="1"/>
  <c r="CN110" i="188"/>
  <c r="CM110" i="188"/>
  <c r="BM110" i="188"/>
  <c r="BY110" i="188" s="1"/>
  <c r="AY110" i="188"/>
  <c r="AK110" i="188"/>
  <c r="AJ110" i="188"/>
  <c r="AI110" i="188"/>
  <c r="AH110" i="188"/>
  <c r="AG110" i="188"/>
  <c r="AF110" i="188"/>
  <c r="AE110" i="188"/>
  <c r="AD110" i="188"/>
  <c r="AC110" i="188"/>
  <c r="Y110" i="188"/>
  <c r="G110" i="188"/>
  <c r="H110" i="188" s="1"/>
  <c r="I110" i="188" s="1"/>
  <c r="J110" i="188" s="1"/>
  <c r="DY109" i="188"/>
  <c r="CX109" i="188"/>
  <c r="CX144" i="188" s="1"/>
  <c r="CW109" i="188"/>
  <c r="CW144" i="188" s="1"/>
  <c r="CV109" i="188"/>
  <c r="CU109" i="188"/>
  <c r="CU144" i="188" s="1"/>
  <c r="CT109" i="188"/>
  <c r="CT144" i="188" s="1"/>
  <c r="CS109" i="188"/>
  <c r="CS144" i="188" s="1"/>
  <c r="CR109" i="188"/>
  <c r="CR144" i="188" s="1"/>
  <c r="CQ109" i="188"/>
  <c r="CQ144" i="188" s="1"/>
  <c r="CP109" i="188"/>
  <c r="CP144" i="188" s="1"/>
  <c r="CO109" i="188"/>
  <c r="CO144" i="188" s="1"/>
  <c r="CN109" i="188"/>
  <c r="CM109" i="188"/>
  <c r="BM109" i="188"/>
  <c r="BY109" i="188" s="1"/>
  <c r="AY109" i="188"/>
  <c r="AK109" i="188"/>
  <c r="AJ109" i="188"/>
  <c r="AI109" i="188"/>
  <c r="AH109" i="188"/>
  <c r="AG109" i="188"/>
  <c r="AF109" i="188"/>
  <c r="Y109" i="188"/>
  <c r="G109" i="188"/>
  <c r="H109" i="188" s="1"/>
  <c r="BK109" i="188" s="1"/>
  <c r="E109" i="188"/>
  <c r="AC109" i="188" s="1"/>
  <c r="DX108" i="188"/>
  <c r="DX143" i="188" s="1"/>
  <c r="DW108" i="188"/>
  <c r="DW143" i="188" s="1"/>
  <c r="DV108" i="188"/>
  <c r="DV143" i="188" s="1"/>
  <c r="DU108" i="188"/>
  <c r="DU143" i="188" s="1"/>
  <c r="DT108" i="188"/>
  <c r="DT143" i="188" s="1"/>
  <c r="DS108" i="188"/>
  <c r="DS143" i="188" s="1"/>
  <c r="DR108" i="188"/>
  <c r="DR143" i="188" s="1"/>
  <c r="DQ108" i="188"/>
  <c r="DP108" i="188"/>
  <c r="DP143" i="188" s="1"/>
  <c r="DO108" i="188"/>
  <c r="DO143" i="188" s="1"/>
  <c r="DN108" i="188"/>
  <c r="DM108" i="188"/>
  <c r="CX108" i="188"/>
  <c r="CX143" i="188" s="1"/>
  <c r="CW108" i="188"/>
  <c r="CW143" i="188" s="1"/>
  <c r="CV108" i="188"/>
  <c r="CU108" i="188"/>
  <c r="CU143" i="188" s="1"/>
  <c r="CT108" i="188"/>
  <c r="CS108" i="188"/>
  <c r="CR108" i="188"/>
  <c r="CQ108" i="188"/>
  <c r="CP108" i="188"/>
  <c r="CO108" i="188"/>
  <c r="CO143" i="188" s="1"/>
  <c r="CN108" i="188"/>
  <c r="CM108" i="188"/>
  <c r="BX108" i="188"/>
  <c r="BX143" i="188" s="1"/>
  <c r="BW108" i="188"/>
  <c r="BV108" i="188"/>
  <c r="BU108" i="188"/>
  <c r="BU143" i="188" s="1"/>
  <c r="BT108" i="188"/>
  <c r="BT143" i="188" s="1"/>
  <c r="BS108" i="188"/>
  <c r="BR108" i="188"/>
  <c r="BR143" i="188" s="1"/>
  <c r="BQ108" i="188"/>
  <c r="BQ143" i="188" s="1"/>
  <c r="BP108" i="188"/>
  <c r="BP143" i="188" s="1"/>
  <c r="BO108" i="188"/>
  <c r="BO143" i="188" s="1"/>
  <c r="BN108" i="188"/>
  <c r="BM108" i="188"/>
  <c r="AY108" i="188"/>
  <c r="AK108" i="188"/>
  <c r="AJ108" i="188"/>
  <c r="AI108" i="188"/>
  <c r="AH108" i="188"/>
  <c r="AG108" i="188"/>
  <c r="AF108" i="188"/>
  <c r="Y108" i="188"/>
  <c r="G108" i="188"/>
  <c r="H108" i="188" s="1"/>
  <c r="BE108" i="188" s="1"/>
  <c r="E108" i="188"/>
  <c r="AC108" i="188" s="1"/>
  <c r="DX107" i="188"/>
  <c r="DW107" i="188"/>
  <c r="DV107" i="188"/>
  <c r="DV142" i="188" s="1"/>
  <c r="DU107" i="188"/>
  <c r="DU142" i="188" s="1"/>
  <c r="DT107" i="188"/>
  <c r="DT142" i="188" s="1"/>
  <c r="DS107" i="188"/>
  <c r="DS142" i="188" s="1"/>
  <c r="DR107" i="188"/>
  <c r="DR142" i="188" s="1"/>
  <c r="DQ107" i="188"/>
  <c r="DQ142" i="188" s="1"/>
  <c r="DP107" i="188"/>
  <c r="DO107" i="188"/>
  <c r="DO142" i="188" s="1"/>
  <c r="DN107" i="188"/>
  <c r="DM107" i="188"/>
  <c r="CX107" i="188"/>
  <c r="CX142" i="188" s="1"/>
  <c r="CW107" i="188"/>
  <c r="CW142" i="188" s="1"/>
  <c r="CV107" i="188"/>
  <c r="CV142" i="188" s="1"/>
  <c r="CU107" i="188"/>
  <c r="CU142" i="188" s="1"/>
  <c r="CT107" i="188"/>
  <c r="CT142" i="188" s="1"/>
  <c r="CS107" i="188"/>
  <c r="CS142" i="188" s="1"/>
  <c r="CR107" i="188"/>
  <c r="CR142" i="188" s="1"/>
  <c r="CQ107" i="188"/>
  <c r="CQ142" i="188" s="1"/>
  <c r="CP107" i="188"/>
  <c r="CP142" i="188" s="1"/>
  <c r="CO107" i="188"/>
  <c r="CO142" i="188" s="1"/>
  <c r="CN107" i="188"/>
  <c r="CM107" i="188"/>
  <c r="BX107" i="188"/>
  <c r="BX142" i="188" s="1"/>
  <c r="BW107" i="188"/>
  <c r="BW142" i="188" s="1"/>
  <c r="BV107" i="188"/>
  <c r="BV142" i="188" s="1"/>
  <c r="BU107" i="188"/>
  <c r="BU142" i="188" s="1"/>
  <c r="BT107" i="188"/>
  <c r="BT142" i="188" s="1"/>
  <c r="BS107" i="188"/>
  <c r="BS142" i="188" s="1"/>
  <c r="BR107" i="188"/>
  <c r="BR142" i="188" s="1"/>
  <c r="BQ107" i="188"/>
  <c r="BQ142" i="188" s="1"/>
  <c r="BP107" i="188"/>
  <c r="BP142" i="188" s="1"/>
  <c r="BO107" i="188"/>
  <c r="BO142" i="188" s="1"/>
  <c r="BN107" i="188"/>
  <c r="BM107" i="188"/>
  <c r="AY107" i="188"/>
  <c r="AK107" i="188"/>
  <c r="AJ107" i="188"/>
  <c r="AI107" i="188"/>
  <c r="AH107" i="188"/>
  <c r="AG107" i="188"/>
  <c r="AF107" i="188"/>
  <c r="Y107" i="188"/>
  <c r="G107" i="188"/>
  <c r="H107" i="188" s="1"/>
  <c r="BB107" i="188" s="1"/>
  <c r="E107" i="188"/>
  <c r="AD107" i="188" s="1"/>
  <c r="DY106" i="188"/>
  <c r="CY106" i="188"/>
  <c r="BX106" i="188"/>
  <c r="BX141" i="188" s="1"/>
  <c r="BW106" i="188"/>
  <c r="BW141" i="188" s="1"/>
  <c r="BV106" i="188"/>
  <c r="BV141" i="188" s="1"/>
  <c r="BU106" i="188"/>
  <c r="BU141" i="188" s="1"/>
  <c r="BT106" i="188"/>
  <c r="BT141" i="188" s="1"/>
  <c r="BS106" i="188"/>
  <c r="BS141" i="188" s="1"/>
  <c r="BR106" i="188"/>
  <c r="BR141" i="188" s="1"/>
  <c r="BQ106" i="188"/>
  <c r="BQ141" i="188" s="1"/>
  <c r="BP106" i="188"/>
  <c r="BP141" i="188" s="1"/>
  <c r="BO106" i="188"/>
  <c r="BO141" i="188" s="1"/>
  <c r="BN106" i="188"/>
  <c r="BM106" i="188"/>
  <c r="AY106" i="188"/>
  <c r="AK106" i="188"/>
  <c r="AJ106" i="188"/>
  <c r="AI106" i="188"/>
  <c r="AH106" i="188"/>
  <c r="AG106" i="188"/>
  <c r="AF106" i="188"/>
  <c r="AE106" i="188"/>
  <c r="AD106" i="188"/>
  <c r="P106" i="188"/>
  <c r="G106" i="188"/>
  <c r="H106" i="188" s="1"/>
  <c r="DY105" i="188"/>
  <c r="CY105" i="188"/>
  <c r="BX105" i="188"/>
  <c r="BX140" i="188" s="1"/>
  <c r="BW105" i="188"/>
  <c r="BW140" i="188" s="1"/>
  <c r="BV105" i="188"/>
  <c r="BV140" i="188" s="1"/>
  <c r="BU105" i="188"/>
  <c r="BT105" i="188"/>
  <c r="BT140" i="188" s="1"/>
  <c r="BS105" i="188"/>
  <c r="BS140" i="188" s="1"/>
  <c r="BR105" i="188"/>
  <c r="BR140" i="188" s="1"/>
  <c r="BQ105" i="188"/>
  <c r="BQ140" i="188" s="1"/>
  <c r="BP105" i="188"/>
  <c r="BP140" i="188" s="1"/>
  <c r="BO105" i="188"/>
  <c r="BO140" i="188" s="1"/>
  <c r="BN105" i="188"/>
  <c r="BM105" i="188"/>
  <c r="AY105" i="188"/>
  <c r="AK105" i="188"/>
  <c r="AJ105" i="188"/>
  <c r="AI105" i="188"/>
  <c r="AH105" i="188"/>
  <c r="AG105" i="188"/>
  <c r="AF105" i="188"/>
  <c r="AE105" i="188"/>
  <c r="AD105" i="188"/>
  <c r="P105" i="188"/>
  <c r="AC105" i="188" s="1"/>
  <c r="G105" i="188"/>
  <c r="H105" i="188" s="1"/>
  <c r="BD105" i="188" s="1"/>
  <c r="DY104" i="188"/>
  <c r="CY104" i="188"/>
  <c r="BX104" i="188"/>
  <c r="BX139" i="188" s="1"/>
  <c r="BW104" i="188"/>
  <c r="BW139" i="188" s="1"/>
  <c r="BV104" i="188"/>
  <c r="BV139" i="188" s="1"/>
  <c r="BU104" i="188"/>
  <c r="BU139" i="188" s="1"/>
  <c r="BT104" i="188"/>
  <c r="BT139" i="188" s="1"/>
  <c r="BS104" i="188"/>
  <c r="BR104" i="188"/>
  <c r="BR139" i="188" s="1"/>
  <c r="BQ104" i="188"/>
  <c r="BQ139" i="188" s="1"/>
  <c r="BP104" i="188"/>
  <c r="BP139" i="188" s="1"/>
  <c r="BO104" i="188"/>
  <c r="BO139" i="188" s="1"/>
  <c r="BN104" i="188"/>
  <c r="BM104" i="188"/>
  <c r="AY104" i="188"/>
  <c r="AK104" i="188"/>
  <c r="AJ104" i="188"/>
  <c r="AI104" i="188"/>
  <c r="AH104" i="188"/>
  <c r="AG104" i="188"/>
  <c r="AF104" i="188"/>
  <c r="AE104" i="188"/>
  <c r="AD104" i="188"/>
  <c r="AC104" i="188"/>
  <c r="Y104" i="188"/>
  <c r="G104" i="188"/>
  <c r="H104" i="188" s="1"/>
  <c r="AZ104" i="188" s="1"/>
  <c r="DY103" i="188"/>
  <c r="CY103" i="188"/>
  <c r="BX103" i="188"/>
  <c r="BX138" i="188" s="1"/>
  <c r="BW103" i="188"/>
  <c r="BV103" i="188"/>
  <c r="BU103" i="188"/>
  <c r="BU138" i="188" s="1"/>
  <c r="BT103" i="188"/>
  <c r="BS103" i="188"/>
  <c r="BS138" i="188" s="1"/>
  <c r="BR103" i="188"/>
  <c r="BR138" i="188" s="1"/>
  <c r="BQ103" i="188"/>
  <c r="BP103" i="188"/>
  <c r="BO103" i="188"/>
  <c r="BN103" i="188"/>
  <c r="BM103" i="188"/>
  <c r="AY103" i="188"/>
  <c r="AK103" i="188"/>
  <c r="AJ103" i="188"/>
  <c r="AI103" i="188"/>
  <c r="AH103" i="188"/>
  <c r="AG103" i="188"/>
  <c r="AF103" i="188"/>
  <c r="AE103" i="188"/>
  <c r="AD103" i="188"/>
  <c r="AC103" i="188"/>
  <c r="Y103" i="188"/>
  <c r="G103" i="188"/>
  <c r="H103" i="188" s="1"/>
  <c r="BG103" i="188" s="1"/>
  <c r="DY102" i="188"/>
  <c r="CY102" i="188"/>
  <c r="BY102" i="188"/>
  <c r="AY102" i="188"/>
  <c r="Y102" i="188"/>
  <c r="E102" i="188"/>
  <c r="AC102" i="188" s="1"/>
  <c r="DX101" i="188"/>
  <c r="DX136" i="188" s="1"/>
  <c r="DW101" i="188"/>
  <c r="DW136" i="188" s="1"/>
  <c r="DV101" i="188"/>
  <c r="DV136" i="188" s="1"/>
  <c r="DU101" i="188"/>
  <c r="DU136" i="188" s="1"/>
  <c r="DT101" i="188"/>
  <c r="DT136" i="188" s="1"/>
  <c r="DS101" i="188"/>
  <c r="DS136" i="188" s="1"/>
  <c r="DR101" i="188"/>
  <c r="DR136" i="188" s="1"/>
  <c r="DQ101" i="188"/>
  <c r="DQ136" i="188" s="1"/>
  <c r="DP101" i="188"/>
  <c r="DP136" i="188" s="1"/>
  <c r="DO101" i="188"/>
  <c r="DO136" i="188" s="1"/>
  <c r="DN101" i="188"/>
  <c r="DM101" i="188"/>
  <c r="CX101" i="188"/>
  <c r="CX136" i="188" s="1"/>
  <c r="CW101" i="188"/>
  <c r="CV101" i="188"/>
  <c r="CV136" i="188" s="1"/>
  <c r="CU101" i="188"/>
  <c r="CU136" i="188" s="1"/>
  <c r="CT101" i="188"/>
  <c r="CT136" i="188" s="1"/>
  <c r="CS101" i="188"/>
  <c r="CS136" i="188" s="1"/>
  <c r="CR101" i="188"/>
  <c r="CR136" i="188" s="1"/>
  <c r="CQ101" i="188"/>
  <c r="CQ136" i="188" s="1"/>
  <c r="CP101" i="188"/>
  <c r="CP136" i="188" s="1"/>
  <c r="CO101" i="188"/>
  <c r="CN101" i="188"/>
  <c r="CM101" i="188"/>
  <c r="BX101" i="188"/>
  <c r="BX136" i="188" s="1"/>
  <c r="BW101" i="188"/>
  <c r="BW136" i="188" s="1"/>
  <c r="BV101" i="188"/>
  <c r="BV136" i="188" s="1"/>
  <c r="BU101" i="188"/>
  <c r="BT101" i="188"/>
  <c r="BT136" i="188" s="1"/>
  <c r="BS101" i="188"/>
  <c r="BS136" i="188" s="1"/>
  <c r="BR101" i="188"/>
  <c r="BR136" i="188" s="1"/>
  <c r="BQ101" i="188"/>
  <c r="BQ136" i="188" s="1"/>
  <c r="BP101" i="188"/>
  <c r="BP136" i="188" s="1"/>
  <c r="BO101" i="188"/>
  <c r="BN101" i="188"/>
  <c r="BM101" i="188"/>
  <c r="AY101" i="188"/>
  <c r="AK101" i="188"/>
  <c r="AJ101" i="188"/>
  <c r="AI101" i="188"/>
  <c r="AH101" i="188"/>
  <c r="AG101" i="188"/>
  <c r="AF101" i="188"/>
  <c r="AC101" i="188"/>
  <c r="R101" i="188"/>
  <c r="AE101" i="188" s="1"/>
  <c r="Q101" i="188"/>
  <c r="G101" i="188"/>
  <c r="H101" i="188" s="1"/>
  <c r="BH101" i="188" s="1"/>
  <c r="DX100" i="188"/>
  <c r="DX135" i="188" s="1"/>
  <c r="DW100" i="188"/>
  <c r="DW135" i="188" s="1"/>
  <c r="DV100" i="188"/>
  <c r="DV135" i="188" s="1"/>
  <c r="DU100" i="188"/>
  <c r="DU135" i="188" s="1"/>
  <c r="DT100" i="188"/>
  <c r="DT135" i="188" s="1"/>
  <c r="DS100" i="188"/>
  <c r="DS135" i="188" s="1"/>
  <c r="DR100" i="188"/>
  <c r="DQ100" i="188"/>
  <c r="DP100" i="188"/>
  <c r="DO100" i="188"/>
  <c r="DO135" i="188" s="1"/>
  <c r="DN100" i="188"/>
  <c r="DM100" i="188"/>
  <c r="CX100" i="188"/>
  <c r="CX135" i="188" s="1"/>
  <c r="CW100" i="188"/>
  <c r="CW135" i="188" s="1"/>
  <c r="CV100" i="188"/>
  <c r="CU100" i="188"/>
  <c r="CT100" i="188"/>
  <c r="CT135" i="188" s="1"/>
  <c r="CS100" i="188"/>
  <c r="CR100" i="188"/>
  <c r="CR135" i="188" s="1"/>
  <c r="CQ100" i="188"/>
  <c r="CQ135" i="188" s="1"/>
  <c r="CP100" i="188"/>
  <c r="CP135" i="188" s="1"/>
  <c r="CO100" i="188"/>
  <c r="CO135" i="188" s="1"/>
  <c r="CN100" i="188"/>
  <c r="CM100" i="188"/>
  <c r="BX100" i="188"/>
  <c r="BX135" i="188" s="1"/>
  <c r="BW100" i="188"/>
  <c r="BW135" i="188" s="1"/>
  <c r="BV100" i="188"/>
  <c r="BU100" i="188"/>
  <c r="BT100" i="188"/>
  <c r="BT135" i="188" s="1"/>
  <c r="BS100" i="188"/>
  <c r="BR100" i="188"/>
  <c r="BQ100" i="188"/>
  <c r="BQ135" i="188" s="1"/>
  <c r="BP100" i="188"/>
  <c r="BP135" i="188" s="1"/>
  <c r="BO100" i="188"/>
  <c r="BN100" i="188"/>
  <c r="BM100" i="188"/>
  <c r="AY100" i="188"/>
  <c r="AK100" i="188"/>
  <c r="AJ100" i="188"/>
  <c r="AI100" i="188"/>
  <c r="AH100" i="188"/>
  <c r="AG100" i="188"/>
  <c r="AF100" i="188"/>
  <c r="AE100" i="188"/>
  <c r="AD100" i="188"/>
  <c r="AC100" i="188"/>
  <c r="Y100" i="188"/>
  <c r="G100" i="188"/>
  <c r="H100" i="188" s="1"/>
  <c r="BI100" i="188" s="1"/>
  <c r="DX99" i="188"/>
  <c r="DX134" i="188" s="1"/>
  <c r="DW99" i="188"/>
  <c r="DW134" i="188" s="1"/>
  <c r="DV99" i="188"/>
  <c r="DV134" i="188" s="1"/>
  <c r="DU99" i="188"/>
  <c r="DU134" i="188" s="1"/>
  <c r="DT99" i="188"/>
  <c r="DS99" i="188"/>
  <c r="DS134" i="188" s="1"/>
  <c r="DR99" i="188"/>
  <c r="DR134" i="188" s="1"/>
  <c r="DQ99" i="188"/>
  <c r="DP99" i="188"/>
  <c r="DO99" i="188"/>
  <c r="DO134" i="188" s="1"/>
  <c r="DN99" i="188"/>
  <c r="DM99" i="188"/>
  <c r="CX99" i="188"/>
  <c r="CX134" i="188" s="1"/>
  <c r="CW99" i="188"/>
  <c r="CW134" i="188" s="1"/>
  <c r="CV99" i="188"/>
  <c r="CV134" i="188" s="1"/>
  <c r="CU99" i="188"/>
  <c r="CU134" i="188" s="1"/>
  <c r="CT99" i="188"/>
  <c r="CS99" i="188"/>
  <c r="CS134" i="188" s="1"/>
  <c r="CR99" i="188"/>
  <c r="CR134" i="188" s="1"/>
  <c r="CQ99" i="188"/>
  <c r="CQ134" i="188" s="1"/>
  <c r="CP99" i="188"/>
  <c r="CP134" i="188" s="1"/>
  <c r="CO99" i="188"/>
  <c r="CN99" i="188"/>
  <c r="CM99" i="188"/>
  <c r="BX99" i="188"/>
  <c r="BW99" i="188"/>
  <c r="BW134" i="188" s="1"/>
  <c r="BV99" i="188"/>
  <c r="BU99" i="188"/>
  <c r="BU134" i="188" s="1"/>
  <c r="BT99" i="188"/>
  <c r="BT134" i="188" s="1"/>
  <c r="BS99" i="188"/>
  <c r="BS134" i="188" s="1"/>
  <c r="BR99" i="188"/>
  <c r="BR134" i="188" s="1"/>
  <c r="BQ99" i="188"/>
  <c r="BP99" i="188"/>
  <c r="BP134" i="188" s="1"/>
  <c r="BO99" i="188"/>
  <c r="BO134" i="188" s="1"/>
  <c r="BN99" i="188"/>
  <c r="BM99" i="188"/>
  <c r="AY99" i="188"/>
  <c r="AK99" i="188"/>
  <c r="AJ99" i="188"/>
  <c r="AI99" i="188"/>
  <c r="AH99" i="188"/>
  <c r="AG99" i="188"/>
  <c r="AF99" i="188"/>
  <c r="AE99" i="188"/>
  <c r="AD99" i="188"/>
  <c r="AC99" i="188"/>
  <c r="Y99" i="188"/>
  <c r="G99" i="188"/>
  <c r="H99" i="188" s="1"/>
  <c r="BA99" i="188" s="1"/>
  <c r="DX98" i="188"/>
  <c r="DX133" i="188" s="1"/>
  <c r="DW98" i="188"/>
  <c r="DW133" i="188" s="1"/>
  <c r="DV98" i="188"/>
  <c r="DV133" i="188" s="1"/>
  <c r="DU98" i="188"/>
  <c r="DT98" i="188"/>
  <c r="DT133" i="188" s="1"/>
  <c r="DS98" i="188"/>
  <c r="DS133" i="188" s="1"/>
  <c r="DR98" i="188"/>
  <c r="DR133" i="188" s="1"/>
  <c r="DQ98" i="188"/>
  <c r="DQ133" i="188" s="1"/>
  <c r="DP98" i="188"/>
  <c r="DP133" i="188" s="1"/>
  <c r="DO98" i="188"/>
  <c r="DO133" i="188" s="1"/>
  <c r="DN98" i="188"/>
  <c r="DM98" i="188"/>
  <c r="CX98" i="188"/>
  <c r="CW98" i="188"/>
  <c r="CW133" i="188" s="1"/>
  <c r="CV98" i="188"/>
  <c r="CV133" i="188" s="1"/>
  <c r="CU98" i="188"/>
  <c r="CU133" i="188" s="1"/>
  <c r="CT98" i="188"/>
  <c r="CT133" i="188" s="1"/>
  <c r="CS98" i="188"/>
  <c r="CS133" i="188" s="1"/>
  <c r="CR98" i="188"/>
  <c r="CR133" i="188" s="1"/>
  <c r="CQ98" i="188"/>
  <c r="CQ133" i="188" s="1"/>
  <c r="CP98" i="188"/>
  <c r="CP133" i="188" s="1"/>
  <c r="CO98" i="188"/>
  <c r="CO133" i="188" s="1"/>
  <c r="CN98" i="188"/>
  <c r="CM98" i="188"/>
  <c r="BY98" i="188"/>
  <c r="AX98" i="188"/>
  <c r="AX122" i="188" s="1"/>
  <c r="AV98" i="188"/>
  <c r="AV122" i="188" s="1"/>
  <c r="AT98" i="188"/>
  <c r="AT122" i="188" s="1"/>
  <c r="AS98" i="188"/>
  <c r="AP98" i="188"/>
  <c r="AN98" i="188"/>
  <c r="AN122" i="188" s="1"/>
  <c r="AM98" i="188"/>
  <c r="AK98" i="188"/>
  <c r="AJ98" i="188"/>
  <c r="AI98" i="188"/>
  <c r="AH98" i="188"/>
  <c r="AG98" i="188"/>
  <c r="AF98" i="188"/>
  <c r="AE98" i="188"/>
  <c r="AD98" i="188"/>
  <c r="AC98" i="188"/>
  <c r="Y98" i="188"/>
  <c r="G98" i="188"/>
  <c r="H98" i="188" s="1"/>
  <c r="BB98" i="188" s="1"/>
  <c r="X97" i="188"/>
  <c r="W97" i="188"/>
  <c r="V97" i="188"/>
  <c r="U97" i="188"/>
  <c r="T97" i="188"/>
  <c r="S97" i="188"/>
  <c r="P97" i="188"/>
  <c r="O97" i="188"/>
  <c r="N97" i="188"/>
  <c r="M97" i="188"/>
  <c r="EK96" i="188"/>
  <c r="EJ96" i="188"/>
  <c r="EI96" i="188"/>
  <c r="EH96" i="188"/>
  <c r="EG96" i="188"/>
  <c r="EF96" i="188"/>
  <c r="EE96" i="188"/>
  <c r="ED96" i="188"/>
  <c r="EC96" i="188"/>
  <c r="EB96" i="188"/>
  <c r="EA96" i="188"/>
  <c r="DZ96" i="188"/>
  <c r="DY96" i="188"/>
  <c r="DK96" i="188"/>
  <c r="DJ96" i="188"/>
  <c r="DI96" i="188"/>
  <c r="DH96" i="188"/>
  <c r="DG96" i="188"/>
  <c r="DF96" i="188"/>
  <c r="DE96" i="188"/>
  <c r="DD96" i="188"/>
  <c r="DC96" i="188"/>
  <c r="DB96" i="188"/>
  <c r="DA96" i="188"/>
  <c r="CZ96" i="188"/>
  <c r="CY96" i="188"/>
  <c r="CK96" i="188"/>
  <c r="CJ96" i="188"/>
  <c r="CI96" i="188"/>
  <c r="CH96" i="188"/>
  <c r="CG96" i="188"/>
  <c r="CF96" i="188"/>
  <c r="CE96" i="188"/>
  <c r="CD96" i="188"/>
  <c r="CC96" i="188"/>
  <c r="CB96" i="188"/>
  <c r="CA96" i="188"/>
  <c r="BZ96" i="188"/>
  <c r="BY96" i="188"/>
  <c r="BK96" i="188"/>
  <c r="BJ96" i="188"/>
  <c r="BI96" i="188"/>
  <c r="BH96" i="188"/>
  <c r="BG96" i="188"/>
  <c r="BF96" i="188"/>
  <c r="BE96" i="188"/>
  <c r="BD96" i="188"/>
  <c r="BC96" i="188"/>
  <c r="BB96" i="188"/>
  <c r="BA96" i="188"/>
  <c r="AZ96" i="188"/>
  <c r="AY96" i="188"/>
  <c r="AK96" i="188"/>
  <c r="AJ96" i="188"/>
  <c r="AI96" i="188"/>
  <c r="AH96" i="188"/>
  <c r="AG96" i="188"/>
  <c r="AF96" i="188"/>
  <c r="AE96" i="188"/>
  <c r="AC96" i="188"/>
  <c r="AB96" i="188"/>
  <c r="Y96" i="188"/>
  <c r="DX95" i="188"/>
  <c r="EK95" i="188" s="1"/>
  <c r="DW95" i="188"/>
  <c r="EJ95" i="188" s="1"/>
  <c r="DV95" i="188"/>
  <c r="EI95" i="188" s="1"/>
  <c r="DU95" i="188"/>
  <c r="EH95" i="188" s="1"/>
  <c r="DT95" i="188"/>
  <c r="EG95" i="188" s="1"/>
  <c r="DS95" i="188"/>
  <c r="EF95" i="188" s="1"/>
  <c r="DR95" i="188"/>
  <c r="DQ95" i="188"/>
  <c r="ED95" i="188" s="1"/>
  <c r="DP95" i="188"/>
  <c r="EC95" i="188" s="1"/>
  <c r="DO95" i="188"/>
  <c r="EB95" i="188" s="1"/>
  <c r="DN95" i="188"/>
  <c r="EA95" i="188" s="1"/>
  <c r="DM95" i="188"/>
  <c r="CX95" i="188"/>
  <c r="DK95" i="188" s="1"/>
  <c r="CW95" i="188"/>
  <c r="DJ95" i="188" s="1"/>
  <c r="CV95" i="188"/>
  <c r="DI95" i="188" s="1"/>
  <c r="CU95" i="188"/>
  <c r="DH95" i="188" s="1"/>
  <c r="CT95" i="188"/>
  <c r="DG95" i="188" s="1"/>
  <c r="CS95" i="188"/>
  <c r="DF95" i="188" s="1"/>
  <c r="CR95" i="188"/>
  <c r="DE95" i="188" s="1"/>
  <c r="CQ95" i="188"/>
  <c r="DD95" i="188" s="1"/>
  <c r="CP95" i="188"/>
  <c r="DC95" i="188" s="1"/>
  <c r="CO95" i="188"/>
  <c r="DB95" i="188" s="1"/>
  <c r="CN95" i="188"/>
  <c r="DA95" i="188" s="1"/>
  <c r="CM95" i="188"/>
  <c r="CZ95" i="188" s="1"/>
  <c r="BX95" i="188"/>
  <c r="CK95" i="188" s="1"/>
  <c r="BW95" i="188"/>
  <c r="CJ95" i="188" s="1"/>
  <c r="BV95" i="188"/>
  <c r="CI95" i="188" s="1"/>
  <c r="BU95" i="188"/>
  <c r="CH95" i="188" s="1"/>
  <c r="BT95" i="188"/>
  <c r="CG95" i="188" s="1"/>
  <c r="BS95" i="188"/>
  <c r="CF95" i="188" s="1"/>
  <c r="BR95" i="188"/>
  <c r="CE95" i="188" s="1"/>
  <c r="BQ95" i="188"/>
  <c r="CD95" i="188" s="1"/>
  <c r="BP95" i="188"/>
  <c r="CC95" i="188" s="1"/>
  <c r="BO95" i="188"/>
  <c r="CB95" i="188" s="1"/>
  <c r="BN95" i="188"/>
  <c r="BM95" i="188"/>
  <c r="BZ95" i="188" s="1"/>
  <c r="BK95" i="188"/>
  <c r="BJ95" i="188"/>
  <c r="BI95" i="188"/>
  <c r="BH95" i="188"/>
  <c r="BG95" i="188"/>
  <c r="BF95" i="188"/>
  <c r="BE95" i="188"/>
  <c r="BD95" i="188"/>
  <c r="BC95" i="188"/>
  <c r="BB95" i="188"/>
  <c r="BA95" i="188"/>
  <c r="AZ95" i="188"/>
  <c r="AY95" i="188"/>
  <c r="AG95" i="188"/>
  <c r="AE95" i="188"/>
  <c r="AD95" i="188"/>
  <c r="DX94" i="188"/>
  <c r="EK94" i="188" s="1"/>
  <c r="DW94" i="188"/>
  <c r="EJ94" i="188" s="1"/>
  <c r="DV94" i="188"/>
  <c r="EI94" i="188" s="1"/>
  <c r="DU94" i="188"/>
  <c r="EH94" i="188" s="1"/>
  <c r="DT94" i="188"/>
  <c r="EG94" i="188" s="1"/>
  <c r="DS94" i="188"/>
  <c r="DR94" i="188"/>
  <c r="EE94" i="188" s="1"/>
  <c r="DQ94" i="188"/>
  <c r="ED94" i="188" s="1"/>
  <c r="DP94" i="188"/>
  <c r="EC94" i="188" s="1"/>
  <c r="DO94" i="188"/>
  <c r="EB94" i="188" s="1"/>
  <c r="DN94" i="188"/>
  <c r="EA94" i="188" s="1"/>
  <c r="DM94" i="188"/>
  <c r="DZ94" i="188" s="1"/>
  <c r="CX94" i="188"/>
  <c r="DK94" i="188" s="1"/>
  <c r="CW94" i="188"/>
  <c r="DJ94" i="188" s="1"/>
  <c r="CV94" i="188"/>
  <c r="DI94" i="188" s="1"/>
  <c r="CU94" i="188"/>
  <c r="DH94" i="188" s="1"/>
  <c r="CT94" i="188"/>
  <c r="DG94" i="188" s="1"/>
  <c r="CS94" i="188"/>
  <c r="DF94" i="188" s="1"/>
  <c r="CR94" i="188"/>
  <c r="DE94" i="188" s="1"/>
  <c r="CQ94" i="188"/>
  <c r="DD94" i="188" s="1"/>
  <c r="CP94" i="188"/>
  <c r="DC94" i="188" s="1"/>
  <c r="CO94" i="188"/>
  <c r="CN94" i="188"/>
  <c r="DA94" i="188" s="1"/>
  <c r="CM94" i="188"/>
  <c r="CZ94" i="188" s="1"/>
  <c r="BX94" i="188"/>
  <c r="CK94" i="188" s="1"/>
  <c r="BW94" i="188"/>
  <c r="CJ94" i="188" s="1"/>
  <c r="BV94" i="188"/>
  <c r="CI94" i="188" s="1"/>
  <c r="BU94" i="188"/>
  <c r="BT94" i="188"/>
  <c r="CG94" i="188" s="1"/>
  <c r="BS94" i="188"/>
  <c r="CF94" i="188" s="1"/>
  <c r="BR94" i="188"/>
  <c r="CE94" i="188" s="1"/>
  <c r="BQ94" i="188"/>
  <c r="CD94" i="188" s="1"/>
  <c r="BP94" i="188"/>
  <c r="CC94" i="188" s="1"/>
  <c r="BO94" i="188"/>
  <c r="CB94" i="188" s="1"/>
  <c r="BN94" i="188"/>
  <c r="CA94" i="188" s="1"/>
  <c r="BM94" i="188"/>
  <c r="BZ94" i="188" s="1"/>
  <c r="BK94" i="188"/>
  <c r="BJ94" i="188"/>
  <c r="BI94" i="188"/>
  <c r="BH94" i="188"/>
  <c r="BG94" i="188"/>
  <c r="BF94" i="188"/>
  <c r="BE94" i="188"/>
  <c r="BD94" i="188"/>
  <c r="BC94" i="188"/>
  <c r="BB94" i="188"/>
  <c r="BA94" i="188"/>
  <c r="AZ94" i="188"/>
  <c r="AY94" i="188"/>
  <c r="AG94" i="188"/>
  <c r="AE94" i="188"/>
  <c r="AD94" i="188"/>
  <c r="DX93" i="188"/>
  <c r="DW93" i="188"/>
  <c r="DV93" i="188"/>
  <c r="DU93" i="188"/>
  <c r="DT93" i="188"/>
  <c r="DS93" i="188"/>
  <c r="DR93" i="188"/>
  <c r="DQ93" i="188"/>
  <c r="DP93" i="188"/>
  <c r="DO93" i="188"/>
  <c r="DN93" i="188"/>
  <c r="DM93" i="188"/>
  <c r="CX93" i="188"/>
  <c r="CW93" i="188"/>
  <c r="CV93" i="188"/>
  <c r="CU93" i="188"/>
  <c r="CT93" i="188"/>
  <c r="CS93" i="188"/>
  <c r="CR93" i="188"/>
  <c r="CQ93" i="188"/>
  <c r="CP93" i="188"/>
  <c r="CO93" i="188"/>
  <c r="CN93" i="188"/>
  <c r="CM93" i="188"/>
  <c r="BX93" i="188"/>
  <c r="BW93" i="188"/>
  <c r="BV93" i="188"/>
  <c r="BU93" i="188"/>
  <c r="BT93" i="188"/>
  <c r="BS93" i="188"/>
  <c r="BR93" i="188"/>
  <c r="BQ93" i="188"/>
  <c r="BP93" i="188"/>
  <c r="BO93" i="188"/>
  <c r="BN93" i="188"/>
  <c r="BM93" i="188"/>
  <c r="AX93" i="188"/>
  <c r="AW93" i="188"/>
  <c r="AV93" i="188"/>
  <c r="AU93" i="188"/>
  <c r="AT93" i="188"/>
  <c r="AS93" i="188"/>
  <c r="AR93" i="188"/>
  <c r="AQ93" i="188"/>
  <c r="AP93" i="188"/>
  <c r="AO93" i="188"/>
  <c r="AN93" i="188"/>
  <c r="AM93" i="188"/>
  <c r="AK93" i="188"/>
  <c r="AJ93" i="188"/>
  <c r="AI93" i="188"/>
  <c r="AH93" i="188"/>
  <c r="AG93" i="188"/>
  <c r="AF93" i="188"/>
  <c r="AE93" i="188"/>
  <c r="AD93" i="188"/>
  <c r="AC93" i="188"/>
  <c r="AB93" i="188"/>
  <c r="Y93" i="188"/>
  <c r="H93" i="188"/>
  <c r="DX92" i="188"/>
  <c r="DW92" i="188"/>
  <c r="DV92" i="188"/>
  <c r="DU92" i="188"/>
  <c r="DT92" i="188"/>
  <c r="DS92" i="188"/>
  <c r="DR92" i="188"/>
  <c r="DQ92" i="188"/>
  <c r="DP92" i="188"/>
  <c r="DO92" i="188"/>
  <c r="DN92" i="188"/>
  <c r="DM92" i="188"/>
  <c r="CX92" i="188"/>
  <c r="CW92" i="188"/>
  <c r="CV92" i="188"/>
  <c r="CU92" i="188"/>
  <c r="CT92" i="188"/>
  <c r="CS92" i="188"/>
  <c r="CR92" i="188"/>
  <c r="CQ92" i="188"/>
  <c r="CP92" i="188"/>
  <c r="CO92" i="188"/>
  <c r="CN92" i="188"/>
  <c r="CM92" i="188"/>
  <c r="BX92" i="188"/>
  <c r="BW92" i="188"/>
  <c r="BV92" i="188"/>
  <c r="BU92" i="188"/>
  <c r="BT92" i="188"/>
  <c r="BS92" i="188"/>
  <c r="BR92" i="188"/>
  <c r="BQ92" i="188"/>
  <c r="BP92" i="188"/>
  <c r="BO92" i="188"/>
  <c r="BN92" i="188"/>
  <c r="BM92" i="188"/>
  <c r="AX92" i="188"/>
  <c r="AW92" i="188"/>
  <c r="AV92" i="188"/>
  <c r="AU92" i="188"/>
  <c r="AT92" i="188"/>
  <c r="AS92" i="188"/>
  <c r="AR92" i="188"/>
  <c r="AQ92" i="188"/>
  <c r="AP92" i="188"/>
  <c r="AO92" i="188"/>
  <c r="AN92" i="188"/>
  <c r="AM92" i="188"/>
  <c r="AK92" i="188"/>
  <c r="AJ92" i="188"/>
  <c r="AI92" i="188"/>
  <c r="AH92" i="188"/>
  <c r="AG92" i="188"/>
  <c r="AF92" i="188"/>
  <c r="AB92" i="188"/>
  <c r="AA92" i="188"/>
  <c r="Z92" i="188"/>
  <c r="Z97" i="188" s="1"/>
  <c r="R92" i="188"/>
  <c r="AE92" i="188" s="1"/>
  <c r="H92" i="188"/>
  <c r="DX91" i="188"/>
  <c r="EK91" i="188" s="1"/>
  <c r="DW91" i="188"/>
  <c r="EJ91" i="188" s="1"/>
  <c r="DV91" i="188"/>
  <c r="EI91" i="188" s="1"/>
  <c r="DU91" i="188"/>
  <c r="EH91" i="188" s="1"/>
  <c r="DT91" i="188"/>
  <c r="EG91" i="188" s="1"/>
  <c r="DS91" i="188"/>
  <c r="EF91" i="188" s="1"/>
  <c r="DR91" i="188"/>
  <c r="EE91" i="188" s="1"/>
  <c r="DQ91" i="188"/>
  <c r="ED91" i="188" s="1"/>
  <c r="DP91" i="188"/>
  <c r="EC91" i="188" s="1"/>
  <c r="DO91" i="188"/>
  <c r="EB91" i="188" s="1"/>
  <c r="DN91" i="188"/>
  <c r="DM91" i="188"/>
  <c r="DZ91" i="188" s="1"/>
  <c r="CX91" i="188"/>
  <c r="DK91" i="188" s="1"/>
  <c r="CW91" i="188"/>
  <c r="DJ91" i="188" s="1"/>
  <c r="CV91" i="188"/>
  <c r="DI91" i="188" s="1"/>
  <c r="CU91" i="188"/>
  <c r="DH91" i="188" s="1"/>
  <c r="CT91" i="188"/>
  <c r="DG91" i="188" s="1"/>
  <c r="CS91" i="188"/>
  <c r="CR91" i="188"/>
  <c r="DE91" i="188" s="1"/>
  <c r="CQ91" i="188"/>
  <c r="DD91" i="188" s="1"/>
  <c r="CP91" i="188"/>
  <c r="DC91" i="188" s="1"/>
  <c r="CO91" i="188"/>
  <c r="DB91" i="188" s="1"/>
  <c r="CN91" i="188"/>
  <c r="DA91" i="188" s="1"/>
  <c r="CM91" i="188"/>
  <c r="CZ91" i="188" s="1"/>
  <c r="BX91" i="188"/>
  <c r="CK91" i="188" s="1"/>
  <c r="BW91" i="188"/>
  <c r="CJ91" i="188" s="1"/>
  <c r="BV91" i="188"/>
  <c r="CI91" i="188" s="1"/>
  <c r="BU91" i="188"/>
  <c r="CH91" i="188" s="1"/>
  <c r="BT91" i="188"/>
  <c r="CG91" i="188" s="1"/>
  <c r="BS91" i="188"/>
  <c r="CF91" i="188" s="1"/>
  <c r="BR91" i="188"/>
  <c r="CE91" i="188" s="1"/>
  <c r="BQ91" i="188"/>
  <c r="CD91" i="188" s="1"/>
  <c r="BP91" i="188"/>
  <c r="CC91" i="188" s="1"/>
  <c r="BO91" i="188"/>
  <c r="CB91" i="188" s="1"/>
  <c r="BN91" i="188"/>
  <c r="CA91" i="188" s="1"/>
  <c r="BM91" i="188"/>
  <c r="BE91" i="188"/>
  <c r="BD91" i="188"/>
  <c r="BC91" i="188"/>
  <c r="BB91" i="188"/>
  <c r="BA91" i="188"/>
  <c r="AZ91" i="188"/>
  <c r="AX91" i="188"/>
  <c r="BK91" i="188" s="1"/>
  <c r="AW91" i="188"/>
  <c r="AV91" i="188"/>
  <c r="BI91" i="188" s="1"/>
  <c r="AU91" i="188"/>
  <c r="BH91" i="188" s="1"/>
  <c r="AT91" i="188"/>
  <c r="BG91" i="188" s="1"/>
  <c r="AS91" i="188"/>
  <c r="BF91" i="188" s="1"/>
  <c r="AG91" i="188"/>
  <c r="AF91" i="188"/>
  <c r="AE91" i="188"/>
  <c r="AD91" i="188"/>
  <c r="Y91" i="188"/>
  <c r="DX90" i="188"/>
  <c r="EK90" i="188" s="1"/>
  <c r="DW90" i="188"/>
  <c r="EJ90" i="188" s="1"/>
  <c r="DV90" i="188"/>
  <c r="EI90" i="188" s="1"/>
  <c r="DU90" i="188"/>
  <c r="DT90" i="188"/>
  <c r="EG90" i="188" s="1"/>
  <c r="DS90" i="188"/>
  <c r="EF90" i="188" s="1"/>
  <c r="DR90" i="188"/>
  <c r="EE90" i="188" s="1"/>
  <c r="DQ90" i="188"/>
  <c r="ED90" i="188" s="1"/>
  <c r="DP90" i="188"/>
  <c r="EC90" i="188" s="1"/>
  <c r="DO90" i="188"/>
  <c r="EB90" i="188" s="1"/>
  <c r="DN90" i="188"/>
  <c r="EA90" i="188" s="1"/>
  <c r="DM90" i="188"/>
  <c r="DZ90" i="188" s="1"/>
  <c r="CX90" i="188"/>
  <c r="DK90" i="188" s="1"/>
  <c r="CW90" i="188"/>
  <c r="DJ90" i="188" s="1"/>
  <c r="CV90" i="188"/>
  <c r="DI90" i="188" s="1"/>
  <c r="CU90" i="188"/>
  <c r="CT90" i="188"/>
  <c r="DG90" i="188" s="1"/>
  <c r="CS90" i="188"/>
  <c r="DF90" i="188" s="1"/>
  <c r="CR90" i="188"/>
  <c r="DE90" i="188" s="1"/>
  <c r="CQ90" i="188"/>
  <c r="DD90" i="188" s="1"/>
  <c r="CP90" i="188"/>
  <c r="DC90" i="188" s="1"/>
  <c r="CO90" i="188"/>
  <c r="DB90" i="188" s="1"/>
  <c r="CN90" i="188"/>
  <c r="DA90" i="188" s="1"/>
  <c r="CM90" i="188"/>
  <c r="CZ90" i="188" s="1"/>
  <c r="BX90" i="188"/>
  <c r="CK90" i="188" s="1"/>
  <c r="BW90" i="188"/>
  <c r="CJ90" i="188" s="1"/>
  <c r="BV90" i="188"/>
  <c r="BU90" i="188"/>
  <c r="CH90" i="188" s="1"/>
  <c r="BT90" i="188"/>
  <c r="CG90" i="188" s="1"/>
  <c r="BS90" i="188"/>
  <c r="CF90" i="188" s="1"/>
  <c r="BR90" i="188"/>
  <c r="CE90" i="188" s="1"/>
  <c r="BQ90" i="188"/>
  <c r="CD90" i="188" s="1"/>
  <c r="BP90" i="188"/>
  <c r="CC90" i="188" s="1"/>
  <c r="BO90" i="188"/>
  <c r="CB90" i="188" s="1"/>
  <c r="BN90" i="188"/>
  <c r="CA90" i="188" s="1"/>
  <c r="BM90" i="188"/>
  <c r="BZ90" i="188" s="1"/>
  <c r="BE90" i="188"/>
  <c r="BD90" i="188"/>
  <c r="BC90" i="188"/>
  <c r="BB90" i="188"/>
  <c r="BA90" i="188"/>
  <c r="AZ90" i="188"/>
  <c r="AX90" i="188"/>
  <c r="AW90" i="188"/>
  <c r="BJ90" i="188" s="1"/>
  <c r="AV90" i="188"/>
  <c r="AU90" i="188"/>
  <c r="BH90" i="188" s="1"/>
  <c r="AT90" i="188"/>
  <c r="BG90" i="188" s="1"/>
  <c r="AS90" i="188"/>
  <c r="BF90" i="188" s="1"/>
  <c r="AG90" i="188"/>
  <c r="AF90" i="188"/>
  <c r="AE90" i="188"/>
  <c r="AD90" i="188"/>
  <c r="Y90" i="188"/>
  <c r="DX89" i="188"/>
  <c r="EK89" i="188" s="1"/>
  <c r="DW89" i="188"/>
  <c r="EJ89" i="188" s="1"/>
  <c r="DV89" i="188"/>
  <c r="EI89" i="188" s="1"/>
  <c r="DU89" i="188"/>
  <c r="EH89" i="188" s="1"/>
  <c r="DT89" i="188"/>
  <c r="EG89" i="188" s="1"/>
  <c r="DS89" i="188"/>
  <c r="EF89" i="188" s="1"/>
  <c r="DR89" i="188"/>
  <c r="EE89" i="188" s="1"/>
  <c r="DQ89" i="188"/>
  <c r="ED89" i="188" s="1"/>
  <c r="DP89" i="188"/>
  <c r="EC89" i="188" s="1"/>
  <c r="DO89" i="188"/>
  <c r="EB89" i="188" s="1"/>
  <c r="DN89" i="188"/>
  <c r="EA89" i="188" s="1"/>
  <c r="DM89" i="188"/>
  <c r="DZ89" i="188" s="1"/>
  <c r="CX89" i="188"/>
  <c r="DK89" i="188" s="1"/>
  <c r="CW89" i="188"/>
  <c r="DJ89" i="188" s="1"/>
  <c r="CV89" i="188"/>
  <c r="DI89" i="188" s="1"/>
  <c r="CU89" i="188"/>
  <c r="DH89" i="188" s="1"/>
  <c r="CT89" i="188"/>
  <c r="DG89" i="188" s="1"/>
  <c r="CS89" i="188"/>
  <c r="DF89" i="188" s="1"/>
  <c r="CR89" i="188"/>
  <c r="DE89" i="188" s="1"/>
  <c r="CQ89" i="188"/>
  <c r="DD89" i="188" s="1"/>
  <c r="CP89" i="188"/>
  <c r="DC89" i="188" s="1"/>
  <c r="CO89" i="188"/>
  <c r="DB89" i="188" s="1"/>
  <c r="CN89" i="188"/>
  <c r="DA89" i="188" s="1"/>
  <c r="CM89" i="188"/>
  <c r="CZ89" i="188" s="1"/>
  <c r="BX89" i="188"/>
  <c r="CK89" i="188" s="1"/>
  <c r="BW89" i="188"/>
  <c r="CJ89" i="188" s="1"/>
  <c r="BV89" i="188"/>
  <c r="CI89" i="188" s="1"/>
  <c r="BU89" i="188"/>
  <c r="CH89" i="188" s="1"/>
  <c r="BT89" i="188"/>
  <c r="CG89" i="188" s="1"/>
  <c r="BS89" i="188"/>
  <c r="CF89" i="188" s="1"/>
  <c r="BR89" i="188"/>
  <c r="CE89" i="188" s="1"/>
  <c r="BQ89" i="188"/>
  <c r="CD89" i="188" s="1"/>
  <c r="BP89" i="188"/>
  <c r="CC89" i="188" s="1"/>
  <c r="BO89" i="188"/>
  <c r="CB89" i="188" s="1"/>
  <c r="BN89" i="188"/>
  <c r="BM89" i="188"/>
  <c r="BZ89" i="188" s="1"/>
  <c r="BE89" i="188"/>
  <c r="BD89" i="188"/>
  <c r="BC89" i="188"/>
  <c r="BB89" i="188"/>
  <c r="BA89" i="188"/>
  <c r="AZ89" i="188"/>
  <c r="AX89" i="188"/>
  <c r="BK89" i="188" s="1"/>
  <c r="AW89" i="188"/>
  <c r="AV89" i="188"/>
  <c r="BI89" i="188" s="1"/>
  <c r="AU89" i="188"/>
  <c r="BH89" i="188" s="1"/>
  <c r="AT89" i="188"/>
  <c r="BG89" i="188" s="1"/>
  <c r="AS89" i="188"/>
  <c r="BF89" i="188" s="1"/>
  <c r="AG89" i="188"/>
  <c r="AF89" i="188"/>
  <c r="AE89" i="188"/>
  <c r="AD89" i="188"/>
  <c r="Y89" i="188"/>
  <c r="DX88" i="188"/>
  <c r="EK88" i="188" s="1"/>
  <c r="DW88" i="188"/>
  <c r="EJ88" i="188" s="1"/>
  <c r="DV88" i="188"/>
  <c r="DU88" i="188"/>
  <c r="EH88" i="188" s="1"/>
  <c r="DT88" i="188"/>
  <c r="EG88" i="188" s="1"/>
  <c r="DS88" i="188"/>
  <c r="EF88" i="188" s="1"/>
  <c r="DR88" i="188"/>
  <c r="EE88" i="188" s="1"/>
  <c r="DQ88" i="188"/>
  <c r="ED88" i="188" s="1"/>
  <c r="DP88" i="188"/>
  <c r="EC88" i="188" s="1"/>
  <c r="DO88" i="188"/>
  <c r="EB88" i="188" s="1"/>
  <c r="DN88" i="188"/>
  <c r="EA88" i="188" s="1"/>
  <c r="DM88" i="188"/>
  <c r="DZ88" i="188" s="1"/>
  <c r="CX88" i="188"/>
  <c r="DK88" i="188" s="1"/>
  <c r="CW88" i="188"/>
  <c r="DJ88" i="188" s="1"/>
  <c r="CV88" i="188"/>
  <c r="DI88" i="188" s="1"/>
  <c r="CU88" i="188"/>
  <c r="DH88" i="188" s="1"/>
  <c r="CT88" i="188"/>
  <c r="DG88" i="188" s="1"/>
  <c r="CS88" i="188"/>
  <c r="DF88" i="188" s="1"/>
  <c r="CR88" i="188"/>
  <c r="DE88" i="188" s="1"/>
  <c r="CQ88" i="188"/>
  <c r="DD88" i="188" s="1"/>
  <c r="CP88" i="188"/>
  <c r="DC88" i="188" s="1"/>
  <c r="CO88" i="188"/>
  <c r="DB88" i="188" s="1"/>
  <c r="CN88" i="188"/>
  <c r="DA88" i="188" s="1"/>
  <c r="CM88" i="188"/>
  <c r="CK88" i="188"/>
  <c r="CJ88" i="188"/>
  <c r="CI88" i="188"/>
  <c r="CH88" i="188"/>
  <c r="CG88" i="188"/>
  <c r="CF88" i="188"/>
  <c r="CE88" i="188"/>
  <c r="CD88" i="188"/>
  <c r="CC88" i="188"/>
  <c r="CB88" i="188"/>
  <c r="CA88" i="188"/>
  <c r="BZ88" i="188"/>
  <c r="BY88" i="188"/>
  <c r="BK88" i="188"/>
  <c r="BJ88" i="188"/>
  <c r="BI88" i="188"/>
  <c r="BH88" i="188"/>
  <c r="BG88" i="188"/>
  <c r="BF88" i="188"/>
  <c r="BE88" i="188"/>
  <c r="BD88" i="188"/>
  <c r="BC88" i="188"/>
  <c r="BB88" i="188"/>
  <c r="BA88" i="188"/>
  <c r="AZ88" i="188"/>
  <c r="AY88" i="188"/>
  <c r="AG88" i="188"/>
  <c r="AF88" i="188"/>
  <c r="AE88" i="188"/>
  <c r="AD88" i="188"/>
  <c r="Y88" i="188"/>
  <c r="DX87" i="188"/>
  <c r="EK87" i="188" s="1"/>
  <c r="DW87" i="188"/>
  <c r="EJ87" i="188" s="1"/>
  <c r="DV87" i="188"/>
  <c r="EI87" i="188" s="1"/>
  <c r="DU87" i="188"/>
  <c r="EH87" i="188" s="1"/>
  <c r="DT87" i="188"/>
  <c r="DS87" i="188"/>
  <c r="EF87" i="188" s="1"/>
  <c r="DR87" i="188"/>
  <c r="EE87" i="188" s="1"/>
  <c r="DQ87" i="188"/>
  <c r="DP87" i="188"/>
  <c r="EC87" i="188" s="1"/>
  <c r="DO87" i="188"/>
  <c r="EB87" i="188" s="1"/>
  <c r="DN87" i="188"/>
  <c r="EA87" i="188" s="1"/>
  <c r="DM87" i="188"/>
  <c r="DZ87" i="188" s="1"/>
  <c r="CX87" i="188"/>
  <c r="DK87" i="188" s="1"/>
  <c r="CW87" i="188"/>
  <c r="DJ87" i="188" s="1"/>
  <c r="CV87" i="188"/>
  <c r="DI87" i="188" s="1"/>
  <c r="CU87" i="188"/>
  <c r="DH87" i="188" s="1"/>
  <c r="CT87" i="188"/>
  <c r="CS87" i="188"/>
  <c r="DF87" i="188" s="1"/>
  <c r="CR87" i="188"/>
  <c r="DE87" i="188" s="1"/>
  <c r="CQ87" i="188"/>
  <c r="CP87" i="188"/>
  <c r="DC87" i="188" s="1"/>
  <c r="CO87" i="188"/>
  <c r="DB87" i="188" s="1"/>
  <c r="CN87" i="188"/>
  <c r="CM87" i="188"/>
  <c r="CZ87" i="188" s="1"/>
  <c r="CK87" i="188"/>
  <c r="CJ87" i="188"/>
  <c r="CI87" i="188"/>
  <c r="CH87" i="188"/>
  <c r="CG87" i="188"/>
  <c r="CF87" i="188"/>
  <c r="CE87" i="188"/>
  <c r="CD87" i="188"/>
  <c r="CC87" i="188"/>
  <c r="CB87" i="188"/>
  <c r="CA87" i="188"/>
  <c r="BZ87" i="188"/>
  <c r="BY87" i="188"/>
  <c r="BK87" i="188"/>
  <c r="BJ87" i="188"/>
  <c r="BI87" i="188"/>
  <c r="BH87" i="188"/>
  <c r="BG87" i="188"/>
  <c r="BF87" i="188"/>
  <c r="BE87" i="188"/>
  <c r="BD87" i="188"/>
  <c r="BC87" i="188"/>
  <c r="BB87" i="188"/>
  <c r="BA87" i="188"/>
  <c r="AZ87" i="188"/>
  <c r="AY87" i="188"/>
  <c r="AG87" i="188"/>
  <c r="AF87" i="188"/>
  <c r="AE87" i="188"/>
  <c r="AD87" i="188"/>
  <c r="Y87" i="188"/>
  <c r="DX86" i="188"/>
  <c r="DW86" i="188"/>
  <c r="EJ86" i="188" s="1"/>
  <c r="DV86" i="188"/>
  <c r="EI86" i="188" s="1"/>
  <c r="DU86" i="188"/>
  <c r="EH86" i="188" s="1"/>
  <c r="DT86" i="188"/>
  <c r="EG86" i="188" s="1"/>
  <c r="DS86" i="188"/>
  <c r="EF86" i="188" s="1"/>
  <c r="DR86" i="188"/>
  <c r="EE86" i="188" s="1"/>
  <c r="DQ86" i="188"/>
  <c r="ED86" i="188" s="1"/>
  <c r="DP86" i="188"/>
  <c r="DO86" i="188"/>
  <c r="EB86" i="188" s="1"/>
  <c r="DN86" i="188"/>
  <c r="EA86" i="188" s="1"/>
  <c r="DM86" i="188"/>
  <c r="DZ86" i="188" s="1"/>
  <c r="CX86" i="188"/>
  <c r="DK86" i="188" s="1"/>
  <c r="CW86" i="188"/>
  <c r="DJ86" i="188" s="1"/>
  <c r="CV86" i="188"/>
  <c r="DI86" i="188" s="1"/>
  <c r="CU86" i="188"/>
  <c r="DH86" i="188" s="1"/>
  <c r="CT86" i="188"/>
  <c r="DG86" i="188" s="1"/>
  <c r="CS86" i="188"/>
  <c r="CR86" i="188"/>
  <c r="DE86" i="188" s="1"/>
  <c r="CQ86" i="188"/>
  <c r="DD86" i="188" s="1"/>
  <c r="CP86" i="188"/>
  <c r="DC86" i="188" s="1"/>
  <c r="CO86" i="188"/>
  <c r="DB86" i="188" s="1"/>
  <c r="CN86" i="188"/>
  <c r="DA86" i="188" s="1"/>
  <c r="CM86" i="188"/>
  <c r="CZ86" i="188" s="1"/>
  <c r="CK86" i="188"/>
  <c r="CJ86" i="188"/>
  <c r="CI86" i="188"/>
  <c r="CH86" i="188"/>
  <c r="CG86" i="188"/>
  <c r="CF86" i="188"/>
  <c r="CE86" i="188"/>
  <c r="CD86" i="188"/>
  <c r="CC86" i="188"/>
  <c r="CB86" i="188"/>
  <c r="CA86" i="188"/>
  <c r="BZ86" i="188"/>
  <c r="BY86" i="188"/>
  <c r="BK86" i="188"/>
  <c r="BJ86" i="188"/>
  <c r="BI86" i="188"/>
  <c r="BH86" i="188"/>
  <c r="BG86" i="188"/>
  <c r="BF86" i="188"/>
  <c r="BE86" i="188"/>
  <c r="BD86" i="188"/>
  <c r="BC86" i="188"/>
  <c r="BB86" i="188"/>
  <c r="BA86" i="188"/>
  <c r="AZ86" i="188"/>
  <c r="AY86" i="188"/>
  <c r="AG86" i="188"/>
  <c r="AF86" i="188"/>
  <c r="AE86" i="188"/>
  <c r="AD86" i="188"/>
  <c r="Y86" i="188"/>
  <c r="DX85" i="188"/>
  <c r="EK85" i="188" s="1"/>
  <c r="DW85" i="188"/>
  <c r="EJ85" i="188" s="1"/>
  <c r="DV85" i="188"/>
  <c r="EI85" i="188" s="1"/>
  <c r="DU85" i="188"/>
  <c r="DT85" i="188"/>
  <c r="EG85" i="188" s="1"/>
  <c r="DS85" i="188"/>
  <c r="EF85" i="188" s="1"/>
  <c r="DR85" i="188"/>
  <c r="EE85" i="188" s="1"/>
  <c r="DQ85" i="188"/>
  <c r="ED85" i="188" s="1"/>
  <c r="DP85" i="188"/>
  <c r="EC85" i="188" s="1"/>
  <c r="DO85" i="188"/>
  <c r="EB85" i="188" s="1"/>
  <c r="DN85" i="188"/>
  <c r="EA85" i="188" s="1"/>
  <c r="DM85" i="188"/>
  <c r="DZ85" i="188" s="1"/>
  <c r="CX85" i="188"/>
  <c r="DK85" i="188" s="1"/>
  <c r="CW85" i="188"/>
  <c r="DJ85" i="188" s="1"/>
  <c r="CV85" i="188"/>
  <c r="CU85" i="188"/>
  <c r="DH85" i="188" s="1"/>
  <c r="CT85" i="188"/>
  <c r="DG85" i="188" s="1"/>
  <c r="CS85" i="188"/>
  <c r="DF85" i="188" s="1"/>
  <c r="CR85" i="188"/>
  <c r="DE85" i="188" s="1"/>
  <c r="CQ85" i="188"/>
  <c r="DD85" i="188" s="1"/>
  <c r="CP85" i="188"/>
  <c r="DC85" i="188" s="1"/>
  <c r="CO85" i="188"/>
  <c r="DB85" i="188" s="1"/>
  <c r="CN85" i="188"/>
  <c r="DA85" i="188" s="1"/>
  <c r="CM85" i="188"/>
  <c r="CZ85" i="188" s="1"/>
  <c r="CK85" i="188"/>
  <c r="CJ85" i="188"/>
  <c r="CI85" i="188"/>
  <c r="CH85" i="188"/>
  <c r="CG85" i="188"/>
  <c r="CF85" i="188"/>
  <c r="CE85" i="188"/>
  <c r="CD85" i="188"/>
  <c r="CC85" i="188"/>
  <c r="CB85" i="188"/>
  <c r="CA85" i="188"/>
  <c r="BZ85" i="188"/>
  <c r="BY85" i="188"/>
  <c r="BK85" i="188"/>
  <c r="BJ85" i="188"/>
  <c r="BI85" i="188"/>
  <c r="BH85" i="188"/>
  <c r="BG85" i="188"/>
  <c r="BF85" i="188"/>
  <c r="BE85" i="188"/>
  <c r="BD85" i="188"/>
  <c r="BC85" i="188"/>
  <c r="BB85" i="188"/>
  <c r="BA85" i="188"/>
  <c r="AZ85" i="188"/>
  <c r="AY85" i="188"/>
  <c r="AG85" i="188"/>
  <c r="AF85" i="188"/>
  <c r="AE85" i="188"/>
  <c r="AD85" i="188"/>
  <c r="Y85" i="188"/>
  <c r="DX84" i="188"/>
  <c r="EK84" i="188" s="1"/>
  <c r="DW84" i="188"/>
  <c r="EJ84" i="188" s="1"/>
  <c r="DV84" i="188"/>
  <c r="EI84" i="188" s="1"/>
  <c r="DU84" i="188"/>
  <c r="EH84" i="188" s="1"/>
  <c r="DT84" i="188"/>
  <c r="EG84" i="188" s="1"/>
  <c r="DS84" i="188"/>
  <c r="EF84" i="188" s="1"/>
  <c r="DR84" i="188"/>
  <c r="EE84" i="188" s="1"/>
  <c r="DQ84" i="188"/>
  <c r="ED84" i="188" s="1"/>
  <c r="DP84" i="188"/>
  <c r="EC84" i="188" s="1"/>
  <c r="DO84" i="188"/>
  <c r="EB84" i="188" s="1"/>
  <c r="DN84" i="188"/>
  <c r="EA84" i="188" s="1"/>
  <c r="DM84" i="188"/>
  <c r="DZ84" i="188" s="1"/>
  <c r="CX84" i="188"/>
  <c r="DK84" i="188" s="1"/>
  <c r="CW84" i="188"/>
  <c r="DJ84" i="188" s="1"/>
  <c r="CV84" i="188"/>
  <c r="DI84" i="188" s="1"/>
  <c r="CU84" i="188"/>
  <c r="DH84" i="188" s="1"/>
  <c r="CT84" i="188"/>
  <c r="DG84" i="188" s="1"/>
  <c r="CS84" i="188"/>
  <c r="DF84" i="188" s="1"/>
  <c r="CR84" i="188"/>
  <c r="DE84" i="188" s="1"/>
  <c r="CQ84" i="188"/>
  <c r="DD84" i="188" s="1"/>
  <c r="CP84" i="188"/>
  <c r="DC84" i="188" s="1"/>
  <c r="CO84" i="188"/>
  <c r="DB84" i="188" s="1"/>
  <c r="CN84" i="188"/>
  <c r="DA84" i="188" s="1"/>
  <c r="CM84" i="188"/>
  <c r="CZ84" i="188" s="1"/>
  <c r="CK84" i="188"/>
  <c r="CJ84" i="188"/>
  <c r="CI84" i="188"/>
  <c r="CH84" i="188"/>
  <c r="CG84" i="188"/>
  <c r="CF84" i="188"/>
  <c r="CE84" i="188"/>
  <c r="CD84" i="188"/>
  <c r="CC84" i="188"/>
  <c r="CB84" i="188"/>
  <c r="CA84" i="188"/>
  <c r="BZ84" i="188"/>
  <c r="BY84" i="188"/>
  <c r="BK84" i="188"/>
  <c r="BJ84" i="188"/>
  <c r="BI84" i="188"/>
  <c r="BH84" i="188"/>
  <c r="BG84" i="188"/>
  <c r="BF84" i="188"/>
  <c r="BE84" i="188"/>
  <c r="BD84" i="188"/>
  <c r="BC84" i="188"/>
  <c r="BB84" i="188"/>
  <c r="BA84" i="188"/>
  <c r="AZ84" i="188"/>
  <c r="AY84" i="188"/>
  <c r="AG84" i="188"/>
  <c r="AF84" i="188"/>
  <c r="AE84" i="188"/>
  <c r="AD84" i="188"/>
  <c r="Y84" i="188"/>
  <c r="DX83" i="188"/>
  <c r="EK83" i="188" s="1"/>
  <c r="DW83" i="188"/>
  <c r="EJ83" i="188" s="1"/>
  <c r="DV83" i="188"/>
  <c r="EI83" i="188" s="1"/>
  <c r="DU83" i="188"/>
  <c r="EH83" i="188" s="1"/>
  <c r="DT83" i="188"/>
  <c r="EG83" i="188" s="1"/>
  <c r="DS83" i="188"/>
  <c r="EF83" i="188" s="1"/>
  <c r="DR83" i="188"/>
  <c r="EE83" i="188" s="1"/>
  <c r="DQ83" i="188"/>
  <c r="ED83" i="188" s="1"/>
  <c r="DP83" i="188"/>
  <c r="EC83" i="188" s="1"/>
  <c r="DO83" i="188"/>
  <c r="EB83" i="188" s="1"/>
  <c r="DN83" i="188"/>
  <c r="EA83" i="188" s="1"/>
  <c r="DM83" i="188"/>
  <c r="CX83" i="188"/>
  <c r="DK83" i="188" s="1"/>
  <c r="CW83" i="188"/>
  <c r="CV83" i="188"/>
  <c r="DI83" i="188" s="1"/>
  <c r="CU83" i="188"/>
  <c r="DH83" i="188" s="1"/>
  <c r="CT83" i="188"/>
  <c r="DG83" i="188" s="1"/>
  <c r="CS83" i="188"/>
  <c r="DF83" i="188" s="1"/>
  <c r="CR83" i="188"/>
  <c r="DE83" i="188" s="1"/>
  <c r="CQ83" i="188"/>
  <c r="DD83" i="188" s="1"/>
  <c r="CP83" i="188"/>
  <c r="DC83" i="188" s="1"/>
  <c r="CO83" i="188"/>
  <c r="DB83" i="188" s="1"/>
  <c r="CN83" i="188"/>
  <c r="DA83" i="188" s="1"/>
  <c r="CM83" i="188"/>
  <c r="CZ83" i="188" s="1"/>
  <c r="CK83" i="188"/>
  <c r="CJ83" i="188"/>
  <c r="CI83" i="188"/>
  <c r="CH83" i="188"/>
  <c r="CG83" i="188"/>
  <c r="CF83" i="188"/>
  <c r="CE83" i="188"/>
  <c r="CD83" i="188"/>
  <c r="CC83" i="188"/>
  <c r="CB83" i="188"/>
  <c r="CA83" i="188"/>
  <c r="BZ83" i="188"/>
  <c r="BY83" i="188"/>
  <c r="BK83" i="188"/>
  <c r="BJ83" i="188"/>
  <c r="BI83" i="188"/>
  <c r="BH83" i="188"/>
  <c r="BG83" i="188"/>
  <c r="BF83" i="188"/>
  <c r="BE83" i="188"/>
  <c r="BD83" i="188"/>
  <c r="BC83" i="188"/>
  <c r="BB83" i="188"/>
  <c r="BA83" i="188"/>
  <c r="AZ83" i="188"/>
  <c r="AY83" i="188"/>
  <c r="AG83" i="188"/>
  <c r="AF83" i="188"/>
  <c r="AE83" i="188"/>
  <c r="AD83" i="188"/>
  <c r="Y83" i="188"/>
  <c r="DX82" i="188"/>
  <c r="DW82" i="188"/>
  <c r="DV82" i="188"/>
  <c r="DU82" i="188"/>
  <c r="DT82" i="188"/>
  <c r="DS82" i="188"/>
  <c r="DR82" i="188"/>
  <c r="DQ82" i="188"/>
  <c r="DP82" i="188"/>
  <c r="DO82" i="188"/>
  <c r="DN82" i="188"/>
  <c r="DM82" i="188"/>
  <c r="CX82" i="188"/>
  <c r="CW82" i="188"/>
  <c r="CV82" i="188"/>
  <c r="CU82" i="188"/>
  <c r="CT82" i="188"/>
  <c r="CS82" i="188"/>
  <c r="CR82" i="188"/>
  <c r="CQ82" i="188"/>
  <c r="CP82" i="188"/>
  <c r="CO82" i="188"/>
  <c r="CN82" i="188"/>
  <c r="CM82" i="188"/>
  <c r="BX82" i="188"/>
  <c r="BW82" i="188"/>
  <c r="BV82" i="188"/>
  <c r="BU82" i="188"/>
  <c r="BT82" i="188"/>
  <c r="BS82" i="188"/>
  <c r="BR82" i="188"/>
  <c r="BQ82" i="188"/>
  <c r="BP82" i="188"/>
  <c r="BO82" i="188"/>
  <c r="BN82" i="188"/>
  <c r="BM82" i="188"/>
  <c r="AY82" i="188"/>
  <c r="AK82" i="188"/>
  <c r="AJ82" i="188"/>
  <c r="AI82" i="188"/>
  <c r="AH82" i="188"/>
  <c r="AG82" i="188"/>
  <c r="AF82" i="188"/>
  <c r="AD82" i="188"/>
  <c r="AB82" i="188"/>
  <c r="Y82" i="188"/>
  <c r="H82" i="188"/>
  <c r="BF82" i="188" s="1"/>
  <c r="DX81" i="188"/>
  <c r="DW81" i="188"/>
  <c r="DV81" i="188"/>
  <c r="DU81" i="188"/>
  <c r="DT81" i="188"/>
  <c r="DS81" i="188"/>
  <c r="DR81" i="188"/>
  <c r="DQ81" i="188"/>
  <c r="DP81" i="188"/>
  <c r="DO81" i="188"/>
  <c r="DN81" i="188"/>
  <c r="DM81" i="188"/>
  <c r="CX81" i="188"/>
  <c r="CW81" i="188"/>
  <c r="CV81" i="188"/>
  <c r="CU81" i="188"/>
  <c r="CT81" i="188"/>
  <c r="CS81" i="188"/>
  <c r="CR81" i="188"/>
  <c r="CQ81" i="188"/>
  <c r="CP81" i="188"/>
  <c r="CO81" i="188"/>
  <c r="CN81" i="188"/>
  <c r="CM81" i="188"/>
  <c r="BY81" i="188"/>
  <c r="AY81" i="188"/>
  <c r="AK81" i="188"/>
  <c r="AJ81" i="188"/>
  <c r="AI81" i="188"/>
  <c r="AH81" i="188"/>
  <c r="AG81" i="188"/>
  <c r="AF81" i="188"/>
  <c r="AD81" i="188"/>
  <c r="AB81" i="188"/>
  <c r="H81" i="188"/>
  <c r="BJ81" i="188" s="1"/>
  <c r="DX80" i="188"/>
  <c r="DW80" i="188"/>
  <c r="DV80" i="188"/>
  <c r="DU80" i="188"/>
  <c r="DT80" i="188"/>
  <c r="DS80" i="188"/>
  <c r="DR80" i="188"/>
  <c r="DQ80" i="188"/>
  <c r="DP80" i="188"/>
  <c r="DO80" i="188"/>
  <c r="DN80" i="188"/>
  <c r="DM80" i="188"/>
  <c r="CX80" i="188"/>
  <c r="CW80" i="188"/>
  <c r="CV80" i="188"/>
  <c r="CU80" i="188"/>
  <c r="CT80" i="188"/>
  <c r="CS80" i="188"/>
  <c r="CR80" i="188"/>
  <c r="CQ80" i="188"/>
  <c r="CP80" i="188"/>
  <c r="CO80" i="188"/>
  <c r="CN80" i="188"/>
  <c r="CM80" i="188"/>
  <c r="BX80" i="188"/>
  <c r="BW80" i="188"/>
  <c r="BV80" i="188"/>
  <c r="BU80" i="188"/>
  <c r="BT80" i="188"/>
  <c r="BS80" i="188"/>
  <c r="BR80" i="188"/>
  <c r="BQ80" i="188"/>
  <c r="BP80" i="188"/>
  <c r="BO80" i="188"/>
  <c r="BN80" i="188"/>
  <c r="BM80" i="188"/>
  <c r="AX80" i="188"/>
  <c r="AW80" i="188"/>
  <c r="AV80" i="188"/>
  <c r="AU80" i="188"/>
  <c r="AT80" i="188"/>
  <c r="AS80" i="188"/>
  <c r="AR80" i="188"/>
  <c r="AQ80" i="188"/>
  <c r="AP80" i="188"/>
  <c r="AO80" i="188"/>
  <c r="AN80" i="188"/>
  <c r="AM80" i="188"/>
  <c r="AK80" i="188"/>
  <c r="AJ80" i="188"/>
  <c r="AI80" i="188"/>
  <c r="AH80" i="188"/>
  <c r="AG80" i="188"/>
  <c r="AF80" i="188"/>
  <c r="AB80" i="188"/>
  <c r="Q80" i="188"/>
  <c r="H80" i="188"/>
  <c r="DY79" i="188"/>
  <c r="CY79" i="188"/>
  <c r="BY79" i="188"/>
  <c r="AY79" i="188"/>
  <c r="AK79" i="188"/>
  <c r="AJ79" i="188"/>
  <c r="AI79" i="188"/>
  <c r="AH79" i="188"/>
  <c r="AG79" i="188"/>
  <c r="AF79" i="188"/>
  <c r="AE79" i="188"/>
  <c r="AD79" i="188"/>
  <c r="AB79" i="188"/>
  <c r="Y79" i="188"/>
  <c r="H79" i="188"/>
  <c r="DY78" i="188"/>
  <c r="CY78" i="188"/>
  <c r="BY78" i="188"/>
  <c r="AY78" i="188"/>
  <c r="AK78" i="188"/>
  <c r="AJ78" i="188"/>
  <c r="AI78" i="188"/>
  <c r="AH78" i="188"/>
  <c r="AG78" i="188"/>
  <c r="AF78" i="188"/>
  <c r="AD78" i="188"/>
  <c r="AB78" i="188"/>
  <c r="Y78" i="188"/>
  <c r="AE78" i="188"/>
  <c r="H78" i="188"/>
  <c r="BB78" i="188" s="1"/>
  <c r="DX77" i="188"/>
  <c r="DW77" i="188"/>
  <c r="DV77" i="188"/>
  <c r="DU77" i="188"/>
  <c r="DT77" i="188"/>
  <c r="DS77" i="188"/>
  <c r="DR77" i="188"/>
  <c r="DQ77" i="188"/>
  <c r="DP77" i="188"/>
  <c r="DO77" i="188"/>
  <c r="DN77" i="188"/>
  <c r="DM77" i="188"/>
  <c r="CX77" i="188"/>
  <c r="CW77" i="188"/>
  <c r="CV77" i="188"/>
  <c r="CU77" i="188"/>
  <c r="CT77" i="188"/>
  <c r="CS77" i="188"/>
  <c r="CR77" i="188"/>
  <c r="CQ77" i="188"/>
  <c r="CP77" i="188"/>
  <c r="CO77" i="188"/>
  <c r="CN77" i="188"/>
  <c r="CM77" i="188"/>
  <c r="BX77" i="188"/>
  <c r="BW77" i="188"/>
  <c r="BV77" i="188"/>
  <c r="BU77" i="188"/>
  <c r="BT77" i="188"/>
  <c r="BS77" i="188"/>
  <c r="BR77" i="188"/>
  <c r="BQ77" i="188"/>
  <c r="BP77" i="188"/>
  <c r="BO77" i="188"/>
  <c r="BN77" i="188"/>
  <c r="BM77" i="188"/>
  <c r="AX77" i="188"/>
  <c r="AW77" i="188"/>
  <c r="AV77" i="188"/>
  <c r="AU77" i="188"/>
  <c r="AT77" i="188"/>
  <c r="AS77" i="188"/>
  <c r="AR77" i="188"/>
  <c r="AQ77" i="188"/>
  <c r="AP77" i="188"/>
  <c r="AO77" i="188"/>
  <c r="AN77" i="188"/>
  <c r="AM77" i="188"/>
  <c r="AK77" i="188"/>
  <c r="AJ77" i="188"/>
  <c r="AI77" i="188"/>
  <c r="AH77" i="188"/>
  <c r="AG77" i="188"/>
  <c r="AF77" i="188"/>
  <c r="AE77" i="188"/>
  <c r="AD77" i="188"/>
  <c r="AB77" i="188"/>
  <c r="Y77" i="188"/>
  <c r="H77" i="188"/>
  <c r="I77" i="188" s="1"/>
  <c r="DY76" i="188"/>
  <c r="CY76" i="188"/>
  <c r="BX76" i="188"/>
  <c r="BW76" i="188"/>
  <c r="BV76" i="188"/>
  <c r="BU76" i="188"/>
  <c r="BT76" i="188"/>
  <c r="BS76" i="188"/>
  <c r="BR76" i="188"/>
  <c r="BQ76" i="188"/>
  <c r="BP76" i="188"/>
  <c r="BO76" i="188"/>
  <c r="BN76" i="188"/>
  <c r="BM76" i="188"/>
  <c r="AN76" i="188"/>
  <c r="AK76" i="188"/>
  <c r="AJ76" i="188"/>
  <c r="AI76" i="188"/>
  <c r="AH76" i="188"/>
  <c r="AG76" i="188"/>
  <c r="AF76" i="188"/>
  <c r="AD76" i="188"/>
  <c r="AB76" i="188"/>
  <c r="AE76" i="188"/>
  <c r="H76" i="188"/>
  <c r="BE76" i="188" s="1"/>
  <c r="DY75" i="188"/>
  <c r="CY75" i="188"/>
  <c r="BX75" i="188"/>
  <c r="BW75" i="188"/>
  <c r="BV75" i="188"/>
  <c r="BU75" i="188"/>
  <c r="BT75" i="188"/>
  <c r="BS75" i="188"/>
  <c r="BR75" i="188"/>
  <c r="BQ75" i="188"/>
  <c r="BP75" i="188"/>
  <c r="BO75" i="188"/>
  <c r="BN75" i="188"/>
  <c r="BM75" i="188"/>
  <c r="AN75" i="188"/>
  <c r="AY75" i="188" s="1"/>
  <c r="AK75" i="188"/>
  <c r="AJ75" i="188"/>
  <c r="AI75" i="188"/>
  <c r="AH75" i="188"/>
  <c r="AG75" i="188"/>
  <c r="AF75" i="188"/>
  <c r="AD75" i="188"/>
  <c r="AB75" i="188"/>
  <c r="H75" i="188"/>
  <c r="BE75" i="188" s="1"/>
  <c r="X74" i="188"/>
  <c r="W74" i="188"/>
  <c r="V74" i="188"/>
  <c r="U74" i="188"/>
  <c r="T74" i="188"/>
  <c r="R74" i="188"/>
  <c r="O74" i="188"/>
  <c r="N74" i="188"/>
  <c r="M74" i="188"/>
  <c r="EK73" i="188"/>
  <c r="EJ73" i="188"/>
  <c r="EI73" i="188"/>
  <c r="EH73" i="188"/>
  <c r="EG73" i="188"/>
  <c r="EF73" i="188"/>
  <c r="EE73" i="188"/>
  <c r="ED73" i="188"/>
  <c r="EC73" i="188"/>
  <c r="EB73" i="188"/>
  <c r="EA73" i="188"/>
  <c r="DZ73" i="188"/>
  <c r="DY73" i="188"/>
  <c r="DK73" i="188"/>
  <c r="DJ73" i="188"/>
  <c r="DI73" i="188"/>
  <c r="DH73" i="188"/>
  <c r="DG73" i="188"/>
  <c r="DF73" i="188"/>
  <c r="DE73" i="188"/>
  <c r="DD73" i="188"/>
  <c r="DC73" i="188"/>
  <c r="DB73" i="188"/>
  <c r="DA73" i="188"/>
  <c r="CZ73" i="188"/>
  <c r="CY73" i="188"/>
  <c r="CK73" i="188"/>
  <c r="CJ73" i="188"/>
  <c r="CI73" i="188"/>
  <c r="CH73" i="188"/>
  <c r="CG73" i="188"/>
  <c r="CF73" i="188"/>
  <c r="CE73" i="188"/>
  <c r="CD73" i="188"/>
  <c r="CC73" i="188"/>
  <c r="CB73" i="188"/>
  <c r="CA73" i="188"/>
  <c r="BZ73" i="188"/>
  <c r="BY73" i="188"/>
  <c r="BK73" i="188"/>
  <c r="BJ73" i="188"/>
  <c r="BI73" i="188"/>
  <c r="BH73" i="188"/>
  <c r="BG73" i="188"/>
  <c r="BF73" i="188"/>
  <c r="BE73" i="188"/>
  <c r="BD73" i="188"/>
  <c r="BC73" i="188"/>
  <c r="BB73" i="188"/>
  <c r="BA73" i="188"/>
  <c r="AZ73" i="188"/>
  <c r="AY73" i="188"/>
  <c r="AF73" i="188"/>
  <c r="AD73" i="188"/>
  <c r="Y73" i="188"/>
  <c r="DX72" i="188"/>
  <c r="DW72" i="188"/>
  <c r="DV72" i="188"/>
  <c r="DU72" i="188"/>
  <c r="DT72" i="188"/>
  <c r="DS72" i="188"/>
  <c r="DR72" i="188"/>
  <c r="DQ72" i="188"/>
  <c r="DP72" i="188"/>
  <c r="DO72" i="188"/>
  <c r="DN72" i="188"/>
  <c r="DM72" i="188"/>
  <c r="CX72" i="188"/>
  <c r="CW72" i="188"/>
  <c r="CV72" i="188"/>
  <c r="CU72" i="188"/>
  <c r="CT72" i="188"/>
  <c r="CS72" i="188"/>
  <c r="CR72" i="188"/>
  <c r="CQ72" i="188"/>
  <c r="CP72" i="188"/>
  <c r="CO72" i="188"/>
  <c r="CN72" i="188"/>
  <c r="CM72" i="188"/>
  <c r="BY72" i="188"/>
  <c r="AY72" i="188"/>
  <c r="AK72" i="188"/>
  <c r="AJ72" i="188"/>
  <c r="AI72" i="188"/>
  <c r="AH72" i="188"/>
  <c r="AG72" i="188"/>
  <c r="AF72" i="188"/>
  <c r="AE72" i="188"/>
  <c r="AD72" i="188"/>
  <c r="Y72" i="188"/>
  <c r="H72" i="188"/>
  <c r="BE72" i="188" s="1"/>
  <c r="DY71" i="188"/>
  <c r="CY71" i="188"/>
  <c r="BY71" i="188"/>
  <c r="AY71" i="188"/>
  <c r="AK71" i="188"/>
  <c r="AJ71" i="188"/>
  <c r="AI71" i="188"/>
  <c r="AH71" i="188"/>
  <c r="AG71" i="188"/>
  <c r="AF71" i="188"/>
  <c r="AE71" i="188"/>
  <c r="AD71" i="188"/>
  <c r="AC71" i="188"/>
  <c r="Y71" i="188"/>
  <c r="H71" i="188"/>
  <c r="DY70" i="188"/>
  <c r="CY70" i="188"/>
  <c r="BY70" i="188"/>
  <c r="AY70" i="188"/>
  <c r="AK70" i="188"/>
  <c r="AJ70" i="188"/>
  <c r="AI70" i="188"/>
  <c r="AH70" i="188"/>
  <c r="AG70" i="188"/>
  <c r="AF70" i="188"/>
  <c r="AE70" i="188"/>
  <c r="AD70" i="188"/>
  <c r="AC70" i="188"/>
  <c r="Y70" i="188"/>
  <c r="H70" i="188"/>
  <c r="BA70" i="188" s="1"/>
  <c r="DY69" i="188"/>
  <c r="CY69" i="188"/>
  <c r="BY69" i="188"/>
  <c r="AY69" i="188"/>
  <c r="AK69" i="188"/>
  <c r="AJ69" i="188"/>
  <c r="AI69" i="188"/>
  <c r="AH69" i="188"/>
  <c r="AG69" i="188"/>
  <c r="AF69" i="188"/>
  <c r="AE69" i="188"/>
  <c r="AD69" i="188"/>
  <c r="AC69" i="188"/>
  <c r="Y69" i="188"/>
  <c r="H69" i="188"/>
  <c r="BC69" i="188" s="1"/>
  <c r="EK68" i="188"/>
  <c r="EJ68" i="188"/>
  <c r="EI68" i="188"/>
  <c r="EH68" i="188"/>
  <c r="EG68" i="188"/>
  <c r="EF68" i="188"/>
  <c r="EE68" i="188"/>
  <c r="ED68" i="188"/>
  <c r="EC68" i="188"/>
  <c r="EB68" i="188"/>
  <c r="EA68" i="188"/>
  <c r="DZ68" i="188"/>
  <c r="DY68" i="188"/>
  <c r="DK68" i="188"/>
  <c r="DJ68" i="188"/>
  <c r="DI68" i="188"/>
  <c r="DH68" i="188"/>
  <c r="DG68" i="188"/>
  <c r="DF68" i="188"/>
  <c r="DE68" i="188"/>
  <c r="DD68" i="188"/>
  <c r="DC68" i="188"/>
  <c r="DB68" i="188"/>
  <c r="DA68" i="188"/>
  <c r="CZ68" i="188"/>
  <c r="CY68" i="188"/>
  <c r="CK68" i="188"/>
  <c r="CJ68" i="188"/>
  <c r="CI68" i="188"/>
  <c r="CH68" i="188"/>
  <c r="CG68" i="188"/>
  <c r="CF68" i="188"/>
  <c r="CE68" i="188"/>
  <c r="CD68" i="188"/>
  <c r="CC68" i="188"/>
  <c r="CB68" i="188"/>
  <c r="CA68" i="188"/>
  <c r="BZ68" i="188"/>
  <c r="BY68" i="188"/>
  <c r="BK68" i="188"/>
  <c r="BJ68" i="188"/>
  <c r="BI68" i="188"/>
  <c r="BH68" i="188"/>
  <c r="BG68" i="188"/>
  <c r="BF68" i="188"/>
  <c r="BE68" i="188"/>
  <c r="BD68" i="188"/>
  <c r="BC68" i="188"/>
  <c r="BB68" i="188"/>
  <c r="BA68" i="188"/>
  <c r="AZ68" i="188"/>
  <c r="AY68" i="188"/>
  <c r="AK68" i="188"/>
  <c r="AJ68" i="188"/>
  <c r="AI68" i="188"/>
  <c r="AH68" i="188"/>
  <c r="AG68" i="188"/>
  <c r="AF68" i="188"/>
  <c r="AE68" i="188"/>
  <c r="Y68" i="188"/>
  <c r="EK67" i="188"/>
  <c r="EJ67" i="188"/>
  <c r="EI67" i="188"/>
  <c r="EH67" i="188"/>
  <c r="EG67" i="188"/>
  <c r="EF67" i="188"/>
  <c r="EE67" i="188"/>
  <c r="ED67" i="188"/>
  <c r="EC67" i="188"/>
  <c r="EB67" i="188"/>
  <c r="EA67" i="188"/>
  <c r="DZ67" i="188"/>
  <c r="DY67" i="188"/>
  <c r="DK67" i="188"/>
  <c r="DJ67" i="188"/>
  <c r="DI67" i="188"/>
  <c r="DH67" i="188"/>
  <c r="DG67" i="188"/>
  <c r="DF67" i="188"/>
  <c r="DE67" i="188"/>
  <c r="DD67" i="188"/>
  <c r="DC67" i="188"/>
  <c r="DB67" i="188"/>
  <c r="DA67" i="188"/>
  <c r="CZ67" i="188"/>
  <c r="CY67" i="188"/>
  <c r="CK67" i="188"/>
  <c r="CJ67" i="188"/>
  <c r="CI67" i="188"/>
  <c r="CH67" i="188"/>
  <c r="CG67" i="188"/>
  <c r="CF67" i="188"/>
  <c r="CE67" i="188"/>
  <c r="CD67" i="188"/>
  <c r="CC67" i="188"/>
  <c r="CB67" i="188"/>
  <c r="CA67" i="188"/>
  <c r="BZ67" i="188"/>
  <c r="BY67" i="188"/>
  <c r="BK67" i="188"/>
  <c r="BJ67" i="188"/>
  <c r="BI67" i="188"/>
  <c r="BH67" i="188"/>
  <c r="BG67" i="188"/>
  <c r="BF67" i="188"/>
  <c r="BE67" i="188"/>
  <c r="BD67" i="188"/>
  <c r="BC67" i="188"/>
  <c r="BB67" i="188"/>
  <c r="BA67" i="188"/>
  <c r="AZ67" i="188"/>
  <c r="AY67" i="188"/>
  <c r="AK67" i="188"/>
  <c r="AJ67" i="188"/>
  <c r="AI67" i="188"/>
  <c r="AH67" i="188"/>
  <c r="AG67" i="188"/>
  <c r="AF67" i="188"/>
  <c r="AE67" i="188"/>
  <c r="Y67" i="188"/>
  <c r="DX66" i="188"/>
  <c r="DW66" i="188"/>
  <c r="DV66" i="188"/>
  <c r="DU66" i="188"/>
  <c r="DT66" i="188"/>
  <c r="DS66" i="188"/>
  <c r="DR66" i="188"/>
  <c r="DQ66" i="188"/>
  <c r="DP66" i="188"/>
  <c r="DO66" i="188"/>
  <c r="DN66" i="188"/>
  <c r="DM66" i="188"/>
  <c r="CX66" i="188"/>
  <c r="CW66" i="188"/>
  <c r="CV66" i="188"/>
  <c r="CU66" i="188"/>
  <c r="CT66" i="188"/>
  <c r="CS66" i="188"/>
  <c r="CR66" i="188"/>
  <c r="CQ66" i="188"/>
  <c r="CP66" i="188"/>
  <c r="CO66" i="188"/>
  <c r="CN66" i="188"/>
  <c r="CM66" i="188"/>
  <c r="BX66" i="188"/>
  <c r="BW66" i="188"/>
  <c r="BV66" i="188"/>
  <c r="BU66" i="188"/>
  <c r="BT66" i="188"/>
  <c r="BS66" i="188"/>
  <c r="BR66" i="188"/>
  <c r="BQ66" i="188"/>
  <c r="BP66" i="188"/>
  <c r="BO66" i="188"/>
  <c r="BN66" i="188"/>
  <c r="BM66" i="188"/>
  <c r="AX66" i="188"/>
  <c r="AW66" i="188"/>
  <c r="AV66" i="188"/>
  <c r="AU66" i="188"/>
  <c r="AT66" i="188"/>
  <c r="AS66" i="188"/>
  <c r="AR66" i="188"/>
  <c r="AQ66" i="188"/>
  <c r="AP66" i="188"/>
  <c r="AO66" i="188"/>
  <c r="AN66" i="188"/>
  <c r="AM66" i="188"/>
  <c r="AK66" i="188"/>
  <c r="AJ66" i="188"/>
  <c r="AI66" i="188"/>
  <c r="AH66" i="188"/>
  <c r="AG66" i="188"/>
  <c r="AF66" i="188"/>
  <c r="AE66" i="188"/>
  <c r="AD66" i="188"/>
  <c r="AC66" i="188"/>
  <c r="Y66" i="188"/>
  <c r="H66" i="188"/>
  <c r="DX65" i="188"/>
  <c r="DW65" i="188"/>
  <c r="DV65" i="188"/>
  <c r="DU65" i="188"/>
  <c r="DT65" i="188"/>
  <c r="DS65" i="188"/>
  <c r="DR65" i="188"/>
  <c r="DQ65" i="188"/>
  <c r="DP65" i="188"/>
  <c r="DO65" i="188"/>
  <c r="DN65" i="188"/>
  <c r="DM65" i="188"/>
  <c r="CX65" i="188"/>
  <c r="CW65" i="188"/>
  <c r="CV65" i="188"/>
  <c r="CU65" i="188"/>
  <c r="CT65" i="188"/>
  <c r="CS65" i="188"/>
  <c r="CR65" i="188"/>
  <c r="CQ65" i="188"/>
  <c r="CP65" i="188"/>
  <c r="CO65" i="188"/>
  <c r="CN65" i="188"/>
  <c r="CM65" i="188"/>
  <c r="BX65" i="188"/>
  <c r="BW65" i="188"/>
  <c r="BV65" i="188"/>
  <c r="BU65" i="188"/>
  <c r="BT65" i="188"/>
  <c r="BS65" i="188"/>
  <c r="BR65" i="188"/>
  <c r="BQ65" i="188"/>
  <c r="BP65" i="188"/>
  <c r="BO65" i="188"/>
  <c r="BN65" i="188"/>
  <c r="BM65" i="188"/>
  <c r="AX65" i="188"/>
  <c r="AW65" i="188"/>
  <c r="AV65" i="188"/>
  <c r="AU65" i="188"/>
  <c r="AT65" i="188"/>
  <c r="AS65" i="188"/>
  <c r="AR65" i="188"/>
  <c r="AQ65" i="188"/>
  <c r="AP65" i="188"/>
  <c r="AO65" i="188"/>
  <c r="AN65" i="188"/>
  <c r="AM65" i="188"/>
  <c r="AK65" i="188"/>
  <c r="AJ65" i="188"/>
  <c r="AI65" i="188"/>
  <c r="AH65" i="188"/>
  <c r="AG65" i="188"/>
  <c r="AF65" i="188"/>
  <c r="AE65" i="188"/>
  <c r="AD65" i="188"/>
  <c r="AC65" i="188"/>
  <c r="Y65" i="188"/>
  <c r="H65" i="188"/>
  <c r="I65" i="188" s="1"/>
  <c r="DX64" i="188"/>
  <c r="DW64" i="188"/>
  <c r="DV64" i="188"/>
  <c r="DU64" i="188"/>
  <c r="DT64" i="188"/>
  <c r="DS64" i="188"/>
  <c r="DR64" i="188"/>
  <c r="DQ64" i="188"/>
  <c r="DP64" i="188"/>
  <c r="DO64" i="188"/>
  <c r="DN64" i="188"/>
  <c r="DM64" i="188"/>
  <c r="CX64" i="188"/>
  <c r="CW64" i="188"/>
  <c r="CV64" i="188"/>
  <c r="CU64" i="188"/>
  <c r="CT64" i="188"/>
  <c r="CS64" i="188"/>
  <c r="CR64" i="188"/>
  <c r="CQ64" i="188"/>
  <c r="CP64" i="188"/>
  <c r="CO64" i="188"/>
  <c r="CN64" i="188"/>
  <c r="CM64" i="188"/>
  <c r="BX64" i="188"/>
  <c r="BW64" i="188"/>
  <c r="BV64" i="188"/>
  <c r="BU64" i="188"/>
  <c r="BT64" i="188"/>
  <c r="BS64" i="188"/>
  <c r="BR64" i="188"/>
  <c r="BQ64" i="188"/>
  <c r="BP64" i="188"/>
  <c r="BO64" i="188"/>
  <c r="BN64" i="188"/>
  <c r="BM64" i="188"/>
  <c r="AX64" i="188"/>
  <c r="AW64" i="188"/>
  <c r="AV64" i="188"/>
  <c r="AU64" i="188"/>
  <c r="AT64" i="188"/>
  <c r="AS64" i="188"/>
  <c r="AR64" i="188"/>
  <c r="AQ64" i="188"/>
  <c r="AP64" i="188"/>
  <c r="AO64" i="188"/>
  <c r="AN64" i="188"/>
  <c r="AM64" i="188"/>
  <c r="AK64" i="188"/>
  <c r="AJ64" i="188"/>
  <c r="AI64" i="188"/>
  <c r="AH64" i="188"/>
  <c r="AG64" i="188"/>
  <c r="AF64" i="188"/>
  <c r="AE64" i="188"/>
  <c r="AD64" i="188"/>
  <c r="AC64" i="188"/>
  <c r="Y64" i="188"/>
  <c r="H64" i="188"/>
  <c r="DX63" i="188"/>
  <c r="DW63" i="188"/>
  <c r="DV63" i="188"/>
  <c r="DU63" i="188"/>
  <c r="DT63" i="188"/>
  <c r="DS63" i="188"/>
  <c r="DR63" i="188"/>
  <c r="DQ63" i="188"/>
  <c r="DP63" i="188"/>
  <c r="DO63" i="188"/>
  <c r="DN63" i="188"/>
  <c r="DM63" i="188"/>
  <c r="CX63" i="188"/>
  <c r="CW63" i="188"/>
  <c r="CV63" i="188"/>
  <c r="CU63" i="188"/>
  <c r="CT63" i="188"/>
  <c r="CS63" i="188"/>
  <c r="CR63" i="188"/>
  <c r="CQ63" i="188"/>
  <c r="CP63" i="188"/>
  <c r="CO63" i="188"/>
  <c r="CN63" i="188"/>
  <c r="CM63" i="188"/>
  <c r="BX63" i="188"/>
  <c r="BW63" i="188"/>
  <c r="BV63" i="188"/>
  <c r="BU63" i="188"/>
  <c r="BT63" i="188"/>
  <c r="BS63" i="188"/>
  <c r="BR63" i="188"/>
  <c r="BQ63" i="188"/>
  <c r="BP63" i="188"/>
  <c r="BO63" i="188"/>
  <c r="BN63" i="188"/>
  <c r="BM63" i="188"/>
  <c r="AX63" i="188"/>
  <c r="AW63" i="188"/>
  <c r="AV63" i="188"/>
  <c r="AU63" i="188"/>
  <c r="AT63" i="188"/>
  <c r="AS63" i="188"/>
  <c r="AR63" i="188"/>
  <c r="AQ63" i="188"/>
  <c r="AP63" i="188"/>
  <c r="AO63" i="188"/>
  <c r="AN63" i="188"/>
  <c r="AM63" i="188"/>
  <c r="AK63" i="188"/>
  <c r="AJ63" i="188"/>
  <c r="AI63" i="188"/>
  <c r="AH63" i="188"/>
  <c r="AG63" i="188"/>
  <c r="AF63" i="188"/>
  <c r="AE63" i="188"/>
  <c r="AD63" i="188"/>
  <c r="AC63" i="188"/>
  <c r="Y63" i="188"/>
  <c r="H63" i="188"/>
  <c r="DX62" i="188"/>
  <c r="DW62" i="188"/>
  <c r="DV62" i="188"/>
  <c r="DU62" i="188"/>
  <c r="DT62" i="188"/>
  <c r="DS62" i="188"/>
  <c r="DR62" i="188"/>
  <c r="DQ62" i="188"/>
  <c r="DP62" i="188"/>
  <c r="DO62" i="188"/>
  <c r="DN62" i="188"/>
  <c r="DM62" i="188"/>
  <c r="CX62" i="188"/>
  <c r="CW62" i="188"/>
  <c r="CV62" i="188"/>
  <c r="CU62" i="188"/>
  <c r="CT62" i="188"/>
  <c r="CS62" i="188"/>
  <c r="CR62" i="188"/>
  <c r="CQ62" i="188"/>
  <c r="CP62" i="188"/>
  <c r="CO62" i="188"/>
  <c r="CN62" i="188"/>
  <c r="CM62" i="188"/>
  <c r="BX62" i="188"/>
  <c r="BW62" i="188"/>
  <c r="BV62" i="188"/>
  <c r="BU62" i="188"/>
  <c r="BT62" i="188"/>
  <c r="BS62" i="188"/>
  <c r="BR62" i="188"/>
  <c r="BQ62" i="188"/>
  <c r="BP62" i="188"/>
  <c r="BO62" i="188"/>
  <c r="BN62" i="188"/>
  <c r="BM62" i="188"/>
  <c r="AX62" i="188"/>
  <c r="AW62" i="188"/>
  <c r="AV62" i="188"/>
  <c r="AU62" i="188"/>
  <c r="AT62" i="188"/>
  <c r="AS62" i="188"/>
  <c r="AR62" i="188"/>
  <c r="AQ62" i="188"/>
  <c r="AP62" i="188"/>
  <c r="AO62" i="188"/>
  <c r="AN62" i="188"/>
  <c r="AM62" i="188"/>
  <c r="AK62" i="188"/>
  <c r="AJ62" i="188"/>
  <c r="AI62" i="188"/>
  <c r="AH62" i="188"/>
  <c r="AG62" i="188"/>
  <c r="AF62" i="188"/>
  <c r="AE62" i="188"/>
  <c r="AD62" i="188"/>
  <c r="Y62" i="188"/>
  <c r="H62" i="188"/>
  <c r="DX61" i="188"/>
  <c r="DW61" i="188"/>
  <c r="DV61" i="188"/>
  <c r="DU61" i="188"/>
  <c r="DT61" i="188"/>
  <c r="DS61" i="188"/>
  <c r="DR61" i="188"/>
  <c r="DQ61" i="188"/>
  <c r="DP61" i="188"/>
  <c r="DO61" i="188"/>
  <c r="DN61" i="188"/>
  <c r="DM61" i="188"/>
  <c r="CX61" i="188"/>
  <c r="CW61" i="188"/>
  <c r="CV61" i="188"/>
  <c r="CU61" i="188"/>
  <c r="CT61" i="188"/>
  <c r="CS61" i="188"/>
  <c r="CR61" i="188"/>
  <c r="CQ61" i="188"/>
  <c r="CP61" i="188"/>
  <c r="CO61" i="188"/>
  <c r="CN61" i="188"/>
  <c r="CM61" i="188"/>
  <c r="BX61" i="188"/>
  <c r="BW61" i="188"/>
  <c r="BV61" i="188"/>
  <c r="BU61" i="188"/>
  <c r="BT61" i="188"/>
  <c r="BS61" i="188"/>
  <c r="BR61" i="188"/>
  <c r="BQ61" i="188"/>
  <c r="BP61" i="188"/>
  <c r="BO61" i="188"/>
  <c r="BN61" i="188"/>
  <c r="BM61" i="188"/>
  <c r="AX61" i="188"/>
  <c r="AW61" i="188"/>
  <c r="AV61" i="188"/>
  <c r="AU61" i="188"/>
  <c r="AT61" i="188"/>
  <c r="AS61" i="188"/>
  <c r="AR61" i="188"/>
  <c r="AQ61" i="188"/>
  <c r="AP61" i="188"/>
  <c r="AO61" i="188"/>
  <c r="AN61" i="188"/>
  <c r="AM61" i="188"/>
  <c r="AK61" i="188"/>
  <c r="AJ61" i="188"/>
  <c r="AI61" i="188"/>
  <c r="AH61" i="188"/>
  <c r="AG61" i="188"/>
  <c r="AF61" i="188"/>
  <c r="AE61" i="188"/>
  <c r="AD61" i="188"/>
  <c r="Y61" i="188"/>
  <c r="H61" i="188"/>
  <c r="DX60" i="188"/>
  <c r="DW60" i="188"/>
  <c r="DV60" i="188"/>
  <c r="DU60" i="188"/>
  <c r="DT60" i="188"/>
  <c r="DS60" i="188"/>
  <c r="DR60" i="188"/>
  <c r="DQ60" i="188"/>
  <c r="DP60" i="188"/>
  <c r="DO60" i="188"/>
  <c r="DN60" i="188"/>
  <c r="DM60" i="188"/>
  <c r="CX60" i="188"/>
  <c r="CW60" i="188"/>
  <c r="CV60" i="188"/>
  <c r="CU60" i="188"/>
  <c r="CT60" i="188"/>
  <c r="CS60" i="188"/>
  <c r="CR60" i="188"/>
  <c r="CQ60" i="188"/>
  <c r="CP60" i="188"/>
  <c r="CO60" i="188"/>
  <c r="CN60" i="188"/>
  <c r="CM60" i="188"/>
  <c r="BY60" i="188"/>
  <c r="AY60" i="188"/>
  <c r="AK60" i="188"/>
  <c r="AJ60" i="188"/>
  <c r="AI60" i="188"/>
  <c r="AH60" i="188"/>
  <c r="AG60" i="188"/>
  <c r="AF60" i="188"/>
  <c r="AE60" i="188"/>
  <c r="AD60" i="188"/>
  <c r="AC60" i="188"/>
  <c r="AA60" i="188"/>
  <c r="Z60" i="188"/>
  <c r="Y60" i="188"/>
  <c r="I60" i="188"/>
  <c r="DX59" i="188"/>
  <c r="DW59" i="188"/>
  <c r="DV59" i="188"/>
  <c r="DU59" i="188"/>
  <c r="DT59" i="188"/>
  <c r="DS59" i="188"/>
  <c r="DR59" i="188"/>
  <c r="DQ59" i="188"/>
  <c r="DP59" i="188"/>
  <c r="DO59" i="188"/>
  <c r="DN59" i="188"/>
  <c r="DM59" i="188"/>
  <c r="CX59" i="188"/>
  <c r="CW59" i="188"/>
  <c r="CV59" i="188"/>
  <c r="CU59" i="188"/>
  <c r="CT59" i="188"/>
  <c r="CS59" i="188"/>
  <c r="CR59" i="188"/>
  <c r="CQ59" i="188"/>
  <c r="CP59" i="188"/>
  <c r="CO59" i="188"/>
  <c r="CN59" i="188"/>
  <c r="CM59" i="188"/>
  <c r="BY59" i="188"/>
  <c r="BK59" i="188"/>
  <c r="BJ59" i="188"/>
  <c r="BI59" i="188"/>
  <c r="BH59" i="188"/>
  <c r="BG59" i="188"/>
  <c r="BF59" i="188"/>
  <c r="BE59" i="188"/>
  <c r="BD59" i="188"/>
  <c r="BC59" i="188"/>
  <c r="BB59" i="188"/>
  <c r="BA59" i="188"/>
  <c r="AZ59" i="188"/>
  <c r="AY59" i="188"/>
  <c r="AK59" i="188"/>
  <c r="AJ59" i="188"/>
  <c r="AI59" i="188"/>
  <c r="AH59" i="188"/>
  <c r="AG59" i="188"/>
  <c r="AF59" i="188"/>
  <c r="AE59" i="188"/>
  <c r="AD59" i="188"/>
  <c r="AC59" i="188"/>
  <c r="Y59" i="188"/>
  <c r="I59" i="188"/>
  <c r="CD59" i="188" s="1"/>
  <c r="DX58" i="188"/>
  <c r="DW58" i="188"/>
  <c r="DV58" i="188"/>
  <c r="DU58" i="188"/>
  <c r="DT58" i="188"/>
  <c r="DS58" i="188"/>
  <c r="DR58" i="188"/>
  <c r="DQ58" i="188"/>
  <c r="DP58" i="188"/>
  <c r="DO58" i="188"/>
  <c r="DN58" i="188"/>
  <c r="DM58" i="188"/>
  <c r="CX58" i="188"/>
  <c r="CW58" i="188"/>
  <c r="CV58" i="188"/>
  <c r="CU58" i="188"/>
  <c r="CT58" i="188"/>
  <c r="CS58" i="188"/>
  <c r="CR58" i="188"/>
  <c r="CQ58" i="188"/>
  <c r="CP58" i="188"/>
  <c r="CO58" i="188"/>
  <c r="CN58" i="188"/>
  <c r="CM58" i="188"/>
  <c r="BX58" i="188"/>
  <c r="BW58" i="188"/>
  <c r="BV58" i="188"/>
  <c r="BU58" i="188"/>
  <c r="BT58" i="188"/>
  <c r="BS58" i="188"/>
  <c r="BR58" i="188"/>
  <c r="BQ58" i="188"/>
  <c r="BP58" i="188"/>
  <c r="BO58" i="188"/>
  <c r="BN58" i="188"/>
  <c r="BM58" i="188"/>
  <c r="BK58" i="188"/>
  <c r="BJ58" i="188"/>
  <c r="BI58" i="188"/>
  <c r="BH58" i="188"/>
  <c r="BG58" i="188"/>
  <c r="BF58" i="188"/>
  <c r="BE58" i="188"/>
  <c r="BD58" i="188"/>
  <c r="BC58" i="188"/>
  <c r="BB58" i="188"/>
  <c r="BA58" i="188"/>
  <c r="AZ58" i="188"/>
  <c r="AY58" i="188"/>
  <c r="AK58" i="188"/>
  <c r="AJ58" i="188"/>
  <c r="AI58" i="188"/>
  <c r="AH58" i="188"/>
  <c r="AG58" i="188"/>
  <c r="AF58" i="188"/>
  <c r="AE58" i="188"/>
  <c r="AD58" i="188"/>
  <c r="AC58" i="188"/>
  <c r="Y58" i="188"/>
  <c r="I58" i="188"/>
  <c r="DX57" i="188"/>
  <c r="DW57" i="188"/>
  <c r="DV57" i="188"/>
  <c r="DU57" i="188"/>
  <c r="DT57" i="188"/>
  <c r="DS57" i="188"/>
  <c r="DR57" i="188"/>
  <c r="DQ57" i="188"/>
  <c r="DP57" i="188"/>
  <c r="DO57" i="188"/>
  <c r="DN57" i="188"/>
  <c r="DM57" i="188"/>
  <c r="CX57" i="188"/>
  <c r="CW57" i="188"/>
  <c r="CV57" i="188"/>
  <c r="CU57" i="188"/>
  <c r="CT57" i="188"/>
  <c r="CS57" i="188"/>
  <c r="CR57" i="188"/>
  <c r="CQ57" i="188"/>
  <c r="CP57" i="188"/>
  <c r="CO57" i="188"/>
  <c r="CN57" i="188"/>
  <c r="CM57" i="188"/>
  <c r="BX57" i="188"/>
  <c r="BW57" i="188"/>
  <c r="BV57" i="188"/>
  <c r="BU57" i="188"/>
  <c r="BT57" i="188"/>
  <c r="BS57" i="188"/>
  <c r="BR57" i="188"/>
  <c r="BQ57" i="188"/>
  <c r="BP57" i="188"/>
  <c r="BO57" i="188"/>
  <c r="BN57" i="188"/>
  <c r="BM57" i="188"/>
  <c r="BK57" i="188"/>
  <c r="BJ57" i="188"/>
  <c r="BI57" i="188"/>
  <c r="BH57" i="188"/>
  <c r="BG57" i="188"/>
  <c r="BF57" i="188"/>
  <c r="BE57" i="188"/>
  <c r="BD57" i="188"/>
  <c r="BC57" i="188"/>
  <c r="BB57" i="188"/>
  <c r="BA57" i="188"/>
  <c r="AZ57" i="188"/>
  <c r="AY57" i="188"/>
  <c r="AK57" i="188"/>
  <c r="AJ57" i="188"/>
  <c r="AI57" i="188"/>
  <c r="AH57" i="188"/>
  <c r="AG57" i="188"/>
  <c r="AF57" i="188"/>
  <c r="AE57" i="188"/>
  <c r="AD57" i="188"/>
  <c r="AC57" i="188"/>
  <c r="Y57" i="188"/>
  <c r="I57" i="188"/>
  <c r="DX56" i="188"/>
  <c r="DW56" i="188"/>
  <c r="DV56" i="188"/>
  <c r="DU56" i="188"/>
  <c r="DT56" i="188"/>
  <c r="DS56" i="188"/>
  <c r="DR56" i="188"/>
  <c r="DQ56" i="188"/>
  <c r="DP56" i="188"/>
  <c r="DO56" i="188"/>
  <c r="DN56" i="188"/>
  <c r="DM56" i="188"/>
  <c r="CX56" i="188"/>
  <c r="CW56" i="188"/>
  <c r="CV56" i="188"/>
  <c r="CU56" i="188"/>
  <c r="CT56" i="188"/>
  <c r="CS56" i="188"/>
  <c r="CR56" i="188"/>
  <c r="CQ56" i="188"/>
  <c r="CP56" i="188"/>
  <c r="CO56" i="188"/>
  <c r="CN56" i="188"/>
  <c r="CM56" i="188"/>
  <c r="BX56" i="188"/>
  <c r="BW56" i="188"/>
  <c r="BV56" i="188"/>
  <c r="BU56" i="188"/>
  <c r="BT56" i="188"/>
  <c r="BS56" i="188"/>
  <c r="BR56" i="188"/>
  <c r="BQ56" i="188"/>
  <c r="BP56" i="188"/>
  <c r="BO56" i="188"/>
  <c r="BN56" i="188"/>
  <c r="BM56" i="188"/>
  <c r="BK56" i="188"/>
  <c r="BJ56" i="188"/>
  <c r="BI56" i="188"/>
  <c r="BH56" i="188"/>
  <c r="BG56" i="188"/>
  <c r="BF56" i="188"/>
  <c r="BE56" i="188"/>
  <c r="BD56" i="188"/>
  <c r="BC56" i="188"/>
  <c r="BB56" i="188"/>
  <c r="BA56" i="188"/>
  <c r="AZ56" i="188"/>
  <c r="AY56" i="188"/>
  <c r="AK56" i="188"/>
  <c r="AJ56" i="188"/>
  <c r="AI56" i="188"/>
  <c r="AH56" i="188"/>
  <c r="AG56" i="188"/>
  <c r="AF56" i="188"/>
  <c r="AE56" i="188"/>
  <c r="AD56" i="188"/>
  <c r="AC56" i="188"/>
  <c r="Y56" i="188"/>
  <c r="I56" i="188"/>
  <c r="DX55" i="188"/>
  <c r="DW55" i="188"/>
  <c r="DV55" i="188"/>
  <c r="DU55" i="188"/>
  <c r="DT55" i="188"/>
  <c r="DS55" i="188"/>
  <c r="DR55" i="188"/>
  <c r="DQ55" i="188"/>
  <c r="DP55" i="188"/>
  <c r="DO55" i="188"/>
  <c r="DN55" i="188"/>
  <c r="DM55" i="188"/>
  <c r="CX55" i="188"/>
  <c r="CW55" i="188"/>
  <c r="CV55" i="188"/>
  <c r="CU55" i="188"/>
  <c r="CT55" i="188"/>
  <c r="CS55" i="188"/>
  <c r="CR55" i="188"/>
  <c r="CQ55" i="188"/>
  <c r="CP55" i="188"/>
  <c r="CO55" i="188"/>
  <c r="CN55" i="188"/>
  <c r="CM55" i="188"/>
  <c r="BX55" i="188"/>
  <c r="BW55" i="188"/>
  <c r="BV55" i="188"/>
  <c r="BU55" i="188"/>
  <c r="BT55" i="188"/>
  <c r="BS55" i="188"/>
  <c r="BR55" i="188"/>
  <c r="BQ55" i="188"/>
  <c r="BP55" i="188"/>
  <c r="BO55" i="188"/>
  <c r="BN55" i="188"/>
  <c r="BM55" i="188"/>
  <c r="AY55" i="188"/>
  <c r="AK55" i="188"/>
  <c r="AJ55" i="188"/>
  <c r="AI55" i="188"/>
  <c r="AH55" i="188"/>
  <c r="AG55" i="188"/>
  <c r="AF55" i="188"/>
  <c r="AE55" i="188"/>
  <c r="AD55" i="188"/>
  <c r="AC55" i="188"/>
  <c r="Y55" i="188"/>
  <c r="H55" i="188"/>
  <c r="AZ55" i="188" s="1"/>
  <c r="DY54" i="188"/>
  <c r="CY54" i="188"/>
  <c r="BY54" i="188"/>
  <c r="AY54" i="188"/>
  <c r="AK54" i="188"/>
  <c r="AJ54" i="188"/>
  <c r="AI54" i="188"/>
  <c r="AH54" i="188"/>
  <c r="AG54" i="188"/>
  <c r="AF54" i="188"/>
  <c r="AC54" i="188"/>
  <c r="Y54" i="188"/>
  <c r="H54" i="188"/>
  <c r="BA54" i="188" s="1"/>
  <c r="EK53" i="188"/>
  <c r="EJ53" i="188"/>
  <c r="EI53" i="188"/>
  <c r="EH53" i="188"/>
  <c r="EG53" i="188"/>
  <c r="EF53" i="188"/>
  <c r="EE53" i="188"/>
  <c r="ED53" i="188"/>
  <c r="EC53" i="188"/>
  <c r="EB53" i="188"/>
  <c r="EA53" i="188"/>
  <c r="DZ53" i="188"/>
  <c r="DY53" i="188"/>
  <c r="DK53" i="188"/>
  <c r="DJ53" i="188"/>
  <c r="DI53" i="188"/>
  <c r="DH53" i="188"/>
  <c r="DG53" i="188"/>
  <c r="DF53" i="188"/>
  <c r="DE53" i="188"/>
  <c r="DD53" i="188"/>
  <c r="DC53" i="188"/>
  <c r="DB53" i="188"/>
  <c r="DA53" i="188"/>
  <c r="CZ53" i="188"/>
  <c r="CY53" i="188"/>
  <c r="CK53" i="188"/>
  <c r="CJ53" i="188"/>
  <c r="CI53" i="188"/>
  <c r="CH53" i="188"/>
  <c r="CG53" i="188"/>
  <c r="CF53" i="188"/>
  <c r="CE53" i="188"/>
  <c r="CD53" i="188"/>
  <c r="CC53" i="188"/>
  <c r="CB53" i="188"/>
  <c r="CA53" i="188"/>
  <c r="BZ53" i="188"/>
  <c r="BY53" i="188"/>
  <c r="BK53" i="188"/>
  <c r="BJ53" i="188"/>
  <c r="BI53" i="188"/>
  <c r="BH53" i="188"/>
  <c r="BG53" i="188"/>
  <c r="BF53" i="188"/>
  <c r="BE53" i="188"/>
  <c r="BD53" i="188"/>
  <c r="BC53" i="188"/>
  <c r="BB53" i="188"/>
  <c r="BA53" i="188"/>
  <c r="AZ53" i="188"/>
  <c r="AY53" i="188"/>
  <c r="AK53" i="188"/>
  <c r="AJ53" i="188"/>
  <c r="AI53" i="188"/>
  <c r="AH53" i="188"/>
  <c r="AG53" i="188"/>
  <c r="AF53" i="188"/>
  <c r="AC53" i="188"/>
  <c r="Y53" i="188"/>
  <c r="EK52" i="188"/>
  <c r="EJ52" i="188"/>
  <c r="EI52" i="188"/>
  <c r="EH52" i="188"/>
  <c r="EG52" i="188"/>
  <c r="EF52" i="188"/>
  <c r="EE52" i="188"/>
  <c r="ED52" i="188"/>
  <c r="EC52" i="188"/>
  <c r="EB52" i="188"/>
  <c r="EA52" i="188"/>
  <c r="DZ52" i="188"/>
  <c r="DY52" i="188"/>
  <c r="DK52" i="188"/>
  <c r="DJ52" i="188"/>
  <c r="DI52" i="188"/>
  <c r="DH52" i="188"/>
  <c r="DG52" i="188"/>
  <c r="DF52" i="188"/>
  <c r="DE52" i="188"/>
  <c r="DD52" i="188"/>
  <c r="DC52" i="188"/>
  <c r="DB52" i="188"/>
  <c r="DA52" i="188"/>
  <c r="CZ52" i="188"/>
  <c r="CY52" i="188"/>
  <c r="CK52" i="188"/>
  <c r="CJ52" i="188"/>
  <c r="CI52" i="188"/>
  <c r="CH52" i="188"/>
  <c r="CG52" i="188"/>
  <c r="CF52" i="188"/>
  <c r="CE52" i="188"/>
  <c r="CD52" i="188"/>
  <c r="CC52" i="188"/>
  <c r="CB52" i="188"/>
  <c r="CA52" i="188"/>
  <c r="BZ52" i="188"/>
  <c r="BY52" i="188"/>
  <c r="BK52" i="188"/>
  <c r="BJ52" i="188"/>
  <c r="BI52" i="188"/>
  <c r="BH52" i="188"/>
  <c r="BG52" i="188"/>
  <c r="BF52" i="188"/>
  <c r="BE52" i="188"/>
  <c r="BD52" i="188"/>
  <c r="BC52" i="188"/>
  <c r="BB52" i="188"/>
  <c r="BA52" i="188"/>
  <c r="AZ52" i="188"/>
  <c r="AY52" i="188"/>
  <c r="AK52" i="188"/>
  <c r="AJ52" i="188"/>
  <c r="AI52" i="188"/>
  <c r="AH52" i="188"/>
  <c r="AG52" i="188"/>
  <c r="AF52" i="188"/>
  <c r="Y52" i="188"/>
  <c r="DX51" i="188"/>
  <c r="DW51" i="188"/>
  <c r="DV51" i="188"/>
  <c r="DU51" i="188"/>
  <c r="DT51" i="188"/>
  <c r="DS51" i="188"/>
  <c r="DR51" i="188"/>
  <c r="DQ51" i="188"/>
  <c r="DP51" i="188"/>
  <c r="DO51" i="188"/>
  <c r="DN51" i="188"/>
  <c r="DM51" i="188"/>
  <c r="CX51" i="188"/>
  <c r="CW51" i="188"/>
  <c r="CV51" i="188"/>
  <c r="CU51" i="188"/>
  <c r="CT51" i="188"/>
  <c r="CS51" i="188"/>
  <c r="CR51" i="188"/>
  <c r="CQ51" i="188"/>
  <c r="CP51" i="188"/>
  <c r="CO51" i="188"/>
  <c r="CN51" i="188"/>
  <c r="CM51" i="188"/>
  <c r="BX51" i="188"/>
  <c r="BW51" i="188"/>
  <c r="BV51" i="188"/>
  <c r="BU51" i="188"/>
  <c r="BT51" i="188"/>
  <c r="BS51" i="188"/>
  <c r="BR51" i="188"/>
  <c r="BQ51" i="188"/>
  <c r="BP51" i="188"/>
  <c r="BO51" i="188"/>
  <c r="BN51" i="188"/>
  <c r="BM51" i="188"/>
  <c r="AX51" i="188"/>
  <c r="AW51" i="188"/>
  <c r="AV51" i="188"/>
  <c r="AU51" i="188"/>
  <c r="AT51" i="188"/>
  <c r="AS51" i="188"/>
  <c r="AR51" i="188"/>
  <c r="AQ51" i="188"/>
  <c r="AP51" i="188"/>
  <c r="AO51" i="188"/>
  <c r="AN51" i="188"/>
  <c r="AM51" i="188"/>
  <c r="AK51" i="188"/>
  <c r="AJ51" i="188"/>
  <c r="AI51" i="188"/>
  <c r="AH51" i="188"/>
  <c r="AG51" i="188"/>
  <c r="AF51" i="188"/>
  <c r="Y51" i="188"/>
  <c r="H51" i="188"/>
  <c r="DX50" i="188"/>
  <c r="DW50" i="188"/>
  <c r="DV50" i="188"/>
  <c r="DU50" i="188"/>
  <c r="DT50" i="188"/>
  <c r="DS50" i="188"/>
  <c r="DR50" i="188"/>
  <c r="DQ50" i="188"/>
  <c r="DP50" i="188"/>
  <c r="DO50" i="188"/>
  <c r="DN50" i="188"/>
  <c r="DM50" i="188"/>
  <c r="CX50" i="188"/>
  <c r="CW50" i="188"/>
  <c r="CV50" i="188"/>
  <c r="CU50" i="188"/>
  <c r="CT50" i="188"/>
  <c r="CS50" i="188"/>
  <c r="CR50" i="188"/>
  <c r="CQ50" i="188"/>
  <c r="CP50" i="188"/>
  <c r="CO50" i="188"/>
  <c r="CN50" i="188"/>
  <c r="CM50" i="188"/>
  <c r="BX50" i="188"/>
  <c r="BW50" i="188"/>
  <c r="BV50" i="188"/>
  <c r="BU50" i="188"/>
  <c r="BT50" i="188"/>
  <c r="BS50" i="188"/>
  <c r="BR50" i="188"/>
  <c r="BQ50" i="188"/>
  <c r="BP50" i="188"/>
  <c r="BO50" i="188"/>
  <c r="BN50" i="188"/>
  <c r="BM50" i="188"/>
  <c r="AX50" i="188"/>
  <c r="AW50" i="188"/>
  <c r="AV50" i="188"/>
  <c r="AU50" i="188"/>
  <c r="AT50" i="188"/>
  <c r="AS50" i="188"/>
  <c r="AR50" i="188"/>
  <c r="AQ50" i="188"/>
  <c r="AP50" i="188"/>
  <c r="AO50" i="188"/>
  <c r="AN50" i="188"/>
  <c r="AM50" i="188"/>
  <c r="AK50" i="188"/>
  <c r="AJ50" i="188"/>
  <c r="AI50" i="188"/>
  <c r="AH50" i="188"/>
  <c r="AG50" i="188"/>
  <c r="S50" i="188"/>
  <c r="H50" i="188"/>
  <c r="DX49" i="188"/>
  <c r="DW49" i="188"/>
  <c r="DV49" i="188"/>
  <c r="DU49" i="188"/>
  <c r="DT49" i="188"/>
  <c r="DS49" i="188"/>
  <c r="DR49" i="188"/>
  <c r="DQ49" i="188"/>
  <c r="DP49" i="188"/>
  <c r="DO49" i="188"/>
  <c r="DN49" i="188"/>
  <c r="DM49" i="188"/>
  <c r="CX49" i="188"/>
  <c r="CW49" i="188"/>
  <c r="CV49" i="188"/>
  <c r="CU49" i="188"/>
  <c r="CT49" i="188"/>
  <c r="CS49" i="188"/>
  <c r="CR49" i="188"/>
  <c r="CQ49" i="188"/>
  <c r="CP49" i="188"/>
  <c r="CO49" i="188"/>
  <c r="CN49" i="188"/>
  <c r="CM49" i="188"/>
  <c r="BX49" i="188"/>
  <c r="BW49" i="188"/>
  <c r="BV49" i="188"/>
  <c r="BU49" i="188"/>
  <c r="BT49" i="188"/>
  <c r="BS49" i="188"/>
  <c r="BR49" i="188"/>
  <c r="BQ49" i="188"/>
  <c r="BP49" i="188"/>
  <c r="BO49" i="188"/>
  <c r="BN49" i="188"/>
  <c r="BM49" i="188"/>
  <c r="AX49" i="188"/>
  <c r="AW49" i="188"/>
  <c r="AV49" i="188"/>
  <c r="AU49" i="188"/>
  <c r="AT49" i="188"/>
  <c r="AS49" i="188"/>
  <c r="AR49" i="188"/>
  <c r="AQ49" i="188"/>
  <c r="AP49" i="188"/>
  <c r="AO49" i="188"/>
  <c r="AN49" i="188"/>
  <c r="AM49" i="188"/>
  <c r="AK49" i="188"/>
  <c r="AJ49" i="188"/>
  <c r="AI49" i="188"/>
  <c r="AH49" i="188"/>
  <c r="AG49" i="188"/>
  <c r="AF49" i="188"/>
  <c r="AC49" i="188"/>
  <c r="AB49" i="188"/>
  <c r="AB74" i="188" s="1"/>
  <c r="Y49" i="188"/>
  <c r="H49" i="188"/>
  <c r="DX48" i="188"/>
  <c r="DW48" i="188"/>
  <c r="DV48" i="188"/>
  <c r="DU48" i="188"/>
  <c r="DT48" i="188"/>
  <c r="DS48" i="188"/>
  <c r="DR48" i="188"/>
  <c r="DQ48" i="188"/>
  <c r="DP48" i="188"/>
  <c r="DO48" i="188"/>
  <c r="DN48" i="188"/>
  <c r="DM48" i="188"/>
  <c r="CX48" i="188"/>
  <c r="CW48" i="188"/>
  <c r="CV48" i="188"/>
  <c r="CU48" i="188"/>
  <c r="CT48" i="188"/>
  <c r="CS48" i="188"/>
  <c r="CR48" i="188"/>
  <c r="CQ48" i="188"/>
  <c r="CP48" i="188"/>
  <c r="CO48" i="188"/>
  <c r="CN48" i="188"/>
  <c r="CM48" i="188"/>
  <c r="BX48" i="188"/>
  <c r="BW48" i="188"/>
  <c r="BV48" i="188"/>
  <c r="BU48" i="188"/>
  <c r="BT48" i="188"/>
  <c r="BS48" i="188"/>
  <c r="BR48" i="188"/>
  <c r="BQ48" i="188"/>
  <c r="BP48" i="188"/>
  <c r="BO48" i="188"/>
  <c r="BN48" i="188"/>
  <c r="BM48" i="188"/>
  <c r="AX48" i="188"/>
  <c r="AW48" i="188"/>
  <c r="AV48" i="188"/>
  <c r="AU48" i="188"/>
  <c r="AT48" i="188"/>
  <c r="AS48" i="188"/>
  <c r="AR48" i="188"/>
  <c r="AQ48" i="188"/>
  <c r="AP48" i="188"/>
  <c r="AO48" i="188"/>
  <c r="AN48" i="188"/>
  <c r="AM48" i="188"/>
  <c r="AK48" i="188"/>
  <c r="AJ48" i="188"/>
  <c r="AI48" i="188"/>
  <c r="AH48" i="188"/>
  <c r="AG48" i="188"/>
  <c r="AD48" i="188"/>
  <c r="S48" i="188"/>
  <c r="AF48" i="188" s="1"/>
  <c r="H48" i="188"/>
  <c r="I48" i="188" s="1"/>
  <c r="DX47" i="188"/>
  <c r="EK47" i="188" s="1"/>
  <c r="DW47" i="188"/>
  <c r="EJ47" i="188" s="1"/>
  <c r="DV47" i="188"/>
  <c r="EI47" i="188" s="1"/>
  <c r="DU47" i="188"/>
  <c r="EH47" i="188" s="1"/>
  <c r="DT47" i="188"/>
  <c r="EG47" i="188" s="1"/>
  <c r="DS47" i="188"/>
  <c r="EF47" i="188" s="1"/>
  <c r="DR47" i="188"/>
  <c r="EE47" i="188" s="1"/>
  <c r="DQ47" i="188"/>
  <c r="ED47" i="188" s="1"/>
  <c r="DP47" i="188"/>
  <c r="DO47" i="188"/>
  <c r="EB47" i="188" s="1"/>
  <c r="DN47" i="188"/>
  <c r="EA47" i="188" s="1"/>
  <c r="DM47" i="188"/>
  <c r="DZ47" i="188" s="1"/>
  <c r="CX47" i="188"/>
  <c r="DK47" i="188" s="1"/>
  <c r="CW47" i="188"/>
  <c r="DJ47" i="188" s="1"/>
  <c r="CV47" i="188"/>
  <c r="DI47" i="188" s="1"/>
  <c r="CU47" i="188"/>
  <c r="DH47" i="188" s="1"/>
  <c r="CT47" i="188"/>
  <c r="DG47" i="188" s="1"/>
  <c r="CS47" i="188"/>
  <c r="DF47" i="188" s="1"/>
  <c r="CR47" i="188"/>
  <c r="DE47" i="188" s="1"/>
  <c r="CQ47" i="188"/>
  <c r="DD47" i="188" s="1"/>
  <c r="CP47" i="188"/>
  <c r="DC47" i="188" s="1"/>
  <c r="CO47" i="188"/>
  <c r="CN47" i="188"/>
  <c r="DA47" i="188" s="1"/>
  <c r="CM47" i="188"/>
  <c r="CZ47" i="188" s="1"/>
  <c r="BX47" i="188"/>
  <c r="CK47" i="188" s="1"/>
  <c r="BW47" i="188"/>
  <c r="CJ47" i="188" s="1"/>
  <c r="BV47" i="188"/>
  <c r="CI47" i="188" s="1"/>
  <c r="BU47" i="188"/>
  <c r="CH47" i="188" s="1"/>
  <c r="BT47" i="188"/>
  <c r="CG47" i="188" s="1"/>
  <c r="BS47" i="188"/>
  <c r="CF47" i="188" s="1"/>
  <c r="BR47" i="188"/>
  <c r="CE47" i="188" s="1"/>
  <c r="BQ47" i="188"/>
  <c r="CD47" i="188" s="1"/>
  <c r="BP47" i="188"/>
  <c r="CC47" i="188" s="1"/>
  <c r="BO47" i="188"/>
  <c r="BN47" i="188"/>
  <c r="CA47" i="188" s="1"/>
  <c r="BM47" i="188"/>
  <c r="BZ47" i="188" s="1"/>
  <c r="BE47" i="188"/>
  <c r="BD47" i="188"/>
  <c r="BC47" i="188"/>
  <c r="BB47" i="188"/>
  <c r="BA47" i="188"/>
  <c r="AZ47" i="188"/>
  <c r="AX47" i="188"/>
  <c r="BK47" i="188" s="1"/>
  <c r="AW47" i="188"/>
  <c r="AV47" i="188"/>
  <c r="BI47" i="188" s="1"/>
  <c r="AU47" i="188"/>
  <c r="BH47" i="188" s="1"/>
  <c r="AT47" i="188"/>
  <c r="BG47" i="188" s="1"/>
  <c r="AS47" i="188"/>
  <c r="BF47" i="188" s="1"/>
  <c r="AK47" i="188"/>
  <c r="AJ47" i="188"/>
  <c r="AI47" i="188"/>
  <c r="Y47" i="188"/>
  <c r="DX46" i="188"/>
  <c r="EK46" i="188" s="1"/>
  <c r="DW46" i="188"/>
  <c r="EJ46" i="188" s="1"/>
  <c r="DV46" i="188"/>
  <c r="EI46" i="188" s="1"/>
  <c r="DU46" i="188"/>
  <c r="DT46" i="188"/>
  <c r="EG46" i="188" s="1"/>
  <c r="DS46" i="188"/>
  <c r="EF46" i="188" s="1"/>
  <c r="DR46" i="188"/>
  <c r="DQ46" i="188"/>
  <c r="ED46" i="188" s="1"/>
  <c r="DP46" i="188"/>
  <c r="EC46" i="188" s="1"/>
  <c r="DO46" i="188"/>
  <c r="EB46" i="188" s="1"/>
  <c r="DN46" i="188"/>
  <c r="EA46" i="188" s="1"/>
  <c r="DM46" i="188"/>
  <c r="DZ46" i="188" s="1"/>
  <c r="CX46" i="188"/>
  <c r="DK46" i="188" s="1"/>
  <c r="CW46" i="188"/>
  <c r="DJ46" i="188" s="1"/>
  <c r="CV46" i="188"/>
  <c r="DI46" i="188" s="1"/>
  <c r="CU46" i="188"/>
  <c r="DH46" i="188" s="1"/>
  <c r="CT46" i="188"/>
  <c r="DG46" i="188" s="1"/>
  <c r="CS46" i="188"/>
  <c r="DF46" i="188" s="1"/>
  <c r="CR46" i="188"/>
  <c r="DE46" i="188" s="1"/>
  <c r="CQ46" i="188"/>
  <c r="DD46" i="188" s="1"/>
  <c r="CP46" i="188"/>
  <c r="CO46" i="188"/>
  <c r="DB46" i="188" s="1"/>
  <c r="CN46" i="188"/>
  <c r="DA46" i="188" s="1"/>
  <c r="CM46" i="188"/>
  <c r="CZ46" i="188" s="1"/>
  <c r="BX46" i="188"/>
  <c r="BW46" i="188"/>
  <c r="CJ46" i="188" s="1"/>
  <c r="BV46" i="188"/>
  <c r="CI46" i="188" s="1"/>
  <c r="BU46" i="188"/>
  <c r="CH46" i="188" s="1"/>
  <c r="BT46" i="188"/>
  <c r="CG46" i="188" s="1"/>
  <c r="BS46" i="188"/>
  <c r="CF46" i="188" s="1"/>
  <c r="BR46" i="188"/>
  <c r="BQ46" i="188"/>
  <c r="CD46" i="188" s="1"/>
  <c r="BP46" i="188"/>
  <c r="CC46" i="188" s="1"/>
  <c r="BO46" i="188"/>
  <c r="CB46" i="188" s="1"/>
  <c r="BN46" i="188"/>
  <c r="BM46" i="188"/>
  <c r="BZ46" i="188" s="1"/>
  <c r="BE46" i="188"/>
  <c r="BD46" i="188"/>
  <c r="BC46" i="188"/>
  <c r="BB46" i="188"/>
  <c r="BA46" i="188"/>
  <c r="AZ46" i="188"/>
  <c r="AX46" i="188"/>
  <c r="BK46" i="188" s="1"/>
  <c r="AW46" i="188"/>
  <c r="BJ46" i="188" s="1"/>
  <c r="AV46" i="188"/>
  <c r="BI46" i="188" s="1"/>
  <c r="AU46" i="188"/>
  <c r="BH46" i="188" s="1"/>
  <c r="AT46" i="188"/>
  <c r="AS46" i="188"/>
  <c r="BF46" i="188" s="1"/>
  <c r="AK46" i="188"/>
  <c r="AJ46" i="188"/>
  <c r="AI46" i="188"/>
  <c r="Y46" i="188"/>
  <c r="DX45" i="188"/>
  <c r="EK45" i="188" s="1"/>
  <c r="DW45" i="188"/>
  <c r="DV45" i="188"/>
  <c r="EI45" i="188" s="1"/>
  <c r="DU45" i="188"/>
  <c r="EH45" i="188" s="1"/>
  <c r="DT45" i="188"/>
  <c r="EG45" i="188" s="1"/>
  <c r="DS45" i="188"/>
  <c r="EF45" i="188" s="1"/>
  <c r="DR45" i="188"/>
  <c r="EE45" i="188" s="1"/>
  <c r="DQ45" i="188"/>
  <c r="ED45" i="188" s="1"/>
  <c r="DP45" i="188"/>
  <c r="EC45" i="188" s="1"/>
  <c r="DO45" i="188"/>
  <c r="EB45" i="188" s="1"/>
  <c r="DN45" i="188"/>
  <c r="DM45" i="188"/>
  <c r="DZ45" i="188" s="1"/>
  <c r="CX45" i="188"/>
  <c r="DK45" i="188" s="1"/>
  <c r="CW45" i="188"/>
  <c r="DJ45" i="188" s="1"/>
  <c r="CV45" i="188"/>
  <c r="DI45" i="188" s="1"/>
  <c r="CU45" i="188"/>
  <c r="DH45" i="188" s="1"/>
  <c r="CT45" i="188"/>
  <c r="DG45" i="188" s="1"/>
  <c r="CS45" i="188"/>
  <c r="DF45" i="188" s="1"/>
  <c r="CR45" i="188"/>
  <c r="DE45" i="188" s="1"/>
  <c r="CQ45" i="188"/>
  <c r="DD45" i="188" s="1"/>
  <c r="CP45" i="188"/>
  <c r="DC45" i="188" s="1"/>
  <c r="CO45" i="188"/>
  <c r="DB45" i="188" s="1"/>
  <c r="CN45" i="188"/>
  <c r="DA45" i="188" s="1"/>
  <c r="CM45" i="188"/>
  <c r="CZ45" i="188" s="1"/>
  <c r="BX45" i="188"/>
  <c r="CK45" i="188" s="1"/>
  <c r="BW45" i="188"/>
  <c r="CJ45" i="188" s="1"/>
  <c r="BV45" i="188"/>
  <c r="CI45" i="188" s="1"/>
  <c r="BU45" i="188"/>
  <c r="CH45" i="188" s="1"/>
  <c r="BT45" i="188"/>
  <c r="CG45" i="188" s="1"/>
  <c r="BS45" i="188"/>
  <c r="CF45" i="188" s="1"/>
  <c r="BR45" i="188"/>
  <c r="BQ45" i="188"/>
  <c r="CD45" i="188" s="1"/>
  <c r="BP45" i="188"/>
  <c r="CC45" i="188" s="1"/>
  <c r="BO45" i="188"/>
  <c r="CB45" i="188" s="1"/>
  <c r="BN45" i="188"/>
  <c r="CA45" i="188" s="1"/>
  <c r="BM45" i="188"/>
  <c r="BE45" i="188"/>
  <c r="BD45" i="188"/>
  <c r="BC45" i="188"/>
  <c r="BB45" i="188"/>
  <c r="BA45" i="188"/>
  <c r="AZ45" i="188"/>
  <c r="AX45" i="188"/>
  <c r="BK45" i="188" s="1"/>
  <c r="AW45" i="188"/>
  <c r="BJ45" i="188" s="1"/>
  <c r="AV45" i="188"/>
  <c r="BI45" i="188" s="1"/>
  <c r="AU45" i="188"/>
  <c r="BH45" i="188" s="1"/>
  <c r="AT45" i="188"/>
  <c r="AS45" i="188"/>
  <c r="BF45" i="188" s="1"/>
  <c r="AK45" i="188"/>
  <c r="AJ45" i="188"/>
  <c r="AI45" i="188"/>
  <c r="Y45" i="188"/>
  <c r="DX44" i="188"/>
  <c r="EK44" i="188" s="1"/>
  <c r="DW44" i="188"/>
  <c r="EJ44" i="188" s="1"/>
  <c r="DV44" i="188"/>
  <c r="EI44" i="188" s="1"/>
  <c r="DU44" i="188"/>
  <c r="EH44" i="188" s="1"/>
  <c r="DT44" i="188"/>
  <c r="EG44" i="188" s="1"/>
  <c r="DS44" i="188"/>
  <c r="EF44" i="188" s="1"/>
  <c r="DR44" i="188"/>
  <c r="EE44" i="188" s="1"/>
  <c r="DQ44" i="188"/>
  <c r="ED44" i="188" s="1"/>
  <c r="DP44" i="188"/>
  <c r="EC44" i="188" s="1"/>
  <c r="DO44" i="188"/>
  <c r="EB44" i="188" s="1"/>
  <c r="DN44" i="188"/>
  <c r="EA44" i="188" s="1"/>
  <c r="DM44" i="188"/>
  <c r="DZ44" i="188" s="1"/>
  <c r="CX44" i="188"/>
  <c r="DK44" i="188" s="1"/>
  <c r="CW44" i="188"/>
  <c r="CV44" i="188"/>
  <c r="DI44" i="188" s="1"/>
  <c r="CU44" i="188"/>
  <c r="DH44" i="188" s="1"/>
  <c r="CT44" i="188"/>
  <c r="DG44" i="188" s="1"/>
  <c r="CS44" i="188"/>
  <c r="DF44" i="188" s="1"/>
  <c r="CR44" i="188"/>
  <c r="DE44" i="188" s="1"/>
  <c r="CQ44" i="188"/>
  <c r="CP44" i="188"/>
  <c r="DC44" i="188" s="1"/>
  <c r="CO44" i="188"/>
  <c r="DB44" i="188" s="1"/>
  <c r="CN44" i="188"/>
  <c r="CM44" i="188"/>
  <c r="CZ44" i="188" s="1"/>
  <c r="BX44" i="188"/>
  <c r="CK44" i="188" s="1"/>
  <c r="BW44" i="188"/>
  <c r="CJ44" i="188" s="1"/>
  <c r="BV44" i="188"/>
  <c r="CI44" i="188" s="1"/>
  <c r="BU44" i="188"/>
  <c r="CH44" i="188" s="1"/>
  <c r="BT44" i="188"/>
  <c r="CG44" i="188" s="1"/>
  <c r="BS44" i="188"/>
  <c r="CF44" i="188" s="1"/>
  <c r="BR44" i="188"/>
  <c r="CE44" i="188" s="1"/>
  <c r="BQ44" i="188"/>
  <c r="CD44" i="188" s="1"/>
  <c r="BP44" i="188"/>
  <c r="CC44" i="188" s="1"/>
  <c r="BO44" i="188"/>
  <c r="CB44" i="188" s="1"/>
  <c r="BN44" i="188"/>
  <c r="CA44" i="188" s="1"/>
  <c r="BM44" i="188"/>
  <c r="BE44" i="188"/>
  <c r="BD44" i="188"/>
  <c r="BC44" i="188"/>
  <c r="BB44" i="188"/>
  <c r="BA44" i="188"/>
  <c r="AZ44" i="188"/>
  <c r="AX44" i="188"/>
  <c r="BK44" i="188" s="1"/>
  <c r="AW44" i="188"/>
  <c r="AV44" i="188"/>
  <c r="BI44" i="188" s="1"/>
  <c r="AU44" i="188"/>
  <c r="AT44" i="188"/>
  <c r="BG44" i="188" s="1"/>
  <c r="AS44" i="188"/>
  <c r="BF44" i="188" s="1"/>
  <c r="AK44" i="188"/>
  <c r="AJ44" i="188"/>
  <c r="AI44" i="188"/>
  <c r="Y44" i="188"/>
  <c r="DX43" i="188"/>
  <c r="EK43" i="188" s="1"/>
  <c r="DW43" i="188"/>
  <c r="EJ43" i="188" s="1"/>
  <c r="DV43" i="188"/>
  <c r="EI43" i="188" s="1"/>
  <c r="DU43" i="188"/>
  <c r="EH43" i="188" s="1"/>
  <c r="DT43" i="188"/>
  <c r="EG43" i="188" s="1"/>
  <c r="DS43" i="188"/>
  <c r="EF43" i="188" s="1"/>
  <c r="DR43" i="188"/>
  <c r="EE43" i="188" s="1"/>
  <c r="DQ43" i="188"/>
  <c r="ED43" i="188" s="1"/>
  <c r="DP43" i="188"/>
  <c r="EC43" i="188" s="1"/>
  <c r="DO43" i="188"/>
  <c r="EB43" i="188" s="1"/>
  <c r="DN43" i="188"/>
  <c r="DM43" i="188"/>
  <c r="DZ43" i="188" s="1"/>
  <c r="CX43" i="188"/>
  <c r="DK43" i="188" s="1"/>
  <c r="CW43" i="188"/>
  <c r="DJ43" i="188" s="1"/>
  <c r="CV43" i="188"/>
  <c r="DI43" i="188" s="1"/>
  <c r="CU43" i="188"/>
  <c r="DH43" i="188" s="1"/>
  <c r="CT43" i="188"/>
  <c r="DG43" i="188" s="1"/>
  <c r="CS43" i="188"/>
  <c r="CR43" i="188"/>
  <c r="DE43" i="188" s="1"/>
  <c r="CQ43" i="188"/>
  <c r="DD43" i="188" s="1"/>
  <c r="CP43" i="188"/>
  <c r="DC43" i="188" s="1"/>
  <c r="CO43" i="188"/>
  <c r="DB43" i="188" s="1"/>
  <c r="CN43" i="188"/>
  <c r="DA43" i="188" s="1"/>
  <c r="CM43" i="188"/>
  <c r="CZ43" i="188" s="1"/>
  <c r="BX43" i="188"/>
  <c r="CK43" i="188" s="1"/>
  <c r="BW43" i="188"/>
  <c r="CJ43" i="188" s="1"/>
  <c r="BV43" i="188"/>
  <c r="CI43" i="188" s="1"/>
  <c r="BU43" i="188"/>
  <c r="BT43" i="188"/>
  <c r="CG43" i="188" s="1"/>
  <c r="BS43" i="188"/>
  <c r="CF43" i="188" s="1"/>
  <c r="BR43" i="188"/>
  <c r="CE43" i="188" s="1"/>
  <c r="BQ43" i="188"/>
  <c r="CD43" i="188" s="1"/>
  <c r="BP43" i="188"/>
  <c r="CC43" i="188" s="1"/>
  <c r="BO43" i="188"/>
  <c r="BN43" i="188"/>
  <c r="CA43" i="188" s="1"/>
  <c r="BM43" i="188"/>
  <c r="BZ43" i="188" s="1"/>
  <c r="BE43" i="188"/>
  <c r="BD43" i="188"/>
  <c r="BC43" i="188"/>
  <c r="BB43" i="188"/>
  <c r="BA43" i="188"/>
  <c r="AZ43" i="188"/>
  <c r="AX43" i="188"/>
  <c r="BK43" i="188" s="1"/>
  <c r="AW43" i="188"/>
  <c r="BJ43" i="188" s="1"/>
  <c r="AV43" i="188"/>
  <c r="BI43" i="188" s="1"/>
  <c r="AU43" i="188"/>
  <c r="BH43" i="188" s="1"/>
  <c r="AT43" i="188"/>
  <c r="BG43" i="188" s="1"/>
  <c r="AS43" i="188"/>
  <c r="AK43" i="188"/>
  <c r="AJ43" i="188"/>
  <c r="AI43" i="188"/>
  <c r="Y43" i="188"/>
  <c r="DX42" i="188"/>
  <c r="DW42" i="188"/>
  <c r="DV42" i="188"/>
  <c r="DU42" i="188"/>
  <c r="DT42" i="188"/>
  <c r="DS42" i="188"/>
  <c r="DR42" i="188"/>
  <c r="DQ42" i="188"/>
  <c r="DP42" i="188"/>
  <c r="DO42" i="188"/>
  <c r="DN42" i="188"/>
  <c r="DM42" i="188"/>
  <c r="CX42" i="188"/>
  <c r="CW42" i="188"/>
  <c r="CV42" i="188"/>
  <c r="CU42" i="188"/>
  <c r="CT42" i="188"/>
  <c r="CS42" i="188"/>
  <c r="CR42" i="188"/>
  <c r="CQ42" i="188"/>
  <c r="CP42" i="188"/>
  <c r="CO42" i="188"/>
  <c r="CN42" i="188"/>
  <c r="CM42" i="188"/>
  <c r="BX42" i="188"/>
  <c r="BW42" i="188"/>
  <c r="BV42" i="188"/>
  <c r="BU42" i="188"/>
  <c r="BT42" i="188"/>
  <c r="BS42" i="188"/>
  <c r="BR42" i="188"/>
  <c r="BQ42" i="188"/>
  <c r="BP42" i="188"/>
  <c r="BO42" i="188"/>
  <c r="BN42" i="188"/>
  <c r="BM42" i="188"/>
  <c r="AX42" i="188"/>
  <c r="AW42" i="188"/>
  <c r="AV42" i="188"/>
  <c r="AU42" i="188"/>
  <c r="AT42" i="188"/>
  <c r="AS42" i="188"/>
  <c r="AR42" i="188"/>
  <c r="AQ42" i="188"/>
  <c r="AP42" i="188"/>
  <c r="AO42" i="188"/>
  <c r="AN42" i="188"/>
  <c r="AM42" i="188"/>
  <c r="AK42" i="188"/>
  <c r="AJ42" i="188"/>
  <c r="AI42" i="188"/>
  <c r="AH42" i="188"/>
  <c r="AG42" i="188"/>
  <c r="AF42" i="188"/>
  <c r="AD42" i="188"/>
  <c r="P42" i="188"/>
  <c r="Y42" i="188" s="1"/>
  <c r="H42" i="188"/>
  <c r="DX41" i="188"/>
  <c r="DW41" i="188"/>
  <c r="DV41" i="188"/>
  <c r="DU41" i="188"/>
  <c r="DT41" i="188"/>
  <c r="DS41" i="188"/>
  <c r="DR41" i="188"/>
  <c r="DQ41" i="188"/>
  <c r="DP41" i="188"/>
  <c r="DO41" i="188"/>
  <c r="DN41" i="188"/>
  <c r="DM41" i="188"/>
  <c r="CX41" i="188"/>
  <c r="CW41" i="188"/>
  <c r="CV41" i="188"/>
  <c r="CU41" i="188"/>
  <c r="CT41" i="188"/>
  <c r="CS41" i="188"/>
  <c r="CR41" i="188"/>
  <c r="CQ41" i="188"/>
  <c r="CP41" i="188"/>
  <c r="CO41" i="188"/>
  <c r="CN41" i="188"/>
  <c r="CM41" i="188"/>
  <c r="BX41" i="188"/>
  <c r="BW41" i="188"/>
  <c r="BV41" i="188"/>
  <c r="BU41" i="188"/>
  <c r="BT41" i="188"/>
  <c r="BS41" i="188"/>
  <c r="BR41" i="188"/>
  <c r="BQ41" i="188"/>
  <c r="BP41" i="188"/>
  <c r="BO41" i="188"/>
  <c r="BN41" i="188"/>
  <c r="BM41" i="188"/>
  <c r="AX41" i="188"/>
  <c r="AW41" i="188"/>
  <c r="AV41" i="188"/>
  <c r="AU41" i="188"/>
  <c r="AT41" i="188"/>
  <c r="AS41" i="188"/>
  <c r="AR41" i="188"/>
  <c r="AQ41" i="188"/>
  <c r="AP41" i="188"/>
  <c r="AO41" i="188"/>
  <c r="AN41" i="188"/>
  <c r="AM41" i="188"/>
  <c r="AK41" i="188"/>
  <c r="AJ41" i="188"/>
  <c r="AI41" i="188"/>
  <c r="AH41" i="188"/>
  <c r="AG41" i="188"/>
  <c r="AF41" i="188"/>
  <c r="Y41" i="188"/>
  <c r="H41" i="188"/>
  <c r="I41" i="188" s="1"/>
  <c r="DX40" i="188"/>
  <c r="DW40" i="188"/>
  <c r="DV40" i="188"/>
  <c r="DU40" i="188"/>
  <c r="DT40" i="188"/>
  <c r="DS40" i="188"/>
  <c r="DR40" i="188"/>
  <c r="DQ40" i="188"/>
  <c r="DP40" i="188"/>
  <c r="DO40" i="188"/>
  <c r="DN40" i="188"/>
  <c r="DM40" i="188"/>
  <c r="CX40" i="188"/>
  <c r="CW40" i="188"/>
  <c r="CV40" i="188"/>
  <c r="CU40" i="188"/>
  <c r="CT40" i="188"/>
  <c r="CS40" i="188"/>
  <c r="CR40" i="188"/>
  <c r="CQ40" i="188"/>
  <c r="CP40" i="188"/>
  <c r="CO40" i="188"/>
  <c r="CN40" i="188"/>
  <c r="CM40" i="188"/>
  <c r="BX40" i="188"/>
  <c r="BW40" i="188"/>
  <c r="BV40" i="188"/>
  <c r="BU40" i="188"/>
  <c r="BT40" i="188"/>
  <c r="BS40" i="188"/>
  <c r="BR40" i="188"/>
  <c r="BQ40" i="188"/>
  <c r="BP40" i="188"/>
  <c r="BO40" i="188"/>
  <c r="BN40" i="188"/>
  <c r="BM40" i="188"/>
  <c r="AX40" i="188"/>
  <c r="AW40" i="188"/>
  <c r="AV40" i="188"/>
  <c r="AU40" i="188"/>
  <c r="AT40" i="188"/>
  <c r="AS40" i="188"/>
  <c r="AR40" i="188"/>
  <c r="AQ40" i="188"/>
  <c r="AP40" i="188"/>
  <c r="AO40" i="188"/>
  <c r="AN40" i="188"/>
  <c r="AM40" i="188"/>
  <c r="AK40" i="188"/>
  <c r="AJ40" i="188"/>
  <c r="AI40" i="188"/>
  <c r="AH40" i="188"/>
  <c r="AG40" i="188"/>
  <c r="AF40" i="188"/>
  <c r="AC40" i="188"/>
  <c r="P40" i="188"/>
  <c r="Y40" i="188" s="1"/>
  <c r="H40" i="188"/>
  <c r="DY39" i="188"/>
  <c r="CY39" i="188"/>
  <c r="BY39" i="188"/>
  <c r="AY39" i="188"/>
  <c r="AK39" i="188"/>
  <c r="AJ39" i="188"/>
  <c r="AI39" i="188"/>
  <c r="AH39" i="188"/>
  <c r="AG39" i="188"/>
  <c r="AF39" i="188"/>
  <c r="P39" i="188"/>
  <c r="Y39" i="188" s="1"/>
  <c r="H39" i="188"/>
  <c r="DY38" i="188"/>
  <c r="CY38" i="188"/>
  <c r="BY38" i="188"/>
  <c r="AY38" i="188"/>
  <c r="AK38" i="188"/>
  <c r="AJ38" i="188"/>
  <c r="AI38" i="188"/>
  <c r="AH38" i="188"/>
  <c r="AG38" i="188"/>
  <c r="AF38" i="188"/>
  <c r="Y38" i="188"/>
  <c r="H38" i="188"/>
  <c r="BK38" i="188" s="1"/>
  <c r="DY37" i="188"/>
  <c r="CY37" i="188"/>
  <c r="BY37" i="188"/>
  <c r="AY37" i="188"/>
  <c r="AK37" i="188"/>
  <c r="AJ37" i="188"/>
  <c r="AI37" i="188"/>
  <c r="AH37" i="188"/>
  <c r="AG37" i="188"/>
  <c r="AF37" i="188"/>
  <c r="AD37" i="188"/>
  <c r="AC37" i="188"/>
  <c r="AA37" i="188"/>
  <c r="Z37" i="188"/>
  <c r="Y37" i="188"/>
  <c r="H37" i="188"/>
  <c r="BG37" i="188" s="1"/>
  <c r="DY36" i="188"/>
  <c r="CY36" i="188"/>
  <c r="BY36" i="188"/>
  <c r="AY36" i="188"/>
  <c r="AK36" i="188"/>
  <c r="AJ36" i="188"/>
  <c r="AI36" i="188"/>
  <c r="AH36" i="188"/>
  <c r="AG36" i="188"/>
  <c r="AF36" i="188"/>
  <c r="AD36" i="188"/>
  <c r="AC36" i="188"/>
  <c r="AA36" i="188"/>
  <c r="Z36" i="188"/>
  <c r="Y36" i="188"/>
  <c r="H36" i="188"/>
  <c r="BE36" i="188" s="1"/>
  <c r="DX35" i="188"/>
  <c r="DW35" i="188"/>
  <c r="DV35" i="188"/>
  <c r="DU35" i="188"/>
  <c r="DT35" i="188"/>
  <c r="DS35" i="188"/>
  <c r="DR35" i="188"/>
  <c r="DQ35" i="188"/>
  <c r="DP35" i="188"/>
  <c r="DO35" i="188"/>
  <c r="DN35" i="188"/>
  <c r="DM35" i="188"/>
  <c r="CX35" i="188"/>
  <c r="CW35" i="188"/>
  <c r="CV35" i="188"/>
  <c r="CU35" i="188"/>
  <c r="CT35" i="188"/>
  <c r="CS35" i="188"/>
  <c r="CR35" i="188"/>
  <c r="CQ35" i="188"/>
  <c r="CP35" i="188"/>
  <c r="CO35" i="188"/>
  <c r="CN35" i="188"/>
  <c r="CM35" i="188"/>
  <c r="BX35" i="188"/>
  <c r="BW35" i="188"/>
  <c r="BV35" i="188"/>
  <c r="BU35" i="188"/>
  <c r="BT35" i="188"/>
  <c r="BS35" i="188"/>
  <c r="BR35" i="188"/>
  <c r="BQ35" i="188"/>
  <c r="BP35" i="188"/>
  <c r="BO35" i="188"/>
  <c r="BN35" i="188"/>
  <c r="BM35" i="188"/>
  <c r="BK35" i="188"/>
  <c r="BJ35" i="188"/>
  <c r="BI35" i="188"/>
  <c r="BH35" i="188"/>
  <c r="BG35" i="188"/>
  <c r="BF35" i="188"/>
  <c r="BE35" i="188"/>
  <c r="BD35" i="188"/>
  <c r="BC35" i="188"/>
  <c r="BB35" i="188"/>
  <c r="BA35" i="188"/>
  <c r="AZ35" i="188"/>
  <c r="AY35" i="188"/>
  <c r="AK35" i="188"/>
  <c r="AJ35" i="188"/>
  <c r="AI35" i="188"/>
  <c r="AH35" i="188"/>
  <c r="AG35" i="188"/>
  <c r="AF35" i="188"/>
  <c r="AD35" i="188"/>
  <c r="AC35" i="188"/>
  <c r="AA35" i="188"/>
  <c r="Z35" i="188"/>
  <c r="Y35" i="188"/>
  <c r="I35" i="188"/>
  <c r="DX34" i="188"/>
  <c r="DW34" i="188"/>
  <c r="DV34" i="188"/>
  <c r="DU34" i="188"/>
  <c r="DT34" i="188"/>
  <c r="DS34" i="188"/>
  <c r="DR34" i="188"/>
  <c r="DQ34" i="188"/>
  <c r="DP34" i="188"/>
  <c r="DO34" i="188"/>
  <c r="DN34" i="188"/>
  <c r="DM34" i="188"/>
  <c r="CX34" i="188"/>
  <c r="CW34" i="188"/>
  <c r="CV34" i="188"/>
  <c r="CU34" i="188"/>
  <c r="CT34" i="188"/>
  <c r="CS34" i="188"/>
  <c r="CR34" i="188"/>
  <c r="CQ34" i="188"/>
  <c r="CP34" i="188"/>
  <c r="CO34" i="188"/>
  <c r="CN34" i="188"/>
  <c r="CM34" i="188"/>
  <c r="BX34" i="188"/>
  <c r="BW34" i="188"/>
  <c r="BV34" i="188"/>
  <c r="BU34" i="188"/>
  <c r="BT34" i="188"/>
  <c r="BS34" i="188"/>
  <c r="BR34" i="188"/>
  <c r="BQ34" i="188"/>
  <c r="BP34" i="188"/>
  <c r="BO34" i="188"/>
  <c r="BN34" i="188"/>
  <c r="BM34" i="188"/>
  <c r="BK34" i="188"/>
  <c r="BJ34" i="188"/>
  <c r="BI34" i="188"/>
  <c r="BH34" i="188"/>
  <c r="BG34" i="188"/>
  <c r="BF34" i="188"/>
  <c r="BE34" i="188"/>
  <c r="BD34" i="188"/>
  <c r="BC34" i="188"/>
  <c r="BB34" i="188"/>
  <c r="BA34" i="188"/>
  <c r="AZ34" i="188"/>
  <c r="AY34" i="188"/>
  <c r="AK34" i="188"/>
  <c r="AJ34" i="188"/>
  <c r="AI34" i="188"/>
  <c r="AH34" i="188"/>
  <c r="AG34" i="188"/>
  <c r="AF34" i="188"/>
  <c r="AD34" i="188"/>
  <c r="AC34" i="188"/>
  <c r="AA34" i="188"/>
  <c r="Z34" i="188"/>
  <c r="Y34" i="188"/>
  <c r="I34" i="188"/>
  <c r="DY33" i="188"/>
  <c r="CY33" i="188"/>
  <c r="BY33" i="188"/>
  <c r="AX33" i="188"/>
  <c r="AW33" i="188"/>
  <c r="AV33" i="188"/>
  <c r="AU33" i="188"/>
  <c r="AT33" i="188"/>
  <c r="AS33" i="188"/>
  <c r="AR33" i="188"/>
  <c r="AQ33" i="188"/>
  <c r="AP33" i="188"/>
  <c r="AO33" i="188"/>
  <c r="AN33" i="188"/>
  <c r="AM33" i="188"/>
  <c r="AK33" i="188"/>
  <c r="AJ33" i="188"/>
  <c r="AI33" i="188"/>
  <c r="AH33" i="188"/>
  <c r="AG33" i="188"/>
  <c r="AF33" i="188"/>
  <c r="AD33" i="188"/>
  <c r="AC33" i="188"/>
  <c r="Y33" i="188"/>
  <c r="H33" i="188"/>
  <c r="DY32" i="188"/>
  <c r="CY32" i="188"/>
  <c r="BY32" i="188"/>
  <c r="AX32" i="188"/>
  <c r="AW32" i="188"/>
  <c r="AV32" i="188"/>
  <c r="AU32" i="188"/>
  <c r="AT32" i="188"/>
  <c r="AS32" i="188"/>
  <c r="AR32" i="188"/>
  <c r="AQ32" i="188"/>
  <c r="AP32" i="188"/>
  <c r="AO32" i="188"/>
  <c r="AN32" i="188"/>
  <c r="AM32" i="188"/>
  <c r="AK32" i="188"/>
  <c r="AJ32" i="188"/>
  <c r="AI32" i="188"/>
  <c r="AH32" i="188"/>
  <c r="AG32" i="188"/>
  <c r="AF32" i="188"/>
  <c r="AD32" i="188"/>
  <c r="S32" i="188"/>
  <c r="Q32" i="188"/>
  <c r="Q74" i="188" s="1"/>
  <c r="H32" i="188"/>
  <c r="I32" i="188" s="1"/>
  <c r="DY31" i="188"/>
  <c r="CY31" i="188"/>
  <c r="BY31" i="188"/>
  <c r="AX31" i="188"/>
  <c r="AW31" i="188"/>
  <c r="AV31" i="188"/>
  <c r="AU31" i="188"/>
  <c r="AT31" i="188"/>
  <c r="AS31" i="188"/>
  <c r="AR31" i="188"/>
  <c r="AQ31" i="188"/>
  <c r="AP31" i="188"/>
  <c r="AO31" i="188"/>
  <c r="AN31" i="188"/>
  <c r="AM31" i="188"/>
  <c r="AK31" i="188"/>
  <c r="AJ31" i="188"/>
  <c r="AI31" i="188"/>
  <c r="AH31" i="188"/>
  <c r="AG31" i="188"/>
  <c r="AF31" i="188"/>
  <c r="Y31" i="188"/>
  <c r="H31" i="188"/>
  <c r="DY30" i="188"/>
  <c r="CY30" i="188"/>
  <c r="BY30" i="188"/>
  <c r="AX30" i="188"/>
  <c r="AW30" i="188"/>
  <c r="AV30" i="188"/>
  <c r="AU30" i="188"/>
  <c r="AT30" i="188"/>
  <c r="AS30" i="188"/>
  <c r="AR30" i="188"/>
  <c r="AQ30" i="188"/>
  <c r="AP30" i="188"/>
  <c r="AO30" i="188"/>
  <c r="AN30" i="188"/>
  <c r="AM30" i="188"/>
  <c r="AK30" i="188"/>
  <c r="AJ30" i="188"/>
  <c r="AI30" i="188"/>
  <c r="AH30" i="188"/>
  <c r="AG30" i="188"/>
  <c r="AF30" i="188"/>
  <c r="AD30" i="188"/>
  <c r="AC30" i="188"/>
  <c r="Y30" i="188"/>
  <c r="H30" i="188"/>
  <c r="EA29" i="188"/>
  <c r="DZ29" i="188"/>
  <c r="DV29" i="188"/>
  <c r="CV29" i="188"/>
  <c r="BX29" i="188"/>
  <c r="BV29" i="188"/>
  <c r="BS29" i="188"/>
  <c r="BQ29" i="188"/>
  <c r="AV29" i="188"/>
  <c r="AF29" i="188"/>
  <c r="AE29" i="188"/>
  <c r="AC29" i="188"/>
  <c r="X29" i="188"/>
  <c r="W29" i="188"/>
  <c r="V29" i="188"/>
  <c r="U29" i="188"/>
  <c r="T29" i="188"/>
  <c r="R29" i="188"/>
  <c r="Q29" i="188"/>
  <c r="P29" i="188"/>
  <c r="O29" i="188"/>
  <c r="N29" i="188"/>
  <c r="M29" i="188"/>
  <c r="EK28" i="188"/>
  <c r="EI28" i="188"/>
  <c r="EF28" i="188"/>
  <c r="ED28" i="188"/>
  <c r="DK28" i="188"/>
  <c r="DI28" i="188"/>
  <c r="DF28" i="188"/>
  <c r="DD28" i="188"/>
  <c r="CK28" i="188"/>
  <c r="CI28" i="188"/>
  <c r="CF28" i="188"/>
  <c r="CD28" i="188"/>
  <c r="BK28" i="188"/>
  <c r="BI28" i="188"/>
  <c r="BF28" i="188"/>
  <c r="BD28" i="188"/>
  <c r="AW28" i="188"/>
  <c r="BW28" i="188" s="1"/>
  <c r="CW28" i="188" s="1"/>
  <c r="AU28" i="188"/>
  <c r="BH28" i="188" s="1"/>
  <c r="AT28" i="188"/>
  <c r="AR28" i="188"/>
  <c r="BR28" i="188" s="1"/>
  <c r="BR29" i="188" s="1"/>
  <c r="AP28" i="188"/>
  <c r="BC28" i="188" s="1"/>
  <c r="AO28" i="188"/>
  <c r="BB28" i="188" s="1"/>
  <c r="AN28" i="188"/>
  <c r="AM28" i="188"/>
  <c r="BM28" i="188" s="1"/>
  <c r="AK28" i="188"/>
  <c r="AJ28" i="188"/>
  <c r="AI28" i="188"/>
  <c r="AH28" i="188"/>
  <c r="AD28" i="188"/>
  <c r="AB28" i="188"/>
  <c r="AB29" i="188" s="1"/>
  <c r="Y28" i="188"/>
  <c r="EK27" i="188"/>
  <c r="EI27" i="188"/>
  <c r="EG27" i="188"/>
  <c r="EF27" i="188"/>
  <c r="EE27" i="188"/>
  <c r="ED27" i="188"/>
  <c r="EC27" i="188"/>
  <c r="EB27" i="188"/>
  <c r="DK27" i="188"/>
  <c r="DI27" i="188"/>
  <c r="DG27" i="188"/>
  <c r="DF27" i="188"/>
  <c r="DE27" i="188"/>
  <c r="DD27" i="188"/>
  <c r="DC27" i="188"/>
  <c r="DB27" i="188"/>
  <c r="DA27" i="188"/>
  <c r="CZ27" i="188"/>
  <c r="CK27" i="188"/>
  <c r="CI27" i="188"/>
  <c r="CG27" i="188"/>
  <c r="CF27" i="188"/>
  <c r="CE27" i="188"/>
  <c r="CD27" i="188"/>
  <c r="CC27" i="188"/>
  <c r="CB27" i="188"/>
  <c r="CA27" i="188"/>
  <c r="BZ27" i="188"/>
  <c r="BK27" i="188"/>
  <c r="BI27" i="188"/>
  <c r="BG27" i="188"/>
  <c r="BF27" i="188"/>
  <c r="BE27" i="188"/>
  <c r="BD27" i="188"/>
  <c r="BC27" i="188"/>
  <c r="BB27" i="188"/>
  <c r="BA27" i="188"/>
  <c r="AZ27" i="188"/>
  <c r="AW27" i="188"/>
  <c r="BW27" i="188" s="1"/>
  <c r="CJ27" i="188" s="1"/>
  <c r="AU27" i="188"/>
  <c r="AK27" i="188"/>
  <c r="AJ27" i="188"/>
  <c r="AI27" i="188"/>
  <c r="AH27" i="188"/>
  <c r="AG27" i="188"/>
  <c r="S27" i="188"/>
  <c r="Y27" i="188" s="1"/>
  <c r="EJ26" i="188"/>
  <c r="EI26" i="188"/>
  <c r="EH26" i="188"/>
  <c r="EG26" i="188"/>
  <c r="DP26" i="188"/>
  <c r="DO26" i="188"/>
  <c r="EB26" i="188" s="1"/>
  <c r="DJ26" i="188"/>
  <c r="DI26" i="188"/>
  <c r="DH26" i="188"/>
  <c r="DG26" i="188"/>
  <c r="DC26" i="188"/>
  <c r="DB26" i="188"/>
  <c r="CZ26" i="188"/>
  <c r="CX26" i="188"/>
  <c r="DK26" i="188" s="1"/>
  <c r="CS26" i="188"/>
  <c r="DS26" i="188" s="1"/>
  <c r="CR26" i="188"/>
  <c r="DE26" i="188" s="1"/>
  <c r="CQ26" i="188"/>
  <c r="CN26" i="188"/>
  <c r="CK26" i="188"/>
  <c r="CJ26" i="188"/>
  <c r="CI26" i="188"/>
  <c r="CH26" i="188"/>
  <c r="CG26" i="188"/>
  <c r="CF26" i="188"/>
  <c r="CE26" i="188"/>
  <c r="CD26" i="188"/>
  <c r="CB26" i="188"/>
  <c r="CA26" i="188"/>
  <c r="BZ26" i="188"/>
  <c r="BP26" i="188"/>
  <c r="BY26" i="188" s="1"/>
  <c r="BJ26" i="188"/>
  <c r="BI26" i="188"/>
  <c r="BH26" i="188"/>
  <c r="BG26" i="188"/>
  <c r="BC26" i="188"/>
  <c r="BB26" i="188"/>
  <c r="AZ26" i="188"/>
  <c r="AX26" i="188"/>
  <c r="BK26" i="188" s="1"/>
  <c r="AR26" i="188"/>
  <c r="BE26" i="188" s="1"/>
  <c r="AQ26" i="188"/>
  <c r="BD26" i="188" s="1"/>
  <c r="AN26" i="188"/>
  <c r="BA26" i="188" s="1"/>
  <c r="AK26" i="188"/>
  <c r="AJ26" i="188"/>
  <c r="AI26" i="188"/>
  <c r="AH26" i="188"/>
  <c r="AG26" i="188"/>
  <c r="AD26" i="188"/>
  <c r="AA26" i="188"/>
  <c r="AA29" i="188" s="1"/>
  <c r="Z26" i="188"/>
  <c r="S26" i="188"/>
  <c r="Y26" i="188" s="1"/>
  <c r="EJ25" i="188"/>
  <c r="EI25" i="188"/>
  <c r="EH25" i="188"/>
  <c r="EC25" i="188"/>
  <c r="DT25" i="188"/>
  <c r="EG25" i="188" s="1"/>
  <c r="DS25" i="188"/>
  <c r="EF25" i="188" s="1"/>
  <c r="DR25" i="188"/>
  <c r="EE25" i="188" s="1"/>
  <c r="DJ25" i="188"/>
  <c r="DI25" i="188"/>
  <c r="DH25" i="188"/>
  <c r="DG25" i="188"/>
  <c r="DF25" i="188"/>
  <c r="DE25" i="188"/>
  <c r="DC25" i="188"/>
  <c r="CZ25" i="188"/>
  <c r="CX25" i="188"/>
  <c r="DX25" i="188" s="1"/>
  <c r="EK25" i="188" s="1"/>
  <c r="CQ25" i="188"/>
  <c r="DD25" i="188" s="1"/>
  <c r="CN25" i="188"/>
  <c r="DA25" i="188" s="1"/>
  <c r="CK25" i="188"/>
  <c r="CJ25" i="188"/>
  <c r="CI25" i="188"/>
  <c r="CH25" i="188"/>
  <c r="CG25" i="188"/>
  <c r="CF25" i="188"/>
  <c r="CE25" i="188"/>
  <c r="CD25" i="188"/>
  <c r="CC25" i="188"/>
  <c r="CA25" i="188"/>
  <c r="BZ25" i="188"/>
  <c r="BO25" i="188"/>
  <c r="BJ25" i="188"/>
  <c r="BI25" i="188"/>
  <c r="BH25" i="188"/>
  <c r="BC25" i="188"/>
  <c r="BB25" i="188"/>
  <c r="AZ25" i="188"/>
  <c r="AX25" i="188"/>
  <c r="BK25" i="188" s="1"/>
  <c r="AT25" i="188"/>
  <c r="AS25" i="188"/>
  <c r="BF25" i="188" s="1"/>
  <c r="AR25" i="188"/>
  <c r="BE25" i="188" s="1"/>
  <c r="AQ25" i="188"/>
  <c r="BD25" i="188" s="1"/>
  <c r="AN25" i="188"/>
  <c r="BA25" i="188" s="1"/>
  <c r="AK25" i="188"/>
  <c r="AJ25" i="188"/>
  <c r="AI25" i="188"/>
  <c r="AH25" i="188"/>
  <c r="AG25" i="188"/>
  <c r="Y25" i="188"/>
  <c r="DX24" i="188"/>
  <c r="DW24" i="188"/>
  <c r="DV24" i="188"/>
  <c r="DU24" i="188"/>
  <c r="DT24" i="188"/>
  <c r="DS24" i="188"/>
  <c r="DR24" i="188"/>
  <c r="DQ24" i="188"/>
  <c r="DP24" i="188"/>
  <c r="DO24" i="188"/>
  <c r="DN24" i="188"/>
  <c r="DM24" i="188"/>
  <c r="CX24" i="188"/>
  <c r="CW24" i="188"/>
  <c r="CV24" i="188"/>
  <c r="CU24" i="188"/>
  <c r="CT24" i="188"/>
  <c r="CS24" i="188"/>
  <c r="CR24" i="188"/>
  <c r="CQ24" i="188"/>
  <c r="CP24" i="188"/>
  <c r="CO24" i="188"/>
  <c r="CN24" i="188"/>
  <c r="CM24" i="188"/>
  <c r="BX24" i="188"/>
  <c r="BW24" i="188"/>
  <c r="BV24" i="188"/>
  <c r="BU24" i="188"/>
  <c r="BT24" i="188"/>
  <c r="BS24" i="188"/>
  <c r="BR24" i="188"/>
  <c r="BQ24" i="188"/>
  <c r="BP24" i="188"/>
  <c r="BO24" i="188"/>
  <c r="BN24" i="188"/>
  <c r="BM24" i="188"/>
  <c r="AX24" i="188"/>
  <c r="AW24" i="188"/>
  <c r="AV24" i="188"/>
  <c r="AU24" i="188"/>
  <c r="AT24" i="188"/>
  <c r="AS24" i="188"/>
  <c r="AR24" i="188"/>
  <c r="AQ24" i="188"/>
  <c r="AP24" i="188"/>
  <c r="AO24" i="188"/>
  <c r="AN24" i="188"/>
  <c r="AM24" i="188"/>
  <c r="X24" i="188"/>
  <c r="W24" i="188"/>
  <c r="V24" i="188"/>
  <c r="U24" i="188"/>
  <c r="T24" i="188"/>
  <c r="S24" i="188"/>
  <c r="Q24" i="188"/>
  <c r="P24" i="188"/>
  <c r="O24" i="188"/>
  <c r="N24" i="188"/>
  <c r="M24" i="188"/>
  <c r="EL23" i="188"/>
  <c r="DY23" i="188"/>
  <c r="DL23" i="188"/>
  <c r="CY23" i="188"/>
  <c r="CL23" i="188"/>
  <c r="BY23" i="188"/>
  <c r="BL23" i="188"/>
  <c r="AY23" i="188"/>
  <c r="AK23" i="188"/>
  <c r="AJ23" i="188"/>
  <c r="AI23" i="188"/>
  <c r="AH23" i="188"/>
  <c r="AG23" i="188"/>
  <c r="AF23" i="188"/>
  <c r="AE23" i="188"/>
  <c r="AE24" i="188" s="1"/>
  <c r="AD23" i="188"/>
  <c r="AD24" i="188" s="1"/>
  <c r="AC23" i="188"/>
  <c r="AC24" i="188" s="1"/>
  <c r="AB23" i="188"/>
  <c r="AB24" i="188" s="1"/>
  <c r="AA23" i="188"/>
  <c r="Z23" i="188"/>
  <c r="Z24" i="188" s="1"/>
  <c r="Y23" i="188"/>
  <c r="EL22" i="188"/>
  <c r="DY22" i="188"/>
  <c r="DL22" i="188"/>
  <c r="CY22" i="188"/>
  <c r="CL22" i="188"/>
  <c r="BY22" i="188"/>
  <c r="BL22" i="188"/>
  <c r="AY22" i="188"/>
  <c r="AK22" i="188"/>
  <c r="AJ22" i="188"/>
  <c r="AI22" i="188"/>
  <c r="AH22" i="188"/>
  <c r="AG22" i="188"/>
  <c r="AF22" i="188"/>
  <c r="R22" i="188"/>
  <c r="Y22" i="188" s="1"/>
  <c r="EL21" i="188"/>
  <c r="DY21" i="188"/>
  <c r="DL21" i="188"/>
  <c r="CY21" i="188"/>
  <c r="CL21" i="188"/>
  <c r="BY21" i="188"/>
  <c r="BL21" i="188"/>
  <c r="AY21" i="188"/>
  <c r="AK21" i="188"/>
  <c r="AJ21" i="188"/>
  <c r="AI21" i="188"/>
  <c r="AH21" i="188"/>
  <c r="AG21" i="188"/>
  <c r="AF21" i="188"/>
  <c r="Y21" i="188"/>
  <c r="K21" i="188"/>
  <c r="DY20" i="188"/>
  <c r="DK20" i="188"/>
  <c r="DJ20" i="188"/>
  <c r="DI20" i="188"/>
  <c r="DH20" i="188"/>
  <c r="DG20" i="188"/>
  <c r="DF20" i="188"/>
  <c r="DE20" i="188"/>
  <c r="DD20" i="188"/>
  <c r="DC20" i="188"/>
  <c r="DB20" i="188"/>
  <c r="DA20" i="188"/>
  <c r="CZ20" i="188"/>
  <c r="CY20" i="188"/>
  <c r="CK20" i="188"/>
  <c r="CJ20" i="188"/>
  <c r="CI20" i="188"/>
  <c r="CH20" i="188"/>
  <c r="CG20" i="188"/>
  <c r="CF20" i="188"/>
  <c r="CE20" i="188"/>
  <c r="CD20" i="188"/>
  <c r="CC20" i="188"/>
  <c r="CB20" i="188"/>
  <c r="CA20" i="188"/>
  <c r="BZ20" i="188"/>
  <c r="BY20" i="188"/>
  <c r="BK20" i="188"/>
  <c r="BJ20" i="188"/>
  <c r="BI20" i="188"/>
  <c r="BH20" i="188"/>
  <c r="BG20" i="188"/>
  <c r="BF20" i="188"/>
  <c r="BE20" i="188"/>
  <c r="BD20" i="188"/>
  <c r="BC20" i="188"/>
  <c r="BB20" i="188"/>
  <c r="BA20" i="188"/>
  <c r="AZ20" i="188"/>
  <c r="AY20" i="188"/>
  <c r="AK20" i="188"/>
  <c r="AJ20" i="188"/>
  <c r="AI20" i="188"/>
  <c r="AH20" i="188"/>
  <c r="AG20" i="188"/>
  <c r="AF20" i="188"/>
  <c r="Y20" i="188"/>
  <c r="K20" i="188"/>
  <c r="EB20" i="188" s="1"/>
  <c r="DY19" i="188"/>
  <c r="DK19" i="188"/>
  <c r="DJ19" i="188"/>
  <c r="DI19" i="188"/>
  <c r="DH19" i="188"/>
  <c r="DG19" i="188"/>
  <c r="DF19" i="188"/>
  <c r="DE19" i="188"/>
  <c r="DD19" i="188"/>
  <c r="DC19" i="188"/>
  <c r="DB19" i="188"/>
  <c r="DA19" i="188"/>
  <c r="CZ19" i="188"/>
  <c r="CY19" i="188"/>
  <c r="CK19" i="188"/>
  <c r="CJ19" i="188"/>
  <c r="CI19" i="188"/>
  <c r="CH19" i="188"/>
  <c r="CG19" i="188"/>
  <c r="CF19" i="188"/>
  <c r="CE19" i="188"/>
  <c r="CD19" i="188"/>
  <c r="CC19" i="188"/>
  <c r="CB19" i="188"/>
  <c r="CA19" i="188"/>
  <c r="BZ19" i="188"/>
  <c r="BY19" i="188"/>
  <c r="BK19" i="188"/>
  <c r="BJ19" i="188"/>
  <c r="BI19" i="188"/>
  <c r="BH19" i="188"/>
  <c r="BG19" i="188"/>
  <c r="BF19" i="188"/>
  <c r="BE19" i="188"/>
  <c r="BD19" i="188"/>
  <c r="BC19" i="188"/>
  <c r="BB19" i="188"/>
  <c r="BA19" i="188"/>
  <c r="AZ19" i="188"/>
  <c r="AY19" i="188"/>
  <c r="AK19" i="188"/>
  <c r="AJ19" i="188"/>
  <c r="AI19" i="188"/>
  <c r="AH19" i="188"/>
  <c r="AG19" i="188"/>
  <c r="AF19" i="188"/>
  <c r="Y19" i="188"/>
  <c r="K19" i="188"/>
  <c r="EF19" i="188" s="1"/>
  <c r="DY18" i="188"/>
  <c r="DK18" i="188"/>
  <c r="DJ18" i="188"/>
  <c r="DI18" i="188"/>
  <c r="DH18" i="188"/>
  <c r="DG18" i="188"/>
  <c r="DF18" i="188"/>
  <c r="DE18" i="188"/>
  <c r="DD18" i="188"/>
  <c r="DC18" i="188"/>
  <c r="DB18" i="188"/>
  <c r="DA18" i="188"/>
  <c r="CZ18" i="188"/>
  <c r="CY18" i="188"/>
  <c r="CK18" i="188"/>
  <c r="CJ18" i="188"/>
  <c r="CI18" i="188"/>
  <c r="CH18" i="188"/>
  <c r="CG18" i="188"/>
  <c r="CF18" i="188"/>
  <c r="CE18" i="188"/>
  <c r="CD18" i="188"/>
  <c r="CC18" i="188"/>
  <c r="CB18" i="188"/>
  <c r="CA18" i="188"/>
  <c r="BZ18" i="188"/>
  <c r="BY18" i="188"/>
  <c r="BK18" i="188"/>
  <c r="BJ18" i="188"/>
  <c r="BI18" i="188"/>
  <c r="BH18" i="188"/>
  <c r="BG18" i="188"/>
  <c r="BF18" i="188"/>
  <c r="BE18" i="188"/>
  <c r="BD18" i="188"/>
  <c r="BC18" i="188"/>
  <c r="BB18" i="188"/>
  <c r="BA18" i="188"/>
  <c r="AZ18" i="188"/>
  <c r="AY18" i="188"/>
  <c r="AK18" i="188"/>
  <c r="AJ18" i="188"/>
  <c r="AI18" i="188"/>
  <c r="AH18" i="188"/>
  <c r="AG18" i="188"/>
  <c r="AF18" i="188"/>
  <c r="Y18" i="188"/>
  <c r="K18" i="188"/>
  <c r="EB18" i="188" s="1"/>
  <c r="DY17" i="188"/>
  <c r="DK17" i="188"/>
  <c r="DJ17" i="188"/>
  <c r="DI17" i="188"/>
  <c r="DH17" i="188"/>
  <c r="DG17" i="188"/>
  <c r="DF17" i="188"/>
  <c r="DE17" i="188"/>
  <c r="DD17" i="188"/>
  <c r="DC17" i="188"/>
  <c r="DB17" i="188"/>
  <c r="DA17" i="188"/>
  <c r="CZ17" i="188"/>
  <c r="CY17" i="188"/>
  <c r="CK17" i="188"/>
  <c r="CJ17" i="188"/>
  <c r="CI17" i="188"/>
  <c r="CH17" i="188"/>
  <c r="CG17" i="188"/>
  <c r="CF17" i="188"/>
  <c r="CE17" i="188"/>
  <c r="CD17" i="188"/>
  <c r="CC17" i="188"/>
  <c r="CB17" i="188"/>
  <c r="CA17" i="188"/>
  <c r="BZ17" i="188"/>
  <c r="BY17" i="188"/>
  <c r="BK17" i="188"/>
  <c r="BJ17" i="188"/>
  <c r="BI17" i="188"/>
  <c r="BH17" i="188"/>
  <c r="BG17" i="188"/>
  <c r="BF17" i="188"/>
  <c r="BE17" i="188"/>
  <c r="BD17" i="188"/>
  <c r="BC17" i="188"/>
  <c r="BB17" i="188"/>
  <c r="BA17" i="188"/>
  <c r="AZ17" i="188"/>
  <c r="AY17" i="188"/>
  <c r="AK17" i="188"/>
  <c r="AJ17" i="188"/>
  <c r="AI17" i="188"/>
  <c r="AH17" i="188"/>
  <c r="AG17" i="188"/>
  <c r="AF17" i="188"/>
  <c r="Y17" i="188"/>
  <c r="K17" i="188"/>
  <c r="EA17" i="188" s="1"/>
  <c r="DY16" i="188"/>
  <c r="DK16" i="188"/>
  <c r="DJ16" i="188"/>
  <c r="DI16" i="188"/>
  <c r="DH16" i="188"/>
  <c r="DG16" i="188"/>
  <c r="DF16" i="188"/>
  <c r="DE16" i="188"/>
  <c r="DD16" i="188"/>
  <c r="DC16" i="188"/>
  <c r="DB16" i="188"/>
  <c r="DA16" i="188"/>
  <c r="CZ16" i="188"/>
  <c r="CY16" i="188"/>
  <c r="CK16" i="188"/>
  <c r="CJ16" i="188"/>
  <c r="CI16" i="188"/>
  <c r="CH16" i="188"/>
  <c r="CG16" i="188"/>
  <c r="CF16" i="188"/>
  <c r="CE16" i="188"/>
  <c r="CD16" i="188"/>
  <c r="CC16" i="188"/>
  <c r="CB16" i="188"/>
  <c r="CA16" i="188"/>
  <c r="BZ16" i="188"/>
  <c r="BY16" i="188"/>
  <c r="BK16" i="188"/>
  <c r="BJ16" i="188"/>
  <c r="BI16" i="188"/>
  <c r="BH16" i="188"/>
  <c r="BG16" i="188"/>
  <c r="BF16" i="188"/>
  <c r="BE16" i="188"/>
  <c r="BD16" i="188"/>
  <c r="BC16" i="188"/>
  <c r="BB16" i="188"/>
  <c r="BA16" i="188"/>
  <c r="AZ16" i="188"/>
  <c r="AY16" i="188"/>
  <c r="AK16" i="188"/>
  <c r="AJ16" i="188"/>
  <c r="AI16" i="188"/>
  <c r="AH16" i="188"/>
  <c r="AG16" i="188"/>
  <c r="AF16" i="188"/>
  <c r="Y16" i="188"/>
  <c r="K16" i="188"/>
  <c r="EK15" i="188"/>
  <c r="EJ15" i="188"/>
  <c r="EI15" i="188"/>
  <c r="EH15" i="188"/>
  <c r="EG15" i="188"/>
  <c r="EF15" i="188"/>
  <c r="EE15" i="188"/>
  <c r="ED15" i="188"/>
  <c r="EC15" i="188"/>
  <c r="EB15" i="188"/>
  <c r="EA15" i="188"/>
  <c r="DZ15" i="188"/>
  <c r="DY15" i="188"/>
  <c r="DK15" i="188"/>
  <c r="DJ15" i="188"/>
  <c r="DI15" i="188"/>
  <c r="DH15" i="188"/>
  <c r="DG15" i="188"/>
  <c r="DF15" i="188"/>
  <c r="DE15" i="188"/>
  <c r="DD15" i="188"/>
  <c r="DC15" i="188"/>
  <c r="DB15" i="188"/>
  <c r="DA15" i="188"/>
  <c r="CZ15" i="188"/>
  <c r="CY15" i="188"/>
  <c r="CK15" i="188"/>
  <c r="CJ15" i="188"/>
  <c r="CI15" i="188"/>
  <c r="CH15" i="188"/>
  <c r="CG15" i="188"/>
  <c r="CF15" i="188"/>
  <c r="CE15" i="188"/>
  <c r="CD15" i="188"/>
  <c r="CC15" i="188"/>
  <c r="CB15" i="188"/>
  <c r="CA15" i="188"/>
  <c r="BZ15" i="188"/>
  <c r="BY15" i="188"/>
  <c r="BK15" i="188"/>
  <c r="BJ15" i="188"/>
  <c r="BI15" i="188"/>
  <c r="BH15" i="188"/>
  <c r="BG15" i="188"/>
  <c r="BF15" i="188"/>
  <c r="BE15" i="188"/>
  <c r="BD15" i="188"/>
  <c r="BC15" i="188"/>
  <c r="BB15" i="188"/>
  <c r="BA15" i="188"/>
  <c r="AZ15" i="188"/>
  <c r="AY15" i="188"/>
  <c r="AK15" i="188"/>
  <c r="AJ15" i="188"/>
  <c r="AI15" i="188"/>
  <c r="AH15" i="188"/>
  <c r="AG15" i="188"/>
  <c r="AF15" i="188"/>
  <c r="Y15" i="188"/>
  <c r="DP14" i="188"/>
  <c r="DO14" i="188"/>
  <c r="DN14" i="188"/>
  <c r="DM14" i="188"/>
  <c r="CP14" i="188"/>
  <c r="CO14" i="188"/>
  <c r="CN14" i="188"/>
  <c r="CM14" i="188"/>
  <c r="BP14" i="188"/>
  <c r="BO14" i="188"/>
  <c r="BN14" i="188"/>
  <c r="BM14" i="188"/>
  <c r="AX14" i="188"/>
  <c r="AW14" i="188"/>
  <c r="AV14" i="188"/>
  <c r="AU14" i="188"/>
  <c r="AT14" i="188"/>
  <c r="AS14" i="188"/>
  <c r="AR14" i="188"/>
  <c r="AQ14" i="188"/>
  <c r="AP14" i="188"/>
  <c r="AO14" i="188"/>
  <c r="AN14" i="188"/>
  <c r="AM14" i="188"/>
  <c r="X14" i="188"/>
  <c r="W14" i="188"/>
  <c r="V14" i="188"/>
  <c r="U14" i="188"/>
  <c r="T14" i="188"/>
  <c r="S14" i="188"/>
  <c r="R14" i="188"/>
  <c r="Q14" i="188"/>
  <c r="P14" i="188"/>
  <c r="O14" i="188"/>
  <c r="N14" i="188"/>
  <c r="M14" i="188"/>
  <c r="DY13" i="188"/>
  <c r="CY13" i="188"/>
  <c r="BY13" i="188"/>
  <c r="AY13" i="188"/>
  <c r="AJ13" i="188"/>
  <c r="AI13" i="188"/>
  <c r="AH13" i="188"/>
  <c r="AG13" i="188"/>
  <c r="AF13" i="188"/>
  <c r="AE13" i="188"/>
  <c r="AD13" i="188"/>
  <c r="AC13" i="188"/>
  <c r="AB13" i="188"/>
  <c r="AA13" i="188"/>
  <c r="Z13" i="188"/>
  <c r="Y13" i="188"/>
  <c r="H13" i="188"/>
  <c r="DX12" i="188"/>
  <c r="DW12" i="188"/>
  <c r="DW14" i="188" s="1"/>
  <c r="DV12" i="188"/>
  <c r="DV14" i="188" s="1"/>
  <c r="DU12" i="188"/>
  <c r="DU14" i="188" s="1"/>
  <c r="DT12" i="188"/>
  <c r="DT14" i="188" s="1"/>
  <c r="DS12" i="188"/>
  <c r="DS14" i="188" s="1"/>
  <c r="DR12" i="188"/>
  <c r="DR14" i="188" s="1"/>
  <c r="DQ12" i="188"/>
  <c r="DQ14" i="188" s="1"/>
  <c r="CX12" i="188"/>
  <c r="CX14" i="188" s="1"/>
  <c r="CW12" i="188"/>
  <c r="CW14" i="188" s="1"/>
  <c r="CV12" i="188"/>
  <c r="CV14" i="188" s="1"/>
  <c r="CU12" i="188"/>
  <c r="CU14" i="188" s="1"/>
  <c r="CT12" i="188"/>
  <c r="CT14" i="188" s="1"/>
  <c r="CS12" i="188"/>
  <c r="CS14" i="188" s="1"/>
  <c r="CR12" i="188"/>
  <c r="CR14" i="188" s="1"/>
  <c r="CQ12" i="188"/>
  <c r="CQ14" i="188" s="1"/>
  <c r="BX12" i="188"/>
  <c r="BX14" i="188" s="1"/>
  <c r="BW12" i="188"/>
  <c r="BW14" i="188" s="1"/>
  <c r="BV12" i="188"/>
  <c r="BU12" i="188"/>
  <c r="BU14" i="188" s="1"/>
  <c r="BT12" i="188"/>
  <c r="BT14" i="188" s="1"/>
  <c r="BS12" i="188"/>
  <c r="BR12" i="188"/>
  <c r="BR14" i="188" s="1"/>
  <c r="BQ12" i="188"/>
  <c r="BQ14" i="188" s="1"/>
  <c r="AY12" i="188"/>
  <c r="AJ12" i="188"/>
  <c r="AI12" i="188"/>
  <c r="AH12" i="188"/>
  <c r="AG12" i="188"/>
  <c r="AF12" i="188"/>
  <c r="AE12" i="188"/>
  <c r="AD12" i="188"/>
  <c r="AC12" i="188"/>
  <c r="AB12" i="188"/>
  <c r="AA12" i="188"/>
  <c r="Z12" i="188"/>
  <c r="Y12" i="188"/>
  <c r="H12" i="188"/>
  <c r="EK11" i="188"/>
  <c r="EJ11" i="188"/>
  <c r="EI11" i="188"/>
  <c r="EH11" i="188"/>
  <c r="EG11" i="188"/>
  <c r="EF11" i="188"/>
  <c r="EE11" i="188"/>
  <c r="ED11" i="188"/>
  <c r="EC11" i="188"/>
  <c r="EB11" i="188"/>
  <c r="EA11" i="188"/>
  <c r="DZ11" i="188"/>
  <c r="DY11" i="188"/>
  <c r="DK11" i="188"/>
  <c r="DJ11" i="188"/>
  <c r="DI11" i="188"/>
  <c r="DH11" i="188"/>
  <c r="DG11" i="188"/>
  <c r="DF11" i="188"/>
  <c r="DE11" i="188"/>
  <c r="DD11" i="188"/>
  <c r="DC11" i="188"/>
  <c r="DB11" i="188"/>
  <c r="DA11" i="188"/>
  <c r="CZ11" i="188"/>
  <c r="CY11" i="188"/>
  <c r="CK11" i="188"/>
  <c r="CJ11" i="188"/>
  <c r="CI11" i="188"/>
  <c r="CH11" i="188"/>
  <c r="CG11" i="188"/>
  <c r="CF11" i="188"/>
  <c r="CE11" i="188"/>
  <c r="CD11" i="188"/>
  <c r="CC11" i="188"/>
  <c r="CB11" i="188"/>
  <c r="CA11" i="188"/>
  <c r="BZ11" i="188"/>
  <c r="BY11" i="188"/>
  <c r="AY11" i="188"/>
  <c r="AD11" i="188"/>
  <c r="AC11" i="188"/>
  <c r="AB11" i="188"/>
  <c r="AA11" i="188"/>
  <c r="Z11" i="188"/>
  <c r="Y11" i="188"/>
  <c r="F11" i="188"/>
  <c r="EK10" i="188"/>
  <c r="EJ10" i="188"/>
  <c r="EI10" i="188"/>
  <c r="EH10" i="188"/>
  <c r="EG10" i="188"/>
  <c r="EF10" i="188"/>
  <c r="EE10" i="188"/>
  <c r="ED10" i="188"/>
  <c r="EC10" i="188"/>
  <c r="EB10" i="188"/>
  <c r="EA10" i="188"/>
  <c r="DZ10" i="188"/>
  <c r="DY10" i="188"/>
  <c r="DK10" i="188"/>
  <c r="DJ10" i="188"/>
  <c r="DI10" i="188"/>
  <c r="DH10" i="188"/>
  <c r="DG10" i="188"/>
  <c r="DF10" i="188"/>
  <c r="DE10" i="188"/>
  <c r="DD10" i="188"/>
  <c r="DC10" i="188"/>
  <c r="DB10" i="188"/>
  <c r="DA10" i="188"/>
  <c r="CZ10" i="188"/>
  <c r="CY10" i="188"/>
  <c r="CK10" i="188"/>
  <c r="CJ10" i="188"/>
  <c r="CI10" i="188"/>
  <c r="CH10" i="188"/>
  <c r="CG10" i="188"/>
  <c r="CF10" i="188"/>
  <c r="CE10" i="188"/>
  <c r="CD10" i="188"/>
  <c r="CC10" i="188"/>
  <c r="CB10" i="188"/>
  <c r="CA10" i="188"/>
  <c r="BZ10" i="188"/>
  <c r="BY10" i="188"/>
  <c r="AY10" i="188"/>
  <c r="AG10" i="188"/>
  <c r="AF10" i="188"/>
  <c r="AE10" i="188"/>
  <c r="AD10" i="188"/>
  <c r="Y10" i="188"/>
  <c r="G10" i="188"/>
  <c r="AI10" i="188" s="1"/>
  <c r="EK9" i="188"/>
  <c r="EJ9" i="188"/>
  <c r="EI9" i="188"/>
  <c r="EH9" i="188"/>
  <c r="EG9" i="188"/>
  <c r="EF9" i="188"/>
  <c r="EE9" i="188"/>
  <c r="ED9" i="188"/>
  <c r="EC9" i="188"/>
  <c r="EB9" i="188"/>
  <c r="EA9" i="188"/>
  <c r="DZ9" i="188"/>
  <c r="DY9" i="188"/>
  <c r="DK9" i="188"/>
  <c r="DJ9" i="188"/>
  <c r="DI9" i="188"/>
  <c r="DH9" i="188"/>
  <c r="DG9" i="188"/>
  <c r="DF9" i="188"/>
  <c r="DE9" i="188"/>
  <c r="DD9" i="188"/>
  <c r="DC9" i="188"/>
  <c r="DB9" i="188"/>
  <c r="DA9" i="188"/>
  <c r="CZ9" i="188"/>
  <c r="CY9" i="188"/>
  <c r="CK9" i="188"/>
  <c r="CJ9" i="188"/>
  <c r="CI9" i="188"/>
  <c r="CH9" i="188"/>
  <c r="CG9" i="188"/>
  <c r="CF9" i="188"/>
  <c r="CE9" i="188"/>
  <c r="CD9" i="188"/>
  <c r="CC9" i="188"/>
  <c r="CB9" i="188"/>
  <c r="CA9" i="188"/>
  <c r="BZ9" i="188"/>
  <c r="BY9" i="188"/>
  <c r="AY9" i="188"/>
  <c r="AA9" i="188"/>
  <c r="Z9" i="188"/>
  <c r="Y9" i="188"/>
  <c r="E9" i="188"/>
  <c r="EK8" i="188"/>
  <c r="EJ8" i="188"/>
  <c r="EI8" i="188"/>
  <c r="EH8" i="188"/>
  <c r="EG8" i="188"/>
  <c r="EF8" i="188"/>
  <c r="EE8" i="188"/>
  <c r="ED8" i="188"/>
  <c r="EC8" i="188"/>
  <c r="EB8" i="188"/>
  <c r="EA8" i="188"/>
  <c r="DZ8" i="188"/>
  <c r="DY8" i="188"/>
  <c r="DK8" i="188"/>
  <c r="DJ8" i="188"/>
  <c r="DI8" i="188"/>
  <c r="DH8" i="188"/>
  <c r="DG8" i="188"/>
  <c r="DF8" i="188"/>
  <c r="DE8" i="188"/>
  <c r="DD8" i="188"/>
  <c r="DC8" i="188"/>
  <c r="DB8" i="188"/>
  <c r="DA8" i="188"/>
  <c r="CZ8" i="188"/>
  <c r="CY8" i="188"/>
  <c r="CK8" i="188"/>
  <c r="CJ8" i="188"/>
  <c r="CI8" i="188"/>
  <c r="CH8" i="188"/>
  <c r="CG8" i="188"/>
  <c r="CF8" i="188"/>
  <c r="CE8" i="188"/>
  <c r="CD8" i="188"/>
  <c r="CC8" i="188"/>
  <c r="CB8" i="188"/>
  <c r="CA8" i="188"/>
  <c r="BZ8" i="188"/>
  <c r="BY8" i="188"/>
  <c r="AY8" i="188"/>
  <c r="AA8" i="188"/>
  <c r="Z8" i="188"/>
  <c r="Y8" i="188"/>
  <c r="E8" i="188"/>
  <c r="F8" i="188" s="1"/>
  <c r="EK7" i="188"/>
  <c r="EJ7" i="188"/>
  <c r="EI7" i="188"/>
  <c r="EH7" i="188"/>
  <c r="EG7" i="188"/>
  <c r="EF7" i="188"/>
  <c r="EE7" i="188"/>
  <c r="ED7" i="188"/>
  <c r="EC7" i="188"/>
  <c r="EB7" i="188"/>
  <c r="EA7" i="188"/>
  <c r="DZ7" i="188"/>
  <c r="DY7" i="188"/>
  <c r="DK7" i="188"/>
  <c r="DJ7" i="188"/>
  <c r="DI7" i="188"/>
  <c r="DH7" i="188"/>
  <c r="DG7" i="188"/>
  <c r="DF7" i="188"/>
  <c r="DE7" i="188"/>
  <c r="DD7" i="188"/>
  <c r="DC7" i="188"/>
  <c r="DB7" i="188"/>
  <c r="CZ7" i="188"/>
  <c r="CY7" i="188"/>
  <c r="CK7" i="188"/>
  <c r="CJ7" i="188"/>
  <c r="CI7" i="188"/>
  <c r="CH7" i="188"/>
  <c r="CG7" i="188"/>
  <c r="CF7" i="188"/>
  <c r="CE7" i="188"/>
  <c r="CD7" i="188"/>
  <c r="CC7" i="188"/>
  <c r="CB7" i="188"/>
  <c r="CA7" i="188"/>
  <c r="BZ7" i="188"/>
  <c r="BY7" i="188"/>
  <c r="AY7" i="188"/>
  <c r="AK7" i="188"/>
  <c r="AJ7" i="188"/>
  <c r="AI7" i="188"/>
  <c r="AH7" i="188"/>
  <c r="AG7" i="188"/>
  <c r="AF7" i="188"/>
  <c r="AE7" i="188"/>
  <c r="AD7" i="188"/>
  <c r="AC7" i="188"/>
  <c r="AB7" i="188"/>
  <c r="AA7" i="188"/>
  <c r="Z7" i="188"/>
  <c r="Y7" i="188"/>
  <c r="H7" i="188"/>
  <c r="BH7" i="188" s="1"/>
  <c r="EK6" i="188"/>
  <c r="EJ6" i="188"/>
  <c r="EI6" i="188"/>
  <c r="EH6" i="188"/>
  <c r="EG6" i="188"/>
  <c r="EF6" i="188"/>
  <c r="EE6" i="188"/>
  <c r="ED6" i="188"/>
  <c r="EC6" i="188"/>
  <c r="EB6" i="188"/>
  <c r="EA6" i="188"/>
  <c r="DZ6" i="188"/>
  <c r="DY6" i="188"/>
  <c r="DK6" i="188"/>
  <c r="DJ6" i="188"/>
  <c r="DI6" i="188"/>
  <c r="DH6" i="188"/>
  <c r="DG6" i="188"/>
  <c r="DF6" i="188"/>
  <c r="DE6" i="188"/>
  <c r="DD6" i="188"/>
  <c r="DC6" i="188"/>
  <c r="DB6" i="188"/>
  <c r="DA6" i="188"/>
  <c r="CZ6" i="188"/>
  <c r="CY6" i="188"/>
  <c r="CK6" i="188"/>
  <c r="CJ6" i="188"/>
  <c r="CI6" i="188"/>
  <c r="CH6" i="188"/>
  <c r="CG6" i="188"/>
  <c r="CF6" i="188"/>
  <c r="CE6" i="188"/>
  <c r="CD6" i="188"/>
  <c r="CC6" i="188"/>
  <c r="CB6" i="188"/>
  <c r="CA6" i="188"/>
  <c r="BZ6" i="188"/>
  <c r="BY6" i="188"/>
  <c r="AY6" i="188"/>
  <c r="AK6" i="188"/>
  <c r="AJ6" i="188"/>
  <c r="AI6" i="188"/>
  <c r="AH6" i="188"/>
  <c r="AG6" i="188"/>
  <c r="AF6" i="188"/>
  <c r="AE6" i="188"/>
  <c r="AD6" i="188"/>
  <c r="AC6" i="188"/>
  <c r="AB6" i="188"/>
  <c r="AA6" i="188"/>
  <c r="Z6" i="188"/>
  <c r="Y6" i="188"/>
  <c r="H6" i="188"/>
  <c r="BH6" i="188" s="1"/>
  <c r="DX5" i="188"/>
  <c r="DW5" i="188"/>
  <c r="DV5" i="188"/>
  <c r="DU5" i="188"/>
  <c r="DT5" i="188"/>
  <c r="DS5" i="188"/>
  <c r="DR5" i="188"/>
  <c r="DQ5" i="188"/>
  <c r="DP5" i="188"/>
  <c r="DO5" i="188"/>
  <c r="DN5" i="188"/>
  <c r="DM5" i="188"/>
  <c r="CX5" i="188"/>
  <c r="CW5" i="188"/>
  <c r="CV5" i="188"/>
  <c r="CU5" i="188"/>
  <c r="CT5" i="188"/>
  <c r="CS5" i="188"/>
  <c r="CR5" i="188"/>
  <c r="CQ5" i="188"/>
  <c r="CP5" i="188"/>
  <c r="CO5" i="188"/>
  <c r="CN5" i="188"/>
  <c r="CM5" i="188"/>
  <c r="BX5" i="188"/>
  <c r="BW5" i="188"/>
  <c r="BV5" i="188"/>
  <c r="BU5" i="188"/>
  <c r="BT5" i="188"/>
  <c r="BS5" i="188"/>
  <c r="BR5" i="188"/>
  <c r="BQ5" i="188"/>
  <c r="BP5" i="188"/>
  <c r="BO5" i="188"/>
  <c r="BN5" i="188"/>
  <c r="BM5" i="188"/>
  <c r="AX5" i="188"/>
  <c r="AW5" i="188"/>
  <c r="AV5" i="188"/>
  <c r="AU5" i="188"/>
  <c r="AT5" i="188"/>
  <c r="AS5" i="188"/>
  <c r="AR5" i="188"/>
  <c r="AQ5" i="188"/>
  <c r="AP5" i="188"/>
  <c r="AO5" i="188"/>
  <c r="AN5" i="188"/>
  <c r="AM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EK4" i="188"/>
  <c r="EJ4" i="188"/>
  <c r="EI4" i="188"/>
  <c r="EH4" i="188"/>
  <c r="EG4" i="188"/>
  <c r="EF4" i="188"/>
  <c r="EE4" i="188"/>
  <c r="ED4" i="188"/>
  <c r="EC4" i="188"/>
  <c r="EB4" i="188"/>
  <c r="EA4" i="188"/>
  <c r="DZ4" i="188"/>
  <c r="DY4" i="188"/>
  <c r="DK4" i="188"/>
  <c r="DJ4" i="188"/>
  <c r="DI4" i="188"/>
  <c r="DH4" i="188"/>
  <c r="DG4" i="188"/>
  <c r="DF4" i="188"/>
  <c r="DE4" i="188"/>
  <c r="DD4" i="188"/>
  <c r="DC4" i="188"/>
  <c r="DB4" i="188"/>
  <c r="DA4" i="188"/>
  <c r="CZ4" i="188"/>
  <c r="CY4" i="188"/>
  <c r="CK4" i="188"/>
  <c r="CJ4" i="188"/>
  <c r="CI4" i="188"/>
  <c r="CH4" i="188"/>
  <c r="CG4" i="188"/>
  <c r="CF4" i="188"/>
  <c r="CE4" i="188"/>
  <c r="CD4" i="188"/>
  <c r="CC4" i="188"/>
  <c r="CB4" i="188"/>
  <c r="CA4" i="188"/>
  <c r="BZ4" i="188"/>
  <c r="BY4" i="188"/>
  <c r="BK4" i="188"/>
  <c r="BJ4" i="188"/>
  <c r="BI4" i="188"/>
  <c r="BH4" i="188"/>
  <c r="BG4" i="188"/>
  <c r="BF4" i="188"/>
  <c r="BE4" i="188"/>
  <c r="BD4" i="188"/>
  <c r="BC4" i="188"/>
  <c r="BB4" i="188"/>
  <c r="BA4" i="188"/>
  <c r="AZ4" i="188"/>
  <c r="AY4" i="188"/>
  <c r="AK4" i="188"/>
  <c r="AJ4" i="188"/>
  <c r="AI4" i="188"/>
  <c r="AH4" i="188"/>
  <c r="AF4" i="188"/>
  <c r="AE4" i="188"/>
  <c r="AD4" i="188"/>
  <c r="AC4" i="188"/>
  <c r="AA4" i="188"/>
  <c r="Z4" i="188"/>
  <c r="Y4" i="188"/>
  <c r="EK3" i="188"/>
  <c r="EJ3" i="188"/>
  <c r="EI3" i="188"/>
  <c r="EH3" i="188"/>
  <c r="EG3" i="188"/>
  <c r="EF3" i="188"/>
  <c r="EE3" i="188"/>
  <c r="ED3" i="188"/>
  <c r="EC3" i="188"/>
  <c r="EB3" i="188"/>
  <c r="EA3" i="188"/>
  <c r="DZ3" i="188"/>
  <c r="DY3" i="188"/>
  <c r="DK3" i="188"/>
  <c r="DJ3" i="188"/>
  <c r="DI3" i="188"/>
  <c r="DH3" i="188"/>
  <c r="DG3" i="188"/>
  <c r="DF3" i="188"/>
  <c r="DE3" i="188"/>
  <c r="DD3" i="188"/>
  <c r="DC3" i="188"/>
  <c r="DB3" i="188"/>
  <c r="DA3" i="188"/>
  <c r="CZ3" i="188"/>
  <c r="CY3" i="188"/>
  <c r="CK3" i="188"/>
  <c r="CJ3" i="188"/>
  <c r="CI3" i="188"/>
  <c r="CH3" i="188"/>
  <c r="CG3" i="188"/>
  <c r="CF3" i="188"/>
  <c r="CE3" i="188"/>
  <c r="CD3" i="188"/>
  <c r="CC3" i="188"/>
  <c r="CB3" i="188"/>
  <c r="CA3" i="188"/>
  <c r="BZ3" i="188"/>
  <c r="BY3" i="188"/>
  <c r="AY3" i="188"/>
  <c r="AK3" i="188"/>
  <c r="AJ3" i="188"/>
  <c r="AI3" i="188"/>
  <c r="AH3" i="188"/>
  <c r="AG3" i="188"/>
  <c r="AG5" i="188" s="1"/>
  <c r="AF3" i="188"/>
  <c r="AE3" i="188"/>
  <c r="AD3" i="188"/>
  <c r="AC3" i="188"/>
  <c r="AB3" i="188"/>
  <c r="AB5" i="188" s="1"/>
  <c r="AA3" i="188"/>
  <c r="Z3" i="188"/>
  <c r="Y3" i="188"/>
  <c r="H3" i="188"/>
  <c r="AZ3" i="188" s="1"/>
  <c r="Y76" i="188"/>
  <c r="AE80" i="188"/>
  <c r="Y81" i="188"/>
  <c r="AE81" i="188"/>
  <c r="AE82" i="188"/>
  <c r="Y75" i="188"/>
  <c r="AE75" i="188"/>
  <c r="C39" i="181"/>
  <c r="I31" i="180"/>
  <c r="J33" i="180"/>
  <c r="J36" i="180"/>
  <c r="J35" i="180"/>
  <c r="J34" i="180"/>
  <c r="K36" i="180"/>
  <c r="K35" i="180"/>
  <c r="K34" i="180"/>
  <c r="K33" i="180"/>
  <c r="K32" i="180"/>
  <c r="K31" i="180"/>
  <c r="B61" i="133"/>
  <c r="B57" i="133"/>
  <c r="G65" i="181"/>
  <c r="E65" i="181"/>
  <c r="B58" i="181"/>
  <c r="L20" i="180"/>
  <c r="L19" i="180"/>
  <c r="L18" i="180"/>
  <c r="L17" i="180"/>
  <c r="L16" i="180"/>
  <c r="L15" i="180"/>
  <c r="K22" i="180"/>
  <c r="M15" i="180"/>
  <c r="M16" i="180"/>
  <c r="M17" i="180"/>
  <c r="M18" i="180"/>
  <c r="M19" i="180"/>
  <c r="M20" i="180"/>
  <c r="M21" i="180"/>
  <c r="T22" i="180"/>
  <c r="O22" i="180"/>
  <c r="P16" i="180"/>
  <c r="Q16" i="180" s="1"/>
  <c r="P17" i="180"/>
  <c r="Q17" i="180" s="1"/>
  <c r="P18" i="180"/>
  <c r="Q18" i="180" s="1"/>
  <c r="P19" i="180"/>
  <c r="Q19" i="180" s="1"/>
  <c r="P20" i="180"/>
  <c r="Q20" i="180" s="1"/>
  <c r="P21" i="180"/>
  <c r="Q21" i="180" s="1"/>
  <c r="P15" i="180"/>
  <c r="E50" i="133"/>
  <c r="E49" i="133"/>
  <c r="E48" i="133"/>
  <c r="E45" i="133"/>
  <c r="I22" i="180"/>
  <c r="H22" i="180"/>
  <c r="N21" i="180"/>
  <c r="J21" i="180"/>
  <c r="N20" i="180"/>
  <c r="J20" i="180"/>
  <c r="N19" i="180"/>
  <c r="J19" i="180"/>
  <c r="N18" i="180"/>
  <c r="J18" i="180"/>
  <c r="N17" i="180"/>
  <c r="J17" i="180"/>
  <c r="N16" i="180"/>
  <c r="J16" i="180"/>
  <c r="J15" i="180"/>
  <c r="O11" i="180"/>
  <c r="N11" i="180"/>
  <c r="M11" i="180"/>
  <c r="L11" i="180"/>
  <c r="K11" i="180"/>
  <c r="J11" i="180"/>
  <c r="I11" i="180"/>
  <c r="H11" i="180"/>
  <c r="P10" i="180"/>
  <c r="Q10" i="180" s="1"/>
  <c r="P9" i="180"/>
  <c r="Q9" i="180" s="1"/>
  <c r="P8" i="180"/>
  <c r="Q8" i="180" s="1"/>
  <c r="P7" i="180"/>
  <c r="Q7" i="180" s="1"/>
  <c r="P6" i="180"/>
  <c r="P5" i="180"/>
  <c r="Q5" i="180" s="1"/>
  <c r="P4" i="180"/>
  <c r="Q4" i="180" s="1"/>
  <c r="C40" i="124"/>
  <c r="G88" i="110"/>
  <c r="E20" i="133"/>
  <c r="E62" i="133"/>
  <c r="E61" i="133"/>
  <c r="E59" i="133"/>
  <c r="E58" i="133"/>
  <c r="E57" i="133"/>
  <c r="F124" i="58"/>
  <c r="F119" i="58"/>
  <c r="E24" i="133"/>
  <c r="E12" i="133"/>
  <c r="E8" i="133"/>
  <c r="H45" i="175"/>
  <c r="G45" i="175"/>
  <c r="F45" i="175"/>
  <c r="E45" i="175"/>
  <c r="N44" i="175"/>
  <c r="O43" i="175"/>
  <c r="O42" i="175"/>
  <c r="O40" i="175"/>
  <c r="O39" i="175"/>
  <c r="O37" i="175"/>
  <c r="O36" i="175"/>
  <c r="O34" i="175"/>
  <c r="C33" i="175"/>
  <c r="O31" i="175"/>
  <c r="O30" i="175"/>
  <c r="O29" i="175"/>
  <c r="O28" i="175"/>
  <c r="O27" i="175"/>
  <c r="L26" i="175"/>
  <c r="L9" i="175" s="1"/>
  <c r="K26" i="175"/>
  <c r="J26" i="175"/>
  <c r="J9" i="175" s="1"/>
  <c r="I26" i="175"/>
  <c r="I45" i="175" s="1"/>
  <c r="C26" i="175"/>
  <c r="H25" i="175"/>
  <c r="F25" i="175"/>
  <c r="E25" i="175"/>
  <c r="G25" i="175"/>
  <c r="O24" i="175"/>
  <c r="I7" i="175"/>
  <c r="N7" i="175"/>
  <c r="M7" i="175"/>
  <c r="D32" i="175"/>
  <c r="D45" i="175" s="1"/>
  <c r="L41" i="175"/>
  <c r="O21" i="175"/>
  <c r="O19" i="175"/>
  <c r="O18" i="175"/>
  <c r="K6" i="175"/>
  <c r="J6" i="175"/>
  <c r="I6" i="175"/>
  <c r="D25" i="175"/>
  <c r="C25" i="175"/>
  <c r="O16" i="175"/>
  <c r="K10" i="175"/>
  <c r="I10" i="175"/>
  <c r="H10" i="175"/>
  <c r="G10" i="175"/>
  <c r="F10" i="175"/>
  <c r="E10" i="175"/>
  <c r="D10" i="175"/>
  <c r="C10" i="175"/>
  <c r="H9" i="175"/>
  <c r="G9" i="175"/>
  <c r="F9" i="175"/>
  <c r="E9" i="175"/>
  <c r="L7" i="175"/>
  <c r="K7" i="175"/>
  <c r="J7" i="175"/>
  <c r="H7" i="175"/>
  <c r="G7" i="175"/>
  <c r="F7" i="175"/>
  <c r="E7" i="175"/>
  <c r="D7" i="175"/>
  <c r="C7" i="175"/>
  <c r="H6" i="175"/>
  <c r="G6" i="175"/>
  <c r="F6" i="175"/>
  <c r="E6" i="175"/>
  <c r="D6" i="175"/>
  <c r="C6" i="175"/>
  <c r="C5" i="175"/>
  <c r="O5" i="175" s="1"/>
  <c r="O20" i="175"/>
  <c r="O4" i="175"/>
  <c r="O35" i="175"/>
  <c r="N6" i="175"/>
  <c r="N25" i="175"/>
  <c r="M6" i="175"/>
  <c r="M25" i="175"/>
  <c r="O23" i="175"/>
  <c r="K25" i="175"/>
  <c r="M38" i="175"/>
  <c r="O38" i="175" s="1"/>
  <c r="O22" i="175"/>
  <c r="J25" i="175"/>
  <c r="I25" i="175"/>
  <c r="J41" i="175"/>
  <c r="J10" i="175" s="1"/>
  <c r="L6" i="175"/>
  <c r="L25" i="175"/>
  <c r="O17" i="175"/>
  <c r="C37" i="124"/>
  <c r="D42" i="124"/>
  <c r="E43" i="124"/>
  <c r="E40" i="124"/>
  <c r="E37" i="124"/>
  <c r="G37" i="124" s="1"/>
  <c r="C43" i="124"/>
  <c r="D35" i="124"/>
  <c r="D37" i="124"/>
  <c r="D43" i="124"/>
  <c r="D31" i="124"/>
  <c r="D44" i="124" s="1"/>
  <c r="D40" i="124"/>
  <c r="D28" i="124"/>
  <c r="D41" i="124" s="1"/>
  <c r="D25" i="124"/>
  <c r="D38" i="124" s="1"/>
  <c r="P47" i="193"/>
  <c r="D55" i="193"/>
  <c r="D64" i="193" s="1"/>
  <c r="D73" i="193" s="1"/>
  <c r="P43" i="193"/>
  <c r="D56" i="193"/>
  <c r="D65" i="193" s="1"/>
  <c r="D74" i="193" s="1"/>
  <c r="S24" i="193"/>
  <c r="P45" i="193"/>
  <c r="S25" i="193"/>
  <c r="P46" i="193"/>
  <c r="I48" i="193"/>
  <c r="E48" i="193"/>
  <c r="F48" i="193"/>
  <c r="O48" i="193"/>
  <c r="L48" i="193"/>
  <c r="K48" i="193"/>
  <c r="G48" i="193"/>
  <c r="M48" i="193"/>
  <c r="S23" i="193"/>
  <c r="H48" i="193"/>
  <c r="D54" i="193"/>
  <c r="D63" i="193" s="1"/>
  <c r="D48" i="193"/>
  <c r="P44" i="193"/>
  <c r="J48" i="193"/>
  <c r="N48" i="193"/>
  <c r="H46" i="133"/>
  <c r="G46" i="133"/>
  <c r="F46" i="133"/>
  <c r="F48" i="133"/>
  <c r="P49" i="133"/>
  <c r="H49" i="133"/>
  <c r="O49" i="133"/>
  <c r="G49" i="133"/>
  <c r="N49" i="133"/>
  <c r="F49" i="133"/>
  <c r="M49" i="133"/>
  <c r="L49" i="133"/>
  <c r="J49" i="133"/>
  <c r="Q49" i="133"/>
  <c r="I49" i="133"/>
  <c r="K49" i="133"/>
  <c r="F50" i="133"/>
  <c r="F45" i="133"/>
  <c r="U44" i="133"/>
  <c r="S44" i="133"/>
  <c r="AU44" i="133"/>
  <c r="AS44" i="133"/>
  <c r="AH44" i="133"/>
  <c r="AF44" i="133"/>
  <c r="S45" i="133"/>
  <c r="AS45" i="133"/>
  <c r="AF45" i="133"/>
  <c r="AT46" i="133"/>
  <c r="AS46" i="133"/>
  <c r="AH46" i="133"/>
  <c r="AG46" i="133"/>
  <c r="AF46" i="133"/>
  <c r="U46" i="133"/>
  <c r="T46" i="133"/>
  <c r="AU46" i="133"/>
  <c r="S46" i="133"/>
  <c r="U48" i="133"/>
  <c r="T48" i="133"/>
  <c r="AU48" i="133"/>
  <c r="S48" i="133"/>
  <c r="AT48" i="133"/>
  <c r="AH48" i="133"/>
  <c r="AS48" i="133"/>
  <c r="AG48" i="133"/>
  <c r="AF48" i="133"/>
  <c r="T49" i="133"/>
  <c r="AU49" i="133"/>
  <c r="S49" i="133"/>
  <c r="AT49" i="133"/>
  <c r="AH49" i="133"/>
  <c r="AS49" i="133"/>
  <c r="AG49" i="133"/>
  <c r="AF49" i="133"/>
  <c r="U49" i="133"/>
  <c r="BC113" i="133"/>
  <c r="AU113" i="133"/>
  <c r="AP113" i="133"/>
  <c r="AH113" i="133"/>
  <c r="Z113" i="133"/>
  <c r="I117" i="133"/>
  <c r="BB113" i="133"/>
  <c r="AT113" i="133"/>
  <c r="AO113" i="133"/>
  <c r="AG113" i="133"/>
  <c r="Y113" i="133"/>
  <c r="BA113" i="133"/>
  <c r="AS113" i="133"/>
  <c r="AN113" i="133"/>
  <c r="AF113" i="133"/>
  <c r="X113" i="133"/>
  <c r="AZ113" i="133"/>
  <c r="AM113" i="133"/>
  <c r="W113" i="133"/>
  <c r="AY113" i="133"/>
  <c r="AL113" i="133"/>
  <c r="AD113" i="133"/>
  <c r="V113" i="133"/>
  <c r="M117" i="133"/>
  <c r="AX113" i="133"/>
  <c r="AK113" i="133"/>
  <c r="AC113" i="133"/>
  <c r="U113" i="133"/>
  <c r="AW113" i="133"/>
  <c r="AJ113" i="133"/>
  <c r="AB113" i="133"/>
  <c r="T113" i="133"/>
  <c r="BD113" i="133"/>
  <c r="AV113" i="133"/>
  <c r="AQ113" i="133"/>
  <c r="AI113" i="133"/>
  <c r="AA113" i="133"/>
  <c r="S113" i="133"/>
  <c r="AA303" i="110"/>
  <c r="AD303" i="110" s="1"/>
  <c r="AA302" i="110"/>
  <c r="AD302" i="110" s="1"/>
  <c r="AD101" i="188"/>
  <c r="Q136" i="188"/>
  <c r="Q122" i="188"/>
  <c r="BU136" i="188"/>
  <c r="BS139" i="188"/>
  <c r="BE107" i="188"/>
  <c r="O24" i="138"/>
  <c r="X289" i="58"/>
  <c r="K117" i="133"/>
  <c r="J117" i="133"/>
  <c r="Q117" i="133"/>
  <c r="F117" i="133"/>
  <c r="L224" i="58"/>
  <c r="I12" i="137"/>
  <c r="U141" i="133"/>
  <c r="AH141" i="133"/>
  <c r="AU141" i="133"/>
  <c r="G58" i="181"/>
  <c r="Q13" i="26"/>
  <c r="F16" i="193"/>
  <c r="D116" i="193"/>
  <c r="H116" i="193"/>
  <c r="L116" i="193"/>
  <c r="L16" i="193"/>
  <c r="K116" i="193"/>
  <c r="I6" i="137"/>
  <c r="I79" i="137" s="1"/>
  <c r="I8" i="137"/>
  <c r="I81" i="137" s="1"/>
  <c r="I7" i="137"/>
  <c r="I80" i="137" s="1"/>
  <c r="AA141" i="133"/>
  <c r="AM141" i="133"/>
  <c r="AT141" i="133"/>
  <c r="Y141" i="133"/>
  <c r="AW141" i="133"/>
  <c r="BA141" i="133"/>
  <c r="AK141" i="133"/>
  <c r="V141" i="133"/>
  <c r="AZ141" i="133"/>
  <c r="AL141" i="133"/>
  <c r="W141" i="133"/>
  <c r="AY141" i="133"/>
  <c r="AI141" i="133"/>
  <c r="T141" i="133"/>
  <c r="AV141" i="133"/>
  <c r="AN141" i="133"/>
  <c r="AJ141" i="133"/>
  <c r="X141" i="133"/>
  <c r="AG141" i="133"/>
  <c r="Z141" i="133"/>
  <c r="AX141" i="133"/>
  <c r="E116" i="193"/>
  <c r="G16" i="193"/>
  <c r="I16" i="193"/>
  <c r="G116" i="193"/>
  <c r="F116" i="193"/>
  <c r="H16" i="193"/>
  <c r="N16" i="193"/>
  <c r="C116" i="193"/>
  <c r="E16" i="193"/>
  <c r="D16" i="193"/>
  <c r="B116" i="193"/>
  <c r="J16" i="193"/>
  <c r="J116" i="193"/>
  <c r="I116" i="193"/>
  <c r="K16" i="193"/>
  <c r="M116" i="193"/>
  <c r="O16" i="193"/>
  <c r="M16" i="193"/>
  <c r="Q4" i="26"/>
  <c r="I5" i="137"/>
  <c r="I78" i="137" s="1"/>
  <c r="I16" i="137"/>
  <c r="I88" i="137" s="1"/>
  <c r="F44" i="133"/>
  <c r="G5" i="133"/>
  <c r="G44" i="133" s="1"/>
  <c r="F8" i="133"/>
  <c r="I14" i="137"/>
  <c r="I86" i="137" s="1"/>
  <c r="I18" i="137"/>
  <c r="I90" i="137" s="1"/>
  <c r="I13" i="137"/>
  <c r="I85" i="137" s="1"/>
  <c r="I15" i="137"/>
  <c r="I87" i="137" s="1"/>
  <c r="I17" i="137"/>
  <c r="I89" i="137" s="1"/>
  <c r="R29" i="133"/>
  <c r="Q12" i="26"/>
  <c r="R52" i="133"/>
  <c r="O37" i="138"/>
  <c r="Q9" i="26"/>
  <c r="Q10" i="26"/>
  <c r="I11" i="199"/>
  <c r="I24" i="199" s="1"/>
  <c r="AX143" i="133"/>
  <c r="AB143" i="133"/>
  <c r="AQ143" i="133"/>
  <c r="AU143" i="133"/>
  <c r="AV143" i="133"/>
  <c r="AG143" i="133"/>
  <c r="AN143" i="133"/>
  <c r="Y143" i="133"/>
  <c r="W143" i="133"/>
  <c r="AH143" i="133"/>
  <c r="X143" i="133"/>
  <c r="AM143" i="133"/>
  <c r="AZ143" i="133"/>
  <c r="AO143" i="133"/>
  <c r="AD143" i="133"/>
  <c r="AW143" i="133"/>
  <c r="AI143" i="133"/>
  <c r="AC143" i="133"/>
  <c r="BB143" i="133"/>
  <c r="T143" i="133"/>
  <c r="AA143" i="133"/>
  <c r="BA143" i="133"/>
  <c r="V143" i="133"/>
  <c r="AY143" i="133"/>
  <c r="Z143" i="133"/>
  <c r="BD143" i="133"/>
  <c r="AP143" i="133"/>
  <c r="AJ143" i="133"/>
  <c r="AK143" i="133"/>
  <c r="U143" i="133"/>
  <c r="AT143" i="133"/>
  <c r="AL143" i="133"/>
  <c r="BC143" i="133"/>
  <c r="I118" i="193"/>
  <c r="E118" i="193"/>
  <c r="I15" i="193"/>
  <c r="D118" i="193"/>
  <c r="L15" i="193"/>
  <c r="F118" i="193"/>
  <c r="H11" i="199"/>
  <c r="H24" i="199" s="1"/>
  <c r="P11" i="199"/>
  <c r="P24" i="199" s="1"/>
  <c r="M11" i="199"/>
  <c r="M24" i="199" s="1"/>
  <c r="N11" i="199"/>
  <c r="J118" i="193"/>
  <c r="J15" i="193"/>
  <c r="H15" i="193"/>
  <c r="K15" i="193"/>
  <c r="E15" i="193"/>
  <c r="G15" i="193"/>
  <c r="AF143" i="133"/>
  <c r="AR143" i="133" s="1"/>
  <c r="S143" i="133"/>
  <c r="AE143" i="133" s="1"/>
  <c r="AS143" i="133"/>
  <c r="BE143" i="133" s="1"/>
  <c r="C118" i="193"/>
  <c r="F15" i="193"/>
  <c r="H118" i="193"/>
  <c r="O15" i="193"/>
  <c r="G118" i="193"/>
  <c r="M118" i="193"/>
  <c r="M15" i="193"/>
  <c r="L118" i="193"/>
  <c r="N15" i="193"/>
  <c r="K118" i="193"/>
  <c r="F11" i="199"/>
  <c r="S11" i="199" s="1"/>
  <c r="S17" i="199" s="1"/>
  <c r="G11" i="199"/>
  <c r="G24" i="199" s="1"/>
  <c r="D15" i="193"/>
  <c r="B118" i="193"/>
  <c r="P118" i="193" s="1"/>
  <c r="Q11" i="199"/>
  <c r="Q24" i="199" s="1"/>
  <c r="O11" i="199"/>
  <c r="L11" i="199"/>
  <c r="L24" i="199" s="1"/>
  <c r="K11" i="199"/>
  <c r="K24" i="199" s="1"/>
  <c r="J11" i="199"/>
  <c r="J24" i="199" s="1"/>
  <c r="Q7" i="26"/>
  <c r="Q5" i="26"/>
  <c r="Q8" i="26"/>
  <c r="C5" i="138"/>
  <c r="O5" i="138" s="1"/>
  <c r="O16" i="138"/>
  <c r="Q11" i="26"/>
  <c r="Q24" i="26"/>
  <c r="Q14" i="26"/>
  <c r="Q25" i="26"/>
  <c r="Q17" i="26"/>
  <c r="Q18" i="26"/>
  <c r="Q19" i="26"/>
  <c r="Q26" i="26"/>
  <c r="R300" i="58"/>
  <c r="U216" i="58"/>
  <c r="W216" i="58"/>
  <c r="V216" i="58"/>
  <c r="S217" i="58"/>
  <c r="S216" i="58"/>
  <c r="S121" i="58"/>
  <c r="V220" i="58" s="1"/>
  <c r="T121" i="58"/>
  <c r="W220" i="58" s="1"/>
  <c r="R121" i="58"/>
  <c r="U220" i="58" s="1"/>
  <c r="T299" i="58"/>
  <c r="U339" i="58"/>
  <c r="U340" i="58" s="1"/>
  <c r="S339" i="58"/>
  <c r="S340" i="58" s="1"/>
  <c r="R339" i="58"/>
  <c r="R340" i="58" s="1"/>
  <c r="V339" i="58"/>
  <c r="V340" i="58" s="1"/>
  <c r="T339" i="58"/>
  <c r="T340" i="58" s="1"/>
  <c r="S299" i="58"/>
  <c r="U299" i="58"/>
  <c r="R299" i="58"/>
  <c r="V299" i="58"/>
  <c r="W217" i="58"/>
  <c r="X17" i="58"/>
  <c r="V217" i="58"/>
  <c r="X15" i="58"/>
  <c r="U300" i="58"/>
  <c r="U121" i="58"/>
  <c r="S300" i="58"/>
  <c r="X14" i="58"/>
  <c r="V300" i="58"/>
  <c r="X16" i="58"/>
  <c r="V121" i="58"/>
  <c r="X18" i="58"/>
  <c r="T217" i="58"/>
  <c r="T300" i="58"/>
  <c r="V321" i="58"/>
  <c r="V359" i="58"/>
  <c r="T359" i="58"/>
  <c r="T321" i="58"/>
  <c r="S359" i="58"/>
  <c r="S321" i="58"/>
  <c r="R359" i="58"/>
  <c r="R321" i="58"/>
  <c r="U321" i="58"/>
  <c r="U359" i="58"/>
  <c r="X117" i="58"/>
  <c r="Y117" i="58" s="1"/>
  <c r="U217" i="58"/>
  <c r="AA17" i="119"/>
  <c r="AA19" i="119"/>
  <c r="Y32" i="110"/>
  <c r="Y37" i="110"/>
  <c r="Y33" i="110"/>
  <c r="Y31" i="110"/>
  <c r="Y35" i="110"/>
  <c r="Y27" i="110"/>
  <c r="BE98" i="188" l="1"/>
  <c r="AF22" i="206"/>
  <c r="BH107" i="188"/>
  <c r="Z22" i="206"/>
  <c r="O16" i="35"/>
  <c r="AE18" i="205"/>
  <c r="AG18" i="205" s="1"/>
  <c r="I108" i="188"/>
  <c r="J108" i="188" s="1"/>
  <c r="DA108" i="188" s="1"/>
  <c r="P16" i="35"/>
  <c r="AH18" i="205"/>
  <c r="AJ18" i="205" s="1"/>
  <c r="AC22" i="206"/>
  <c r="BJ108" i="188"/>
  <c r="Q16" i="35"/>
  <c r="AK18" i="205"/>
  <c r="AM18" i="205" s="1"/>
  <c r="AZ108" i="188"/>
  <c r="BK108" i="188"/>
  <c r="L16" i="35"/>
  <c r="V18" i="205"/>
  <c r="R16" i="35"/>
  <c r="AN18" i="205"/>
  <c r="AP18" i="205" s="1"/>
  <c r="AI22" i="206"/>
  <c r="BI108" i="188"/>
  <c r="M16" i="35"/>
  <c r="Y18" i="205"/>
  <c r="AA18" i="205" s="1"/>
  <c r="T22" i="206"/>
  <c r="N16" i="35"/>
  <c r="AB18" i="205"/>
  <c r="AD18" i="205" s="1"/>
  <c r="W22" i="206"/>
  <c r="Q22" i="206"/>
  <c r="AN56" i="205"/>
  <c r="AP56" i="205" s="1"/>
  <c r="AN57" i="205"/>
  <c r="AP57" i="205" s="1"/>
  <c r="Y57" i="205"/>
  <c r="AA57" i="205" s="1"/>
  <c r="Y56" i="205"/>
  <c r="AA56" i="205" s="1"/>
  <c r="P22" i="206"/>
  <c r="AM22" i="206"/>
  <c r="V56" i="205"/>
  <c r="X56" i="205" s="1"/>
  <c r="V57" i="205"/>
  <c r="X57" i="205" s="1"/>
  <c r="AK57" i="205"/>
  <c r="AM57" i="205" s="1"/>
  <c r="AK56" i="205"/>
  <c r="AM56" i="205" s="1"/>
  <c r="AH56" i="205"/>
  <c r="AJ56" i="205" s="1"/>
  <c r="AH57" i="205"/>
  <c r="AJ57" i="205" s="1"/>
  <c r="AE56" i="205"/>
  <c r="AG56" i="205" s="1"/>
  <c r="AE57" i="205"/>
  <c r="AG57" i="205" s="1"/>
  <c r="AB56" i="205"/>
  <c r="AB57" i="205"/>
  <c r="O54" i="35"/>
  <c r="L54" i="35"/>
  <c r="M54" i="35"/>
  <c r="N54" i="35"/>
  <c r="P54" i="35"/>
  <c r="Q54" i="35"/>
  <c r="R54" i="35"/>
  <c r="W27" i="35"/>
  <c r="X27" i="35" s="1"/>
  <c r="W28" i="35"/>
  <c r="X28" i="35" s="1"/>
  <c r="W59" i="35"/>
  <c r="X59" i="35" s="1"/>
  <c r="L49" i="35"/>
  <c r="M49" i="35" s="1"/>
  <c r="N49" i="35" s="1"/>
  <c r="O49" i="35" s="1"/>
  <c r="P49" i="35" s="1"/>
  <c r="Q49" i="35" s="1"/>
  <c r="R49" i="35" s="1"/>
  <c r="L20" i="35"/>
  <c r="M20" i="35" s="1"/>
  <c r="N20" i="35" s="1"/>
  <c r="O20" i="35" s="1"/>
  <c r="P20" i="35" s="1"/>
  <c r="Q20" i="35" s="1"/>
  <c r="R20" i="35" s="1"/>
  <c r="W64" i="35"/>
  <c r="X64" i="35" s="1"/>
  <c r="L196" i="110"/>
  <c r="S74" i="181"/>
  <c r="R74" i="181"/>
  <c r="Q74" i="181"/>
  <c r="P74" i="181"/>
  <c r="T74" i="181"/>
  <c r="U48" i="181"/>
  <c r="O208" i="110"/>
  <c r="U208" i="110"/>
  <c r="P208" i="110"/>
  <c r="S196" i="110"/>
  <c r="U196" i="110"/>
  <c r="P196" i="110"/>
  <c r="Q196" i="110"/>
  <c r="N196" i="110"/>
  <c r="S208" i="110"/>
  <c r="M196" i="110"/>
  <c r="R208" i="110"/>
  <c r="T196" i="110"/>
  <c r="O196" i="110"/>
  <c r="Q208" i="110"/>
  <c r="T208" i="110"/>
  <c r="K196" i="110"/>
  <c r="R196" i="110"/>
  <c r="J196" i="110"/>
  <c r="M286" i="58"/>
  <c r="M291" i="58" s="1"/>
  <c r="V286" i="58"/>
  <c r="W286" i="58"/>
  <c r="X198" i="58"/>
  <c r="Y198" i="58" s="1"/>
  <c r="BI92" i="188"/>
  <c r="AZ99" i="188"/>
  <c r="K5" i="181"/>
  <c r="X182" i="58"/>
  <c r="Y182" i="58" s="1"/>
  <c r="N285" i="58"/>
  <c r="M202" i="58"/>
  <c r="W202" i="58"/>
  <c r="O285" i="58"/>
  <c r="N202" i="58"/>
  <c r="L202" i="58"/>
  <c r="X102" i="58"/>
  <c r="Y102" i="58" s="1"/>
  <c r="R285" i="58"/>
  <c r="BD115" i="133"/>
  <c r="BD117" i="133" s="1"/>
  <c r="T285" i="58"/>
  <c r="S285" i="58"/>
  <c r="U285" i="58"/>
  <c r="W285" i="58"/>
  <c r="V285" i="58"/>
  <c r="Q285" i="58"/>
  <c r="BF113" i="188"/>
  <c r="P285" i="58"/>
  <c r="BE78" i="188"/>
  <c r="AF61" i="133"/>
  <c r="BA115" i="133"/>
  <c r="BA117" i="133" s="1"/>
  <c r="CC117" i="188"/>
  <c r="AS61" i="133"/>
  <c r="BH99" i="188"/>
  <c r="BF99" i="188"/>
  <c r="M37" i="181"/>
  <c r="M63" i="181" s="1"/>
  <c r="M35" i="181"/>
  <c r="M61" i="181" s="1"/>
  <c r="M34" i="181"/>
  <c r="M60" i="181" s="1"/>
  <c r="Q36" i="181"/>
  <c r="Q62" i="181" s="1"/>
  <c r="P36" i="181"/>
  <c r="P62" i="181" s="1"/>
  <c r="N36" i="181"/>
  <c r="N62" i="181" s="1"/>
  <c r="K37" i="181"/>
  <c r="K63" i="181" s="1"/>
  <c r="K35" i="181"/>
  <c r="K61" i="181" s="1"/>
  <c r="K34" i="181"/>
  <c r="K60" i="181" s="1"/>
  <c r="J37" i="181"/>
  <c r="J63" i="181" s="1"/>
  <c r="J35" i="181"/>
  <c r="J61" i="181" s="1"/>
  <c r="J34" i="181"/>
  <c r="J60" i="181" s="1"/>
  <c r="I37" i="181"/>
  <c r="I63" i="181" s="1"/>
  <c r="I35" i="181"/>
  <c r="I61" i="181" s="1"/>
  <c r="I34" i="181"/>
  <c r="I60" i="181" s="1"/>
  <c r="T36" i="181"/>
  <c r="T62" i="181" s="1"/>
  <c r="Q37" i="181"/>
  <c r="Q63" i="181" s="1"/>
  <c r="Q35" i="181"/>
  <c r="Q61" i="181" s="1"/>
  <c r="Q34" i="181"/>
  <c r="Q60" i="181" s="1"/>
  <c r="J36" i="181"/>
  <c r="J62" i="181" s="1"/>
  <c r="O35" i="181"/>
  <c r="O61" i="181" s="1"/>
  <c r="O37" i="181"/>
  <c r="O63" i="181" s="1"/>
  <c r="O34" i="181"/>
  <c r="O60" i="181" s="1"/>
  <c r="S36" i="181"/>
  <c r="S62" i="181" s="1"/>
  <c r="O36" i="181"/>
  <c r="O62" i="181" s="1"/>
  <c r="M36" i="181"/>
  <c r="M62" i="181" s="1"/>
  <c r="S37" i="181"/>
  <c r="S63" i="181" s="1"/>
  <c r="S35" i="181"/>
  <c r="S61" i="181" s="1"/>
  <c r="S34" i="181"/>
  <c r="S60" i="181" s="1"/>
  <c r="L36" i="181"/>
  <c r="L62" i="181" s="1"/>
  <c r="K36" i="181"/>
  <c r="K62" i="181" s="1"/>
  <c r="R36" i="181"/>
  <c r="R62" i="181" s="1"/>
  <c r="BE66" i="188"/>
  <c r="BG63" i="188"/>
  <c r="AD127" i="188"/>
  <c r="BE65" i="188"/>
  <c r="BG36" i="188"/>
  <c r="BG112" i="188"/>
  <c r="AP127" i="188"/>
  <c r="BA112" i="188"/>
  <c r="BI32" i="188"/>
  <c r="BF55" i="188"/>
  <c r="BA55" i="188"/>
  <c r="AE113" i="188"/>
  <c r="K62" i="133"/>
  <c r="BE55" i="188"/>
  <c r="BJ55" i="188"/>
  <c r="BF78" i="188"/>
  <c r="BH78" i="188"/>
  <c r="BJ78" i="188"/>
  <c r="BG55" i="188"/>
  <c r="CE119" i="188"/>
  <c r="BA92" i="188"/>
  <c r="CC119" i="188"/>
  <c r="AZ40" i="188"/>
  <c r="CA56" i="188"/>
  <c r="CA58" i="188"/>
  <c r="DF26" i="188"/>
  <c r="BB77" i="188"/>
  <c r="BH55" i="188"/>
  <c r="BD55" i="188"/>
  <c r="BI55" i="188"/>
  <c r="AU127" i="188"/>
  <c r="BF112" i="188"/>
  <c r="BK55" i="188"/>
  <c r="BD107" i="188"/>
  <c r="CE127" i="188"/>
  <c r="L32" i="181"/>
  <c r="BK54" i="188"/>
  <c r="BH65" i="188"/>
  <c r="AH127" i="188"/>
  <c r="BB32" i="188"/>
  <c r="BF48" i="188"/>
  <c r="AZ115" i="188"/>
  <c r="BD112" i="188"/>
  <c r="BJ32" i="188"/>
  <c r="F25" i="192"/>
  <c r="F99" i="192" s="1"/>
  <c r="D18" i="193"/>
  <c r="DI5" i="188"/>
  <c r="AZ111" i="188"/>
  <c r="CG119" i="188"/>
  <c r="L15" i="199"/>
  <c r="L21" i="199" s="1"/>
  <c r="BC6" i="188"/>
  <c r="BI112" i="188"/>
  <c r="BG92" i="188"/>
  <c r="CD116" i="188"/>
  <c r="CJ119" i="188"/>
  <c r="F22" i="193"/>
  <c r="F71" i="193" s="1"/>
  <c r="D9" i="175"/>
  <c r="D11" i="175" s="1"/>
  <c r="BJ6" i="188"/>
  <c r="BF111" i="188"/>
  <c r="AZ112" i="188"/>
  <c r="AZ82" i="188"/>
  <c r="BK112" i="188"/>
  <c r="J119" i="188"/>
  <c r="DI119" i="188" s="1"/>
  <c r="BE32" i="188"/>
  <c r="BG77" i="188"/>
  <c r="CK119" i="188"/>
  <c r="AD117" i="188"/>
  <c r="AF117" i="188"/>
  <c r="BB104" i="188"/>
  <c r="AZ6" i="188"/>
  <c r="BH112" i="188"/>
  <c r="BB112" i="188"/>
  <c r="BZ119" i="188"/>
  <c r="O32" i="175"/>
  <c r="I112" i="188"/>
  <c r="CI112" i="188" s="1"/>
  <c r="E53" i="193"/>
  <c r="CI77" i="188"/>
  <c r="BJ92" i="188"/>
  <c r="M53" i="35"/>
  <c r="L53" i="35"/>
  <c r="N53" i="35"/>
  <c r="O53" i="35"/>
  <c r="R53" i="35"/>
  <c r="Q53" i="35"/>
  <c r="P53" i="35"/>
  <c r="L37" i="124"/>
  <c r="P160" i="137"/>
  <c r="T212" i="58"/>
  <c r="U212" i="58"/>
  <c r="W212" i="58"/>
  <c r="R212" i="58"/>
  <c r="V212" i="58"/>
  <c r="S212" i="58"/>
  <c r="E9" i="196"/>
  <c r="Y14" i="58"/>
  <c r="X103" i="58"/>
  <c r="V218" i="58"/>
  <c r="P218" i="58"/>
  <c r="T218" i="58"/>
  <c r="S218" i="58"/>
  <c r="Q218" i="58"/>
  <c r="W218" i="58"/>
  <c r="R218" i="58"/>
  <c r="U218" i="58"/>
  <c r="AS115" i="133"/>
  <c r="AS117" i="133" s="1"/>
  <c r="S367" i="58"/>
  <c r="L367" i="58"/>
  <c r="L327" i="58"/>
  <c r="V327" i="58"/>
  <c r="T327" i="58"/>
  <c r="M327" i="58"/>
  <c r="O218" i="58"/>
  <c r="S327" i="58"/>
  <c r="L321" i="58"/>
  <c r="L326" i="58" s="1"/>
  <c r="L359" i="58"/>
  <c r="L366" i="58" s="1"/>
  <c r="F401" i="110"/>
  <c r="E401" i="110" s="1"/>
  <c r="F413" i="110"/>
  <c r="E413" i="110" s="1"/>
  <c r="F437" i="110"/>
  <c r="E437" i="110" s="1"/>
  <c r="F425" i="110"/>
  <c r="E425" i="110" s="1"/>
  <c r="F439" i="110"/>
  <c r="E439" i="110" s="1"/>
  <c r="F415" i="110"/>
  <c r="E415" i="110" s="1"/>
  <c r="F427" i="110"/>
  <c r="E427" i="110" s="1"/>
  <c r="H5" i="110"/>
  <c r="AB5" i="110" s="1"/>
  <c r="AE5" i="110" s="1"/>
  <c r="F436" i="110"/>
  <c r="E436" i="110" s="1"/>
  <c r="F412" i="110"/>
  <c r="E412" i="110" s="1"/>
  <c r="F424" i="110"/>
  <c r="E424" i="110" s="1"/>
  <c r="F91" i="110"/>
  <c r="I91" i="110" s="1"/>
  <c r="AC91" i="110" s="1"/>
  <c r="AF91" i="110" s="1"/>
  <c r="F438" i="110"/>
  <c r="E438" i="110" s="1"/>
  <c r="F414" i="110"/>
  <c r="E414" i="110" s="1"/>
  <c r="F426" i="110"/>
  <c r="E426" i="110" s="1"/>
  <c r="F430" i="110"/>
  <c r="E430" i="110" s="1"/>
  <c r="F442" i="110"/>
  <c r="E442" i="110" s="1"/>
  <c r="F418" i="110"/>
  <c r="E418" i="110" s="1"/>
  <c r="I9" i="110"/>
  <c r="AC9" i="110" s="1"/>
  <c r="AF9" i="110" s="1"/>
  <c r="F440" i="110"/>
  <c r="E440" i="110" s="1"/>
  <c r="F428" i="110"/>
  <c r="E428" i="110" s="1"/>
  <c r="F416" i="110"/>
  <c r="E416" i="110" s="1"/>
  <c r="F94" i="110"/>
  <c r="G94" i="110" s="1"/>
  <c r="O94" i="110" s="1"/>
  <c r="F429" i="110"/>
  <c r="E429" i="110" s="1"/>
  <c r="F441" i="110"/>
  <c r="E441" i="110" s="1"/>
  <c r="F417" i="110"/>
  <c r="E417" i="110" s="1"/>
  <c r="V110" i="110"/>
  <c r="V122" i="110"/>
  <c r="Q367" i="58"/>
  <c r="U367" i="58"/>
  <c r="O367" i="58"/>
  <c r="I48" i="110"/>
  <c r="AC48" i="110" s="1"/>
  <c r="AF48" i="110" s="1"/>
  <c r="T367" i="58"/>
  <c r="W327" i="58"/>
  <c r="D13" i="157"/>
  <c r="AO69" i="133"/>
  <c r="P367" i="58"/>
  <c r="R367" i="58"/>
  <c r="W367" i="58"/>
  <c r="T365" i="58"/>
  <c r="T366" i="58" s="1"/>
  <c r="R365" i="58"/>
  <c r="R366" i="58" s="1"/>
  <c r="U327" i="58"/>
  <c r="R327" i="58"/>
  <c r="U365" i="58"/>
  <c r="U366" i="58" s="1"/>
  <c r="P327" i="58"/>
  <c r="Q327" i="58"/>
  <c r="O365" i="58"/>
  <c r="O366" i="58" s="1"/>
  <c r="P365" i="58"/>
  <c r="P366" i="58" s="1"/>
  <c r="O327" i="58"/>
  <c r="M367" i="58"/>
  <c r="I111" i="188"/>
  <c r="BZ111" i="188" s="1"/>
  <c r="BH98" i="188"/>
  <c r="BA104" i="188"/>
  <c r="BB76" i="188"/>
  <c r="BD111" i="188"/>
  <c r="EG5" i="188"/>
  <c r="L98" i="193"/>
  <c r="G37" i="193" s="1"/>
  <c r="BF104" i="188"/>
  <c r="BC55" i="188"/>
  <c r="BG99" i="188"/>
  <c r="BK104" i="188"/>
  <c r="I21" i="199"/>
  <c r="BH76" i="188"/>
  <c r="J10" i="157"/>
  <c r="AL85" i="188"/>
  <c r="BI104" i="188"/>
  <c r="I105" i="188"/>
  <c r="J105" i="188" s="1"/>
  <c r="DI105" i="188" s="1"/>
  <c r="BD70" i="188"/>
  <c r="BI36" i="188"/>
  <c r="I70" i="188"/>
  <c r="CD70" i="188" s="1"/>
  <c r="E46" i="175"/>
  <c r="BF65" i="188"/>
  <c r="BG66" i="188"/>
  <c r="AB127" i="188"/>
  <c r="E13" i="192"/>
  <c r="AL90" i="188"/>
  <c r="BC123" i="188"/>
  <c r="BC127" i="188" s="1"/>
  <c r="AL89" i="188"/>
  <c r="CF116" i="188"/>
  <c r="AC8" i="188"/>
  <c r="R24" i="188"/>
  <c r="EI5" i="188"/>
  <c r="BZ77" i="188"/>
  <c r="CG116" i="188"/>
  <c r="EI127" i="188"/>
  <c r="BB99" i="188"/>
  <c r="BE40" i="188"/>
  <c r="CH116" i="188"/>
  <c r="I55" i="188"/>
  <c r="CD55" i="188" s="1"/>
  <c r="BE101" i="188"/>
  <c r="BC70" i="188"/>
  <c r="BK111" i="188"/>
  <c r="CH35" i="188"/>
  <c r="CH56" i="188"/>
  <c r="CK58" i="188"/>
  <c r="CJ116" i="188"/>
  <c r="CC120" i="188"/>
  <c r="F13" i="192"/>
  <c r="F98" i="192" s="1"/>
  <c r="BC111" i="188"/>
  <c r="I98" i="188"/>
  <c r="BZ98" i="188" s="1"/>
  <c r="J21" i="199"/>
  <c r="BC76" i="188"/>
  <c r="BI111" i="188"/>
  <c r="BG70" i="188"/>
  <c r="BA101" i="188"/>
  <c r="CC41" i="188"/>
  <c r="BB66" i="188"/>
  <c r="BH104" i="188"/>
  <c r="BB101" i="188"/>
  <c r="BC104" i="188"/>
  <c r="BG111" i="188"/>
  <c r="BD30" i="188"/>
  <c r="BI40" i="188"/>
  <c r="CK65" i="188"/>
  <c r="AL73" i="188"/>
  <c r="E39" i="124"/>
  <c r="BG104" i="188"/>
  <c r="BK77" i="188"/>
  <c r="BJ70" i="188"/>
  <c r="BJ104" i="188"/>
  <c r="BE104" i="188"/>
  <c r="BB70" i="188"/>
  <c r="BH111" i="188"/>
  <c r="H8" i="175"/>
  <c r="CK116" i="188"/>
  <c r="BB55" i="188"/>
  <c r="BE112" i="188"/>
  <c r="I104" i="188"/>
  <c r="BZ104" i="188" s="1"/>
  <c r="AF5" i="188"/>
  <c r="CZ29" i="188"/>
  <c r="BE30" i="188"/>
  <c r="BJ40" i="188"/>
  <c r="AZ48" i="188"/>
  <c r="CE116" i="188"/>
  <c r="BD104" i="188"/>
  <c r="BA111" i="188"/>
  <c r="BB7" i="188"/>
  <c r="BF30" i="188"/>
  <c r="BF61" i="188"/>
  <c r="BH70" i="188"/>
  <c r="BE111" i="188"/>
  <c r="BJ27" i="188"/>
  <c r="AZ77" i="188"/>
  <c r="BB111" i="188"/>
  <c r="BJ112" i="188"/>
  <c r="AN115" i="133"/>
  <c r="AN117" i="133" s="1"/>
  <c r="V48" i="133"/>
  <c r="B117" i="193"/>
  <c r="BE105" i="188"/>
  <c r="EI19" i="188"/>
  <c r="BG6" i="188"/>
  <c r="BG40" i="188"/>
  <c r="I9" i="175"/>
  <c r="I11" i="175" s="1"/>
  <c r="BY124" i="188"/>
  <c r="BD6" i="188"/>
  <c r="AO115" i="133"/>
  <c r="AO117" i="133" s="1"/>
  <c r="T23" i="193"/>
  <c r="AX29" i="188"/>
  <c r="BY35" i="188"/>
  <c r="BG65" i="188"/>
  <c r="BH66" i="188"/>
  <c r="AL84" i="188"/>
  <c r="EG19" i="188"/>
  <c r="BC114" i="188"/>
  <c r="BJ24" i="188"/>
  <c r="BC66" i="188"/>
  <c r="BB38" i="188"/>
  <c r="CA119" i="188"/>
  <c r="CI29" i="188"/>
  <c r="BI30" i="188"/>
  <c r="BA32" i="188"/>
  <c r="CD35" i="188"/>
  <c r="CK48" i="188"/>
  <c r="BH61" i="188"/>
  <c r="BA77" i="188"/>
  <c r="BB92" i="188"/>
  <c r="BA38" i="188"/>
  <c r="BJ107" i="188"/>
  <c r="BE54" i="188"/>
  <c r="BG38" i="188"/>
  <c r="BD38" i="188"/>
  <c r="AU115" i="133"/>
  <c r="AU117" i="133" s="1"/>
  <c r="ED5" i="188"/>
  <c r="EA5" i="188"/>
  <c r="BA30" i="188"/>
  <c r="AI44" i="133"/>
  <c r="AS26" i="188"/>
  <c r="AY26" i="188" s="1"/>
  <c r="BF107" i="188"/>
  <c r="BJ115" i="188"/>
  <c r="BD54" i="188"/>
  <c r="BH38" i="188"/>
  <c r="J62" i="133"/>
  <c r="BG105" i="188"/>
  <c r="P140" i="188"/>
  <c r="AA5" i="188"/>
  <c r="BE38" i="188"/>
  <c r="D17" i="193"/>
  <c r="BH103" i="188"/>
  <c r="BK107" i="188"/>
  <c r="DV127" i="188"/>
  <c r="BC54" i="188"/>
  <c r="BF37" i="188"/>
  <c r="Y48" i="188"/>
  <c r="BH54" i="188"/>
  <c r="BE103" i="188"/>
  <c r="I107" i="188"/>
  <c r="CK107" i="188" s="1"/>
  <c r="BF54" i="188"/>
  <c r="BI37" i="188"/>
  <c r="N61" i="133"/>
  <c r="BY118" i="188"/>
  <c r="BB103" i="188"/>
  <c r="BA107" i="188"/>
  <c r="DR26" i="188"/>
  <c r="EE26" i="188" s="1"/>
  <c r="CC26" i="188"/>
  <c r="CL26" i="188" s="1"/>
  <c r="BH37" i="188"/>
  <c r="P61" i="133"/>
  <c r="BG32" i="188"/>
  <c r="DH5" i="188"/>
  <c r="P122" i="188"/>
  <c r="AK115" i="133"/>
  <c r="AK117" i="133" s="1"/>
  <c r="BC107" i="188"/>
  <c r="BI105" i="188"/>
  <c r="BI107" i="188"/>
  <c r="Y105" i="188"/>
  <c r="K61" i="133"/>
  <c r="BH32" i="188"/>
  <c r="BA40" i="188"/>
  <c r="AZ65" i="188"/>
  <c r="BA66" i="188"/>
  <c r="BH77" i="188"/>
  <c r="AW93" i="133"/>
  <c r="I93" i="133"/>
  <c r="BG107" i="188"/>
  <c r="BA105" i="188"/>
  <c r="BB6" i="188"/>
  <c r="EK5" i="188"/>
  <c r="DA5" i="188"/>
  <c r="BF77" i="188"/>
  <c r="E25" i="192"/>
  <c r="BK105" i="188"/>
  <c r="AZ107" i="188"/>
  <c r="AC117" i="188"/>
  <c r="BH105" i="188"/>
  <c r="DM127" i="188"/>
  <c r="BA6" i="188"/>
  <c r="CI119" i="188"/>
  <c r="AV115" i="133"/>
  <c r="AV117" i="133" s="1"/>
  <c r="P16" i="157"/>
  <c r="BI3" i="188"/>
  <c r="BI5" i="188" s="1"/>
  <c r="EB19" i="188"/>
  <c r="BB54" i="188"/>
  <c r="BC38" i="188"/>
  <c r="EK19" i="188"/>
  <c r="CZ5" i="188"/>
  <c r="BD32" i="188"/>
  <c r="CE56" i="188"/>
  <c r="CE58" i="188"/>
  <c r="BD77" i="188"/>
  <c r="H49" i="124"/>
  <c r="BE110" i="188"/>
  <c r="AZ75" i="188"/>
  <c r="CF41" i="188"/>
  <c r="CB58" i="188"/>
  <c r="BA103" i="188"/>
  <c r="BD69" i="188"/>
  <c r="BH36" i="188"/>
  <c r="CK56" i="188"/>
  <c r="BA3" i="188"/>
  <c r="BA5" i="188" s="1"/>
  <c r="EC19" i="188"/>
  <c r="BG54" i="188"/>
  <c r="F65" i="192"/>
  <c r="CJ110" i="188"/>
  <c r="BA36" i="188"/>
  <c r="BJ54" i="188"/>
  <c r="BB41" i="188"/>
  <c r="BE77" i="188"/>
  <c r="F62" i="133"/>
  <c r="AZ103" i="188"/>
  <c r="BB110" i="188"/>
  <c r="BZ59" i="188"/>
  <c r="BF3" i="188"/>
  <c r="BF5" i="188" s="1"/>
  <c r="ED19" i="188"/>
  <c r="I54" i="188"/>
  <c r="CE54" i="188" s="1"/>
  <c r="CG110" i="188"/>
  <c r="BP28" i="188"/>
  <c r="BP29" i="188" s="1"/>
  <c r="BF38" i="188"/>
  <c r="AI5" i="188"/>
  <c r="BF32" i="188"/>
  <c r="CG58" i="188"/>
  <c r="AZ5" i="188"/>
  <c r="BI103" i="188"/>
  <c r="BK110" i="188"/>
  <c r="DY89" i="188"/>
  <c r="BG110" i="188"/>
  <c r="CC110" i="188"/>
  <c r="AZ80" i="188"/>
  <c r="DD24" i="188"/>
  <c r="AW144" i="133"/>
  <c r="BK3" i="188"/>
  <c r="BK5" i="188" s="1"/>
  <c r="I115" i="188"/>
  <c r="CF115" i="188" s="1"/>
  <c r="M9" i="175"/>
  <c r="BH3" i="188"/>
  <c r="BH5" i="188" s="1"/>
  <c r="DX26" i="188"/>
  <c r="EK26" i="188" s="1"/>
  <c r="EK29" i="188" s="1"/>
  <c r="CC58" i="188"/>
  <c r="BC110" i="188"/>
  <c r="CI110" i="188"/>
  <c r="BC103" i="188"/>
  <c r="BJ110" i="188"/>
  <c r="G46" i="175"/>
  <c r="Y5" i="188"/>
  <c r="AA14" i="188"/>
  <c r="CL11" i="188"/>
  <c r="BI77" i="188"/>
  <c r="CA117" i="188"/>
  <c r="CE24" i="188"/>
  <c r="CI56" i="188"/>
  <c r="BB3" i="188"/>
  <c r="BB5" i="188" s="1"/>
  <c r="BF110" i="188"/>
  <c r="BE115" i="188"/>
  <c r="BF101" i="188"/>
  <c r="I103" i="188"/>
  <c r="CC103" i="188" s="1"/>
  <c r="BD3" i="188"/>
  <c r="BD5" i="188" s="1"/>
  <c r="CH58" i="188"/>
  <c r="BF115" i="188"/>
  <c r="CD110" i="188"/>
  <c r="BI38" i="188"/>
  <c r="F8" i="175"/>
  <c r="CF119" i="188"/>
  <c r="U166" i="137"/>
  <c r="BD110" i="188"/>
  <c r="CZ24" i="188"/>
  <c r="J120" i="188"/>
  <c r="DI120" i="188" s="1"/>
  <c r="BH110" i="188"/>
  <c r="BJ101" i="188"/>
  <c r="EA19" i="188"/>
  <c r="BF103" i="188"/>
  <c r="BB40" i="188"/>
  <c r="J56" i="188"/>
  <c r="DH56" i="188" s="1"/>
  <c r="CE110" i="188"/>
  <c r="BF33" i="188"/>
  <c r="CH120" i="188"/>
  <c r="L10" i="157"/>
  <c r="BZ56" i="188"/>
  <c r="CI24" i="188"/>
  <c r="CG120" i="188"/>
  <c r="I101" i="188"/>
  <c r="CD101" i="188" s="1"/>
  <c r="J58" i="188"/>
  <c r="DG58" i="188" s="1"/>
  <c r="AE102" i="188"/>
  <c r="BH115" i="188"/>
  <c r="J45" i="175"/>
  <c r="J46" i="175" s="1"/>
  <c r="BF40" i="188"/>
  <c r="AP29" i="188"/>
  <c r="CB110" i="188"/>
  <c r="AC116" i="188"/>
  <c r="J11" i="175"/>
  <c r="CA5" i="188"/>
  <c r="CB116" i="188"/>
  <c r="CF118" i="188"/>
  <c r="CH119" i="188"/>
  <c r="BG3" i="188"/>
  <c r="BG5" i="188" s="1"/>
  <c r="BA110" i="188"/>
  <c r="DB110" i="188"/>
  <c r="BZ120" i="188"/>
  <c r="EE19" i="188"/>
  <c r="BD101" i="188"/>
  <c r="S29" i="188"/>
  <c r="CJ56" i="188"/>
  <c r="F102" i="188"/>
  <c r="AK102" i="188" s="1"/>
  <c r="AK122" i="188" s="1"/>
  <c r="BG115" i="188"/>
  <c r="CG56" i="188"/>
  <c r="AZ38" i="188"/>
  <c r="I38" i="188"/>
  <c r="CA110" i="188"/>
  <c r="CJ120" i="188"/>
  <c r="CF110" i="188"/>
  <c r="BF24" i="188"/>
  <c r="DH24" i="188"/>
  <c r="CI58" i="188"/>
  <c r="BJ103" i="188"/>
  <c r="AZ101" i="188"/>
  <c r="AD102" i="188"/>
  <c r="BK115" i="188"/>
  <c r="CH110" i="188"/>
  <c r="BE3" i="188"/>
  <c r="BE5" i="188" s="1"/>
  <c r="BI115" i="188"/>
  <c r="BI101" i="188"/>
  <c r="BP127" i="188"/>
  <c r="BB81" i="188"/>
  <c r="BG98" i="188"/>
  <c r="CK110" i="188"/>
  <c r="CD120" i="188"/>
  <c r="AW127" i="188"/>
  <c r="CY119" i="188"/>
  <c r="BA127" i="188"/>
  <c r="BJ3" i="188"/>
  <c r="BJ5" i="188" s="1"/>
  <c r="BC101" i="188"/>
  <c r="BH81" i="188"/>
  <c r="BK98" i="188"/>
  <c r="I114" i="188"/>
  <c r="CH114" i="188" s="1"/>
  <c r="AD116" i="188"/>
  <c r="AL96" i="188"/>
  <c r="Z127" i="188"/>
  <c r="CW27" i="188"/>
  <c r="DW27" i="188" s="1"/>
  <c r="BC3" i="188"/>
  <c r="BC5" i="188" s="1"/>
  <c r="BI110" i="188"/>
  <c r="BG101" i="188"/>
  <c r="CF120" i="188"/>
  <c r="AZ78" i="188"/>
  <c r="CA35" i="188"/>
  <c r="BJ98" i="188"/>
  <c r="BH114" i="188"/>
  <c r="CD5" i="188"/>
  <c r="BP97" i="188"/>
  <c r="BY77" i="188"/>
  <c r="AL78" i="188"/>
  <c r="AL81" i="188"/>
  <c r="AL83" i="188"/>
  <c r="BK101" i="188"/>
  <c r="BD78" i="188"/>
  <c r="J35" i="188"/>
  <c r="DE35" i="188" s="1"/>
  <c r="BD98" i="188"/>
  <c r="BI54" i="188"/>
  <c r="BJ38" i="188"/>
  <c r="BK78" i="188"/>
  <c r="AZ81" i="188"/>
  <c r="H65" i="192"/>
  <c r="AK5" i="188"/>
  <c r="CE5" i="188"/>
  <c r="BG30" i="188"/>
  <c r="BZ57" i="188"/>
  <c r="BZ58" i="188"/>
  <c r="BH62" i="188"/>
  <c r="BE63" i="188"/>
  <c r="BI63" i="188"/>
  <c r="BK65" i="188"/>
  <c r="CG77" i="188"/>
  <c r="AZ98" i="188"/>
  <c r="BI81" i="188"/>
  <c r="BK103" i="188"/>
  <c r="CC77" i="188"/>
  <c r="BH75" i="188"/>
  <c r="BG78" i="188"/>
  <c r="BA78" i="188"/>
  <c r="AE116" i="188"/>
  <c r="CC56" i="188"/>
  <c r="CB65" i="188"/>
  <c r="CJ77" i="188"/>
  <c r="CD77" i="188"/>
  <c r="BD103" i="188"/>
  <c r="AZ110" i="188"/>
  <c r="BF36" i="188"/>
  <c r="BI78" i="188"/>
  <c r="AZ54" i="188"/>
  <c r="T25" i="193"/>
  <c r="BZ29" i="188"/>
  <c r="DI29" i="188"/>
  <c r="AG29" i="188"/>
  <c r="BK30" i="188"/>
  <c r="BH31" i="188"/>
  <c r="BC32" i="188"/>
  <c r="BE48" i="188"/>
  <c r="CD56" i="188"/>
  <c r="CD58" i="188"/>
  <c r="BA61" i="188"/>
  <c r="CC65" i="188"/>
  <c r="BC77" i="188"/>
  <c r="CK77" i="188"/>
  <c r="DJ110" i="188"/>
  <c r="K110" i="188"/>
  <c r="DI110" i="188"/>
  <c r="DK110" i="188"/>
  <c r="DH110" i="188"/>
  <c r="DA110" i="188"/>
  <c r="L62" i="133"/>
  <c r="DR127" i="188"/>
  <c r="BU28" i="188"/>
  <c r="BZ35" i="188"/>
  <c r="BI114" i="188"/>
  <c r="N56" i="192"/>
  <c r="O50" i="192"/>
  <c r="G50" i="133"/>
  <c r="G51" i="133" s="1"/>
  <c r="I62" i="133"/>
  <c r="M62" i="133"/>
  <c r="H62" i="133"/>
  <c r="P62" i="133"/>
  <c r="O62" i="133"/>
  <c r="G62" i="133"/>
  <c r="DC110" i="188"/>
  <c r="DX122" i="188"/>
  <c r="CK35" i="188"/>
  <c r="DP127" i="188"/>
  <c r="N62" i="133"/>
  <c r="AJ10" i="133"/>
  <c r="AK10" i="133" s="1"/>
  <c r="AI49" i="133"/>
  <c r="L164" i="137"/>
  <c r="L166" i="137" s="1"/>
  <c r="BW127" i="188"/>
  <c r="AT127" i="188"/>
  <c r="CI5" i="188"/>
  <c r="EC5" i="188"/>
  <c r="BT28" i="188"/>
  <c r="CT28" i="188" s="1"/>
  <c r="BG28" i="188"/>
  <c r="BI62" i="188"/>
  <c r="BA72" i="188"/>
  <c r="BG72" i="188"/>
  <c r="BC72" i="188"/>
  <c r="BI72" i="188"/>
  <c r="BD72" i="188"/>
  <c r="AD80" i="188"/>
  <c r="AD97" i="188" s="1"/>
  <c r="Y80" i="188"/>
  <c r="Q97" i="188"/>
  <c r="Q130" i="188" s="1"/>
  <c r="I100" i="188"/>
  <c r="CH100" i="188" s="1"/>
  <c r="AZ100" i="188"/>
  <c r="BA100" i="188"/>
  <c r="BC100" i="188"/>
  <c r="BD100" i="188"/>
  <c r="BF100" i="188"/>
  <c r="BB100" i="188"/>
  <c r="BH100" i="188"/>
  <c r="BG100" i="188"/>
  <c r="BJ100" i="188"/>
  <c r="BE100" i="188"/>
  <c r="BK100" i="188"/>
  <c r="BU135" i="188"/>
  <c r="DP135" i="188"/>
  <c r="Y106" i="188"/>
  <c r="P141" i="188"/>
  <c r="AC106" i="188"/>
  <c r="AL106" i="188" s="1"/>
  <c r="CT143" i="188"/>
  <c r="DE110" i="188"/>
  <c r="M164" i="137"/>
  <c r="M166" i="137" s="1"/>
  <c r="CO134" i="188"/>
  <c r="CQ145" i="188"/>
  <c r="DD110" i="188"/>
  <c r="I64" i="192"/>
  <c r="E19" i="157"/>
  <c r="E10" i="157"/>
  <c r="CQ143" i="188"/>
  <c r="AU6" i="133"/>
  <c r="AU8" i="133" s="1"/>
  <c r="AT45" i="133"/>
  <c r="AT47" i="133" s="1"/>
  <c r="AT87" i="133" s="1"/>
  <c r="L11" i="133"/>
  <c r="K50" i="133"/>
  <c r="BH123" i="188"/>
  <c r="BH127" i="188" s="1"/>
  <c r="DC124" i="188"/>
  <c r="DC127" i="188" s="1"/>
  <c r="CP127" i="188"/>
  <c r="J10" i="192"/>
  <c r="I65" i="192"/>
  <c r="BG127" i="188"/>
  <c r="CZ110" i="188"/>
  <c r="CF24" i="188"/>
  <c r="CG35" i="188"/>
  <c r="CF35" i="188"/>
  <c r="CC35" i="188"/>
  <c r="I62" i="188"/>
  <c r="CE62" i="188" s="1"/>
  <c r="AZ62" i="188"/>
  <c r="BG62" i="188"/>
  <c r="BK63" i="188"/>
  <c r="BI75" i="188"/>
  <c r="BK75" i="188"/>
  <c r="BD75" i="188"/>
  <c r="BJ75" i="188"/>
  <c r="I75" i="188"/>
  <c r="CC75" i="188" s="1"/>
  <c r="BB75" i="188"/>
  <c r="BF75" i="188"/>
  <c r="DL96" i="188"/>
  <c r="BV135" i="188"/>
  <c r="DQ135" i="188"/>
  <c r="BT138" i="188"/>
  <c r="CS145" i="188"/>
  <c r="DF110" i="188"/>
  <c r="EB5" i="188"/>
  <c r="BJ28" i="188"/>
  <c r="AW29" i="188"/>
  <c r="Z74" i="188"/>
  <c r="BJ36" i="188"/>
  <c r="BB36" i="188"/>
  <c r="BC36" i="188"/>
  <c r="BK36" i="188"/>
  <c r="BD36" i="188"/>
  <c r="AZ36" i="188"/>
  <c r="I36" i="188"/>
  <c r="AB97" i="188"/>
  <c r="DP142" i="188"/>
  <c r="CV143" i="188"/>
  <c r="AF123" i="188"/>
  <c r="AF127" i="188" s="1"/>
  <c r="S127" i="188"/>
  <c r="BD114" i="188"/>
  <c r="AZ114" i="188"/>
  <c r="BF114" i="188"/>
  <c r="BJ114" i="188"/>
  <c r="BK114" i="188"/>
  <c r="BA114" i="188"/>
  <c r="BE114" i="188"/>
  <c r="BR135" i="188"/>
  <c r="AE109" i="188"/>
  <c r="AD109" i="188"/>
  <c r="CR146" i="188"/>
  <c r="E36" i="124"/>
  <c r="E25" i="124"/>
  <c r="E38" i="124" s="1"/>
  <c r="E78" i="137"/>
  <c r="G19" i="110"/>
  <c r="AD19" i="110" s="1"/>
  <c r="BG114" i="188"/>
  <c r="BC109" i="188"/>
  <c r="BB109" i="188"/>
  <c r="BJ109" i="188"/>
  <c r="BG109" i="188"/>
  <c r="BH109" i="188"/>
  <c r="BA109" i="188"/>
  <c r="BF109" i="188"/>
  <c r="AZ109" i="188"/>
  <c r="BI109" i="188"/>
  <c r="AG114" i="188"/>
  <c r="T122" i="188"/>
  <c r="T130" i="188" s="1"/>
  <c r="T149" i="188"/>
  <c r="CY110" i="188"/>
  <c r="BY116" i="188"/>
  <c r="AG8" i="188"/>
  <c r="G8" i="188"/>
  <c r="AF8" i="188"/>
  <c r="BE51" i="188"/>
  <c r="AZ51" i="188"/>
  <c r="CX133" i="188"/>
  <c r="CX122" i="188"/>
  <c r="BC106" i="188"/>
  <c r="AZ106" i="188"/>
  <c r="I106" i="188"/>
  <c r="J106" i="188" s="1"/>
  <c r="DA106" i="188" s="1"/>
  <c r="BK106" i="188"/>
  <c r="BB106" i="188"/>
  <c r="BG106" i="188"/>
  <c r="BJ106" i="188"/>
  <c r="BH106" i="188"/>
  <c r="BF106" i="188"/>
  <c r="BE106" i="188"/>
  <c r="BA106" i="188"/>
  <c r="BD106" i="188"/>
  <c r="BI106" i="188"/>
  <c r="CT146" i="188"/>
  <c r="DZ83" i="188"/>
  <c r="EL83" i="188" s="1"/>
  <c r="DY83" i="188"/>
  <c r="AB9" i="188"/>
  <c r="F9" i="188"/>
  <c r="AD9" i="188"/>
  <c r="BB24" i="188"/>
  <c r="BC50" i="188"/>
  <c r="BE50" i="188"/>
  <c r="BK61" i="188"/>
  <c r="BA75" i="188"/>
  <c r="AE114" i="188"/>
  <c r="I109" i="188"/>
  <c r="CF109" i="188" s="1"/>
  <c r="I50" i="133"/>
  <c r="R21" i="180"/>
  <c r="S21" i="180"/>
  <c r="BC24" i="188"/>
  <c r="ED20" i="188"/>
  <c r="EH20" i="188"/>
  <c r="DZ20" i="188"/>
  <c r="EG20" i="188"/>
  <c r="EI20" i="188"/>
  <c r="EJ20" i="188"/>
  <c r="EA20" i="188"/>
  <c r="EE20" i="188"/>
  <c r="BK76" i="188"/>
  <c r="BI76" i="188"/>
  <c r="BF76" i="188"/>
  <c r="BG76" i="188"/>
  <c r="AZ76" i="188"/>
  <c r="BJ76" i="188"/>
  <c r="I76" i="188"/>
  <c r="CG76" i="188" s="1"/>
  <c r="BD76" i="188"/>
  <c r="F64" i="192"/>
  <c r="H64" i="192"/>
  <c r="CP143" i="188"/>
  <c r="BP138" i="188"/>
  <c r="CV144" i="188"/>
  <c r="DB124" i="188"/>
  <c r="DB127" i="188" s="1"/>
  <c r="CO127" i="188"/>
  <c r="BS135" i="188"/>
  <c r="CR143" i="188"/>
  <c r="AV46" i="133"/>
  <c r="AW7" i="133"/>
  <c r="AW46" i="133" s="1"/>
  <c r="AS122" i="188"/>
  <c r="BF98" i="188"/>
  <c r="AS127" i="188"/>
  <c r="I37" i="124"/>
  <c r="Q37" i="124"/>
  <c r="J37" i="124"/>
  <c r="K37" i="124"/>
  <c r="M37" i="124"/>
  <c r="O37" i="124"/>
  <c r="P37" i="124"/>
  <c r="H37" i="124"/>
  <c r="S20" i="180"/>
  <c r="R20" i="180"/>
  <c r="D79" i="192" s="1"/>
  <c r="I79" i="192" s="1"/>
  <c r="CY5" i="188"/>
  <c r="BA7" i="188"/>
  <c r="BC7" i="188"/>
  <c r="BG7" i="188"/>
  <c r="BK7" i="188"/>
  <c r="BJ7" i="188"/>
  <c r="BD7" i="188"/>
  <c r="AZ7" i="188"/>
  <c r="BE7" i="188"/>
  <c r="BI7" i="188"/>
  <c r="BF7" i="188"/>
  <c r="N160" i="137"/>
  <c r="N164" i="137"/>
  <c r="N166" i="137" s="1"/>
  <c r="BQ138" i="188"/>
  <c r="I80" i="188"/>
  <c r="CF80" i="188" s="1"/>
  <c r="BB80" i="188"/>
  <c r="BF80" i="188"/>
  <c r="AL105" i="188"/>
  <c r="CS143" i="188"/>
  <c r="BO147" i="188"/>
  <c r="BK123" i="188"/>
  <c r="BK127" i="188" s="1"/>
  <c r="AX127" i="188"/>
  <c r="BD63" i="188"/>
  <c r="BD109" i="188"/>
  <c r="AE128" i="188"/>
  <c r="AL128" i="188" s="1"/>
  <c r="H50" i="133"/>
  <c r="DY77" i="188"/>
  <c r="CX97" i="188"/>
  <c r="BV138" i="188"/>
  <c r="BE109" i="188"/>
  <c r="BA62" i="188"/>
  <c r="CA24" i="188"/>
  <c r="BH60" i="188"/>
  <c r="BD60" i="188"/>
  <c r="BG79" i="188"/>
  <c r="AZ79" i="188"/>
  <c r="BD79" i="188"/>
  <c r="BK79" i="188"/>
  <c r="BI79" i="188"/>
  <c r="BH79" i="188"/>
  <c r="BF79" i="188"/>
  <c r="BC79" i="188"/>
  <c r="BJ79" i="188"/>
  <c r="BA79" i="188"/>
  <c r="BE79" i="188"/>
  <c r="BB79" i="188"/>
  <c r="I79" i="188"/>
  <c r="CC79" i="188" s="1"/>
  <c r="BG75" i="188"/>
  <c r="Y114" i="188"/>
  <c r="BA80" i="188"/>
  <c r="F37" i="124"/>
  <c r="BC75" i="188"/>
  <c r="N37" i="124"/>
  <c r="Q62" i="133"/>
  <c r="J50" i="133"/>
  <c r="H10" i="188"/>
  <c r="AK10" i="188" s="1"/>
  <c r="AH10" i="188"/>
  <c r="AJ10" i="188"/>
  <c r="W7" i="133"/>
  <c r="W46" i="133" s="1"/>
  <c r="V46" i="133"/>
  <c r="G41" i="192"/>
  <c r="F86" i="192"/>
  <c r="AG115" i="133"/>
  <c r="AG117" i="133" s="1"/>
  <c r="CI127" i="188"/>
  <c r="DX142" i="188"/>
  <c r="EB124" i="188"/>
  <c r="EB127" i="188" s="1"/>
  <c r="DO127" i="188"/>
  <c r="BK81" i="188"/>
  <c r="AZ105" i="188"/>
  <c r="AN127" i="188"/>
  <c r="AC115" i="133"/>
  <c r="AC117" i="133" s="1"/>
  <c r="AC97" i="188"/>
  <c r="BC99" i="188"/>
  <c r="BK99" i="188"/>
  <c r="BE99" i="188"/>
  <c r="BD99" i="188"/>
  <c r="BJ99" i="188"/>
  <c r="DQ134" i="188"/>
  <c r="BW143" i="188"/>
  <c r="BX146" i="188"/>
  <c r="J116" i="188"/>
  <c r="DH116" i="188" s="1"/>
  <c r="CI116" i="188"/>
  <c r="BZ116" i="188"/>
  <c r="EF127" i="188"/>
  <c r="EC127" i="188"/>
  <c r="AO82" i="133"/>
  <c r="K19" i="157"/>
  <c r="T45" i="133"/>
  <c r="T47" i="133" s="1"/>
  <c r="T87" i="133" s="1"/>
  <c r="AL98" i="188"/>
  <c r="CU135" i="188"/>
  <c r="BC108" i="188"/>
  <c r="BD108" i="188"/>
  <c r="BF108" i="188"/>
  <c r="BH108" i="188"/>
  <c r="BB108" i="188"/>
  <c r="BA108" i="188"/>
  <c r="BG108" i="188"/>
  <c r="CA116" i="188"/>
  <c r="BE62" i="188"/>
  <c r="BC81" i="188"/>
  <c r="BA81" i="188"/>
  <c r="I81" i="188"/>
  <c r="BE81" i="188"/>
  <c r="BF81" i="188"/>
  <c r="AL88" i="188"/>
  <c r="BO135" i="188"/>
  <c r="CV135" i="188"/>
  <c r="BF105" i="188"/>
  <c r="BB105" i="188"/>
  <c r="BC105" i="188"/>
  <c r="BJ105" i="188"/>
  <c r="CK117" i="188"/>
  <c r="U115" i="133"/>
  <c r="U117" i="133" s="1"/>
  <c r="R136" i="188"/>
  <c r="R122" i="188"/>
  <c r="Y101" i="188"/>
  <c r="BY106" i="188"/>
  <c r="BV143" i="188"/>
  <c r="R19" i="192"/>
  <c r="BD81" i="188"/>
  <c r="I8" i="175"/>
  <c r="CF5" i="188"/>
  <c r="AH24" i="188"/>
  <c r="DI24" i="188"/>
  <c r="EJ19" i="188"/>
  <c r="DZ19" i="188"/>
  <c r="EH19" i="188"/>
  <c r="EC26" i="188"/>
  <c r="AO29" i="188"/>
  <c r="BO28" i="188"/>
  <c r="BO29" i="188" s="1"/>
  <c r="BF62" i="188"/>
  <c r="BJ66" i="188"/>
  <c r="BX134" i="188"/>
  <c r="DT134" i="188"/>
  <c r="DT122" i="188"/>
  <c r="CC116" i="188"/>
  <c r="E63" i="192"/>
  <c r="H18" i="192"/>
  <c r="G20" i="192"/>
  <c r="G25" i="192" s="1"/>
  <c r="G99" i="192" s="1"/>
  <c r="CS135" i="188"/>
  <c r="AZ124" i="188"/>
  <c r="AZ127" i="188" s="1"/>
  <c r="AM127" i="188"/>
  <c r="CU127" i="188"/>
  <c r="CP122" i="188"/>
  <c r="BG81" i="188"/>
  <c r="BI99" i="188"/>
  <c r="I99" i="188"/>
  <c r="CD99" i="188" s="1"/>
  <c r="AI29" i="188"/>
  <c r="BJ37" i="188"/>
  <c r="BA37" i="188"/>
  <c r="BK37" i="188"/>
  <c r="BC37" i="188"/>
  <c r="BD37" i="188"/>
  <c r="I37" i="188"/>
  <c r="AZ37" i="188"/>
  <c r="BE37" i="188"/>
  <c r="BB37" i="188"/>
  <c r="BK40" i="188"/>
  <c r="BJ80" i="188"/>
  <c r="CP146" i="188"/>
  <c r="EJ123" i="188"/>
  <c r="EJ127" i="188" s="1"/>
  <c r="DW127" i="188"/>
  <c r="AC113" i="188"/>
  <c r="I78" i="188"/>
  <c r="CI78" i="188" s="1"/>
  <c r="BF70" i="188"/>
  <c r="CB119" i="188"/>
  <c r="DD5" i="188"/>
  <c r="BF31" i="188"/>
  <c r="AZ66" i="188"/>
  <c r="CY77" i="188"/>
  <c r="BT97" i="188"/>
  <c r="CY81" i="188"/>
  <c r="R119" i="192"/>
  <c r="T160" i="137"/>
  <c r="V115" i="133"/>
  <c r="V117" i="133" s="1"/>
  <c r="BY5" i="188"/>
  <c r="EJ5" i="188"/>
  <c r="DA24" i="188"/>
  <c r="BA65" i="188"/>
  <c r="BC78" i="188"/>
  <c r="BI98" i="188"/>
  <c r="CE120" i="188"/>
  <c r="BK70" i="188"/>
  <c r="BD115" i="188"/>
  <c r="BC115" i="133"/>
  <c r="BC117" i="133" s="1"/>
  <c r="AL31" i="188"/>
  <c r="CE35" i="188"/>
  <c r="BF42" i="188"/>
  <c r="BA63" i="188"/>
  <c r="BC65" i="188"/>
  <c r="BJ77" i="188"/>
  <c r="AP97" i="188"/>
  <c r="DY80" i="188"/>
  <c r="DZ127" i="188"/>
  <c r="EH127" i="188"/>
  <c r="R46" i="192"/>
  <c r="AI127" i="188"/>
  <c r="AZ70" i="188"/>
  <c r="DJ5" i="188"/>
  <c r="DG5" i="188"/>
  <c r="BK24" i="188"/>
  <c r="BB62" i="188"/>
  <c r="CY98" i="188"/>
  <c r="BD65" i="188"/>
  <c r="BB115" i="188"/>
  <c r="CA120" i="188"/>
  <c r="BI70" i="188"/>
  <c r="H46" i="175"/>
  <c r="AD5" i="188"/>
  <c r="BB63" i="188"/>
  <c r="DG110" i="188"/>
  <c r="BC115" i="188"/>
  <c r="BE70" i="188"/>
  <c r="AA115" i="133"/>
  <c r="AA117" i="133" s="1"/>
  <c r="AZ115" i="133"/>
  <c r="AZ117" i="133" s="1"/>
  <c r="DY5" i="188"/>
  <c r="AZ31" i="188"/>
  <c r="AZ33" i="188"/>
  <c r="DY34" i="188"/>
  <c r="CI35" i="188"/>
  <c r="BF41" i="188"/>
  <c r="BZ41" i="188"/>
  <c r="CK57" i="188"/>
  <c r="BD62" i="188"/>
  <c r="AL77" i="188"/>
  <c r="CP97" i="188"/>
  <c r="DW28" i="188"/>
  <c r="EJ28" i="188" s="1"/>
  <c r="DJ28" i="188"/>
  <c r="BE33" i="188"/>
  <c r="CK59" i="188"/>
  <c r="CI57" i="188"/>
  <c r="DQ25" i="188"/>
  <c r="ED25" i="188" s="1"/>
  <c r="BH33" i="188"/>
  <c r="I61" i="188"/>
  <c r="CC61" i="188" s="1"/>
  <c r="BF51" i="188"/>
  <c r="CC5" i="188"/>
  <c r="CK5" i="188"/>
  <c r="DF5" i="188"/>
  <c r="Y32" i="188"/>
  <c r="BA50" i="188"/>
  <c r="BI50" i="188"/>
  <c r="BA51" i="188"/>
  <c r="BI51" i="188"/>
  <c r="CA57" i="188"/>
  <c r="BG61" i="188"/>
  <c r="AJ97" i="188"/>
  <c r="BL95" i="188"/>
  <c r="DY124" i="188"/>
  <c r="BJ127" i="188"/>
  <c r="BC51" i="188"/>
  <c r="BK33" i="188"/>
  <c r="CJ59" i="188"/>
  <c r="BC31" i="188"/>
  <c r="CQ29" i="188"/>
  <c r="BG51" i="188"/>
  <c r="CE59" i="188"/>
  <c r="I51" i="188"/>
  <c r="CA51" i="188" s="1"/>
  <c r="BI33" i="188"/>
  <c r="AM29" i="188"/>
  <c r="O25" i="175"/>
  <c r="L8" i="175"/>
  <c r="M8" i="175"/>
  <c r="CY109" i="188"/>
  <c r="AL110" i="188"/>
  <c r="K10" i="157"/>
  <c r="BI61" i="188"/>
  <c r="CC57" i="188"/>
  <c r="CG59" i="188"/>
  <c r="I31" i="188"/>
  <c r="CD31" i="188" s="1"/>
  <c r="AZ61" i="188"/>
  <c r="BB31" i="188"/>
  <c r="BJ69" i="188"/>
  <c r="CC59" i="188"/>
  <c r="BK31" i="188"/>
  <c r="BC33" i="188"/>
  <c r="BJ31" i="188"/>
  <c r="BH82" i="188"/>
  <c r="CF59" i="188"/>
  <c r="DY100" i="188"/>
  <c r="AA127" i="188"/>
  <c r="BD127" i="188"/>
  <c r="P166" i="137"/>
  <c r="BJ61" i="188"/>
  <c r="BK51" i="188"/>
  <c r="CH59" i="188"/>
  <c r="BC61" i="188"/>
  <c r="BF69" i="188"/>
  <c r="CI59" i="188"/>
  <c r="I33" i="188"/>
  <c r="BK29" i="188"/>
  <c r="AH29" i="188"/>
  <c r="BD31" i="188"/>
  <c r="AL32" i="188"/>
  <c r="BB33" i="188"/>
  <c r="BJ33" i="188"/>
  <c r="CY34" i="188"/>
  <c r="AZ41" i="188"/>
  <c r="BH41" i="188"/>
  <c r="BY41" i="188"/>
  <c r="DY41" i="188"/>
  <c r="BG42" i="188"/>
  <c r="AL115" i="188"/>
  <c r="DY116" i="188"/>
  <c r="BL117" i="188"/>
  <c r="CD117" i="188"/>
  <c r="CY117" i="188"/>
  <c r="DY117" i="188"/>
  <c r="CY118" i="188"/>
  <c r="AL119" i="188"/>
  <c r="DY119" i="188"/>
  <c r="CI120" i="188"/>
  <c r="CY120" i="188"/>
  <c r="DY120" i="188"/>
  <c r="DL121" i="188"/>
  <c r="EL121" i="188"/>
  <c r="CJ28" i="188"/>
  <c r="CJ29" i="188" s="1"/>
  <c r="BB61" i="188"/>
  <c r="CG57" i="188"/>
  <c r="BE31" i="188"/>
  <c r="BK69" i="188"/>
  <c r="BA69" i="188"/>
  <c r="BE69" i="188"/>
  <c r="J59" i="188"/>
  <c r="CZ59" i="188" s="1"/>
  <c r="BA33" i="188"/>
  <c r="O130" i="188"/>
  <c r="BM122" i="188"/>
  <c r="CY107" i="188"/>
  <c r="CD57" i="188"/>
  <c r="J57" i="188"/>
  <c r="K57" i="188" s="1"/>
  <c r="AQ29" i="188"/>
  <c r="BD33" i="188"/>
  <c r="CB56" i="188"/>
  <c r="AL87" i="188"/>
  <c r="BL87" i="188"/>
  <c r="AS97" i="188"/>
  <c r="AL99" i="188"/>
  <c r="BY99" i="188"/>
  <c r="BV122" i="188"/>
  <c r="AL118" i="188"/>
  <c r="CK120" i="188"/>
  <c r="R24" i="192"/>
  <c r="CE57" i="188"/>
  <c r="BD51" i="188"/>
  <c r="AL101" i="188"/>
  <c r="AZ28" i="188"/>
  <c r="AZ29" i="188" s="1"/>
  <c r="BL20" i="188"/>
  <c r="DL20" i="188"/>
  <c r="AL21" i="188"/>
  <c r="DY24" i="188"/>
  <c r="AL41" i="188"/>
  <c r="BL84" i="188"/>
  <c r="CL84" i="188"/>
  <c r="CL85" i="188"/>
  <c r="BY114" i="188"/>
  <c r="AL129" i="188"/>
  <c r="S62" i="199"/>
  <c r="N7" i="192"/>
  <c r="M62" i="192"/>
  <c r="CE28" i="188"/>
  <c r="CE29" i="188" s="1"/>
  <c r="CR28" i="188"/>
  <c r="CH41" i="188"/>
  <c r="CI41" i="188"/>
  <c r="CJ41" i="188"/>
  <c r="CB41" i="188"/>
  <c r="CE41" i="188"/>
  <c r="J41" i="188"/>
  <c r="DK41" i="188" s="1"/>
  <c r="CK41" i="188"/>
  <c r="CA41" i="188"/>
  <c r="I8" i="192"/>
  <c r="J6" i="192"/>
  <c r="K6" i="192" s="1"/>
  <c r="L6" i="192" s="1"/>
  <c r="T24" i="193"/>
  <c r="AI144" i="133"/>
  <c r="AX144" i="133"/>
  <c r="R17" i="180"/>
  <c r="D75" i="192" s="1"/>
  <c r="S17" i="180"/>
  <c r="BZ65" i="188"/>
  <c r="CH65" i="188"/>
  <c r="CI65" i="188"/>
  <c r="CA65" i="188"/>
  <c r="CG65" i="188"/>
  <c r="CJ65" i="188"/>
  <c r="CD65" i="188"/>
  <c r="J65" i="188"/>
  <c r="DJ65" i="188" s="1"/>
  <c r="CF77" i="188"/>
  <c r="R62" i="199"/>
  <c r="BY115" i="188"/>
  <c r="DY44" i="188"/>
  <c r="CY99" i="188"/>
  <c r="BX122" i="188"/>
  <c r="DV122" i="188"/>
  <c r="CY100" i="188"/>
  <c r="AO97" i="188"/>
  <c r="I50" i="188"/>
  <c r="CB50" i="188" s="1"/>
  <c r="CE118" i="188"/>
  <c r="CY89" i="188"/>
  <c r="BM127" i="188"/>
  <c r="BE28" i="188"/>
  <c r="BE29" i="188" s="1"/>
  <c r="AR127" i="188"/>
  <c r="I113" i="188"/>
  <c r="BJ82" i="188"/>
  <c r="AL46" i="188"/>
  <c r="BJ50" i="188"/>
  <c r="BJ51" i="188"/>
  <c r="CJ57" i="188"/>
  <c r="E80" i="192"/>
  <c r="P106" i="133"/>
  <c r="CY95" i="188"/>
  <c r="P74" i="188"/>
  <c r="AL27" i="188"/>
  <c r="BY80" i="188"/>
  <c r="CC127" i="188"/>
  <c r="AR29" i="188"/>
  <c r="CJ117" i="188"/>
  <c r="BK60" i="188"/>
  <c r="BH113" i="188"/>
  <c r="BC82" i="188"/>
  <c r="CY83" i="188"/>
  <c r="CN122" i="188"/>
  <c r="BD42" i="188"/>
  <c r="CH118" i="188"/>
  <c r="CG117" i="188"/>
  <c r="G8" i="192"/>
  <c r="G13" i="192" s="1"/>
  <c r="G98" i="192" s="1"/>
  <c r="BG82" i="188"/>
  <c r="C8" i="175"/>
  <c r="F11" i="175"/>
  <c r="AH5" i="188"/>
  <c r="AL45" i="188"/>
  <c r="BL85" i="188"/>
  <c r="BL116" i="188"/>
  <c r="CY116" i="188"/>
  <c r="DM122" i="188"/>
  <c r="DS122" i="188"/>
  <c r="DY118" i="188"/>
  <c r="CL121" i="188"/>
  <c r="BY100" i="188"/>
  <c r="BD82" i="188"/>
  <c r="AY90" i="188"/>
  <c r="BP122" i="188"/>
  <c r="DS127" i="188"/>
  <c r="EL89" i="188"/>
  <c r="BK42" i="188"/>
  <c r="DY84" i="188"/>
  <c r="DY126" i="188"/>
  <c r="CB117" i="188"/>
  <c r="BG50" i="188"/>
  <c r="BC60" i="188"/>
  <c r="BI82" i="188"/>
  <c r="BJ60" i="188"/>
  <c r="BE41" i="188"/>
  <c r="Y92" i="188"/>
  <c r="CY80" i="188"/>
  <c r="I12" i="192"/>
  <c r="BA41" i="188"/>
  <c r="BZ110" i="188"/>
  <c r="I82" i="188"/>
  <c r="CK82" i="188" s="1"/>
  <c r="AY24" i="188"/>
  <c r="BG24" i="188"/>
  <c r="BY40" i="188"/>
  <c r="CY40" i="188"/>
  <c r="DY40" i="188"/>
  <c r="BK41" i="188"/>
  <c r="CG41" i="188"/>
  <c r="CY41" i="188"/>
  <c r="AL42" i="188"/>
  <c r="BJ42" i="188"/>
  <c r="CY42" i="188"/>
  <c r="DY42" i="188"/>
  <c r="AL43" i="188"/>
  <c r="AL112" i="188"/>
  <c r="CY112" i="188"/>
  <c r="AL126" i="188"/>
  <c r="AJ127" i="188"/>
  <c r="P111" i="193"/>
  <c r="AV69" i="133"/>
  <c r="T166" i="137"/>
  <c r="CD41" i="188"/>
  <c r="AY80" i="188"/>
  <c r="AQ127" i="188"/>
  <c r="BY107" i="188"/>
  <c r="BY104" i="188"/>
  <c r="BH42" i="188"/>
  <c r="AZ50" i="188"/>
  <c r="BF60" i="188"/>
  <c r="BB82" i="188"/>
  <c r="BD113" i="188"/>
  <c r="CS122" i="188"/>
  <c r="BY120" i="188"/>
  <c r="BS97" i="188"/>
  <c r="BH50" i="188"/>
  <c r="R97" i="188"/>
  <c r="BB29" i="188"/>
  <c r="BV134" i="188"/>
  <c r="DU127" i="188"/>
  <c r="BW29" i="188"/>
  <c r="J9" i="192"/>
  <c r="BC80" i="188"/>
  <c r="BG41" i="188"/>
  <c r="CH5" i="188"/>
  <c r="DK5" i="188"/>
  <c r="BD24" i="188"/>
  <c r="BY24" i="188"/>
  <c r="CG24" i="188"/>
  <c r="DJ24" i="188"/>
  <c r="BH24" i="188"/>
  <c r="CC24" i="188"/>
  <c r="CK24" i="188"/>
  <c r="DF24" i="188"/>
  <c r="AL44" i="188"/>
  <c r="BL73" i="188"/>
  <c r="BY76" i="188"/>
  <c r="AL79" i="188"/>
  <c r="E67" i="192"/>
  <c r="O19" i="157"/>
  <c r="O10" i="157"/>
  <c r="AY77" i="188"/>
  <c r="BE42" i="188"/>
  <c r="BY101" i="188"/>
  <c r="I42" i="188"/>
  <c r="CF42" i="188" s="1"/>
  <c r="BI41" i="188"/>
  <c r="BD50" i="188"/>
  <c r="BT122" i="188"/>
  <c r="BG60" i="188"/>
  <c r="BR127" i="188"/>
  <c r="BA82" i="188"/>
  <c r="CY45" i="188"/>
  <c r="BI42" i="188"/>
  <c r="CJ118" i="188"/>
  <c r="CY84" i="188"/>
  <c r="BK113" i="188"/>
  <c r="BC42" i="188"/>
  <c r="H8" i="192"/>
  <c r="H13" i="192" s="1"/>
  <c r="BE82" i="188"/>
  <c r="BK82" i="188"/>
  <c r="AK29" i="188"/>
  <c r="CD29" i="188"/>
  <c r="EI29" i="188"/>
  <c r="AY28" i="188"/>
  <c r="BH30" i="188"/>
  <c r="AL33" i="188"/>
  <c r="AY33" i="188"/>
  <c r="BL34" i="188"/>
  <c r="BY34" i="188"/>
  <c r="BL35" i="188"/>
  <c r="CB35" i="188"/>
  <c r="CJ35" i="188"/>
  <c r="AL36" i="188"/>
  <c r="AL37" i="188"/>
  <c r="AL38" i="188"/>
  <c r="AL39" i="188"/>
  <c r="BF50" i="188"/>
  <c r="CJ58" i="188"/>
  <c r="BD61" i="188"/>
  <c r="BJ62" i="188"/>
  <c r="BP74" i="188"/>
  <c r="BI65" i="188"/>
  <c r="CE65" i="188"/>
  <c r="CL87" i="188"/>
  <c r="AL104" i="188"/>
  <c r="X130" i="188"/>
  <c r="BL128" i="188"/>
  <c r="CL128" i="188"/>
  <c r="DL128" i="188"/>
  <c r="EL128" i="188"/>
  <c r="P9" i="157"/>
  <c r="CY108" i="188"/>
  <c r="BB60" i="188"/>
  <c r="BY117" i="188"/>
  <c r="CS29" i="188"/>
  <c r="AL124" i="188"/>
  <c r="BK50" i="188"/>
  <c r="BI60" i="188"/>
  <c r="BJ113" i="188"/>
  <c r="AZ60" i="188"/>
  <c r="P90" i="193"/>
  <c r="P91" i="193" s="1"/>
  <c r="BA42" i="188"/>
  <c r="BT127" i="188"/>
  <c r="BV127" i="188"/>
  <c r="AZ42" i="188"/>
  <c r="CE117" i="188"/>
  <c r="F46" i="175"/>
  <c r="AC5" i="188"/>
  <c r="AY5" i="188"/>
  <c r="CB5" i="188"/>
  <c r="CJ5" i="188"/>
  <c r="DE5" i="188"/>
  <c r="EH5" i="188"/>
  <c r="BF6" i="188"/>
  <c r="DL11" i="188"/>
  <c r="EL11" i="188"/>
  <c r="BJ65" i="188"/>
  <c r="BY108" i="188"/>
  <c r="AL111" i="188"/>
  <c r="J19" i="157"/>
  <c r="S146" i="137"/>
  <c r="S152" i="137" s="1"/>
  <c r="I10" i="157"/>
  <c r="AT97" i="188"/>
  <c r="DO122" i="188"/>
  <c r="CR122" i="188"/>
  <c r="BD41" i="188"/>
  <c r="CQ122" i="188"/>
  <c r="BY111" i="188"/>
  <c r="BC113" i="188"/>
  <c r="BJ41" i="188"/>
  <c r="CI117" i="188"/>
  <c r="CG127" i="188"/>
  <c r="AL20" i="188"/>
  <c r="CL20" i="188"/>
  <c r="AK24" i="188"/>
  <c r="AL25" i="188"/>
  <c r="AI97" i="188"/>
  <c r="BR97" i="188"/>
  <c r="DY98" i="188"/>
  <c r="K9" i="175"/>
  <c r="K11" i="175" s="1"/>
  <c r="O26" i="175"/>
  <c r="BI13" i="188"/>
  <c r="BJ13" i="188"/>
  <c r="BC13" i="188"/>
  <c r="I13" i="188"/>
  <c r="BE13" i="188"/>
  <c r="BG13" i="188"/>
  <c r="BD13" i="188"/>
  <c r="BH13" i="188"/>
  <c r="AZ13" i="188"/>
  <c r="BA13" i="188"/>
  <c r="BK13" i="188"/>
  <c r="BB13" i="188"/>
  <c r="AK13" i="188"/>
  <c r="AL13" i="188" s="1"/>
  <c r="BF13" i="188"/>
  <c r="EA16" i="188"/>
  <c r="EJ16" i="188"/>
  <c r="EI16" i="188"/>
  <c r="ED16" i="188"/>
  <c r="EE16" i="188"/>
  <c r="EB16" i="188"/>
  <c r="DZ16" i="188"/>
  <c r="EG16" i="188"/>
  <c r="EH16" i="188"/>
  <c r="EF16" i="188"/>
  <c r="EK16" i="188"/>
  <c r="EC16" i="188"/>
  <c r="EI17" i="188"/>
  <c r="EK17" i="188"/>
  <c r="DZ17" i="188"/>
  <c r="EH17" i="188"/>
  <c r="ED17" i="188"/>
  <c r="EE17" i="188"/>
  <c r="EB17" i="188"/>
  <c r="EC17" i="188"/>
  <c r="EJ17" i="188"/>
  <c r="EF17" i="188"/>
  <c r="EG17" i="188"/>
  <c r="ED18" i="188"/>
  <c r="EG18" i="188"/>
  <c r="EA18" i="188"/>
  <c r="EE18" i="188"/>
  <c r="EH18" i="188"/>
  <c r="DZ18" i="188"/>
  <c r="EF18" i="188"/>
  <c r="EC18" i="188"/>
  <c r="EJ18" i="188"/>
  <c r="EI18" i="188"/>
  <c r="BA39" i="188"/>
  <c r="BG39" i="188"/>
  <c r="I39" i="188"/>
  <c r="BD39" i="188"/>
  <c r="BK39" i="188"/>
  <c r="BB39" i="188"/>
  <c r="AZ39" i="188"/>
  <c r="BI39" i="188"/>
  <c r="BC39" i="188"/>
  <c r="BE39" i="188"/>
  <c r="BJ39" i="188"/>
  <c r="BH39" i="188"/>
  <c r="BF39" i="188"/>
  <c r="BC41" i="188"/>
  <c r="AY41" i="188"/>
  <c r="BB42" i="188"/>
  <c r="AY42" i="188"/>
  <c r="BY42" i="188"/>
  <c r="EF94" i="188"/>
  <c r="EL94" i="188" s="1"/>
  <c r="DS97" i="188"/>
  <c r="DY94" i="188"/>
  <c r="CA95" i="188"/>
  <c r="CL95" i="188" s="1"/>
  <c r="BY95" i="188"/>
  <c r="BQ134" i="188"/>
  <c r="BQ122" i="188"/>
  <c r="CM122" i="188"/>
  <c r="CT134" i="188"/>
  <c r="CT122" i="188"/>
  <c r="DP134" i="188"/>
  <c r="DP122" i="188"/>
  <c r="DY99" i="188"/>
  <c r="BR147" i="188"/>
  <c r="BR122" i="188"/>
  <c r="BY112" i="188"/>
  <c r="CV147" i="188"/>
  <c r="CV122" i="188"/>
  <c r="EG125" i="188"/>
  <c r="EG127" i="188" s="1"/>
  <c r="DT127" i="188"/>
  <c r="BE127" i="188"/>
  <c r="BL126" i="188"/>
  <c r="CA126" i="188"/>
  <c r="CL126" i="188" s="1"/>
  <c r="BY126" i="188"/>
  <c r="H62" i="192"/>
  <c r="G62" i="192"/>
  <c r="I62" i="192"/>
  <c r="F62" i="192"/>
  <c r="J62" i="192"/>
  <c r="K62" i="192"/>
  <c r="L62" i="192"/>
  <c r="K49" i="199"/>
  <c r="S49" i="199" s="1"/>
  <c r="S42" i="199"/>
  <c r="CF48" i="188"/>
  <c r="J48" i="188"/>
  <c r="DD48" i="188" s="1"/>
  <c r="CC48" i="188"/>
  <c r="CE48" i="188"/>
  <c r="CI48" i="188"/>
  <c r="CG48" i="188"/>
  <c r="CA48" i="188"/>
  <c r="CJ48" i="188"/>
  <c r="CB48" i="188"/>
  <c r="EK18" i="188"/>
  <c r="N6" i="26"/>
  <c r="K45" i="175"/>
  <c r="K46" i="175" s="1"/>
  <c r="S165" i="137"/>
  <c r="S166" i="137" s="1"/>
  <c r="S160" i="137"/>
  <c r="O164" i="137"/>
  <c r="O166" i="137" s="1"/>
  <c r="O160" i="137"/>
  <c r="W164" i="137"/>
  <c r="W166" i="137" s="1"/>
  <c r="W160" i="137"/>
  <c r="P24" i="119"/>
  <c r="X8" i="119"/>
  <c r="X24" i="119" s="1"/>
  <c r="BG25" i="188"/>
  <c r="BL25" i="188" s="1"/>
  <c r="AY25" i="188"/>
  <c r="AT29" i="188"/>
  <c r="CO25" i="188"/>
  <c r="CB25" i="188"/>
  <c r="CL25" i="188" s="1"/>
  <c r="BY25" i="188"/>
  <c r="Z29" i="188"/>
  <c r="AL26" i="188"/>
  <c r="DN26" i="188"/>
  <c r="DA26" i="188"/>
  <c r="DA29" i="188" s="1"/>
  <c r="CY26" i="188"/>
  <c r="AU29" i="188"/>
  <c r="AY27" i="188"/>
  <c r="AY32" i="188"/>
  <c r="AZ32" i="188"/>
  <c r="CD34" i="188"/>
  <c r="CH34" i="188"/>
  <c r="J34" i="188"/>
  <c r="CK34" i="188"/>
  <c r="CA34" i="188"/>
  <c r="CC34" i="188"/>
  <c r="BZ34" i="188"/>
  <c r="AA74" i="188"/>
  <c r="AL35" i="188"/>
  <c r="CY35" i="188"/>
  <c r="BJ48" i="188"/>
  <c r="BA48" i="188"/>
  <c r="BK48" i="188"/>
  <c r="BI48" i="188"/>
  <c r="BC48" i="188"/>
  <c r="BH48" i="188"/>
  <c r="CD48" i="188"/>
  <c r="BG49" i="188"/>
  <c r="BK49" i="188"/>
  <c r="BF49" i="188"/>
  <c r="I49" i="188"/>
  <c r="CE49" i="188" s="1"/>
  <c r="BD49" i="188"/>
  <c r="BB49" i="188"/>
  <c r="AZ49" i="188"/>
  <c r="BH49" i="188"/>
  <c r="BC49" i="188"/>
  <c r="BE49" i="188"/>
  <c r="EC86" i="188"/>
  <c r="DY86" i="188"/>
  <c r="CZ88" i="188"/>
  <c r="DL88" i="188" s="1"/>
  <c r="CY88" i="188"/>
  <c r="BO138" i="188"/>
  <c r="BY103" i="188"/>
  <c r="BW138" i="188"/>
  <c r="BW122" i="188"/>
  <c r="BT146" i="188"/>
  <c r="CV146" i="188"/>
  <c r="CY111" i="188"/>
  <c r="DI123" i="188"/>
  <c r="DI127" i="188" s="1"/>
  <c r="CV127" i="188"/>
  <c r="CB77" i="188"/>
  <c r="J77" i="188"/>
  <c r="CE77" i="188"/>
  <c r="CH77" i="188"/>
  <c r="CA77" i="188"/>
  <c r="AE97" i="188"/>
  <c r="BJ49" i="188"/>
  <c r="CY12" i="188"/>
  <c r="CY14" i="188" s="1"/>
  <c r="E8" i="175"/>
  <c r="H11" i="175"/>
  <c r="I66" i="188"/>
  <c r="CA66" i="188" s="1"/>
  <c r="BI66" i="188"/>
  <c r="BD66" i="188"/>
  <c r="BK66" i="188"/>
  <c r="AZ72" i="188"/>
  <c r="BB72" i="188"/>
  <c r="BH72" i="188"/>
  <c r="BK72" i="188"/>
  <c r="BJ72" i="188"/>
  <c r="BF72" i="188"/>
  <c r="I72" i="188"/>
  <c r="AY76" i="188"/>
  <c r="AN97" i="188"/>
  <c r="BA76" i="188"/>
  <c r="BH80" i="188"/>
  <c r="BD80" i="188"/>
  <c r="BK80" i="188"/>
  <c r="BI80" i="188"/>
  <c r="BG80" i="188"/>
  <c r="BX97" i="188"/>
  <c r="DP97" i="188"/>
  <c r="CR97" i="188"/>
  <c r="AE108" i="188"/>
  <c r="AD108" i="188"/>
  <c r="BS143" i="188"/>
  <c r="BS122" i="188"/>
  <c r="DQ143" i="188"/>
  <c r="DQ122" i="188"/>
  <c r="DE125" i="188"/>
  <c r="DE127" i="188" s="1"/>
  <c r="CR127" i="188"/>
  <c r="F104" i="110"/>
  <c r="H104" i="110" s="1"/>
  <c r="AB104" i="110" s="1"/>
  <c r="AE104" i="110" s="1"/>
  <c r="G20" i="110"/>
  <c r="AA20" i="110" s="1"/>
  <c r="AD20" i="110" s="1"/>
  <c r="F95" i="110"/>
  <c r="H95" i="110" s="1"/>
  <c r="AB95" i="110" s="1"/>
  <c r="AE95" i="110" s="1"/>
  <c r="G11" i="110"/>
  <c r="AA11" i="110" s="1"/>
  <c r="AD11" i="110" s="1"/>
  <c r="S18" i="180"/>
  <c r="R18" i="180"/>
  <c r="D77" i="192" s="1"/>
  <c r="BO136" i="188"/>
  <c r="BO122" i="188"/>
  <c r="DY101" i="188"/>
  <c r="AY114" i="188"/>
  <c r="AM122" i="188"/>
  <c r="BQ127" i="188"/>
  <c r="CD125" i="188"/>
  <c r="CD127" i="188" s="1"/>
  <c r="CB24" i="188"/>
  <c r="CJ24" i="188"/>
  <c r="BD92" i="188"/>
  <c r="BC92" i="188"/>
  <c r="DU133" i="188"/>
  <c r="DU122" i="188"/>
  <c r="V122" i="188"/>
  <c r="V130" i="188" s="1"/>
  <c r="AI114" i="188"/>
  <c r="EK124" i="188"/>
  <c r="EK127" i="188" s="1"/>
  <c r="DX127" i="188"/>
  <c r="C9" i="175"/>
  <c r="C11" i="175" s="1"/>
  <c r="Q15" i="180"/>
  <c r="R15" i="180" s="1"/>
  <c r="P22" i="180"/>
  <c r="G11" i="188"/>
  <c r="AF11" i="188"/>
  <c r="DJ83" i="188"/>
  <c r="DL83" i="188" s="1"/>
  <c r="CW97" i="188"/>
  <c r="BL96" i="188"/>
  <c r="CL96" i="188"/>
  <c r="EL96" i="188"/>
  <c r="BA98" i="188"/>
  <c r="AY98" i="188"/>
  <c r="AL100" i="188"/>
  <c r="DR135" i="188"/>
  <c r="DR122" i="188"/>
  <c r="BI113" i="188"/>
  <c r="BG113" i="188"/>
  <c r="AZ113" i="188"/>
  <c r="BB113" i="188"/>
  <c r="BE113" i="188"/>
  <c r="CA118" i="188"/>
  <c r="CB118" i="188"/>
  <c r="CG118" i="188"/>
  <c r="CK118" i="188"/>
  <c r="J118" i="188"/>
  <c r="CC118" i="188"/>
  <c r="CD118" i="188"/>
  <c r="CI118" i="188"/>
  <c r="BY119" i="188"/>
  <c r="AL120" i="188"/>
  <c r="AL121" i="188"/>
  <c r="BL121" i="188"/>
  <c r="Y29" i="188"/>
  <c r="BF92" i="188"/>
  <c r="BK92" i="188"/>
  <c r="P48" i="193"/>
  <c r="AP122" i="188"/>
  <c r="BC98" i="188"/>
  <c r="CA124" i="188"/>
  <c r="BN127" i="188"/>
  <c r="DD124" i="188"/>
  <c r="DD127" i="188" s="1"/>
  <c r="CQ127" i="188"/>
  <c r="EE127" i="188"/>
  <c r="C45" i="175"/>
  <c r="C46" i="175" s="1"/>
  <c r="C47" i="175" s="1"/>
  <c r="D16" i="175" s="1"/>
  <c r="O33" i="175"/>
  <c r="O44" i="175"/>
  <c r="N9" i="175"/>
  <c r="AD8" i="188"/>
  <c r="AB8" i="188"/>
  <c r="BI90" i="188"/>
  <c r="AV97" i="188"/>
  <c r="E11" i="175"/>
  <c r="G11" i="175"/>
  <c r="N8" i="175"/>
  <c r="DZ5" i="188"/>
  <c r="Y14" i="188"/>
  <c r="M130" i="188"/>
  <c r="U130" i="188"/>
  <c r="AI24" i="188"/>
  <c r="Y24" i="188"/>
  <c r="BL17" i="188"/>
  <c r="BL18" i="188"/>
  <c r="CY125" i="188"/>
  <c r="M10" i="157"/>
  <c r="M19" i="157"/>
  <c r="DF29" i="188"/>
  <c r="O8" i="119"/>
  <c r="O24" i="119" s="1"/>
  <c r="AI46" i="133"/>
  <c r="AJ7" i="133"/>
  <c r="AK7" i="133" s="1"/>
  <c r="AK46" i="133" s="1"/>
  <c r="H56" i="124"/>
  <c r="H64" i="124" s="1"/>
  <c r="H35" i="124"/>
  <c r="P15" i="124"/>
  <c r="P35" i="124"/>
  <c r="F10" i="157"/>
  <c r="M22" i="180"/>
  <c r="L22" i="180"/>
  <c r="BL4" i="188"/>
  <c r="CL6" i="188"/>
  <c r="EL6" i="188"/>
  <c r="AL7" i="188"/>
  <c r="CL7" i="188"/>
  <c r="EL7" i="188"/>
  <c r="Z14" i="188"/>
  <c r="EL8" i="188"/>
  <c r="CL9" i="188"/>
  <c r="DL9" i="188"/>
  <c r="EL9" i="188"/>
  <c r="EL10" i="188"/>
  <c r="AY14" i="188"/>
  <c r="BI24" i="188"/>
  <c r="CY24" i="188"/>
  <c r="DG24" i="188"/>
  <c r="BE24" i="188"/>
  <c r="CH24" i="188"/>
  <c r="DK24" i="188"/>
  <c r="AL17" i="188"/>
  <c r="AL18" i="188"/>
  <c r="K8" i="175"/>
  <c r="BG48" i="188"/>
  <c r="BZ127" i="188"/>
  <c r="L27" i="138"/>
  <c r="H106" i="133"/>
  <c r="H56" i="133"/>
  <c r="P28" i="133"/>
  <c r="P43" i="133" s="1"/>
  <c r="P69" i="133"/>
  <c r="P82" i="133"/>
  <c r="X69" i="133"/>
  <c r="X82" i="133"/>
  <c r="AF69" i="133"/>
  <c r="AF93" i="133"/>
  <c r="R56" i="124"/>
  <c r="R64" i="124" s="1"/>
  <c r="R22" i="124"/>
  <c r="P57" i="181"/>
  <c r="P31" i="181"/>
  <c r="H19" i="157"/>
  <c r="H10" i="157"/>
  <c r="AL19" i="188"/>
  <c r="N130" i="188"/>
  <c r="BI29" i="188"/>
  <c r="CF29" i="188"/>
  <c r="AL61" i="188"/>
  <c r="DV74" i="188"/>
  <c r="AL62" i="188"/>
  <c r="AL63" i="188"/>
  <c r="BH63" i="188"/>
  <c r="AL64" i="188"/>
  <c r="BY64" i="188"/>
  <c r="DY64" i="188"/>
  <c r="AL65" i="188"/>
  <c r="CY66" i="188"/>
  <c r="AL67" i="188"/>
  <c r="CL67" i="188"/>
  <c r="DL67" i="188"/>
  <c r="EL67" i="188"/>
  <c r="AL68" i="188"/>
  <c r="BL68" i="188"/>
  <c r="CL68" i="188"/>
  <c r="DL68" i="188"/>
  <c r="EL68" i="188"/>
  <c r="AL69" i="188"/>
  <c r="AL70" i="188"/>
  <c r="AL71" i="188"/>
  <c r="AL72" i="188"/>
  <c r="CL73" i="188"/>
  <c r="DL73" i="188"/>
  <c r="EL73" i="188"/>
  <c r="AL82" i="188"/>
  <c r="BL83" i="188"/>
  <c r="BL86" i="188"/>
  <c r="CL86" i="188"/>
  <c r="CL88" i="188"/>
  <c r="CY93" i="188"/>
  <c r="BL94" i="188"/>
  <c r="E19" i="199"/>
  <c r="Z8" i="119"/>
  <c r="Z24" i="119" s="1"/>
  <c r="DN25" i="188"/>
  <c r="BC30" i="188"/>
  <c r="BK32" i="188"/>
  <c r="BB48" i="188"/>
  <c r="CF57" i="188"/>
  <c r="BN122" i="188"/>
  <c r="AG20" i="133"/>
  <c r="R8" i="119"/>
  <c r="R24" i="119" s="1"/>
  <c r="DE24" i="188"/>
  <c r="BJ63" i="188"/>
  <c r="AK97" i="188"/>
  <c r="DY81" i="188"/>
  <c r="Q153" i="137"/>
  <c r="S8" i="119"/>
  <c r="S24" i="119" s="1"/>
  <c r="BL19" i="188"/>
  <c r="CA29" i="188"/>
  <c r="CK29" i="188"/>
  <c r="AW74" i="188"/>
  <c r="AH74" i="188"/>
  <c r="CH48" i="188"/>
  <c r="CY48" i="188"/>
  <c r="AL49" i="188"/>
  <c r="BI49" i="188"/>
  <c r="DY49" i="188"/>
  <c r="AL51" i="188"/>
  <c r="AL52" i="188"/>
  <c r="BL52" i="188"/>
  <c r="CL52" i="188"/>
  <c r="DL52" i="188"/>
  <c r="EL52" i="188"/>
  <c r="AK74" i="188"/>
  <c r="BL53" i="188"/>
  <c r="CL53" i="188"/>
  <c r="DL53" i="188"/>
  <c r="EL53" i="188"/>
  <c r="AL54" i="188"/>
  <c r="AL55" i="188"/>
  <c r="CJ55" i="188"/>
  <c r="CY55" i="188"/>
  <c r="AL56" i="188"/>
  <c r="BL56" i="188"/>
  <c r="AL57" i="188"/>
  <c r="BY57" i="188"/>
  <c r="AL58" i="188"/>
  <c r="BL58" i="188"/>
  <c r="AL59" i="188"/>
  <c r="BL59" i="188"/>
  <c r="AL103" i="188"/>
  <c r="AG127" i="188"/>
  <c r="AK127" i="188"/>
  <c r="BL125" i="188"/>
  <c r="EL126" i="188"/>
  <c r="E76" i="192"/>
  <c r="BG31" i="188"/>
  <c r="J248" i="110"/>
  <c r="G45" i="133"/>
  <c r="G47" i="133" s="1"/>
  <c r="L248" i="110"/>
  <c r="P367" i="110"/>
  <c r="L10" i="175"/>
  <c r="L11" i="175" s="1"/>
  <c r="L45" i="175"/>
  <c r="L46" i="175" s="1"/>
  <c r="M41" i="175"/>
  <c r="J31" i="180"/>
  <c r="J37" i="180" s="1"/>
  <c r="I37" i="180"/>
  <c r="DL3" i="188"/>
  <c r="DB5" i="188"/>
  <c r="EE5" i="188"/>
  <c r="EL3" i="188"/>
  <c r="BZ5" i="188"/>
  <c r="CL4" i="188"/>
  <c r="DA7" i="188" s="1"/>
  <c r="AL6" i="188"/>
  <c r="DL6" i="188"/>
  <c r="DL8" i="188"/>
  <c r="DL10" i="188"/>
  <c r="BA24" i="188"/>
  <c r="BL15" i="188"/>
  <c r="EL15" i="188"/>
  <c r="BZ24" i="188"/>
  <c r="CL16" i="188"/>
  <c r="DC24" i="188"/>
  <c r="DL16" i="188"/>
  <c r="CL17" i="188"/>
  <c r="DL18" i="188"/>
  <c r="DL19" i="188"/>
  <c r="W130" i="188"/>
  <c r="AD29" i="188"/>
  <c r="AL28" i="188"/>
  <c r="CB43" i="188"/>
  <c r="BY43" i="188"/>
  <c r="BH44" i="188"/>
  <c r="AY44" i="188"/>
  <c r="AU74" i="188"/>
  <c r="EJ45" i="188"/>
  <c r="DW74" i="188"/>
  <c r="DC46" i="188"/>
  <c r="DL46" i="188" s="1"/>
  <c r="CY46" i="188"/>
  <c r="CP74" i="188"/>
  <c r="BE61" i="188"/>
  <c r="AY61" i="188"/>
  <c r="AR74" i="188"/>
  <c r="BV74" i="188"/>
  <c r="CY61" i="188"/>
  <c r="CR74" i="188"/>
  <c r="DY61" i="188"/>
  <c r="BK62" i="188"/>
  <c r="AX74" i="188"/>
  <c r="CY62" i="188"/>
  <c r="CX74" i="188"/>
  <c r="DT74" i="188"/>
  <c r="DY62" i="188"/>
  <c r="CY63" i="188"/>
  <c r="CM74" i="188"/>
  <c r="CY65" i="188"/>
  <c r="AY66" i="188"/>
  <c r="BF66" i="188"/>
  <c r="BC71" i="188"/>
  <c r="BK71" i="188"/>
  <c r="BJ71" i="188"/>
  <c r="AZ71" i="188"/>
  <c r="BG71" i="188"/>
  <c r="BF71" i="188"/>
  <c r="BI71" i="188"/>
  <c r="BA71" i="188"/>
  <c r="BB71" i="188"/>
  <c r="BH71" i="188"/>
  <c r="I71" i="188"/>
  <c r="BD71" i="188"/>
  <c r="BE71" i="188"/>
  <c r="CY72" i="188"/>
  <c r="DY72" i="188"/>
  <c r="AG97" i="188"/>
  <c r="AL75" i="188"/>
  <c r="AL76" i="188"/>
  <c r="BW97" i="188"/>
  <c r="CL83" i="188"/>
  <c r="ED87" i="188"/>
  <c r="DY87" i="188"/>
  <c r="DQ97" i="188"/>
  <c r="DF91" i="188"/>
  <c r="DL91" i="188" s="1"/>
  <c r="CY91" i="188"/>
  <c r="EA91" i="188"/>
  <c r="EL91" i="188" s="1"/>
  <c r="DN97" i="188"/>
  <c r="DY91" i="188"/>
  <c r="AA97" i="188"/>
  <c r="AL92" i="188"/>
  <c r="BH92" i="188"/>
  <c r="AU97" i="188"/>
  <c r="BY92" i="188"/>
  <c r="BQ97" i="188"/>
  <c r="CY92" i="188"/>
  <c r="CM97" i="188"/>
  <c r="DY92" i="188"/>
  <c r="AZ93" i="188"/>
  <c r="BH93" i="188"/>
  <c r="BJ93" i="188"/>
  <c r="I93" i="188"/>
  <c r="CH93" i="188" s="1"/>
  <c r="BF93" i="188"/>
  <c r="BG93" i="188"/>
  <c r="BB93" i="188"/>
  <c r="BK93" i="188"/>
  <c r="BC93" i="188"/>
  <c r="BE93" i="188"/>
  <c r="BA93" i="188"/>
  <c r="BD93" i="188"/>
  <c r="AQ97" i="188"/>
  <c r="AY93" i="188"/>
  <c r="BY93" i="188"/>
  <c r="BU97" i="188"/>
  <c r="DY93" i="188"/>
  <c r="DM97" i="188"/>
  <c r="CH94" i="188"/>
  <c r="CL94" i="188" s="1"/>
  <c r="BY94" i="188"/>
  <c r="DB94" i="188"/>
  <c r="DL94" i="188" s="1"/>
  <c r="CY94" i="188"/>
  <c r="CO97" i="188"/>
  <c r="EE95" i="188"/>
  <c r="DR97" i="188"/>
  <c r="CB123" i="188"/>
  <c r="BY123" i="188"/>
  <c r="BO127" i="188"/>
  <c r="DK123" i="188"/>
  <c r="DK127" i="188" s="1"/>
  <c r="CX127" i="188"/>
  <c r="CF125" i="188"/>
  <c r="CF127" i="188" s="1"/>
  <c r="BS127" i="188"/>
  <c r="F60" i="192"/>
  <c r="H60" i="192"/>
  <c r="G60" i="192"/>
  <c r="J60" i="192"/>
  <c r="K60" i="192"/>
  <c r="P8" i="157"/>
  <c r="D19" i="157"/>
  <c r="D10" i="157"/>
  <c r="R160" i="137"/>
  <c r="R164" i="137"/>
  <c r="R166" i="137" s="1"/>
  <c r="F24" i="199"/>
  <c r="S24" i="199" s="1"/>
  <c r="BJ44" i="188"/>
  <c r="G8" i="175"/>
  <c r="O6" i="175"/>
  <c r="R19" i="180"/>
  <c r="D78" i="192" s="1"/>
  <c r="I78" i="192" s="1"/>
  <c r="S19" i="180"/>
  <c r="AL3" i="188"/>
  <c r="AE5" i="188"/>
  <c r="CL3" i="188"/>
  <c r="CG5" i="188"/>
  <c r="Z5" i="188"/>
  <c r="AL4" i="188"/>
  <c r="DC5" i="188"/>
  <c r="DL4" i="188"/>
  <c r="EF5" i="188"/>
  <c r="EL4" i="188"/>
  <c r="CL8" i="188"/>
  <c r="CL10" i="188"/>
  <c r="BV14" i="188"/>
  <c r="DX14" i="188"/>
  <c r="DY12" i="188"/>
  <c r="DY14" i="188" s="1"/>
  <c r="AL15" i="188"/>
  <c r="AF24" i="188"/>
  <c r="CL15" i="188"/>
  <c r="CD24" i="188"/>
  <c r="AJ24" i="188"/>
  <c r="AL16" i="188"/>
  <c r="DL17" i="188"/>
  <c r="CL18" i="188"/>
  <c r="CL19" i="188"/>
  <c r="BF43" i="188"/>
  <c r="BL43" i="188" s="1"/>
  <c r="AS74" i="188"/>
  <c r="AY43" i="188"/>
  <c r="BU74" i="188"/>
  <c r="CH43" i="188"/>
  <c r="DA44" i="188"/>
  <c r="CY44" i="188"/>
  <c r="CN74" i="188"/>
  <c r="BG45" i="188"/>
  <c r="BL45" i="188" s="1"/>
  <c r="AY45" i="188"/>
  <c r="AT74" i="188"/>
  <c r="BG46" i="188"/>
  <c r="BL46" i="188" s="1"/>
  <c r="AY46" i="188"/>
  <c r="EE46" i="188"/>
  <c r="DR74" i="188"/>
  <c r="DY46" i="188"/>
  <c r="AL47" i="188"/>
  <c r="AI74" i="188"/>
  <c r="BJ47" i="188"/>
  <c r="BL47" i="188" s="1"/>
  <c r="AY47" i="188"/>
  <c r="AE74" i="188"/>
  <c r="AL60" i="188"/>
  <c r="CY60" i="188"/>
  <c r="CT74" i="188"/>
  <c r="DY60" i="188"/>
  <c r="DX74" i="188"/>
  <c r="BY61" i="188"/>
  <c r="BC62" i="188"/>
  <c r="AY62" i="188"/>
  <c r="BY62" i="188"/>
  <c r="BT74" i="188"/>
  <c r="AZ63" i="188"/>
  <c r="AY63" i="188"/>
  <c r="BY63" i="188"/>
  <c r="CU74" i="188"/>
  <c r="DY63" i="188"/>
  <c r="DQ74" i="188"/>
  <c r="BF64" i="188"/>
  <c r="BC64" i="188"/>
  <c r="BD64" i="188"/>
  <c r="BH64" i="188"/>
  <c r="BB64" i="188"/>
  <c r="AZ64" i="188"/>
  <c r="BK64" i="188"/>
  <c r="BI64" i="188"/>
  <c r="BG64" i="188"/>
  <c r="BJ64" i="188"/>
  <c r="BA64" i="188"/>
  <c r="I64" i="188"/>
  <c r="BE64" i="188"/>
  <c r="AY64" i="188"/>
  <c r="CY64" i="188"/>
  <c r="AY65" i="188"/>
  <c r="BB65" i="188"/>
  <c r="BY65" i="188"/>
  <c r="CF65" i="188"/>
  <c r="DY65" i="188"/>
  <c r="AL66" i="188"/>
  <c r="AJ74" i="188"/>
  <c r="BY66" i="188"/>
  <c r="DY66" i="188"/>
  <c r="BY75" i="188"/>
  <c r="BN97" i="188"/>
  <c r="BO97" i="188"/>
  <c r="BY82" i="188"/>
  <c r="CY82" i="188"/>
  <c r="CS97" i="188"/>
  <c r="DO97" i="188"/>
  <c r="DY82" i="188"/>
  <c r="DW97" i="188"/>
  <c r="EH85" i="188"/>
  <c r="DY85" i="188"/>
  <c r="DU97" i="188"/>
  <c r="DA87" i="188"/>
  <c r="CY87" i="188"/>
  <c r="CN97" i="188"/>
  <c r="BL88" i="188"/>
  <c r="BJ89" i="188"/>
  <c r="BL89" i="188" s="1"/>
  <c r="AY89" i="188"/>
  <c r="AW97" i="188"/>
  <c r="AY92" i="188"/>
  <c r="AZ92" i="188"/>
  <c r="AM97" i="188"/>
  <c r="AH97" i="188"/>
  <c r="AL93" i="188"/>
  <c r="BI124" i="188"/>
  <c r="AY124" i="188"/>
  <c r="DF124" i="188"/>
  <c r="DF127" i="188" s="1"/>
  <c r="CS127" i="188"/>
  <c r="DG126" i="188"/>
  <c r="CT127" i="188"/>
  <c r="CY126" i="188"/>
  <c r="K66" i="192"/>
  <c r="F66" i="192"/>
  <c r="J66" i="192"/>
  <c r="O66" i="192"/>
  <c r="H66" i="192"/>
  <c r="M66" i="192"/>
  <c r="I66" i="192"/>
  <c r="L66" i="192"/>
  <c r="N66" i="192"/>
  <c r="P66" i="192"/>
  <c r="Q66" i="192"/>
  <c r="G66" i="192"/>
  <c r="G67" i="192" s="1"/>
  <c r="G106" i="192" s="1"/>
  <c r="V160" i="137"/>
  <c r="V165" i="137"/>
  <c r="V166" i="137" s="1"/>
  <c r="F96" i="110"/>
  <c r="G96" i="110" s="1"/>
  <c r="Q96" i="110" s="1"/>
  <c r="D8" i="175"/>
  <c r="O7" i="175"/>
  <c r="BG12" i="188"/>
  <c r="I12" i="188"/>
  <c r="CI12" i="188" s="1"/>
  <c r="BB12" i="188"/>
  <c r="BI12" i="188"/>
  <c r="BH12" i="188"/>
  <c r="AK12" i="188"/>
  <c r="AL12" i="188" s="1"/>
  <c r="BC12" i="188"/>
  <c r="AZ12" i="188"/>
  <c r="BA12" i="188"/>
  <c r="BD12" i="188"/>
  <c r="BE12" i="188"/>
  <c r="BF12" i="188"/>
  <c r="BJ12" i="188"/>
  <c r="BK12" i="188"/>
  <c r="BL16" i="188"/>
  <c r="AZ24" i="188"/>
  <c r="DF43" i="188"/>
  <c r="DL43" i="188" s="1"/>
  <c r="CS74" i="188"/>
  <c r="CY43" i="188"/>
  <c r="BZ44" i="188"/>
  <c r="CL44" i="188" s="1"/>
  <c r="BY44" i="188"/>
  <c r="BM74" i="188"/>
  <c r="CE45" i="188"/>
  <c r="BR74" i="188"/>
  <c r="CE46" i="188"/>
  <c r="BY46" i="188"/>
  <c r="BD48" i="188"/>
  <c r="AQ74" i="188"/>
  <c r="AY48" i="188"/>
  <c r="BY50" i="188"/>
  <c r="BS74" i="188"/>
  <c r="CF56" i="188"/>
  <c r="BY56" i="188"/>
  <c r="DY56" i="188"/>
  <c r="CY59" i="188"/>
  <c r="CI90" i="188"/>
  <c r="CL90" i="188" s="1"/>
  <c r="BV97" i="188"/>
  <c r="BY90" i="188"/>
  <c r="EH90" i="188"/>
  <c r="EL90" i="188" s="1"/>
  <c r="DY90" i="188"/>
  <c r="BU140" i="188"/>
  <c r="BY105" i="188"/>
  <c r="BU122" i="188"/>
  <c r="EA123" i="188"/>
  <c r="DY123" i="188"/>
  <c r="DN127" i="188"/>
  <c r="CB125" i="188"/>
  <c r="BY125" i="188"/>
  <c r="F87" i="192"/>
  <c r="R30" i="192"/>
  <c r="F34" i="192"/>
  <c r="H59" i="133"/>
  <c r="I59" i="133"/>
  <c r="AH59" i="133"/>
  <c r="AU59" i="133"/>
  <c r="G59" i="133"/>
  <c r="W59" i="133"/>
  <c r="AX59" i="133"/>
  <c r="N59" i="133"/>
  <c r="V59" i="133"/>
  <c r="AG59" i="133"/>
  <c r="K59" i="133"/>
  <c r="U59" i="133"/>
  <c r="O59" i="133"/>
  <c r="AF59" i="133"/>
  <c r="J59" i="133"/>
  <c r="AV59" i="133"/>
  <c r="Q59" i="133"/>
  <c r="S59" i="133"/>
  <c r="X59" i="133"/>
  <c r="M59" i="133"/>
  <c r="L59" i="133"/>
  <c r="AS59" i="133"/>
  <c r="AW59" i="133"/>
  <c r="AI59" i="133"/>
  <c r="P59" i="133"/>
  <c r="F59" i="133"/>
  <c r="Q160" i="137"/>
  <c r="Q165" i="137"/>
  <c r="Q166" i="137" s="1"/>
  <c r="BS14" i="188"/>
  <c r="BY12" i="188"/>
  <c r="BY14" i="188" s="1"/>
  <c r="AA24" i="188"/>
  <c r="AL23" i="188"/>
  <c r="EH46" i="188"/>
  <c r="DU74" i="188"/>
  <c r="AY49" i="188"/>
  <c r="AN74" i="188"/>
  <c r="BA49" i="188"/>
  <c r="CY49" i="188"/>
  <c r="AF50" i="188"/>
  <c r="Y50" i="188"/>
  <c r="S74" i="188"/>
  <c r="DY51" i="188"/>
  <c r="DO74" i="188"/>
  <c r="DY55" i="188"/>
  <c r="CY56" i="188"/>
  <c r="DI85" i="188"/>
  <c r="DL85" i="188" s="1"/>
  <c r="CY85" i="188"/>
  <c r="CV97" i="188"/>
  <c r="EG87" i="188"/>
  <c r="DT97" i="188"/>
  <c r="AL91" i="188"/>
  <c r="AF97" i="188"/>
  <c r="DZ95" i="188"/>
  <c r="DY95" i="188"/>
  <c r="CO136" i="188"/>
  <c r="CO122" i="188"/>
  <c r="CY101" i="188"/>
  <c r="Y123" i="188"/>
  <c r="Y127" i="188" s="1"/>
  <c r="AE123" i="188"/>
  <c r="R127" i="188"/>
  <c r="CZ123" i="188"/>
  <c r="CM127" i="188"/>
  <c r="CY123" i="188"/>
  <c r="DA124" i="188"/>
  <c r="CN127" i="188"/>
  <c r="CY124" i="188"/>
  <c r="ED125" i="188"/>
  <c r="DQ127" i="188"/>
  <c r="DY125" i="188"/>
  <c r="L88" i="192"/>
  <c r="R88" i="192" s="1"/>
  <c r="R31" i="192"/>
  <c r="H50" i="192"/>
  <c r="G56" i="192"/>
  <c r="M60" i="192"/>
  <c r="DS29" i="188"/>
  <c r="EF26" i="188"/>
  <c r="EF29" i="188" s="1"/>
  <c r="CB57" i="188"/>
  <c r="BI93" i="188"/>
  <c r="Q6" i="180"/>
  <c r="Q11" i="180" s="1"/>
  <c r="P11" i="180"/>
  <c r="EA43" i="188"/>
  <c r="EL43" i="188" s="1"/>
  <c r="DY43" i="188"/>
  <c r="DN74" i="188"/>
  <c r="DJ44" i="188"/>
  <c r="CW74" i="188"/>
  <c r="CK46" i="188"/>
  <c r="BX74" i="188"/>
  <c r="BY48" i="188"/>
  <c r="BZ48" i="188"/>
  <c r="DY48" i="188"/>
  <c r="DM74" i="188"/>
  <c r="CV74" i="188"/>
  <c r="AY50" i="188"/>
  <c r="BB50" i="188"/>
  <c r="AO74" i="188"/>
  <c r="CY50" i="188"/>
  <c r="CO74" i="188"/>
  <c r="DY50" i="188"/>
  <c r="DS74" i="188"/>
  <c r="BB51" i="188"/>
  <c r="AY51" i="188"/>
  <c r="DY57" i="188"/>
  <c r="CY58" i="188"/>
  <c r="DY58" i="188"/>
  <c r="DF86" i="188"/>
  <c r="DL86" i="188" s="1"/>
  <c r="CY86" i="188"/>
  <c r="BY89" i="188"/>
  <c r="CA89" i="188"/>
  <c r="CL89" i="188" s="1"/>
  <c r="BZ91" i="188"/>
  <c r="CL91" i="188" s="1"/>
  <c r="BM97" i="188"/>
  <c r="BY91" i="188"/>
  <c r="DW142" i="188"/>
  <c r="DW122" i="188"/>
  <c r="DY107" i="188"/>
  <c r="DN122" i="188"/>
  <c r="DY108" i="188"/>
  <c r="BB123" i="188"/>
  <c r="AO127" i="188"/>
  <c r="AY123" i="188"/>
  <c r="X158" i="137"/>
  <c r="X160" i="137" s="1"/>
  <c r="L60" i="192"/>
  <c r="J8" i="175"/>
  <c r="DB24" i="188"/>
  <c r="DL15" i="188"/>
  <c r="DD44" i="188"/>
  <c r="CQ74" i="188"/>
  <c r="BZ45" i="188"/>
  <c r="BY45" i="188"/>
  <c r="CB47" i="188"/>
  <c r="CL47" i="188" s="1"/>
  <c r="BY47" i="188"/>
  <c r="EC47" i="188"/>
  <c r="EL47" i="188" s="1"/>
  <c r="DP74" i="188"/>
  <c r="DY47" i="188"/>
  <c r="CY51" i="188"/>
  <c r="BY55" i="188"/>
  <c r="CF58" i="188"/>
  <c r="BY58" i="188"/>
  <c r="DD87" i="188"/>
  <c r="CQ97" i="188"/>
  <c r="EI88" i="188"/>
  <c r="EL88" i="188" s="1"/>
  <c r="DY88" i="188"/>
  <c r="DV97" i="188"/>
  <c r="DH90" i="188"/>
  <c r="CY90" i="188"/>
  <c r="CU97" i="188"/>
  <c r="BJ91" i="188"/>
  <c r="BL91" i="188" s="1"/>
  <c r="AY91" i="188"/>
  <c r="CW136" i="188"/>
  <c r="CW122" i="188"/>
  <c r="BI123" i="188"/>
  <c r="AV127" i="188"/>
  <c r="AC127" i="188"/>
  <c r="AL125" i="188"/>
  <c r="F61" i="192"/>
  <c r="G61" i="192"/>
  <c r="H61" i="192"/>
  <c r="I61" i="192"/>
  <c r="CJ127" i="188"/>
  <c r="DH127" i="188"/>
  <c r="BF127" i="188"/>
  <c r="AL48" i="188"/>
  <c r="BG33" i="188"/>
  <c r="I40" i="124"/>
  <c r="L40" i="124"/>
  <c r="O40" i="124"/>
  <c r="I46" i="175"/>
  <c r="BU27" i="188"/>
  <c r="BH27" i="188"/>
  <c r="BH29" i="188" s="1"/>
  <c r="BA28" i="188"/>
  <c r="BN28" i="188"/>
  <c r="AN29" i="188"/>
  <c r="AC74" i="188"/>
  <c r="AL30" i="188"/>
  <c r="AM74" i="188"/>
  <c r="AY30" i="188"/>
  <c r="AZ30" i="188"/>
  <c r="BA31" i="188"/>
  <c r="AY31" i="188"/>
  <c r="AV74" i="188"/>
  <c r="BI31" i="188"/>
  <c r="CI34" i="188"/>
  <c r="CE34" i="188"/>
  <c r="CB34" i="188"/>
  <c r="CF34" i="188"/>
  <c r="CG34" i="188"/>
  <c r="BO74" i="188"/>
  <c r="AG74" i="188"/>
  <c r="AL40" i="188"/>
  <c r="BC40" i="188"/>
  <c r="AP74" i="188"/>
  <c r="AY40" i="188"/>
  <c r="EA45" i="188"/>
  <c r="DY45" i="188"/>
  <c r="CA46" i="188"/>
  <c r="BN74" i="188"/>
  <c r="BY49" i="188"/>
  <c r="BY51" i="188"/>
  <c r="AL53" i="188"/>
  <c r="BL57" i="188"/>
  <c r="CY57" i="188"/>
  <c r="DY59" i="188"/>
  <c r="AL86" i="188"/>
  <c r="EK86" i="188"/>
  <c r="DX97" i="188"/>
  <c r="DG87" i="188"/>
  <c r="CT97" i="188"/>
  <c r="AE107" i="188"/>
  <c r="AC107" i="188"/>
  <c r="CH123" i="188"/>
  <c r="CH127" i="188" s="1"/>
  <c r="BU127" i="188"/>
  <c r="D58" i="193"/>
  <c r="I60" i="192"/>
  <c r="BC29" i="188"/>
  <c r="AL34" i="188"/>
  <c r="CJ34" i="188"/>
  <c r="BW74" i="188"/>
  <c r="I40" i="188"/>
  <c r="CA40" i="188" s="1"/>
  <c r="BD40" i="188"/>
  <c r="BH40" i="188"/>
  <c r="BH51" i="188"/>
  <c r="CH57" i="188"/>
  <c r="CB59" i="188"/>
  <c r="CA59" i="188"/>
  <c r="EC20" i="188"/>
  <c r="EF20" i="188"/>
  <c r="DB47" i="188"/>
  <c r="DL47" i="188" s="1"/>
  <c r="CY47" i="188"/>
  <c r="BE60" i="188"/>
  <c r="BA60" i="188"/>
  <c r="BB69" i="188"/>
  <c r="BG69" i="188"/>
  <c r="AZ69" i="188"/>
  <c r="BH69" i="188"/>
  <c r="I69" i="188"/>
  <c r="BI69" i="188"/>
  <c r="R32" i="192"/>
  <c r="AC9" i="188"/>
  <c r="EK20" i="188"/>
  <c r="J60" i="188"/>
  <c r="DG60" i="188" s="1"/>
  <c r="AG11" i="188"/>
  <c r="AE11" i="188"/>
  <c r="AL22" i="188"/>
  <c r="DK25" i="188"/>
  <c r="DK29" i="188" s="1"/>
  <c r="CX29" i="188"/>
  <c r="AJ29" i="188"/>
  <c r="I30" i="188"/>
  <c r="BB30" i="188"/>
  <c r="BJ30" i="188"/>
  <c r="DY35" i="188"/>
  <c r="BQ74" i="188"/>
  <c r="DL45" i="188"/>
  <c r="J117" i="188"/>
  <c r="CZ117" i="188" s="1"/>
  <c r="CH117" i="188"/>
  <c r="CF117" i="188"/>
  <c r="BZ117" i="188"/>
  <c r="CU122" i="188"/>
  <c r="R89" i="192"/>
  <c r="AJ5" i="188"/>
  <c r="AG24" i="188"/>
  <c r="CM28" i="188"/>
  <c r="BM29" i="188"/>
  <c r="BF63" i="188"/>
  <c r="I63" i="188"/>
  <c r="CD63" i="188" s="1"/>
  <c r="BC63" i="188"/>
  <c r="BL67" i="188"/>
  <c r="BE80" i="188"/>
  <c r="AR97" i="188"/>
  <c r="BE92" i="188"/>
  <c r="I92" i="188"/>
  <c r="CD92" i="188" s="1"/>
  <c r="DJ124" i="188"/>
  <c r="DJ127" i="188" s="1"/>
  <c r="CW127" i="188"/>
  <c r="CK125" i="188"/>
  <c r="CK127" i="188" s="1"/>
  <c r="BX127" i="188"/>
  <c r="I90" i="192"/>
  <c r="R90" i="192" s="1"/>
  <c r="R33" i="192"/>
  <c r="W8" i="119"/>
  <c r="W24" i="119" s="1"/>
  <c r="V8" i="119"/>
  <c r="V24" i="119" s="1"/>
  <c r="K63" i="133"/>
  <c r="I63" i="133"/>
  <c r="AT63" i="133"/>
  <c r="N63" i="133"/>
  <c r="AJ63" i="133"/>
  <c r="DQ26" i="188"/>
  <c r="ED26" i="188" s="1"/>
  <c r="DD26" i="188"/>
  <c r="DD29" i="188" s="1"/>
  <c r="BK90" i="188"/>
  <c r="AX97" i="188"/>
  <c r="L73" i="35"/>
  <c r="M73" i="35" s="1"/>
  <c r="N73" i="35" s="1"/>
  <c r="O73" i="35" s="1"/>
  <c r="P73" i="35" s="1"/>
  <c r="Q73" i="35" s="1"/>
  <c r="R73" i="35" s="1"/>
  <c r="G22" i="124"/>
  <c r="G49" i="124"/>
  <c r="S64" i="35"/>
  <c r="BE6" i="188"/>
  <c r="G25" i="133"/>
  <c r="L19" i="157"/>
  <c r="D46" i="175"/>
  <c r="G10" i="157"/>
  <c r="G19" i="157"/>
  <c r="N10" i="157"/>
  <c r="M27" i="138"/>
  <c r="N19" i="157"/>
  <c r="BK6" i="188"/>
  <c r="BI6" i="188"/>
  <c r="M152" i="137"/>
  <c r="N146" i="137"/>
  <c r="N147" i="137" s="1"/>
  <c r="N151" i="137" s="1"/>
  <c r="I19" i="157"/>
  <c r="H9" i="133"/>
  <c r="I9" i="133" s="1"/>
  <c r="G12" i="133"/>
  <c r="F19" i="157"/>
  <c r="U160" i="137"/>
  <c r="W153" i="137"/>
  <c r="BE135" i="133"/>
  <c r="S78" i="35"/>
  <c r="H11" i="110"/>
  <c r="AB11" i="110" s="1"/>
  <c r="AE11" i="110" s="1"/>
  <c r="EL84" i="188"/>
  <c r="DL89" i="188"/>
  <c r="J25" i="133"/>
  <c r="X244" i="58"/>
  <c r="I11" i="110"/>
  <c r="AC11" i="110" s="1"/>
  <c r="AF11" i="110" s="1"/>
  <c r="P25" i="133"/>
  <c r="P95" i="133" s="1"/>
  <c r="X143" i="137"/>
  <c r="X145" i="137" s="1"/>
  <c r="H20" i="110"/>
  <c r="AB20" i="110" s="1"/>
  <c r="AE20" i="110" s="1"/>
  <c r="V6" i="133"/>
  <c r="W6" i="133" s="1"/>
  <c r="X6" i="133" s="1"/>
  <c r="I20" i="110"/>
  <c r="AC20" i="110" s="1"/>
  <c r="AF20" i="110" s="1"/>
  <c r="M147" i="137"/>
  <c r="M151" i="137" s="1"/>
  <c r="N60" i="192"/>
  <c r="O5" i="192"/>
  <c r="CE32" i="188"/>
  <c r="CB32" i="188"/>
  <c r="CF32" i="188"/>
  <c r="CK32" i="188"/>
  <c r="CA32" i="188"/>
  <c r="CC32" i="188"/>
  <c r="BZ32" i="188"/>
  <c r="CI32" i="188"/>
  <c r="CJ32" i="188"/>
  <c r="CD32" i="188"/>
  <c r="J32" i="188"/>
  <c r="CG32" i="188"/>
  <c r="CH32" i="188"/>
  <c r="BD29" i="188"/>
  <c r="S16" i="180"/>
  <c r="R16" i="180"/>
  <c r="D74" i="192" s="1"/>
  <c r="EL44" i="188"/>
  <c r="DL95" i="188"/>
  <c r="DL84" i="188"/>
  <c r="D72" i="193"/>
  <c r="D67" i="193"/>
  <c r="D76" i="193" s="1"/>
  <c r="D13" i="193" s="1"/>
  <c r="L151" i="137"/>
  <c r="AE8" i="188"/>
  <c r="Q24" i="119"/>
  <c r="Y8" i="119"/>
  <c r="Y24" i="119" s="1"/>
  <c r="E82" i="137"/>
  <c r="S61" i="199"/>
  <c r="O56" i="124"/>
  <c r="O64" i="124" s="1"/>
  <c r="K66" i="181"/>
  <c r="AT59" i="133"/>
  <c r="U8" i="119"/>
  <c r="U24" i="119" s="1"/>
  <c r="E90" i="137"/>
  <c r="X235" i="58"/>
  <c r="R145" i="137"/>
  <c r="R147" i="137" s="1"/>
  <c r="R151" i="137" s="1"/>
  <c r="R153" i="137" s="1"/>
  <c r="E84" i="137"/>
  <c r="C41" i="138"/>
  <c r="AT115" i="133"/>
  <c r="AT117" i="133" s="1"/>
  <c r="E13" i="133"/>
  <c r="AW69" i="133"/>
  <c r="Q106" i="133"/>
  <c r="I28" i="133"/>
  <c r="I43" i="133" s="1"/>
  <c r="BB115" i="133"/>
  <c r="BB117" i="133" s="1"/>
  <c r="F51" i="133"/>
  <c r="E64" i="133"/>
  <c r="AG93" i="133"/>
  <c r="I69" i="133"/>
  <c r="AT20" i="133"/>
  <c r="AE135" i="133"/>
  <c r="AW5" i="133"/>
  <c r="F47" i="133"/>
  <c r="Q82" i="133"/>
  <c r="I106" i="133"/>
  <c r="Q28" i="133"/>
  <c r="Q43" i="133" s="1"/>
  <c r="Q69" i="133"/>
  <c r="Y82" i="133"/>
  <c r="Q56" i="133"/>
  <c r="N371" i="110"/>
  <c r="N251" i="110"/>
  <c r="I82" i="133"/>
  <c r="AM115" i="133"/>
  <c r="AM117" i="133" s="1"/>
  <c r="AG106" i="133"/>
  <c r="AH115" i="133"/>
  <c r="AH117" i="133" s="1"/>
  <c r="R20" i="133"/>
  <c r="T59" i="133"/>
  <c r="S47" i="133"/>
  <c r="S87" i="133" s="1"/>
  <c r="S115" i="133"/>
  <c r="S117" i="133" s="1"/>
  <c r="AX115" i="133"/>
  <c r="AX117" i="133" s="1"/>
  <c r="AX10" i="133"/>
  <c r="AX49" i="133" s="1"/>
  <c r="AW49" i="133"/>
  <c r="AJ21" i="133"/>
  <c r="AK21" i="133" s="1"/>
  <c r="AL21" i="133" s="1"/>
  <c r="AM21" i="133" s="1"/>
  <c r="AN21" i="133" s="1"/>
  <c r="AI61" i="133"/>
  <c r="BE141" i="133"/>
  <c r="BE142" i="133" s="1"/>
  <c r="AW63" i="133"/>
  <c r="AS63" i="133"/>
  <c r="M63" i="133"/>
  <c r="H63" i="133"/>
  <c r="T20" i="133"/>
  <c r="F13" i="133"/>
  <c r="W63" i="133"/>
  <c r="AI63" i="133"/>
  <c r="F63" i="133"/>
  <c r="L63" i="133"/>
  <c r="T115" i="133"/>
  <c r="T117" i="133" s="1"/>
  <c r="U63" i="133"/>
  <c r="S63" i="133"/>
  <c r="G63" i="133"/>
  <c r="Q63" i="133"/>
  <c r="AB115" i="133"/>
  <c r="AB117" i="133" s="1"/>
  <c r="V63" i="133"/>
  <c r="AU63" i="133"/>
  <c r="V44" i="133"/>
  <c r="O63" i="133"/>
  <c r="E60" i="133"/>
  <c r="AE141" i="133"/>
  <c r="AE142" i="133" s="1"/>
  <c r="AJ115" i="133"/>
  <c r="AJ117" i="133" s="1"/>
  <c r="AV49" i="133"/>
  <c r="AF63" i="133"/>
  <c r="T63" i="133"/>
  <c r="P63" i="133"/>
  <c r="AG63" i="133"/>
  <c r="AV63" i="133"/>
  <c r="J63" i="133"/>
  <c r="AK63" i="133"/>
  <c r="AH63" i="133"/>
  <c r="E47" i="133"/>
  <c r="AR141" i="133"/>
  <c r="AR142" i="133" s="1"/>
  <c r="G29" i="133"/>
  <c r="E73" i="133"/>
  <c r="AH144" i="133"/>
  <c r="E72" i="133"/>
  <c r="AJ59" i="133"/>
  <c r="E74" i="133"/>
  <c r="E71" i="133"/>
  <c r="AH8" i="133"/>
  <c r="AH45" i="133"/>
  <c r="AH47" i="133" s="1"/>
  <c r="AH87" i="133" s="1"/>
  <c r="AI6" i="133"/>
  <c r="AI8" i="133" s="1"/>
  <c r="AP115" i="133"/>
  <c r="AP117" i="133" s="1"/>
  <c r="BA61" i="133"/>
  <c r="AR135" i="133"/>
  <c r="T8" i="133"/>
  <c r="AD144" i="133"/>
  <c r="K25" i="133"/>
  <c r="K95" i="133" s="1"/>
  <c r="AE108" i="133"/>
  <c r="U45" i="133"/>
  <c r="U47" i="133" s="1"/>
  <c r="U87" i="133" s="1"/>
  <c r="U17" i="133"/>
  <c r="AG8" i="133"/>
  <c r="AS47" i="133"/>
  <c r="AS87" i="133" s="1"/>
  <c r="AG45" i="133"/>
  <c r="AF47" i="133"/>
  <c r="AF87" i="133" s="1"/>
  <c r="E51" i="133"/>
  <c r="S24" i="133"/>
  <c r="S25" i="133" s="1"/>
  <c r="S62" i="133"/>
  <c r="AG44" i="133"/>
  <c r="R135" i="133"/>
  <c r="AF115" i="133"/>
  <c r="AF117" i="133" s="1"/>
  <c r="R49" i="133"/>
  <c r="Q25" i="133"/>
  <c r="Q95" i="133" s="1"/>
  <c r="AY115" i="133"/>
  <c r="AY117" i="133" s="1"/>
  <c r="X144" i="133"/>
  <c r="AQ115" i="133"/>
  <c r="AQ117" i="133" s="1"/>
  <c r="Y115" i="133"/>
  <c r="Y117" i="133" s="1"/>
  <c r="V49" i="133"/>
  <c r="AL63" i="133"/>
  <c r="F25" i="133"/>
  <c r="J380" i="110"/>
  <c r="R24" i="133"/>
  <c r="M25" i="133"/>
  <c r="M95" i="133" s="1"/>
  <c r="J365" i="110"/>
  <c r="T22" i="133"/>
  <c r="T62" i="133" s="1"/>
  <c r="AU20" i="133"/>
  <c r="AT8" i="133"/>
  <c r="E25" i="133"/>
  <c r="R108" i="133"/>
  <c r="U61" i="133"/>
  <c r="BD61" i="133"/>
  <c r="AY63" i="133"/>
  <c r="AZ23" i="133"/>
  <c r="H45" i="133"/>
  <c r="Y23" i="133"/>
  <c r="X63" i="133"/>
  <c r="AY61" i="133"/>
  <c r="AJ44" i="133"/>
  <c r="X9" i="133"/>
  <c r="AW115" i="133"/>
  <c r="AW117" i="133" s="1"/>
  <c r="AX61" i="133"/>
  <c r="AM23" i="133"/>
  <c r="AH17" i="133"/>
  <c r="AH57" i="133" s="1"/>
  <c r="BE35" i="133"/>
  <c r="AL115" i="133"/>
  <c r="AL117" i="133" s="1"/>
  <c r="AX63" i="133"/>
  <c r="N25" i="133"/>
  <c r="N95" i="133" s="1"/>
  <c r="AK5" i="133"/>
  <c r="BE113" i="133"/>
  <c r="AR108" i="133"/>
  <c r="BE108" i="133"/>
  <c r="L25" i="133"/>
  <c r="L95" i="133" s="1"/>
  <c r="R113" i="133"/>
  <c r="BC61" i="133"/>
  <c r="I25" i="133"/>
  <c r="AE35" i="133"/>
  <c r="AU121" i="133"/>
  <c r="AU127" i="133" s="1"/>
  <c r="H25" i="133"/>
  <c r="J58" i="133"/>
  <c r="G8" i="133"/>
  <c r="O25" i="133"/>
  <c r="O95" i="133" s="1"/>
  <c r="R114" i="133"/>
  <c r="AR35" i="133"/>
  <c r="H5" i="133"/>
  <c r="BE109" i="133"/>
  <c r="AE109" i="133"/>
  <c r="AV20" i="133"/>
  <c r="AW17" i="133"/>
  <c r="AW57" i="133" s="1"/>
  <c r="H117" i="133"/>
  <c r="X5" i="133"/>
  <c r="P117" i="133"/>
  <c r="Y19" i="133"/>
  <c r="AY19" i="133"/>
  <c r="F16" i="133"/>
  <c r="N16" i="133"/>
  <c r="V69" i="133"/>
  <c r="AD93" i="133"/>
  <c r="AL69" i="133"/>
  <c r="AT106" i="133"/>
  <c r="AC18" i="133"/>
  <c r="AC58" i="133" s="1"/>
  <c r="BB106" i="133"/>
  <c r="G16" i="133"/>
  <c r="O56" i="133"/>
  <c r="W69" i="133"/>
  <c r="AM69" i="133"/>
  <c r="AU106" i="133"/>
  <c r="BC69" i="133"/>
  <c r="L389" i="110"/>
  <c r="R389" i="110"/>
  <c r="BE18" i="133"/>
  <c r="X10" i="133"/>
  <c r="AL82" i="133"/>
  <c r="AR109" i="133"/>
  <c r="H16" i="133"/>
  <c r="P16" i="133"/>
  <c r="X106" i="133"/>
  <c r="AF82" i="133"/>
  <c r="AN106" i="133"/>
  <c r="AV82" i="133"/>
  <c r="BD106" i="133"/>
  <c r="H61" i="133"/>
  <c r="M389" i="110"/>
  <c r="BE21" i="133"/>
  <c r="AK18" i="133"/>
  <c r="AK58" i="133" s="1"/>
  <c r="I16" i="133"/>
  <c r="Q16" i="133"/>
  <c r="AG82" i="133"/>
  <c r="AO106" i="133"/>
  <c r="AW82" i="133"/>
  <c r="AB127" i="133"/>
  <c r="J371" i="110"/>
  <c r="R249" i="110"/>
  <c r="AJ9" i="133"/>
  <c r="AW9" i="133"/>
  <c r="AL93" i="133"/>
  <c r="J69" i="133"/>
  <c r="Z82" i="133"/>
  <c r="AH106" i="133"/>
  <c r="AP106" i="133"/>
  <c r="AX93" i="133"/>
  <c r="V21" i="133"/>
  <c r="AK19" i="133"/>
  <c r="K16" i="133"/>
  <c r="S82" i="133"/>
  <c r="AA82" i="133"/>
  <c r="AI93" i="133"/>
  <c r="AQ93" i="133"/>
  <c r="AY82" i="133"/>
  <c r="AL106" i="133"/>
  <c r="L28" i="133"/>
  <c r="L43" i="133" s="1"/>
  <c r="T82" i="133"/>
  <c r="AB82" i="133"/>
  <c r="AJ82" i="133"/>
  <c r="AZ93" i="133"/>
  <c r="J372" i="110"/>
  <c r="AH121" i="133"/>
  <c r="M16" i="133"/>
  <c r="U69" i="133"/>
  <c r="AC69" i="133"/>
  <c r="AK82" i="133"/>
  <c r="AS69" i="133"/>
  <c r="BA106" i="133"/>
  <c r="AS57" i="133"/>
  <c r="G16" i="199"/>
  <c r="J16" i="199"/>
  <c r="J22" i="199" s="1"/>
  <c r="H16" i="199"/>
  <c r="N24" i="199"/>
  <c r="P40" i="124"/>
  <c r="J49" i="124"/>
  <c r="O24" i="199"/>
  <c r="M40" i="124"/>
  <c r="H40" i="124"/>
  <c r="J35" i="124"/>
  <c r="K40" i="124"/>
  <c r="G40" i="124"/>
  <c r="J15" i="124"/>
  <c r="K16" i="199"/>
  <c r="F40" i="124"/>
  <c r="N40" i="124"/>
  <c r="J8" i="124"/>
  <c r="J22" i="124"/>
  <c r="J40" i="124"/>
  <c r="Q40" i="124"/>
  <c r="O65" i="181"/>
  <c r="O66" i="181" s="1"/>
  <c r="S31" i="181"/>
  <c r="J65" i="181"/>
  <c r="J66" i="181" s="1"/>
  <c r="G55" i="110"/>
  <c r="AA55" i="110" s="1"/>
  <c r="AD55" i="110" s="1"/>
  <c r="X245" i="58"/>
  <c r="AM93" i="133"/>
  <c r="G82" i="133"/>
  <c r="X238" i="58"/>
  <c r="X255" i="58"/>
  <c r="X236" i="58"/>
  <c r="X250" i="58"/>
  <c r="X232" i="58"/>
  <c r="X247" i="58"/>
  <c r="X227" i="58"/>
  <c r="X254" i="58"/>
  <c r="X246" i="58"/>
  <c r="X242" i="58"/>
  <c r="R61" i="199"/>
  <c r="AE114" i="133"/>
  <c r="X115" i="133"/>
  <c r="X117" i="133" s="1"/>
  <c r="AE96" i="133"/>
  <c r="R109" i="133"/>
  <c r="K365" i="110"/>
  <c r="L117" i="133"/>
  <c r="AI115" i="133"/>
  <c r="N117" i="133"/>
  <c r="AD121" i="133"/>
  <c r="AD127" i="133" s="1"/>
  <c r="AC127" i="133"/>
  <c r="T8" i="119"/>
  <c r="AA11" i="119"/>
  <c r="AE113" i="133"/>
  <c r="W115" i="133"/>
  <c r="Z115" i="133"/>
  <c r="Z117" i="133" s="1"/>
  <c r="S252" i="110"/>
  <c r="K372" i="110"/>
  <c r="U127" i="133"/>
  <c r="V121" i="133"/>
  <c r="BE96" i="133"/>
  <c r="G117" i="133"/>
  <c r="BE114" i="133"/>
  <c r="AD115" i="133"/>
  <c r="AD117" i="133" s="1"/>
  <c r="AR114" i="133"/>
  <c r="Q252" i="110"/>
  <c r="AO121" i="133"/>
  <c r="S389" i="110"/>
  <c r="P389" i="110"/>
  <c r="P372" i="110"/>
  <c r="K366" i="110"/>
  <c r="K389" i="110"/>
  <c r="T389" i="110"/>
  <c r="U389" i="110"/>
  <c r="O117" i="133"/>
  <c r="T127" i="133"/>
  <c r="M369" i="110"/>
  <c r="U379" i="110"/>
  <c r="Q389" i="110"/>
  <c r="J389" i="110"/>
  <c r="O389" i="110"/>
  <c r="AR113" i="133"/>
  <c r="AR96" i="133"/>
  <c r="U372" i="110"/>
  <c r="AA127" i="133"/>
  <c r="BB121" i="133"/>
  <c r="R378" i="110"/>
  <c r="N58" i="133"/>
  <c r="AV61" i="133"/>
  <c r="AG61" i="133"/>
  <c r="J61" i="133"/>
  <c r="AU61" i="133"/>
  <c r="S61" i="133"/>
  <c r="M61" i="133"/>
  <c r="L61" i="133"/>
  <c r="F58" i="133"/>
  <c r="AW61" i="133"/>
  <c r="AH61" i="133"/>
  <c r="G61" i="133"/>
  <c r="Q61" i="133"/>
  <c r="AZ61" i="133"/>
  <c r="T61" i="133"/>
  <c r="O61" i="133"/>
  <c r="F61" i="133"/>
  <c r="AB58" i="133"/>
  <c r="BB61" i="133"/>
  <c r="AT61" i="133"/>
  <c r="AF58" i="133"/>
  <c r="F57" i="133"/>
  <c r="AZ58" i="133"/>
  <c r="K58" i="133"/>
  <c r="Y58" i="133"/>
  <c r="L58" i="133"/>
  <c r="AX58" i="133"/>
  <c r="V58" i="133"/>
  <c r="T58" i="133"/>
  <c r="H57" i="133"/>
  <c r="J57" i="133"/>
  <c r="AG57" i="133"/>
  <c r="L57" i="133"/>
  <c r="Q57" i="133"/>
  <c r="T57" i="133"/>
  <c r="N57" i="133"/>
  <c r="S57" i="133"/>
  <c r="AU57" i="133"/>
  <c r="O57" i="133"/>
  <c r="I57" i="133"/>
  <c r="AT57" i="133"/>
  <c r="G57" i="133"/>
  <c r="AV57" i="133"/>
  <c r="M57" i="133"/>
  <c r="P57" i="133"/>
  <c r="K57" i="133"/>
  <c r="AF57" i="133"/>
  <c r="BC58" i="133"/>
  <c r="BA58" i="133"/>
  <c r="W58" i="133"/>
  <c r="AH58" i="133"/>
  <c r="H58" i="133"/>
  <c r="BB58" i="133"/>
  <c r="AI58" i="133"/>
  <c r="AG58" i="133"/>
  <c r="G58" i="133"/>
  <c r="I58" i="133"/>
  <c r="AA58" i="133"/>
  <c r="X58" i="133"/>
  <c r="AW58" i="133"/>
  <c r="AS58" i="133"/>
  <c r="O58" i="133"/>
  <c r="M58" i="133"/>
  <c r="BD58" i="133"/>
  <c r="U58" i="133"/>
  <c r="AT58" i="133"/>
  <c r="P58" i="133"/>
  <c r="AY58" i="133"/>
  <c r="AU58" i="133"/>
  <c r="S58" i="133"/>
  <c r="Q58" i="133"/>
  <c r="Z58" i="133"/>
  <c r="AJ58" i="133"/>
  <c r="AV58" i="133"/>
  <c r="R11" i="199"/>
  <c r="R17" i="199" s="1"/>
  <c r="F16" i="199"/>
  <c r="E31" i="124"/>
  <c r="E44" i="124" s="1"/>
  <c r="I16" i="199"/>
  <c r="I55" i="110"/>
  <c r="AC55" i="110" s="1"/>
  <c r="AF55" i="110" s="1"/>
  <c r="AF106" i="133"/>
  <c r="X93" i="133"/>
  <c r="G58" i="110"/>
  <c r="AA58" i="110" s="1"/>
  <c r="AD58" i="110" s="1"/>
  <c r="AM106" i="133"/>
  <c r="AM82" i="133"/>
  <c r="P93" i="133"/>
  <c r="AM144" i="133"/>
  <c r="AY106" i="133"/>
  <c r="AQ82" i="133"/>
  <c r="L119" i="193"/>
  <c r="AL144" i="133"/>
  <c r="AI106" i="133"/>
  <c r="M8" i="124"/>
  <c r="AA93" i="133"/>
  <c r="AI69" i="133"/>
  <c r="K69" i="133"/>
  <c r="AA106" i="133"/>
  <c r="K56" i="133"/>
  <c r="AU144" i="133"/>
  <c r="S69" i="133"/>
  <c r="K82" i="133"/>
  <c r="I18" i="157"/>
  <c r="S93" i="133"/>
  <c r="S106" i="133"/>
  <c r="K106" i="133"/>
  <c r="AI82" i="133"/>
  <c r="AA69" i="133"/>
  <c r="K28" i="133"/>
  <c r="K43" i="133" s="1"/>
  <c r="N15" i="124"/>
  <c r="O15" i="124"/>
  <c r="O8" i="124"/>
  <c r="O22" i="124"/>
  <c r="O35" i="124"/>
  <c r="U57" i="181"/>
  <c r="G35" i="124"/>
  <c r="G8" i="110"/>
  <c r="AA8" i="110" s="1"/>
  <c r="AD8" i="110" s="1"/>
  <c r="T31" i="181"/>
  <c r="G8" i="124"/>
  <c r="AC144" i="133"/>
  <c r="J18" i="157"/>
  <c r="G56" i="124"/>
  <c r="G64" i="124" s="1"/>
  <c r="AD106" i="133"/>
  <c r="M57" i="181"/>
  <c r="AK106" i="133"/>
  <c r="N56" i="133"/>
  <c r="G15" i="124"/>
  <c r="N93" i="133"/>
  <c r="T250" i="110"/>
  <c r="L250" i="110"/>
  <c r="L380" i="110"/>
  <c r="L370" i="110"/>
  <c r="L368" i="110"/>
  <c r="G64" i="110"/>
  <c r="AA64" i="110" s="1"/>
  <c r="AD64" i="110" s="1"/>
  <c r="T368" i="110"/>
  <c r="P369" i="110"/>
  <c r="H64" i="110"/>
  <c r="AB64" i="110" s="1"/>
  <c r="AE64" i="110" s="1"/>
  <c r="P249" i="110"/>
  <c r="T370" i="110"/>
  <c r="L366" i="110"/>
  <c r="P379" i="110"/>
  <c r="H48" i="110"/>
  <c r="AB48" i="110" s="1"/>
  <c r="AE48" i="110" s="1"/>
  <c r="I64" i="110"/>
  <c r="AC64" i="110" s="1"/>
  <c r="AF64" i="110" s="1"/>
  <c r="H199" i="110"/>
  <c r="I199" i="110"/>
  <c r="F318" i="110"/>
  <c r="G199" i="110"/>
  <c r="AA199" i="110" s="1"/>
  <c r="AD199" i="110" s="1"/>
  <c r="F323" i="110"/>
  <c r="I204" i="110"/>
  <c r="H204" i="110"/>
  <c r="G204" i="110"/>
  <c r="J112" i="110"/>
  <c r="L112" i="110"/>
  <c r="T112" i="110"/>
  <c r="R112" i="110"/>
  <c r="P112" i="110"/>
  <c r="M112" i="110"/>
  <c r="N112" i="110"/>
  <c r="S112" i="110"/>
  <c r="U112" i="110"/>
  <c r="K112" i="110"/>
  <c r="Q112" i="110"/>
  <c r="O112" i="110"/>
  <c r="G200" i="110"/>
  <c r="H200" i="110"/>
  <c r="F319" i="110"/>
  <c r="I200" i="110"/>
  <c r="G56" i="110"/>
  <c r="AA56" i="110" s="1"/>
  <c r="AD56" i="110" s="1"/>
  <c r="O120" i="110"/>
  <c r="P120" i="110"/>
  <c r="K120" i="110"/>
  <c r="N120" i="110"/>
  <c r="Q120" i="110"/>
  <c r="U120" i="110"/>
  <c r="J120" i="110"/>
  <c r="L120" i="110"/>
  <c r="R120" i="110"/>
  <c r="T120" i="110"/>
  <c r="M120" i="110"/>
  <c r="S120" i="110"/>
  <c r="I198" i="110"/>
  <c r="F317" i="110"/>
  <c r="G198" i="110"/>
  <c r="H198" i="110"/>
  <c r="I42" i="110"/>
  <c r="AC42" i="110" s="1"/>
  <c r="AF42" i="110" s="1"/>
  <c r="I58" i="110"/>
  <c r="AC58" i="110" s="1"/>
  <c r="AF58" i="110" s="1"/>
  <c r="F123" i="110"/>
  <c r="G123" i="110" s="1"/>
  <c r="L123" i="110" s="1"/>
  <c r="H39" i="110"/>
  <c r="AB39" i="110" s="1"/>
  <c r="AE39" i="110" s="1"/>
  <c r="I39" i="110"/>
  <c r="AC39" i="110" s="1"/>
  <c r="AF39" i="110" s="1"/>
  <c r="G39" i="110"/>
  <c r="AA39" i="110" s="1"/>
  <c r="AD39" i="110" s="1"/>
  <c r="F325" i="110"/>
  <c r="G206" i="110"/>
  <c r="I206" i="110"/>
  <c r="H206" i="110"/>
  <c r="H201" i="110"/>
  <c r="I201" i="110"/>
  <c r="F320" i="110"/>
  <c r="G201" i="110"/>
  <c r="F124" i="110"/>
  <c r="H124" i="110" s="1"/>
  <c r="AB124" i="110" s="1"/>
  <c r="AE124" i="110" s="1"/>
  <c r="G40" i="110"/>
  <c r="AA40" i="110" s="1"/>
  <c r="AD40" i="110" s="1"/>
  <c r="H40" i="110"/>
  <c r="AB40" i="110" s="1"/>
  <c r="AE40" i="110" s="1"/>
  <c r="I40" i="110"/>
  <c r="AC40" i="110" s="1"/>
  <c r="AF40" i="110" s="1"/>
  <c r="G48" i="110"/>
  <c r="AA48" i="110" s="1"/>
  <c r="AD48" i="110" s="1"/>
  <c r="F316" i="110"/>
  <c r="G197" i="110"/>
  <c r="H197" i="110"/>
  <c r="I197" i="110"/>
  <c r="H207" i="110"/>
  <c r="I207" i="110"/>
  <c r="G207" i="110"/>
  <c r="F326" i="110"/>
  <c r="H66" i="110"/>
  <c r="AB66" i="110" s="1"/>
  <c r="AE66" i="110" s="1"/>
  <c r="T213" i="58"/>
  <c r="AH93" i="133"/>
  <c r="J28" i="133"/>
  <c r="J43" i="133" s="1"/>
  <c r="I70" i="110"/>
  <c r="AC70" i="110" s="1"/>
  <c r="AF70" i="110" s="1"/>
  <c r="M13" i="157"/>
  <c r="Z106" i="133"/>
  <c r="J93" i="133"/>
  <c r="M247" i="110"/>
  <c r="Q368" i="110"/>
  <c r="Q22" i="124"/>
  <c r="J82" i="133"/>
  <c r="E13" i="157"/>
  <c r="Q49" i="124"/>
  <c r="O57" i="181"/>
  <c r="Q56" i="124"/>
  <c r="Q64" i="124" s="1"/>
  <c r="AH82" i="133"/>
  <c r="Q35" i="124"/>
  <c r="BC82" i="133"/>
  <c r="J106" i="133"/>
  <c r="Q366" i="110"/>
  <c r="M367" i="110"/>
  <c r="I22" i="124"/>
  <c r="Z69" i="133"/>
  <c r="Q15" i="124"/>
  <c r="AH69" i="133"/>
  <c r="I15" i="124"/>
  <c r="M379" i="110"/>
  <c r="V144" i="133"/>
  <c r="Z93" i="133"/>
  <c r="BC93" i="133"/>
  <c r="BC106" i="133"/>
  <c r="G70" i="110"/>
  <c r="AA70" i="110" s="1"/>
  <c r="AD70" i="110" s="1"/>
  <c r="L35" i="124"/>
  <c r="H55" i="110"/>
  <c r="AB55" i="110" s="1"/>
  <c r="AE55" i="110" s="1"/>
  <c r="U82" i="133"/>
  <c r="M28" i="133"/>
  <c r="M43" i="133" s="1"/>
  <c r="M56" i="133"/>
  <c r="U93" i="133"/>
  <c r="M93" i="133"/>
  <c r="AJ93" i="133"/>
  <c r="M82" i="133"/>
  <c r="M106" i="133"/>
  <c r="L22" i="124"/>
  <c r="P116" i="193"/>
  <c r="AP69" i="133"/>
  <c r="AJ69" i="133"/>
  <c r="U106" i="133"/>
  <c r="M69" i="133"/>
  <c r="L49" i="124"/>
  <c r="N8" i="124"/>
  <c r="F56" i="124"/>
  <c r="F64" i="124" s="1"/>
  <c r="G119" i="193"/>
  <c r="L57" i="181"/>
  <c r="N35" i="124"/>
  <c r="AZ69" i="133"/>
  <c r="AZ106" i="133"/>
  <c r="F8" i="124"/>
  <c r="F15" i="124"/>
  <c r="P222" i="58"/>
  <c r="F35" i="124"/>
  <c r="AP144" i="133"/>
  <c r="BB144" i="133"/>
  <c r="F49" i="124"/>
  <c r="I65" i="110"/>
  <c r="AC65" i="110" s="1"/>
  <c r="AF65" i="110" s="1"/>
  <c r="F283" i="58"/>
  <c r="E21" i="181" s="1"/>
  <c r="R214" i="58"/>
  <c r="L15" i="124"/>
  <c r="I57" i="181"/>
  <c r="AK93" i="133"/>
  <c r="W93" i="133"/>
  <c r="G28" i="133"/>
  <c r="G43" i="133" s="1"/>
  <c r="F28" i="133"/>
  <c r="F43" i="133" s="1"/>
  <c r="L56" i="124"/>
  <c r="L64" i="124" s="1"/>
  <c r="K8" i="124"/>
  <c r="N82" i="133"/>
  <c r="AD82" i="133"/>
  <c r="G56" i="133"/>
  <c r="F56" i="133"/>
  <c r="AK144" i="133"/>
  <c r="AV144" i="133"/>
  <c r="C119" i="193"/>
  <c r="AK69" i="133"/>
  <c r="K15" i="124"/>
  <c r="W106" i="133"/>
  <c r="W82" i="133"/>
  <c r="F93" i="133"/>
  <c r="AY93" i="133"/>
  <c r="G106" i="133"/>
  <c r="G69" i="133"/>
  <c r="F69" i="133"/>
  <c r="U144" i="133"/>
  <c r="BA144" i="133"/>
  <c r="P18" i="157"/>
  <c r="K35" i="124"/>
  <c r="AQ69" i="133"/>
  <c r="AQ106" i="133"/>
  <c r="G93" i="133"/>
  <c r="F106" i="133"/>
  <c r="H18" i="157"/>
  <c r="R31" i="181"/>
  <c r="K49" i="124"/>
  <c r="N106" i="133"/>
  <c r="N69" i="133"/>
  <c r="BC144" i="133"/>
  <c r="AJ106" i="133"/>
  <c r="K56" i="124"/>
  <c r="K64" i="124" s="1"/>
  <c r="O106" i="133"/>
  <c r="F82" i="133"/>
  <c r="AD69" i="133"/>
  <c r="N28" i="133"/>
  <c r="N43" i="133" s="1"/>
  <c r="U366" i="110"/>
  <c r="I51" i="110"/>
  <c r="AC51" i="110" s="1"/>
  <c r="AF51" i="110" s="1"/>
  <c r="G16" i="110"/>
  <c r="AA16" i="110" s="1"/>
  <c r="AD16" i="110" s="1"/>
  <c r="M251" i="110"/>
  <c r="J370" i="110"/>
  <c r="R366" i="110"/>
  <c r="Q380" i="110"/>
  <c r="R380" i="110"/>
  <c r="M372" i="110"/>
  <c r="J366" i="110"/>
  <c r="R248" i="110"/>
  <c r="N379" i="110"/>
  <c r="M371" i="110"/>
  <c r="J250" i="110"/>
  <c r="U371" i="110"/>
  <c r="N247" i="110"/>
  <c r="N369" i="110"/>
  <c r="R368" i="110"/>
  <c r="N249" i="110"/>
  <c r="J368" i="110"/>
  <c r="N367" i="110"/>
  <c r="Q370" i="110"/>
  <c r="K166" i="110"/>
  <c r="O367" i="110"/>
  <c r="U370" i="110"/>
  <c r="K368" i="110"/>
  <c r="I66" i="110"/>
  <c r="AC66" i="110" s="1"/>
  <c r="AF66" i="110" s="1"/>
  <c r="G72" i="110"/>
  <c r="AA72" i="110" s="1"/>
  <c r="AD72" i="110" s="1"/>
  <c r="AB121" i="110"/>
  <c r="AE121" i="110" s="1"/>
  <c r="AC121" i="110"/>
  <c r="AF121" i="110" s="1"/>
  <c r="E18" i="181"/>
  <c r="D18" i="181" s="1"/>
  <c r="U250" i="110"/>
  <c r="U166" i="110"/>
  <c r="U252" i="110" s="1"/>
  <c r="Q371" i="110"/>
  <c r="M380" i="110"/>
  <c r="U248" i="110"/>
  <c r="U380" i="110"/>
  <c r="Q369" i="110"/>
  <c r="U368" i="110"/>
  <c r="S366" i="110"/>
  <c r="Q379" i="110"/>
  <c r="AC113" i="110"/>
  <c r="AF113" i="110" s="1"/>
  <c r="Q249" i="110"/>
  <c r="S372" i="110"/>
  <c r="M370" i="110"/>
  <c r="I43" i="110"/>
  <c r="AC43" i="110" s="1"/>
  <c r="AF43" i="110" s="1"/>
  <c r="J379" i="110"/>
  <c r="J247" i="110"/>
  <c r="R247" i="110"/>
  <c r="O378" i="110"/>
  <c r="H58" i="110"/>
  <c r="AB58" i="110" s="1"/>
  <c r="AE58" i="110" s="1"/>
  <c r="R367" i="110"/>
  <c r="R379" i="110"/>
  <c r="G75" i="110"/>
  <c r="AA75" i="110" s="1"/>
  <c r="AD75" i="110" s="1"/>
  <c r="I61" i="110"/>
  <c r="AC61" i="110" s="1"/>
  <c r="AF61" i="110" s="1"/>
  <c r="H72" i="110"/>
  <c r="AB72" i="110" s="1"/>
  <c r="AE72" i="110" s="1"/>
  <c r="J367" i="110"/>
  <c r="G41" i="110"/>
  <c r="AA41" i="110" s="1"/>
  <c r="AD41" i="110" s="1"/>
  <c r="I72" i="110"/>
  <c r="AC72" i="110" s="1"/>
  <c r="AF72" i="110" s="1"/>
  <c r="N248" i="110"/>
  <c r="N366" i="110"/>
  <c r="H41" i="110"/>
  <c r="AB41" i="110" s="1"/>
  <c r="AE41" i="110" s="1"/>
  <c r="G53" i="110"/>
  <c r="AA53" i="110" s="1"/>
  <c r="AD53" i="110" s="1"/>
  <c r="K249" i="110"/>
  <c r="F404" i="110"/>
  <c r="E404" i="110" s="1"/>
  <c r="H53" i="110"/>
  <c r="AB53" i="110" s="1"/>
  <c r="AE53" i="110" s="1"/>
  <c r="K380" i="110"/>
  <c r="N368" i="110"/>
  <c r="O368" i="110"/>
  <c r="I53" i="110"/>
  <c r="AC53" i="110" s="1"/>
  <c r="AF53" i="110" s="1"/>
  <c r="G61" i="110"/>
  <c r="AA61" i="110" s="1"/>
  <c r="AD61" i="110" s="1"/>
  <c r="H75" i="110"/>
  <c r="AB75" i="110" s="1"/>
  <c r="AE75" i="110" s="1"/>
  <c r="O379" i="110"/>
  <c r="H45" i="110"/>
  <c r="AB45" i="110" s="1"/>
  <c r="AE45" i="110" s="1"/>
  <c r="H61" i="110"/>
  <c r="AB61" i="110" s="1"/>
  <c r="AE61" i="110" s="1"/>
  <c r="I75" i="110"/>
  <c r="AC75" i="110" s="1"/>
  <c r="AF75" i="110" s="1"/>
  <c r="L247" i="110"/>
  <c r="L251" i="110"/>
  <c r="L369" i="110"/>
  <c r="T251" i="110"/>
  <c r="L371" i="110"/>
  <c r="T249" i="110"/>
  <c r="T371" i="110"/>
  <c r="H54" i="110"/>
  <c r="AB54" i="110" s="1"/>
  <c r="AE54" i="110" s="1"/>
  <c r="L249" i="110"/>
  <c r="T369" i="110"/>
  <c r="H16" i="110"/>
  <c r="AB16" i="110" s="1"/>
  <c r="AE16" i="110" s="1"/>
  <c r="G43" i="110"/>
  <c r="AA43" i="110" s="1"/>
  <c r="AD43" i="110" s="1"/>
  <c r="G51" i="110"/>
  <c r="AA51" i="110" s="1"/>
  <c r="AD51" i="110" s="1"/>
  <c r="I54" i="110"/>
  <c r="AC54" i="110" s="1"/>
  <c r="AF54" i="110" s="1"/>
  <c r="I16" i="110"/>
  <c r="AC16" i="110" s="1"/>
  <c r="AF16" i="110" s="1"/>
  <c r="H43" i="110"/>
  <c r="AB43" i="110" s="1"/>
  <c r="AE43" i="110" s="1"/>
  <c r="H51" i="110"/>
  <c r="AB51" i="110" s="1"/>
  <c r="AE51" i="110" s="1"/>
  <c r="K369" i="110"/>
  <c r="G62" i="110"/>
  <c r="AA62" i="110" s="1"/>
  <c r="AD62" i="110" s="1"/>
  <c r="I46" i="110"/>
  <c r="AC46" i="110" s="1"/>
  <c r="AF46" i="110" s="1"/>
  <c r="H62" i="110"/>
  <c r="AB62" i="110" s="1"/>
  <c r="AE62" i="110" s="1"/>
  <c r="G22" i="110"/>
  <c r="AA22" i="110" s="1"/>
  <c r="AD22" i="110" s="1"/>
  <c r="I62" i="110"/>
  <c r="AC62" i="110" s="1"/>
  <c r="AF62" i="110" s="1"/>
  <c r="G66" i="110"/>
  <c r="AA66" i="110" s="1"/>
  <c r="AD66" i="110" s="1"/>
  <c r="G54" i="110"/>
  <c r="AA54" i="110" s="1"/>
  <c r="AD54" i="110" s="1"/>
  <c r="J249" i="110"/>
  <c r="N370" i="110"/>
  <c r="O380" i="110"/>
  <c r="I24" i="110"/>
  <c r="AC24" i="110" s="1"/>
  <c r="AF24" i="110" s="1"/>
  <c r="F93" i="110"/>
  <c r="I93" i="110" s="1"/>
  <c r="AC93" i="110" s="1"/>
  <c r="AF93" i="110" s="1"/>
  <c r="S249" i="110"/>
  <c r="N250" i="110"/>
  <c r="S247" i="110"/>
  <c r="S369" i="110"/>
  <c r="K371" i="110"/>
  <c r="I41" i="110"/>
  <c r="AC41" i="110" s="1"/>
  <c r="AF41" i="110" s="1"/>
  <c r="G57" i="110"/>
  <c r="AA57" i="110" s="1"/>
  <c r="AD57" i="110" s="1"/>
  <c r="L367" i="110"/>
  <c r="S371" i="110"/>
  <c r="K367" i="110"/>
  <c r="H6" i="110"/>
  <c r="AB6" i="110" s="1"/>
  <c r="AE6" i="110" s="1"/>
  <c r="G13" i="110"/>
  <c r="AA13" i="110" s="1"/>
  <c r="AD13" i="110" s="1"/>
  <c r="H57" i="110"/>
  <c r="AB57" i="110" s="1"/>
  <c r="AE57" i="110" s="1"/>
  <c r="P248" i="110"/>
  <c r="S367" i="110"/>
  <c r="P368" i="110"/>
  <c r="H13" i="110"/>
  <c r="AB13" i="110" s="1"/>
  <c r="AE13" i="110" s="1"/>
  <c r="I57" i="110"/>
  <c r="AC57" i="110" s="1"/>
  <c r="AF57" i="110" s="1"/>
  <c r="O248" i="110"/>
  <c r="S379" i="110"/>
  <c r="R371" i="110"/>
  <c r="G9" i="110"/>
  <c r="AA9" i="110" s="1"/>
  <c r="AD9" i="110" s="1"/>
  <c r="I13" i="110"/>
  <c r="AC13" i="110" s="1"/>
  <c r="AF13" i="110" s="1"/>
  <c r="J369" i="110"/>
  <c r="L379" i="110"/>
  <c r="P380" i="110"/>
  <c r="H9" i="110"/>
  <c r="AB9" i="110" s="1"/>
  <c r="AE9" i="110" s="1"/>
  <c r="G24" i="110"/>
  <c r="AA24" i="110" s="1"/>
  <c r="AD24" i="110" s="1"/>
  <c r="O366" i="110"/>
  <c r="H24" i="110"/>
  <c r="AB24" i="110" s="1"/>
  <c r="AE24" i="110" s="1"/>
  <c r="G44" i="110"/>
  <c r="AA44" i="110" s="1"/>
  <c r="AD44" i="110" s="1"/>
  <c r="Q251" i="110"/>
  <c r="Q372" i="110"/>
  <c r="N118" i="193"/>
  <c r="O372" i="110"/>
  <c r="O118" i="193"/>
  <c r="N372" i="110"/>
  <c r="B119" i="193"/>
  <c r="O119" i="193" s="1"/>
  <c r="M378" i="110"/>
  <c r="L252" i="110"/>
  <c r="Q378" i="110"/>
  <c r="AQ144" i="133"/>
  <c r="T372" i="110"/>
  <c r="J378" i="110"/>
  <c r="AA378" i="110"/>
  <c r="AD378" i="110" s="1"/>
  <c r="H44" i="110"/>
  <c r="AB44" i="110" s="1"/>
  <c r="AE44" i="110" s="1"/>
  <c r="P378" i="110"/>
  <c r="L372" i="110"/>
  <c r="S370" i="110"/>
  <c r="K378" i="110"/>
  <c r="N380" i="110"/>
  <c r="I44" i="110"/>
  <c r="AC44" i="110" s="1"/>
  <c r="AF44" i="110" s="1"/>
  <c r="O249" i="110"/>
  <c r="K379" i="110"/>
  <c r="O369" i="110"/>
  <c r="P159" i="110"/>
  <c r="R71" i="137" s="1"/>
  <c r="AN144" i="133"/>
  <c r="T378" i="110"/>
  <c r="S263" i="110"/>
  <c r="T263" i="110" s="1"/>
  <c r="U263" i="110" s="1"/>
  <c r="V274" i="110"/>
  <c r="N277" i="110"/>
  <c r="O277" i="110" s="1"/>
  <c r="P277" i="110" s="1"/>
  <c r="Q277" i="110" s="1"/>
  <c r="R277" i="110" s="1"/>
  <c r="S277" i="110" s="1"/>
  <c r="T277" i="110" s="1"/>
  <c r="U277" i="110" s="1"/>
  <c r="M119" i="193"/>
  <c r="AG144" i="133"/>
  <c r="W144" i="133"/>
  <c r="AT144" i="133"/>
  <c r="K119" i="193"/>
  <c r="AO144" i="133"/>
  <c r="BD144" i="133"/>
  <c r="M248" i="110"/>
  <c r="I18" i="110"/>
  <c r="AC18" i="110" s="1"/>
  <c r="AF18" i="110" s="1"/>
  <c r="E17" i="181"/>
  <c r="F90" i="110"/>
  <c r="I6" i="110"/>
  <c r="AC6" i="110" s="1"/>
  <c r="AF6" i="110" s="1"/>
  <c r="G6" i="110"/>
  <c r="AA6" i="110" s="1"/>
  <c r="AD6" i="110" s="1"/>
  <c r="AB144" i="133"/>
  <c r="V260" i="110"/>
  <c r="F131" i="110"/>
  <c r="G131" i="110" s="1"/>
  <c r="T131" i="110" s="1"/>
  <c r="H47" i="110"/>
  <c r="AB47" i="110" s="1"/>
  <c r="AE47" i="110" s="1"/>
  <c r="G47" i="110"/>
  <c r="AA47" i="110" s="1"/>
  <c r="AD47" i="110" s="1"/>
  <c r="AJ144" i="133"/>
  <c r="AZ144" i="133"/>
  <c r="AA144" i="133"/>
  <c r="D119" i="193"/>
  <c r="F134" i="110"/>
  <c r="H134" i="110" s="1"/>
  <c r="AB134" i="110" s="1"/>
  <c r="AE134" i="110" s="1"/>
  <c r="I50" i="110"/>
  <c r="AC50" i="110" s="1"/>
  <c r="AF50" i="110" s="1"/>
  <c r="H50" i="110"/>
  <c r="AB50" i="110" s="1"/>
  <c r="AE50" i="110" s="1"/>
  <c r="G50" i="110"/>
  <c r="AA50" i="110" s="1"/>
  <c r="AD50" i="110" s="1"/>
  <c r="E119" i="193"/>
  <c r="H119" i="193"/>
  <c r="V270" i="110"/>
  <c r="I47" i="110"/>
  <c r="AC47" i="110" s="1"/>
  <c r="AF47" i="110" s="1"/>
  <c r="G145" i="110"/>
  <c r="J145" i="110" s="1"/>
  <c r="I145" i="110"/>
  <c r="AC145" i="110" s="1"/>
  <c r="AF145" i="110" s="1"/>
  <c r="T144" i="133"/>
  <c r="M368" i="110"/>
  <c r="F157" i="110"/>
  <c r="G157" i="110" s="1"/>
  <c r="M157" i="110" s="1"/>
  <c r="G73" i="110"/>
  <c r="AA73" i="110" s="1"/>
  <c r="AD73" i="110" s="1"/>
  <c r="I73" i="110"/>
  <c r="AC73" i="110" s="1"/>
  <c r="AF73" i="110" s="1"/>
  <c r="F149" i="110"/>
  <c r="H65" i="110"/>
  <c r="AB65" i="110" s="1"/>
  <c r="AE65" i="110" s="1"/>
  <c r="G65" i="110"/>
  <c r="AA65" i="110" s="1"/>
  <c r="AD65" i="110" s="1"/>
  <c r="Z144" i="133"/>
  <c r="AY144" i="133"/>
  <c r="Y144" i="133"/>
  <c r="V395" i="110"/>
  <c r="Q367" i="110"/>
  <c r="S378" i="110"/>
  <c r="N378" i="110"/>
  <c r="L378" i="110"/>
  <c r="U378" i="110"/>
  <c r="G24" i="137"/>
  <c r="I24" i="137" s="1"/>
  <c r="I95" i="137" s="1"/>
  <c r="G50" i="137"/>
  <c r="I50" i="137" s="1"/>
  <c r="I121" i="137" s="1"/>
  <c r="AA35" i="110"/>
  <c r="AD35" i="110" s="1"/>
  <c r="AB35" i="110"/>
  <c r="AE35" i="110" s="1"/>
  <c r="S251" i="110"/>
  <c r="Q250" i="110"/>
  <c r="G106" i="110"/>
  <c r="I106" i="110"/>
  <c r="AC106" i="110" s="1"/>
  <c r="AF106" i="110" s="1"/>
  <c r="H106" i="110"/>
  <c r="AB106" i="110" s="1"/>
  <c r="AE106" i="110" s="1"/>
  <c r="F192" i="110"/>
  <c r="H192" i="110" s="1"/>
  <c r="AB192" i="110" s="1"/>
  <c r="AE192" i="110" s="1"/>
  <c r="K251" i="110"/>
  <c r="K247" i="110"/>
  <c r="M252" i="110"/>
  <c r="O13" i="157"/>
  <c r="BD82" i="133"/>
  <c r="P166" i="110"/>
  <c r="I56" i="124"/>
  <c r="I64" i="124" s="1"/>
  <c r="G12" i="110"/>
  <c r="AA12" i="110" s="1"/>
  <c r="AD12" i="110" s="1"/>
  <c r="H22" i="110"/>
  <c r="AB22" i="110" s="1"/>
  <c r="AE22" i="110" s="1"/>
  <c r="I45" i="110"/>
  <c r="AC45" i="110" s="1"/>
  <c r="AF45" i="110" s="1"/>
  <c r="F231" i="110"/>
  <c r="G231" i="110" s="1"/>
  <c r="AA231" i="110" s="1"/>
  <c r="AD231" i="110" s="1"/>
  <c r="G69" i="137"/>
  <c r="G140" i="137" s="1"/>
  <c r="G37" i="137"/>
  <c r="G108" i="137" s="1"/>
  <c r="P223" i="58"/>
  <c r="U251" i="110"/>
  <c r="I8" i="124"/>
  <c r="BD69" i="133"/>
  <c r="F402" i="110"/>
  <c r="E402" i="110" s="1"/>
  <c r="P22" i="124"/>
  <c r="H12" i="110"/>
  <c r="AB12" i="110" s="1"/>
  <c r="AE12" i="110" s="1"/>
  <c r="I22" i="110"/>
  <c r="AC22" i="110" s="1"/>
  <c r="AF22" i="110" s="1"/>
  <c r="G51" i="137"/>
  <c r="I51" i="137" s="1"/>
  <c r="I122" i="137" s="1"/>
  <c r="L93" i="133"/>
  <c r="N31" i="181"/>
  <c r="AB106" i="133"/>
  <c r="T93" i="133"/>
  <c r="F405" i="110"/>
  <c r="T380" i="110"/>
  <c r="O370" i="110"/>
  <c r="P49" i="124"/>
  <c r="G10" i="110"/>
  <c r="AA10" i="110" s="1"/>
  <c r="AD10" i="110" s="1"/>
  <c r="I12" i="110"/>
  <c r="AC12" i="110" s="1"/>
  <c r="AF12" i="110" s="1"/>
  <c r="AA31" i="110"/>
  <c r="AD31" i="110" s="1"/>
  <c r="I159" i="110"/>
  <c r="AC159" i="110" s="1"/>
  <c r="AF159" i="110" s="1"/>
  <c r="G41" i="137"/>
  <c r="I41" i="137" s="1"/>
  <c r="I112" i="137" s="1"/>
  <c r="U369" i="110"/>
  <c r="L106" i="133"/>
  <c r="AB69" i="133"/>
  <c r="I49" i="124"/>
  <c r="T106" i="133"/>
  <c r="P56" i="124"/>
  <c r="P64" i="124" s="1"/>
  <c r="G7" i="110"/>
  <c r="AA7" i="110" s="1"/>
  <c r="AD7" i="110" s="1"/>
  <c r="H10" i="110"/>
  <c r="AB10" i="110" s="1"/>
  <c r="AE10" i="110" s="1"/>
  <c r="AB31" i="110"/>
  <c r="AE31" i="110" s="1"/>
  <c r="AA34" i="110"/>
  <c r="AD34" i="110" s="1"/>
  <c r="G52" i="137"/>
  <c r="I52" i="137" s="1"/>
  <c r="I123" i="137" s="1"/>
  <c r="G32" i="137"/>
  <c r="I32" i="137" s="1"/>
  <c r="I103" i="137" s="1"/>
  <c r="Q124" i="58"/>
  <c r="T223" i="58" s="1"/>
  <c r="L82" i="133"/>
  <c r="T69" i="133"/>
  <c r="L56" i="133"/>
  <c r="H7" i="110"/>
  <c r="AB7" i="110" s="1"/>
  <c r="AE7" i="110" s="1"/>
  <c r="I10" i="110"/>
  <c r="AC10" i="110" s="1"/>
  <c r="AF10" i="110" s="1"/>
  <c r="AB34" i="110"/>
  <c r="AE34" i="110" s="1"/>
  <c r="AB113" i="110"/>
  <c r="AE113" i="110" s="1"/>
  <c r="G42" i="137"/>
  <c r="I42" i="137" s="1"/>
  <c r="I113" i="137" s="1"/>
  <c r="F119" i="193"/>
  <c r="AB93" i="133"/>
  <c r="P8" i="124"/>
  <c r="G13" i="157"/>
  <c r="AV93" i="133"/>
  <c r="T248" i="110"/>
  <c r="M366" i="110"/>
  <c r="I7" i="110"/>
  <c r="AC7" i="110" s="1"/>
  <c r="AF7" i="110" s="1"/>
  <c r="G42" i="110"/>
  <c r="AA42" i="110" s="1"/>
  <c r="AD42" i="110" s="1"/>
  <c r="G46" i="137"/>
  <c r="I46" i="137" s="1"/>
  <c r="I117" i="137" s="1"/>
  <c r="V213" i="58"/>
  <c r="BD93" i="133"/>
  <c r="AC27" i="110"/>
  <c r="AF27" i="110" s="1"/>
  <c r="H42" i="110"/>
  <c r="AB42" i="110" s="1"/>
  <c r="AE42" i="110" s="1"/>
  <c r="G45" i="110"/>
  <c r="AA45" i="110" s="1"/>
  <c r="AD45" i="110" s="1"/>
  <c r="G52" i="110"/>
  <c r="AA52" i="110" s="1"/>
  <c r="AD52" i="110" s="1"/>
  <c r="H145" i="110"/>
  <c r="AB145" i="110" s="1"/>
  <c r="AE145" i="110" s="1"/>
  <c r="U124" i="58"/>
  <c r="U249" i="110"/>
  <c r="G126" i="110"/>
  <c r="J126" i="110" s="1"/>
  <c r="H126" i="110"/>
  <c r="AB126" i="110" s="1"/>
  <c r="AE126" i="110" s="1"/>
  <c r="F212" i="110"/>
  <c r="I126" i="110"/>
  <c r="AC126" i="110" s="1"/>
  <c r="AF126" i="110" s="1"/>
  <c r="S250" i="110"/>
  <c r="M250" i="110"/>
  <c r="Q247" i="110"/>
  <c r="G137" i="110"/>
  <c r="Q137" i="110" s="1"/>
  <c r="S49" i="137" s="1"/>
  <c r="I137" i="110"/>
  <c r="AC137" i="110" s="1"/>
  <c r="AF137" i="110" s="1"/>
  <c r="H137" i="110"/>
  <c r="AB137" i="110" s="1"/>
  <c r="AE137" i="110" s="1"/>
  <c r="F223" i="110"/>
  <c r="H223" i="110" s="1"/>
  <c r="AB223" i="110" s="1"/>
  <c r="AE223" i="110" s="1"/>
  <c r="Q248" i="110"/>
  <c r="F151" i="110"/>
  <c r="G67" i="110"/>
  <c r="AA67" i="110" s="1"/>
  <c r="AD67" i="110" s="1"/>
  <c r="I67" i="110"/>
  <c r="AC67" i="110" s="1"/>
  <c r="AF67" i="110" s="1"/>
  <c r="H67" i="110"/>
  <c r="AB67" i="110" s="1"/>
  <c r="AE67" i="110" s="1"/>
  <c r="AC116" i="110"/>
  <c r="AF116" i="110" s="1"/>
  <c r="AB116" i="110"/>
  <c r="AE116" i="110" s="1"/>
  <c r="AB202" i="110"/>
  <c r="AE202" i="110" s="1"/>
  <c r="O247" i="110"/>
  <c r="F160" i="110"/>
  <c r="AC76" i="110"/>
  <c r="AF76" i="110" s="1"/>
  <c r="AB76" i="110"/>
  <c r="AE76" i="110" s="1"/>
  <c r="AA76" i="110"/>
  <c r="AD76" i="110" s="1"/>
  <c r="G135" i="110"/>
  <c r="M135" i="110" s="1"/>
  <c r="O47" i="137" s="1"/>
  <c r="F221" i="110"/>
  <c r="G221" i="110" s="1"/>
  <c r="AA221" i="110" s="1"/>
  <c r="AD221" i="110" s="1"/>
  <c r="H135" i="110"/>
  <c r="AB135" i="110" s="1"/>
  <c r="AE135" i="110" s="1"/>
  <c r="I135" i="110"/>
  <c r="AC135" i="110" s="1"/>
  <c r="AF135" i="110" s="1"/>
  <c r="F369" i="110"/>
  <c r="G125" i="110"/>
  <c r="U125" i="110" s="1"/>
  <c r="F211" i="110"/>
  <c r="G211" i="110" s="1"/>
  <c r="AA211" i="110" s="1"/>
  <c r="AD211" i="110" s="1"/>
  <c r="I125" i="110"/>
  <c r="AC125" i="110" s="1"/>
  <c r="AF125" i="110" s="1"/>
  <c r="F183" i="110"/>
  <c r="I97" i="110"/>
  <c r="AC97" i="110" s="1"/>
  <c r="AF97" i="110" s="1"/>
  <c r="G97" i="110"/>
  <c r="S97" i="110" s="1"/>
  <c r="H97" i="110"/>
  <c r="AB97" i="110" s="1"/>
  <c r="AE97" i="110" s="1"/>
  <c r="G146" i="110"/>
  <c r="AA146" i="110" s="1"/>
  <c r="AD146" i="110" s="1"/>
  <c r="F232" i="110"/>
  <c r="G232" i="110" s="1"/>
  <c r="AA232" i="110" s="1"/>
  <c r="AD232" i="110" s="1"/>
  <c r="G139" i="110"/>
  <c r="N139" i="110" s="1"/>
  <c r="P51" i="137" s="1"/>
  <c r="F225" i="110"/>
  <c r="H225" i="110" s="1"/>
  <c r="AB225" i="110" s="1"/>
  <c r="AE225" i="110" s="1"/>
  <c r="I139" i="110"/>
  <c r="AC139" i="110" s="1"/>
  <c r="AF139" i="110" s="1"/>
  <c r="H139" i="110"/>
  <c r="AB139" i="110" s="1"/>
  <c r="AE139" i="110" s="1"/>
  <c r="G100" i="110"/>
  <c r="AA100" i="110" s="1"/>
  <c r="AD100" i="110" s="1"/>
  <c r="I100" i="110"/>
  <c r="AC100" i="110" s="1"/>
  <c r="AF100" i="110" s="1"/>
  <c r="H100" i="110"/>
  <c r="AB100" i="110" s="1"/>
  <c r="AE100" i="110" s="1"/>
  <c r="F186" i="110"/>
  <c r="H186" i="110" s="1"/>
  <c r="AB186" i="110" s="1"/>
  <c r="AE186" i="110" s="1"/>
  <c r="P251" i="110"/>
  <c r="P250" i="110"/>
  <c r="U123" i="58"/>
  <c r="S123" i="58"/>
  <c r="V222" i="58" s="1"/>
  <c r="M15" i="124"/>
  <c r="V106" i="133"/>
  <c r="AC82" i="133"/>
  <c r="H28" i="133"/>
  <c r="H43" i="133" s="1"/>
  <c r="T247" i="110"/>
  <c r="K370" i="110"/>
  <c r="M56" i="124"/>
  <c r="M64" i="124" s="1"/>
  <c r="L18" i="157"/>
  <c r="X200" i="58"/>
  <c r="V79" i="110"/>
  <c r="I74" i="110"/>
  <c r="AC74" i="110" s="1"/>
  <c r="AF74" i="110" s="1"/>
  <c r="K164" i="110"/>
  <c r="M163" i="110"/>
  <c r="F144" i="110"/>
  <c r="F140" i="110"/>
  <c r="G140" i="110" s="1"/>
  <c r="Q140" i="110" s="1"/>
  <c r="S52" i="137" s="1"/>
  <c r="F102" i="110"/>
  <c r="F188" i="110" s="1"/>
  <c r="G188" i="110" s="1"/>
  <c r="AA188" i="110" s="1"/>
  <c r="AD188" i="110" s="1"/>
  <c r="I119" i="193"/>
  <c r="X328" i="58"/>
  <c r="W123" i="58"/>
  <c r="W214" i="58"/>
  <c r="V214" i="58"/>
  <c r="AN69" i="133"/>
  <c r="V82" i="133"/>
  <c r="BA82" i="133"/>
  <c r="AU69" i="133"/>
  <c r="H69" i="133"/>
  <c r="S380" i="110"/>
  <c r="P366" i="110"/>
  <c r="G15" i="110"/>
  <c r="AA15" i="110" s="1"/>
  <c r="AD15" i="110" s="1"/>
  <c r="H18" i="110"/>
  <c r="AB18" i="110" s="1"/>
  <c r="AE18" i="110" s="1"/>
  <c r="H56" i="110"/>
  <c r="AB56" i="110" s="1"/>
  <c r="AE56" i="110" s="1"/>
  <c r="G60" i="110"/>
  <c r="AA60" i="110" s="1"/>
  <c r="AD60" i="110" s="1"/>
  <c r="H99" i="110"/>
  <c r="AB99" i="110" s="1"/>
  <c r="AE99" i="110" s="1"/>
  <c r="H128" i="110"/>
  <c r="AB128" i="110" s="1"/>
  <c r="AE128" i="110" s="1"/>
  <c r="F185" i="110"/>
  <c r="F227" i="110"/>
  <c r="G227" i="110" s="1"/>
  <c r="AA227" i="110" s="1"/>
  <c r="AD227" i="110" s="1"/>
  <c r="V80" i="110"/>
  <c r="AS144" i="133"/>
  <c r="O252" i="110"/>
  <c r="Q222" i="58"/>
  <c r="AC93" i="133"/>
  <c r="AU82" i="133"/>
  <c r="S248" i="110"/>
  <c r="H15" i="110"/>
  <c r="AB15" i="110" s="1"/>
  <c r="AE15" i="110" s="1"/>
  <c r="H60" i="110"/>
  <c r="AB60" i="110" s="1"/>
  <c r="AE60" i="110" s="1"/>
  <c r="I99" i="110"/>
  <c r="AC99" i="110" s="1"/>
  <c r="AF99" i="110" s="1"/>
  <c r="I128" i="110"/>
  <c r="AC128" i="110" s="1"/>
  <c r="AF128" i="110" s="1"/>
  <c r="L123" i="58"/>
  <c r="O222" i="58" s="1"/>
  <c r="O318" i="58"/>
  <c r="AN93" i="133"/>
  <c r="O69" i="133"/>
  <c r="BA93" i="133"/>
  <c r="AC106" i="133"/>
  <c r="V93" i="133"/>
  <c r="J166" i="110"/>
  <c r="J252" i="110" s="1"/>
  <c r="O28" i="133"/>
  <c r="O43" i="133" s="1"/>
  <c r="P370" i="110"/>
  <c r="P371" i="110"/>
  <c r="I15" i="110"/>
  <c r="AC15" i="110" s="1"/>
  <c r="AF15" i="110" s="1"/>
  <c r="F214" i="110"/>
  <c r="R252" i="110"/>
  <c r="O123" i="58"/>
  <c r="R222" i="58" s="1"/>
  <c r="L318" i="58"/>
  <c r="J57" i="181"/>
  <c r="H82" i="133"/>
  <c r="X217" i="58"/>
  <c r="Q123" i="58"/>
  <c r="T222" i="58" s="1"/>
  <c r="T123" i="58"/>
  <c r="W222" i="58" s="1"/>
  <c r="S214" i="58"/>
  <c r="F13" i="157"/>
  <c r="M49" i="124"/>
  <c r="AN82" i="133"/>
  <c r="H93" i="133"/>
  <c r="AU93" i="133"/>
  <c r="BA69" i="133"/>
  <c r="R369" i="110"/>
  <c r="M22" i="124"/>
  <c r="G25" i="110"/>
  <c r="AA25" i="110" s="1"/>
  <c r="AD25" i="110" s="1"/>
  <c r="H141" i="110"/>
  <c r="AB141" i="110" s="1"/>
  <c r="AE141" i="110" s="1"/>
  <c r="V123" i="58"/>
  <c r="R123" i="58"/>
  <c r="U222" i="58" s="1"/>
  <c r="S368" i="110"/>
  <c r="R372" i="110"/>
  <c r="I141" i="110"/>
  <c r="AC141" i="110" s="1"/>
  <c r="AF141" i="110" s="1"/>
  <c r="G70" i="137"/>
  <c r="I70" i="137" s="1"/>
  <c r="I141" i="137" s="1"/>
  <c r="G43" i="137"/>
  <c r="I43" i="137" s="1"/>
  <c r="I114" i="137" s="1"/>
  <c r="G29" i="137"/>
  <c r="I29" i="137" s="1"/>
  <c r="I100" i="137" s="1"/>
  <c r="G71" i="137"/>
  <c r="I71" i="137" s="1"/>
  <c r="I142" i="137" s="1"/>
  <c r="G44" i="137"/>
  <c r="G30" i="137"/>
  <c r="I30" i="137" s="1"/>
  <c r="I101" i="137" s="1"/>
  <c r="G35" i="137"/>
  <c r="I35" i="137" s="1"/>
  <c r="I106" i="137" s="1"/>
  <c r="G22" i="137"/>
  <c r="I22" i="137" s="1"/>
  <c r="I93" i="137" s="1"/>
  <c r="G40" i="137"/>
  <c r="G27" i="137"/>
  <c r="I27" i="137" s="1"/>
  <c r="I98" i="137" s="1"/>
  <c r="G23" i="137"/>
  <c r="I23" i="137" s="1"/>
  <c r="I94" i="137" s="1"/>
  <c r="N252" i="110"/>
  <c r="J16" i="133"/>
  <c r="J56" i="133"/>
  <c r="BB69" i="133"/>
  <c r="BB93" i="133"/>
  <c r="N49" i="124"/>
  <c r="N22" i="124"/>
  <c r="K31" i="181"/>
  <c r="K57" i="181"/>
  <c r="F368" i="110"/>
  <c r="F380" i="110"/>
  <c r="P247" i="110"/>
  <c r="G158" i="110"/>
  <c r="O158" i="110" s="1"/>
  <c r="Q70" i="137" s="1"/>
  <c r="I158" i="110"/>
  <c r="AC158" i="110" s="1"/>
  <c r="AF158" i="110" s="1"/>
  <c r="H158" i="110"/>
  <c r="AB158" i="110" s="1"/>
  <c r="AE158" i="110" s="1"/>
  <c r="F244" i="110"/>
  <c r="G105" i="110"/>
  <c r="I105" i="110"/>
  <c r="AC105" i="110" s="1"/>
  <c r="AF105" i="110" s="1"/>
  <c r="H105" i="110"/>
  <c r="AB105" i="110" s="1"/>
  <c r="AE105" i="110" s="1"/>
  <c r="F191" i="110"/>
  <c r="G191" i="110" s="1"/>
  <c r="AA191" i="110" s="1"/>
  <c r="AD191" i="110" s="1"/>
  <c r="Y106" i="133"/>
  <c r="Y93" i="133"/>
  <c r="H22" i="124"/>
  <c r="H15" i="124"/>
  <c r="N18" i="157"/>
  <c r="N13" i="157"/>
  <c r="F379" i="110"/>
  <c r="F367" i="110"/>
  <c r="F152" i="110"/>
  <c r="G152" i="110" s="1"/>
  <c r="H68" i="110"/>
  <c r="AB68" i="110" s="1"/>
  <c r="AE68" i="110" s="1"/>
  <c r="G68" i="110"/>
  <c r="AA68" i="110" s="1"/>
  <c r="AD68" i="110" s="1"/>
  <c r="G136" i="110"/>
  <c r="O136" i="110" s="1"/>
  <c r="O393" i="110" s="1"/>
  <c r="F222" i="110"/>
  <c r="I136" i="110"/>
  <c r="AC136" i="110" s="1"/>
  <c r="AF136" i="110" s="1"/>
  <c r="G127" i="110"/>
  <c r="O127" i="110" s="1"/>
  <c r="Q39" i="137" s="1"/>
  <c r="F213" i="110"/>
  <c r="G213" i="110" s="1"/>
  <c r="AA213" i="110" s="1"/>
  <c r="AD213" i="110" s="1"/>
  <c r="I127" i="110"/>
  <c r="AC127" i="110" s="1"/>
  <c r="AF127" i="110" s="1"/>
  <c r="U214" i="58"/>
  <c r="AF144" i="133"/>
  <c r="O371" i="110"/>
  <c r="O165" i="110"/>
  <c r="U367" i="110"/>
  <c r="U161" i="110"/>
  <c r="V161" i="110" s="1"/>
  <c r="F155" i="110"/>
  <c r="I71" i="110"/>
  <c r="AC71" i="110" s="1"/>
  <c r="AF71" i="110" s="1"/>
  <c r="H71" i="110"/>
  <c r="AB71" i="110" s="1"/>
  <c r="AE71" i="110" s="1"/>
  <c r="G71" i="110"/>
  <c r="AA71" i="110" s="1"/>
  <c r="AD71" i="110" s="1"/>
  <c r="H8" i="110"/>
  <c r="AB8" i="110" s="1"/>
  <c r="AE8" i="110" s="1"/>
  <c r="F92" i="110"/>
  <c r="I8" i="110"/>
  <c r="AC8" i="110" s="1"/>
  <c r="AF8" i="110" s="1"/>
  <c r="F403" i="110"/>
  <c r="F89" i="110"/>
  <c r="I5" i="110"/>
  <c r="G5" i="110"/>
  <c r="AA5" i="110" s="1"/>
  <c r="AD5" i="110" s="1"/>
  <c r="F400" i="110"/>
  <c r="X284" i="58"/>
  <c r="L16" i="133"/>
  <c r="L69" i="133"/>
  <c r="I49" i="110"/>
  <c r="AC49" i="110" s="1"/>
  <c r="AF49" i="110" s="1"/>
  <c r="F133" i="110"/>
  <c r="G49" i="110"/>
  <c r="AA49" i="110" s="1"/>
  <c r="AD49" i="110" s="1"/>
  <c r="AC117" i="110"/>
  <c r="AF117" i="110" s="1"/>
  <c r="AB117" i="110"/>
  <c r="AE117" i="110" s="1"/>
  <c r="AA203" i="110"/>
  <c r="AD203" i="110" s="1"/>
  <c r="N116" i="193"/>
  <c r="T252" i="110"/>
  <c r="F153" i="110"/>
  <c r="I69" i="110"/>
  <c r="AC69" i="110" s="1"/>
  <c r="AF69" i="110" s="1"/>
  <c r="H69" i="110"/>
  <c r="AB69" i="110" s="1"/>
  <c r="AE69" i="110" s="1"/>
  <c r="G69" i="110"/>
  <c r="AA69" i="110" s="1"/>
  <c r="AD69" i="110" s="1"/>
  <c r="I23" i="110"/>
  <c r="AC23" i="110" s="1"/>
  <c r="AF23" i="110" s="1"/>
  <c r="F107" i="110"/>
  <c r="G23" i="110"/>
  <c r="AA23" i="110" s="1"/>
  <c r="AD23" i="110" s="1"/>
  <c r="O116" i="193"/>
  <c r="L291" i="58"/>
  <c r="C17" i="138" s="1"/>
  <c r="C55" i="138" s="1"/>
  <c r="AS106" i="133"/>
  <c r="AS93" i="133"/>
  <c r="Q51" i="181"/>
  <c r="Q77" i="181" s="1"/>
  <c r="H49" i="110"/>
  <c r="AB49" i="110" s="1"/>
  <c r="AE49" i="110" s="1"/>
  <c r="H59" i="110"/>
  <c r="AB59" i="110" s="1"/>
  <c r="AE59" i="110" s="1"/>
  <c r="G59" i="110"/>
  <c r="AA59" i="110" s="1"/>
  <c r="AD59" i="110" s="1"/>
  <c r="F143" i="110"/>
  <c r="I59" i="110"/>
  <c r="AC59" i="110" s="1"/>
  <c r="AF59" i="110" s="1"/>
  <c r="G138" i="110"/>
  <c r="U138" i="110" s="1"/>
  <c r="I138" i="110"/>
  <c r="AC138" i="110" s="1"/>
  <c r="AF138" i="110" s="1"/>
  <c r="H138" i="110"/>
  <c r="AB138" i="110" s="1"/>
  <c r="AE138" i="110" s="1"/>
  <c r="F224" i="110"/>
  <c r="G129" i="110"/>
  <c r="J129" i="110" s="1"/>
  <c r="L41" i="137" s="1"/>
  <c r="I129" i="110"/>
  <c r="AC129" i="110" s="1"/>
  <c r="AF129" i="110" s="1"/>
  <c r="H129" i="110"/>
  <c r="AB129" i="110" s="1"/>
  <c r="AE129" i="110" s="1"/>
  <c r="F215" i="110"/>
  <c r="G215" i="110" s="1"/>
  <c r="AA215" i="110" s="1"/>
  <c r="AD215" i="110" s="1"/>
  <c r="G108" i="110"/>
  <c r="F194" i="110"/>
  <c r="I108" i="110"/>
  <c r="AC108" i="110" s="1"/>
  <c r="AF108" i="110" s="1"/>
  <c r="J119" i="193"/>
  <c r="O16" i="133"/>
  <c r="O82" i="133"/>
  <c r="O93" i="133"/>
  <c r="U22" i="181"/>
  <c r="U26" i="181"/>
  <c r="R164" i="110"/>
  <c r="R370" i="110"/>
  <c r="T366" i="110"/>
  <c r="F147" i="110"/>
  <c r="I63" i="110"/>
  <c r="AC63" i="110" s="1"/>
  <c r="AF63" i="110" s="1"/>
  <c r="H63" i="110"/>
  <c r="AB63" i="110" s="1"/>
  <c r="AE63" i="110" s="1"/>
  <c r="G63" i="110"/>
  <c r="AA63" i="110" s="1"/>
  <c r="AD63" i="110" s="1"/>
  <c r="AC30" i="110"/>
  <c r="AF30" i="110" s="1"/>
  <c r="AB30" i="110"/>
  <c r="AE30" i="110" s="1"/>
  <c r="AA30" i="110"/>
  <c r="AD30" i="110" s="1"/>
  <c r="I17" i="110"/>
  <c r="AC17" i="110" s="1"/>
  <c r="AF17" i="110" s="1"/>
  <c r="H17" i="110"/>
  <c r="AB17" i="110" s="1"/>
  <c r="AE17" i="110" s="1"/>
  <c r="F101" i="110"/>
  <c r="F98" i="110"/>
  <c r="I14" i="110"/>
  <c r="AC14" i="110" s="1"/>
  <c r="AF14" i="110" s="1"/>
  <c r="G14" i="110"/>
  <c r="AA14" i="110" s="1"/>
  <c r="AD14" i="110" s="1"/>
  <c r="Q31" i="181"/>
  <c r="Q57" i="181"/>
  <c r="K248" i="110"/>
  <c r="V162" i="110"/>
  <c r="V78" i="110"/>
  <c r="AB27" i="110"/>
  <c r="AE27" i="110" s="1"/>
  <c r="H46" i="110"/>
  <c r="AB46" i="110" s="1"/>
  <c r="AE46" i="110" s="1"/>
  <c r="X120" i="58"/>
  <c r="G21" i="110"/>
  <c r="AA21" i="110" s="1"/>
  <c r="AD21" i="110" s="1"/>
  <c r="H52" i="110"/>
  <c r="AB52" i="110" s="1"/>
  <c r="AE52" i="110" s="1"/>
  <c r="F228" i="110"/>
  <c r="U24" i="181"/>
  <c r="H21" i="110"/>
  <c r="AB21" i="110" s="1"/>
  <c r="AE21" i="110" s="1"/>
  <c r="I52" i="110"/>
  <c r="AC52" i="110" s="1"/>
  <c r="AF52" i="110" s="1"/>
  <c r="H142" i="110"/>
  <c r="AB142" i="110" s="1"/>
  <c r="AE142" i="110" s="1"/>
  <c r="H146" i="110"/>
  <c r="AB146" i="110" s="1"/>
  <c r="AE146" i="110" s="1"/>
  <c r="K128" i="110"/>
  <c r="M40" i="137" s="1"/>
  <c r="V124" i="58"/>
  <c r="R124" i="58"/>
  <c r="U223" i="58" s="1"/>
  <c r="Q223" i="58"/>
  <c r="I21" i="110"/>
  <c r="AC21" i="110" s="1"/>
  <c r="AF21" i="110" s="1"/>
  <c r="G74" i="110"/>
  <c r="AA74" i="110" s="1"/>
  <c r="AD74" i="110" s="1"/>
  <c r="I142" i="110"/>
  <c r="AC142" i="110" s="1"/>
  <c r="AF142" i="110" s="1"/>
  <c r="I146" i="110"/>
  <c r="AC146" i="110" s="1"/>
  <c r="AF146" i="110" s="1"/>
  <c r="F245" i="110"/>
  <c r="G245" i="110" s="1"/>
  <c r="AA245" i="110" s="1"/>
  <c r="AD245" i="110" s="1"/>
  <c r="H74" i="110"/>
  <c r="AB74" i="110" s="1"/>
  <c r="AE74" i="110" s="1"/>
  <c r="H125" i="110"/>
  <c r="AB125" i="110" s="1"/>
  <c r="AE125" i="110" s="1"/>
  <c r="H159" i="110"/>
  <c r="AB159" i="110" s="1"/>
  <c r="AE159" i="110" s="1"/>
  <c r="O164" i="110"/>
  <c r="F150" i="110"/>
  <c r="F130" i="110"/>
  <c r="W124" i="58"/>
  <c r="S124" i="58"/>
  <c r="V223" i="58" s="1"/>
  <c r="O124" i="58"/>
  <c r="R223" i="58" s="1"/>
  <c r="H70" i="110"/>
  <c r="AB70" i="110" s="1"/>
  <c r="AE70" i="110" s="1"/>
  <c r="O223" i="58"/>
  <c r="T124" i="58"/>
  <c r="W223" i="58" s="1"/>
  <c r="G109" i="110"/>
  <c r="F195" i="110"/>
  <c r="G195" i="110" s="1"/>
  <c r="AA195" i="110" s="1"/>
  <c r="AD195" i="110" s="1"/>
  <c r="AC109" i="110"/>
  <c r="AF109" i="110" s="1"/>
  <c r="H109" i="110"/>
  <c r="AB109" i="110" s="1"/>
  <c r="AE109" i="110" s="1"/>
  <c r="E393" i="110"/>
  <c r="H25" i="110"/>
  <c r="AB25" i="110" s="1"/>
  <c r="AE25" i="110" s="1"/>
  <c r="I25" i="110"/>
  <c r="AC25" i="110" s="1"/>
  <c r="AF25" i="110" s="1"/>
  <c r="E87" i="137"/>
  <c r="E80" i="137"/>
  <c r="D7" i="181"/>
  <c r="G21" i="137"/>
  <c r="I21" i="137" s="1"/>
  <c r="I92" i="137" s="1"/>
  <c r="E79" i="137"/>
  <c r="D6" i="181"/>
  <c r="G25" i="137"/>
  <c r="I25" i="137" s="1"/>
  <c r="I96" i="137" s="1"/>
  <c r="E81" i="137"/>
  <c r="G20" i="137"/>
  <c r="P34" i="181"/>
  <c r="P60" i="181" s="1"/>
  <c r="P35" i="181"/>
  <c r="P61" i="181" s="1"/>
  <c r="P37" i="181"/>
  <c r="P63" i="181" s="1"/>
  <c r="F370" i="110"/>
  <c r="O219" i="58"/>
  <c r="R251" i="110"/>
  <c r="P221" i="58"/>
  <c r="R15" i="124"/>
  <c r="AP93" i="133"/>
  <c r="G156" i="110"/>
  <c r="J156" i="110" s="1"/>
  <c r="I156" i="110"/>
  <c r="AC156" i="110" s="1"/>
  <c r="AF156" i="110" s="1"/>
  <c r="H156" i="110"/>
  <c r="AB156" i="110" s="1"/>
  <c r="AE156" i="110" s="1"/>
  <c r="F242" i="110"/>
  <c r="AA148" i="110"/>
  <c r="AD148" i="110" s="1"/>
  <c r="I148" i="110"/>
  <c r="AC148" i="110" s="1"/>
  <c r="AF148" i="110" s="1"/>
  <c r="H148" i="110"/>
  <c r="AB148" i="110" s="1"/>
  <c r="AE148" i="110" s="1"/>
  <c r="F234" i="110"/>
  <c r="I234" i="110" s="1"/>
  <c r="G48" i="137"/>
  <c r="G56" i="137"/>
  <c r="G64" i="137"/>
  <c r="G31" i="137"/>
  <c r="G39" i="137"/>
  <c r="G47" i="137"/>
  <c r="G55" i="137"/>
  <c r="G38" i="137"/>
  <c r="G54" i="137"/>
  <c r="G62" i="137"/>
  <c r="G45" i="137"/>
  <c r="G53" i="137"/>
  <c r="G28" i="137"/>
  <c r="G36" i="137"/>
  <c r="G60" i="137"/>
  <c r="G68" i="137"/>
  <c r="G26" i="137"/>
  <c r="G34" i="137"/>
  <c r="G58" i="137"/>
  <c r="S122" i="58"/>
  <c r="V221" i="58" s="1"/>
  <c r="W122" i="58"/>
  <c r="AX69" i="133"/>
  <c r="K18" i="157"/>
  <c r="AT69" i="133"/>
  <c r="G49" i="137"/>
  <c r="W213" i="58"/>
  <c r="AP82" i="133"/>
  <c r="R8" i="124"/>
  <c r="AT82" i="133"/>
  <c r="T379" i="110"/>
  <c r="G33" i="137"/>
  <c r="L122" i="58"/>
  <c r="O221" i="58" s="1"/>
  <c r="W318" i="58"/>
  <c r="AX106" i="133"/>
  <c r="R49" i="124"/>
  <c r="AT93" i="133"/>
  <c r="V82" i="110"/>
  <c r="G154" i="110"/>
  <c r="AA154" i="110" s="1"/>
  <c r="AD154" i="110" s="1"/>
  <c r="F240" i="110"/>
  <c r="I154" i="110"/>
  <c r="AC154" i="110" s="1"/>
  <c r="AF154" i="110" s="1"/>
  <c r="H154" i="110"/>
  <c r="AB154" i="110" s="1"/>
  <c r="AE154" i="110" s="1"/>
  <c r="U122" i="58"/>
  <c r="T122" i="58"/>
  <c r="W221" i="58" s="1"/>
  <c r="O122" i="58"/>
  <c r="U213" i="58"/>
  <c r="V77" i="110"/>
  <c r="U23" i="181"/>
  <c r="U25" i="181"/>
  <c r="U27" i="181"/>
  <c r="S144" i="133"/>
  <c r="P122" i="58"/>
  <c r="P125" i="58" s="1"/>
  <c r="R213" i="58"/>
  <c r="AX82" i="133"/>
  <c r="R35" i="124"/>
  <c r="T367" i="110"/>
  <c r="X201" i="58"/>
  <c r="J165" i="110"/>
  <c r="V81" i="110"/>
  <c r="G57" i="137"/>
  <c r="V122" i="58"/>
  <c r="R122" i="58"/>
  <c r="U221" i="58" s="1"/>
  <c r="G132" i="110"/>
  <c r="O132" i="110" s="1"/>
  <c r="Q44" i="137" s="1"/>
  <c r="I132" i="110"/>
  <c r="AC132" i="110" s="1"/>
  <c r="AF132" i="110" s="1"/>
  <c r="H132" i="110"/>
  <c r="AB132" i="110" s="1"/>
  <c r="AE132" i="110" s="1"/>
  <c r="F218" i="110"/>
  <c r="G63" i="137"/>
  <c r="G65" i="137"/>
  <c r="G67" i="137"/>
  <c r="G61" i="137"/>
  <c r="V75" i="110"/>
  <c r="V54" i="110"/>
  <c r="V51" i="110"/>
  <c r="V24" i="110"/>
  <c r="V23" i="110"/>
  <c r="X119" i="58"/>
  <c r="P99" i="110"/>
  <c r="R15" i="137" s="1"/>
  <c r="V11" i="110"/>
  <c r="L50" i="124"/>
  <c r="R258" i="58"/>
  <c r="X258" i="58" s="1"/>
  <c r="X368" i="58"/>
  <c r="X287" i="58"/>
  <c r="L23" i="138"/>
  <c r="O23" i="138" s="1"/>
  <c r="X288" i="58"/>
  <c r="E15" i="196"/>
  <c r="O20" i="138"/>
  <c r="O51" i="181"/>
  <c r="O77" i="181" s="1"/>
  <c r="M348" i="58"/>
  <c r="U348" i="58"/>
  <c r="U350" i="58" s="1"/>
  <c r="K50" i="124"/>
  <c r="J11" i="181"/>
  <c r="O8" i="181"/>
  <c r="V326" i="58"/>
  <c r="P19" i="110"/>
  <c r="S301" i="58"/>
  <c r="K40" i="181"/>
  <c r="J40" i="181"/>
  <c r="R301" i="58"/>
  <c r="Q307" i="58"/>
  <c r="P83" i="110"/>
  <c r="X267" i="58"/>
  <c r="T326" i="58"/>
  <c r="R307" i="58"/>
  <c r="X346" i="58"/>
  <c r="R326" i="58"/>
  <c r="X230" i="58"/>
  <c r="X273" i="58"/>
  <c r="N365" i="110"/>
  <c r="X259" i="58"/>
  <c r="V74" i="110"/>
  <c r="V73" i="110"/>
  <c r="V72" i="110"/>
  <c r="V70" i="110"/>
  <c r="V69" i="110"/>
  <c r="V68" i="110"/>
  <c r="R83" i="110"/>
  <c r="V67" i="110"/>
  <c r="V66" i="110"/>
  <c r="U83" i="110"/>
  <c r="N83" i="110"/>
  <c r="V61" i="110"/>
  <c r="V58" i="110"/>
  <c r="V57" i="110"/>
  <c r="V53" i="110"/>
  <c r="V45" i="110"/>
  <c r="O83" i="110"/>
  <c r="Q83" i="110"/>
  <c r="X274" i="58"/>
  <c r="X276" i="58"/>
  <c r="X240" i="58"/>
  <c r="S51" i="181"/>
  <c r="S77" i="181" s="1"/>
  <c r="V76" i="110"/>
  <c r="V71" i="110"/>
  <c r="J83" i="110"/>
  <c r="S83" i="110"/>
  <c r="K83" i="110"/>
  <c r="T83" i="110"/>
  <c r="V63" i="110"/>
  <c r="V62" i="110"/>
  <c r="V60" i="110"/>
  <c r="V59" i="110"/>
  <c r="V56" i="110"/>
  <c r="V55" i="110"/>
  <c r="V52" i="110"/>
  <c r="V50" i="110"/>
  <c r="V49" i="110"/>
  <c r="V48" i="110"/>
  <c r="V47" i="110"/>
  <c r="V46" i="110"/>
  <c r="V22" i="110"/>
  <c r="M83" i="110"/>
  <c r="V20" i="110"/>
  <c r="X272" i="58"/>
  <c r="X263" i="58"/>
  <c r="X226" i="58"/>
  <c r="T348" i="58"/>
  <c r="T350" i="58" s="1"/>
  <c r="R65" i="124"/>
  <c r="Q326" i="58"/>
  <c r="M307" i="58"/>
  <c r="P50" i="181"/>
  <c r="P76" i="181" s="1"/>
  <c r="X279" i="58"/>
  <c r="I65" i="181"/>
  <c r="I66" i="181" s="1"/>
  <c r="I40" i="181"/>
  <c r="Q65" i="181"/>
  <c r="Q66" i="181" s="1"/>
  <c r="Q40" i="181"/>
  <c r="X281" i="58"/>
  <c r="X277" i="58"/>
  <c r="X264" i="58"/>
  <c r="S40" i="181"/>
  <c r="S65" i="181"/>
  <c r="S66" i="181" s="1"/>
  <c r="M65" i="181"/>
  <c r="M66" i="181" s="1"/>
  <c r="M40" i="181"/>
  <c r="N51" i="181"/>
  <c r="X257" i="58"/>
  <c r="U225" i="58"/>
  <c r="U286" i="58" s="1"/>
  <c r="S249" i="58"/>
  <c r="X249" i="58" s="1"/>
  <c r="X253" i="58"/>
  <c r="R256" i="58"/>
  <c r="X256" i="58" s="1"/>
  <c r="S275" i="58"/>
  <c r="X275" i="58" s="1"/>
  <c r="X278" i="58"/>
  <c r="V64" i="110"/>
  <c r="U18" i="181"/>
  <c r="O40" i="181"/>
  <c r="L365" i="110"/>
  <c r="S348" i="58"/>
  <c r="S350" i="58" s="1"/>
  <c r="X228" i="58"/>
  <c r="X282" i="58"/>
  <c r="S229" i="58"/>
  <c r="X229" i="58" s="1"/>
  <c r="T260" i="58"/>
  <c r="X260" i="58" s="1"/>
  <c r="X270" i="58"/>
  <c r="X271" i="58"/>
  <c r="X234" i="58"/>
  <c r="V21" i="110"/>
  <c r="T301" i="58"/>
  <c r="X127" i="58"/>
  <c r="L83" i="110"/>
  <c r="V65" i="110"/>
  <c r="X248" i="58"/>
  <c r="X262" i="58"/>
  <c r="V366" i="58"/>
  <c r="R65" i="181"/>
  <c r="R66" i="181" s="1"/>
  <c r="K71" i="124"/>
  <c r="R71" i="124" s="1"/>
  <c r="T51" i="181"/>
  <c r="T77" i="181" s="1"/>
  <c r="R51" i="181"/>
  <c r="R237" i="58"/>
  <c r="X237" i="58" s="1"/>
  <c r="X283" i="58"/>
  <c r="V301" i="58"/>
  <c r="L53" i="181"/>
  <c r="L78" i="181" s="1"/>
  <c r="T251" i="58"/>
  <c r="X251" i="58" s="1"/>
  <c r="P261" i="58"/>
  <c r="X261" i="58" s="1"/>
  <c r="X265" i="58"/>
  <c r="U301" i="58"/>
  <c r="X269" i="58"/>
  <c r="X266" i="58"/>
  <c r="X280" i="58"/>
  <c r="T76" i="181"/>
  <c r="T40" i="181"/>
  <c r="T65" i="181"/>
  <c r="T66" i="181" s="1"/>
  <c r="P40" i="181"/>
  <c r="P65" i="181"/>
  <c r="P66" i="181" s="1"/>
  <c r="L40" i="181"/>
  <c r="U39" i="181"/>
  <c r="U40" i="181" s="1"/>
  <c r="L65" i="181"/>
  <c r="L66" i="181" s="1"/>
  <c r="I77" i="181"/>
  <c r="Q76" i="181"/>
  <c r="N40" i="181"/>
  <c r="N65" i="181"/>
  <c r="N66" i="181" s="1"/>
  <c r="K76" i="181"/>
  <c r="S76" i="181"/>
  <c r="U21" i="181"/>
  <c r="K77" i="181"/>
  <c r="M50" i="181"/>
  <c r="M301" i="58"/>
  <c r="P326" i="58"/>
  <c r="I50" i="181"/>
  <c r="O301" i="58"/>
  <c r="P301" i="58"/>
  <c r="U307" i="58"/>
  <c r="Q301" i="58"/>
  <c r="X300" i="58"/>
  <c r="X303" i="58"/>
  <c r="W307" i="58"/>
  <c r="X305" i="58"/>
  <c r="X306" i="58"/>
  <c r="V17" i="110"/>
  <c r="V15" i="110"/>
  <c r="V14" i="110"/>
  <c r="O50" i="124"/>
  <c r="R348" i="58"/>
  <c r="R350" i="58" s="1"/>
  <c r="O348" i="58"/>
  <c r="O350" i="58" s="1"/>
  <c r="W348" i="58"/>
  <c r="W350" i="58" s="1"/>
  <c r="P348" i="58"/>
  <c r="P350" i="58" s="1"/>
  <c r="S366" i="58"/>
  <c r="O326" i="58"/>
  <c r="W366" i="58"/>
  <c r="T35" i="181"/>
  <c r="T61" i="181" s="1"/>
  <c r="T37" i="181"/>
  <c r="T63" i="181" s="1"/>
  <c r="T34" i="181"/>
  <c r="T60" i="181" s="1"/>
  <c r="O11" i="181"/>
  <c r="U326" i="58"/>
  <c r="T307" i="58"/>
  <c r="P307" i="58"/>
  <c r="X342" i="58"/>
  <c r="X323" i="58"/>
  <c r="W326" i="58"/>
  <c r="R6" i="181"/>
  <c r="S19" i="110"/>
  <c r="N307" i="58"/>
  <c r="V307" i="58"/>
  <c r="L17" i="181"/>
  <c r="U17" i="181" s="1"/>
  <c r="P50" i="124"/>
  <c r="R19" i="110"/>
  <c r="M326" i="58"/>
  <c r="N301" i="58"/>
  <c r="X340" i="58"/>
  <c r="N348" i="58"/>
  <c r="N350" i="58" s="1"/>
  <c r="V348" i="58"/>
  <c r="V350" i="58" s="1"/>
  <c r="X344" i="58"/>
  <c r="Q348" i="58"/>
  <c r="Q350" i="58" s="1"/>
  <c r="P219" i="58"/>
  <c r="V12" i="110"/>
  <c r="V18" i="110"/>
  <c r="R34" i="181"/>
  <c r="R60" i="181" s="1"/>
  <c r="R37" i="181"/>
  <c r="R63" i="181" s="1"/>
  <c r="V16" i="110"/>
  <c r="I16" i="181"/>
  <c r="I36" i="181" s="1"/>
  <c r="O19" i="110"/>
  <c r="V13" i="110"/>
  <c r="J50" i="124"/>
  <c r="M11" i="181"/>
  <c r="N19" i="110"/>
  <c r="T10" i="181"/>
  <c r="Q50" i="124"/>
  <c r="U19" i="110"/>
  <c r="L10" i="181"/>
  <c r="M19" i="110"/>
  <c r="V10" i="110"/>
  <c r="I50" i="124"/>
  <c r="S9" i="181"/>
  <c r="T19" i="110"/>
  <c r="H50" i="124"/>
  <c r="V9" i="110"/>
  <c r="K9" i="181"/>
  <c r="L19" i="110"/>
  <c r="J8" i="181"/>
  <c r="G50" i="124"/>
  <c r="V8" i="110"/>
  <c r="K19" i="110"/>
  <c r="Q7" i="181"/>
  <c r="N50" i="124"/>
  <c r="J19" i="110"/>
  <c r="V7" i="110"/>
  <c r="I7" i="181"/>
  <c r="I32" i="181" s="1"/>
  <c r="I33" i="181" s="1"/>
  <c r="F50" i="124"/>
  <c r="P6" i="181"/>
  <c r="Q19" i="110"/>
  <c r="M50" i="124"/>
  <c r="V6" i="110"/>
  <c r="O5" i="181"/>
  <c r="V5" i="110"/>
  <c r="X211" i="58"/>
  <c r="S307" i="58"/>
  <c r="X110" i="58"/>
  <c r="Q220" i="58"/>
  <c r="X220" i="58" s="1"/>
  <c r="X121" i="58"/>
  <c r="X299" i="58"/>
  <c r="X339" i="58"/>
  <c r="X115" i="58"/>
  <c r="T216" i="58"/>
  <c r="N326" i="58"/>
  <c r="X322" i="58"/>
  <c r="X325" i="58"/>
  <c r="N366" i="58"/>
  <c r="X363" i="58"/>
  <c r="X324" i="58"/>
  <c r="W301" i="58"/>
  <c r="X302" i="58"/>
  <c r="X304" i="58"/>
  <c r="X111" i="58"/>
  <c r="X114" i="58"/>
  <c r="X215" i="58"/>
  <c r="N34" i="181"/>
  <c r="N60" i="181" s="1"/>
  <c r="N35" i="181"/>
  <c r="N61" i="181" s="1"/>
  <c r="N37" i="181"/>
  <c r="N63" i="181" s="1"/>
  <c r="S326" i="58"/>
  <c r="O307" i="58"/>
  <c r="X109" i="58"/>
  <c r="Q366" i="58"/>
  <c r="M366" i="58"/>
  <c r="X362" i="58"/>
  <c r="X360" i="58"/>
  <c r="X364" i="58"/>
  <c r="X361" i="58"/>
  <c r="X308" i="58"/>
  <c r="M349" i="58"/>
  <c r="X349" i="58" s="1"/>
  <c r="X341" i="58"/>
  <c r="X343" i="58"/>
  <c r="X345" i="58"/>
  <c r="X347" i="58"/>
  <c r="R35" i="133"/>
  <c r="AA128" i="110"/>
  <c r="AD128" i="110" s="1"/>
  <c r="AA113" i="110"/>
  <c r="AD113" i="110" s="1"/>
  <c r="B21" i="26"/>
  <c r="I21" i="26"/>
  <c r="E21" i="26"/>
  <c r="J21" i="26"/>
  <c r="F21" i="26"/>
  <c r="C21" i="26"/>
  <c r="K21" i="26"/>
  <c r="G21" i="26"/>
  <c r="H21" i="26"/>
  <c r="S28" i="35"/>
  <c r="M21" i="26"/>
  <c r="O22" i="138"/>
  <c r="S27" i="35"/>
  <c r="L21" i="26"/>
  <c r="S59" i="35"/>
  <c r="O21" i="206"/>
  <c r="D21" i="26"/>
  <c r="AA99" i="110"/>
  <c r="AD99" i="110" s="1"/>
  <c r="AA159" i="110"/>
  <c r="AD159" i="110" s="1"/>
  <c r="U99" i="110"/>
  <c r="W15" i="137" s="1"/>
  <c r="O128" i="110"/>
  <c r="O99" i="110"/>
  <c r="U159" i="110"/>
  <c r="N99" i="110"/>
  <c r="S128" i="110"/>
  <c r="M99" i="110"/>
  <c r="R128" i="110"/>
  <c r="R159" i="110"/>
  <c r="R364" i="110" s="1"/>
  <c r="J159" i="110"/>
  <c r="L71" i="137" s="1"/>
  <c r="U128" i="110"/>
  <c r="Q128" i="110"/>
  <c r="M128" i="110"/>
  <c r="T128" i="110"/>
  <c r="P128" i="110"/>
  <c r="L128" i="110"/>
  <c r="M159" i="110"/>
  <c r="M364" i="110" s="1"/>
  <c r="J128" i="110"/>
  <c r="Q159" i="110"/>
  <c r="T159" i="110"/>
  <c r="L99" i="110"/>
  <c r="T99" i="110"/>
  <c r="K99" i="110"/>
  <c r="L159" i="110"/>
  <c r="S99" i="110"/>
  <c r="P141" i="110"/>
  <c r="K141" i="110"/>
  <c r="S141" i="110"/>
  <c r="N141" i="110"/>
  <c r="J141" i="110"/>
  <c r="U141" i="110"/>
  <c r="R141" i="110"/>
  <c r="O141" i="110"/>
  <c r="L141" i="110"/>
  <c r="T141" i="110"/>
  <c r="M141" i="110"/>
  <c r="O142" i="110"/>
  <c r="J142" i="110"/>
  <c r="R142" i="110"/>
  <c r="M142" i="110"/>
  <c r="Q142" i="110"/>
  <c r="T142" i="110"/>
  <c r="N142" i="110"/>
  <c r="K142" i="110"/>
  <c r="U142" i="110"/>
  <c r="L142" i="110"/>
  <c r="P142" i="110"/>
  <c r="S142" i="110"/>
  <c r="Q141" i="110"/>
  <c r="O159" i="110"/>
  <c r="N159" i="110"/>
  <c r="S159" i="110"/>
  <c r="K159" i="110"/>
  <c r="N128" i="110"/>
  <c r="R99" i="110"/>
  <c r="J99" i="110"/>
  <c r="Q99" i="110"/>
  <c r="Y45" i="110"/>
  <c r="Y71" i="110"/>
  <c r="Y6" i="110"/>
  <c r="Y22" i="110"/>
  <c r="Y15" i="110"/>
  <c r="Y48" i="110"/>
  <c r="Y51" i="110"/>
  <c r="Y8" i="110"/>
  <c r="Y7" i="110"/>
  <c r="Y52" i="110"/>
  <c r="Y14" i="110"/>
  <c r="Y53" i="110"/>
  <c r="Y5" i="110"/>
  <c r="Y25" i="110"/>
  <c r="Y17" i="110"/>
  <c r="Y66" i="110"/>
  <c r="Y58" i="110"/>
  <c r="Y43" i="110"/>
  <c r="Y13" i="110"/>
  <c r="Y69" i="110"/>
  <c r="Y21" i="110"/>
  <c r="Y68" i="110"/>
  <c r="Y12" i="110"/>
  <c r="Y24" i="110"/>
  <c r="Y57" i="110"/>
  <c r="Y42" i="110"/>
  <c r="Y65" i="110"/>
  <c r="Y16" i="110"/>
  <c r="Y72" i="110"/>
  <c r="Y18" i="110"/>
  <c r="Y67" i="110"/>
  <c r="Y64" i="110"/>
  <c r="Y70" i="110"/>
  <c r="DI108" i="188" l="1"/>
  <c r="BJ29" i="188"/>
  <c r="CH108" i="188"/>
  <c r="CA108" i="188"/>
  <c r="DH108" i="188"/>
  <c r="DE108" i="188"/>
  <c r="CZ108" i="188"/>
  <c r="DJ108" i="188"/>
  <c r="DK108" i="188"/>
  <c r="CG108" i="188"/>
  <c r="DC108" i="188"/>
  <c r="CB108" i="188"/>
  <c r="CF108" i="188"/>
  <c r="BZ108" i="188"/>
  <c r="S49" i="35"/>
  <c r="CJ108" i="188"/>
  <c r="CC108" i="188"/>
  <c r="DG108" i="188"/>
  <c r="CI108" i="188"/>
  <c r="DF108" i="188"/>
  <c r="CK108" i="188"/>
  <c r="K108" i="188"/>
  <c r="EC108" i="188" s="1"/>
  <c r="CD108" i="188"/>
  <c r="DD108" i="188"/>
  <c r="DB108" i="188"/>
  <c r="W16" i="35"/>
  <c r="X16" i="35" s="1"/>
  <c r="CE108" i="188"/>
  <c r="S16" i="35"/>
  <c r="CG79" i="188"/>
  <c r="U21" i="119"/>
  <c r="U25" i="119" s="1"/>
  <c r="U26" i="119" s="1"/>
  <c r="Y58" i="205"/>
  <c r="AA58" i="205" s="1"/>
  <c r="Q55" i="35"/>
  <c r="AK58" i="205"/>
  <c r="AM58" i="205" s="1"/>
  <c r="Q56" i="35"/>
  <c r="AK59" i="205"/>
  <c r="AM59" i="205" s="1"/>
  <c r="R56" i="35"/>
  <c r="AN59" i="205"/>
  <c r="AP59" i="205" s="1"/>
  <c r="N55" i="35"/>
  <c r="AB58" i="205"/>
  <c r="AD58" i="205" s="1"/>
  <c r="R55" i="35"/>
  <c r="AN58" i="205"/>
  <c r="AP58" i="205" s="1"/>
  <c r="O56" i="35"/>
  <c r="AE59" i="205"/>
  <c r="AG59" i="205" s="1"/>
  <c r="M56" i="35"/>
  <c r="Y59" i="205"/>
  <c r="AA59" i="205" s="1"/>
  <c r="P55" i="35"/>
  <c r="AH58" i="205"/>
  <c r="AJ58" i="205" s="1"/>
  <c r="N56" i="35"/>
  <c r="AB59" i="205"/>
  <c r="AD59" i="205" s="1"/>
  <c r="O55" i="35"/>
  <c r="AE58" i="205"/>
  <c r="AG58" i="205" s="1"/>
  <c r="P56" i="35"/>
  <c r="AH59" i="205"/>
  <c r="AJ59" i="205" s="1"/>
  <c r="X18" i="205"/>
  <c r="AW18" i="205" s="1"/>
  <c r="AX18" i="205" s="1"/>
  <c r="L56" i="35"/>
  <c r="V59" i="205"/>
  <c r="P21" i="206"/>
  <c r="AM21" i="206"/>
  <c r="O23" i="206"/>
  <c r="W49" i="35"/>
  <c r="X49" i="35" s="1"/>
  <c r="S20" i="35"/>
  <c r="AD56" i="205"/>
  <c r="AW56" i="205" s="1"/>
  <c r="AX56" i="205" s="1"/>
  <c r="AD57" i="205"/>
  <c r="AW57" i="205" s="1"/>
  <c r="AX57" i="205" s="1"/>
  <c r="W54" i="35"/>
  <c r="X54" i="35" s="1"/>
  <c r="D75" i="133"/>
  <c r="D74" i="133" s="1"/>
  <c r="W53" i="35"/>
  <c r="X53" i="35" s="1"/>
  <c r="L50" i="35"/>
  <c r="M50" i="35" s="1"/>
  <c r="N50" i="35" s="1"/>
  <c r="O50" i="35" s="1"/>
  <c r="P50" i="35" s="1"/>
  <c r="Q50" i="35" s="1"/>
  <c r="R50" i="35" s="1"/>
  <c r="L30" i="35"/>
  <c r="M30" i="35" s="1"/>
  <c r="N30" i="35" s="1"/>
  <c r="O30" i="35" s="1"/>
  <c r="P30" i="35" s="1"/>
  <c r="Q30" i="35" s="1"/>
  <c r="R30" i="35" s="1"/>
  <c r="L29" i="35"/>
  <c r="M29" i="35" s="1"/>
  <c r="N29" i="35" s="1"/>
  <c r="O29" i="35" s="1"/>
  <c r="P29" i="35" s="1"/>
  <c r="Q29" i="35" s="1"/>
  <c r="R29" i="35" s="1"/>
  <c r="W20" i="35"/>
  <c r="X20" i="35" s="1"/>
  <c r="P286" i="58"/>
  <c r="U74" i="181"/>
  <c r="J198" i="110"/>
  <c r="T198" i="110"/>
  <c r="K198" i="110"/>
  <c r="O198" i="110"/>
  <c r="S198" i="110"/>
  <c r="J206" i="110"/>
  <c r="U198" i="110"/>
  <c r="N198" i="110"/>
  <c r="P198" i="110"/>
  <c r="M198" i="110"/>
  <c r="L198" i="110"/>
  <c r="R198" i="110"/>
  <c r="Q198" i="110"/>
  <c r="O392" i="110"/>
  <c r="O206" i="110"/>
  <c r="P392" i="110"/>
  <c r="P206" i="110"/>
  <c r="K392" i="110"/>
  <c r="K206" i="110"/>
  <c r="N392" i="110"/>
  <c r="N206" i="110"/>
  <c r="Q392" i="110"/>
  <c r="Q206" i="110"/>
  <c r="U392" i="110"/>
  <c r="U206" i="110"/>
  <c r="L392" i="110"/>
  <c r="L206" i="110"/>
  <c r="R392" i="110"/>
  <c r="R206" i="110"/>
  <c r="T392" i="110"/>
  <c r="T206" i="110"/>
  <c r="M392" i="110"/>
  <c r="M206" i="110"/>
  <c r="S392" i="110"/>
  <c r="S206" i="110"/>
  <c r="CK111" i="188"/>
  <c r="S286" i="58"/>
  <c r="J79" i="192"/>
  <c r="CK104" i="188"/>
  <c r="T286" i="58"/>
  <c r="Q286" i="58"/>
  <c r="J104" i="188"/>
  <c r="DC104" i="188" s="1"/>
  <c r="DD119" i="188"/>
  <c r="R286" i="58"/>
  <c r="DF119" i="188"/>
  <c r="K119" i="188"/>
  <c r="ED119" i="188" s="1"/>
  <c r="CC104" i="188"/>
  <c r="CE79" i="188"/>
  <c r="CF79" i="188"/>
  <c r="CB70" i="188"/>
  <c r="L451" i="110" a="1"/>
  <c r="L451" i="110" s="1"/>
  <c r="H18" i="124" s="1"/>
  <c r="H29" i="124" s="1"/>
  <c r="H42" i="124" s="1"/>
  <c r="K64" i="181"/>
  <c r="X202" i="58"/>
  <c r="X105" i="58"/>
  <c r="Y105" i="58" s="1"/>
  <c r="X138" i="58"/>
  <c r="X164" i="58" s="1"/>
  <c r="Y164" i="58" s="1"/>
  <c r="Y22" i="58"/>
  <c r="X285" i="58"/>
  <c r="AH102" i="188"/>
  <c r="AH122" i="188" s="1"/>
  <c r="F53" i="193"/>
  <c r="G102" i="188"/>
  <c r="H102" i="188" s="1"/>
  <c r="BF102" i="188" s="1"/>
  <c r="BF122" i="188" s="1"/>
  <c r="CW29" i="188"/>
  <c r="CW130" i="188" s="1"/>
  <c r="CI104" i="188"/>
  <c r="K79" i="192"/>
  <c r="AG102" i="188"/>
  <c r="AG122" i="188" s="1"/>
  <c r="AF102" i="188"/>
  <c r="AF122" i="188" s="1"/>
  <c r="DC65" i="188"/>
  <c r="AJ102" i="188"/>
  <c r="AJ122" i="188" s="1"/>
  <c r="CK101" i="188"/>
  <c r="G22" i="193"/>
  <c r="H22" i="193" s="1"/>
  <c r="AL113" i="188"/>
  <c r="CE104" i="188"/>
  <c r="CD104" i="188"/>
  <c r="C30" i="193"/>
  <c r="E30" i="193" s="1"/>
  <c r="E36" i="193" s="1"/>
  <c r="F30" i="193" s="1"/>
  <c r="F36" i="193" s="1"/>
  <c r="BZ100" i="188"/>
  <c r="CB112" i="188"/>
  <c r="CZ120" i="188"/>
  <c r="DK120" i="188"/>
  <c r="CI55" i="188"/>
  <c r="DD120" i="188"/>
  <c r="DJ120" i="188"/>
  <c r="DG120" i="188"/>
  <c r="CJ104" i="188"/>
  <c r="DC106" i="188"/>
  <c r="CG100" i="188"/>
  <c r="BZ79" i="188"/>
  <c r="BL112" i="188"/>
  <c r="CH112" i="188"/>
  <c r="CF107" i="188"/>
  <c r="X7" i="133"/>
  <c r="X46" i="133" s="1"/>
  <c r="CJ112" i="188"/>
  <c r="CC107" i="188"/>
  <c r="CH111" i="188"/>
  <c r="BZ112" i="188"/>
  <c r="DB58" i="188"/>
  <c r="X161" i="137"/>
  <c r="CB100" i="188"/>
  <c r="CA103" i="188"/>
  <c r="DA58" i="188"/>
  <c r="BZ107" i="188"/>
  <c r="K58" i="188"/>
  <c r="DZ58" i="188" s="1"/>
  <c r="CZ58" i="188"/>
  <c r="DA120" i="188"/>
  <c r="CA111" i="188"/>
  <c r="BL55" i="188"/>
  <c r="DJ27" i="188"/>
  <c r="DJ29" i="188" s="1"/>
  <c r="CH105" i="188"/>
  <c r="CP28" i="188"/>
  <c r="DC28" i="188" s="1"/>
  <c r="DC29" i="188" s="1"/>
  <c r="DD58" i="188"/>
  <c r="AZ10" i="188"/>
  <c r="CA112" i="188"/>
  <c r="DH119" i="188"/>
  <c r="CC28" i="188"/>
  <c r="CC29" i="188" s="1"/>
  <c r="DE58" i="188"/>
  <c r="BL70" i="188"/>
  <c r="DG116" i="188"/>
  <c r="CB55" i="188"/>
  <c r="CG111" i="188"/>
  <c r="J115" i="188"/>
  <c r="DC115" i="188" s="1"/>
  <c r="CE107" i="188"/>
  <c r="CH55" i="188"/>
  <c r="CI111" i="188"/>
  <c r="BL104" i="188"/>
  <c r="V21" i="119"/>
  <c r="DL125" i="188"/>
  <c r="L16" i="199"/>
  <c r="L22" i="199" s="1"/>
  <c r="L23" i="199" s="1"/>
  <c r="L25" i="199" s="1"/>
  <c r="CC115" i="188"/>
  <c r="CF111" i="188"/>
  <c r="CK70" i="188"/>
  <c r="CG112" i="188"/>
  <c r="CE115" i="188"/>
  <c r="CA70" i="188"/>
  <c r="DK105" i="188"/>
  <c r="CF55" i="188"/>
  <c r="AM61" i="133"/>
  <c r="CE112" i="188"/>
  <c r="DI59" i="188"/>
  <c r="CI115" i="188"/>
  <c r="CI70" i="188"/>
  <c r="CH107" i="188"/>
  <c r="BZ55" i="188"/>
  <c r="CE55" i="188"/>
  <c r="CD112" i="188"/>
  <c r="CF112" i="188"/>
  <c r="R49" i="199"/>
  <c r="DK119" i="188"/>
  <c r="CZ106" i="188"/>
  <c r="DA119" i="188"/>
  <c r="CG70" i="188"/>
  <c r="CA54" i="188"/>
  <c r="CC55" i="188"/>
  <c r="CJ111" i="188"/>
  <c r="CA115" i="188"/>
  <c r="BZ70" i="188"/>
  <c r="CK112" i="188"/>
  <c r="CC70" i="188"/>
  <c r="DF56" i="188"/>
  <c r="CZ119" i="188"/>
  <c r="DD106" i="188"/>
  <c r="CA55" i="188"/>
  <c r="CJ54" i="188"/>
  <c r="DE120" i="188"/>
  <c r="CG55" i="188"/>
  <c r="BL103" i="188"/>
  <c r="AL117" i="188"/>
  <c r="CH70" i="188"/>
  <c r="J70" i="188"/>
  <c r="DH70" i="188" s="1"/>
  <c r="CI54" i="188"/>
  <c r="J112" i="188"/>
  <c r="CZ112" i="188" s="1"/>
  <c r="DJ119" i="188"/>
  <c r="DE106" i="188"/>
  <c r="J55" i="188"/>
  <c r="DK55" i="188" s="1"/>
  <c r="F40" i="133"/>
  <c r="CH115" i="188"/>
  <c r="DC119" i="188"/>
  <c r="CC112" i="188"/>
  <c r="DJ56" i="188"/>
  <c r="C12" i="175"/>
  <c r="D5" i="175" s="1"/>
  <c r="D12" i="175" s="1"/>
  <c r="E5" i="175" s="1"/>
  <c r="E12" i="175" s="1"/>
  <c r="F5" i="175" s="1"/>
  <c r="F12" i="175" s="1"/>
  <c r="G5" i="175" s="1"/>
  <c r="G12" i="175" s="1"/>
  <c r="H5" i="175" s="1"/>
  <c r="H12" i="175" s="1"/>
  <c r="I5" i="175" s="1"/>
  <c r="I12" i="175" s="1"/>
  <c r="J5" i="175" s="1"/>
  <c r="J12" i="175" s="1"/>
  <c r="K5" i="175" s="1"/>
  <c r="K12" i="175" s="1"/>
  <c r="L5" i="175" s="1"/>
  <c r="L12" i="175" s="1"/>
  <c r="M5" i="175" s="1"/>
  <c r="DB119" i="188"/>
  <c r="DI106" i="188"/>
  <c r="BZ115" i="188"/>
  <c r="CB107" i="188"/>
  <c r="CE111" i="188"/>
  <c r="M15" i="199"/>
  <c r="M16" i="199" s="1"/>
  <c r="M17" i="199" s="1"/>
  <c r="CF70" i="188"/>
  <c r="CJ70" i="188"/>
  <c r="AL29" i="188"/>
  <c r="K59" i="188"/>
  <c r="EC59" i="188" s="1"/>
  <c r="DE119" i="188"/>
  <c r="DB106" i="188"/>
  <c r="CE70" i="188"/>
  <c r="CD115" i="188"/>
  <c r="BL111" i="188"/>
  <c r="CK55" i="188"/>
  <c r="DG119" i="188"/>
  <c r="DC120" i="188"/>
  <c r="DC58" i="188"/>
  <c r="E14" i="196"/>
  <c r="W125" i="58"/>
  <c r="U125" i="58"/>
  <c r="L116" i="58"/>
  <c r="L118" i="58" s="1"/>
  <c r="V125" i="58"/>
  <c r="O125" i="58"/>
  <c r="N125" i="58"/>
  <c r="O116" i="58"/>
  <c r="O118" i="58" s="1"/>
  <c r="U116" i="58"/>
  <c r="U118" i="58" s="1"/>
  <c r="Q125" i="58"/>
  <c r="S125" i="58"/>
  <c r="T125" i="58"/>
  <c r="R125" i="58"/>
  <c r="L125" i="58"/>
  <c r="M125" i="58"/>
  <c r="Q116" i="58"/>
  <c r="Q118" i="58" s="1"/>
  <c r="M116" i="58"/>
  <c r="M118" i="58" s="1"/>
  <c r="P116" i="58"/>
  <c r="P118" i="58" s="1"/>
  <c r="P126" i="58" s="1"/>
  <c r="P203" i="58" s="1"/>
  <c r="V116" i="58"/>
  <c r="V118" i="58" s="1"/>
  <c r="T116" i="58"/>
  <c r="T118" i="58" s="1"/>
  <c r="W116" i="58"/>
  <c r="W118" i="58" s="1"/>
  <c r="S116" i="58"/>
  <c r="S118" i="58" s="1"/>
  <c r="N116" i="58"/>
  <c r="N118" i="58" s="1"/>
  <c r="X212" i="58"/>
  <c r="R116" i="58"/>
  <c r="R118" i="58" s="1"/>
  <c r="P318" i="58"/>
  <c r="H91" i="110"/>
  <c r="AB91" i="110" s="1"/>
  <c r="AE91" i="110" s="1"/>
  <c r="G91" i="110"/>
  <c r="U91" i="110" s="1"/>
  <c r="W7" i="137" s="1"/>
  <c r="X218" i="58"/>
  <c r="R318" i="58"/>
  <c r="R357" i="58"/>
  <c r="R358" i="58" s="1"/>
  <c r="R369" i="58" s="1"/>
  <c r="W21" i="119"/>
  <c r="AX7" i="133"/>
  <c r="AX46" i="133" s="1"/>
  <c r="G64" i="133"/>
  <c r="Q21" i="119"/>
  <c r="N318" i="58"/>
  <c r="X359" i="58"/>
  <c r="L357" i="58"/>
  <c r="L358" i="58" s="1"/>
  <c r="L369" i="58" s="1"/>
  <c r="X327" i="58"/>
  <c r="T318" i="58"/>
  <c r="X367" i="58"/>
  <c r="S53" i="35"/>
  <c r="V319" i="58"/>
  <c r="Q318" i="58"/>
  <c r="W319" i="58"/>
  <c r="W320" i="58" s="1"/>
  <c r="W329" i="58" s="1"/>
  <c r="W357" i="58"/>
  <c r="W358" i="58" s="1"/>
  <c r="W369" i="58" s="1"/>
  <c r="M357" i="58"/>
  <c r="M358" i="58" s="1"/>
  <c r="M369" i="58" s="1"/>
  <c r="U318" i="58"/>
  <c r="L319" i="58"/>
  <c r="L320" i="58" s="1"/>
  <c r="X321" i="58"/>
  <c r="X326" i="58" s="1"/>
  <c r="S318" i="58"/>
  <c r="J60" i="133"/>
  <c r="O417" i="110"/>
  <c r="O441" i="110"/>
  <c r="O429" i="110"/>
  <c r="K94" i="110"/>
  <c r="K405" i="110" s="1"/>
  <c r="M94" i="110"/>
  <c r="O10" i="137" s="1"/>
  <c r="P94" i="110"/>
  <c r="P405" i="110" s="1"/>
  <c r="F180" i="110"/>
  <c r="G180" i="110" s="1"/>
  <c r="AA180" i="110" s="1"/>
  <c r="AD180" i="110" s="1"/>
  <c r="Q94" i="110"/>
  <c r="Q405" i="110" s="1"/>
  <c r="I94" i="110"/>
  <c r="AC94" i="110" s="1"/>
  <c r="AF94" i="110" s="1"/>
  <c r="U94" i="110"/>
  <c r="W10" i="137" s="1"/>
  <c r="J94" i="110"/>
  <c r="L10" i="137" s="1"/>
  <c r="N94" i="110"/>
  <c r="P10" i="137" s="1"/>
  <c r="R94" i="110"/>
  <c r="AA94" i="110"/>
  <c r="AD94" i="110" s="1"/>
  <c r="L94" i="110"/>
  <c r="N10" i="137" s="1"/>
  <c r="S94" i="110"/>
  <c r="U10" i="137" s="1"/>
  <c r="F177" i="110"/>
  <c r="I177" i="110" s="1"/>
  <c r="AC177" i="110" s="1"/>
  <c r="AF177" i="110" s="1"/>
  <c r="H94" i="110"/>
  <c r="AB94" i="110" s="1"/>
  <c r="AE94" i="110" s="1"/>
  <c r="T94" i="110"/>
  <c r="P64" i="133"/>
  <c r="P84" i="133" s="1"/>
  <c r="V112" i="110"/>
  <c r="J392" i="110"/>
  <c r="V120" i="110"/>
  <c r="X365" i="58"/>
  <c r="H96" i="110"/>
  <c r="AB96" i="110" s="1"/>
  <c r="AE96" i="110" s="1"/>
  <c r="N357" i="58"/>
  <c r="N358" i="58" s="1"/>
  <c r="N369" i="58" s="1"/>
  <c r="S357" i="58"/>
  <c r="S358" i="58" s="1"/>
  <c r="S369" i="58" s="1"/>
  <c r="Q357" i="58"/>
  <c r="Q358" i="58" s="1"/>
  <c r="Q369" i="58" s="1"/>
  <c r="U319" i="58"/>
  <c r="V318" i="58"/>
  <c r="U357" i="58"/>
  <c r="U358" i="58" s="1"/>
  <c r="U369" i="58" s="1"/>
  <c r="T357" i="58"/>
  <c r="T358" i="58" s="1"/>
  <c r="T369" i="58" s="1"/>
  <c r="V357" i="58"/>
  <c r="V358" i="58" s="1"/>
  <c r="V369" i="58" s="1"/>
  <c r="M318" i="58"/>
  <c r="T319" i="58"/>
  <c r="S221" i="58"/>
  <c r="S224" i="58" s="1"/>
  <c r="P319" i="58"/>
  <c r="R319" i="58"/>
  <c r="Q221" i="58"/>
  <c r="Q224" i="58" s="1"/>
  <c r="N319" i="58"/>
  <c r="S319" i="58"/>
  <c r="P357" i="58"/>
  <c r="P358" i="58" s="1"/>
  <c r="P369" i="58" s="1"/>
  <c r="Q319" i="58"/>
  <c r="R221" i="58"/>
  <c r="R224" i="58" s="1"/>
  <c r="O319" i="58"/>
  <c r="O320" i="58" s="1"/>
  <c r="M319" i="58"/>
  <c r="X214" i="58"/>
  <c r="O357" i="58"/>
  <c r="O358" i="58" s="1"/>
  <c r="O369" i="58" s="1"/>
  <c r="F182" i="110"/>
  <c r="I182" i="110" s="1"/>
  <c r="AC182" i="110" s="1"/>
  <c r="AF182" i="110" s="1"/>
  <c r="BF10" i="188"/>
  <c r="CL58" i="188"/>
  <c r="EB24" i="188"/>
  <c r="CD105" i="188"/>
  <c r="BC10" i="188"/>
  <c r="DJ105" i="188"/>
  <c r="CG98" i="188"/>
  <c r="BG10" i="188"/>
  <c r="EL86" i="188"/>
  <c r="DB56" i="188"/>
  <c r="CB80" i="188"/>
  <c r="CG80" i="188"/>
  <c r="DB105" i="188"/>
  <c r="CK115" i="188"/>
  <c r="CB98" i="188"/>
  <c r="AU45" i="133"/>
  <c r="AU47" i="133" s="1"/>
  <c r="AU87" i="133" s="1"/>
  <c r="N78" i="192"/>
  <c r="BE10" i="188"/>
  <c r="DX29" i="188"/>
  <c r="DX130" i="188" s="1"/>
  <c r="P79" i="192"/>
  <c r="CH76" i="188"/>
  <c r="DE105" i="188"/>
  <c r="CL116" i="188"/>
  <c r="CI103" i="188"/>
  <c r="CC105" i="188"/>
  <c r="CB104" i="188"/>
  <c r="CJ115" i="188"/>
  <c r="BZ103" i="188"/>
  <c r="CI98" i="188"/>
  <c r="J78" i="192"/>
  <c r="BD10" i="188"/>
  <c r="CD76" i="188"/>
  <c r="DC105" i="188"/>
  <c r="EJ24" i="188"/>
  <c r="CB79" i="188"/>
  <c r="CF105" i="188"/>
  <c r="CG104" i="188"/>
  <c r="CG115" i="188"/>
  <c r="CJ105" i="188"/>
  <c r="CA98" i="188"/>
  <c r="CJ98" i="188"/>
  <c r="K78" i="192"/>
  <c r="O79" i="192"/>
  <c r="CB82" i="188"/>
  <c r="CA61" i="188"/>
  <c r="DH105" i="188"/>
  <c r="CG109" i="188"/>
  <c r="EL19" i="188"/>
  <c r="CH104" i="188"/>
  <c r="CA104" i="188"/>
  <c r="AS29" i="188"/>
  <c r="AS130" i="188" s="1"/>
  <c r="CF98" i="188"/>
  <c r="DE56" i="188"/>
  <c r="CH109" i="188"/>
  <c r="P130" i="188"/>
  <c r="CG103" i="188"/>
  <c r="BF26" i="188"/>
  <c r="BF29" i="188" s="1"/>
  <c r="P78" i="192"/>
  <c r="G79" i="192"/>
  <c r="CJ66" i="188"/>
  <c r="DG56" i="188"/>
  <c r="BZ109" i="188"/>
  <c r="CD79" i="188"/>
  <c r="CF104" i="188"/>
  <c r="CB103" i="188"/>
  <c r="Q79" i="192"/>
  <c r="CJ82" i="188"/>
  <c r="DK56" i="188"/>
  <c r="CD109" i="188"/>
  <c r="CK105" i="188"/>
  <c r="CA105" i="188"/>
  <c r="BZ62" i="188"/>
  <c r="J98" i="188"/>
  <c r="K98" i="188" s="1"/>
  <c r="EK98" i="188" s="1"/>
  <c r="CC98" i="188"/>
  <c r="BL38" i="188"/>
  <c r="CZ56" i="188"/>
  <c r="H78" i="192"/>
  <c r="CE105" i="188"/>
  <c r="DD105" i="188"/>
  <c r="BL54" i="188"/>
  <c r="CE98" i="188"/>
  <c r="R62" i="133"/>
  <c r="BL107" i="188"/>
  <c r="DG105" i="188"/>
  <c r="CD103" i="188"/>
  <c r="DC56" i="188"/>
  <c r="F79" i="192"/>
  <c r="CD66" i="188"/>
  <c r="CJ109" i="188"/>
  <c r="DI56" i="188"/>
  <c r="DF120" i="188"/>
  <c r="CZ105" i="188"/>
  <c r="BL77" i="188"/>
  <c r="BI10" i="188"/>
  <c r="E69" i="192"/>
  <c r="BZ105" i="188"/>
  <c r="CI80" i="188"/>
  <c r="CB105" i="188"/>
  <c r="CK109" i="188"/>
  <c r="BT29" i="188"/>
  <c r="BT130" i="188" s="1"/>
  <c r="M79" i="192"/>
  <c r="DV130" i="188"/>
  <c r="CZ48" i="188"/>
  <c r="CJ61" i="188"/>
  <c r="CI109" i="188"/>
  <c r="DA56" i="188"/>
  <c r="CA80" i="188"/>
  <c r="K105" i="188"/>
  <c r="DZ105" i="188" s="1"/>
  <c r="CD98" i="188"/>
  <c r="BB10" i="188"/>
  <c r="BJ10" i="188"/>
  <c r="CG105" i="188"/>
  <c r="BK10" i="188"/>
  <c r="DA105" i="188"/>
  <c r="J23" i="199"/>
  <c r="J25" i="199" s="1"/>
  <c r="J48" i="199" s="1"/>
  <c r="J50" i="199" s="1"/>
  <c r="J60" i="199" s="1"/>
  <c r="BH10" i="188"/>
  <c r="H79" i="192"/>
  <c r="CB66" i="188"/>
  <c r="BL44" i="188"/>
  <c r="CJ103" i="188"/>
  <c r="CB115" i="188"/>
  <c r="CC109" i="188"/>
  <c r="CD82" i="188"/>
  <c r="CC54" i="188"/>
  <c r="K120" i="188"/>
  <c r="DB120" i="188"/>
  <c r="AL109" i="188"/>
  <c r="DF105" i="188"/>
  <c r="CK98" i="188"/>
  <c r="BA10" i="188"/>
  <c r="G78" i="192"/>
  <c r="M78" i="192"/>
  <c r="L79" i="192"/>
  <c r="I96" i="110"/>
  <c r="AC96" i="110" s="1"/>
  <c r="AF96" i="110" s="1"/>
  <c r="R24" i="199"/>
  <c r="J61" i="192"/>
  <c r="J63" i="192" s="1"/>
  <c r="AI102" i="188"/>
  <c r="AI122" i="188" s="1"/>
  <c r="DJ58" i="188"/>
  <c r="DH120" i="188"/>
  <c r="DF58" i="188"/>
  <c r="DH58" i="188"/>
  <c r="CI105" i="188"/>
  <c r="CH98" i="188"/>
  <c r="CD111" i="188"/>
  <c r="CC111" i="188"/>
  <c r="CB111" i="188"/>
  <c r="J111" i="188"/>
  <c r="S147" i="137"/>
  <c r="S151" i="137" s="1"/>
  <c r="S153" i="137" s="1"/>
  <c r="CB61" i="188"/>
  <c r="CE114" i="188"/>
  <c r="CE40" i="188"/>
  <c r="CC114" i="188"/>
  <c r="CB76" i="188"/>
  <c r="DE59" i="188"/>
  <c r="CI107" i="188"/>
  <c r="CJ107" i="188"/>
  <c r="J40" i="188"/>
  <c r="CZ40" i="188" s="1"/>
  <c r="CB114" i="188"/>
  <c r="K65" i="188"/>
  <c r="EE65" i="188" s="1"/>
  <c r="AL114" i="188"/>
  <c r="CE76" i="188"/>
  <c r="Y122" i="188"/>
  <c r="DK59" i="188"/>
  <c r="AJ49" i="133"/>
  <c r="CD40" i="188"/>
  <c r="AE122" i="188"/>
  <c r="CL5" i="188"/>
  <c r="CF76" i="188"/>
  <c r="CG107" i="188"/>
  <c r="CG40" i="188"/>
  <c r="CI82" i="188"/>
  <c r="CC76" i="188"/>
  <c r="BR130" i="188"/>
  <c r="BZ76" i="188"/>
  <c r="N64" i="133"/>
  <c r="N84" i="133" s="1"/>
  <c r="EF24" i="188"/>
  <c r="BI97" i="188"/>
  <c r="R130" i="188"/>
  <c r="CF82" i="188"/>
  <c r="EL87" i="188"/>
  <c r="AL61" i="133"/>
  <c r="DF57" i="188"/>
  <c r="BZ82" i="188"/>
  <c r="CL119" i="188"/>
  <c r="CD107" i="188"/>
  <c r="I64" i="133"/>
  <c r="BL115" i="188"/>
  <c r="I104" i="110"/>
  <c r="AC104" i="110" s="1"/>
  <c r="AF104" i="110" s="1"/>
  <c r="I124" i="110"/>
  <c r="AC124" i="110" s="1"/>
  <c r="AF124" i="110" s="1"/>
  <c r="K64" i="133"/>
  <c r="K84" i="133" s="1"/>
  <c r="CH82" i="188"/>
  <c r="CA79" i="188"/>
  <c r="CI40" i="188"/>
  <c r="BY28" i="188"/>
  <c r="CA76" i="188"/>
  <c r="CH40" i="188"/>
  <c r="W45" i="133"/>
  <c r="W47" i="133" s="1"/>
  <c r="W87" i="133" s="1"/>
  <c r="ED108" i="188"/>
  <c r="CC82" i="188"/>
  <c r="CK79" i="188"/>
  <c r="CG75" i="188"/>
  <c r="CC80" i="188"/>
  <c r="CK114" i="188"/>
  <c r="CD80" i="188"/>
  <c r="CF31" i="188"/>
  <c r="CG82" i="188"/>
  <c r="CJ75" i="188"/>
  <c r="Y74" i="188"/>
  <c r="BZ80" i="188"/>
  <c r="CA107" i="188"/>
  <c r="BL101" i="188"/>
  <c r="CE61" i="188"/>
  <c r="CJ114" i="188"/>
  <c r="CB40" i="188"/>
  <c r="J114" i="188"/>
  <c r="DA114" i="188" s="1"/>
  <c r="H67" i="192"/>
  <c r="H106" i="192" s="1"/>
  <c r="BB97" i="188"/>
  <c r="CA31" i="188"/>
  <c r="CE82" i="188"/>
  <c r="CH79" i="188"/>
  <c r="CI75" i="188"/>
  <c r="J107" i="188"/>
  <c r="K107" i="188" s="1"/>
  <c r="EC107" i="188" s="1"/>
  <c r="BZ114" i="188"/>
  <c r="P21" i="119"/>
  <c r="EK24" i="188"/>
  <c r="DA59" i="188"/>
  <c r="J31" i="188"/>
  <c r="DH31" i="188" s="1"/>
  <c r="BL3" i="188"/>
  <c r="BL5" i="188" s="1"/>
  <c r="BZ75" i="188"/>
  <c r="CA62" i="188"/>
  <c r="DK58" i="188"/>
  <c r="BL78" i="188"/>
  <c r="AL116" i="188"/>
  <c r="CL120" i="188"/>
  <c r="BH97" i="188"/>
  <c r="CJ101" i="188"/>
  <c r="CC101" i="188"/>
  <c r="CL41" i="188"/>
  <c r="AJ61" i="133"/>
  <c r="DS130" i="188"/>
  <c r="K8" i="192"/>
  <c r="CG101" i="188"/>
  <c r="BL61" i="188"/>
  <c r="BL79" i="188"/>
  <c r="BL36" i="188"/>
  <c r="DL87" i="188"/>
  <c r="BL50" i="188"/>
  <c r="DJ35" i="188"/>
  <c r="BL76" i="188"/>
  <c r="J8" i="192"/>
  <c r="BP130" i="188"/>
  <c r="R37" i="124"/>
  <c r="BL110" i="188"/>
  <c r="CI101" i="188"/>
  <c r="BL75" i="188"/>
  <c r="DK35" i="188"/>
  <c r="CG114" i="188"/>
  <c r="CK99" i="188"/>
  <c r="BL99" i="188"/>
  <c r="K35" i="188"/>
  <c r="EF35" i="188" s="1"/>
  <c r="S15" i="180"/>
  <c r="S22" i="180" s="1"/>
  <c r="BL109" i="188"/>
  <c r="Y97" i="188"/>
  <c r="CZ35" i="188"/>
  <c r="EL46" i="188"/>
  <c r="AT130" i="188"/>
  <c r="BL90" i="188"/>
  <c r="CD114" i="188"/>
  <c r="CF101" i="188"/>
  <c r="BL114" i="188"/>
  <c r="DD35" i="188"/>
  <c r="BD97" i="188"/>
  <c r="DG35" i="188"/>
  <c r="L78" i="192"/>
  <c r="BL62" i="188"/>
  <c r="K61" i="192"/>
  <c r="K63" i="192" s="1"/>
  <c r="DF35" i="188"/>
  <c r="CI114" i="188"/>
  <c r="CA101" i="188"/>
  <c r="CK38" i="188"/>
  <c r="CJ38" i="188"/>
  <c r="CB38" i="188"/>
  <c r="BZ38" i="188"/>
  <c r="CF38" i="188"/>
  <c r="CE38" i="188"/>
  <c r="CA38" i="188"/>
  <c r="CI38" i="188"/>
  <c r="CG38" i="188"/>
  <c r="CC38" i="188"/>
  <c r="CD38" i="188"/>
  <c r="CH38" i="188"/>
  <c r="J38" i="188"/>
  <c r="F78" i="192"/>
  <c r="BG97" i="188"/>
  <c r="BL98" i="188"/>
  <c r="CL110" i="188"/>
  <c r="BL41" i="188"/>
  <c r="BL81" i="188"/>
  <c r="CF62" i="188"/>
  <c r="DD56" i="188"/>
  <c r="K56" i="188"/>
  <c r="J103" i="188"/>
  <c r="CK103" i="188"/>
  <c r="CF103" i="188"/>
  <c r="CE103" i="188"/>
  <c r="CE101" i="188"/>
  <c r="DI35" i="188"/>
  <c r="CJ76" i="188"/>
  <c r="DL110" i="188"/>
  <c r="Q78" i="192"/>
  <c r="CL56" i="188"/>
  <c r="J101" i="188"/>
  <c r="DA35" i="188"/>
  <c r="DH35" i="188"/>
  <c r="AK61" i="133"/>
  <c r="O78" i="192"/>
  <c r="AY29" i="188"/>
  <c r="EE24" i="188"/>
  <c r="BL7" i="188"/>
  <c r="CA114" i="188"/>
  <c r="CB101" i="188"/>
  <c r="S29" i="35"/>
  <c r="DC35" i="188"/>
  <c r="DB35" i="188"/>
  <c r="CF114" i="188"/>
  <c r="CL35" i="188"/>
  <c r="BL82" i="188"/>
  <c r="BZ101" i="188"/>
  <c r="BC97" i="188"/>
  <c r="BL106" i="188"/>
  <c r="EL124" i="188"/>
  <c r="AY127" i="188"/>
  <c r="CH101" i="188"/>
  <c r="BL37" i="188"/>
  <c r="CH103" i="188"/>
  <c r="BZ54" i="188"/>
  <c r="CB54" i="188"/>
  <c r="CF54" i="188"/>
  <c r="CH54" i="188"/>
  <c r="CG54" i="188"/>
  <c r="CD54" i="188"/>
  <c r="J54" i="188"/>
  <c r="CK54" i="188"/>
  <c r="DI58" i="188"/>
  <c r="EB57" i="188"/>
  <c r="EJ57" i="188"/>
  <c r="M6" i="192"/>
  <c r="L8" i="192"/>
  <c r="L61" i="192"/>
  <c r="L63" i="192" s="1"/>
  <c r="L109" i="192" s="1"/>
  <c r="AL7" i="133"/>
  <c r="AM7" i="133" s="1"/>
  <c r="CG28" i="188"/>
  <c r="CG29" i="188" s="1"/>
  <c r="J65" i="192"/>
  <c r="K10" i="192"/>
  <c r="BA97" i="188"/>
  <c r="EJ108" i="188"/>
  <c r="EB108" i="188"/>
  <c r="DZ108" i="188"/>
  <c r="EG108" i="188"/>
  <c r="CF51" i="188"/>
  <c r="DI57" i="188"/>
  <c r="BG29" i="188"/>
  <c r="CE51" i="188"/>
  <c r="W8" i="133"/>
  <c r="AV6" i="133"/>
  <c r="AV8" i="133" s="1"/>
  <c r="CF40" i="188"/>
  <c r="Q22" i="180"/>
  <c r="CZ65" i="188"/>
  <c r="CA127" i="188"/>
  <c r="CJ31" i="188"/>
  <c r="K106" i="188"/>
  <c r="EK106" i="188" s="1"/>
  <c r="CJ40" i="188"/>
  <c r="BL33" i="188"/>
  <c r="DG65" i="188"/>
  <c r="CA75" i="188"/>
  <c r="CB106" i="188"/>
  <c r="DG106" i="188"/>
  <c r="CH106" i="188"/>
  <c r="CI106" i="188"/>
  <c r="CK100" i="188"/>
  <c r="CD100" i="188"/>
  <c r="CC100" i="188"/>
  <c r="J100" i="188"/>
  <c r="CJ100" i="188"/>
  <c r="CA100" i="188"/>
  <c r="CH28" i="188"/>
  <c r="CU28" i="188"/>
  <c r="EB110" i="188"/>
  <c r="EJ110" i="188"/>
  <c r="EK110" i="188"/>
  <c r="EH110" i="188"/>
  <c r="EC110" i="188"/>
  <c r="EF110" i="188"/>
  <c r="EE110" i="188"/>
  <c r="ED110" i="188"/>
  <c r="EG110" i="188"/>
  <c r="EA110" i="188"/>
  <c r="DZ110" i="188"/>
  <c r="EI110" i="188"/>
  <c r="DE65" i="188"/>
  <c r="DH106" i="188"/>
  <c r="CJ106" i="188"/>
  <c r="CD106" i="188"/>
  <c r="CA37" i="188"/>
  <c r="CI37" i="188"/>
  <c r="CJ37" i="188"/>
  <c r="CC37" i="188"/>
  <c r="CE37" i="188"/>
  <c r="CF37" i="188"/>
  <c r="J37" i="188"/>
  <c r="CD37" i="188"/>
  <c r="CK37" i="188"/>
  <c r="CG37" i="188"/>
  <c r="CH37" i="188"/>
  <c r="BZ37" i="188"/>
  <c r="CB37" i="188"/>
  <c r="CB28" i="188"/>
  <c r="CB29" i="188" s="1"/>
  <c r="CO28" i="188"/>
  <c r="G29" i="192"/>
  <c r="G46" i="192"/>
  <c r="G47" i="192" s="1"/>
  <c r="X21" i="119"/>
  <c r="I131" i="110"/>
  <c r="AC131" i="110" s="1"/>
  <c r="AF131" i="110" s="1"/>
  <c r="I67" i="192"/>
  <c r="I106" i="192" s="1"/>
  <c r="AQ130" i="188"/>
  <c r="I18" i="192"/>
  <c r="I74" i="192" s="1"/>
  <c r="H20" i="192"/>
  <c r="H25" i="192" s="1"/>
  <c r="H99" i="192" s="1"/>
  <c r="F190" i="110"/>
  <c r="I190" i="110" s="1"/>
  <c r="AC190" i="110" s="1"/>
  <c r="AF190" i="110" s="1"/>
  <c r="E400" i="110"/>
  <c r="M64" i="133"/>
  <c r="M84" i="133" s="1"/>
  <c r="CK40" i="188"/>
  <c r="AZ97" i="188"/>
  <c r="BI127" i="188"/>
  <c r="DH65" i="188"/>
  <c r="EK108" i="188"/>
  <c r="S130" i="188"/>
  <c r="AW130" i="188"/>
  <c r="DJ57" i="188"/>
  <c r="CJ51" i="188"/>
  <c r="AL80" i="188"/>
  <c r="AL97" i="188" s="1"/>
  <c r="M11" i="133"/>
  <c r="L50" i="133"/>
  <c r="BL124" i="188"/>
  <c r="DF65" i="188"/>
  <c r="EE108" i="188"/>
  <c r="EH108" i="188"/>
  <c r="CK51" i="188"/>
  <c r="CI61" i="188"/>
  <c r="J51" i="188"/>
  <c r="DH51" i="188" s="1"/>
  <c r="CH78" i="188"/>
  <c r="BZ78" i="188"/>
  <c r="CD78" i="188"/>
  <c r="CK78" i="188"/>
  <c r="CJ78" i="188"/>
  <c r="CA78" i="188"/>
  <c r="CF78" i="188"/>
  <c r="CG78" i="188"/>
  <c r="CE78" i="188"/>
  <c r="J78" i="188"/>
  <c r="CB78" i="188"/>
  <c r="CG99" i="188"/>
  <c r="CF99" i="188"/>
  <c r="CB99" i="188"/>
  <c r="BZ99" i="188"/>
  <c r="CH99" i="188"/>
  <c r="CE99" i="188"/>
  <c r="CC99" i="188"/>
  <c r="CJ99" i="188"/>
  <c r="J99" i="188"/>
  <c r="R21" i="119"/>
  <c r="BZ50" i="188"/>
  <c r="DI65" i="188"/>
  <c r="CY122" i="188"/>
  <c r="CL65" i="188"/>
  <c r="AB14" i="188"/>
  <c r="AB130" i="188" s="1"/>
  <c r="AB132" i="188" s="1"/>
  <c r="CB51" i="188"/>
  <c r="CI51" i="188"/>
  <c r="CD75" i="188"/>
  <c r="CK76" i="188"/>
  <c r="J76" i="188"/>
  <c r="CI76" i="188"/>
  <c r="CA109" i="188"/>
  <c r="CE109" i="188"/>
  <c r="J109" i="188"/>
  <c r="CB109" i="188"/>
  <c r="DA65" i="188"/>
  <c r="EA108" i="188"/>
  <c r="CC106" i="188"/>
  <c r="CK81" i="188"/>
  <c r="CB81" i="188"/>
  <c r="CG81" i="188"/>
  <c r="CC81" i="188"/>
  <c r="CA81" i="188"/>
  <c r="CD81" i="188"/>
  <c r="BZ81" i="188"/>
  <c r="CJ81" i="188"/>
  <c r="CI81" i="188"/>
  <c r="CH81" i="188"/>
  <c r="CF81" i="188"/>
  <c r="J81" i="188"/>
  <c r="CC40" i="188"/>
  <c r="X164" i="137"/>
  <c r="DK65" i="188"/>
  <c r="EI108" i="188"/>
  <c r="CE81" i="188"/>
  <c r="D5" i="181"/>
  <c r="BZ40" i="188"/>
  <c r="CL46" i="188"/>
  <c r="DD65" i="188"/>
  <c r="CJ62" i="188"/>
  <c r="CB62" i="188"/>
  <c r="CD62" i="188"/>
  <c r="CK62" i="188"/>
  <c r="J62" i="188"/>
  <c r="CH62" i="188"/>
  <c r="CI62" i="188"/>
  <c r="H48" i="133"/>
  <c r="H51" i="133" s="1"/>
  <c r="EL45" i="188"/>
  <c r="CA50" i="188"/>
  <c r="AD14" i="188"/>
  <c r="DE57" i="188"/>
  <c r="CA99" i="188"/>
  <c r="CC51" i="188"/>
  <c r="CK75" i="188"/>
  <c r="CE106" i="188"/>
  <c r="BL100" i="188"/>
  <c r="DB57" i="188"/>
  <c r="CF106" i="188"/>
  <c r="EF108" i="188"/>
  <c r="J64" i="133"/>
  <c r="V8" i="133"/>
  <c r="H12" i="133"/>
  <c r="CC50" i="188"/>
  <c r="AY97" i="188"/>
  <c r="BL65" i="188"/>
  <c r="DB65" i="188"/>
  <c r="DK106" i="188"/>
  <c r="BL42" i="188"/>
  <c r="CH51" i="188"/>
  <c r="CB75" i="188"/>
  <c r="CK106" i="188"/>
  <c r="CE100" i="188"/>
  <c r="BZ36" i="188"/>
  <c r="CD36" i="188"/>
  <c r="CJ36" i="188"/>
  <c r="CC36" i="188"/>
  <c r="CE36" i="188"/>
  <c r="CA36" i="188"/>
  <c r="CK36" i="188"/>
  <c r="CI36" i="188"/>
  <c r="CG36" i="188"/>
  <c r="CB36" i="188"/>
  <c r="CH36" i="188"/>
  <c r="J36" i="188"/>
  <c r="CF36" i="188"/>
  <c r="G104" i="110"/>
  <c r="G9" i="188"/>
  <c r="AF9" i="188"/>
  <c r="AF14" i="188" s="1"/>
  <c r="AG9" i="188"/>
  <c r="AG14" i="188" s="1"/>
  <c r="AE9" i="188"/>
  <c r="AE14" i="188" s="1"/>
  <c r="AP130" i="188"/>
  <c r="CE50" i="188"/>
  <c r="CF50" i="188"/>
  <c r="T146" i="137"/>
  <c r="CC78" i="188"/>
  <c r="DJ106" i="188"/>
  <c r="CF61" i="188"/>
  <c r="CA106" i="188"/>
  <c r="CH75" i="188"/>
  <c r="BZ106" i="188"/>
  <c r="J75" i="188"/>
  <c r="CZ75" i="188" s="1"/>
  <c r="CI79" i="188"/>
  <c r="CJ79" i="188"/>
  <c r="AJ8" i="188"/>
  <c r="AK8" i="188"/>
  <c r="H8" i="188"/>
  <c r="AH8" i="188"/>
  <c r="AI8" i="188"/>
  <c r="CI100" i="188"/>
  <c r="CG106" i="188"/>
  <c r="Z21" i="119"/>
  <c r="V45" i="133"/>
  <c r="V47" i="133" s="1"/>
  <c r="V87" i="133" s="1"/>
  <c r="AJ46" i="133"/>
  <c r="BL28" i="188"/>
  <c r="CD50" i="188"/>
  <c r="CL45" i="188"/>
  <c r="CH61" i="188"/>
  <c r="DF106" i="188"/>
  <c r="CK61" i="188"/>
  <c r="CI99" i="188"/>
  <c r="CF75" i="188"/>
  <c r="BL105" i="188"/>
  <c r="DE116" i="188"/>
  <c r="DA116" i="188"/>
  <c r="CZ116" i="188"/>
  <c r="DC116" i="188"/>
  <c r="DD116" i="188"/>
  <c r="DK116" i="188"/>
  <c r="DF116" i="188"/>
  <c r="K116" i="188"/>
  <c r="DB116" i="188"/>
  <c r="DJ116" i="188"/>
  <c r="DI116" i="188"/>
  <c r="CF100" i="188"/>
  <c r="P50" i="192"/>
  <c r="O56" i="192"/>
  <c r="BW130" i="188"/>
  <c r="AV130" i="188"/>
  <c r="G95" i="110"/>
  <c r="R95" i="110" s="1"/>
  <c r="AC122" i="188"/>
  <c r="N79" i="192"/>
  <c r="CG62" i="188"/>
  <c r="D47" i="175"/>
  <c r="E16" i="175" s="1"/>
  <c r="E47" i="175" s="1"/>
  <c r="F16" i="175" s="1"/>
  <c r="F47" i="175" s="1"/>
  <c r="G16" i="175" s="1"/>
  <c r="G47" i="175" s="1"/>
  <c r="H16" i="175" s="1"/>
  <c r="H47" i="175" s="1"/>
  <c r="I16" i="175" s="1"/>
  <c r="I47" i="175" s="1"/>
  <c r="J16" i="175" s="1"/>
  <c r="J47" i="175" s="1"/>
  <c r="K16" i="175" s="1"/>
  <c r="K47" i="175" s="1"/>
  <c r="L16" i="175" s="1"/>
  <c r="L47" i="175" s="1"/>
  <c r="M16" i="175" s="1"/>
  <c r="BZ61" i="188"/>
  <c r="J79" i="188"/>
  <c r="DC79" i="188" s="1"/>
  <c r="CE75" i="188"/>
  <c r="BL108" i="188"/>
  <c r="CH80" i="188"/>
  <c r="CK80" i="188"/>
  <c r="CJ80" i="188"/>
  <c r="J80" i="188"/>
  <c r="CE80" i="188"/>
  <c r="CC62" i="188"/>
  <c r="AL5" i="188"/>
  <c r="CS130" i="188"/>
  <c r="DF59" i="188"/>
  <c r="DD59" i="188"/>
  <c r="DJ59" i="188"/>
  <c r="DB59" i="188"/>
  <c r="DC59" i="188"/>
  <c r="DG59" i="188"/>
  <c r="DD57" i="188"/>
  <c r="DH57" i="188"/>
  <c r="DC57" i="188"/>
  <c r="CZ57" i="188"/>
  <c r="DG57" i="188"/>
  <c r="DA57" i="188"/>
  <c r="DK57" i="188"/>
  <c r="CC33" i="188"/>
  <c r="CI33" i="188"/>
  <c r="CE33" i="188"/>
  <c r="CH33" i="188"/>
  <c r="CK33" i="188"/>
  <c r="CF33" i="188"/>
  <c r="J33" i="188"/>
  <c r="CD33" i="188"/>
  <c r="BZ33" i="188"/>
  <c r="CJ33" i="188"/>
  <c r="CA33" i="188"/>
  <c r="CG33" i="188"/>
  <c r="CB33" i="188"/>
  <c r="AN130" i="188"/>
  <c r="BL71" i="188"/>
  <c r="CL43" i="188"/>
  <c r="ED24" i="188"/>
  <c r="EG24" i="188"/>
  <c r="CC31" i="188"/>
  <c r="CG31" i="188"/>
  <c r="BZ31" i="188"/>
  <c r="CK31" i="188"/>
  <c r="CB31" i="188"/>
  <c r="CH31" i="188"/>
  <c r="CE31" i="188"/>
  <c r="CI31" i="188"/>
  <c r="CD51" i="188"/>
  <c r="BZ51" i="188"/>
  <c r="CG51" i="188"/>
  <c r="CD61" i="188"/>
  <c r="CG61" i="188"/>
  <c r="J61" i="188"/>
  <c r="DY26" i="188"/>
  <c r="DH59" i="188"/>
  <c r="X165" i="137"/>
  <c r="BL39" i="188"/>
  <c r="CG50" i="188"/>
  <c r="CJ50" i="188"/>
  <c r="CI50" i="188"/>
  <c r="CH50" i="188"/>
  <c r="CK50" i="188"/>
  <c r="J50" i="188"/>
  <c r="F53" i="133"/>
  <c r="BK97" i="188"/>
  <c r="BL72" i="188"/>
  <c r="CA113" i="188"/>
  <c r="CD113" i="188"/>
  <c r="CE113" i="188"/>
  <c r="CG113" i="188"/>
  <c r="J113" i="188"/>
  <c r="CK113" i="188"/>
  <c r="BZ113" i="188"/>
  <c r="CF113" i="188"/>
  <c r="CJ113" i="188"/>
  <c r="CB113" i="188"/>
  <c r="CI113" i="188"/>
  <c r="CC113" i="188"/>
  <c r="CH113" i="188"/>
  <c r="AV121" i="133"/>
  <c r="AV127" i="133" s="1"/>
  <c r="CA82" i="188"/>
  <c r="J82" i="188"/>
  <c r="G53" i="133"/>
  <c r="BI74" i="188"/>
  <c r="BY74" i="188"/>
  <c r="BF97" i="188"/>
  <c r="H75" i="192"/>
  <c r="J75" i="192"/>
  <c r="I75" i="192"/>
  <c r="Q75" i="192"/>
  <c r="O75" i="192"/>
  <c r="N75" i="192"/>
  <c r="K75" i="192"/>
  <c r="L75" i="192"/>
  <c r="G75" i="192"/>
  <c r="F75" i="192"/>
  <c r="P75" i="192"/>
  <c r="M75" i="192"/>
  <c r="I13" i="192"/>
  <c r="I98" i="192" s="1"/>
  <c r="BM130" i="188"/>
  <c r="O9" i="175"/>
  <c r="CL118" i="188"/>
  <c r="CK42" i="188"/>
  <c r="CJ42" i="188"/>
  <c r="J42" i="188"/>
  <c r="CA42" i="188"/>
  <c r="CE42" i="188"/>
  <c r="CG42" i="188"/>
  <c r="CB42" i="188"/>
  <c r="CH42" i="188"/>
  <c r="CC42" i="188"/>
  <c r="CI42" i="188"/>
  <c r="CD42" i="188"/>
  <c r="BZ42" i="188"/>
  <c r="J64" i="192"/>
  <c r="K9" i="192"/>
  <c r="J12" i="192"/>
  <c r="CR29" i="188"/>
  <c r="CR130" i="188" s="1"/>
  <c r="DE28" i="188"/>
  <c r="DE29" i="188" s="1"/>
  <c r="DR28" i="188"/>
  <c r="BA74" i="188"/>
  <c r="CL77" i="188"/>
  <c r="DD41" i="188"/>
  <c r="DJ41" i="188"/>
  <c r="DH41" i="188"/>
  <c r="DF41" i="188"/>
  <c r="K41" i="188"/>
  <c r="DE41" i="188"/>
  <c r="DA41" i="188"/>
  <c r="CZ41" i="188"/>
  <c r="DB41" i="188"/>
  <c r="DC41" i="188"/>
  <c r="DG41" i="188"/>
  <c r="DI41" i="188"/>
  <c r="BB74" i="188"/>
  <c r="CV130" i="188"/>
  <c r="EA24" i="188"/>
  <c r="O7" i="192"/>
  <c r="N62" i="192"/>
  <c r="I95" i="110"/>
  <c r="AC95" i="110" s="1"/>
  <c r="AF95" i="110" s="1"/>
  <c r="BL51" i="188"/>
  <c r="BF74" i="188"/>
  <c r="CL24" i="188"/>
  <c r="EE57" i="188"/>
  <c r="EF57" i="188"/>
  <c r="EC57" i="188"/>
  <c r="EG57" i="188"/>
  <c r="EK57" i="188"/>
  <c r="EA57" i="188"/>
  <c r="DZ57" i="188"/>
  <c r="EI57" i="188"/>
  <c r="ED57" i="188"/>
  <c r="EH57" i="188"/>
  <c r="CD72" i="188"/>
  <c r="CF72" i="188"/>
  <c r="BZ72" i="188"/>
  <c r="CK72" i="188"/>
  <c r="CC72" i="188"/>
  <c r="J72" i="188"/>
  <c r="CJ72" i="188"/>
  <c r="CA72" i="188"/>
  <c r="CB72" i="188"/>
  <c r="CG72" i="188"/>
  <c r="CE72" i="188"/>
  <c r="CI72" i="188"/>
  <c r="CH72" i="188"/>
  <c r="CG49" i="188"/>
  <c r="BZ49" i="188"/>
  <c r="CK49" i="188"/>
  <c r="CB49" i="188"/>
  <c r="CJ49" i="188"/>
  <c r="CD49" i="188"/>
  <c r="CA49" i="188"/>
  <c r="CC49" i="188"/>
  <c r="J49" i="188"/>
  <c r="CH49" i="188"/>
  <c r="CF49" i="188"/>
  <c r="E53" i="133"/>
  <c r="F181" i="110"/>
  <c r="H181" i="110" s="1"/>
  <c r="AB181" i="110" s="1"/>
  <c r="AE181" i="110" s="1"/>
  <c r="CL59" i="188"/>
  <c r="BO130" i="188"/>
  <c r="BL48" i="188"/>
  <c r="BL66" i="188"/>
  <c r="DH118" i="188"/>
  <c r="DF118" i="188"/>
  <c r="K118" i="188"/>
  <c r="DE118" i="188"/>
  <c r="DI118" i="188"/>
  <c r="DC118" i="188"/>
  <c r="DK118" i="188"/>
  <c r="DJ118" i="188"/>
  <c r="DB118" i="188"/>
  <c r="DA118" i="188"/>
  <c r="DD118" i="188"/>
  <c r="CZ118" i="188"/>
  <c r="DG118" i="188"/>
  <c r="CI49" i="188"/>
  <c r="DA48" i="188"/>
  <c r="DB48" i="188"/>
  <c r="DC48" i="188"/>
  <c r="DK48" i="188"/>
  <c r="DI48" i="188"/>
  <c r="DE48" i="188"/>
  <c r="DF48" i="188"/>
  <c r="DJ48" i="188"/>
  <c r="DH48" i="188"/>
  <c r="K48" i="188"/>
  <c r="DG48" i="188"/>
  <c r="EH24" i="188"/>
  <c r="EL18" i="188"/>
  <c r="DQ29" i="188"/>
  <c r="DQ130" i="188" s="1"/>
  <c r="CF12" i="188"/>
  <c r="DL44" i="188"/>
  <c r="G63" i="192"/>
  <c r="G109" i="192" s="1"/>
  <c r="BY127" i="188"/>
  <c r="AL108" i="188"/>
  <c r="EL17" i="188"/>
  <c r="EL16" i="188"/>
  <c r="DZ24" i="188"/>
  <c r="BL6" i="188"/>
  <c r="DH117" i="188"/>
  <c r="BE74" i="188"/>
  <c r="I63" i="192"/>
  <c r="I109" i="192" s="1"/>
  <c r="CL124" i="188"/>
  <c r="BL49" i="188"/>
  <c r="CC66" i="188"/>
  <c r="CF66" i="188"/>
  <c r="CG66" i="188"/>
  <c r="CH66" i="188"/>
  <c r="J66" i="188"/>
  <c r="CE66" i="188"/>
  <c r="CK66" i="188"/>
  <c r="BZ66" i="188"/>
  <c r="DI34" i="188"/>
  <c r="CZ34" i="188"/>
  <c r="DA34" i="188"/>
  <c r="DE34" i="188"/>
  <c r="DD34" i="188"/>
  <c r="DH34" i="188"/>
  <c r="K34" i="188"/>
  <c r="DB34" i="188"/>
  <c r="DG34" i="188"/>
  <c r="DJ34" i="188"/>
  <c r="DF34" i="188"/>
  <c r="DC34" i="188"/>
  <c r="DK34" i="188"/>
  <c r="CG13" i="188"/>
  <c r="CB13" i="188"/>
  <c r="CA13" i="188"/>
  <c r="CF13" i="188"/>
  <c r="CJ13" i="188"/>
  <c r="CE13" i="188"/>
  <c r="BZ13" i="188"/>
  <c r="CK13" i="188"/>
  <c r="CH13" i="188"/>
  <c r="CD13" i="188"/>
  <c r="CC13" i="188"/>
  <c r="J13" i="188"/>
  <c r="CI13" i="188"/>
  <c r="CI14" i="188" s="1"/>
  <c r="CY127" i="188"/>
  <c r="BS130" i="188"/>
  <c r="BH74" i="188"/>
  <c r="Z130" i="188"/>
  <c r="Z132" i="188" s="1"/>
  <c r="DC117" i="188"/>
  <c r="BJ74" i="188"/>
  <c r="BD74" i="188"/>
  <c r="CL48" i="188"/>
  <c r="EL95" i="188"/>
  <c r="AX130" i="188"/>
  <c r="AY122" i="188"/>
  <c r="AK11" i="188"/>
  <c r="AJ11" i="188"/>
  <c r="AI11" i="188"/>
  <c r="AH11" i="188"/>
  <c r="H11" i="188"/>
  <c r="M77" i="192"/>
  <c r="I77" i="192"/>
  <c r="I80" i="192" s="1"/>
  <c r="Q77" i="192"/>
  <c r="G77" i="192"/>
  <c r="N77" i="192"/>
  <c r="P77" i="192"/>
  <c r="O77" i="192"/>
  <c r="J77" i="192"/>
  <c r="K77" i="192"/>
  <c r="L77" i="192"/>
  <c r="F77" i="192"/>
  <c r="H77" i="192"/>
  <c r="AD122" i="188"/>
  <c r="CE39" i="188"/>
  <c r="CJ39" i="188"/>
  <c r="CF39" i="188"/>
  <c r="BZ39" i="188"/>
  <c r="CA39" i="188"/>
  <c r="CB39" i="188"/>
  <c r="CH39" i="188"/>
  <c r="CK39" i="188"/>
  <c r="CD39" i="188"/>
  <c r="CG39" i="188"/>
  <c r="J39" i="188"/>
  <c r="CI39" i="188"/>
  <c r="CC39" i="188"/>
  <c r="DO25" i="188"/>
  <c r="CY25" i="188"/>
  <c r="DB25" i="188"/>
  <c r="BL69" i="188"/>
  <c r="BY122" i="188"/>
  <c r="BK74" i="188"/>
  <c r="BL113" i="188"/>
  <c r="CI66" i="188"/>
  <c r="DE77" i="188"/>
  <c r="DG77" i="188"/>
  <c r="DF77" i="188"/>
  <c r="DA77" i="188"/>
  <c r="DI77" i="188"/>
  <c r="DK77" i="188"/>
  <c r="CZ77" i="188"/>
  <c r="DC77" i="188"/>
  <c r="DJ77" i="188"/>
  <c r="DB77" i="188"/>
  <c r="DD77" i="188"/>
  <c r="DH77" i="188"/>
  <c r="K77" i="188"/>
  <c r="BL32" i="188"/>
  <c r="EI24" i="188"/>
  <c r="BL13" i="188"/>
  <c r="J32" i="181"/>
  <c r="F64" i="133"/>
  <c r="R59" i="133"/>
  <c r="P96" i="110"/>
  <c r="R12" i="137" s="1"/>
  <c r="N96" i="110"/>
  <c r="P12" i="137" s="1"/>
  <c r="S96" i="110"/>
  <c r="U12" i="137" s="1"/>
  <c r="M96" i="110"/>
  <c r="O12" i="137" s="1"/>
  <c r="R96" i="110"/>
  <c r="T12" i="137" s="1"/>
  <c r="O96" i="110"/>
  <c r="Q12" i="137" s="1"/>
  <c r="AA96" i="110"/>
  <c r="AD96" i="110" s="1"/>
  <c r="J96" i="110"/>
  <c r="L12" i="137" s="1"/>
  <c r="L96" i="110"/>
  <c r="N12" i="137" s="1"/>
  <c r="K96" i="110"/>
  <c r="M12" i="137" s="1"/>
  <c r="U96" i="110"/>
  <c r="W12" i="137" s="1"/>
  <c r="T96" i="110"/>
  <c r="V12" i="137" s="1"/>
  <c r="S64" i="181"/>
  <c r="G124" i="110"/>
  <c r="R124" i="110" s="1"/>
  <c r="R329" i="110" s="1"/>
  <c r="CM29" i="188"/>
  <c r="CM130" i="188" s="1"/>
  <c r="BL80" i="188"/>
  <c r="BE97" i="188"/>
  <c r="CL117" i="188"/>
  <c r="CD60" i="188"/>
  <c r="DK60" i="188"/>
  <c r="CK60" i="188"/>
  <c r="DC60" i="188"/>
  <c r="DH60" i="188"/>
  <c r="CC60" i="188"/>
  <c r="DI60" i="188"/>
  <c r="DJ60" i="188"/>
  <c r="CH60" i="188"/>
  <c r="CE60" i="188"/>
  <c r="DA60" i="188"/>
  <c r="CZ60" i="188"/>
  <c r="DD60" i="188"/>
  <c r="DB60" i="188"/>
  <c r="DF60" i="188"/>
  <c r="CF60" i="188"/>
  <c r="CA60" i="188"/>
  <c r="K60" i="188"/>
  <c r="CB60" i="188"/>
  <c r="BZ60" i="188"/>
  <c r="CI60" i="188"/>
  <c r="CJ60" i="188"/>
  <c r="CG60" i="188"/>
  <c r="DE60" i="188"/>
  <c r="CL34" i="188"/>
  <c r="AY74" i="188"/>
  <c r="CH27" i="188"/>
  <c r="CU27" i="188"/>
  <c r="BU29" i="188"/>
  <c r="BU130" i="188" s="1"/>
  <c r="BY27" i="188"/>
  <c r="CQ130" i="188"/>
  <c r="CZ127" i="188"/>
  <c r="DL123" i="188"/>
  <c r="DL126" i="188"/>
  <c r="DG127" i="188"/>
  <c r="BL27" i="188"/>
  <c r="H63" i="192"/>
  <c r="CL123" i="188"/>
  <c r="CB127" i="188"/>
  <c r="DL7" i="188"/>
  <c r="S50" i="35"/>
  <c r="BL30" i="188"/>
  <c r="R87" i="192"/>
  <c r="F92" i="192"/>
  <c r="CA64" i="188"/>
  <c r="J64" i="188"/>
  <c r="CC64" i="188"/>
  <c r="BZ64" i="188"/>
  <c r="CH64" i="188"/>
  <c r="CK64" i="188"/>
  <c r="CJ64" i="188"/>
  <c r="CE64" i="188"/>
  <c r="CF64" i="188"/>
  <c r="CB64" i="188"/>
  <c r="CD64" i="188"/>
  <c r="CG64" i="188"/>
  <c r="AC14" i="188"/>
  <c r="DM28" i="188"/>
  <c r="DM29" i="188" s="1"/>
  <c r="DM130" i="188" s="1"/>
  <c r="M153" i="137"/>
  <c r="CG30" i="188"/>
  <c r="J30" i="188"/>
  <c r="CF30" i="188"/>
  <c r="CJ30" i="188"/>
  <c r="BZ30" i="188"/>
  <c r="CD30" i="188"/>
  <c r="CA30" i="188"/>
  <c r="CI30" i="188"/>
  <c r="CB30" i="188"/>
  <c r="CH30" i="188"/>
  <c r="CK30" i="188"/>
  <c r="CC30" i="188"/>
  <c r="CE30" i="188"/>
  <c r="CG69" i="188"/>
  <c r="CB69" i="188"/>
  <c r="CK69" i="188"/>
  <c r="CI69" i="188"/>
  <c r="CH69" i="188"/>
  <c r="CA69" i="188"/>
  <c r="CC69" i="188"/>
  <c r="CD69" i="188"/>
  <c r="CE69" i="188"/>
  <c r="CF69" i="188"/>
  <c r="BZ69" i="188"/>
  <c r="J69" i="188"/>
  <c r="CJ69" i="188"/>
  <c r="AM130" i="188"/>
  <c r="AO130" i="188"/>
  <c r="CL125" i="188"/>
  <c r="BA29" i="188"/>
  <c r="BV130" i="188"/>
  <c r="F63" i="192"/>
  <c r="CK93" i="188"/>
  <c r="CG93" i="188"/>
  <c r="CD93" i="188"/>
  <c r="CF93" i="188"/>
  <c r="J93" i="188"/>
  <c r="CI93" i="188"/>
  <c r="CJ93" i="188"/>
  <c r="CA93" i="188"/>
  <c r="CE93" i="188"/>
  <c r="CB93" i="188"/>
  <c r="CC93" i="188"/>
  <c r="BZ71" i="188"/>
  <c r="CK71" i="188"/>
  <c r="CG71" i="188"/>
  <c r="CH71" i="188"/>
  <c r="CD71" i="188"/>
  <c r="CC71" i="188"/>
  <c r="CE71" i="188"/>
  <c r="CF71" i="188"/>
  <c r="J71" i="188"/>
  <c r="CB71" i="188"/>
  <c r="CI71" i="188"/>
  <c r="CA71" i="188"/>
  <c r="CJ71" i="188"/>
  <c r="N41" i="175"/>
  <c r="M45" i="175"/>
  <c r="M46" i="175" s="1"/>
  <c r="M10" i="175"/>
  <c r="AA8" i="119"/>
  <c r="BL40" i="188"/>
  <c r="AL123" i="188"/>
  <c r="AL127" i="188" s="1"/>
  <c r="AE127" i="188"/>
  <c r="AL50" i="188"/>
  <c r="AL74" i="188" s="1"/>
  <c r="AF74" i="188"/>
  <c r="J17" i="199"/>
  <c r="L64" i="133"/>
  <c r="L84" i="133" s="1"/>
  <c r="BC74" i="188"/>
  <c r="EL26" i="188"/>
  <c r="CI63" i="188"/>
  <c r="CG63" i="188"/>
  <c r="CJ63" i="188"/>
  <c r="CB63" i="188"/>
  <c r="J63" i="188"/>
  <c r="CH63" i="188"/>
  <c r="BZ63" i="188"/>
  <c r="CA63" i="188"/>
  <c r="CK63" i="188"/>
  <c r="CF63" i="188"/>
  <c r="CE63" i="188"/>
  <c r="CC63" i="188"/>
  <c r="DJ117" i="188"/>
  <c r="DB117" i="188"/>
  <c r="K117" i="188"/>
  <c r="DG117" i="188"/>
  <c r="DA117" i="188"/>
  <c r="DD117" i="188"/>
  <c r="DF117" i="188"/>
  <c r="DI117" i="188"/>
  <c r="DK117" i="188"/>
  <c r="DE117" i="188"/>
  <c r="CX130" i="188"/>
  <c r="DW29" i="188"/>
  <c r="DW130" i="188" s="1"/>
  <c r="EJ27" i="188"/>
  <c r="DL24" i="188"/>
  <c r="BX130" i="188"/>
  <c r="AA130" i="188"/>
  <c r="AA132" i="188" s="1"/>
  <c r="DY127" i="188"/>
  <c r="CE12" i="188"/>
  <c r="CD12" i="188"/>
  <c r="CH12" i="188"/>
  <c r="CA12" i="188"/>
  <c r="CG12" i="188"/>
  <c r="CB12" i="188"/>
  <c r="CC12" i="188"/>
  <c r="CK12" i="188"/>
  <c r="J12" i="188"/>
  <c r="CJ12" i="188"/>
  <c r="BZ12" i="188"/>
  <c r="BL92" i="188"/>
  <c r="BL63" i="188"/>
  <c r="O27" i="138"/>
  <c r="AR130" i="188"/>
  <c r="DY97" i="188"/>
  <c r="AZ74" i="188"/>
  <c r="EL85" i="188"/>
  <c r="DL26" i="188"/>
  <c r="P19" i="157"/>
  <c r="EC24" i="188"/>
  <c r="EL20" i="188"/>
  <c r="BB127" i="188"/>
  <c r="BL123" i="188"/>
  <c r="EL123" i="188"/>
  <c r="EA127" i="188"/>
  <c r="F67" i="192"/>
  <c r="F106" i="192" s="1"/>
  <c r="R66" i="192"/>
  <c r="CI64" i="188"/>
  <c r="AL24" i="188"/>
  <c r="BL93" i="188"/>
  <c r="AU130" i="188"/>
  <c r="EL125" i="188"/>
  <c r="ED127" i="188"/>
  <c r="EL5" i="188"/>
  <c r="F210" i="110"/>
  <c r="G210" i="110" s="1"/>
  <c r="Y21" i="119"/>
  <c r="H64" i="133"/>
  <c r="BG74" i="188"/>
  <c r="P10" i="157"/>
  <c r="CH92" i="188"/>
  <c r="BZ92" i="188"/>
  <c r="CA92" i="188"/>
  <c r="J92" i="188"/>
  <c r="CG92" i="188"/>
  <c r="CF92" i="188"/>
  <c r="CK92" i="188"/>
  <c r="CC92" i="188"/>
  <c r="CE92" i="188"/>
  <c r="CI92" i="188"/>
  <c r="CJ92" i="188"/>
  <c r="CB92" i="188"/>
  <c r="BQ130" i="188"/>
  <c r="BN29" i="188"/>
  <c r="BN130" i="188" s="1"/>
  <c r="CN28" i="188"/>
  <c r="DL90" i="188"/>
  <c r="DY122" i="188"/>
  <c r="I50" i="192"/>
  <c r="H56" i="192"/>
  <c r="DL124" i="188"/>
  <c r="DA127" i="188"/>
  <c r="F36" i="192"/>
  <c r="F100" i="192"/>
  <c r="F101" i="192" s="1"/>
  <c r="BL12" i="188"/>
  <c r="BY97" i="188"/>
  <c r="BL64" i="188"/>
  <c r="BZ93" i="188"/>
  <c r="BJ97" i="188"/>
  <c r="BL24" i="188"/>
  <c r="DL5" i="188"/>
  <c r="CY74" i="188"/>
  <c r="G13" i="133"/>
  <c r="N152" i="137"/>
  <c r="N153" i="137" s="1"/>
  <c r="O146" i="137"/>
  <c r="H98" i="192"/>
  <c r="S73" i="35"/>
  <c r="DY74" i="188"/>
  <c r="BL60" i="188"/>
  <c r="AL107" i="188"/>
  <c r="BL31" i="188"/>
  <c r="CL57" i="188"/>
  <c r="O8" i="175"/>
  <c r="CY97" i="188"/>
  <c r="P5" i="192"/>
  <c r="O60" i="192"/>
  <c r="D14" i="193"/>
  <c r="AL10" i="188"/>
  <c r="R40" i="124"/>
  <c r="DJ32" i="188"/>
  <c r="DI32" i="188"/>
  <c r="DD32" i="188"/>
  <c r="DE32" i="188"/>
  <c r="K32" i="188"/>
  <c r="DK32" i="188"/>
  <c r="DG32" i="188"/>
  <c r="DA32" i="188"/>
  <c r="DC32" i="188"/>
  <c r="DB32" i="188"/>
  <c r="DF32" i="188"/>
  <c r="DH32" i="188"/>
  <c r="CZ32" i="188"/>
  <c r="S64" i="133"/>
  <c r="S84" i="133" s="1"/>
  <c r="DT28" i="188"/>
  <c r="CT29" i="188"/>
  <c r="CT130" i="188" s="1"/>
  <c r="DG28" i="188"/>
  <c r="ED29" i="188"/>
  <c r="L153" i="137"/>
  <c r="G74" i="192"/>
  <c r="F74" i="192"/>
  <c r="H74" i="192"/>
  <c r="D73" i="192"/>
  <c r="R22" i="180"/>
  <c r="CL32" i="188"/>
  <c r="I75" i="35"/>
  <c r="I76" i="35" s="1"/>
  <c r="I13" i="206" s="1"/>
  <c r="J13" i="206" s="1"/>
  <c r="H75" i="35"/>
  <c r="AX5" i="133"/>
  <c r="AW44" i="133"/>
  <c r="AY10" i="133"/>
  <c r="AY49" i="133" s="1"/>
  <c r="R63" i="133"/>
  <c r="Q64" i="133"/>
  <c r="Q84" i="133" s="1"/>
  <c r="AI45" i="133"/>
  <c r="AI47" i="133" s="1"/>
  <c r="AI87" i="133" s="1"/>
  <c r="AG47" i="133"/>
  <c r="AG87" i="133" s="1"/>
  <c r="AJ6" i="133"/>
  <c r="AK6" i="133" s="1"/>
  <c r="F97" i="133"/>
  <c r="C56" i="138"/>
  <c r="O64" i="133"/>
  <c r="O84" i="133" s="1"/>
  <c r="U20" i="133"/>
  <c r="V17" i="133"/>
  <c r="U57" i="133"/>
  <c r="U60" i="133" s="1"/>
  <c r="U88" i="133" s="1"/>
  <c r="U89" i="133" s="1"/>
  <c r="T24" i="133"/>
  <c r="T25" i="133" s="1"/>
  <c r="T95" i="133" s="1"/>
  <c r="T64" i="133"/>
  <c r="T84" i="133" s="1"/>
  <c r="U22" i="133"/>
  <c r="V22" i="133" s="1"/>
  <c r="V24" i="133" s="1"/>
  <c r="AK49" i="133"/>
  <c r="AL10" i="133"/>
  <c r="J46" i="133"/>
  <c r="BE115" i="133"/>
  <c r="S21" i="119"/>
  <c r="L46" i="133"/>
  <c r="R95" i="133"/>
  <c r="AK44" i="133"/>
  <c r="AL5" i="133"/>
  <c r="AN23" i="133"/>
  <c r="AM63" i="133"/>
  <c r="I45" i="133"/>
  <c r="Y63" i="133"/>
  <c r="Z23" i="133"/>
  <c r="AZ63" i="133"/>
  <c r="BA23" i="133"/>
  <c r="Y9" i="133"/>
  <c r="X48" i="133"/>
  <c r="Y6" i="133"/>
  <c r="X45" i="133"/>
  <c r="AR115" i="133"/>
  <c r="AH20" i="133"/>
  <c r="AI17" i="133"/>
  <c r="R25" i="133"/>
  <c r="AI117" i="133"/>
  <c r="AR117" i="133" s="1"/>
  <c r="T60" i="133"/>
  <c r="T88" i="133" s="1"/>
  <c r="T89" i="133" s="1"/>
  <c r="R115" i="133"/>
  <c r="I5" i="133"/>
  <c r="H44" i="133"/>
  <c r="H8" i="133"/>
  <c r="AL18" i="133"/>
  <c r="Y5" i="133"/>
  <c r="X44" i="133"/>
  <c r="AW20" i="133"/>
  <c r="AX17" i="133"/>
  <c r="AL19" i="133"/>
  <c r="AK59" i="133"/>
  <c r="AZ19" i="133"/>
  <c r="AY59" i="133"/>
  <c r="W21" i="133"/>
  <c r="V61" i="133"/>
  <c r="Y10" i="133"/>
  <c r="X49" i="133"/>
  <c r="AD18" i="133"/>
  <c r="AH127" i="133"/>
  <c r="AI121" i="133"/>
  <c r="I12" i="133"/>
  <c r="J9" i="133"/>
  <c r="I48" i="133"/>
  <c r="I51" i="133" s="1"/>
  <c r="S95" i="133"/>
  <c r="AX9" i="133"/>
  <c r="AW48" i="133"/>
  <c r="Z19" i="133"/>
  <c r="Y59" i="133"/>
  <c r="AE115" i="133"/>
  <c r="AK9" i="133"/>
  <c r="AJ48" i="133"/>
  <c r="AO21" i="133"/>
  <c r="AN61" i="133"/>
  <c r="H17" i="199"/>
  <c r="H22" i="199"/>
  <c r="H23" i="199" s="1"/>
  <c r="H25" i="199" s="1"/>
  <c r="G17" i="199"/>
  <c r="G22" i="199"/>
  <c r="G23" i="199" s="1"/>
  <c r="G25" i="199" s="1"/>
  <c r="K22" i="199"/>
  <c r="K23" i="199" s="1"/>
  <c r="K25" i="199" s="1"/>
  <c r="K17" i="199"/>
  <c r="S38" i="181"/>
  <c r="V389" i="110"/>
  <c r="R117" i="133"/>
  <c r="AP121" i="133"/>
  <c r="AO127" i="133"/>
  <c r="W121" i="133"/>
  <c r="V127" i="133"/>
  <c r="W117" i="133"/>
  <c r="AE117" i="133" s="1"/>
  <c r="O21" i="119"/>
  <c r="BC121" i="133"/>
  <c r="BB127" i="133"/>
  <c r="BE117" i="133"/>
  <c r="M55" i="35"/>
  <c r="T24" i="119"/>
  <c r="BE61" i="133"/>
  <c r="F60" i="133"/>
  <c r="N60" i="133"/>
  <c r="N88" i="133" s="1"/>
  <c r="R61" i="133"/>
  <c r="L60" i="133"/>
  <c r="AU60" i="133"/>
  <c r="AU88" i="133" s="1"/>
  <c r="K60" i="133"/>
  <c r="K88" i="133" s="1"/>
  <c r="R58" i="133"/>
  <c r="BE58" i="133"/>
  <c r="G60" i="133"/>
  <c r="H60" i="133"/>
  <c r="AH60" i="133"/>
  <c r="AH88" i="133" s="1"/>
  <c r="AH89" i="133" s="1"/>
  <c r="M60" i="133"/>
  <c r="M88" i="133" s="1"/>
  <c r="AV60" i="133"/>
  <c r="AW60" i="133"/>
  <c r="S60" i="133"/>
  <c r="R57" i="133"/>
  <c r="AF60" i="133"/>
  <c r="AT60" i="133"/>
  <c r="Q60" i="133"/>
  <c r="I60" i="133"/>
  <c r="P60" i="133"/>
  <c r="O60" i="133"/>
  <c r="AS60" i="133"/>
  <c r="AG60" i="133"/>
  <c r="I22" i="199"/>
  <c r="I23" i="199" s="1"/>
  <c r="I25" i="199" s="1"/>
  <c r="I17" i="199"/>
  <c r="F22" i="199"/>
  <c r="F17" i="199"/>
  <c r="S16" i="199"/>
  <c r="R16" i="199"/>
  <c r="G76" i="181"/>
  <c r="G50" i="181" s="1"/>
  <c r="H123" i="110"/>
  <c r="AB123" i="110" s="1"/>
  <c r="AE123" i="110" s="1"/>
  <c r="I123" i="110"/>
  <c r="AC123" i="110" s="1"/>
  <c r="AF123" i="110" s="1"/>
  <c r="F209" i="110"/>
  <c r="H209" i="110" s="1"/>
  <c r="AB209" i="110" s="1"/>
  <c r="AE209" i="110" s="1"/>
  <c r="K252" i="110"/>
  <c r="R381" i="110"/>
  <c r="R382" i="110" s="1"/>
  <c r="R271" i="110" s="1"/>
  <c r="R272" i="110" s="1"/>
  <c r="H131" i="110"/>
  <c r="AB131" i="110" s="1"/>
  <c r="AE131" i="110" s="1"/>
  <c r="J381" i="110"/>
  <c r="J382" i="110" s="1"/>
  <c r="J271" i="110" s="1"/>
  <c r="J272" i="110" s="1"/>
  <c r="F217" i="110"/>
  <c r="G217" i="110" s="1"/>
  <c r="AA217" i="110" s="1"/>
  <c r="AD217" i="110" s="1"/>
  <c r="M381" i="110"/>
  <c r="M382" i="110" s="1"/>
  <c r="M271" i="110" s="1"/>
  <c r="M272" i="110" s="1"/>
  <c r="G95" i="137"/>
  <c r="G141" i="137"/>
  <c r="G121" i="137"/>
  <c r="Q53" i="181"/>
  <c r="X223" i="58"/>
  <c r="X113" i="58"/>
  <c r="V224" i="58"/>
  <c r="G106" i="137"/>
  <c r="P119" i="193"/>
  <c r="P252" i="110"/>
  <c r="L381" i="110"/>
  <c r="L382" i="110" s="1"/>
  <c r="L271" i="110" s="1"/>
  <c r="L272" i="110" s="1"/>
  <c r="F220" i="110"/>
  <c r="G220" i="110" s="1"/>
  <c r="AA220" i="110" s="1"/>
  <c r="AD220" i="110" s="1"/>
  <c r="O381" i="110"/>
  <c r="O382" i="110" s="1"/>
  <c r="O271" i="110" s="1"/>
  <c r="O272" i="110" s="1"/>
  <c r="G134" i="110"/>
  <c r="K134" i="110" s="1"/>
  <c r="M46" i="137" s="1"/>
  <c r="P364" i="110"/>
  <c r="V368" i="110"/>
  <c r="F243" i="110"/>
  <c r="G243" i="110" s="1"/>
  <c r="AA243" i="110" s="1"/>
  <c r="AD243" i="110" s="1"/>
  <c r="H157" i="110"/>
  <c r="AB157" i="110" s="1"/>
  <c r="AE157" i="110" s="1"/>
  <c r="AA106" i="110"/>
  <c r="AD106" i="110" s="1"/>
  <c r="M106" i="110"/>
  <c r="U106" i="110"/>
  <c r="U311" i="110" s="1"/>
  <c r="T106" i="110"/>
  <c r="T311" i="110" s="1"/>
  <c r="L106" i="110"/>
  <c r="L311" i="110" s="1"/>
  <c r="O106" i="110"/>
  <c r="Q22" i="137" s="1"/>
  <c r="R106" i="110"/>
  <c r="R311" i="110" s="1"/>
  <c r="N106" i="110"/>
  <c r="P22" i="137" s="1"/>
  <c r="S106" i="110"/>
  <c r="S311" i="110" s="1"/>
  <c r="J106" i="110"/>
  <c r="L22" i="137" s="1"/>
  <c r="P106" i="110"/>
  <c r="K106" i="110"/>
  <c r="M22" i="137" s="1"/>
  <c r="Q106" i="110"/>
  <c r="S22" i="137" s="1"/>
  <c r="U108" i="110"/>
  <c r="W24" i="137" s="1"/>
  <c r="L108" i="110"/>
  <c r="N24" i="137" s="1"/>
  <c r="M108" i="110"/>
  <c r="M313" i="110" s="1"/>
  <c r="T108" i="110"/>
  <c r="V24" i="137" s="1"/>
  <c r="J108" i="110"/>
  <c r="L24" i="137" s="1"/>
  <c r="Q108" i="110"/>
  <c r="Q313" i="110" s="1"/>
  <c r="R108" i="110"/>
  <c r="R313" i="110" s="1"/>
  <c r="S108" i="110"/>
  <c r="S313" i="110" s="1"/>
  <c r="P108" i="110"/>
  <c r="R24" i="137" s="1"/>
  <c r="O108" i="110"/>
  <c r="O313" i="110" s="1"/>
  <c r="K108" i="110"/>
  <c r="M24" i="137" s="1"/>
  <c r="N108" i="110"/>
  <c r="P24" i="137" s="1"/>
  <c r="AA114" i="110"/>
  <c r="AD114" i="110" s="1"/>
  <c r="AC114" i="110"/>
  <c r="AF114" i="110" s="1"/>
  <c r="AA121" i="110"/>
  <c r="AD121" i="110" s="1"/>
  <c r="Q121" i="110"/>
  <c r="P121" i="110"/>
  <c r="T121" i="110"/>
  <c r="U121" i="110"/>
  <c r="K121" i="110"/>
  <c r="J121" i="110"/>
  <c r="J207" i="110" s="1"/>
  <c r="N121" i="110"/>
  <c r="L121" i="110"/>
  <c r="M121" i="110"/>
  <c r="O121" i="110"/>
  <c r="S121" i="110"/>
  <c r="R121" i="110"/>
  <c r="Q381" i="110"/>
  <c r="Q382" i="110" s="1"/>
  <c r="Q271" i="110" s="1"/>
  <c r="Q272" i="110" s="1"/>
  <c r="Q105" i="110"/>
  <c r="S21" i="137" s="1"/>
  <c r="P105" i="110"/>
  <c r="R21" i="137" s="1"/>
  <c r="N105" i="110"/>
  <c r="N310" i="110" s="1"/>
  <c r="J105" i="110"/>
  <c r="J310" i="110" s="1"/>
  <c r="O105" i="110"/>
  <c r="O310" i="110" s="1"/>
  <c r="K105" i="110"/>
  <c r="R105" i="110"/>
  <c r="T21" i="137" s="1"/>
  <c r="S105" i="110"/>
  <c r="U21" i="137" s="1"/>
  <c r="L105" i="110"/>
  <c r="N21" i="137" s="1"/>
  <c r="M105" i="110"/>
  <c r="M310" i="110" s="1"/>
  <c r="T105" i="110"/>
  <c r="V21" i="137" s="1"/>
  <c r="U105" i="110"/>
  <c r="U310" i="110" s="1"/>
  <c r="M116" i="110"/>
  <c r="M321" i="110" s="1"/>
  <c r="U116" i="110"/>
  <c r="T116" i="110"/>
  <c r="T202" i="110" s="1"/>
  <c r="L116" i="110"/>
  <c r="L387" i="110" s="1"/>
  <c r="Q116" i="110"/>
  <c r="Q202" i="110" s="1"/>
  <c r="O116" i="110"/>
  <c r="S116" i="110"/>
  <c r="P116" i="110"/>
  <c r="R116" i="110"/>
  <c r="N116" i="110"/>
  <c r="P30" i="137" s="1"/>
  <c r="K116" i="110"/>
  <c r="K321" i="110" s="1"/>
  <c r="J116" i="110"/>
  <c r="P117" i="110"/>
  <c r="P203" i="110" s="1"/>
  <c r="Q117" i="110"/>
  <c r="R117" i="110"/>
  <c r="K117" i="110"/>
  <c r="M31" i="137" s="1"/>
  <c r="S117" i="110"/>
  <c r="O117" i="110"/>
  <c r="L117" i="110"/>
  <c r="N31" i="137" s="1"/>
  <c r="M117" i="110"/>
  <c r="O31" i="137" s="1"/>
  <c r="T117" i="110"/>
  <c r="U117" i="110"/>
  <c r="J117" i="110"/>
  <c r="N117" i="110"/>
  <c r="P31" i="137" s="1"/>
  <c r="AA119" i="110"/>
  <c r="AD119" i="110" s="1"/>
  <c r="AC119" i="110"/>
  <c r="AF119" i="110" s="1"/>
  <c r="Q109" i="110"/>
  <c r="Q195" i="110" s="1"/>
  <c r="P109" i="110"/>
  <c r="R25" i="137" s="1"/>
  <c r="O109" i="110"/>
  <c r="O195" i="110" s="1"/>
  <c r="R109" i="110"/>
  <c r="R195" i="110" s="1"/>
  <c r="L109" i="110"/>
  <c r="N25" i="137" s="1"/>
  <c r="M109" i="110"/>
  <c r="O25" i="137" s="1"/>
  <c r="T109" i="110"/>
  <c r="V25" i="137" s="1"/>
  <c r="U109" i="110"/>
  <c r="W25" i="137" s="1"/>
  <c r="N109" i="110"/>
  <c r="N314" i="110" s="1"/>
  <c r="K109" i="110"/>
  <c r="S109" i="110"/>
  <c r="U25" i="137" s="1"/>
  <c r="J109" i="110"/>
  <c r="J314" i="110" s="1"/>
  <c r="AB118" i="110"/>
  <c r="AE118" i="110" s="1"/>
  <c r="AC118" i="110"/>
  <c r="AF118" i="110" s="1"/>
  <c r="Q113" i="110"/>
  <c r="P113" i="110"/>
  <c r="T113" i="110"/>
  <c r="T199" i="110" s="1"/>
  <c r="O113" i="110"/>
  <c r="R113" i="110"/>
  <c r="L113" i="110"/>
  <c r="N27" i="137" s="1"/>
  <c r="J113" i="110"/>
  <c r="M113" i="110"/>
  <c r="M199" i="110" s="1"/>
  <c r="K113" i="110"/>
  <c r="M27" i="137" s="1"/>
  <c r="S113" i="110"/>
  <c r="S199" i="110" s="1"/>
  <c r="U113" i="110"/>
  <c r="N113" i="110"/>
  <c r="N318" i="110" s="1"/>
  <c r="V369" i="110"/>
  <c r="I134" i="110"/>
  <c r="AC134" i="110" s="1"/>
  <c r="AF134" i="110" s="1"/>
  <c r="AA202" i="110"/>
  <c r="AD202" i="110" s="1"/>
  <c r="F179" i="110"/>
  <c r="G179" i="110" s="1"/>
  <c r="U126" i="110"/>
  <c r="W38" i="137" s="1"/>
  <c r="T126" i="110"/>
  <c r="V38" i="137" s="1"/>
  <c r="G93" i="110"/>
  <c r="K93" i="110" s="1"/>
  <c r="R126" i="110"/>
  <c r="T38" i="137" s="1"/>
  <c r="H93" i="110"/>
  <c r="AB93" i="110" s="1"/>
  <c r="AE93" i="110" s="1"/>
  <c r="G225" i="110"/>
  <c r="AA225" i="110" s="1"/>
  <c r="AD225" i="110" s="1"/>
  <c r="V372" i="110"/>
  <c r="K381" i="110"/>
  <c r="K382" i="110" s="1"/>
  <c r="K271" i="110" s="1"/>
  <c r="K272" i="110" s="1"/>
  <c r="AB114" i="110"/>
  <c r="AE114" i="110" s="1"/>
  <c r="N381" i="110"/>
  <c r="N382" i="110" s="1"/>
  <c r="N271" i="110" s="1"/>
  <c r="N272" i="110" s="1"/>
  <c r="P126" i="110"/>
  <c r="R38" i="137" s="1"/>
  <c r="P381" i="110"/>
  <c r="P382" i="110" s="1"/>
  <c r="P271" i="110" s="1"/>
  <c r="P272" i="110" s="1"/>
  <c r="L126" i="110"/>
  <c r="L331" i="110" s="1"/>
  <c r="K126" i="110"/>
  <c r="K331" i="110" s="1"/>
  <c r="V378" i="110"/>
  <c r="J100" i="110"/>
  <c r="J305" i="110" s="1"/>
  <c r="R100" i="110"/>
  <c r="T16" i="137" s="1"/>
  <c r="K100" i="110"/>
  <c r="M16" i="137" s="1"/>
  <c r="L100" i="110"/>
  <c r="K15" i="181" s="1"/>
  <c r="K38" i="181"/>
  <c r="U100" i="110"/>
  <c r="W16" i="137" s="1"/>
  <c r="M100" i="110"/>
  <c r="M305" i="110" s="1"/>
  <c r="AB205" i="110"/>
  <c r="AE205" i="110" s="1"/>
  <c r="P100" i="110"/>
  <c r="P305" i="110" s="1"/>
  <c r="N100" i="110"/>
  <c r="P16" i="137" s="1"/>
  <c r="O100" i="110"/>
  <c r="Q16" i="137" s="1"/>
  <c r="G223" i="110"/>
  <c r="AA223" i="110" s="1"/>
  <c r="AD223" i="110" s="1"/>
  <c r="T100" i="110"/>
  <c r="V16" i="137" s="1"/>
  <c r="T381" i="110"/>
  <c r="T382" i="110" s="1"/>
  <c r="T271" i="110" s="1"/>
  <c r="T272" i="110" s="1"/>
  <c r="AC200" i="110"/>
  <c r="AF200" i="110" s="1"/>
  <c r="H211" i="110"/>
  <c r="AB211" i="110" s="1"/>
  <c r="AE211" i="110" s="1"/>
  <c r="I157" i="110"/>
  <c r="AC157" i="110" s="1"/>
  <c r="AF157" i="110" s="1"/>
  <c r="F226" i="110"/>
  <c r="I226" i="110" s="1"/>
  <c r="AC226" i="110" s="1"/>
  <c r="AF226" i="110" s="1"/>
  <c r="H140" i="110"/>
  <c r="AB140" i="110" s="1"/>
  <c r="AE140" i="110" s="1"/>
  <c r="K146" i="110"/>
  <c r="M58" i="137" s="1"/>
  <c r="H152" i="110"/>
  <c r="AB152" i="110" s="1"/>
  <c r="AE152" i="110" s="1"/>
  <c r="I140" i="110"/>
  <c r="AC140" i="110" s="1"/>
  <c r="AF140" i="110" s="1"/>
  <c r="K125" i="110"/>
  <c r="K211" i="110" s="1"/>
  <c r="Q125" i="110"/>
  <c r="S37" i="137" s="1"/>
  <c r="V380" i="110"/>
  <c r="U381" i="110"/>
  <c r="U382" i="110" s="1"/>
  <c r="U271" i="110" s="1"/>
  <c r="U272" i="110" s="1"/>
  <c r="V263" i="110"/>
  <c r="I152" i="110"/>
  <c r="AC152" i="110" s="1"/>
  <c r="AF152" i="110" s="1"/>
  <c r="H232" i="110"/>
  <c r="AB232" i="110" s="1"/>
  <c r="AE232" i="110" s="1"/>
  <c r="V371" i="110"/>
  <c r="S84" i="110"/>
  <c r="H102" i="110"/>
  <c r="AB102" i="110" s="1"/>
  <c r="AE102" i="110" s="1"/>
  <c r="R125" i="110"/>
  <c r="T37" i="137" s="1"/>
  <c r="AB119" i="110"/>
  <c r="AE119" i="110" s="1"/>
  <c r="S125" i="110"/>
  <c r="S211" i="110" s="1"/>
  <c r="G90" i="110"/>
  <c r="I90" i="110"/>
  <c r="AC90" i="110" s="1"/>
  <c r="AF90" i="110" s="1"/>
  <c r="F176" i="110"/>
  <c r="H90" i="110"/>
  <c r="AB90" i="110" s="1"/>
  <c r="AE90" i="110" s="1"/>
  <c r="L145" i="110"/>
  <c r="L350" i="110" s="1"/>
  <c r="AA145" i="110"/>
  <c r="AD145" i="110" s="1"/>
  <c r="AC5" i="110"/>
  <c r="AF5" i="110" s="1"/>
  <c r="O449" i="110" a="1"/>
  <c r="O449" i="110" s="1"/>
  <c r="K16" i="124" s="1"/>
  <c r="K23" i="124" s="1"/>
  <c r="J450" i="110" a="1"/>
  <c r="J450" i="110" s="1"/>
  <c r="F17" i="124" s="1"/>
  <c r="F26" i="124" s="1"/>
  <c r="F39" i="124" s="1"/>
  <c r="F41" i="124" s="1"/>
  <c r="P449" i="110" a="1"/>
  <c r="P449" i="110" s="1"/>
  <c r="L16" i="124" s="1"/>
  <c r="R450" i="110" a="1"/>
  <c r="R450" i="110" s="1"/>
  <c r="N17" i="124" s="1"/>
  <c r="N26" i="124" s="1"/>
  <c r="N28" i="124" s="1"/>
  <c r="S450" i="110" a="1"/>
  <c r="S450" i="110" s="1"/>
  <c r="O17" i="124" s="1"/>
  <c r="O26" i="124" s="1"/>
  <c r="O28" i="124" s="1"/>
  <c r="U450" i="110" a="1"/>
  <c r="U450" i="110" s="1"/>
  <c r="Q17" i="124" s="1"/>
  <c r="Q26" i="124" s="1"/>
  <c r="Q28" i="124" s="1"/>
  <c r="U449" i="110" a="1"/>
  <c r="U449" i="110" s="1"/>
  <c r="Q16" i="124" s="1"/>
  <c r="Q23" i="124" s="1"/>
  <c r="T449" i="110" a="1"/>
  <c r="T449" i="110" s="1"/>
  <c r="P16" i="124" s="1"/>
  <c r="P23" i="124" s="1"/>
  <c r="O450" i="110" a="1"/>
  <c r="O450" i="110" s="1"/>
  <c r="K17" i="124" s="1"/>
  <c r="K26" i="124" s="1"/>
  <c r="K28" i="124" s="1"/>
  <c r="N450" i="110" a="1"/>
  <c r="N450" i="110" s="1"/>
  <c r="T450" i="110" a="1"/>
  <c r="T450" i="110" s="1"/>
  <c r="P17" i="124" s="1"/>
  <c r="P26" i="124" s="1"/>
  <c r="P39" i="124" s="1"/>
  <c r="P41" i="124" s="1"/>
  <c r="M450" i="110" a="1"/>
  <c r="M450" i="110" s="1"/>
  <c r="I17" i="124" s="1"/>
  <c r="I26" i="124" s="1"/>
  <c r="I39" i="124" s="1"/>
  <c r="I41" i="124" s="1"/>
  <c r="K449" i="110" a="1"/>
  <c r="K449" i="110" s="1"/>
  <c r="G16" i="124" s="1"/>
  <c r="Q450" i="110" a="1"/>
  <c r="Q450" i="110" s="1"/>
  <c r="M17" i="124" s="1"/>
  <c r="M26" i="124" s="1"/>
  <c r="M28" i="124" s="1"/>
  <c r="K450" i="110" a="1"/>
  <c r="K450" i="110" s="1"/>
  <c r="G17" i="124" s="1"/>
  <c r="G26" i="124" s="1"/>
  <c r="G39" i="124" s="1"/>
  <c r="G41" i="124" s="1"/>
  <c r="L449" i="110" a="1"/>
  <c r="L449" i="110" s="1"/>
  <c r="H16" i="124" s="1"/>
  <c r="R449" i="110" a="1"/>
  <c r="R449" i="110" s="1"/>
  <c r="N16" i="124" s="1"/>
  <c r="N23" i="124" s="1"/>
  <c r="J449" i="110" a="1"/>
  <c r="J449" i="110" s="1"/>
  <c r="N449" i="110" a="1"/>
  <c r="N449" i="110" s="1"/>
  <c r="J16" i="124" s="1"/>
  <c r="M449" i="110" a="1"/>
  <c r="M449" i="110" s="1"/>
  <c r="P450" i="110" a="1"/>
  <c r="P450" i="110" s="1"/>
  <c r="L17" i="124" s="1"/>
  <c r="L26" i="124" s="1"/>
  <c r="L28" i="124" s="1"/>
  <c r="Q449" i="110" a="1"/>
  <c r="Q449" i="110" s="1"/>
  <c r="M16" i="124" s="1"/>
  <c r="M23" i="124" s="1"/>
  <c r="L450" i="110" a="1"/>
  <c r="L450" i="110" s="1"/>
  <c r="H17" i="124" s="1"/>
  <c r="H26" i="124" s="1"/>
  <c r="H28" i="124" s="1"/>
  <c r="S449" i="110" a="1"/>
  <c r="S449" i="110" s="1"/>
  <c r="O16" i="124" s="1"/>
  <c r="O23" i="124" s="1"/>
  <c r="P145" i="110"/>
  <c r="P231" i="110" s="1"/>
  <c r="S145" i="110"/>
  <c r="U57" i="137" s="1"/>
  <c r="R145" i="110"/>
  <c r="T57" i="137" s="1"/>
  <c r="S381" i="110"/>
  <c r="S382" i="110" s="1"/>
  <c r="S271" i="110" s="1"/>
  <c r="S272" i="110" s="1"/>
  <c r="G149" i="110"/>
  <c r="I149" i="110"/>
  <c r="AC149" i="110" s="1"/>
  <c r="AF149" i="110" s="1"/>
  <c r="H149" i="110"/>
  <c r="AB149" i="110" s="1"/>
  <c r="AE149" i="110" s="1"/>
  <c r="F235" i="110"/>
  <c r="V277" i="110"/>
  <c r="I102" i="110"/>
  <c r="AC102" i="110" s="1"/>
  <c r="AF102" i="110" s="1"/>
  <c r="K145" i="110"/>
  <c r="M57" i="137" s="1"/>
  <c r="N145" i="110"/>
  <c r="N231" i="110" s="1"/>
  <c r="Q145" i="110"/>
  <c r="S57" i="137" s="1"/>
  <c r="G102" i="110"/>
  <c r="S102" i="110" s="1"/>
  <c r="S307" i="110" s="1"/>
  <c r="T145" i="110"/>
  <c r="V57" i="137" s="1"/>
  <c r="O145" i="110"/>
  <c r="Q57" i="137" s="1"/>
  <c r="U145" i="110"/>
  <c r="W57" i="137" s="1"/>
  <c r="M145" i="110"/>
  <c r="O57" i="137" s="1"/>
  <c r="G186" i="110"/>
  <c r="AA186" i="110" s="1"/>
  <c r="AD186" i="110" s="1"/>
  <c r="V166" i="110"/>
  <c r="V370" i="110"/>
  <c r="T146" i="110"/>
  <c r="T351" i="110" s="1"/>
  <c r="S131" i="110"/>
  <c r="U43" i="137" s="1"/>
  <c r="T135" i="110"/>
  <c r="T340" i="110" s="1"/>
  <c r="AA135" i="110"/>
  <c r="AD135" i="110" s="1"/>
  <c r="K131" i="110"/>
  <c r="M43" i="137" s="1"/>
  <c r="K84" i="110"/>
  <c r="T53" i="181"/>
  <c r="P131" i="110"/>
  <c r="R43" i="137" s="1"/>
  <c r="L129" i="110"/>
  <c r="N41" i="137" s="1"/>
  <c r="S129" i="110"/>
  <c r="S334" i="110" s="1"/>
  <c r="L135" i="110"/>
  <c r="N47" i="137" s="1"/>
  <c r="J334" i="110"/>
  <c r="J135" i="110"/>
  <c r="J221" i="110" s="1"/>
  <c r="P135" i="110"/>
  <c r="P340" i="110" s="1"/>
  <c r="V365" i="110"/>
  <c r="R129" i="110"/>
  <c r="T41" i="137" s="1"/>
  <c r="Q129" i="110"/>
  <c r="S41" i="137" s="1"/>
  <c r="M131" i="110"/>
  <c r="O43" i="137" s="1"/>
  <c r="K135" i="110"/>
  <c r="M47" i="137" s="1"/>
  <c r="Q154" i="110"/>
  <c r="S66" i="137" s="1"/>
  <c r="R131" i="110"/>
  <c r="T43" i="137" s="1"/>
  <c r="N135" i="110"/>
  <c r="P47" i="137" s="1"/>
  <c r="AA131" i="110"/>
  <c r="AD131" i="110" s="1"/>
  <c r="S135" i="110"/>
  <c r="U47" i="137" s="1"/>
  <c r="M136" i="110"/>
  <c r="O48" i="137" s="1"/>
  <c r="U131" i="110"/>
  <c r="U336" i="110" s="1"/>
  <c r="L131" i="110"/>
  <c r="J131" i="110"/>
  <c r="L43" i="137" s="1"/>
  <c r="Q135" i="110"/>
  <c r="S47" i="137" s="1"/>
  <c r="N131" i="110"/>
  <c r="P43" i="137" s="1"/>
  <c r="U135" i="110"/>
  <c r="U221" i="110" s="1"/>
  <c r="R135" i="110"/>
  <c r="R340" i="110" s="1"/>
  <c r="O135" i="110"/>
  <c r="Q47" i="137" s="1"/>
  <c r="Q131" i="110"/>
  <c r="O131" i="110"/>
  <c r="O336" i="110" s="1"/>
  <c r="R136" i="110"/>
  <c r="T48" i="137" s="1"/>
  <c r="Q136" i="110"/>
  <c r="S48" i="137" s="1"/>
  <c r="AA129" i="110"/>
  <c r="AD129" i="110" s="1"/>
  <c r="M125" i="110"/>
  <c r="M330" i="110" s="1"/>
  <c r="O125" i="110"/>
  <c r="Q37" i="137" s="1"/>
  <c r="T125" i="110"/>
  <c r="V37" i="137" s="1"/>
  <c r="N125" i="110"/>
  <c r="P37" i="137" s="1"/>
  <c r="AA125" i="110"/>
  <c r="AD125" i="110" s="1"/>
  <c r="L125" i="110"/>
  <c r="N37" i="137" s="1"/>
  <c r="AA116" i="110"/>
  <c r="AD116" i="110" s="1"/>
  <c r="J125" i="110"/>
  <c r="J330" i="110" s="1"/>
  <c r="P125" i="110"/>
  <c r="P211" i="110" s="1"/>
  <c r="K333" i="110"/>
  <c r="G112" i="137"/>
  <c r="R146" i="110"/>
  <c r="T58" i="137" s="1"/>
  <c r="Q146" i="110"/>
  <c r="Q351" i="110" s="1"/>
  <c r="J158" i="110"/>
  <c r="J363" i="110" s="1"/>
  <c r="M158" i="110"/>
  <c r="M363" i="110" s="1"/>
  <c r="S138" i="110"/>
  <c r="U50" i="137" s="1"/>
  <c r="N146" i="110"/>
  <c r="N351" i="110" s="1"/>
  <c r="J97" i="110"/>
  <c r="L13" i="137" s="1"/>
  <c r="P158" i="110"/>
  <c r="P363" i="110" s="1"/>
  <c r="Q126" i="110"/>
  <c r="S38" i="137" s="1"/>
  <c r="U158" i="110"/>
  <c r="W70" i="137" s="1"/>
  <c r="P138" i="110"/>
  <c r="R50" i="137" s="1"/>
  <c r="M126" i="110"/>
  <c r="O38" i="137" s="1"/>
  <c r="K138" i="110"/>
  <c r="M50" i="137" s="1"/>
  <c r="S146" i="110"/>
  <c r="S351" i="110" s="1"/>
  <c r="S126" i="110"/>
  <c r="U38" i="137" s="1"/>
  <c r="O126" i="110"/>
  <c r="Q38" i="137" s="1"/>
  <c r="S137" i="110"/>
  <c r="S342" i="110" s="1"/>
  <c r="U139" i="110"/>
  <c r="U344" i="110" s="1"/>
  <c r="N137" i="110"/>
  <c r="N342" i="110" s="1"/>
  <c r="T139" i="110"/>
  <c r="T344" i="110" s="1"/>
  <c r="R139" i="110"/>
  <c r="R344" i="110" s="1"/>
  <c r="M139" i="110"/>
  <c r="O51" i="137" s="1"/>
  <c r="N158" i="110"/>
  <c r="P70" i="137" s="1"/>
  <c r="U123" i="110"/>
  <c r="U328" i="110" s="1"/>
  <c r="G101" i="137"/>
  <c r="K158" i="110"/>
  <c r="K363" i="110" s="1"/>
  <c r="J157" i="110"/>
  <c r="J362" i="110" s="1"/>
  <c r="Q139" i="110"/>
  <c r="S51" i="137" s="1"/>
  <c r="N138" i="110"/>
  <c r="P50" i="137" s="1"/>
  <c r="T157" i="110"/>
  <c r="V69" i="137" s="1"/>
  <c r="K137" i="110"/>
  <c r="M49" i="137" s="1"/>
  <c r="O137" i="110"/>
  <c r="O342" i="110" s="1"/>
  <c r="L137" i="110"/>
  <c r="N49" i="137" s="1"/>
  <c r="J123" i="110"/>
  <c r="G142" i="137"/>
  <c r="U97" i="110"/>
  <c r="W13" i="137" s="1"/>
  <c r="M123" i="110"/>
  <c r="M328" i="110" s="1"/>
  <c r="AA97" i="110"/>
  <c r="AD97" i="110" s="1"/>
  <c r="O129" i="110"/>
  <c r="Q41" i="137" s="1"/>
  <c r="P129" i="110"/>
  <c r="R41" i="137" s="1"/>
  <c r="O139" i="110"/>
  <c r="Q51" i="137" s="1"/>
  <c r="M129" i="110"/>
  <c r="M334" i="110" s="1"/>
  <c r="P146" i="110"/>
  <c r="R58" i="137" s="1"/>
  <c r="N129" i="110"/>
  <c r="P41" i="137" s="1"/>
  <c r="T129" i="110"/>
  <c r="T215" i="110" s="1"/>
  <c r="L127" i="110"/>
  <c r="L332" i="110" s="1"/>
  <c r="K127" i="110"/>
  <c r="M39" i="137" s="1"/>
  <c r="S132" i="110"/>
  <c r="U44" i="137" s="1"/>
  <c r="AA136" i="110"/>
  <c r="AD136" i="110" s="1"/>
  <c r="AA126" i="110"/>
  <c r="AD126" i="110" s="1"/>
  <c r="Q97" i="110"/>
  <c r="Q302" i="110" s="1"/>
  <c r="N127" i="110"/>
  <c r="P39" i="137" s="1"/>
  <c r="M97" i="110"/>
  <c r="O97" i="110"/>
  <c r="Q13" i="137" s="1"/>
  <c r="R137" i="110"/>
  <c r="T49" i="137" s="1"/>
  <c r="P97" i="110"/>
  <c r="R13" i="137" s="1"/>
  <c r="U129" i="110"/>
  <c r="W41" i="137" s="1"/>
  <c r="M146" i="110"/>
  <c r="O58" i="137" s="1"/>
  <c r="Q132" i="110"/>
  <c r="S44" i="137" s="1"/>
  <c r="K97" i="110"/>
  <c r="M13" i="137" s="1"/>
  <c r="N136" i="110"/>
  <c r="P48" i="137" s="1"/>
  <c r="L97" i="110"/>
  <c r="K12" i="181" s="1"/>
  <c r="S139" i="110"/>
  <c r="U146" i="110"/>
  <c r="U351" i="110" s="1"/>
  <c r="M137" i="110"/>
  <c r="K129" i="110"/>
  <c r="K334" i="110" s="1"/>
  <c r="J137" i="110"/>
  <c r="J342" i="110" s="1"/>
  <c r="N97" i="110"/>
  <c r="P13" i="137" s="1"/>
  <c r="O146" i="110"/>
  <c r="O351" i="110" s="1"/>
  <c r="I37" i="137"/>
  <c r="I108" i="137" s="1"/>
  <c r="G122" i="137"/>
  <c r="T97" i="110"/>
  <c r="V13" i="137" s="1"/>
  <c r="G123" i="137"/>
  <c r="J139" i="110"/>
  <c r="L51" i="137" s="1"/>
  <c r="T156" i="110"/>
  <c r="T361" i="110" s="1"/>
  <c r="P137" i="110"/>
  <c r="P342" i="110" s="1"/>
  <c r="K139" i="110"/>
  <c r="N126" i="110"/>
  <c r="P38" i="137" s="1"/>
  <c r="L146" i="110"/>
  <c r="L232" i="110" s="1"/>
  <c r="Q157" i="110"/>
  <c r="J146" i="110"/>
  <c r="L58" i="137" s="1"/>
  <c r="T137" i="110"/>
  <c r="V49" i="137" s="1"/>
  <c r="R97" i="110"/>
  <c r="T13" i="137" s="1"/>
  <c r="G100" i="137"/>
  <c r="L139" i="110"/>
  <c r="L344" i="110" s="1"/>
  <c r="N344" i="110"/>
  <c r="P157" i="110"/>
  <c r="R69" i="137" s="1"/>
  <c r="S123" i="110"/>
  <c r="U35" i="137" s="1"/>
  <c r="P123" i="110"/>
  <c r="U137" i="110"/>
  <c r="W49" i="137" s="1"/>
  <c r="AA139" i="110"/>
  <c r="AD139" i="110" s="1"/>
  <c r="N157" i="110"/>
  <c r="P69" i="137" s="1"/>
  <c r="O123" i="110"/>
  <c r="Q35" i="137" s="1"/>
  <c r="P139" i="110"/>
  <c r="P344" i="110" s="1"/>
  <c r="Q138" i="110"/>
  <c r="Q343" i="110" s="1"/>
  <c r="R157" i="110"/>
  <c r="T69" i="137" s="1"/>
  <c r="K123" i="110"/>
  <c r="M35" i="137" s="1"/>
  <c r="AA137" i="110"/>
  <c r="AD137" i="110" s="1"/>
  <c r="L157" i="110"/>
  <c r="N69" i="137" s="1"/>
  <c r="G103" i="137"/>
  <c r="G113" i="137"/>
  <c r="G117" i="137"/>
  <c r="I69" i="137"/>
  <c r="I140" i="137" s="1"/>
  <c r="U148" i="110"/>
  <c r="W60" i="137" s="1"/>
  <c r="O152" i="110"/>
  <c r="Q64" i="137" s="1"/>
  <c r="P152" i="110"/>
  <c r="R64" i="137" s="1"/>
  <c r="J84" i="110"/>
  <c r="O84" i="110"/>
  <c r="N123" i="110"/>
  <c r="I192" i="110"/>
  <c r="AC192" i="110" s="1"/>
  <c r="AF192" i="110" s="1"/>
  <c r="F311" i="110"/>
  <c r="E311" i="110" s="1"/>
  <c r="U136" i="110"/>
  <c r="U341" i="110" s="1"/>
  <c r="S157" i="110"/>
  <c r="S362" i="110" s="1"/>
  <c r="S127" i="110"/>
  <c r="U39" i="137" s="1"/>
  <c r="T123" i="110"/>
  <c r="T328" i="110" s="1"/>
  <c r="Q123" i="110"/>
  <c r="S35" i="137" s="1"/>
  <c r="M127" i="110"/>
  <c r="M332" i="110" s="1"/>
  <c r="O157" i="110"/>
  <c r="Q69" i="137" s="1"/>
  <c r="AA123" i="110"/>
  <c r="AD123" i="110" s="1"/>
  <c r="T84" i="110"/>
  <c r="S53" i="181"/>
  <c r="P136" i="110"/>
  <c r="R48" i="137" s="1"/>
  <c r="K157" i="110"/>
  <c r="P127" i="110"/>
  <c r="R39" i="137" s="1"/>
  <c r="AA157" i="110"/>
  <c r="AD157" i="110" s="1"/>
  <c r="N84" i="110"/>
  <c r="K148" i="110"/>
  <c r="M60" i="137" s="1"/>
  <c r="F238" i="110"/>
  <c r="H238" i="110" s="1"/>
  <c r="AB238" i="110" s="1"/>
  <c r="AE238" i="110" s="1"/>
  <c r="G92" i="137"/>
  <c r="G192" i="110"/>
  <c r="AA192" i="110" s="1"/>
  <c r="AD192" i="110" s="1"/>
  <c r="AC205" i="110"/>
  <c r="AF205" i="110" s="1"/>
  <c r="I231" i="110"/>
  <c r="AC231" i="110" s="1"/>
  <c r="AF231" i="110" s="1"/>
  <c r="H231" i="110"/>
  <c r="AB231" i="110" s="1"/>
  <c r="AE231" i="110" s="1"/>
  <c r="F350" i="110"/>
  <c r="E350" i="110" s="1"/>
  <c r="K136" i="110"/>
  <c r="K341" i="110" s="1"/>
  <c r="U157" i="110"/>
  <c r="W69" i="137" s="1"/>
  <c r="L136" i="110"/>
  <c r="N48" i="137" s="1"/>
  <c r="R123" i="110"/>
  <c r="X124" i="58"/>
  <c r="S136" i="110"/>
  <c r="U48" i="137" s="1"/>
  <c r="O148" i="110"/>
  <c r="O353" i="110" s="1"/>
  <c r="J136" i="110"/>
  <c r="L48" i="137" s="1"/>
  <c r="T136" i="110"/>
  <c r="T393" i="110" s="1"/>
  <c r="V367" i="110"/>
  <c r="G94" i="137"/>
  <c r="AC199" i="110"/>
  <c r="AF199" i="110" s="1"/>
  <c r="E318" i="110"/>
  <c r="AB199" i="110"/>
  <c r="AE199" i="110" s="1"/>
  <c r="AC204" i="110"/>
  <c r="AF204" i="110" s="1"/>
  <c r="AB115" i="110"/>
  <c r="AE115" i="110" s="1"/>
  <c r="AC115" i="110"/>
  <c r="AF115" i="110" s="1"/>
  <c r="Q156" i="110"/>
  <c r="S68" i="137" s="1"/>
  <c r="R156" i="110"/>
  <c r="R361" i="110" s="1"/>
  <c r="P245" i="110"/>
  <c r="X123" i="58"/>
  <c r="C6" i="138"/>
  <c r="G93" i="137"/>
  <c r="Q127" i="110"/>
  <c r="Q332" i="110" s="1"/>
  <c r="L132" i="110"/>
  <c r="N44" i="137" s="1"/>
  <c r="J132" i="110"/>
  <c r="L44" i="137" s="1"/>
  <c r="AA127" i="110"/>
  <c r="AD127" i="110" s="1"/>
  <c r="R132" i="110"/>
  <c r="T44" i="137" s="1"/>
  <c r="T127" i="110"/>
  <c r="V39" i="137" s="1"/>
  <c r="P38" i="181"/>
  <c r="R84" i="110"/>
  <c r="G114" i="137"/>
  <c r="I227" i="110"/>
  <c r="AC227" i="110" s="1"/>
  <c r="AF227" i="110" s="1"/>
  <c r="F346" i="110"/>
  <c r="E346" i="110" s="1"/>
  <c r="V163" i="110"/>
  <c r="M249" i="110"/>
  <c r="V249" i="110" s="1"/>
  <c r="I221" i="110"/>
  <c r="AC221" i="110" s="1"/>
  <c r="AF221" i="110" s="1"/>
  <c r="F340" i="110"/>
  <c r="E340" i="110" s="1"/>
  <c r="H221" i="110"/>
  <c r="AB221" i="110" s="1"/>
  <c r="AE221" i="110" s="1"/>
  <c r="V248" i="110"/>
  <c r="H185" i="110"/>
  <c r="AB185" i="110" s="1"/>
  <c r="AE185" i="110" s="1"/>
  <c r="I185" i="110"/>
  <c r="AC185" i="110" s="1"/>
  <c r="AF185" i="110" s="1"/>
  <c r="F304" i="110"/>
  <c r="E304" i="110" s="1"/>
  <c r="G185" i="110"/>
  <c r="AA185" i="110" s="1"/>
  <c r="AD185" i="110" s="1"/>
  <c r="I223" i="110"/>
  <c r="AC223" i="110" s="1"/>
  <c r="AF223" i="110" s="1"/>
  <c r="F342" i="110"/>
  <c r="E342" i="110" s="1"/>
  <c r="H227" i="110"/>
  <c r="AB227" i="110" s="1"/>
  <c r="AE227" i="110" s="1"/>
  <c r="K250" i="110"/>
  <c r="I225" i="110"/>
  <c r="AC225" i="110" s="1"/>
  <c r="AF225" i="110" s="1"/>
  <c r="F344" i="110"/>
  <c r="E344" i="110" s="1"/>
  <c r="T132" i="110"/>
  <c r="V44" i="137" s="1"/>
  <c r="N132" i="110"/>
  <c r="N337" i="110" s="1"/>
  <c r="G214" i="110"/>
  <c r="T214" i="110" s="1"/>
  <c r="F333" i="110"/>
  <c r="E333" i="110" s="1"/>
  <c r="I214" i="110"/>
  <c r="AC214" i="110" s="1"/>
  <c r="AF214" i="110" s="1"/>
  <c r="H214" i="110"/>
  <c r="AB214" i="110" s="1"/>
  <c r="AE214" i="110" s="1"/>
  <c r="I183" i="110"/>
  <c r="AC183" i="110" s="1"/>
  <c r="AF183" i="110" s="1"/>
  <c r="H183" i="110"/>
  <c r="AB183" i="110" s="1"/>
  <c r="AE183" i="110" s="1"/>
  <c r="F302" i="110"/>
  <c r="E302" i="110" s="1"/>
  <c r="G183" i="110"/>
  <c r="AA183" i="110" s="1"/>
  <c r="AD183" i="110" s="1"/>
  <c r="J127" i="110"/>
  <c r="L39" i="137" s="1"/>
  <c r="Q100" i="110"/>
  <c r="S16" i="137" s="1"/>
  <c r="S100" i="110"/>
  <c r="R15" i="181" s="1"/>
  <c r="R127" i="110"/>
  <c r="T39" i="137" s="1"/>
  <c r="AA105" i="110"/>
  <c r="AD105" i="110" s="1"/>
  <c r="X222" i="58"/>
  <c r="O53" i="181"/>
  <c r="I186" i="110"/>
  <c r="AC186" i="110" s="1"/>
  <c r="AF186" i="110" s="1"/>
  <c r="F305" i="110"/>
  <c r="E305" i="110" s="1"/>
  <c r="I232" i="110"/>
  <c r="AC232" i="110" s="1"/>
  <c r="AF232" i="110" s="1"/>
  <c r="F351" i="110"/>
  <c r="E351" i="110" s="1"/>
  <c r="AC202" i="110"/>
  <c r="AF202" i="110" s="1"/>
  <c r="E321" i="110"/>
  <c r="H212" i="110"/>
  <c r="AB212" i="110" s="1"/>
  <c r="AE212" i="110" s="1"/>
  <c r="G212" i="110"/>
  <c r="AA212" i="110" s="1"/>
  <c r="AD212" i="110" s="1"/>
  <c r="F331" i="110"/>
  <c r="E331" i="110" s="1"/>
  <c r="I212" i="110"/>
  <c r="AC212" i="110" s="1"/>
  <c r="AF212" i="110" s="1"/>
  <c r="I211" i="110"/>
  <c r="AC211" i="110" s="1"/>
  <c r="AF211" i="110" s="1"/>
  <c r="F330" i="110"/>
  <c r="E330" i="110" s="1"/>
  <c r="F246" i="110"/>
  <c r="AC160" i="110"/>
  <c r="AF160" i="110" s="1"/>
  <c r="AB160" i="110"/>
  <c r="AE160" i="110" s="1"/>
  <c r="U127" i="110"/>
  <c r="W39" i="137" s="1"/>
  <c r="P132" i="110"/>
  <c r="P337" i="110" s="1"/>
  <c r="T224" i="58"/>
  <c r="P64" i="181"/>
  <c r="V366" i="110"/>
  <c r="G144" i="110"/>
  <c r="F230" i="110"/>
  <c r="I144" i="110"/>
  <c r="AC144" i="110" s="1"/>
  <c r="AF144" i="110" s="1"/>
  <c r="H144" i="110"/>
  <c r="AB144" i="110" s="1"/>
  <c r="AE144" i="110" s="1"/>
  <c r="F237" i="110"/>
  <c r="G151" i="110"/>
  <c r="I151" i="110"/>
  <c r="AC151" i="110" s="1"/>
  <c r="AF151" i="110" s="1"/>
  <c r="H151" i="110"/>
  <c r="AB151" i="110" s="1"/>
  <c r="AE151" i="110" s="1"/>
  <c r="R140" i="110"/>
  <c r="R345" i="110" s="1"/>
  <c r="G96" i="137"/>
  <c r="AA152" i="110"/>
  <c r="AD152" i="110" s="1"/>
  <c r="S154" i="110"/>
  <c r="U66" i="137" s="1"/>
  <c r="O14" i="181"/>
  <c r="S156" i="110"/>
  <c r="U68" i="137" s="1"/>
  <c r="AA156" i="110"/>
  <c r="AD156" i="110" s="1"/>
  <c r="AA117" i="110"/>
  <c r="AD117" i="110" s="1"/>
  <c r="O154" i="110"/>
  <c r="Q66" i="137" s="1"/>
  <c r="T158" i="110"/>
  <c r="V70" i="137" s="1"/>
  <c r="Q158" i="110"/>
  <c r="S70" i="137" s="1"/>
  <c r="L154" i="110"/>
  <c r="N66" i="137" s="1"/>
  <c r="L158" i="110"/>
  <c r="N70" i="137" s="1"/>
  <c r="M152" i="110"/>
  <c r="O64" i="137" s="1"/>
  <c r="O138" i="110"/>
  <c r="O343" i="110" s="1"/>
  <c r="AA138" i="110"/>
  <c r="AD138" i="110" s="1"/>
  <c r="AA108" i="110"/>
  <c r="AD108" i="110" s="1"/>
  <c r="M138" i="110"/>
  <c r="O50" i="137" s="1"/>
  <c r="M154" i="110"/>
  <c r="M359" i="110" s="1"/>
  <c r="P156" i="110"/>
  <c r="R68" i="137" s="1"/>
  <c r="G98" i="137"/>
  <c r="L138" i="110"/>
  <c r="N50" i="137" s="1"/>
  <c r="T138" i="110"/>
  <c r="V50" i="137" s="1"/>
  <c r="R138" i="110"/>
  <c r="R343" i="110" s="1"/>
  <c r="O156" i="110"/>
  <c r="O361" i="110" s="1"/>
  <c r="S158" i="110"/>
  <c r="U70" i="137" s="1"/>
  <c r="P304" i="110"/>
  <c r="J138" i="110"/>
  <c r="J343" i="110" s="1"/>
  <c r="R158" i="110"/>
  <c r="T70" i="137" s="1"/>
  <c r="AA158" i="110"/>
  <c r="AD158" i="110" s="1"/>
  <c r="E403" i="110"/>
  <c r="Q148" i="110"/>
  <c r="S60" i="137" s="1"/>
  <c r="T148" i="110"/>
  <c r="V60" i="137" s="1"/>
  <c r="P148" i="110"/>
  <c r="R60" i="137" s="1"/>
  <c r="L148" i="110"/>
  <c r="L353" i="110" s="1"/>
  <c r="M148" i="110"/>
  <c r="M353" i="110" s="1"/>
  <c r="K132" i="110"/>
  <c r="M44" i="137" s="1"/>
  <c r="J148" i="110"/>
  <c r="L60" i="137" s="1"/>
  <c r="U132" i="110"/>
  <c r="AA132" i="110"/>
  <c r="AD132" i="110" s="1"/>
  <c r="N148" i="110"/>
  <c r="P60" i="137" s="1"/>
  <c r="R148" i="110"/>
  <c r="T60" i="137" s="1"/>
  <c r="M132" i="110"/>
  <c r="O44" i="137" s="1"/>
  <c r="I40" i="137"/>
  <c r="I111" i="137" s="1"/>
  <c r="G111" i="137"/>
  <c r="I44" i="137"/>
  <c r="I115" i="137" s="1"/>
  <c r="G115" i="137"/>
  <c r="S148" i="110"/>
  <c r="U60" i="137" s="1"/>
  <c r="W224" i="58"/>
  <c r="W291" i="58" s="1"/>
  <c r="N17" i="138" s="1"/>
  <c r="N55" i="138" s="1"/>
  <c r="X112" i="58"/>
  <c r="X213" i="58"/>
  <c r="G98" i="110"/>
  <c r="H98" i="110"/>
  <c r="AB98" i="110" s="1"/>
  <c r="AE98" i="110" s="1"/>
  <c r="F184" i="110"/>
  <c r="I98" i="110"/>
  <c r="AC98" i="110" s="1"/>
  <c r="AF98" i="110" s="1"/>
  <c r="G101" i="110"/>
  <c r="I101" i="110"/>
  <c r="AC101" i="110" s="1"/>
  <c r="AF101" i="110" s="1"/>
  <c r="H101" i="110"/>
  <c r="AB101" i="110" s="1"/>
  <c r="AE101" i="110" s="1"/>
  <c r="F187" i="110"/>
  <c r="I215" i="110"/>
  <c r="AC215" i="110" s="1"/>
  <c r="AF215" i="110" s="1"/>
  <c r="F334" i="110"/>
  <c r="E334" i="110" s="1"/>
  <c r="H215" i="110"/>
  <c r="AB215" i="110" s="1"/>
  <c r="AE215" i="110" s="1"/>
  <c r="O251" i="110"/>
  <c r="I188" i="110"/>
  <c r="AC188" i="110" s="1"/>
  <c r="AF188" i="110" s="1"/>
  <c r="H188" i="110"/>
  <c r="AB188" i="110" s="1"/>
  <c r="AE188" i="110" s="1"/>
  <c r="F307" i="110"/>
  <c r="E307" i="110" s="1"/>
  <c r="U8" i="181"/>
  <c r="O224" i="58"/>
  <c r="L84" i="110"/>
  <c r="M84" i="110"/>
  <c r="AC111" i="110"/>
  <c r="AF111" i="110" s="1"/>
  <c r="AB111" i="110"/>
  <c r="AE111" i="110" s="1"/>
  <c r="R250" i="110"/>
  <c r="G143" i="110"/>
  <c r="I143" i="110"/>
  <c r="AC143" i="110" s="1"/>
  <c r="AF143" i="110" s="1"/>
  <c r="H143" i="110"/>
  <c r="AB143" i="110" s="1"/>
  <c r="AE143" i="110" s="1"/>
  <c r="F229" i="110"/>
  <c r="G107" i="110"/>
  <c r="H107" i="110"/>
  <c r="AB107" i="110" s="1"/>
  <c r="AE107" i="110" s="1"/>
  <c r="F193" i="110"/>
  <c r="I107" i="110"/>
  <c r="AC107" i="110" s="1"/>
  <c r="AF107" i="110" s="1"/>
  <c r="AB208" i="110"/>
  <c r="AE208" i="110" s="1"/>
  <c r="AC208" i="110"/>
  <c r="AF208" i="110" s="1"/>
  <c r="E326" i="110"/>
  <c r="G130" i="110"/>
  <c r="H130" i="110"/>
  <c r="AB130" i="110" s="1"/>
  <c r="AE130" i="110" s="1"/>
  <c r="F216" i="110"/>
  <c r="I130" i="110"/>
  <c r="AC130" i="110" s="1"/>
  <c r="AF130" i="110" s="1"/>
  <c r="I245" i="110"/>
  <c r="AC245" i="110" s="1"/>
  <c r="AF245" i="110" s="1"/>
  <c r="H245" i="110"/>
  <c r="AB245" i="110" s="1"/>
  <c r="AE245" i="110" s="1"/>
  <c r="F364" i="110"/>
  <c r="E364" i="110" s="1"/>
  <c r="G228" i="110"/>
  <c r="AA228" i="110" s="1"/>
  <c r="AD228" i="110" s="1"/>
  <c r="H228" i="110"/>
  <c r="AB228" i="110" s="1"/>
  <c r="AE228" i="110" s="1"/>
  <c r="I228" i="110"/>
  <c r="AC228" i="110" s="1"/>
  <c r="AF228" i="110" s="1"/>
  <c r="F347" i="110"/>
  <c r="E347" i="110" s="1"/>
  <c r="I191" i="110"/>
  <c r="AC191" i="110" s="1"/>
  <c r="AF191" i="110" s="1"/>
  <c r="H191" i="110"/>
  <c r="AB191" i="110" s="1"/>
  <c r="AE191" i="110" s="1"/>
  <c r="F310" i="110"/>
  <c r="E310" i="110" s="1"/>
  <c r="G150" i="110"/>
  <c r="F236" i="110"/>
  <c r="I150" i="110"/>
  <c r="AC150" i="110" s="1"/>
  <c r="AF150" i="110" s="1"/>
  <c r="H150" i="110"/>
  <c r="AB150" i="110" s="1"/>
  <c r="AE150" i="110" s="1"/>
  <c r="G89" i="110"/>
  <c r="I89" i="110"/>
  <c r="H89" i="110"/>
  <c r="AB89" i="110" s="1"/>
  <c r="AE89" i="110" s="1"/>
  <c r="F175" i="110"/>
  <c r="I213" i="110"/>
  <c r="AC213" i="110" s="1"/>
  <c r="AF213" i="110" s="1"/>
  <c r="H213" i="110"/>
  <c r="AB213" i="110" s="1"/>
  <c r="AE213" i="110" s="1"/>
  <c r="F332" i="110"/>
  <c r="E332" i="110" s="1"/>
  <c r="G244" i="110"/>
  <c r="AA244" i="110" s="1"/>
  <c r="AD244" i="110" s="1"/>
  <c r="H244" i="110"/>
  <c r="AB244" i="110" s="1"/>
  <c r="AE244" i="110" s="1"/>
  <c r="I244" i="110"/>
  <c r="AC244" i="110" s="1"/>
  <c r="AF244" i="110" s="1"/>
  <c r="F363" i="110"/>
  <c r="E363" i="110" s="1"/>
  <c r="O250" i="110"/>
  <c r="V164" i="110"/>
  <c r="G224" i="110"/>
  <c r="H224" i="110"/>
  <c r="AB224" i="110" s="1"/>
  <c r="AE224" i="110" s="1"/>
  <c r="I224" i="110"/>
  <c r="AC224" i="110" s="1"/>
  <c r="AF224" i="110" s="1"/>
  <c r="F343" i="110"/>
  <c r="E343" i="110" s="1"/>
  <c r="G147" i="110"/>
  <c r="I147" i="110"/>
  <c r="AC147" i="110" s="1"/>
  <c r="AF147" i="110" s="1"/>
  <c r="H147" i="110"/>
  <c r="AB147" i="110" s="1"/>
  <c r="AE147" i="110" s="1"/>
  <c r="F233" i="110"/>
  <c r="G133" i="110"/>
  <c r="I133" i="110"/>
  <c r="AC133" i="110" s="1"/>
  <c r="AF133" i="110" s="1"/>
  <c r="H133" i="110"/>
  <c r="AB133" i="110" s="1"/>
  <c r="AE133" i="110" s="1"/>
  <c r="F219" i="110"/>
  <c r="M140" i="110"/>
  <c r="M345" i="110" s="1"/>
  <c r="G194" i="110"/>
  <c r="H194" i="110"/>
  <c r="AB194" i="110" s="1"/>
  <c r="AE194" i="110" s="1"/>
  <c r="I194" i="110"/>
  <c r="AC194" i="110" s="1"/>
  <c r="AF194" i="110" s="1"/>
  <c r="F313" i="110"/>
  <c r="E313" i="110" s="1"/>
  <c r="G153" i="110"/>
  <c r="I153" i="110"/>
  <c r="AC153" i="110" s="1"/>
  <c r="AF153" i="110" s="1"/>
  <c r="H153" i="110"/>
  <c r="AB153" i="110" s="1"/>
  <c r="AE153" i="110" s="1"/>
  <c r="F239" i="110"/>
  <c r="AC203" i="110"/>
  <c r="AF203" i="110" s="1"/>
  <c r="AB203" i="110"/>
  <c r="AE203" i="110" s="1"/>
  <c r="E322" i="110"/>
  <c r="G92" i="110"/>
  <c r="F178" i="110"/>
  <c r="I92" i="110"/>
  <c r="AC92" i="110" s="1"/>
  <c r="AF92" i="110" s="1"/>
  <c r="H92" i="110"/>
  <c r="AB92" i="110" s="1"/>
  <c r="AE92" i="110" s="1"/>
  <c r="G155" i="110"/>
  <c r="H155" i="110"/>
  <c r="AB155" i="110" s="1"/>
  <c r="AE155" i="110" s="1"/>
  <c r="F241" i="110"/>
  <c r="I155" i="110"/>
  <c r="AC155" i="110" s="1"/>
  <c r="AF155" i="110" s="1"/>
  <c r="U247" i="110"/>
  <c r="V247" i="110" s="1"/>
  <c r="I222" i="110"/>
  <c r="AC222" i="110" s="1"/>
  <c r="AF222" i="110" s="1"/>
  <c r="H222" i="110"/>
  <c r="AB222" i="110" s="1"/>
  <c r="AE222" i="110" s="1"/>
  <c r="F341" i="110"/>
  <c r="E341" i="110" s="1"/>
  <c r="G222" i="110"/>
  <c r="AA222" i="110" s="1"/>
  <c r="AD222" i="110" s="1"/>
  <c r="N152" i="110"/>
  <c r="N357" i="110" s="1"/>
  <c r="L140" i="110"/>
  <c r="N52" i="137" s="1"/>
  <c r="T140" i="110"/>
  <c r="K154" i="110"/>
  <c r="M66" i="137" s="1"/>
  <c r="M156" i="110"/>
  <c r="O68" i="137" s="1"/>
  <c r="J140" i="110"/>
  <c r="J345" i="110" s="1"/>
  <c r="N154" i="110"/>
  <c r="P66" i="137" s="1"/>
  <c r="J152" i="110"/>
  <c r="L64" i="137" s="1"/>
  <c r="L152" i="110"/>
  <c r="N64" i="137" s="1"/>
  <c r="S140" i="110"/>
  <c r="U52" i="137" s="1"/>
  <c r="U140" i="110"/>
  <c r="U345" i="110" s="1"/>
  <c r="AA140" i="110"/>
  <c r="AD140" i="110" s="1"/>
  <c r="K156" i="110"/>
  <c r="R152" i="110"/>
  <c r="T64" i="137" s="1"/>
  <c r="N140" i="110"/>
  <c r="P52" i="137" s="1"/>
  <c r="U152" i="110"/>
  <c r="U357" i="110" s="1"/>
  <c r="K152" i="110"/>
  <c r="M64" i="137" s="1"/>
  <c r="J154" i="110"/>
  <c r="J359" i="110" s="1"/>
  <c r="T152" i="110"/>
  <c r="V64" i="137" s="1"/>
  <c r="N451" i="110"/>
  <c r="J18" i="124" s="1"/>
  <c r="J29" i="124" s="1"/>
  <c r="J42" i="124" s="1"/>
  <c r="AA109" i="110"/>
  <c r="AD109" i="110" s="1"/>
  <c r="P140" i="110"/>
  <c r="P345" i="110" s="1"/>
  <c r="P154" i="110"/>
  <c r="P359" i="110" s="1"/>
  <c r="R154" i="110"/>
  <c r="R359" i="110" s="1"/>
  <c r="L156" i="110"/>
  <c r="N68" i="137" s="1"/>
  <c r="R451" i="110"/>
  <c r="N18" i="124" s="1"/>
  <c r="N29" i="124" s="1"/>
  <c r="J215" i="110"/>
  <c r="O140" i="110"/>
  <c r="Q52" i="137" s="1"/>
  <c r="N156" i="110"/>
  <c r="P68" i="137" s="1"/>
  <c r="U154" i="110"/>
  <c r="W66" i="137" s="1"/>
  <c r="U156" i="110"/>
  <c r="S152" i="110"/>
  <c r="U64" i="137" s="1"/>
  <c r="Q152" i="110"/>
  <c r="S64" i="137" s="1"/>
  <c r="K140" i="110"/>
  <c r="K345" i="110" s="1"/>
  <c r="T154" i="110"/>
  <c r="V66" i="137" s="1"/>
  <c r="K451" i="110"/>
  <c r="G18" i="124" s="1"/>
  <c r="I195" i="110"/>
  <c r="AC195" i="110" s="1"/>
  <c r="AF195" i="110" s="1"/>
  <c r="F314" i="110"/>
  <c r="E314" i="110" s="1"/>
  <c r="H195" i="110"/>
  <c r="AB195" i="110" s="1"/>
  <c r="AE195" i="110" s="1"/>
  <c r="I20" i="137"/>
  <c r="I91" i="137" s="1"/>
  <c r="G91" i="137"/>
  <c r="I33" i="137"/>
  <c r="I104" i="137" s="1"/>
  <c r="G104" i="137"/>
  <c r="I60" i="137"/>
  <c r="I131" i="137" s="1"/>
  <c r="G131" i="137"/>
  <c r="I55" i="137"/>
  <c r="I126" i="137" s="1"/>
  <c r="G126" i="137"/>
  <c r="AC234" i="110"/>
  <c r="AF234" i="110" s="1"/>
  <c r="H234" i="110"/>
  <c r="AB234" i="110" s="1"/>
  <c r="AE234" i="110" s="1"/>
  <c r="F353" i="110"/>
  <c r="E353" i="110" s="1"/>
  <c r="G234" i="110"/>
  <c r="AA234" i="110" s="1"/>
  <c r="AD234" i="110" s="1"/>
  <c r="I67" i="137"/>
  <c r="I138" i="137" s="1"/>
  <c r="G138" i="137"/>
  <c r="I49" i="137"/>
  <c r="I120" i="137" s="1"/>
  <c r="G120" i="137"/>
  <c r="I28" i="137"/>
  <c r="I99" i="137" s="1"/>
  <c r="G99" i="137"/>
  <c r="I39" i="137"/>
  <c r="I110" i="137" s="1"/>
  <c r="G110" i="137"/>
  <c r="I59" i="137"/>
  <c r="I130" i="137" s="1"/>
  <c r="I57" i="137"/>
  <c r="I128" i="137" s="1"/>
  <c r="G128" i="137"/>
  <c r="I66" i="137"/>
  <c r="I137" i="137" s="1"/>
  <c r="G137" i="137"/>
  <c r="I53" i="137"/>
  <c r="I124" i="137" s="1"/>
  <c r="G124" i="137"/>
  <c r="I31" i="137"/>
  <c r="I102" i="137" s="1"/>
  <c r="G102" i="137"/>
  <c r="I47" i="137"/>
  <c r="I118" i="137" s="1"/>
  <c r="G118" i="137"/>
  <c r="I65" i="137"/>
  <c r="I136" i="137" s="1"/>
  <c r="G136" i="137"/>
  <c r="I58" i="137"/>
  <c r="I129" i="137" s="1"/>
  <c r="G129" i="137"/>
  <c r="G116" i="137"/>
  <c r="I45" i="137"/>
  <c r="I116" i="137" s="1"/>
  <c r="I64" i="137"/>
  <c r="I135" i="137" s="1"/>
  <c r="G135" i="137"/>
  <c r="I242" i="110"/>
  <c r="AC242" i="110" s="1"/>
  <c r="AF242" i="110" s="1"/>
  <c r="H242" i="110"/>
  <c r="AB242" i="110" s="1"/>
  <c r="AE242" i="110" s="1"/>
  <c r="F361" i="110"/>
  <c r="E361" i="110" s="1"/>
  <c r="G242" i="110"/>
  <c r="AA242" i="110" s="1"/>
  <c r="AD242" i="110" s="1"/>
  <c r="V379" i="110"/>
  <c r="I61" i="137"/>
  <c r="I132" i="137" s="1"/>
  <c r="G132" i="137"/>
  <c r="Q84" i="110"/>
  <c r="X122" i="58"/>
  <c r="I63" i="137"/>
  <c r="I134" i="137" s="1"/>
  <c r="G134" i="137"/>
  <c r="V165" i="110"/>
  <c r="J251" i="110"/>
  <c r="I34" i="137"/>
  <c r="I105" i="137" s="1"/>
  <c r="G105" i="137"/>
  <c r="I62" i="137"/>
  <c r="I133" i="137" s="1"/>
  <c r="G133" i="137"/>
  <c r="I56" i="137"/>
  <c r="I127" i="137" s="1"/>
  <c r="G127" i="137"/>
  <c r="I36" i="137"/>
  <c r="I107" i="137" s="1"/>
  <c r="G107" i="137"/>
  <c r="U6" i="181"/>
  <c r="E83" i="137"/>
  <c r="E405" i="110"/>
  <c r="I240" i="110"/>
  <c r="AC240" i="110" s="1"/>
  <c r="AF240" i="110" s="1"/>
  <c r="H240" i="110"/>
  <c r="AB240" i="110" s="1"/>
  <c r="AE240" i="110" s="1"/>
  <c r="G240" i="110"/>
  <c r="AA240" i="110" s="1"/>
  <c r="AD240" i="110" s="1"/>
  <c r="F359" i="110"/>
  <c r="E359" i="110" s="1"/>
  <c r="I26" i="137"/>
  <c r="G97" i="137"/>
  <c r="I54" i="137"/>
  <c r="I125" i="137" s="1"/>
  <c r="G125" i="137"/>
  <c r="I48" i="137"/>
  <c r="I119" i="137" s="1"/>
  <c r="G119" i="137"/>
  <c r="T309" i="58"/>
  <c r="T311" i="58" s="1"/>
  <c r="I218" i="110"/>
  <c r="AC218" i="110" s="1"/>
  <c r="AF218" i="110" s="1"/>
  <c r="H218" i="110"/>
  <c r="AB218" i="110" s="1"/>
  <c r="AE218" i="110" s="1"/>
  <c r="G218" i="110"/>
  <c r="AA218" i="110" s="1"/>
  <c r="AD218" i="110" s="1"/>
  <c r="F337" i="110"/>
  <c r="E337" i="110" s="1"/>
  <c r="I68" i="137"/>
  <c r="I139" i="137" s="1"/>
  <c r="G139" i="137"/>
  <c r="I38" i="137"/>
  <c r="I109" i="137" s="1"/>
  <c r="G109" i="137"/>
  <c r="Q309" i="58"/>
  <c r="Q312" i="58" s="1"/>
  <c r="O363" i="110"/>
  <c r="O38" i="181"/>
  <c r="O64" i="181"/>
  <c r="M309" i="58"/>
  <c r="M312" i="58" s="1"/>
  <c r="U5" i="181"/>
  <c r="M451" i="110"/>
  <c r="I18" i="124" s="1"/>
  <c r="V309" i="58"/>
  <c r="V312" i="58" s="1"/>
  <c r="U451" i="110"/>
  <c r="Q18" i="124" s="1"/>
  <c r="Q29" i="124" s="1"/>
  <c r="Q42" i="124" s="1"/>
  <c r="S451" i="110"/>
  <c r="O18" i="124" s="1"/>
  <c r="O30" i="124" s="1"/>
  <c r="O43" i="124" s="1"/>
  <c r="O337" i="110"/>
  <c r="Q345" i="110"/>
  <c r="Q342" i="110"/>
  <c r="P53" i="181"/>
  <c r="R309" i="58"/>
  <c r="R312" i="58" s="1"/>
  <c r="P84" i="110"/>
  <c r="W309" i="58"/>
  <c r="W351" i="58" s="1"/>
  <c r="P451" i="110"/>
  <c r="L18" i="124" s="1"/>
  <c r="L29" i="124" s="1"/>
  <c r="L42" i="124" s="1"/>
  <c r="O451" i="110"/>
  <c r="K18" i="124" s="1"/>
  <c r="K29" i="124" s="1"/>
  <c r="K42" i="124" s="1"/>
  <c r="U11" i="181"/>
  <c r="J451" i="110" a="1"/>
  <c r="J451" i="110" s="1"/>
  <c r="F18" i="124" s="1"/>
  <c r="F29" i="124" s="1"/>
  <c r="F42" i="124" s="1"/>
  <c r="M33" i="181"/>
  <c r="P58" i="181"/>
  <c r="P59" i="181" s="1"/>
  <c r="P309" i="58"/>
  <c r="P312" i="58" s="1"/>
  <c r="E13" i="196"/>
  <c r="V83" i="110"/>
  <c r="M221" i="110"/>
  <c r="U309" i="58"/>
  <c r="U312" i="58" s="1"/>
  <c r="U84" i="110"/>
  <c r="E12" i="196"/>
  <c r="K53" i="181"/>
  <c r="M340" i="110"/>
  <c r="L76" i="181"/>
  <c r="L79" i="181" s="1"/>
  <c r="X348" i="58"/>
  <c r="O332" i="110"/>
  <c r="R53" i="181"/>
  <c r="R78" i="181" s="1"/>
  <c r="R77" i="181"/>
  <c r="X225" i="58"/>
  <c r="X286" i="58" s="1"/>
  <c r="O213" i="110"/>
  <c r="E11" i="196"/>
  <c r="J53" i="181"/>
  <c r="J78" i="181" s="1"/>
  <c r="J77" i="181"/>
  <c r="N53" i="181"/>
  <c r="N78" i="181" s="1"/>
  <c r="N77" i="181"/>
  <c r="M53" i="181"/>
  <c r="M78" i="181" s="1"/>
  <c r="M76" i="181"/>
  <c r="U51" i="181"/>
  <c r="N309" i="58"/>
  <c r="N351" i="58" s="1"/>
  <c r="U65" i="181"/>
  <c r="U66" i="181" s="1"/>
  <c r="I53" i="181"/>
  <c r="I78" i="181" s="1"/>
  <c r="U50" i="181"/>
  <c r="I76" i="181"/>
  <c r="Q64" i="181"/>
  <c r="Q38" i="181"/>
  <c r="X210" i="58"/>
  <c r="L34" i="181"/>
  <c r="L35" i="181"/>
  <c r="L37" i="181"/>
  <c r="L63" i="181" s="1"/>
  <c r="T64" i="181"/>
  <c r="T38" i="181"/>
  <c r="X216" i="58"/>
  <c r="U9" i="181"/>
  <c r="T58" i="181"/>
  <c r="T59" i="181" s="1"/>
  <c r="T33" i="181"/>
  <c r="X307" i="58"/>
  <c r="J38" i="181"/>
  <c r="O309" i="58"/>
  <c r="M38" i="181"/>
  <c r="M64" i="181"/>
  <c r="X219" i="58"/>
  <c r="R33" i="181"/>
  <c r="R58" i="181"/>
  <c r="R59" i="181" s="1"/>
  <c r="N38" i="181"/>
  <c r="N64" i="181"/>
  <c r="T451" i="110"/>
  <c r="P18" i="124" s="1"/>
  <c r="P29" i="124" s="1"/>
  <c r="P42" i="124" s="1"/>
  <c r="I58" i="181"/>
  <c r="M350" i="58"/>
  <c r="R50" i="124"/>
  <c r="K33" i="181"/>
  <c r="K59" i="181"/>
  <c r="N224" i="58"/>
  <c r="S58" i="181"/>
  <c r="S59" i="181" s="1"/>
  <c r="S33" i="181"/>
  <c r="X301" i="58"/>
  <c r="U7" i="181"/>
  <c r="N33" i="181"/>
  <c r="N58" i="181"/>
  <c r="N59" i="181" s="1"/>
  <c r="L58" i="181"/>
  <c r="L59" i="181" s="1"/>
  <c r="L33" i="181"/>
  <c r="V19" i="110"/>
  <c r="U224" i="58"/>
  <c r="Q451" i="110"/>
  <c r="M18" i="124" s="1"/>
  <c r="M29" i="124" s="1"/>
  <c r="M42" i="124" s="1"/>
  <c r="X366" i="58"/>
  <c r="U10" i="181"/>
  <c r="R64" i="181"/>
  <c r="R38" i="181"/>
  <c r="Q33" i="181"/>
  <c r="Q58" i="181"/>
  <c r="Q59" i="181" s="1"/>
  <c r="S309" i="58"/>
  <c r="S312" i="58" s="1"/>
  <c r="I62" i="181"/>
  <c r="U16" i="181"/>
  <c r="U304" i="110"/>
  <c r="T14" i="181"/>
  <c r="N21" i="26"/>
  <c r="L58" i="35"/>
  <c r="M58" i="35"/>
  <c r="O71" i="137"/>
  <c r="O341" i="110"/>
  <c r="Q48" i="137"/>
  <c r="J364" i="110"/>
  <c r="J245" i="110"/>
  <c r="R245" i="110"/>
  <c r="M245" i="110"/>
  <c r="T71" i="137"/>
  <c r="W50" i="137"/>
  <c r="U343" i="110"/>
  <c r="Q40" i="137"/>
  <c r="O333" i="110"/>
  <c r="L38" i="137"/>
  <c r="J331" i="110"/>
  <c r="Q15" i="137"/>
  <c r="N14" i="181"/>
  <c r="O304" i="110"/>
  <c r="L57" i="137"/>
  <c r="J350" i="110"/>
  <c r="J231" i="110"/>
  <c r="O15" i="137"/>
  <c r="M304" i="110"/>
  <c r="L14" i="181"/>
  <c r="W71" i="137"/>
  <c r="U364" i="110"/>
  <c r="U245" i="110"/>
  <c r="U40" i="137"/>
  <c r="S333" i="110"/>
  <c r="P15" i="137"/>
  <c r="N304" i="110"/>
  <c r="M14" i="181"/>
  <c r="T40" i="137"/>
  <c r="R333" i="110"/>
  <c r="N40" i="137"/>
  <c r="L333" i="110"/>
  <c r="R40" i="137"/>
  <c r="P333" i="110"/>
  <c r="V40" i="137"/>
  <c r="T333" i="110"/>
  <c r="M333" i="110"/>
  <c r="O40" i="137"/>
  <c r="S40" i="137"/>
  <c r="Q333" i="110"/>
  <c r="W40" i="137"/>
  <c r="U333" i="110"/>
  <c r="W37" i="137"/>
  <c r="U330" i="110"/>
  <c r="U211" i="110"/>
  <c r="L40" i="137"/>
  <c r="J333" i="110"/>
  <c r="N35" i="137"/>
  <c r="L328" i="110"/>
  <c r="U13" i="137"/>
  <c r="R12" i="181"/>
  <c r="S302" i="110"/>
  <c r="V15" i="137"/>
  <c r="S14" i="181"/>
  <c r="T304" i="110"/>
  <c r="V159" i="110"/>
  <c r="U15" i="137"/>
  <c r="S304" i="110"/>
  <c r="R14" i="181"/>
  <c r="K14" i="181"/>
  <c r="L304" i="110"/>
  <c r="N15" i="137"/>
  <c r="V71" i="137"/>
  <c r="T364" i="110"/>
  <c r="T245" i="110"/>
  <c r="S71" i="137"/>
  <c r="Q364" i="110"/>
  <c r="Q245" i="110"/>
  <c r="V43" i="137"/>
  <c r="T336" i="110"/>
  <c r="N71" i="137"/>
  <c r="L245" i="110"/>
  <c r="L364" i="110"/>
  <c r="S12" i="137"/>
  <c r="Q10" i="137"/>
  <c r="O405" i="110"/>
  <c r="M15" i="137"/>
  <c r="K304" i="110"/>
  <c r="J14" i="181"/>
  <c r="L15" i="137"/>
  <c r="J304" i="110"/>
  <c r="I14" i="181"/>
  <c r="V99" i="110"/>
  <c r="N333" i="110"/>
  <c r="P40" i="137"/>
  <c r="V128" i="110"/>
  <c r="S53" i="137"/>
  <c r="Q227" i="110"/>
  <c r="Q346" i="110"/>
  <c r="N54" i="137"/>
  <c r="L347" i="110"/>
  <c r="L54" i="137"/>
  <c r="J347" i="110"/>
  <c r="V142" i="110"/>
  <c r="P53" i="137"/>
  <c r="N346" i="110"/>
  <c r="N227" i="110"/>
  <c r="W54" i="137"/>
  <c r="U347" i="110"/>
  <c r="Q54" i="137"/>
  <c r="O347" i="110"/>
  <c r="U53" i="137"/>
  <c r="S346" i="110"/>
  <c r="S227" i="110"/>
  <c r="M54" i="137"/>
  <c r="K347" i="110"/>
  <c r="V53" i="137"/>
  <c r="T227" i="110"/>
  <c r="T346" i="110"/>
  <c r="T15" i="137"/>
  <c r="Q14" i="181"/>
  <c r="R304" i="110"/>
  <c r="M71" i="137"/>
  <c r="K364" i="110"/>
  <c r="K245" i="110"/>
  <c r="P54" i="137"/>
  <c r="N347" i="110"/>
  <c r="N53" i="137"/>
  <c r="L227" i="110"/>
  <c r="L346" i="110"/>
  <c r="R53" i="137"/>
  <c r="P346" i="110"/>
  <c r="P227" i="110"/>
  <c r="P71" i="137"/>
  <c r="N245" i="110"/>
  <c r="N364" i="110"/>
  <c r="M53" i="137"/>
  <c r="K346" i="110"/>
  <c r="K227" i="110"/>
  <c r="U71" i="137"/>
  <c r="S245" i="110"/>
  <c r="S364" i="110"/>
  <c r="Q71" i="137"/>
  <c r="O364" i="110"/>
  <c r="O245" i="110"/>
  <c r="V54" i="137"/>
  <c r="T347" i="110"/>
  <c r="Q53" i="137"/>
  <c r="O346" i="110"/>
  <c r="O227" i="110"/>
  <c r="S54" i="137"/>
  <c r="Q347" i="110"/>
  <c r="T53" i="137"/>
  <c r="R227" i="110"/>
  <c r="R346" i="110"/>
  <c r="S15" i="137"/>
  <c r="Q304" i="110"/>
  <c r="P14" i="181"/>
  <c r="U54" i="137"/>
  <c r="S347" i="110"/>
  <c r="M347" i="110"/>
  <c r="O54" i="137"/>
  <c r="O69" i="137"/>
  <c r="M362" i="110"/>
  <c r="W53" i="137"/>
  <c r="U227" i="110"/>
  <c r="U346" i="110"/>
  <c r="J361" i="110"/>
  <c r="L68" i="137"/>
  <c r="R54" i="137"/>
  <c r="P347" i="110"/>
  <c r="T54" i="137"/>
  <c r="R347" i="110"/>
  <c r="O53" i="137"/>
  <c r="M346" i="110"/>
  <c r="M227" i="110"/>
  <c r="L53" i="137"/>
  <c r="V141" i="110"/>
  <c r="J346" i="110"/>
  <c r="J227" i="110"/>
  <c r="DE104" i="188" l="1"/>
  <c r="CL108" i="188"/>
  <c r="DL108" i="188"/>
  <c r="S30" i="35"/>
  <c r="DD104" i="188"/>
  <c r="DB104" i="188"/>
  <c r="DK104" i="188"/>
  <c r="DI104" i="188"/>
  <c r="S56" i="35"/>
  <c r="R23" i="35"/>
  <c r="AN25" i="205"/>
  <c r="AP25" i="205" s="1"/>
  <c r="O23" i="35"/>
  <c r="AE25" i="205"/>
  <c r="AG25" i="205" s="1"/>
  <c r="P23" i="35"/>
  <c r="AH25" i="205"/>
  <c r="AJ25" i="205" s="1"/>
  <c r="X59" i="205"/>
  <c r="AW59" i="205" s="1"/>
  <c r="AX59" i="205" s="1"/>
  <c r="AA24" i="119"/>
  <c r="V58" i="205"/>
  <c r="Y25" i="119"/>
  <c r="Y26" i="119" s="1"/>
  <c r="AK25" i="205"/>
  <c r="AM25" i="205" s="1"/>
  <c r="N23" i="35"/>
  <c r="AB25" i="205"/>
  <c r="AD25" i="205" s="1"/>
  <c r="W56" i="35"/>
  <c r="X56" i="35" s="1"/>
  <c r="M23" i="35"/>
  <c r="Y25" i="205"/>
  <c r="AA25" i="205" s="1"/>
  <c r="J17" i="124"/>
  <c r="J26" i="124" s="1"/>
  <c r="W30" i="35"/>
  <c r="X30" i="35" s="1"/>
  <c r="W50" i="35"/>
  <c r="X50" i="35" s="1"/>
  <c r="P23" i="206"/>
  <c r="AM23" i="206"/>
  <c r="W29" i="35"/>
  <c r="X29" i="35" s="1"/>
  <c r="EH119" i="188"/>
  <c r="EC119" i="188"/>
  <c r="EJ119" i="188"/>
  <c r="EA119" i="188"/>
  <c r="V392" i="110"/>
  <c r="S34" i="137"/>
  <c r="Q207" i="110"/>
  <c r="P388" i="110"/>
  <c r="P207" i="110"/>
  <c r="T326" i="110"/>
  <c r="T207" i="110"/>
  <c r="U326" i="110"/>
  <c r="U207" i="110"/>
  <c r="M34" i="137"/>
  <c r="K207" i="110"/>
  <c r="P34" i="137"/>
  <c r="N207" i="110"/>
  <c r="N34" i="137"/>
  <c r="L207" i="110"/>
  <c r="O34" i="137"/>
  <c r="M207" i="110"/>
  <c r="O326" i="110"/>
  <c r="O207" i="110"/>
  <c r="U34" i="137"/>
  <c r="S207" i="110"/>
  <c r="T34" i="137"/>
  <c r="R207" i="110"/>
  <c r="W30" i="137"/>
  <c r="U202" i="110"/>
  <c r="O321" i="110"/>
  <c r="O202" i="110"/>
  <c r="S321" i="110"/>
  <c r="S202" i="110"/>
  <c r="P387" i="110"/>
  <c r="P202" i="110"/>
  <c r="R321" i="110"/>
  <c r="R202" i="110"/>
  <c r="S31" i="137"/>
  <c r="Q203" i="110"/>
  <c r="T31" i="137"/>
  <c r="R203" i="110"/>
  <c r="U31" i="137"/>
  <c r="S203" i="110"/>
  <c r="O322" i="110"/>
  <c r="O203" i="110"/>
  <c r="V31" i="137"/>
  <c r="T203" i="110"/>
  <c r="W31" i="137"/>
  <c r="U203" i="110"/>
  <c r="S27" i="137"/>
  <c r="Q199" i="110"/>
  <c r="R27" i="137"/>
  <c r="P199" i="110"/>
  <c r="Q27" i="137"/>
  <c r="O199" i="110"/>
  <c r="T27" i="137"/>
  <c r="R199" i="110"/>
  <c r="W27" i="137"/>
  <c r="U199" i="110"/>
  <c r="S104" i="110"/>
  <c r="J104" i="110"/>
  <c r="CZ104" i="188"/>
  <c r="DJ104" i="188"/>
  <c r="K104" i="188"/>
  <c r="EB104" i="188" s="1"/>
  <c r="BC102" i="188"/>
  <c r="BC122" i="188" s="1"/>
  <c r="AZ102" i="188"/>
  <c r="AZ122" i="188" s="1"/>
  <c r="BD102" i="188"/>
  <c r="BD122" i="188" s="1"/>
  <c r="BJ102" i="188"/>
  <c r="BJ122" i="188" s="1"/>
  <c r="BB102" i="188"/>
  <c r="BB122" i="188" s="1"/>
  <c r="BG102" i="188"/>
  <c r="BG122" i="188" s="1"/>
  <c r="G71" i="193"/>
  <c r="EK119" i="188"/>
  <c r="DF104" i="188"/>
  <c r="EB119" i="188"/>
  <c r="DG104" i="188"/>
  <c r="DA104" i="188"/>
  <c r="EI119" i="188"/>
  <c r="BH102" i="188"/>
  <c r="BH122" i="188" s="1"/>
  <c r="EE119" i="188"/>
  <c r="BI102" i="188"/>
  <c r="BI122" i="188" s="1"/>
  <c r="DH104" i="188"/>
  <c r="DK70" i="188"/>
  <c r="EF119" i="188"/>
  <c r="BK102" i="188"/>
  <c r="BK122" i="188" s="1"/>
  <c r="BE102" i="188"/>
  <c r="BE122" i="188" s="1"/>
  <c r="G53" i="193"/>
  <c r="DZ119" i="188"/>
  <c r="EG119" i="188"/>
  <c r="Y7" i="133"/>
  <c r="Y8" i="133" s="1"/>
  <c r="I102" i="188"/>
  <c r="CH102" i="188" s="1"/>
  <c r="CH122" i="188" s="1"/>
  <c r="BA102" i="188"/>
  <c r="BA122" i="188" s="1"/>
  <c r="EJ58" i="188"/>
  <c r="AL102" i="188"/>
  <c r="AL122" i="188" s="1"/>
  <c r="M32" i="124"/>
  <c r="V66" i="181"/>
  <c r="K32" i="124"/>
  <c r="N32" i="124"/>
  <c r="P32" i="124"/>
  <c r="Q32" i="124"/>
  <c r="P36" i="124" a="1"/>
  <c r="P36" i="124" s="1"/>
  <c r="O25" i="124"/>
  <c r="O36" i="124" a="1"/>
  <c r="O36" i="124" s="1"/>
  <c r="O38" i="124" s="1"/>
  <c r="K36" i="124" a="1"/>
  <c r="K36" i="124" s="1"/>
  <c r="Q36" i="124" a="1"/>
  <c r="Q36" i="124" s="1"/>
  <c r="M25" i="124"/>
  <c r="M36" i="124" a="1"/>
  <c r="M36" i="124" s="1"/>
  <c r="M38" i="124" s="1"/>
  <c r="N25" i="124"/>
  <c r="N36" i="124" a="1"/>
  <c r="N36" i="124" s="1"/>
  <c r="P206" i="58"/>
  <c r="P208" i="58" s="1"/>
  <c r="P293" i="58"/>
  <c r="Y202" i="58"/>
  <c r="E26" i="193"/>
  <c r="E57" i="193" s="1"/>
  <c r="E66" i="193" s="1"/>
  <c r="E75" i="193" s="1"/>
  <c r="DE112" i="188"/>
  <c r="D30" i="193"/>
  <c r="DK112" i="188"/>
  <c r="CP29" i="188"/>
  <c r="CP130" i="188" s="1"/>
  <c r="E23" i="193"/>
  <c r="F23" i="193" s="1"/>
  <c r="DP28" i="188"/>
  <c r="EC28" i="188" s="1"/>
  <c r="EC29" i="188" s="1"/>
  <c r="E24" i="193"/>
  <c r="F24" i="193" s="1"/>
  <c r="E30" i="133"/>
  <c r="C37" i="133" s="1"/>
  <c r="DD114" i="188"/>
  <c r="E25" i="193"/>
  <c r="E56" i="193" s="1"/>
  <c r="E65" i="193" s="1"/>
  <c r="E74" i="193" s="1"/>
  <c r="DF70" i="188"/>
  <c r="EB98" i="188"/>
  <c r="EH58" i="188"/>
  <c r="DK31" i="188"/>
  <c r="DF31" i="188"/>
  <c r="DB98" i="188"/>
  <c r="CZ70" i="188"/>
  <c r="P80" i="192"/>
  <c r="DK114" i="188"/>
  <c r="BL26" i="188"/>
  <c r="BL29" i="188" s="1"/>
  <c r="DI115" i="188"/>
  <c r="CL70" i="188"/>
  <c r="CZ115" i="188"/>
  <c r="DC70" i="188"/>
  <c r="ED59" i="188"/>
  <c r="K115" i="188"/>
  <c r="EE115" i="188" s="1"/>
  <c r="DE115" i="188"/>
  <c r="K70" i="188"/>
  <c r="DG115" i="188"/>
  <c r="CZ114" i="188"/>
  <c r="DA31" i="188"/>
  <c r="J13" i="192"/>
  <c r="J98" i="192" s="1"/>
  <c r="EF105" i="188"/>
  <c r="X8" i="133"/>
  <c r="DE31" i="188"/>
  <c r="DD40" i="188"/>
  <c r="DJ40" i="188"/>
  <c r="CH14" i="188"/>
  <c r="DE40" i="188"/>
  <c r="CL112" i="188"/>
  <c r="D12" i="26"/>
  <c r="E42" i="138"/>
  <c r="E47" i="138" s="1"/>
  <c r="DJ31" i="188"/>
  <c r="DG31" i="188"/>
  <c r="DB31" i="188"/>
  <c r="DD31" i="188"/>
  <c r="DI31" i="188"/>
  <c r="CL104" i="188"/>
  <c r="CZ31" i="188"/>
  <c r="ED58" i="188"/>
  <c r="CE14" i="188"/>
  <c r="DK115" i="188"/>
  <c r="EB105" i="188"/>
  <c r="EI58" i="188"/>
  <c r="Y130" i="188"/>
  <c r="EG58" i="188"/>
  <c r="CL55" i="188"/>
  <c r="G66" i="133"/>
  <c r="G89" i="133"/>
  <c r="CL115" i="188"/>
  <c r="DD115" i="188"/>
  <c r="EF58" i="188"/>
  <c r="DL119" i="188"/>
  <c r="DB115" i="188"/>
  <c r="V25" i="119"/>
  <c r="V26" i="119" s="1"/>
  <c r="DF115" i="188"/>
  <c r="DA115" i="188"/>
  <c r="EC58" i="188"/>
  <c r="CL98" i="188"/>
  <c r="DF114" i="188"/>
  <c r="DJ115" i="188"/>
  <c r="EA58" i="188"/>
  <c r="DH115" i="188"/>
  <c r="AG130" i="188"/>
  <c r="EE58" i="188"/>
  <c r="EB58" i="188"/>
  <c r="DE114" i="188"/>
  <c r="EK58" i="188"/>
  <c r="DL58" i="188"/>
  <c r="W126" i="58"/>
  <c r="U126" i="58"/>
  <c r="K112" i="188"/>
  <c r="BL10" i="188"/>
  <c r="DB107" i="188"/>
  <c r="Q25" i="119"/>
  <c r="Q26" i="119" s="1"/>
  <c r="DF112" i="188"/>
  <c r="DZ35" i="188"/>
  <c r="L17" i="199"/>
  <c r="DA112" i="188"/>
  <c r="DH114" i="188"/>
  <c r="EH35" i="188"/>
  <c r="M21" i="199"/>
  <c r="DG70" i="188"/>
  <c r="EK105" i="188"/>
  <c r="V126" i="58"/>
  <c r="EE59" i="188"/>
  <c r="EH59" i="188"/>
  <c r="AY7" i="133"/>
  <c r="AZ7" i="133" s="1"/>
  <c r="BA7" i="133" s="1"/>
  <c r="AE130" i="188"/>
  <c r="AE132" i="188" s="1"/>
  <c r="EG59" i="188"/>
  <c r="EK59" i="188"/>
  <c r="EG35" i="188"/>
  <c r="DI70" i="188"/>
  <c r="K80" i="192"/>
  <c r="EI98" i="188"/>
  <c r="DI114" i="188"/>
  <c r="EF59" i="188"/>
  <c r="EA59" i="188"/>
  <c r="CL111" i="188"/>
  <c r="W25" i="119"/>
  <c r="W26" i="119" s="1"/>
  <c r="M22" i="199"/>
  <c r="EE98" i="188"/>
  <c r="DB114" i="188"/>
  <c r="DH98" i="188"/>
  <c r="DD98" i="188"/>
  <c r="ED105" i="188"/>
  <c r="M80" i="192"/>
  <c r="EJ59" i="188"/>
  <c r="DD112" i="188"/>
  <c r="EB59" i="188"/>
  <c r="DL120" i="188"/>
  <c r="DJ112" i="188"/>
  <c r="O80" i="192"/>
  <c r="EF98" i="188"/>
  <c r="DG98" i="188"/>
  <c r="EI59" i="188"/>
  <c r="DL105" i="188"/>
  <c r="DH112" i="188"/>
  <c r="DI112" i="188"/>
  <c r="ED35" i="188"/>
  <c r="N15" i="199"/>
  <c r="N21" i="199" s="1"/>
  <c r="EG98" i="188"/>
  <c r="CZ55" i="188"/>
  <c r="K55" i="188"/>
  <c r="DD55" i="188"/>
  <c r="DB55" i="188"/>
  <c r="DJ55" i="188"/>
  <c r="DA55" i="188"/>
  <c r="DC55" i="188"/>
  <c r="DH55" i="188"/>
  <c r="DG55" i="188"/>
  <c r="DE55" i="188"/>
  <c r="DI55" i="188"/>
  <c r="DF55" i="188"/>
  <c r="DC112" i="188"/>
  <c r="CL105" i="188"/>
  <c r="DE70" i="188"/>
  <c r="DB70" i="188"/>
  <c r="DJ70" i="188"/>
  <c r="DA70" i="188"/>
  <c r="DD70" i="188"/>
  <c r="DG112" i="188"/>
  <c r="DZ59" i="188"/>
  <c r="DB112" i="188"/>
  <c r="EC98" i="188"/>
  <c r="O126" i="58"/>
  <c r="L61" i="181"/>
  <c r="U61" i="181" s="1"/>
  <c r="U34" i="181"/>
  <c r="L60" i="181"/>
  <c r="Q126" i="58"/>
  <c r="AA91" i="110"/>
  <c r="AD91" i="110" s="1"/>
  <c r="L126" i="58"/>
  <c r="T126" i="58"/>
  <c r="N91" i="110"/>
  <c r="P7" i="137" s="1"/>
  <c r="M126" i="58"/>
  <c r="R126" i="58"/>
  <c r="N126" i="58"/>
  <c r="S126" i="58"/>
  <c r="X125" i="58"/>
  <c r="X116" i="58"/>
  <c r="U426" i="110"/>
  <c r="R91" i="110"/>
  <c r="R426" i="110" s="1"/>
  <c r="U438" i="110"/>
  <c r="O91" i="110"/>
  <c r="O438" i="110" s="1"/>
  <c r="Q91" i="110"/>
  <c r="Q402" i="110" s="1"/>
  <c r="P320" i="58"/>
  <c r="P329" i="58" s="1"/>
  <c r="P370" i="58" s="1"/>
  <c r="R320" i="58"/>
  <c r="R329" i="58" s="1"/>
  <c r="R331" i="58" s="1"/>
  <c r="S91" i="110"/>
  <c r="S402" i="110" s="1"/>
  <c r="K91" i="110"/>
  <c r="M7" i="137" s="1"/>
  <c r="M91" i="110"/>
  <c r="M402" i="110" s="1"/>
  <c r="U414" i="110"/>
  <c r="L91" i="110"/>
  <c r="T91" i="110"/>
  <c r="T402" i="110" s="1"/>
  <c r="J91" i="110"/>
  <c r="J438" i="110" s="1"/>
  <c r="U402" i="110"/>
  <c r="P91" i="110"/>
  <c r="P414" i="110" s="1"/>
  <c r="T180" i="110"/>
  <c r="R180" i="110"/>
  <c r="S10" i="137"/>
  <c r="V320" i="58"/>
  <c r="V329" i="58" s="1"/>
  <c r="V333" i="58" s="1"/>
  <c r="Q320" i="58"/>
  <c r="Q329" i="58" s="1"/>
  <c r="Q332" i="58" s="1"/>
  <c r="J58" i="181"/>
  <c r="J59" i="181" s="1"/>
  <c r="J33" i="181"/>
  <c r="N320" i="58"/>
  <c r="N329" i="58" s="1"/>
  <c r="N332" i="58" s="1"/>
  <c r="T320" i="58"/>
  <c r="T329" i="58" s="1"/>
  <c r="T331" i="58" s="1"/>
  <c r="U320" i="58"/>
  <c r="U329" i="58" s="1"/>
  <c r="U332" i="58" s="1"/>
  <c r="J63" i="199"/>
  <c r="X318" i="58"/>
  <c r="G182" i="110"/>
  <c r="AA182" i="110" s="1"/>
  <c r="AD182" i="110" s="1"/>
  <c r="P224" i="58"/>
  <c r="P291" i="58" s="1"/>
  <c r="J405" i="110"/>
  <c r="T10" i="137"/>
  <c r="T405" i="110"/>
  <c r="L405" i="110"/>
  <c r="S320" i="58"/>
  <c r="S329" i="58" s="1"/>
  <c r="S332" i="58" s="1"/>
  <c r="L329" i="58"/>
  <c r="M405" i="110"/>
  <c r="M180" i="110"/>
  <c r="N405" i="110"/>
  <c r="J180" i="110"/>
  <c r="H177" i="110"/>
  <c r="AB177" i="110" s="1"/>
  <c r="AE177" i="110" s="1"/>
  <c r="N180" i="110"/>
  <c r="S180" i="110"/>
  <c r="G181" i="110"/>
  <c r="R181" i="110" s="1"/>
  <c r="H182" i="110"/>
  <c r="AB182" i="110" s="1"/>
  <c r="AE182" i="110" s="1"/>
  <c r="F299" i="110"/>
  <c r="E299" i="110" s="1"/>
  <c r="I180" i="110"/>
  <c r="AC180" i="110" s="1"/>
  <c r="AF180" i="110" s="1"/>
  <c r="V10" i="137"/>
  <c r="O180" i="110"/>
  <c r="P180" i="110"/>
  <c r="M10" i="137"/>
  <c r="S405" i="110"/>
  <c r="I181" i="110"/>
  <c r="AC181" i="110" s="1"/>
  <c r="AF181" i="110" s="1"/>
  <c r="L180" i="110"/>
  <c r="K180" i="110"/>
  <c r="F300" i="110"/>
  <c r="E300" i="110" s="1"/>
  <c r="R405" i="110"/>
  <c r="X358" i="58"/>
  <c r="H180" i="110"/>
  <c r="AB180" i="110" s="1"/>
  <c r="AE180" i="110" s="1"/>
  <c r="Q180" i="110"/>
  <c r="G190" i="110"/>
  <c r="AA190" i="110" s="1"/>
  <c r="AD190" i="110" s="1"/>
  <c r="H190" i="110"/>
  <c r="AB190" i="110" s="1"/>
  <c r="AE190" i="110" s="1"/>
  <c r="F309" i="110"/>
  <c r="F386" i="110" s="1"/>
  <c r="E386" i="110" s="1"/>
  <c r="K404" i="110"/>
  <c r="K416" i="110"/>
  <c r="K440" i="110"/>
  <c r="K428" i="110"/>
  <c r="T417" i="110"/>
  <c r="T441" i="110"/>
  <c r="T429" i="110"/>
  <c r="F301" i="110"/>
  <c r="E301" i="110" s="1"/>
  <c r="S441" i="110"/>
  <c r="S417" i="110"/>
  <c r="S429" i="110"/>
  <c r="L429" i="110"/>
  <c r="L417" i="110"/>
  <c r="L441" i="110"/>
  <c r="F296" i="110"/>
  <c r="E296" i="110" s="1"/>
  <c r="R417" i="110"/>
  <c r="R441" i="110"/>
  <c r="R429" i="110"/>
  <c r="U405" i="110"/>
  <c r="V94" i="110"/>
  <c r="U180" i="110"/>
  <c r="G177" i="110"/>
  <c r="AA177" i="110" s="1"/>
  <c r="AD177" i="110" s="1"/>
  <c r="N417" i="110"/>
  <c r="N441" i="110"/>
  <c r="N429" i="110"/>
  <c r="J441" i="110"/>
  <c r="J417" i="110"/>
  <c r="J429" i="110"/>
  <c r="U417" i="110"/>
  <c r="U441" i="110"/>
  <c r="U429" i="110"/>
  <c r="T11" i="137"/>
  <c r="R430" i="110"/>
  <c r="R418" i="110"/>
  <c r="R442" i="110"/>
  <c r="Q441" i="110"/>
  <c r="Q417" i="110"/>
  <c r="Q429" i="110"/>
  <c r="R10" i="137"/>
  <c r="P429" i="110"/>
  <c r="P417" i="110"/>
  <c r="P441" i="110"/>
  <c r="M429" i="110"/>
  <c r="M417" i="110"/>
  <c r="M441" i="110"/>
  <c r="K441" i="110"/>
  <c r="K429" i="110"/>
  <c r="K417" i="110"/>
  <c r="Z25" i="119"/>
  <c r="Z26" i="119" s="1"/>
  <c r="AU89" i="133"/>
  <c r="R25" i="119"/>
  <c r="R26" i="119" s="1"/>
  <c r="J203" i="110"/>
  <c r="V117" i="110"/>
  <c r="L30" i="137"/>
  <c r="V116" i="110"/>
  <c r="L34" i="137"/>
  <c r="V121" i="110"/>
  <c r="L35" i="137"/>
  <c r="V123" i="110"/>
  <c r="L27" i="137"/>
  <c r="V113" i="110"/>
  <c r="X357" i="58"/>
  <c r="X221" i="58"/>
  <c r="X309" i="58"/>
  <c r="X310" i="58" s="1"/>
  <c r="X319" i="58"/>
  <c r="M320" i="58"/>
  <c r="M329" i="58" s="1"/>
  <c r="M333" i="58" s="1"/>
  <c r="G209" i="110"/>
  <c r="AA209" i="110" s="1"/>
  <c r="AD209" i="110" s="1"/>
  <c r="K31" i="188"/>
  <c r="EB31" i="188" s="1"/>
  <c r="EJ98" i="188"/>
  <c r="DK107" i="188"/>
  <c r="EI105" i="188"/>
  <c r="P25" i="119"/>
  <c r="P26" i="119" s="1"/>
  <c r="ED98" i="188"/>
  <c r="ED107" i="188"/>
  <c r="DG107" i="188"/>
  <c r="DC98" i="188"/>
  <c r="EH105" i="188"/>
  <c r="EA120" i="188"/>
  <c r="EC120" i="188"/>
  <c r="EJ120" i="188"/>
  <c r="CL109" i="188"/>
  <c r="EA107" i="188"/>
  <c r="EE107" i="188"/>
  <c r="EH107" i="188"/>
  <c r="BY29" i="188"/>
  <c r="BY130" i="188" s="1"/>
  <c r="EF107" i="188"/>
  <c r="DA98" i="188"/>
  <c r="BL127" i="188"/>
  <c r="H80" i="192"/>
  <c r="DC31" i="188"/>
  <c r="EA106" i="188"/>
  <c r="CL61" i="188"/>
  <c r="R79" i="192"/>
  <c r="EI107" i="188"/>
  <c r="DK98" i="188"/>
  <c r="DK111" i="188"/>
  <c r="DC111" i="188"/>
  <c r="DA111" i="188"/>
  <c r="DB111" i="188"/>
  <c r="DE111" i="188"/>
  <c r="DF111" i="188"/>
  <c r="K111" i="188"/>
  <c r="DG111" i="188"/>
  <c r="CZ111" i="188"/>
  <c r="DH111" i="188"/>
  <c r="DJ111" i="188"/>
  <c r="DI111" i="188"/>
  <c r="DD111" i="188"/>
  <c r="DZ120" i="188"/>
  <c r="EI120" i="188"/>
  <c r="EK120" i="188"/>
  <c r="DH107" i="188"/>
  <c r="CL107" i="188"/>
  <c r="DI40" i="188"/>
  <c r="EA98" i="188"/>
  <c r="EF120" i="188"/>
  <c r="DI98" i="188"/>
  <c r="CL103" i="188"/>
  <c r="DE107" i="188"/>
  <c r="EK107" i="188"/>
  <c r="ED120" i="188"/>
  <c r="DJ107" i="188"/>
  <c r="DD107" i="188"/>
  <c r="DF40" i="188"/>
  <c r="G80" i="192"/>
  <c r="DZ98" i="188"/>
  <c r="EE120" i="188"/>
  <c r="EJ105" i="188"/>
  <c r="J80" i="192"/>
  <c r="EJ107" i="188"/>
  <c r="Q80" i="192"/>
  <c r="EH98" i="188"/>
  <c r="EB120" i="188"/>
  <c r="EC105" i="188"/>
  <c r="DC107" i="188"/>
  <c r="EG105" i="188"/>
  <c r="CZ98" i="188"/>
  <c r="DI107" i="188"/>
  <c r="DJ98" i="188"/>
  <c r="DE98" i="188"/>
  <c r="EE105" i="188"/>
  <c r="EA105" i="188"/>
  <c r="DZ107" i="188"/>
  <c r="EH120" i="188"/>
  <c r="DL56" i="188"/>
  <c r="EH65" i="188"/>
  <c r="EK65" i="188"/>
  <c r="EG120" i="188"/>
  <c r="CL40" i="188"/>
  <c r="DF98" i="188"/>
  <c r="EG65" i="188"/>
  <c r="AY130" i="188"/>
  <c r="I179" i="110"/>
  <c r="AC179" i="110" s="1"/>
  <c r="AF179" i="110" s="1"/>
  <c r="AW6" i="133"/>
  <c r="AW8" i="133" s="1"/>
  <c r="DK40" i="188"/>
  <c r="EJ65" i="188"/>
  <c r="AV45" i="133"/>
  <c r="AV47" i="133" s="1"/>
  <c r="AV87" i="133" s="1"/>
  <c r="DB40" i="188"/>
  <c r="CL101" i="188"/>
  <c r="DC40" i="188"/>
  <c r="EF65" i="188"/>
  <c r="DZ65" i="188"/>
  <c r="DF107" i="188"/>
  <c r="EA65" i="188"/>
  <c r="EC65" i="188"/>
  <c r="H179" i="110"/>
  <c r="AB179" i="110" s="1"/>
  <c r="AE179" i="110" s="1"/>
  <c r="DH40" i="188"/>
  <c r="EI65" i="188"/>
  <c r="DK51" i="188"/>
  <c r="EB65" i="188"/>
  <c r="DK79" i="188"/>
  <c r="EC35" i="188"/>
  <c r="DG114" i="188"/>
  <c r="K114" i="188"/>
  <c r="CL79" i="188"/>
  <c r="EE35" i="188"/>
  <c r="CL76" i="188"/>
  <c r="EG107" i="188"/>
  <c r="DL35" i="188"/>
  <c r="R78" i="192"/>
  <c r="F66" i="133"/>
  <c r="EJ35" i="188"/>
  <c r="EB107" i="188"/>
  <c r="EL108" i="188"/>
  <c r="CL114" i="188"/>
  <c r="DG40" i="188"/>
  <c r="CL75" i="188"/>
  <c r="DA107" i="188"/>
  <c r="ED65" i="188"/>
  <c r="DA40" i="188"/>
  <c r="AL46" i="133"/>
  <c r="CL82" i="188"/>
  <c r="AL8" i="188"/>
  <c r="F298" i="110"/>
  <c r="E298" i="110" s="1"/>
  <c r="K40" i="188"/>
  <c r="EE40" i="188" s="1"/>
  <c r="DJ114" i="188"/>
  <c r="CL54" i="188"/>
  <c r="CZ107" i="188"/>
  <c r="I209" i="110"/>
  <c r="AC209" i="110" s="1"/>
  <c r="AF209" i="110" s="1"/>
  <c r="DC114" i="188"/>
  <c r="U95" i="110"/>
  <c r="O95" i="110"/>
  <c r="M47" i="175"/>
  <c r="N16" i="175" s="1"/>
  <c r="DF54" i="188"/>
  <c r="DI54" i="188"/>
  <c r="DJ54" i="188"/>
  <c r="CZ54" i="188"/>
  <c r="DG54" i="188"/>
  <c r="DC54" i="188"/>
  <c r="DB54" i="188"/>
  <c r="DH54" i="188"/>
  <c r="K54" i="188"/>
  <c r="DK54" i="188"/>
  <c r="DD54" i="188"/>
  <c r="DE54" i="188"/>
  <c r="DA54" i="188"/>
  <c r="CL62" i="188"/>
  <c r="DB101" i="188"/>
  <c r="DK101" i="188"/>
  <c r="DF101" i="188"/>
  <c r="DG101" i="188"/>
  <c r="DD101" i="188"/>
  <c r="DA101" i="188"/>
  <c r="DH101" i="188"/>
  <c r="DE101" i="188"/>
  <c r="DJ38" i="188"/>
  <c r="DE38" i="188"/>
  <c r="DC38" i="188"/>
  <c r="DK38" i="188"/>
  <c r="DB38" i="188"/>
  <c r="DA38" i="188"/>
  <c r="CZ38" i="188"/>
  <c r="DI38" i="188"/>
  <c r="DF38" i="188"/>
  <c r="DD38" i="188"/>
  <c r="DH38" i="188"/>
  <c r="K38" i="188"/>
  <c r="DG38" i="188"/>
  <c r="J66" i="133"/>
  <c r="BL97" i="188"/>
  <c r="CD97" i="188"/>
  <c r="DA79" i="188"/>
  <c r="CL78" i="188"/>
  <c r="CZ79" i="188"/>
  <c r="DL65" i="188"/>
  <c r="F80" i="192"/>
  <c r="F107" i="192" s="1"/>
  <c r="F108" i="192" s="1"/>
  <c r="EL24" i="188"/>
  <c r="DI79" i="188"/>
  <c r="DJ101" i="188"/>
  <c r="CZ101" i="188"/>
  <c r="CJ14" i="188"/>
  <c r="L80" i="192"/>
  <c r="DG79" i="188"/>
  <c r="K101" i="188"/>
  <c r="EG101" i="188" s="1"/>
  <c r="DE79" i="188"/>
  <c r="CL50" i="188"/>
  <c r="CK14" i="188"/>
  <c r="DB79" i="188"/>
  <c r="DJ79" i="188"/>
  <c r="DC101" i="188"/>
  <c r="DD79" i="188"/>
  <c r="DI101" i="188"/>
  <c r="CL80" i="188"/>
  <c r="CL38" i="188"/>
  <c r="DJ103" i="188"/>
  <c r="DB103" i="188"/>
  <c r="DG103" i="188"/>
  <c r="DH103" i="188"/>
  <c r="DD103" i="188"/>
  <c r="DI103" i="188"/>
  <c r="CZ103" i="188"/>
  <c r="DF103" i="188"/>
  <c r="DK103" i="188"/>
  <c r="DE103" i="188"/>
  <c r="DC103" i="188"/>
  <c r="K103" i="188"/>
  <c r="DA103" i="188"/>
  <c r="EG56" i="188"/>
  <c r="DZ56" i="188"/>
  <c r="EE56" i="188"/>
  <c r="EJ56" i="188"/>
  <c r="EF56" i="188"/>
  <c r="EA56" i="188"/>
  <c r="EI56" i="188"/>
  <c r="ED56" i="188"/>
  <c r="EB56" i="188"/>
  <c r="EK56" i="188"/>
  <c r="EH56" i="188"/>
  <c r="EC56" i="188"/>
  <c r="CL36" i="188"/>
  <c r="X166" i="137"/>
  <c r="X167" i="137" s="1"/>
  <c r="DL106" i="188"/>
  <c r="CL99" i="188"/>
  <c r="EA35" i="188"/>
  <c r="EB35" i="188"/>
  <c r="EI35" i="188"/>
  <c r="EK35" i="188"/>
  <c r="AA95" i="110"/>
  <c r="AD95" i="110" s="1"/>
  <c r="T95" i="110"/>
  <c r="Q95" i="110"/>
  <c r="N95" i="110"/>
  <c r="L95" i="110"/>
  <c r="S95" i="110"/>
  <c r="M95" i="110"/>
  <c r="K95" i="110"/>
  <c r="N104" i="110"/>
  <c r="P20" i="137" s="1"/>
  <c r="R104" i="110"/>
  <c r="T20" i="137" s="1"/>
  <c r="AA104" i="110"/>
  <c r="AD104" i="110" s="1"/>
  <c r="P104" i="110"/>
  <c r="P309" i="110" s="1"/>
  <c r="L104" i="110"/>
  <c r="N20" i="137" s="1"/>
  <c r="M104" i="110"/>
  <c r="O20" i="137" s="1"/>
  <c r="O104" i="110"/>
  <c r="Q20" i="137" s="1"/>
  <c r="Q104" i="110"/>
  <c r="Q309" i="110" s="1"/>
  <c r="U104" i="110"/>
  <c r="W20" i="137" s="1"/>
  <c r="T104" i="110"/>
  <c r="V20" i="137" s="1"/>
  <c r="K104" i="110"/>
  <c r="K309" i="110" s="1"/>
  <c r="DJ75" i="188"/>
  <c r="DB28" i="188"/>
  <c r="DB29" i="188" s="1"/>
  <c r="DO28" i="188"/>
  <c r="EB28" i="188" s="1"/>
  <c r="AC130" i="188"/>
  <c r="AC132" i="188" s="1"/>
  <c r="DD75" i="188"/>
  <c r="BG8" i="188"/>
  <c r="BK8" i="188"/>
  <c r="BA8" i="188"/>
  <c r="BB8" i="188"/>
  <c r="BF8" i="188"/>
  <c r="BH8" i="188"/>
  <c r="BI8" i="188"/>
  <c r="BJ8" i="188"/>
  <c r="AZ8" i="188"/>
  <c r="BC8" i="188"/>
  <c r="BE8" i="188"/>
  <c r="BD8" i="188"/>
  <c r="CL37" i="188"/>
  <c r="DH28" i="188"/>
  <c r="DU28" i="188"/>
  <c r="EH28" i="188" s="1"/>
  <c r="CI74" i="188"/>
  <c r="G69" i="192"/>
  <c r="DH79" i="188"/>
  <c r="K75" i="188"/>
  <c r="EG75" i="188" s="1"/>
  <c r="DL59" i="188"/>
  <c r="DD80" i="188"/>
  <c r="K80" i="188"/>
  <c r="DG80" i="188"/>
  <c r="DC80" i="188"/>
  <c r="CZ80" i="188"/>
  <c r="DI80" i="188"/>
  <c r="DB80" i="188"/>
  <c r="DF80" i="188"/>
  <c r="DJ80" i="188"/>
  <c r="DH80" i="188"/>
  <c r="DA80" i="188"/>
  <c r="DK80" i="188"/>
  <c r="DE80" i="188"/>
  <c r="DD51" i="188"/>
  <c r="P95" i="110"/>
  <c r="Q23" i="35"/>
  <c r="N80" i="192"/>
  <c r="K79" i="188"/>
  <c r="EA79" i="188" s="1"/>
  <c r="DC75" i="188"/>
  <c r="CL100" i="188"/>
  <c r="DH75" i="188"/>
  <c r="DI75" i="188"/>
  <c r="H13" i="133"/>
  <c r="CO29" i="188"/>
  <c r="CO130" i="188" s="1"/>
  <c r="AD130" i="188"/>
  <c r="AD132" i="188" s="1"/>
  <c r="DF79" i="188"/>
  <c r="P56" i="192"/>
  <c r="Q50" i="192"/>
  <c r="Q56" i="192" s="1"/>
  <c r="K65" i="192"/>
  <c r="L10" i="192"/>
  <c r="DF75" i="188"/>
  <c r="DA75" i="188"/>
  <c r="DK75" i="188"/>
  <c r="DE75" i="188"/>
  <c r="DB75" i="188"/>
  <c r="DG75" i="188"/>
  <c r="DK100" i="188"/>
  <c r="CZ100" i="188"/>
  <c r="DB100" i="188"/>
  <c r="DD100" i="188"/>
  <c r="K100" i="188"/>
  <c r="DG100" i="188"/>
  <c r="DE100" i="188"/>
  <c r="DJ100" i="188"/>
  <c r="DH100" i="188"/>
  <c r="DC100" i="188"/>
  <c r="DF100" i="188"/>
  <c r="DA100" i="188"/>
  <c r="DI100" i="188"/>
  <c r="I217" i="110"/>
  <c r="AC217" i="110" s="1"/>
  <c r="AF217" i="110" s="1"/>
  <c r="CB97" i="188"/>
  <c r="CG14" i="188"/>
  <c r="DC51" i="188"/>
  <c r="CL106" i="188"/>
  <c r="G34" i="192"/>
  <c r="G86" i="192"/>
  <c r="G92" i="192" s="1"/>
  <c r="H41" i="192"/>
  <c r="DZ106" i="188"/>
  <c r="EB106" i="188"/>
  <c r="EJ106" i="188"/>
  <c r="EG106" i="188"/>
  <c r="EI106" i="188"/>
  <c r="H9" i="188"/>
  <c r="AJ9" i="188"/>
  <c r="AJ14" i="188" s="1"/>
  <c r="AJ130" i="188" s="1"/>
  <c r="AI9" i="188"/>
  <c r="AI14" i="188" s="1"/>
  <c r="AI130" i="188" s="1"/>
  <c r="AH9" i="188"/>
  <c r="AH14" i="188" s="1"/>
  <c r="AH130" i="188" s="1"/>
  <c r="AK9" i="188"/>
  <c r="AK14" i="188" s="1"/>
  <c r="AK130" i="188" s="1"/>
  <c r="DI51" i="188"/>
  <c r="EH106" i="188"/>
  <c r="AW121" i="133"/>
  <c r="AW127" i="133" s="1"/>
  <c r="AF130" i="188"/>
  <c r="EL110" i="188"/>
  <c r="DG51" i="188"/>
  <c r="EF106" i="188"/>
  <c r="X25" i="119"/>
  <c r="X26" i="119" s="1"/>
  <c r="AZ10" i="133"/>
  <c r="BA10" i="133" s="1"/>
  <c r="CE97" i="188"/>
  <c r="K51" i="188"/>
  <c r="DZ51" i="188" s="1"/>
  <c r="CL51" i="188"/>
  <c r="DH62" i="188"/>
  <c r="DF62" i="188"/>
  <c r="DI62" i="188"/>
  <c r="K62" i="188"/>
  <c r="DE62" i="188"/>
  <c r="DG62" i="188"/>
  <c r="CZ62" i="188"/>
  <c r="DJ62" i="188"/>
  <c r="DD62" i="188"/>
  <c r="DC62" i="188"/>
  <c r="DB62" i="188"/>
  <c r="DK62" i="188"/>
  <c r="DA62" i="188"/>
  <c r="M61" i="192"/>
  <c r="M63" i="192" s="1"/>
  <c r="M109" i="192" s="1"/>
  <c r="N6" i="192"/>
  <c r="M8" i="192"/>
  <c r="DE51" i="188"/>
  <c r="DA36" i="188"/>
  <c r="K36" i="188"/>
  <c r="DJ36" i="188"/>
  <c r="DH36" i="188"/>
  <c r="DD36" i="188"/>
  <c r="DC36" i="188"/>
  <c r="DB36" i="188"/>
  <c r="CZ36" i="188"/>
  <c r="DG36" i="188"/>
  <c r="DK36" i="188"/>
  <c r="DI36" i="188"/>
  <c r="DE36" i="188"/>
  <c r="DF36" i="188"/>
  <c r="J18" i="192"/>
  <c r="I20" i="192"/>
  <c r="I25" i="192" s="1"/>
  <c r="DF109" i="188"/>
  <c r="DJ109" i="188"/>
  <c r="DK109" i="188"/>
  <c r="CZ109" i="188"/>
  <c r="DD109" i="188"/>
  <c r="DE109" i="188"/>
  <c r="K109" i="188"/>
  <c r="DH109" i="188"/>
  <c r="DC109" i="188"/>
  <c r="DG109" i="188"/>
  <c r="DB109" i="188"/>
  <c r="DA109" i="188"/>
  <c r="DI109" i="188"/>
  <c r="DF99" i="188"/>
  <c r="K99" i="188"/>
  <c r="DK99" i="188"/>
  <c r="DD99" i="188"/>
  <c r="DA99" i="188"/>
  <c r="DH99" i="188"/>
  <c r="DI99" i="188"/>
  <c r="DC99" i="188"/>
  <c r="DJ99" i="188"/>
  <c r="DE99" i="188"/>
  <c r="DG99" i="188"/>
  <c r="CZ99" i="188"/>
  <c r="DB99" i="188"/>
  <c r="DB51" i="188"/>
  <c r="DJ51" i="188"/>
  <c r="CZ37" i="188"/>
  <c r="DD37" i="188"/>
  <c r="DC37" i="188"/>
  <c r="DI37" i="188"/>
  <c r="K37" i="188"/>
  <c r="DJ37" i="188"/>
  <c r="DG37" i="188"/>
  <c r="DB37" i="188"/>
  <c r="DF37" i="188"/>
  <c r="DA37" i="188"/>
  <c r="DE37" i="188"/>
  <c r="DK37" i="188"/>
  <c r="DH37" i="188"/>
  <c r="I69" i="192"/>
  <c r="DA51" i="188"/>
  <c r="EE106" i="188"/>
  <c r="EC116" i="188"/>
  <c r="EA116" i="188"/>
  <c r="EJ116" i="188"/>
  <c r="EB116" i="188"/>
  <c r="ED116" i="188"/>
  <c r="EI116" i="188"/>
  <c r="EG116" i="188"/>
  <c r="EH116" i="188"/>
  <c r="EF116" i="188"/>
  <c r="EK116" i="188"/>
  <c r="DZ116" i="188"/>
  <c r="EE116" i="188"/>
  <c r="DF81" i="188"/>
  <c r="K81" i="188"/>
  <c r="CZ81" i="188"/>
  <c r="DD81" i="188"/>
  <c r="DE81" i="188"/>
  <c r="DG81" i="188"/>
  <c r="DH81" i="188"/>
  <c r="DC81" i="188"/>
  <c r="DJ81" i="188"/>
  <c r="DB81" i="188"/>
  <c r="DI81" i="188"/>
  <c r="DK81" i="188"/>
  <c r="DA81" i="188"/>
  <c r="DI76" i="188"/>
  <c r="DG76" i="188"/>
  <c r="DC76" i="188"/>
  <c r="DJ76" i="188"/>
  <c r="DF76" i="188"/>
  <c r="K76" i="188"/>
  <c r="DK76" i="188"/>
  <c r="CZ76" i="188"/>
  <c r="DH76" i="188"/>
  <c r="DD76" i="188"/>
  <c r="DB76" i="188"/>
  <c r="DE76" i="188"/>
  <c r="DA76" i="188"/>
  <c r="J95" i="110"/>
  <c r="CL28" i="188"/>
  <c r="DF51" i="188"/>
  <c r="DL116" i="188"/>
  <c r="CL81" i="188"/>
  <c r="N11" i="133"/>
  <c r="M50" i="133"/>
  <c r="EC106" i="188"/>
  <c r="ED106" i="188"/>
  <c r="J67" i="192"/>
  <c r="J106" i="192" s="1"/>
  <c r="CZ51" i="188"/>
  <c r="T152" i="137"/>
  <c r="T147" i="137"/>
  <c r="T151" i="137" s="1"/>
  <c r="DA78" i="188"/>
  <c r="DJ78" i="188"/>
  <c r="DB78" i="188"/>
  <c r="K78" i="188"/>
  <c r="DG78" i="188"/>
  <c r="CZ78" i="188"/>
  <c r="DE78" i="188"/>
  <c r="DD78" i="188"/>
  <c r="DK78" i="188"/>
  <c r="DI78" i="188"/>
  <c r="DH78" i="188"/>
  <c r="DF78" i="188"/>
  <c r="DC78" i="188"/>
  <c r="DL57" i="188"/>
  <c r="CJ97" i="188"/>
  <c r="CA97" i="188"/>
  <c r="CI97" i="188"/>
  <c r="DI61" i="188"/>
  <c r="DG61" i="188"/>
  <c r="DC61" i="188"/>
  <c r="DE61" i="188"/>
  <c r="DJ61" i="188"/>
  <c r="DD61" i="188"/>
  <c r="CZ61" i="188"/>
  <c r="DA61" i="188"/>
  <c r="DB61" i="188"/>
  <c r="K61" i="188"/>
  <c r="DF61" i="188"/>
  <c r="DH61" i="188"/>
  <c r="DK61" i="188"/>
  <c r="CL33" i="188"/>
  <c r="CL42" i="188"/>
  <c r="CL31" i="188"/>
  <c r="DJ33" i="188"/>
  <c r="DB33" i="188"/>
  <c r="DG33" i="188"/>
  <c r="DH33" i="188"/>
  <c r="DE33" i="188"/>
  <c r="DF33" i="188"/>
  <c r="DA33" i="188"/>
  <c r="DK33" i="188"/>
  <c r="DD33" i="188"/>
  <c r="DI33" i="188"/>
  <c r="CZ33" i="188"/>
  <c r="DC33" i="188"/>
  <c r="K33" i="188"/>
  <c r="CK97" i="188"/>
  <c r="CC14" i="188"/>
  <c r="BZ74" i="188"/>
  <c r="CH74" i="188"/>
  <c r="K64" i="192"/>
  <c r="L9" i="192"/>
  <c r="K12" i="192"/>
  <c r="K13" i="192" s="1"/>
  <c r="K98" i="192" s="1"/>
  <c r="DK113" i="188"/>
  <c r="DB113" i="188"/>
  <c r="DJ113" i="188"/>
  <c r="DA113" i="188"/>
  <c r="DH113" i="188"/>
  <c r="DD113" i="188"/>
  <c r="K113" i="188"/>
  <c r="DF113" i="188"/>
  <c r="DE113" i="188"/>
  <c r="CZ113" i="188"/>
  <c r="DI113" i="188"/>
  <c r="DG113" i="188"/>
  <c r="DC113" i="188"/>
  <c r="CL71" i="188"/>
  <c r="I22" i="193"/>
  <c r="H53" i="193"/>
  <c r="H71" i="193"/>
  <c r="DL48" i="188"/>
  <c r="EC41" i="188"/>
  <c r="EE41" i="188"/>
  <c r="EA41" i="188"/>
  <c r="EJ41" i="188"/>
  <c r="EG41" i="188"/>
  <c r="ED41" i="188"/>
  <c r="EI41" i="188"/>
  <c r="DZ41" i="188"/>
  <c r="EF41" i="188"/>
  <c r="EH41" i="188"/>
  <c r="EK41" i="188"/>
  <c r="EB41" i="188"/>
  <c r="AL11" i="188"/>
  <c r="CA14" i="188"/>
  <c r="CD74" i="188"/>
  <c r="CL66" i="188"/>
  <c r="CF14" i="188"/>
  <c r="P7" i="192"/>
  <c r="O62" i="192"/>
  <c r="K42" i="188"/>
  <c r="DE42" i="188"/>
  <c r="CZ42" i="188"/>
  <c r="DF42" i="188"/>
  <c r="DH42" i="188"/>
  <c r="DD42" i="188"/>
  <c r="DA42" i="188"/>
  <c r="DJ42" i="188"/>
  <c r="DI42" i="188"/>
  <c r="DB42" i="188"/>
  <c r="DC42" i="188"/>
  <c r="DG42" i="188"/>
  <c r="DK42" i="188"/>
  <c r="CL113" i="188"/>
  <c r="EE28" i="188"/>
  <c r="EE29" i="188" s="1"/>
  <c r="DR29" i="188"/>
  <c r="DR130" i="188" s="1"/>
  <c r="R75" i="192"/>
  <c r="DK50" i="188"/>
  <c r="DI50" i="188"/>
  <c r="DJ50" i="188"/>
  <c r="DE50" i="188"/>
  <c r="DH50" i="188"/>
  <c r="DA50" i="188"/>
  <c r="DG50" i="188"/>
  <c r="K50" i="188"/>
  <c r="DB50" i="188"/>
  <c r="DF50" i="188"/>
  <c r="DC50" i="188"/>
  <c r="CZ50" i="188"/>
  <c r="DD50" i="188"/>
  <c r="CF74" i="188"/>
  <c r="EL57" i="188"/>
  <c r="DL41" i="188"/>
  <c r="DI82" i="188"/>
  <c r="DB82" i="188"/>
  <c r="DK82" i="188"/>
  <c r="DE82" i="188"/>
  <c r="DJ82" i="188"/>
  <c r="DA82" i="188"/>
  <c r="DG82" i="188"/>
  <c r="K82" i="188"/>
  <c r="CZ82" i="188"/>
  <c r="DF82" i="188"/>
  <c r="DD82" i="188"/>
  <c r="DC82" i="188"/>
  <c r="DH82" i="188"/>
  <c r="H210" i="110"/>
  <c r="AB210" i="110" s="1"/>
  <c r="AE210" i="110" s="1"/>
  <c r="L66" i="133"/>
  <c r="CC74" i="188"/>
  <c r="DA13" i="188"/>
  <c r="DD13" i="188"/>
  <c r="CZ13" i="188"/>
  <c r="DJ13" i="188"/>
  <c r="DE13" i="188"/>
  <c r="DG13" i="188"/>
  <c r="DB13" i="188"/>
  <c r="DC13" i="188"/>
  <c r="DI13" i="188"/>
  <c r="DF13" i="188"/>
  <c r="K13" i="188"/>
  <c r="DK13" i="188"/>
  <c r="DH13" i="188"/>
  <c r="DL25" i="188"/>
  <c r="I210" i="110"/>
  <c r="AC210" i="110" s="1"/>
  <c r="AF210" i="110" s="1"/>
  <c r="BZ97" i="188"/>
  <c r="CB14" i="188"/>
  <c r="CB74" i="188"/>
  <c r="CG74" i="188"/>
  <c r="DL60" i="188"/>
  <c r="DA39" i="188"/>
  <c r="DJ39" i="188"/>
  <c r="DI39" i="188"/>
  <c r="DF39" i="188"/>
  <c r="DG39" i="188"/>
  <c r="DE39" i="188"/>
  <c r="DH39" i="188"/>
  <c r="DK39" i="188"/>
  <c r="K39" i="188"/>
  <c r="DC39" i="188"/>
  <c r="DB39" i="188"/>
  <c r="DD39" i="188"/>
  <c r="CZ39" i="188"/>
  <c r="DL34" i="188"/>
  <c r="DL118" i="188"/>
  <c r="DZ118" i="188"/>
  <c r="ED118" i="188"/>
  <c r="EA118" i="188"/>
  <c r="EK118" i="188"/>
  <c r="EI118" i="188"/>
  <c r="EJ118" i="188"/>
  <c r="EE118" i="188"/>
  <c r="EC118" i="188"/>
  <c r="EB118" i="188"/>
  <c r="EH118" i="188"/>
  <c r="EG118" i="188"/>
  <c r="EF118" i="188"/>
  <c r="BL74" i="188"/>
  <c r="CC97" i="188"/>
  <c r="DL117" i="188"/>
  <c r="CK74" i="188"/>
  <c r="CL127" i="188"/>
  <c r="EB25" i="188"/>
  <c r="DY25" i="188"/>
  <c r="CL39" i="188"/>
  <c r="R77" i="192"/>
  <c r="BJ11" i="188"/>
  <c r="BF11" i="188"/>
  <c r="BA11" i="188"/>
  <c r="BG11" i="188"/>
  <c r="BB11" i="188"/>
  <c r="BE11" i="188"/>
  <c r="AZ11" i="188"/>
  <c r="BK11" i="188"/>
  <c r="BD11" i="188"/>
  <c r="BC11" i="188"/>
  <c r="BI11" i="188"/>
  <c r="BH11" i="188"/>
  <c r="EA48" i="188"/>
  <c r="EI48" i="188"/>
  <c r="EG48" i="188"/>
  <c r="EJ48" i="188"/>
  <c r="EK48" i="188"/>
  <c r="ED48" i="188"/>
  <c r="EF48" i="188"/>
  <c r="EC48" i="188"/>
  <c r="EB48" i="188"/>
  <c r="EE48" i="188"/>
  <c r="EH48" i="188"/>
  <c r="DZ48" i="188"/>
  <c r="CL49" i="188"/>
  <c r="CE74" i="188"/>
  <c r="CA74" i="188"/>
  <c r="EJ34" i="188"/>
  <c r="EF34" i="188"/>
  <c r="EK34" i="188"/>
  <c r="EH34" i="188"/>
  <c r="EA34" i="188"/>
  <c r="EG34" i="188"/>
  <c r="EI34" i="188"/>
  <c r="ED34" i="188"/>
  <c r="EB34" i="188"/>
  <c r="EE34" i="188"/>
  <c r="EC34" i="188"/>
  <c r="DZ34" i="188"/>
  <c r="CZ49" i="188"/>
  <c r="DK49" i="188"/>
  <c r="DB49" i="188"/>
  <c r="K49" i="188"/>
  <c r="DH49" i="188"/>
  <c r="DG49" i="188"/>
  <c r="DE49" i="188"/>
  <c r="DF49" i="188"/>
  <c r="DC49" i="188"/>
  <c r="DJ49" i="188"/>
  <c r="DD49" i="188"/>
  <c r="DA49" i="188"/>
  <c r="DI49" i="188"/>
  <c r="DI72" i="188"/>
  <c r="DK72" i="188"/>
  <c r="DF72" i="188"/>
  <c r="DC72" i="188"/>
  <c r="DA72" i="188"/>
  <c r="DD72" i="188"/>
  <c r="DJ72" i="188"/>
  <c r="K72" i="188"/>
  <c r="CZ72" i="188"/>
  <c r="DG72" i="188"/>
  <c r="DB72" i="188"/>
  <c r="DH72" i="188"/>
  <c r="DE72" i="188"/>
  <c r="CD14" i="188"/>
  <c r="DL77" i="188"/>
  <c r="CL13" i="188"/>
  <c r="F329" i="110"/>
  <c r="E329" i="110" s="1"/>
  <c r="DH66" i="188"/>
  <c r="DJ66" i="188"/>
  <c r="DK66" i="188"/>
  <c r="CZ66" i="188"/>
  <c r="K66" i="188"/>
  <c r="DC66" i="188"/>
  <c r="DF66" i="188"/>
  <c r="DA66" i="188"/>
  <c r="DE66" i="188"/>
  <c r="DD66" i="188"/>
  <c r="DG66" i="188"/>
  <c r="DB66" i="188"/>
  <c r="DI66" i="188"/>
  <c r="EL127" i="188"/>
  <c r="CJ74" i="188"/>
  <c r="EH77" i="188"/>
  <c r="ED77" i="188"/>
  <c r="EB77" i="188"/>
  <c r="DZ77" i="188"/>
  <c r="EJ77" i="188"/>
  <c r="EI77" i="188"/>
  <c r="EE77" i="188"/>
  <c r="EG77" i="188"/>
  <c r="EA77" i="188"/>
  <c r="EC77" i="188"/>
  <c r="EF77" i="188"/>
  <c r="EK77" i="188"/>
  <c r="CL72" i="188"/>
  <c r="D17" i="138"/>
  <c r="R84" i="133"/>
  <c r="T66" i="133"/>
  <c r="V96" i="110"/>
  <c r="Q124" i="110"/>
  <c r="S36" i="137" s="1"/>
  <c r="U124" i="110"/>
  <c r="U329" i="110" s="1"/>
  <c r="L124" i="110"/>
  <c r="L329" i="110" s="1"/>
  <c r="N124" i="110"/>
  <c r="P36" i="137" s="1"/>
  <c r="O124" i="110"/>
  <c r="O329" i="110" s="1"/>
  <c r="M124" i="110"/>
  <c r="M329" i="110" s="1"/>
  <c r="K124" i="110"/>
  <c r="M36" i="137" s="1"/>
  <c r="T124" i="110"/>
  <c r="T329" i="110" s="1"/>
  <c r="AA124" i="110"/>
  <c r="AD124" i="110" s="1"/>
  <c r="J124" i="110"/>
  <c r="P124" i="110"/>
  <c r="R36" i="137" s="1"/>
  <c r="T36" i="137"/>
  <c r="S124" i="110"/>
  <c r="U36" i="137" s="1"/>
  <c r="V291" i="58"/>
  <c r="M17" i="138" s="1"/>
  <c r="M6" i="138" s="1"/>
  <c r="G30" i="193"/>
  <c r="G36" i="193" s="1"/>
  <c r="H30" i="193" s="1"/>
  <c r="G94" i="133"/>
  <c r="CL92" i="188"/>
  <c r="CH97" i="188"/>
  <c r="M11" i="175"/>
  <c r="M12" i="175" s="1"/>
  <c r="N5" i="175" s="1"/>
  <c r="CF97" i="188"/>
  <c r="DA71" i="188"/>
  <c r="K71" i="188"/>
  <c r="DJ71" i="188"/>
  <c r="DF71" i="188"/>
  <c r="DI71" i="188"/>
  <c r="DG71" i="188"/>
  <c r="DE71" i="188"/>
  <c r="DH71" i="188"/>
  <c r="DB71" i="188"/>
  <c r="DD71" i="188"/>
  <c r="CZ71" i="188"/>
  <c r="DC71" i="188"/>
  <c r="DK71" i="188"/>
  <c r="DJ93" i="188"/>
  <c r="CZ93" i="188"/>
  <c r="DK93" i="188"/>
  <c r="K93" i="188"/>
  <c r="DF93" i="188"/>
  <c r="DI93" i="188"/>
  <c r="DA93" i="188"/>
  <c r="DE93" i="188"/>
  <c r="DB93" i="188"/>
  <c r="DH93" i="188"/>
  <c r="DC93" i="188"/>
  <c r="DG93" i="188"/>
  <c r="DD93" i="188"/>
  <c r="DA69" i="188"/>
  <c r="K69" i="188"/>
  <c r="DB69" i="188"/>
  <c r="DI69" i="188"/>
  <c r="DC69" i="188"/>
  <c r="DJ69" i="188"/>
  <c r="DH69" i="188"/>
  <c r="DG69" i="188"/>
  <c r="CZ69" i="188"/>
  <c r="DF69" i="188"/>
  <c r="DE69" i="188"/>
  <c r="DD69" i="188"/>
  <c r="DK69" i="188"/>
  <c r="EJ29" i="188"/>
  <c r="L63" i="199"/>
  <c r="L48" i="199"/>
  <c r="L50" i="199" s="1"/>
  <c r="L60" i="199" s="1"/>
  <c r="EJ60" i="188"/>
  <c r="EG60" i="188"/>
  <c r="EI60" i="188"/>
  <c r="EH60" i="188"/>
  <c r="EF60" i="188"/>
  <c r="EB60" i="188"/>
  <c r="DZ60" i="188"/>
  <c r="EA60" i="188"/>
  <c r="EE60" i="188"/>
  <c r="ED60" i="188"/>
  <c r="EC60" i="188"/>
  <c r="EK60" i="188"/>
  <c r="I243" i="110"/>
  <c r="AC243" i="110" s="1"/>
  <c r="AF243" i="110" s="1"/>
  <c r="DN28" i="188"/>
  <c r="DN29" i="188" s="1"/>
  <c r="DN130" i="188" s="1"/>
  <c r="CN29" i="188"/>
  <c r="CN130" i="188" s="1"/>
  <c r="F26" i="193"/>
  <c r="CL12" i="188"/>
  <c r="BZ14" i="188"/>
  <c r="N10" i="175"/>
  <c r="N11" i="175" s="1"/>
  <c r="N45" i="175"/>
  <c r="N46" i="175" s="1"/>
  <c r="CL69" i="188"/>
  <c r="CL64" i="188"/>
  <c r="CL60" i="188"/>
  <c r="CL30" i="188"/>
  <c r="J109" i="192"/>
  <c r="P146" i="137"/>
  <c r="O152" i="137"/>
  <c r="O147" i="137"/>
  <c r="J50" i="192"/>
  <c r="I56" i="192"/>
  <c r="CG97" i="188"/>
  <c r="DI12" i="188"/>
  <c r="DD12" i="188"/>
  <c r="DC12" i="188"/>
  <c r="DJ12" i="188"/>
  <c r="K12" i="188"/>
  <c r="DA12" i="188"/>
  <c r="DK12" i="188"/>
  <c r="DB12" i="188"/>
  <c r="DH12" i="188"/>
  <c r="DE12" i="188"/>
  <c r="DF12" i="188"/>
  <c r="CZ12" i="188"/>
  <c r="DG12" i="188"/>
  <c r="EA117" i="188"/>
  <c r="EC117" i="188"/>
  <c r="EI117" i="188"/>
  <c r="EB117" i="188"/>
  <c r="EH117" i="188"/>
  <c r="ED117" i="188"/>
  <c r="EK117" i="188"/>
  <c r="EG117" i="188"/>
  <c r="DZ117" i="188"/>
  <c r="EJ117" i="188"/>
  <c r="EE117" i="188"/>
  <c r="EF117" i="188"/>
  <c r="CL63" i="188"/>
  <c r="F109" i="192"/>
  <c r="F69" i="192"/>
  <c r="DC64" i="188"/>
  <c r="DK64" i="188"/>
  <c r="DG64" i="188"/>
  <c r="DD64" i="188"/>
  <c r="DH64" i="188"/>
  <c r="DB64" i="188"/>
  <c r="DF64" i="188"/>
  <c r="DA64" i="188"/>
  <c r="CZ64" i="188"/>
  <c r="K64" i="188"/>
  <c r="DI64" i="188"/>
  <c r="DJ64" i="188"/>
  <c r="DE64" i="188"/>
  <c r="M79" i="181"/>
  <c r="CL93" i="188"/>
  <c r="DJ92" i="188"/>
  <c r="K92" i="188"/>
  <c r="DF92" i="188"/>
  <c r="DI92" i="188"/>
  <c r="DK92" i="188"/>
  <c r="DD92" i="188"/>
  <c r="DC92" i="188"/>
  <c r="DA92" i="188"/>
  <c r="DE92" i="188"/>
  <c r="DG92" i="188"/>
  <c r="DB92" i="188"/>
  <c r="CZ92" i="188"/>
  <c r="DH92" i="188"/>
  <c r="DU27" i="188"/>
  <c r="CY27" i="188"/>
  <c r="CU29" i="188"/>
  <c r="CU130" i="188" s="1"/>
  <c r="DH27" i="188"/>
  <c r="CY28" i="188"/>
  <c r="K109" i="192"/>
  <c r="DD63" i="188"/>
  <c r="K63" i="188"/>
  <c r="DA63" i="188"/>
  <c r="DJ63" i="188"/>
  <c r="DC63" i="188"/>
  <c r="DG63" i="188"/>
  <c r="DK63" i="188"/>
  <c r="DB63" i="188"/>
  <c r="DI63" i="188"/>
  <c r="DF63" i="188"/>
  <c r="DE63" i="188"/>
  <c r="DH63" i="188"/>
  <c r="CZ63" i="188"/>
  <c r="DF30" i="188"/>
  <c r="DC30" i="188"/>
  <c r="DJ30" i="188"/>
  <c r="DB30" i="188"/>
  <c r="DA30" i="188"/>
  <c r="DK30" i="188"/>
  <c r="DH30" i="188"/>
  <c r="DI30" i="188"/>
  <c r="DD30" i="188"/>
  <c r="DE30" i="188"/>
  <c r="DG30" i="188"/>
  <c r="K30" i="188"/>
  <c r="CZ30" i="188"/>
  <c r="H109" i="192"/>
  <c r="H69" i="192"/>
  <c r="DL127" i="188"/>
  <c r="CH29" i="188"/>
  <c r="CL27" i="188"/>
  <c r="O41" i="175"/>
  <c r="O45" i="175" s="1"/>
  <c r="O46" i="175" s="1"/>
  <c r="O47" i="175" s="1"/>
  <c r="S78" i="181"/>
  <c r="S79" i="181" s="1"/>
  <c r="P78" i="181"/>
  <c r="P79" i="181" s="1"/>
  <c r="Q78" i="181"/>
  <c r="Q79" i="181" s="1"/>
  <c r="Q5" i="192"/>
  <c r="P60" i="192"/>
  <c r="T78" i="181"/>
  <c r="T79" i="181" s="1"/>
  <c r="DG29" i="188"/>
  <c r="J79" i="181"/>
  <c r="K78" i="181"/>
  <c r="K79" i="181" s="1"/>
  <c r="O78" i="181"/>
  <c r="N73" i="192"/>
  <c r="P73" i="192"/>
  <c r="M73" i="192"/>
  <c r="K73" i="192"/>
  <c r="I73" i="192"/>
  <c r="I76" i="192" s="1"/>
  <c r="G73" i="192"/>
  <c r="G76" i="192" s="1"/>
  <c r="H73" i="192"/>
  <c r="H76" i="192" s="1"/>
  <c r="F73" i="192"/>
  <c r="J73" i="192"/>
  <c r="L73" i="192"/>
  <c r="Q73" i="192"/>
  <c r="O73" i="192"/>
  <c r="EG28" i="188"/>
  <c r="DT29" i="188"/>
  <c r="DT130" i="188" s="1"/>
  <c r="DL32" i="188"/>
  <c r="EJ32" i="188"/>
  <c r="ED32" i="188"/>
  <c r="EB32" i="188"/>
  <c r="EG32" i="188"/>
  <c r="EI32" i="188"/>
  <c r="DZ32" i="188"/>
  <c r="EH32" i="188"/>
  <c r="EA32" i="188"/>
  <c r="EE32" i="188"/>
  <c r="EF32" i="188"/>
  <c r="EK32" i="188"/>
  <c r="EC32" i="188"/>
  <c r="G76" i="35"/>
  <c r="C13" i="206" s="1"/>
  <c r="H76" i="35"/>
  <c r="F13" i="206" s="1"/>
  <c r="G13" i="206" s="1"/>
  <c r="F74" i="133"/>
  <c r="R64" i="133"/>
  <c r="AY5" i="133"/>
  <c r="AX44" i="133"/>
  <c r="AJ8" i="133"/>
  <c r="AJ45" i="133"/>
  <c r="AJ47" i="133" s="1"/>
  <c r="AJ87" i="133" s="1"/>
  <c r="M46" i="133"/>
  <c r="D73" i="133"/>
  <c r="AC74" i="133"/>
  <c r="AT74" i="133"/>
  <c r="Z74" i="133"/>
  <c r="X74" i="133"/>
  <c r="AW74" i="133"/>
  <c r="U74" i="133"/>
  <c r="AJ74" i="133"/>
  <c r="AZ74" i="133"/>
  <c r="AM74" i="133"/>
  <c r="BC74" i="133"/>
  <c r="AA74" i="133"/>
  <c r="AP74" i="133"/>
  <c r="AD74" i="133"/>
  <c r="AU74" i="133"/>
  <c r="S74" i="133"/>
  <c r="AH74" i="133"/>
  <c r="BD74" i="133"/>
  <c r="AB74" i="133"/>
  <c r="AX74" i="133"/>
  <c r="V74" i="133"/>
  <c r="AK74" i="133"/>
  <c r="BA74" i="133"/>
  <c r="Y74" i="133"/>
  <c r="AS74" i="133"/>
  <c r="AF74" i="133"/>
  <c r="AV74" i="133"/>
  <c r="T74" i="133"/>
  <c r="AQ74" i="133"/>
  <c r="AO74" i="133"/>
  <c r="AN74" i="133"/>
  <c r="AY74" i="133"/>
  <c r="W74" i="133"/>
  <c r="AL74" i="133"/>
  <c r="BB74" i="133"/>
  <c r="AI74" i="133"/>
  <c r="AG74" i="133"/>
  <c r="U24" i="133"/>
  <c r="U25" i="133" s="1"/>
  <c r="U95" i="133" s="1"/>
  <c r="U62" i="133"/>
  <c r="U64" i="133" s="1"/>
  <c r="W17" i="133"/>
  <c r="V20" i="133"/>
  <c r="V25" i="133" s="1"/>
  <c r="V95" i="133" s="1"/>
  <c r="V57" i="133"/>
  <c r="V60" i="133" s="1"/>
  <c r="V88" i="133" s="1"/>
  <c r="V89" i="133" s="1"/>
  <c r="AM10" i="133"/>
  <c r="AL49" i="133"/>
  <c r="N66" i="133"/>
  <c r="S25" i="119"/>
  <c r="S26" i="119" s="1"/>
  <c r="AL44" i="133"/>
  <c r="AM5" i="133"/>
  <c r="Y45" i="133"/>
  <c r="Z6" i="133"/>
  <c r="J45" i="133"/>
  <c r="Z9" i="133"/>
  <c r="Y48" i="133"/>
  <c r="BB23" i="133"/>
  <c r="BA63" i="133"/>
  <c r="AK45" i="133"/>
  <c r="AK47" i="133" s="1"/>
  <c r="AK87" i="133" s="1"/>
  <c r="AL6" i="133"/>
  <c r="AL8" i="133" s="1"/>
  <c r="AK8" i="133"/>
  <c r="AI20" i="133"/>
  <c r="AJ17" i="133"/>
  <c r="AI57" i="133"/>
  <c r="AA23" i="133"/>
  <c r="Z63" i="133"/>
  <c r="F89" i="133"/>
  <c r="AO23" i="133"/>
  <c r="AN63" i="133"/>
  <c r="I44" i="133"/>
  <c r="I47" i="133" s="1"/>
  <c r="J5" i="133"/>
  <c r="I8" i="133"/>
  <c r="I13" i="133" s="1"/>
  <c r="H47" i="133"/>
  <c r="AA19" i="133"/>
  <c r="Z59" i="133"/>
  <c r="AE18" i="133"/>
  <c r="AD58" i="133"/>
  <c r="X47" i="133"/>
  <c r="T21" i="119"/>
  <c r="W22" i="133"/>
  <c r="W24" i="133" s="1"/>
  <c r="V62" i="133"/>
  <c r="V64" i="133" s="1"/>
  <c r="AM18" i="133"/>
  <c r="AL58" i="133"/>
  <c r="Z5" i="133"/>
  <c r="Y44" i="133"/>
  <c r="AP21" i="133"/>
  <c r="AO61" i="133"/>
  <c r="BA19" i="133"/>
  <c r="AZ59" i="133"/>
  <c r="AM19" i="133"/>
  <c r="AL59" i="133"/>
  <c r="AL9" i="133"/>
  <c r="AK48" i="133"/>
  <c r="Z10" i="133"/>
  <c r="Y49" i="133"/>
  <c r="AN7" i="133"/>
  <c r="AM46" i="133"/>
  <c r="N46" i="133"/>
  <c r="AY9" i="133"/>
  <c r="AX48" i="133"/>
  <c r="J12" i="133"/>
  <c r="J48" i="133"/>
  <c r="J51" i="133" s="1"/>
  <c r="K9" i="133"/>
  <c r="X21" i="133"/>
  <c r="W61" i="133"/>
  <c r="AX20" i="133"/>
  <c r="AY17" i="133"/>
  <c r="AX57" i="133"/>
  <c r="AJ121" i="133"/>
  <c r="AI127" i="133"/>
  <c r="I79" i="181"/>
  <c r="G63" i="199"/>
  <c r="G48" i="199"/>
  <c r="G50" i="199" s="1"/>
  <c r="G60" i="199" s="1"/>
  <c r="H48" i="199"/>
  <c r="H50" i="199" s="1"/>
  <c r="H60" i="199" s="1"/>
  <c r="H63" i="199"/>
  <c r="K48" i="199"/>
  <c r="K50" i="199" s="1"/>
  <c r="K60" i="199" s="1"/>
  <c r="K63" i="199"/>
  <c r="N79" i="181"/>
  <c r="R79" i="181"/>
  <c r="S388" i="110"/>
  <c r="X121" i="133"/>
  <c r="X127" i="133" s="1"/>
  <c r="W127" i="133"/>
  <c r="O25" i="119"/>
  <c r="BD121" i="133"/>
  <c r="BD127" i="133" s="1"/>
  <c r="BC127" i="133"/>
  <c r="L55" i="35"/>
  <c r="AQ121" i="133"/>
  <c r="AQ127" i="133" s="1"/>
  <c r="AP127" i="133"/>
  <c r="L88" i="133"/>
  <c r="K66" i="133"/>
  <c r="R60" i="133"/>
  <c r="AV88" i="133"/>
  <c r="H66" i="133"/>
  <c r="R16" i="137"/>
  <c r="M66" i="133"/>
  <c r="AG88" i="133"/>
  <c r="AG89" i="133" s="1"/>
  <c r="O88" i="133"/>
  <c r="O66" i="133"/>
  <c r="S88" i="133"/>
  <c r="S66" i="133"/>
  <c r="P66" i="133"/>
  <c r="P88" i="133"/>
  <c r="Q66" i="133"/>
  <c r="Q88" i="133"/>
  <c r="AT88" i="133"/>
  <c r="AT89" i="133" s="1"/>
  <c r="I66" i="133"/>
  <c r="AS88" i="133"/>
  <c r="AW88" i="133"/>
  <c r="AF88" i="133"/>
  <c r="I63" i="199"/>
  <c r="I48" i="199"/>
  <c r="I50" i="199" s="1"/>
  <c r="I60" i="199" s="1"/>
  <c r="S18" i="199"/>
  <c r="T17" i="199"/>
  <c r="F23" i="199"/>
  <c r="S22" i="199"/>
  <c r="R22" i="199"/>
  <c r="Q223" i="110"/>
  <c r="L305" i="110"/>
  <c r="K232" i="110"/>
  <c r="N311" i="110"/>
  <c r="M344" i="110"/>
  <c r="Q217" i="110"/>
  <c r="R70" i="137"/>
  <c r="H217" i="110"/>
  <c r="AB217" i="110" s="1"/>
  <c r="AE217" i="110" s="1"/>
  <c r="L217" i="110"/>
  <c r="T51" i="137"/>
  <c r="T217" i="110"/>
  <c r="F328" i="110"/>
  <c r="E328" i="110" s="1"/>
  <c r="K343" i="110"/>
  <c r="S39" i="137"/>
  <c r="N232" i="110"/>
  <c r="Q334" i="110"/>
  <c r="F336" i="110"/>
  <c r="E336" i="110" s="1"/>
  <c r="V252" i="110"/>
  <c r="I238" i="110"/>
  <c r="AC238" i="110" s="1"/>
  <c r="AF238" i="110" s="1"/>
  <c r="M38" i="137"/>
  <c r="O221" i="110"/>
  <c r="R318" i="110"/>
  <c r="Q15" i="181"/>
  <c r="H243" i="110"/>
  <c r="AB243" i="110" s="1"/>
  <c r="AE243" i="110" s="1"/>
  <c r="T211" i="110"/>
  <c r="G226" i="110"/>
  <c r="Q226" i="110" s="1"/>
  <c r="P321" i="110"/>
  <c r="O291" i="58"/>
  <c r="F17" i="138" s="1"/>
  <c r="F55" i="138" s="1"/>
  <c r="F345" i="110"/>
  <c r="E345" i="110" s="1"/>
  <c r="Q213" i="110"/>
  <c r="W21" i="137"/>
  <c r="H226" i="110"/>
  <c r="AB226" i="110" s="1"/>
  <c r="AE226" i="110" s="1"/>
  <c r="U191" i="110"/>
  <c r="T330" i="110"/>
  <c r="M243" i="110"/>
  <c r="R30" i="137"/>
  <c r="O311" i="110"/>
  <c r="F362" i="110"/>
  <c r="E362" i="110" s="1"/>
  <c r="U302" i="110"/>
  <c r="L203" i="110"/>
  <c r="W34" i="137"/>
  <c r="S232" i="110"/>
  <c r="J199" i="110"/>
  <c r="K351" i="110"/>
  <c r="U58" i="137"/>
  <c r="N58" i="137"/>
  <c r="N16" i="137"/>
  <c r="H220" i="110"/>
  <c r="AB220" i="110" s="1"/>
  <c r="AE220" i="110" s="1"/>
  <c r="F339" i="110"/>
  <c r="E339" i="110" s="1"/>
  <c r="I220" i="110"/>
  <c r="AC220" i="110" s="1"/>
  <c r="AF220" i="110" s="1"/>
  <c r="I12" i="181"/>
  <c r="S350" i="110"/>
  <c r="J322" i="110"/>
  <c r="U388" i="110"/>
  <c r="K318" i="110"/>
  <c r="L321" i="110"/>
  <c r="M318" i="110"/>
  <c r="T12" i="181"/>
  <c r="J192" i="110"/>
  <c r="K199" i="110"/>
  <c r="L186" i="110"/>
  <c r="S13" i="137"/>
  <c r="P49" i="137"/>
  <c r="Q34" i="137"/>
  <c r="L215" i="110"/>
  <c r="L334" i="110"/>
  <c r="O340" i="110"/>
  <c r="R305" i="110"/>
  <c r="M15" i="181"/>
  <c r="E8" i="196"/>
  <c r="R331" i="110"/>
  <c r="Q215" i="110"/>
  <c r="M341" i="110"/>
  <c r="Q243" i="110"/>
  <c r="M393" i="110"/>
  <c r="V27" i="137"/>
  <c r="W51" i="137"/>
  <c r="U24" i="137"/>
  <c r="M9" i="137"/>
  <c r="O15" i="181"/>
  <c r="Q388" i="110"/>
  <c r="Q211" i="110"/>
  <c r="R291" i="58"/>
  <c r="I17" i="138" s="1"/>
  <c r="I6" i="138" s="1"/>
  <c r="R211" i="110"/>
  <c r="N93" i="110"/>
  <c r="O318" i="110"/>
  <c r="L342" i="110"/>
  <c r="I15" i="181"/>
  <c r="N38" i="137"/>
  <c r="N199" i="110"/>
  <c r="P27" i="137"/>
  <c r="P314" i="110"/>
  <c r="N22" i="137"/>
  <c r="P195" i="110"/>
  <c r="W48" i="137"/>
  <c r="L343" i="110"/>
  <c r="L16" i="137"/>
  <c r="S243" i="110"/>
  <c r="K243" i="110"/>
  <c r="L351" i="110"/>
  <c r="Q49" i="137"/>
  <c r="P58" i="137"/>
  <c r="R51" i="137"/>
  <c r="S93" i="110"/>
  <c r="M70" i="137"/>
  <c r="T213" i="110"/>
  <c r="S343" i="110"/>
  <c r="T332" i="110"/>
  <c r="L313" i="110"/>
  <c r="S188" i="110"/>
  <c r="S224" i="110"/>
  <c r="P310" i="110"/>
  <c r="T318" i="110"/>
  <c r="O37" i="137"/>
  <c r="L322" i="110"/>
  <c r="J195" i="110"/>
  <c r="M387" i="110"/>
  <c r="V48" i="137"/>
  <c r="Q330" i="110"/>
  <c r="T341" i="110"/>
  <c r="P191" i="110"/>
  <c r="O30" i="137"/>
  <c r="N57" i="137"/>
  <c r="S326" i="110"/>
  <c r="R337" i="110"/>
  <c r="Q21" i="137"/>
  <c r="Q361" i="110"/>
  <c r="L199" i="110"/>
  <c r="T388" i="110"/>
  <c r="V34" i="137"/>
  <c r="L318" i="110"/>
  <c r="Q336" i="110"/>
  <c r="S43" i="137"/>
  <c r="N15" i="181"/>
  <c r="R57" i="137"/>
  <c r="P44" i="137"/>
  <c r="R330" i="110"/>
  <c r="J318" i="110"/>
  <c r="M223" i="110"/>
  <c r="T243" i="110"/>
  <c r="T362" i="110"/>
  <c r="T351" i="58"/>
  <c r="M202" i="110"/>
  <c r="L202" i="110"/>
  <c r="U393" i="110"/>
  <c r="O27" i="137"/>
  <c r="T312" i="58"/>
  <c r="R44" i="137"/>
  <c r="J387" i="110"/>
  <c r="K339" i="110"/>
  <c r="N30" i="137"/>
  <c r="J321" i="110"/>
  <c r="M134" i="110"/>
  <c r="O46" i="137" s="1"/>
  <c r="L134" i="110"/>
  <c r="N46" i="137" s="1"/>
  <c r="N134" i="110"/>
  <c r="P46" i="137" s="1"/>
  <c r="J134" i="110"/>
  <c r="L46" i="137" s="1"/>
  <c r="L192" i="110"/>
  <c r="J202" i="110"/>
  <c r="S217" i="110"/>
  <c r="N362" i="110"/>
  <c r="P331" i="110"/>
  <c r="U22" i="137"/>
  <c r="N393" i="110"/>
  <c r="Q318" i="110"/>
  <c r="R231" i="110"/>
  <c r="U134" i="110"/>
  <c r="U220" i="110" s="1"/>
  <c r="AA134" i="110"/>
  <c r="AD134" i="110" s="1"/>
  <c r="W43" i="137"/>
  <c r="S336" i="110"/>
  <c r="N243" i="110"/>
  <c r="R191" i="110"/>
  <c r="S15" i="181"/>
  <c r="N341" i="110"/>
  <c r="U305" i="110"/>
  <c r="R350" i="110"/>
  <c r="U231" i="110"/>
  <c r="T194" i="110"/>
  <c r="T313" i="110"/>
  <c r="R310" i="110"/>
  <c r="U350" i="110"/>
  <c r="P134" i="110"/>
  <c r="R46" i="137" s="1"/>
  <c r="O134" i="110"/>
  <c r="Q46" i="137" s="1"/>
  <c r="Q134" i="110"/>
  <c r="Q220" i="110" s="1"/>
  <c r="T305" i="110"/>
  <c r="T15" i="181"/>
  <c r="V35" i="137"/>
  <c r="S215" i="110"/>
  <c r="R223" i="110"/>
  <c r="J313" i="110"/>
  <c r="S134" i="110"/>
  <c r="U46" i="137" s="1"/>
  <c r="M357" i="110"/>
  <c r="J12" i="181"/>
  <c r="R37" i="137"/>
  <c r="S58" i="137"/>
  <c r="L49" i="137"/>
  <c r="Q232" i="110"/>
  <c r="K302" i="110"/>
  <c r="T134" i="110"/>
  <c r="V46" i="137" s="1"/>
  <c r="R134" i="110"/>
  <c r="T46" i="137" s="1"/>
  <c r="E323" i="110"/>
  <c r="R213" i="110"/>
  <c r="AB204" i="110"/>
  <c r="AE204" i="110" s="1"/>
  <c r="R332" i="110"/>
  <c r="U18" i="137"/>
  <c r="U214" i="110"/>
  <c r="O344" i="110"/>
  <c r="T68" i="137"/>
  <c r="K215" i="110"/>
  <c r="P214" i="110"/>
  <c r="R214" i="110"/>
  <c r="N214" i="110"/>
  <c r="M41" i="137"/>
  <c r="L337" i="110"/>
  <c r="G238" i="110"/>
  <c r="AA238" i="110" s="1"/>
  <c r="AD238" i="110" s="1"/>
  <c r="K350" i="110"/>
  <c r="S214" i="110"/>
  <c r="F357" i="110"/>
  <c r="E357" i="110" s="1"/>
  <c r="L225" i="110"/>
  <c r="M37" i="137"/>
  <c r="U27" i="137"/>
  <c r="P318" i="110"/>
  <c r="P225" i="110"/>
  <c r="W22" i="137"/>
  <c r="S24" i="137"/>
  <c r="L336" i="110"/>
  <c r="M350" i="110"/>
  <c r="U225" i="110"/>
  <c r="R225" i="110"/>
  <c r="R232" i="110"/>
  <c r="N43" i="137"/>
  <c r="J211" i="110"/>
  <c r="S225" i="110"/>
  <c r="R351" i="110"/>
  <c r="L37" i="137"/>
  <c r="U331" i="110"/>
  <c r="K330" i="110"/>
  <c r="S318" i="110"/>
  <c r="V47" i="137"/>
  <c r="M225" i="110"/>
  <c r="K212" i="110"/>
  <c r="P12" i="181"/>
  <c r="T343" i="110"/>
  <c r="O66" i="137"/>
  <c r="L363" i="110"/>
  <c r="Q107" i="110"/>
  <c r="P107" i="110"/>
  <c r="S107" i="110"/>
  <c r="J107" i="110"/>
  <c r="T107" i="110"/>
  <c r="U107" i="110"/>
  <c r="N107" i="110"/>
  <c r="M107" i="110"/>
  <c r="K107" i="110"/>
  <c r="R107" i="110"/>
  <c r="O107" i="110"/>
  <c r="L107" i="110"/>
  <c r="Q111" i="110"/>
  <c r="Q197" i="110" s="1"/>
  <c r="P111" i="110"/>
  <c r="P197" i="110" s="1"/>
  <c r="R111" i="110"/>
  <c r="R197" i="110" s="1"/>
  <c r="O111" i="110"/>
  <c r="O197" i="110" s="1"/>
  <c r="J111" i="110"/>
  <c r="N111" i="110"/>
  <c r="L111" i="110"/>
  <c r="M111" i="110"/>
  <c r="K111" i="110"/>
  <c r="U111" i="110"/>
  <c r="U197" i="110" s="1"/>
  <c r="S111" i="110"/>
  <c r="S197" i="110" s="1"/>
  <c r="T111" i="110"/>
  <c r="T197" i="110" s="1"/>
  <c r="R353" i="110"/>
  <c r="M215" i="110"/>
  <c r="Q337" i="110"/>
  <c r="P115" i="110"/>
  <c r="P201" i="110" s="1"/>
  <c r="Q115" i="110"/>
  <c r="Q201" i="110" s="1"/>
  <c r="O115" i="110"/>
  <c r="O201" i="110" s="1"/>
  <c r="T115" i="110"/>
  <c r="T201" i="110" s="1"/>
  <c r="U115" i="110"/>
  <c r="U201" i="110" s="1"/>
  <c r="S115" i="110"/>
  <c r="S201" i="110" s="1"/>
  <c r="K115" i="110"/>
  <c r="J115" i="110"/>
  <c r="N115" i="110"/>
  <c r="R115" i="110"/>
  <c r="R201" i="110" s="1"/>
  <c r="M115" i="110"/>
  <c r="L115" i="110"/>
  <c r="T118" i="110"/>
  <c r="T204" i="110" s="1"/>
  <c r="L118" i="110"/>
  <c r="U118" i="110"/>
  <c r="U204" i="110" s="1"/>
  <c r="M118" i="110"/>
  <c r="P118" i="110"/>
  <c r="P204" i="110" s="1"/>
  <c r="O118" i="110"/>
  <c r="O204" i="110" s="1"/>
  <c r="R118" i="110"/>
  <c r="R204" i="110" s="1"/>
  <c r="Q118" i="110"/>
  <c r="Q204" i="110" s="1"/>
  <c r="J118" i="110"/>
  <c r="S118" i="110"/>
  <c r="S204" i="110" s="1"/>
  <c r="K118" i="110"/>
  <c r="N118" i="110"/>
  <c r="P119" i="110"/>
  <c r="Q119" i="110"/>
  <c r="N119" i="110"/>
  <c r="P33" i="137" s="1"/>
  <c r="J119" i="110"/>
  <c r="M119" i="110"/>
  <c r="R119" i="110"/>
  <c r="K119" i="110"/>
  <c r="M33" i="137" s="1"/>
  <c r="L119" i="110"/>
  <c r="U119" i="110"/>
  <c r="S119" i="110"/>
  <c r="O119" i="110"/>
  <c r="T119" i="110"/>
  <c r="V58" i="137"/>
  <c r="Q350" i="110"/>
  <c r="O41" i="137"/>
  <c r="U30" i="137"/>
  <c r="R302" i="110"/>
  <c r="L213" i="110"/>
  <c r="J341" i="110"/>
  <c r="Q231" i="110"/>
  <c r="U318" i="110"/>
  <c r="U49" i="137"/>
  <c r="M114" i="110"/>
  <c r="M319" i="110" s="1"/>
  <c r="U114" i="110"/>
  <c r="T114" i="110"/>
  <c r="T200" i="110" s="1"/>
  <c r="L114" i="110"/>
  <c r="N28" i="137" s="1"/>
  <c r="K114" i="110"/>
  <c r="M28" i="137" s="1"/>
  <c r="Q114" i="110"/>
  <c r="S114" i="110"/>
  <c r="O114" i="110"/>
  <c r="O200" i="110" s="1"/>
  <c r="P114" i="110"/>
  <c r="P200" i="110" s="1"/>
  <c r="R114" i="110"/>
  <c r="R200" i="110" s="1"/>
  <c r="J114" i="110"/>
  <c r="N114" i="110"/>
  <c r="N319" i="110" s="1"/>
  <c r="N343" i="110"/>
  <c r="O388" i="110"/>
  <c r="N39" i="137"/>
  <c r="P350" i="110"/>
  <c r="AA102" i="110"/>
  <c r="AD102" i="110" s="1"/>
  <c r="Q24" i="137"/>
  <c r="Q43" i="137"/>
  <c r="L70" i="137"/>
  <c r="T52" i="137"/>
  <c r="P223" i="110"/>
  <c r="U37" i="137"/>
  <c r="T221" i="110"/>
  <c r="O24" i="137"/>
  <c r="P243" i="110"/>
  <c r="U215" i="110"/>
  <c r="Q322" i="110"/>
  <c r="T334" i="110"/>
  <c r="S344" i="110"/>
  <c r="L221" i="110"/>
  <c r="T331" i="110"/>
  <c r="U322" i="110"/>
  <c r="V109" i="110"/>
  <c r="P362" i="110"/>
  <c r="V41" i="137"/>
  <c r="K340" i="110"/>
  <c r="L330" i="110"/>
  <c r="L340" i="110"/>
  <c r="E319" i="110"/>
  <c r="U334" i="110"/>
  <c r="R243" i="110"/>
  <c r="K221" i="110"/>
  <c r="L211" i="110"/>
  <c r="P326" i="110"/>
  <c r="N225" i="110"/>
  <c r="AB200" i="110"/>
  <c r="AE200" i="110" s="1"/>
  <c r="K225" i="110"/>
  <c r="T225" i="110"/>
  <c r="R362" i="110"/>
  <c r="O217" i="110"/>
  <c r="T192" i="110"/>
  <c r="Q387" i="110"/>
  <c r="S330" i="110"/>
  <c r="R34" i="137"/>
  <c r="V22" i="137"/>
  <c r="O225" i="110"/>
  <c r="V381" i="110"/>
  <c r="V382" i="110" s="1"/>
  <c r="R49" i="137"/>
  <c r="S223" i="110"/>
  <c r="O93" i="110"/>
  <c r="U93" i="110"/>
  <c r="T93" i="110"/>
  <c r="L93" i="110"/>
  <c r="L243" i="110"/>
  <c r="R93" i="110"/>
  <c r="Q93" i="110"/>
  <c r="AA93" i="110"/>
  <c r="AD93" i="110" s="1"/>
  <c r="T24" i="137"/>
  <c r="P93" i="110"/>
  <c r="M93" i="110"/>
  <c r="W35" i="137"/>
  <c r="J93" i="110"/>
  <c r="V272" i="110"/>
  <c r="K179" i="110"/>
  <c r="J302" i="110"/>
  <c r="Q326" i="110"/>
  <c r="O305" i="110"/>
  <c r="J15" i="181"/>
  <c r="S231" i="110"/>
  <c r="N321" i="110"/>
  <c r="M213" i="110"/>
  <c r="K305" i="110"/>
  <c r="S340" i="110"/>
  <c r="K203" i="110"/>
  <c r="T47" i="137"/>
  <c r="M232" i="110"/>
  <c r="P217" i="110"/>
  <c r="R387" i="110"/>
  <c r="P328" i="110"/>
  <c r="O330" i="110"/>
  <c r="S221" i="110"/>
  <c r="K322" i="110"/>
  <c r="T302" i="110"/>
  <c r="N322" i="110"/>
  <c r="L231" i="110"/>
  <c r="V51" i="137"/>
  <c r="P336" i="110"/>
  <c r="O211" i="110"/>
  <c r="S12" i="181"/>
  <c r="R221" i="110"/>
  <c r="N387" i="110"/>
  <c r="Q30" i="137"/>
  <c r="T30" i="137"/>
  <c r="R215" i="110"/>
  <c r="U387" i="110"/>
  <c r="M331" i="110"/>
  <c r="T337" i="110"/>
  <c r="T310" i="110"/>
  <c r="U16" i="137"/>
  <c r="Q31" i="137"/>
  <c r="N202" i="110"/>
  <c r="T191" i="110"/>
  <c r="O223" i="110"/>
  <c r="R328" i="110"/>
  <c r="O387" i="110"/>
  <c r="T232" i="110"/>
  <c r="M326" i="110"/>
  <c r="R334" i="110"/>
  <c r="K311" i="110"/>
  <c r="U321" i="110"/>
  <c r="V271" i="110"/>
  <c r="K342" i="110"/>
  <c r="P343" i="110"/>
  <c r="K223" i="110"/>
  <c r="N305" i="110"/>
  <c r="R357" i="110"/>
  <c r="N353" i="110"/>
  <c r="Q244" i="110"/>
  <c r="U340" i="110"/>
  <c r="O35" i="137"/>
  <c r="P244" i="110"/>
  <c r="O231" i="110"/>
  <c r="W47" i="137"/>
  <c r="O350" i="110"/>
  <c r="P330" i="110"/>
  <c r="N223" i="110"/>
  <c r="M211" i="110"/>
  <c r="P224" i="110"/>
  <c r="S361" i="110"/>
  <c r="O49" i="137"/>
  <c r="Q224" i="110"/>
  <c r="U69" i="137"/>
  <c r="P302" i="110"/>
  <c r="S310" i="110"/>
  <c r="L15" i="181"/>
  <c r="S50" i="137"/>
  <c r="S30" i="137"/>
  <c r="S191" i="110"/>
  <c r="L31" i="137"/>
  <c r="S314" i="110"/>
  <c r="L50" i="137"/>
  <c r="O70" i="137"/>
  <c r="O12" i="181"/>
  <c r="O16" i="137"/>
  <c r="M222" i="110"/>
  <c r="R222" i="110"/>
  <c r="P322" i="110"/>
  <c r="Q359" i="110"/>
  <c r="J217" i="110"/>
  <c r="R393" i="110"/>
  <c r="N13" i="137"/>
  <c r="U353" i="110"/>
  <c r="N331" i="110"/>
  <c r="P64" i="137"/>
  <c r="Q321" i="110"/>
  <c r="J336" i="110"/>
  <c r="R341" i="110"/>
  <c r="L302" i="110"/>
  <c r="O191" i="110"/>
  <c r="P215" i="110"/>
  <c r="U41" i="137"/>
  <c r="M342" i="110"/>
  <c r="T353" i="110"/>
  <c r="M231" i="110"/>
  <c r="K231" i="110"/>
  <c r="K102" i="110"/>
  <c r="U217" i="110"/>
  <c r="S387" i="110"/>
  <c r="O328" i="110"/>
  <c r="U102" i="110"/>
  <c r="Q51" i="124" s="1"/>
  <c r="Q52" i="124" s="1"/>
  <c r="Q57" i="124" s="1"/>
  <c r="M217" i="110"/>
  <c r="S213" i="110"/>
  <c r="R388" i="110"/>
  <c r="M336" i="110"/>
  <c r="O192" i="110"/>
  <c r="S192" i="110"/>
  <c r="S332" i="110"/>
  <c r="R326" i="110"/>
  <c r="O102" i="110"/>
  <c r="Q18" i="137" s="1"/>
  <c r="R102" i="110"/>
  <c r="R192" i="110"/>
  <c r="M192" i="110"/>
  <c r="U192" i="110"/>
  <c r="K192" i="110"/>
  <c r="N192" i="110"/>
  <c r="M102" i="110"/>
  <c r="M307" i="110" s="1"/>
  <c r="Q192" i="110"/>
  <c r="E324" i="110"/>
  <c r="R228" i="110"/>
  <c r="R31" i="137"/>
  <c r="K344" i="110"/>
  <c r="R322" i="110"/>
  <c r="U186" i="110"/>
  <c r="J340" i="110"/>
  <c r="S228" i="110"/>
  <c r="K217" i="110"/>
  <c r="U363" i="110"/>
  <c r="Q328" i="110"/>
  <c r="S337" i="110"/>
  <c r="L47" i="137"/>
  <c r="R342" i="110"/>
  <c r="R336" i="110"/>
  <c r="M51" i="137"/>
  <c r="K336" i="110"/>
  <c r="Q340" i="110"/>
  <c r="R217" i="110"/>
  <c r="K393" i="110"/>
  <c r="Q221" i="110"/>
  <c r="O331" i="110"/>
  <c r="Q311" i="110"/>
  <c r="S393" i="110"/>
  <c r="N363" i="110"/>
  <c r="J223" i="110"/>
  <c r="M30" i="137"/>
  <c r="P186" i="110"/>
  <c r="K186" i="110"/>
  <c r="N186" i="110"/>
  <c r="T350" i="110"/>
  <c r="O228" i="110"/>
  <c r="N60" i="137"/>
  <c r="M314" i="110"/>
  <c r="V145" i="110"/>
  <c r="J23" i="124"/>
  <c r="J357" i="110"/>
  <c r="R52" i="137"/>
  <c r="L388" i="110"/>
  <c r="T231" i="110"/>
  <c r="N350" i="110"/>
  <c r="R186" i="110"/>
  <c r="P102" i="110"/>
  <c r="T102" i="110"/>
  <c r="K362" i="110"/>
  <c r="U228" i="110"/>
  <c r="T186" i="110"/>
  <c r="L326" i="110"/>
  <c r="P57" i="137"/>
  <c r="M186" i="110"/>
  <c r="U313" i="110"/>
  <c r="N228" i="110"/>
  <c r="J228" i="110"/>
  <c r="J332" i="110"/>
  <c r="M191" i="110"/>
  <c r="Q222" i="110"/>
  <c r="U232" i="110"/>
  <c r="AC89" i="110"/>
  <c r="AF89" i="110" s="1"/>
  <c r="L102" i="110"/>
  <c r="J102" i="110"/>
  <c r="P228" i="110"/>
  <c r="J213" i="110"/>
  <c r="Q341" i="110"/>
  <c r="N102" i="110"/>
  <c r="M228" i="110"/>
  <c r="P313" i="110"/>
  <c r="Q228" i="110"/>
  <c r="T228" i="110"/>
  <c r="K228" i="110"/>
  <c r="O186" i="110"/>
  <c r="Q393" i="110"/>
  <c r="J186" i="110"/>
  <c r="O51" i="124"/>
  <c r="O52" i="124" s="1"/>
  <c r="O57" i="124" s="1"/>
  <c r="I235" i="110"/>
  <c r="AC235" i="110" s="1"/>
  <c r="AF235" i="110" s="1"/>
  <c r="H235" i="110"/>
  <c r="AB235" i="110" s="1"/>
  <c r="AE235" i="110" s="1"/>
  <c r="F354" i="110"/>
  <c r="E354" i="110" s="1"/>
  <c r="G235" i="110"/>
  <c r="AA235" i="110" s="1"/>
  <c r="AD235" i="110" s="1"/>
  <c r="M195" i="110"/>
  <c r="Q102" i="110"/>
  <c r="S18" i="137" s="1"/>
  <c r="I176" i="110"/>
  <c r="AC176" i="110" s="1"/>
  <c r="AF176" i="110" s="1"/>
  <c r="F295" i="110"/>
  <c r="E295" i="110" s="1"/>
  <c r="G176" i="110"/>
  <c r="AA176" i="110" s="1"/>
  <c r="AD176" i="110" s="1"/>
  <c r="H176" i="110"/>
  <c r="AB176" i="110" s="1"/>
  <c r="AE176" i="110" s="1"/>
  <c r="L228" i="110"/>
  <c r="K25" i="124"/>
  <c r="V250" i="110"/>
  <c r="U149" i="110"/>
  <c r="T149" i="110"/>
  <c r="K149" i="110"/>
  <c r="S149" i="110"/>
  <c r="P149" i="110"/>
  <c r="Q149" i="110"/>
  <c r="J149" i="110"/>
  <c r="R149" i="110"/>
  <c r="AA149" i="110"/>
  <c r="AD149" i="110" s="1"/>
  <c r="M149" i="110"/>
  <c r="O149" i="110"/>
  <c r="N149" i="110"/>
  <c r="L149" i="110"/>
  <c r="AA90" i="110"/>
  <c r="AD90" i="110" s="1"/>
  <c r="M90" i="110"/>
  <c r="U90" i="110"/>
  <c r="K90" i="110"/>
  <c r="L90" i="110"/>
  <c r="Q90" i="110"/>
  <c r="T90" i="110"/>
  <c r="O90" i="110"/>
  <c r="N90" i="110"/>
  <c r="R90" i="110"/>
  <c r="J90" i="110"/>
  <c r="P90" i="110"/>
  <c r="S90" i="110"/>
  <c r="K332" i="110"/>
  <c r="O215" i="110"/>
  <c r="K387" i="110"/>
  <c r="J191" i="110"/>
  <c r="N211" i="110"/>
  <c r="Q60" i="137"/>
  <c r="L21" i="137"/>
  <c r="V135" i="110"/>
  <c r="P213" i="110"/>
  <c r="V68" i="137"/>
  <c r="S322" i="110"/>
  <c r="Q305" i="110"/>
  <c r="R47" i="137"/>
  <c r="V125" i="110"/>
  <c r="P25" i="137"/>
  <c r="V126" i="110"/>
  <c r="N330" i="110"/>
  <c r="O334" i="110"/>
  <c r="P332" i="110"/>
  <c r="K213" i="110"/>
  <c r="P221" i="110"/>
  <c r="N334" i="110"/>
  <c r="J328" i="110"/>
  <c r="Q225" i="110"/>
  <c r="L393" i="110"/>
  <c r="N215" i="110"/>
  <c r="P357" i="110"/>
  <c r="O302" i="110"/>
  <c r="U223" i="110"/>
  <c r="O345" i="110"/>
  <c r="J311" i="110"/>
  <c r="Q344" i="110"/>
  <c r="V131" i="110"/>
  <c r="L222" i="110"/>
  <c r="N12" i="181"/>
  <c r="U342" i="110"/>
  <c r="Q331" i="110"/>
  <c r="R452" i="110"/>
  <c r="S357" i="110"/>
  <c r="T223" i="110"/>
  <c r="N217" i="110"/>
  <c r="L341" i="110"/>
  <c r="N221" i="110"/>
  <c r="S212" i="110"/>
  <c r="Q212" i="110"/>
  <c r="Q351" i="58"/>
  <c r="K202" i="110"/>
  <c r="N195" i="110"/>
  <c r="T342" i="110"/>
  <c r="L345" i="110"/>
  <c r="N336" i="110"/>
  <c r="T244" i="110"/>
  <c r="N340" i="110"/>
  <c r="S331" i="110"/>
  <c r="Q311" i="58"/>
  <c r="M311" i="58"/>
  <c r="L362" i="110"/>
  <c r="J222" i="110"/>
  <c r="Q68" i="137"/>
  <c r="N51" i="137"/>
  <c r="M351" i="110"/>
  <c r="Q12" i="181"/>
  <c r="T363" i="110"/>
  <c r="T35" i="137"/>
  <c r="O243" i="110"/>
  <c r="P192" i="110"/>
  <c r="V97" i="110"/>
  <c r="V105" i="110"/>
  <c r="V106" i="110"/>
  <c r="L224" i="110"/>
  <c r="P334" i="110"/>
  <c r="J393" i="110"/>
  <c r="O60" i="137"/>
  <c r="K328" i="110"/>
  <c r="O362" i="110"/>
  <c r="V136" i="110"/>
  <c r="M388" i="110"/>
  <c r="Q186" i="110"/>
  <c r="Q314" i="110"/>
  <c r="M208" i="110"/>
  <c r="V157" i="110"/>
  <c r="P15" i="181"/>
  <c r="S359" i="110"/>
  <c r="J208" i="110"/>
  <c r="P311" i="110"/>
  <c r="U243" i="110"/>
  <c r="M69" i="137"/>
  <c r="V129" i="110"/>
  <c r="S69" i="137"/>
  <c r="S341" i="110"/>
  <c r="N213" i="110"/>
  <c r="N191" i="110"/>
  <c r="R35" i="137"/>
  <c r="Q25" i="137"/>
  <c r="O21" i="137"/>
  <c r="L361" i="110"/>
  <c r="W52" i="137"/>
  <c r="T387" i="110"/>
  <c r="J212" i="110"/>
  <c r="K326" i="110"/>
  <c r="M12" i="181"/>
  <c r="O212" i="110"/>
  <c r="J388" i="110"/>
  <c r="S25" i="137"/>
  <c r="L52" i="137"/>
  <c r="O22" i="137"/>
  <c r="R22" i="137"/>
  <c r="N388" i="110"/>
  <c r="T22" i="137"/>
  <c r="U362" i="110"/>
  <c r="V139" i="110"/>
  <c r="N313" i="110"/>
  <c r="P232" i="110"/>
  <c r="Q362" i="110"/>
  <c r="J185" i="110"/>
  <c r="V137" i="110"/>
  <c r="N332" i="110"/>
  <c r="L185" i="110"/>
  <c r="P21" i="137"/>
  <c r="M337" i="110"/>
  <c r="L310" i="110"/>
  <c r="K220" i="110"/>
  <c r="U195" i="110"/>
  <c r="O314" i="110"/>
  <c r="K191" i="110"/>
  <c r="T321" i="110"/>
  <c r="O185" i="110"/>
  <c r="K208" i="110"/>
  <c r="J326" i="110"/>
  <c r="L69" i="137"/>
  <c r="M48" i="137"/>
  <c r="N208" i="110"/>
  <c r="N212" i="110"/>
  <c r="N326" i="110"/>
  <c r="V146" i="110"/>
  <c r="O357" i="110"/>
  <c r="Q353" i="110"/>
  <c r="J225" i="110"/>
  <c r="P393" i="110"/>
  <c r="P351" i="110"/>
  <c r="K185" i="110"/>
  <c r="S185" i="110"/>
  <c r="R212" i="110"/>
  <c r="L191" i="110"/>
  <c r="U314" i="110"/>
  <c r="K310" i="110"/>
  <c r="Q191" i="110"/>
  <c r="V30" i="137"/>
  <c r="K388" i="110"/>
  <c r="Q185" i="110"/>
  <c r="O232" i="110"/>
  <c r="J351" i="110"/>
  <c r="O359" i="110"/>
  <c r="J344" i="110"/>
  <c r="P222" i="110"/>
  <c r="T224" i="110"/>
  <c r="K224" i="110"/>
  <c r="L212" i="110"/>
  <c r="M302" i="110"/>
  <c r="S328" i="110"/>
  <c r="M21" i="137"/>
  <c r="L195" i="110"/>
  <c r="Q310" i="110"/>
  <c r="L208" i="110"/>
  <c r="N185" i="110"/>
  <c r="W58" i="137"/>
  <c r="N302" i="110"/>
  <c r="N224" i="110"/>
  <c r="M311" i="110"/>
  <c r="L12" i="181"/>
  <c r="U51" i="137"/>
  <c r="L223" i="110"/>
  <c r="L314" i="110"/>
  <c r="Q58" i="137"/>
  <c r="O39" i="137"/>
  <c r="U185" i="110"/>
  <c r="J232" i="110"/>
  <c r="O240" i="110"/>
  <c r="J224" i="110"/>
  <c r="P341" i="110"/>
  <c r="M212" i="110"/>
  <c r="J243" i="110"/>
  <c r="U212" i="110"/>
  <c r="R185" i="110"/>
  <c r="P212" i="110"/>
  <c r="T185" i="110"/>
  <c r="O13" i="137"/>
  <c r="K353" i="110"/>
  <c r="N361" i="110"/>
  <c r="L66" i="137"/>
  <c r="T359" i="110"/>
  <c r="Q240" i="110"/>
  <c r="R218" i="110"/>
  <c r="P218" i="110"/>
  <c r="S194" i="110"/>
  <c r="P185" i="110"/>
  <c r="Q30" i="124"/>
  <c r="Q43" i="124" s="1"/>
  <c r="Q44" i="124" s="1"/>
  <c r="O218" i="110"/>
  <c r="Q218" i="110"/>
  <c r="T218" i="110"/>
  <c r="N218" i="110"/>
  <c r="J30" i="124"/>
  <c r="J43" i="124" s="1"/>
  <c r="J44" i="124" s="1"/>
  <c r="M185" i="110"/>
  <c r="Q214" i="110"/>
  <c r="AA115" i="110"/>
  <c r="AD115" i="110" s="1"/>
  <c r="N359" i="110"/>
  <c r="L359" i="110"/>
  <c r="K337" i="110"/>
  <c r="N203" i="110"/>
  <c r="AA118" i="110"/>
  <c r="AD118" i="110" s="1"/>
  <c r="T357" i="110"/>
  <c r="S291" i="58"/>
  <c r="J17" i="138" s="1"/>
  <c r="J55" i="138" s="1"/>
  <c r="P35" i="137"/>
  <c r="N328" i="110"/>
  <c r="R363" i="110"/>
  <c r="S363" i="110"/>
  <c r="M322" i="110"/>
  <c r="N30" i="124"/>
  <c r="N43" i="124" s="1"/>
  <c r="W64" i="137"/>
  <c r="P240" i="110"/>
  <c r="V138" i="110"/>
  <c r="M203" i="110"/>
  <c r="V84" i="110"/>
  <c r="V85" i="110" s="1"/>
  <c r="AC201" i="110"/>
  <c r="AF201" i="110" s="1"/>
  <c r="AB201" i="110"/>
  <c r="AE201" i="110" s="1"/>
  <c r="E320" i="110"/>
  <c r="AA201" i="110"/>
  <c r="AD201" i="110" s="1"/>
  <c r="W370" i="58"/>
  <c r="N244" i="110"/>
  <c r="S345" i="110"/>
  <c r="R66" i="137"/>
  <c r="V127" i="110"/>
  <c r="P183" i="110"/>
  <c r="Q50" i="137"/>
  <c r="J214" i="110"/>
  <c r="R244" i="110"/>
  <c r="V100" i="110"/>
  <c r="J218" i="110"/>
  <c r="T291" i="58"/>
  <c r="K17" i="138" s="1"/>
  <c r="K55" i="138" s="1"/>
  <c r="O214" i="110"/>
  <c r="L214" i="110"/>
  <c r="T50" i="137"/>
  <c r="Q39" i="124"/>
  <c r="Q41" i="124" s="1"/>
  <c r="J244" i="110"/>
  <c r="K183" i="110"/>
  <c r="J337" i="110"/>
  <c r="P353" i="110"/>
  <c r="N183" i="110"/>
  <c r="G230" i="110"/>
  <c r="AA230" i="110" s="1"/>
  <c r="AD230" i="110" s="1"/>
  <c r="F349" i="110"/>
  <c r="E349" i="110" s="1"/>
  <c r="I230" i="110"/>
  <c r="AC230" i="110" s="1"/>
  <c r="AF230" i="110" s="1"/>
  <c r="H230" i="110"/>
  <c r="AB230" i="110" s="1"/>
  <c r="AE230" i="110" s="1"/>
  <c r="T212" i="110"/>
  <c r="M214" i="110"/>
  <c r="F356" i="110"/>
  <c r="E356" i="110" s="1"/>
  <c r="H237" i="110"/>
  <c r="AB237" i="110" s="1"/>
  <c r="AE237" i="110" s="1"/>
  <c r="G237" i="110"/>
  <c r="AA237" i="110" s="1"/>
  <c r="AD237" i="110" s="1"/>
  <c r="I237" i="110"/>
  <c r="AC237" i="110" s="1"/>
  <c r="AF237" i="110" s="1"/>
  <c r="J353" i="110"/>
  <c r="U244" i="110"/>
  <c r="U332" i="110"/>
  <c r="M244" i="110"/>
  <c r="P361" i="110"/>
  <c r="T183" i="110"/>
  <c r="O244" i="110"/>
  <c r="AA144" i="110"/>
  <c r="AD144" i="110" s="1"/>
  <c r="U144" i="110"/>
  <c r="P144" i="110"/>
  <c r="O144" i="110"/>
  <c r="K144" i="110"/>
  <c r="N144" i="110"/>
  <c r="L144" i="110"/>
  <c r="Q144" i="110"/>
  <c r="M144" i="110"/>
  <c r="T144" i="110"/>
  <c r="J144" i="110"/>
  <c r="R144" i="110"/>
  <c r="S144" i="110"/>
  <c r="Q357" i="110"/>
  <c r="R224" i="110"/>
  <c r="R183" i="110"/>
  <c r="U213" i="110"/>
  <c r="M183" i="110"/>
  <c r="L183" i="110"/>
  <c r="J183" i="110"/>
  <c r="S186" i="110"/>
  <c r="O183" i="110"/>
  <c r="O160" i="110"/>
  <c r="L160" i="110"/>
  <c r="Q160" i="110"/>
  <c r="S160" i="110"/>
  <c r="U160" i="110"/>
  <c r="P160" i="110"/>
  <c r="N160" i="110"/>
  <c r="R160" i="110"/>
  <c r="T160" i="110"/>
  <c r="K160" i="110"/>
  <c r="J160" i="110"/>
  <c r="AA160" i="110"/>
  <c r="AD160" i="110" s="1"/>
  <c r="M160" i="110"/>
  <c r="U183" i="110"/>
  <c r="K244" i="110"/>
  <c r="S183" i="110"/>
  <c r="Q183" i="110"/>
  <c r="S305" i="110"/>
  <c r="F365" i="110"/>
  <c r="AB246" i="110"/>
  <c r="AE246" i="110" s="1"/>
  <c r="AA246" i="110"/>
  <c r="AD246" i="110" s="1"/>
  <c r="F378" i="110"/>
  <c r="AC246" i="110"/>
  <c r="AF246" i="110" s="1"/>
  <c r="U151" i="110"/>
  <c r="Q151" i="110"/>
  <c r="K151" i="110"/>
  <c r="L151" i="110"/>
  <c r="O151" i="110"/>
  <c r="N151" i="110"/>
  <c r="J151" i="110"/>
  <c r="R151" i="110"/>
  <c r="AA151" i="110"/>
  <c r="AD151" i="110" s="1"/>
  <c r="M151" i="110"/>
  <c r="P151" i="110"/>
  <c r="T151" i="110"/>
  <c r="S151" i="110"/>
  <c r="K214" i="110"/>
  <c r="AA214" i="110"/>
  <c r="AD214" i="110" s="1"/>
  <c r="M218" i="110"/>
  <c r="Q19" i="124"/>
  <c r="S353" i="110"/>
  <c r="O52" i="137"/>
  <c r="V108" i="110"/>
  <c r="U452" i="110"/>
  <c r="O29" i="124"/>
  <c r="O31" i="124" s="1"/>
  <c r="K313" i="110"/>
  <c r="N345" i="110"/>
  <c r="Q25" i="124"/>
  <c r="T25" i="137"/>
  <c r="M361" i="110"/>
  <c r="R314" i="110"/>
  <c r="O194" i="110"/>
  <c r="K222" i="110"/>
  <c r="N194" i="110"/>
  <c r="U222" i="110"/>
  <c r="V158" i="110"/>
  <c r="S195" i="110"/>
  <c r="L194" i="110"/>
  <c r="P194" i="110"/>
  <c r="R194" i="110"/>
  <c r="Q363" i="110"/>
  <c r="T195" i="110"/>
  <c r="M343" i="110"/>
  <c r="Q194" i="110"/>
  <c r="T314" i="110"/>
  <c r="T322" i="110"/>
  <c r="I28" i="124"/>
  <c r="U194" i="110"/>
  <c r="U359" i="110"/>
  <c r="O222" i="110"/>
  <c r="V132" i="110"/>
  <c r="K194" i="110"/>
  <c r="T222" i="110"/>
  <c r="M194" i="110"/>
  <c r="S222" i="110"/>
  <c r="N222" i="110"/>
  <c r="O39" i="124"/>
  <c r="O41" i="124" s="1"/>
  <c r="T66" i="137"/>
  <c r="N242" i="110"/>
  <c r="L25" i="137"/>
  <c r="N452" i="110"/>
  <c r="V154" i="110"/>
  <c r="K359" i="110"/>
  <c r="O242" i="110"/>
  <c r="U337" i="110"/>
  <c r="W44" i="137"/>
  <c r="K357" i="110"/>
  <c r="V148" i="110"/>
  <c r="M52" i="137"/>
  <c r="O58" i="181"/>
  <c r="O59" i="181" s="1"/>
  <c r="O33" i="181"/>
  <c r="E10" i="196"/>
  <c r="Z119" i="58"/>
  <c r="Z121" i="58" s="1"/>
  <c r="Z123" i="58" s="1"/>
  <c r="I219" i="110"/>
  <c r="AC219" i="110" s="1"/>
  <c r="AF219" i="110" s="1"/>
  <c r="F338" i="110"/>
  <c r="E338" i="110" s="1"/>
  <c r="H219" i="110"/>
  <c r="AB219" i="110" s="1"/>
  <c r="AE219" i="110" s="1"/>
  <c r="G219" i="110"/>
  <c r="AA219" i="110" s="1"/>
  <c r="AD219" i="110" s="1"/>
  <c r="AA179" i="110"/>
  <c r="AD179" i="110" s="1"/>
  <c r="Q89" i="110"/>
  <c r="K89" i="110"/>
  <c r="O89" i="110"/>
  <c r="J89" i="110"/>
  <c r="S89" i="110"/>
  <c r="P89" i="110"/>
  <c r="M89" i="110"/>
  <c r="N89" i="110"/>
  <c r="AA89" i="110"/>
  <c r="AD89" i="110" s="1"/>
  <c r="U89" i="110"/>
  <c r="R89" i="110"/>
  <c r="T89" i="110"/>
  <c r="L89" i="110"/>
  <c r="I216" i="110"/>
  <c r="AC216" i="110" s="1"/>
  <c r="AF216" i="110" s="1"/>
  <c r="H216" i="110"/>
  <c r="AB216" i="110" s="1"/>
  <c r="AE216" i="110" s="1"/>
  <c r="G216" i="110"/>
  <c r="AA216" i="110" s="1"/>
  <c r="AD216" i="110" s="1"/>
  <c r="F335" i="110"/>
  <c r="E335" i="110" s="1"/>
  <c r="AA111" i="110"/>
  <c r="AD111" i="110" s="1"/>
  <c r="V52" i="137"/>
  <c r="V140" i="110"/>
  <c r="T345" i="110"/>
  <c r="I178" i="110"/>
  <c r="AC178" i="110" s="1"/>
  <c r="AF178" i="110" s="1"/>
  <c r="H178" i="110"/>
  <c r="AB178" i="110" s="1"/>
  <c r="AE178" i="110" s="1"/>
  <c r="F297" i="110"/>
  <c r="E297" i="110" s="1"/>
  <c r="G178" i="110"/>
  <c r="AA178" i="110" s="1"/>
  <c r="AD178" i="110" s="1"/>
  <c r="O153" i="110"/>
  <c r="N153" i="110"/>
  <c r="Q153" i="110"/>
  <c r="M153" i="110"/>
  <c r="T153" i="110"/>
  <c r="J153" i="110"/>
  <c r="R153" i="110"/>
  <c r="AA153" i="110"/>
  <c r="AD153" i="110" s="1"/>
  <c r="P153" i="110"/>
  <c r="K153" i="110"/>
  <c r="L153" i="110"/>
  <c r="U153" i="110"/>
  <c r="S153" i="110"/>
  <c r="U63" i="181"/>
  <c r="U37" i="181"/>
  <c r="I16" i="124"/>
  <c r="I23" i="124" s="1"/>
  <c r="M452" i="110"/>
  <c r="L357" i="110"/>
  <c r="V152" i="110"/>
  <c r="M68" i="137"/>
  <c r="K361" i="110"/>
  <c r="V156" i="110"/>
  <c r="G30" i="124"/>
  <c r="G43" i="124" s="1"/>
  <c r="G29" i="124"/>
  <c r="G42" i="124" s="1"/>
  <c r="W68" i="137"/>
  <c r="U361" i="110"/>
  <c r="M25" i="137"/>
  <c r="K314" i="110"/>
  <c r="K195" i="110"/>
  <c r="AA101" i="110"/>
  <c r="AD101" i="110" s="1"/>
  <c r="J101" i="110"/>
  <c r="U101" i="110"/>
  <c r="P101" i="110"/>
  <c r="K101" i="110"/>
  <c r="R101" i="110"/>
  <c r="Q101" i="110"/>
  <c r="T101" i="110"/>
  <c r="S101" i="110"/>
  <c r="M101" i="110"/>
  <c r="O101" i="110"/>
  <c r="L101" i="110"/>
  <c r="N101" i="110"/>
  <c r="M147" i="110"/>
  <c r="K147" i="110"/>
  <c r="AA147" i="110"/>
  <c r="AD147" i="110" s="1"/>
  <c r="U147" i="110"/>
  <c r="T147" i="110"/>
  <c r="O147" i="110"/>
  <c r="N147" i="110"/>
  <c r="J147" i="110"/>
  <c r="L147" i="110"/>
  <c r="P147" i="110"/>
  <c r="S147" i="110"/>
  <c r="Q147" i="110"/>
  <c r="R147" i="110"/>
  <c r="I229" i="110"/>
  <c r="AC229" i="110" s="1"/>
  <c r="AF229" i="110" s="1"/>
  <c r="H229" i="110"/>
  <c r="AB229" i="110" s="1"/>
  <c r="AE229" i="110" s="1"/>
  <c r="F348" i="110"/>
  <c r="E348" i="110" s="1"/>
  <c r="G229" i="110"/>
  <c r="AA229" i="110" s="1"/>
  <c r="AD229" i="110" s="1"/>
  <c r="AC197" i="110"/>
  <c r="AF197" i="110" s="1"/>
  <c r="AB197" i="110"/>
  <c r="AE197" i="110" s="1"/>
  <c r="AA197" i="110"/>
  <c r="AD197" i="110" s="1"/>
  <c r="E316" i="110"/>
  <c r="M92" i="110"/>
  <c r="O92" i="110"/>
  <c r="J92" i="110"/>
  <c r="U92" i="110"/>
  <c r="Q92" i="110"/>
  <c r="T92" i="110"/>
  <c r="S92" i="110"/>
  <c r="N92" i="110"/>
  <c r="AA92" i="110"/>
  <c r="AD92" i="110" s="1"/>
  <c r="K92" i="110"/>
  <c r="L92" i="110"/>
  <c r="R92" i="110"/>
  <c r="P92" i="110"/>
  <c r="U224" i="110"/>
  <c r="K234" i="110"/>
  <c r="Q130" i="110"/>
  <c r="K130" i="110"/>
  <c r="R130" i="110"/>
  <c r="L130" i="110"/>
  <c r="T130" i="110"/>
  <c r="O130" i="110"/>
  <c r="S130" i="110"/>
  <c r="AA130" i="110"/>
  <c r="AD130" i="110" s="1"/>
  <c r="P130" i="110"/>
  <c r="M130" i="110"/>
  <c r="J130" i="110"/>
  <c r="U130" i="110"/>
  <c r="N130" i="110"/>
  <c r="AA143" i="110"/>
  <c r="AD143" i="110" s="1"/>
  <c r="L143" i="110"/>
  <c r="K143" i="110"/>
  <c r="R143" i="110"/>
  <c r="P143" i="110"/>
  <c r="J143" i="110"/>
  <c r="S143" i="110"/>
  <c r="T143" i="110"/>
  <c r="N143" i="110"/>
  <c r="U143" i="110"/>
  <c r="O143" i="110"/>
  <c r="M143" i="110"/>
  <c r="Q143" i="110"/>
  <c r="O224" i="110"/>
  <c r="V251" i="110"/>
  <c r="I241" i="110"/>
  <c r="AC241" i="110" s="1"/>
  <c r="AF241" i="110" s="1"/>
  <c r="H241" i="110"/>
  <c r="AB241" i="110" s="1"/>
  <c r="AE241" i="110" s="1"/>
  <c r="F360" i="110"/>
  <c r="E360" i="110" s="1"/>
  <c r="G241" i="110"/>
  <c r="AA241" i="110" s="1"/>
  <c r="AD241" i="110" s="1"/>
  <c r="T133" i="110"/>
  <c r="J133" i="110"/>
  <c r="U133" i="110"/>
  <c r="R133" i="110"/>
  <c r="P133" i="110"/>
  <c r="Q133" i="110"/>
  <c r="O133" i="110"/>
  <c r="L133" i="110"/>
  <c r="K133" i="110"/>
  <c r="S133" i="110"/>
  <c r="N133" i="110"/>
  <c r="AA133" i="110"/>
  <c r="AD133" i="110" s="1"/>
  <c r="M133" i="110"/>
  <c r="I236" i="110"/>
  <c r="AC236" i="110" s="1"/>
  <c r="AF236" i="110" s="1"/>
  <c r="H236" i="110"/>
  <c r="AB236" i="110" s="1"/>
  <c r="AE236" i="110" s="1"/>
  <c r="G236" i="110"/>
  <c r="AA236" i="110" s="1"/>
  <c r="AD236" i="110" s="1"/>
  <c r="F355" i="110"/>
  <c r="E355" i="110" s="1"/>
  <c r="S244" i="110"/>
  <c r="AA194" i="110"/>
  <c r="AD194" i="110" s="1"/>
  <c r="J194" i="110"/>
  <c r="I233" i="110"/>
  <c r="AC233" i="110" s="1"/>
  <c r="AF233" i="110" s="1"/>
  <c r="H233" i="110"/>
  <c r="AB233" i="110" s="1"/>
  <c r="AE233" i="110" s="1"/>
  <c r="F352" i="110"/>
  <c r="E352" i="110" s="1"/>
  <c r="G233" i="110"/>
  <c r="AA233" i="110" s="1"/>
  <c r="AD233" i="110" s="1"/>
  <c r="K150" i="110"/>
  <c r="S150" i="110"/>
  <c r="Q150" i="110"/>
  <c r="AA150" i="110"/>
  <c r="AD150" i="110" s="1"/>
  <c r="P150" i="110"/>
  <c r="T150" i="110"/>
  <c r="M150" i="110"/>
  <c r="J150" i="110"/>
  <c r="L150" i="110"/>
  <c r="O150" i="110"/>
  <c r="U150" i="110"/>
  <c r="N150" i="110"/>
  <c r="R150" i="110"/>
  <c r="I193" i="110"/>
  <c r="AC193" i="110" s="1"/>
  <c r="AF193" i="110" s="1"/>
  <c r="H193" i="110"/>
  <c r="AB193" i="110" s="1"/>
  <c r="AE193" i="110" s="1"/>
  <c r="F312" i="110"/>
  <c r="E312" i="110" s="1"/>
  <c r="G193" i="110"/>
  <c r="I184" i="110"/>
  <c r="AC184" i="110" s="1"/>
  <c r="AF184" i="110" s="1"/>
  <c r="H184" i="110"/>
  <c r="AB184" i="110" s="1"/>
  <c r="AE184" i="110" s="1"/>
  <c r="F303" i="110"/>
  <c r="E303" i="110" s="1"/>
  <c r="G184" i="110"/>
  <c r="AA184" i="110" s="1"/>
  <c r="AD184" i="110" s="1"/>
  <c r="AA155" i="110"/>
  <c r="AD155" i="110" s="1"/>
  <c r="T155" i="110"/>
  <c r="U155" i="110"/>
  <c r="O155" i="110"/>
  <c r="P155" i="110"/>
  <c r="N155" i="110"/>
  <c r="L155" i="110"/>
  <c r="J155" i="110"/>
  <c r="R155" i="110"/>
  <c r="Q155" i="110"/>
  <c r="K155" i="110"/>
  <c r="S155" i="110"/>
  <c r="M155" i="110"/>
  <c r="I239" i="110"/>
  <c r="AC239" i="110" s="1"/>
  <c r="AF239" i="110" s="1"/>
  <c r="F358" i="110"/>
  <c r="E358" i="110" s="1"/>
  <c r="H239" i="110"/>
  <c r="AB239" i="110" s="1"/>
  <c r="AE239" i="110" s="1"/>
  <c r="G239" i="110"/>
  <c r="AA239" i="110" s="1"/>
  <c r="AD239" i="110" s="1"/>
  <c r="I175" i="110"/>
  <c r="AC175" i="110" s="1"/>
  <c r="AF175" i="110" s="1"/>
  <c r="H175" i="110"/>
  <c r="AB175" i="110" s="1"/>
  <c r="AE175" i="110" s="1"/>
  <c r="F294" i="110"/>
  <c r="E294" i="110" s="1"/>
  <c r="G175" i="110"/>
  <c r="AA175" i="110" s="1"/>
  <c r="AD175" i="110" s="1"/>
  <c r="I187" i="110"/>
  <c r="AC187" i="110" s="1"/>
  <c r="AF187" i="110" s="1"/>
  <c r="H187" i="110"/>
  <c r="AB187" i="110" s="1"/>
  <c r="AE187" i="110" s="1"/>
  <c r="G187" i="110"/>
  <c r="AA187" i="110" s="1"/>
  <c r="AD187" i="110" s="1"/>
  <c r="F306" i="110"/>
  <c r="E306" i="110" s="1"/>
  <c r="L244" i="110"/>
  <c r="AA224" i="110"/>
  <c r="AD224" i="110" s="1"/>
  <c r="M224" i="110"/>
  <c r="AA208" i="110"/>
  <c r="AD208" i="110" s="1"/>
  <c r="AA107" i="110"/>
  <c r="AD107" i="110" s="1"/>
  <c r="T98" i="110"/>
  <c r="R98" i="110"/>
  <c r="Q98" i="110"/>
  <c r="AA98" i="110"/>
  <c r="AD98" i="110" s="1"/>
  <c r="L98" i="110"/>
  <c r="P98" i="110"/>
  <c r="U98" i="110"/>
  <c r="M98" i="110"/>
  <c r="N98" i="110"/>
  <c r="J98" i="110"/>
  <c r="S98" i="110"/>
  <c r="O98" i="110"/>
  <c r="K98" i="110"/>
  <c r="J242" i="110"/>
  <c r="T242" i="110"/>
  <c r="P242" i="110"/>
  <c r="M242" i="110"/>
  <c r="R242" i="110"/>
  <c r="L39" i="124"/>
  <c r="L41" i="124" s="1"/>
  <c r="K242" i="110"/>
  <c r="S242" i="110"/>
  <c r="Q242" i="110"/>
  <c r="U218" i="110"/>
  <c r="H39" i="124"/>
  <c r="H41" i="124" s="1"/>
  <c r="R234" i="110"/>
  <c r="R240" i="110"/>
  <c r="S234" i="110"/>
  <c r="T234" i="110"/>
  <c r="K218" i="110"/>
  <c r="Q234" i="110"/>
  <c r="K240" i="110"/>
  <c r="L242" i="110"/>
  <c r="U242" i="110"/>
  <c r="J234" i="110"/>
  <c r="S218" i="110"/>
  <c r="U234" i="110"/>
  <c r="R210" i="110"/>
  <c r="AA210" i="110"/>
  <c r="AD210" i="110" s="1"/>
  <c r="N234" i="110"/>
  <c r="O234" i="110"/>
  <c r="L240" i="110"/>
  <c r="L234" i="110"/>
  <c r="P234" i="110"/>
  <c r="M234" i="110"/>
  <c r="N240" i="110"/>
  <c r="S240" i="110"/>
  <c r="J240" i="110"/>
  <c r="T240" i="110"/>
  <c r="L218" i="110"/>
  <c r="M240" i="110"/>
  <c r="U240" i="110"/>
  <c r="L452" i="110"/>
  <c r="I97" i="137"/>
  <c r="I145" i="137" s="1"/>
  <c r="I73" i="137"/>
  <c r="V351" i="58"/>
  <c r="V311" i="58"/>
  <c r="H30" i="124"/>
  <c r="H43" i="124" s="1"/>
  <c r="H44" i="124" s="1"/>
  <c r="F28" i="124"/>
  <c r="U291" i="58"/>
  <c r="L17" i="138" s="1"/>
  <c r="L55" i="138" s="1"/>
  <c r="W311" i="58"/>
  <c r="W312" i="58"/>
  <c r="F30" i="124"/>
  <c r="F31" i="124" s="1"/>
  <c r="U32" i="181"/>
  <c r="P33" i="181"/>
  <c r="J452" i="110"/>
  <c r="S452" i="110"/>
  <c r="O19" i="124"/>
  <c r="P311" i="58"/>
  <c r="P351" i="58"/>
  <c r="R311" i="58"/>
  <c r="R351" i="58"/>
  <c r="V449" i="110"/>
  <c r="F16" i="124"/>
  <c r="F23" i="124" s="1"/>
  <c r="L30" i="124"/>
  <c r="L43" i="124" s="1"/>
  <c r="L44" i="124" s="1"/>
  <c r="L19" i="124"/>
  <c r="P452" i="110"/>
  <c r="K30" i="124"/>
  <c r="K43" i="124" s="1"/>
  <c r="K44" i="124" s="1"/>
  <c r="K19" i="124"/>
  <c r="N6" i="138"/>
  <c r="M39" i="124"/>
  <c r="M41" i="124" s="1"/>
  <c r="U351" i="58"/>
  <c r="P30" i="124"/>
  <c r="P43" i="124" s="1"/>
  <c r="P44" i="124" s="1"/>
  <c r="M58" i="181"/>
  <c r="M59" i="181" s="1"/>
  <c r="U311" i="58"/>
  <c r="U35" i="181"/>
  <c r="V451" i="110"/>
  <c r="O452" i="110"/>
  <c r="K39" i="124"/>
  <c r="K41" i="124" s="1"/>
  <c r="M30" i="124"/>
  <c r="M43" i="124" s="1"/>
  <c r="M44" i="124" s="1"/>
  <c r="T452" i="110"/>
  <c r="U53" i="181"/>
  <c r="P19" i="124"/>
  <c r="U77" i="181"/>
  <c r="K452" i="110"/>
  <c r="G28" i="124"/>
  <c r="V450" i="110"/>
  <c r="P28" i="124"/>
  <c r="U76" i="181"/>
  <c r="N312" i="58"/>
  <c r="N311" i="58"/>
  <c r="W333" i="58"/>
  <c r="W331" i="58"/>
  <c r="W332" i="58"/>
  <c r="L38" i="181"/>
  <c r="P25" i="124"/>
  <c r="U36" i="181"/>
  <c r="I38" i="181"/>
  <c r="Q291" i="58"/>
  <c r="H17" i="138" s="1"/>
  <c r="M19" i="124"/>
  <c r="O329" i="58"/>
  <c r="S351" i="58"/>
  <c r="S311" i="58"/>
  <c r="X369" i="58"/>
  <c r="N291" i="58"/>
  <c r="I59" i="181"/>
  <c r="O351" i="58"/>
  <c r="O311" i="58"/>
  <c r="J64" i="181"/>
  <c r="O18" i="138"/>
  <c r="X290" i="58"/>
  <c r="O312" i="58"/>
  <c r="Q452" i="110"/>
  <c r="X350" i="58"/>
  <c r="M351" i="58"/>
  <c r="N19" i="124"/>
  <c r="I32" i="138"/>
  <c r="N58" i="35"/>
  <c r="O58" i="35"/>
  <c r="Q58" i="35"/>
  <c r="N39" i="124"/>
  <c r="N41" i="124" s="1"/>
  <c r="L23" i="124"/>
  <c r="L32" i="124" s="1"/>
  <c r="X40" i="137"/>
  <c r="K40" i="137" s="1"/>
  <c r="K111" i="137" s="1"/>
  <c r="N42" i="124"/>
  <c r="V333" i="110"/>
  <c r="V245" i="110"/>
  <c r="G19" i="124"/>
  <c r="G23" i="124"/>
  <c r="H23" i="124"/>
  <c r="H32" i="124" s="1"/>
  <c r="H19" i="124"/>
  <c r="V364" i="110"/>
  <c r="I29" i="124"/>
  <c r="I30" i="124"/>
  <c r="R18" i="124"/>
  <c r="X12" i="137"/>
  <c r="K12" i="137" s="1"/>
  <c r="X54" i="137"/>
  <c r="K54" i="137" s="1"/>
  <c r="K125" i="137" s="1"/>
  <c r="X53" i="137"/>
  <c r="K53" i="137" s="1"/>
  <c r="K124" i="137" s="1"/>
  <c r="U14" i="181"/>
  <c r="V227" i="110"/>
  <c r="V304" i="110"/>
  <c r="V346" i="110"/>
  <c r="X71" i="137"/>
  <c r="K71" i="137" s="1"/>
  <c r="K142" i="137" s="1"/>
  <c r="V347" i="110"/>
  <c r="X15" i="137"/>
  <c r="K15" i="137" s="1"/>
  <c r="K87" i="137" s="1"/>
  <c r="EF104" i="188" l="1"/>
  <c r="ED104" i="188"/>
  <c r="EJ104" i="188"/>
  <c r="EC104" i="188"/>
  <c r="EI104" i="188"/>
  <c r="R17" i="124"/>
  <c r="J19" i="124"/>
  <c r="EH104" i="188"/>
  <c r="EG104" i="188"/>
  <c r="EK104" i="188"/>
  <c r="EE104" i="188"/>
  <c r="R26" i="124"/>
  <c r="R28" i="124" s="1"/>
  <c r="J39" i="124"/>
  <c r="O5" i="206"/>
  <c r="P5" i="206" s="1"/>
  <c r="J28" i="124"/>
  <c r="L23" i="35"/>
  <c r="W23" i="35" s="1"/>
  <c r="X23" i="35" s="1"/>
  <c r="V25" i="205"/>
  <c r="CB102" i="188"/>
  <c r="CB122" i="188" s="1"/>
  <c r="X58" i="205"/>
  <c r="AW58" i="205" s="1"/>
  <c r="AX58" i="205" s="1"/>
  <c r="J32" i="124"/>
  <c r="EH115" i="188"/>
  <c r="D13" i="206"/>
  <c r="S55" i="35"/>
  <c r="W55" i="35"/>
  <c r="X55" i="35" s="1"/>
  <c r="F4" i="26"/>
  <c r="BL102" i="188"/>
  <c r="BL122" i="188" s="1"/>
  <c r="U20" i="137"/>
  <c r="S309" i="110"/>
  <c r="J309" i="110"/>
  <c r="J190" i="110"/>
  <c r="R33" i="137"/>
  <c r="P205" i="110"/>
  <c r="S33" i="137"/>
  <c r="Q205" i="110"/>
  <c r="T33" i="137"/>
  <c r="R205" i="110"/>
  <c r="U324" i="110"/>
  <c r="U205" i="110"/>
  <c r="U33" i="137"/>
  <c r="S205" i="110"/>
  <c r="Q33" i="137"/>
  <c r="O205" i="110"/>
  <c r="V33" i="137"/>
  <c r="T205" i="110"/>
  <c r="U319" i="110"/>
  <c r="U200" i="110"/>
  <c r="S28" i="137"/>
  <c r="Q200" i="110"/>
  <c r="U28" i="137"/>
  <c r="S200" i="110"/>
  <c r="O235" i="110"/>
  <c r="DL104" i="188"/>
  <c r="EL119" i="188"/>
  <c r="DZ104" i="188"/>
  <c r="EA104" i="188"/>
  <c r="DZ70" i="188"/>
  <c r="EI70" i="188"/>
  <c r="ED112" i="188"/>
  <c r="EE112" i="188"/>
  <c r="Y46" i="133"/>
  <c r="Y47" i="133" s="1"/>
  <c r="Y87" i="133" s="1"/>
  <c r="BZ102" i="188"/>
  <c r="BZ122" i="188" s="1"/>
  <c r="BZ130" i="188" s="1"/>
  <c r="CD102" i="188"/>
  <c r="CD122" i="188" s="1"/>
  <c r="CD130" i="188" s="1"/>
  <c r="J102" i="188"/>
  <c r="Z7" i="133"/>
  <c r="AA7" i="133" s="1"/>
  <c r="CI102" i="188"/>
  <c r="CI122" i="188" s="1"/>
  <c r="CE102" i="188"/>
  <c r="CE122" i="188" s="1"/>
  <c r="CE130" i="188" s="1"/>
  <c r="CJ102" i="188"/>
  <c r="CJ122" i="188" s="1"/>
  <c r="CJ130" i="188" s="1"/>
  <c r="CA102" i="188"/>
  <c r="CA122" i="188" s="1"/>
  <c r="CA130" i="188" s="1"/>
  <c r="E55" i="193"/>
  <c r="E64" i="193" s="1"/>
  <c r="E73" i="193" s="1"/>
  <c r="CF102" i="188"/>
  <c r="CF122" i="188" s="1"/>
  <c r="CF130" i="188" s="1"/>
  <c r="CK102" i="188"/>
  <c r="CK122" i="188" s="1"/>
  <c r="CK130" i="188" s="1"/>
  <c r="CC102" i="188"/>
  <c r="CC122" i="188" s="1"/>
  <c r="CC130" i="188" s="1"/>
  <c r="CG102" i="188"/>
  <c r="CG122" i="188" s="1"/>
  <c r="CG130" i="188" s="1"/>
  <c r="EC70" i="188"/>
  <c r="E54" i="193"/>
  <c r="E58" i="193" s="1"/>
  <c r="L51" i="35"/>
  <c r="H35" i="138" s="1"/>
  <c r="E27" i="193"/>
  <c r="E18" i="193" s="1"/>
  <c r="G30" i="133"/>
  <c r="G36" i="133" s="1"/>
  <c r="G40" i="133" s="1"/>
  <c r="EJ70" i="188"/>
  <c r="F25" i="193"/>
  <c r="G25" i="193" s="1"/>
  <c r="J5" i="124"/>
  <c r="J61" i="124" s="1" a="1"/>
  <c r="J61" i="124" s="1"/>
  <c r="J141" i="133"/>
  <c r="K5" i="35"/>
  <c r="O32" i="124"/>
  <c r="I25" i="124"/>
  <c r="I32" i="124"/>
  <c r="M45" i="124"/>
  <c r="N38" i="124"/>
  <c r="N45" i="124"/>
  <c r="Q38" i="124"/>
  <c r="Q45" i="124"/>
  <c r="K38" i="124"/>
  <c r="K45" i="124"/>
  <c r="P38" i="124"/>
  <c r="P45" i="124"/>
  <c r="O58" i="124"/>
  <c r="J25" i="124"/>
  <c r="J36" i="124" a="1"/>
  <c r="J36" i="124" s="1"/>
  <c r="L36" i="124" a="1"/>
  <c r="L36" i="124" s="1"/>
  <c r="W206" i="58"/>
  <c r="W203" i="58"/>
  <c r="W293" i="58" s="1"/>
  <c r="M203" i="58"/>
  <c r="M293" i="58" s="1"/>
  <c r="M206" i="58"/>
  <c r="M208" i="58" s="1"/>
  <c r="T203" i="58"/>
  <c r="T293" i="58" s="1"/>
  <c r="T206" i="58"/>
  <c r="R206" i="58"/>
  <c r="R203" i="58"/>
  <c r="R293" i="58" s="1"/>
  <c r="Q206" i="58"/>
  <c r="Q203" i="58"/>
  <c r="Q293" i="58" s="1"/>
  <c r="V51" i="205" s="1"/>
  <c r="X51" i="205" s="1"/>
  <c r="U206" i="58"/>
  <c r="U203" i="58"/>
  <c r="U293" i="58" s="1"/>
  <c r="V203" i="58"/>
  <c r="V293" i="58" s="1"/>
  <c r="V206" i="58"/>
  <c r="O203" i="58"/>
  <c r="O293" i="58" s="1"/>
  <c r="O206" i="58"/>
  <c r="O208" i="58" s="1"/>
  <c r="S206" i="58"/>
  <c r="S203" i="58"/>
  <c r="S293" i="58" s="1"/>
  <c r="N206" i="58"/>
  <c r="N208" i="58" s="1"/>
  <c r="N203" i="58"/>
  <c r="N293" i="58" s="1"/>
  <c r="L203" i="58"/>
  <c r="L293" i="58" s="1"/>
  <c r="L206" i="58"/>
  <c r="EI115" i="188"/>
  <c r="EJ115" i="188"/>
  <c r="EH31" i="188"/>
  <c r="EB115" i="188"/>
  <c r="EJ112" i="188"/>
  <c r="EK31" i="188"/>
  <c r="EK115" i="188"/>
  <c r="EA70" i="188"/>
  <c r="EB112" i="188"/>
  <c r="DZ112" i="188"/>
  <c r="EI31" i="188"/>
  <c r="EA115" i="188"/>
  <c r="DP29" i="188"/>
  <c r="DP130" i="188" s="1"/>
  <c r="DZ115" i="188"/>
  <c r="EA31" i="188"/>
  <c r="EF115" i="188"/>
  <c r="EA112" i="188"/>
  <c r="ED115" i="188"/>
  <c r="EF70" i="188"/>
  <c r="EC115" i="188"/>
  <c r="EG115" i="188"/>
  <c r="EI112" i="188"/>
  <c r="EH70" i="188"/>
  <c r="H89" i="133"/>
  <c r="EE70" i="188"/>
  <c r="EK112" i="188"/>
  <c r="ED70" i="188"/>
  <c r="EK70" i="188"/>
  <c r="N47" i="175"/>
  <c r="EH112" i="188"/>
  <c r="DL115" i="188"/>
  <c r="EC112" i="188"/>
  <c r="EG112" i="188"/>
  <c r="EF112" i="188"/>
  <c r="EB70" i="188"/>
  <c r="EG70" i="188"/>
  <c r="EL58" i="188"/>
  <c r="DZ31" i="188"/>
  <c r="DL31" i="188"/>
  <c r="DL70" i="188"/>
  <c r="EJ31" i="188"/>
  <c r="M23" i="199"/>
  <c r="M25" i="199" s="1"/>
  <c r="M63" i="199" s="1"/>
  <c r="EL98" i="188"/>
  <c r="EG31" i="188"/>
  <c r="E17" i="138"/>
  <c r="E6" i="138" s="1"/>
  <c r="G107" i="192"/>
  <c r="G108" i="192" s="1"/>
  <c r="EL59" i="188"/>
  <c r="DZ40" i="188"/>
  <c r="EE31" i="188"/>
  <c r="AY46" i="133"/>
  <c r="ED40" i="188"/>
  <c r="EF31" i="188"/>
  <c r="J69" i="192"/>
  <c r="AZ46" i="133"/>
  <c r="DL112" i="188"/>
  <c r="N414" i="110"/>
  <c r="EB55" i="188"/>
  <c r="EG55" i="188"/>
  <c r="EH55" i="188"/>
  <c r="EK55" i="188"/>
  <c r="EC55" i="188"/>
  <c r="EJ55" i="188"/>
  <c r="EF55" i="188"/>
  <c r="ED55" i="188"/>
  <c r="EI55" i="188"/>
  <c r="EE55" i="188"/>
  <c r="DZ55" i="188"/>
  <c r="EA55" i="188"/>
  <c r="DL55" i="188"/>
  <c r="N16" i="199"/>
  <c r="N22" i="199" s="1"/>
  <c r="N23" i="199" s="1"/>
  <c r="N25" i="199" s="1"/>
  <c r="N48" i="199" s="1"/>
  <c r="N50" i="199" s="1"/>
  <c r="N60" i="199" s="1"/>
  <c r="O15" i="199"/>
  <c r="O21" i="199" s="1"/>
  <c r="EK101" i="188"/>
  <c r="ED31" i="188"/>
  <c r="DL98" i="188"/>
  <c r="EL105" i="188"/>
  <c r="EL120" i="188"/>
  <c r="EE75" i="188"/>
  <c r="EC31" i="188"/>
  <c r="DL114" i="188"/>
  <c r="N438" i="110"/>
  <c r="X118" i="58"/>
  <c r="Y118" i="58" s="1"/>
  <c r="Y116" i="58"/>
  <c r="N402" i="110"/>
  <c r="N426" i="110"/>
  <c r="L177" i="110"/>
  <c r="S438" i="110"/>
  <c r="U7" i="137"/>
  <c r="Q177" i="110"/>
  <c r="R402" i="110"/>
  <c r="S7" i="137"/>
  <c r="Q426" i="110"/>
  <c r="Q438" i="110"/>
  <c r="T7" i="137"/>
  <c r="P333" i="58"/>
  <c r="P331" i="58"/>
  <c r="S414" i="110"/>
  <c r="S426" i="110"/>
  <c r="O414" i="110"/>
  <c r="J177" i="110"/>
  <c r="Q7" i="137"/>
  <c r="R438" i="110"/>
  <c r="R414" i="110"/>
  <c r="P332" i="58"/>
  <c r="K438" i="110"/>
  <c r="T426" i="110"/>
  <c r="T414" i="110"/>
  <c r="K426" i="110"/>
  <c r="K402" i="110"/>
  <c r="R370" i="58"/>
  <c r="R332" i="58"/>
  <c r="R333" i="58"/>
  <c r="K414" i="110"/>
  <c r="M426" i="110"/>
  <c r="M438" i="110"/>
  <c r="L402" i="110"/>
  <c r="P177" i="110"/>
  <c r="M414" i="110"/>
  <c r="S177" i="110"/>
  <c r="O402" i="110"/>
  <c r="Q414" i="110"/>
  <c r="L438" i="110"/>
  <c r="L414" i="110"/>
  <c r="O7" i="137"/>
  <c r="P438" i="110"/>
  <c r="N7" i="137"/>
  <c r="R7" i="137"/>
  <c r="L426" i="110"/>
  <c r="O426" i="110"/>
  <c r="P402" i="110"/>
  <c r="P426" i="110"/>
  <c r="V91" i="110"/>
  <c r="T438" i="110"/>
  <c r="V7" i="137"/>
  <c r="J426" i="110"/>
  <c r="J402" i="110"/>
  <c r="L7" i="137"/>
  <c r="V332" i="58"/>
  <c r="V370" i="58"/>
  <c r="X224" i="58"/>
  <c r="X291" i="58" s="1"/>
  <c r="V331" i="58"/>
  <c r="Q333" i="58"/>
  <c r="S370" i="58"/>
  <c r="Q370" i="58"/>
  <c r="X320" i="58"/>
  <c r="X329" i="58" s="1"/>
  <c r="X332" i="58" s="1"/>
  <c r="Q331" i="58"/>
  <c r="J414" i="110"/>
  <c r="T209" i="110"/>
  <c r="U331" i="58"/>
  <c r="N331" i="58"/>
  <c r="N333" i="58"/>
  <c r="U333" i="58"/>
  <c r="T370" i="58"/>
  <c r="S331" i="58"/>
  <c r="S333" i="58"/>
  <c r="N370" i="58"/>
  <c r="T332" i="58"/>
  <c r="U370" i="58"/>
  <c r="T333" i="58"/>
  <c r="U181" i="110"/>
  <c r="AA181" i="110"/>
  <c r="AD181" i="110" s="1"/>
  <c r="V405" i="110"/>
  <c r="M370" i="58"/>
  <c r="X10" i="137"/>
  <c r="K10" i="137" s="1"/>
  <c r="K83" i="137" s="1"/>
  <c r="E309" i="110"/>
  <c r="X312" i="58"/>
  <c r="M331" i="58"/>
  <c r="G357" i="58"/>
  <c r="S190" i="110"/>
  <c r="L370" i="58"/>
  <c r="L332" i="58"/>
  <c r="L333" i="58"/>
  <c r="V180" i="110"/>
  <c r="M332" i="58"/>
  <c r="L331" i="58"/>
  <c r="V417" i="110"/>
  <c r="U439" i="110"/>
  <c r="U415" i="110"/>
  <c r="U427" i="110"/>
  <c r="U177" i="110"/>
  <c r="U425" i="110"/>
  <c r="U413" i="110"/>
  <c r="U437" i="110"/>
  <c r="V429" i="110"/>
  <c r="M425" i="110"/>
  <c r="M413" i="110"/>
  <c r="M437" i="110"/>
  <c r="M439" i="110"/>
  <c r="M415" i="110"/>
  <c r="M427" i="110"/>
  <c r="R177" i="110"/>
  <c r="N177" i="110"/>
  <c r="M209" i="110"/>
  <c r="O209" i="110"/>
  <c r="J439" i="110"/>
  <c r="J427" i="110"/>
  <c r="J415" i="110"/>
  <c r="O427" i="110"/>
  <c r="O415" i="110"/>
  <c r="O439" i="110"/>
  <c r="V441" i="110"/>
  <c r="R412" i="110"/>
  <c r="R424" i="110"/>
  <c r="R436" i="110"/>
  <c r="T424" i="110"/>
  <c r="T436" i="110"/>
  <c r="T412" i="110"/>
  <c r="U424" i="110"/>
  <c r="U412" i="110"/>
  <c r="U436" i="110"/>
  <c r="N424" i="110"/>
  <c r="N436" i="110"/>
  <c r="N412" i="110"/>
  <c r="J404" i="110"/>
  <c r="J440" i="110"/>
  <c r="J416" i="110"/>
  <c r="J428" i="110"/>
  <c r="M424" i="110"/>
  <c r="M412" i="110"/>
  <c r="M436" i="110"/>
  <c r="U209" i="110"/>
  <c r="S404" i="110"/>
  <c r="S440" i="110"/>
  <c r="S416" i="110"/>
  <c r="S428" i="110"/>
  <c r="R11" i="137"/>
  <c r="P418" i="110"/>
  <c r="P442" i="110"/>
  <c r="P430" i="110"/>
  <c r="S436" i="110"/>
  <c r="S424" i="110"/>
  <c r="S412" i="110"/>
  <c r="P179" i="110"/>
  <c r="P416" i="110"/>
  <c r="P440" i="110"/>
  <c r="P428" i="110"/>
  <c r="M11" i="137"/>
  <c r="K430" i="110"/>
  <c r="K442" i="110"/>
  <c r="K418" i="110"/>
  <c r="O9" i="137"/>
  <c r="M440" i="110"/>
  <c r="M416" i="110"/>
  <c r="M428" i="110"/>
  <c r="O436" i="110"/>
  <c r="O424" i="110"/>
  <c r="O412" i="110"/>
  <c r="S437" i="110"/>
  <c r="S413" i="110"/>
  <c r="S425" i="110"/>
  <c r="P9" i="137"/>
  <c r="N428" i="110"/>
  <c r="N416" i="110"/>
  <c r="N440" i="110"/>
  <c r="O11" i="137"/>
  <c r="M442" i="110"/>
  <c r="M430" i="110"/>
  <c r="M418" i="110"/>
  <c r="P413" i="110"/>
  <c r="P425" i="110"/>
  <c r="P437" i="110"/>
  <c r="Q179" i="110"/>
  <c r="Q440" i="110"/>
  <c r="Q416" i="110"/>
  <c r="Q428" i="110"/>
  <c r="U11" i="137"/>
  <c r="S442" i="110"/>
  <c r="S418" i="110"/>
  <c r="S430" i="110"/>
  <c r="Q11" i="137"/>
  <c r="O430" i="110"/>
  <c r="O442" i="110"/>
  <c r="O418" i="110"/>
  <c r="R179" i="110"/>
  <c r="R440" i="110"/>
  <c r="R428" i="110"/>
  <c r="R416" i="110"/>
  <c r="N11" i="137"/>
  <c r="L418" i="110"/>
  <c r="L442" i="110"/>
  <c r="L430" i="110"/>
  <c r="J424" i="110"/>
  <c r="J412" i="110"/>
  <c r="J436" i="110"/>
  <c r="T177" i="110"/>
  <c r="J413" i="110"/>
  <c r="J437" i="110"/>
  <c r="J425" i="110"/>
  <c r="L439" i="110"/>
  <c r="L415" i="110"/>
  <c r="L427" i="110"/>
  <c r="R413" i="110"/>
  <c r="R437" i="110"/>
  <c r="R425" i="110"/>
  <c r="P11" i="137"/>
  <c r="N430" i="110"/>
  <c r="N442" i="110"/>
  <c r="N418" i="110"/>
  <c r="W11" i="137"/>
  <c r="U442" i="110"/>
  <c r="U430" i="110"/>
  <c r="U418" i="110"/>
  <c r="P427" i="110"/>
  <c r="P439" i="110"/>
  <c r="P415" i="110"/>
  <c r="R415" i="110"/>
  <c r="R439" i="110"/>
  <c r="R427" i="110"/>
  <c r="K427" i="110"/>
  <c r="K439" i="110"/>
  <c r="K415" i="110"/>
  <c r="K177" i="110"/>
  <c r="M177" i="110"/>
  <c r="N437" i="110"/>
  <c r="N413" i="110"/>
  <c r="N425" i="110"/>
  <c r="N9" i="137"/>
  <c r="L428" i="110"/>
  <c r="L416" i="110"/>
  <c r="L440" i="110"/>
  <c r="S11" i="137"/>
  <c r="Q418" i="110"/>
  <c r="Q442" i="110"/>
  <c r="Q430" i="110"/>
  <c r="V11" i="137"/>
  <c r="T418" i="110"/>
  <c r="T442" i="110"/>
  <c r="T430" i="110"/>
  <c r="L436" i="110"/>
  <c r="L424" i="110"/>
  <c r="L412" i="110"/>
  <c r="O413" i="110"/>
  <c r="O437" i="110"/>
  <c r="O425" i="110"/>
  <c r="T179" i="110"/>
  <c r="T440" i="110"/>
  <c r="T428" i="110"/>
  <c r="T416" i="110"/>
  <c r="N415" i="110"/>
  <c r="N439" i="110"/>
  <c r="N427" i="110"/>
  <c r="T413" i="110"/>
  <c r="T437" i="110"/>
  <c r="T425" i="110"/>
  <c r="W9" i="137"/>
  <c r="U428" i="110"/>
  <c r="U416" i="110"/>
  <c r="U440" i="110"/>
  <c r="P412" i="110"/>
  <c r="P436" i="110"/>
  <c r="P424" i="110"/>
  <c r="K436" i="110"/>
  <c r="K424" i="110"/>
  <c r="K412" i="110"/>
  <c r="Q424" i="110"/>
  <c r="Q436" i="110"/>
  <c r="Q412" i="110"/>
  <c r="S439" i="110"/>
  <c r="S415" i="110"/>
  <c r="S427" i="110"/>
  <c r="Q437" i="110"/>
  <c r="Q425" i="110"/>
  <c r="Q413" i="110"/>
  <c r="O179" i="110"/>
  <c r="O416" i="110"/>
  <c r="O428" i="110"/>
  <c r="O440" i="110"/>
  <c r="L11" i="137"/>
  <c r="J430" i="110"/>
  <c r="J442" i="110"/>
  <c r="J418" i="110"/>
  <c r="T439" i="110"/>
  <c r="T427" i="110"/>
  <c r="T415" i="110"/>
  <c r="L437" i="110"/>
  <c r="L425" i="110"/>
  <c r="L413" i="110"/>
  <c r="Q415" i="110"/>
  <c r="Q439" i="110"/>
  <c r="Q427" i="110"/>
  <c r="O177" i="110"/>
  <c r="K413" i="110"/>
  <c r="K437" i="110"/>
  <c r="K425" i="110"/>
  <c r="AZ49" i="133"/>
  <c r="K209" i="110"/>
  <c r="L33" i="137"/>
  <c r="V119" i="110"/>
  <c r="V192" i="110"/>
  <c r="J329" i="110"/>
  <c r="V124" i="110"/>
  <c r="V118" i="110"/>
  <c r="V202" i="110"/>
  <c r="V208" i="110"/>
  <c r="V195" i="110"/>
  <c r="V199" i="110"/>
  <c r="J209" i="110"/>
  <c r="Q209" i="110"/>
  <c r="N209" i="110"/>
  <c r="V191" i="110"/>
  <c r="V115" i="110"/>
  <c r="V194" i="110"/>
  <c r="R209" i="110"/>
  <c r="L209" i="110"/>
  <c r="S209" i="110"/>
  <c r="L28" i="137"/>
  <c r="V114" i="110"/>
  <c r="P209" i="110"/>
  <c r="V203" i="110"/>
  <c r="AX6" i="133"/>
  <c r="AY6" i="133" s="1"/>
  <c r="AW45" i="133"/>
  <c r="AW47" i="133" s="1"/>
  <c r="AW87" i="133" s="1"/>
  <c r="AW89" i="133" s="1"/>
  <c r="DL111" i="188"/>
  <c r="EL65" i="188"/>
  <c r="DL40" i="188"/>
  <c r="EF51" i="188"/>
  <c r="ED51" i="188"/>
  <c r="EH51" i="188"/>
  <c r="AV89" i="133"/>
  <c r="EK51" i="188"/>
  <c r="DL107" i="188"/>
  <c r="EL107" i="188"/>
  <c r="EG111" i="188"/>
  <c r="EJ111" i="188"/>
  <c r="EH111" i="188"/>
  <c r="ED111" i="188"/>
  <c r="EE111" i="188"/>
  <c r="EB111" i="188"/>
  <c r="DZ111" i="188"/>
  <c r="EA111" i="188"/>
  <c r="EK111" i="188"/>
  <c r="EF111" i="188"/>
  <c r="EC111" i="188"/>
  <c r="EI111" i="188"/>
  <c r="EL35" i="188"/>
  <c r="DH14" i="188"/>
  <c r="DB14" i="188"/>
  <c r="O181" i="110"/>
  <c r="EH40" i="188"/>
  <c r="EB40" i="188"/>
  <c r="EA40" i="188"/>
  <c r="DL28" i="188"/>
  <c r="EJ40" i="188"/>
  <c r="EK40" i="188"/>
  <c r="EF40" i="188"/>
  <c r="DF14" i="188"/>
  <c r="EG51" i="188"/>
  <c r="EG40" i="188"/>
  <c r="EC51" i="188"/>
  <c r="CL29" i="188"/>
  <c r="EJ51" i="188"/>
  <c r="EE114" i="188"/>
  <c r="EB114" i="188"/>
  <c r="EF114" i="188"/>
  <c r="ED114" i="188"/>
  <c r="EK114" i="188"/>
  <c r="EC114" i="188"/>
  <c r="EG114" i="188"/>
  <c r="EH114" i="188"/>
  <c r="DZ114" i="188"/>
  <c r="EI114" i="188"/>
  <c r="EJ114" i="188"/>
  <c r="EA114" i="188"/>
  <c r="EI40" i="188"/>
  <c r="R80" i="192"/>
  <c r="EE51" i="188"/>
  <c r="EC40" i="188"/>
  <c r="DC74" i="188"/>
  <c r="EA51" i="188"/>
  <c r="EI51" i="188"/>
  <c r="EB51" i="188"/>
  <c r="DL79" i="188"/>
  <c r="DE14" i="188"/>
  <c r="CI130" i="188"/>
  <c r="DO29" i="188"/>
  <c r="DO130" i="188" s="1"/>
  <c r="EL116" i="188"/>
  <c r="B12" i="26"/>
  <c r="T181" i="110"/>
  <c r="N181" i="110"/>
  <c r="Q181" i="110"/>
  <c r="DL103" i="188"/>
  <c r="EH101" i="188"/>
  <c r="ED101" i="188"/>
  <c r="EA101" i="188"/>
  <c r="EJ101" i="188"/>
  <c r="DZ101" i="188"/>
  <c r="EE101" i="188"/>
  <c r="EB38" i="188"/>
  <c r="EH38" i="188"/>
  <c r="EK38" i="188"/>
  <c r="EE38" i="188"/>
  <c r="ED38" i="188"/>
  <c r="EA38" i="188"/>
  <c r="EI38" i="188"/>
  <c r="DZ38" i="188"/>
  <c r="EG38" i="188"/>
  <c r="EF38" i="188"/>
  <c r="EJ38" i="188"/>
  <c r="EC38" i="188"/>
  <c r="DJ14" i="188"/>
  <c r="AL9" i="188"/>
  <c r="AL14" i="188" s="1"/>
  <c r="AL130" i="188" s="1"/>
  <c r="EI101" i="188"/>
  <c r="DL38" i="188"/>
  <c r="EB54" i="188"/>
  <c r="EH54" i="188"/>
  <c r="EK54" i="188"/>
  <c r="EF54" i="188"/>
  <c r="EA54" i="188"/>
  <c r="EG54" i="188"/>
  <c r="DZ54" i="188"/>
  <c r="EJ54" i="188"/>
  <c r="ED54" i="188"/>
  <c r="EE54" i="188"/>
  <c r="EC54" i="188"/>
  <c r="EI54" i="188"/>
  <c r="EB79" i="188"/>
  <c r="EF101" i="188"/>
  <c r="EH79" i="188"/>
  <c r="DL51" i="188"/>
  <c r="DZ79" i="188"/>
  <c r="EL56" i="188"/>
  <c r="DL101" i="188"/>
  <c r="DA97" i="188"/>
  <c r="T153" i="137"/>
  <c r="EB101" i="188"/>
  <c r="EC101" i="188"/>
  <c r="AX121" i="133"/>
  <c r="AX127" i="133" s="1"/>
  <c r="DL54" i="188"/>
  <c r="K67" i="192"/>
  <c r="K106" i="192" s="1"/>
  <c r="EI75" i="188"/>
  <c r="EG103" i="188"/>
  <c r="EI103" i="188"/>
  <c r="EK103" i="188"/>
  <c r="EH103" i="188"/>
  <c r="EF103" i="188"/>
  <c r="EC103" i="188"/>
  <c r="EB103" i="188"/>
  <c r="EJ103" i="188"/>
  <c r="ED103" i="188"/>
  <c r="DZ103" i="188"/>
  <c r="EE103" i="188"/>
  <c r="EA103" i="188"/>
  <c r="R309" i="110"/>
  <c r="DZ75" i="188"/>
  <c r="DG14" i="188"/>
  <c r="EK75" i="188"/>
  <c r="L181" i="110"/>
  <c r="K181" i="110"/>
  <c r="R190" i="110"/>
  <c r="O309" i="110"/>
  <c r="N309" i="110"/>
  <c r="Q190" i="110"/>
  <c r="U190" i="110"/>
  <c r="N190" i="110"/>
  <c r="L190" i="110"/>
  <c r="P190" i="110"/>
  <c r="S181" i="110"/>
  <c r="R20" i="137"/>
  <c r="K190" i="110"/>
  <c r="J181" i="110"/>
  <c r="M181" i="110"/>
  <c r="M20" i="137"/>
  <c r="O190" i="110"/>
  <c r="M309" i="110"/>
  <c r="L20" i="137"/>
  <c r="M190" i="110"/>
  <c r="L309" i="110"/>
  <c r="P181" i="110"/>
  <c r="T190" i="110"/>
  <c r="V104" i="110"/>
  <c r="T309" i="110"/>
  <c r="S20" i="137"/>
  <c r="U309" i="110"/>
  <c r="BL8" i="188"/>
  <c r="CL14" i="188"/>
  <c r="H46" i="192"/>
  <c r="H47" i="192" s="1"/>
  <c r="H29" i="192"/>
  <c r="O11" i="133"/>
  <c r="N50" i="133"/>
  <c r="DL36" i="188"/>
  <c r="DL100" i="188"/>
  <c r="G100" i="192"/>
  <c r="G101" i="192" s="1"/>
  <c r="G36" i="192"/>
  <c r="EJ109" i="188"/>
  <c r="EK109" i="188"/>
  <c r="EH109" i="188"/>
  <c r="EG109" i="188"/>
  <c r="EF109" i="188"/>
  <c r="EA109" i="188"/>
  <c r="EI109" i="188"/>
  <c r="ED109" i="188"/>
  <c r="EC109" i="188"/>
  <c r="EE109" i="188"/>
  <c r="DZ109" i="188"/>
  <c r="EB109" i="188"/>
  <c r="ED79" i="188"/>
  <c r="ED75" i="188"/>
  <c r="DL62" i="188"/>
  <c r="DL80" i="188"/>
  <c r="DL78" i="188"/>
  <c r="EC79" i="188"/>
  <c r="EC75" i="188"/>
  <c r="EI78" i="188"/>
  <c r="EJ78" i="188"/>
  <c r="DZ78" i="188"/>
  <c r="EC78" i="188"/>
  <c r="EB78" i="188"/>
  <c r="EE78" i="188"/>
  <c r="EF78" i="188"/>
  <c r="EK78" i="188"/>
  <c r="ED78" i="188"/>
  <c r="EA78" i="188"/>
  <c r="EH78" i="188"/>
  <c r="EG78" i="188"/>
  <c r="DL99" i="188"/>
  <c r="EG36" i="188"/>
  <c r="EE36" i="188"/>
  <c r="ED36" i="188"/>
  <c r="EJ36" i="188"/>
  <c r="EI36" i="188"/>
  <c r="DZ36" i="188"/>
  <c r="EF36" i="188"/>
  <c r="EC36" i="188"/>
  <c r="EK36" i="188"/>
  <c r="EH36" i="188"/>
  <c r="EB36" i="188"/>
  <c r="EA36" i="188"/>
  <c r="DL75" i="188"/>
  <c r="EB37" i="188"/>
  <c r="EG37" i="188"/>
  <c r="EC37" i="188"/>
  <c r="EI37" i="188"/>
  <c r="EK37" i="188"/>
  <c r="EH37" i="188"/>
  <c r="DZ37" i="188"/>
  <c r="EA37" i="188"/>
  <c r="EJ37" i="188"/>
  <c r="EE37" i="188"/>
  <c r="ED37" i="188"/>
  <c r="EF37" i="188"/>
  <c r="DA14" i="188"/>
  <c r="EK79" i="188"/>
  <c r="EJ75" i="188"/>
  <c r="DL109" i="188"/>
  <c r="N8" i="192"/>
  <c r="N61" i="192"/>
  <c r="N63" i="192" s="1"/>
  <c r="N109" i="192" s="1"/>
  <c r="O6" i="192"/>
  <c r="DZ80" i="188"/>
  <c r="EK80" i="188"/>
  <c r="EC80" i="188"/>
  <c r="EH80" i="188"/>
  <c r="EI80" i="188"/>
  <c r="EE80" i="188"/>
  <c r="EA80" i="188"/>
  <c r="EG80" i="188"/>
  <c r="EJ80" i="188"/>
  <c r="EF80" i="188"/>
  <c r="EB80" i="188"/>
  <c r="ED80" i="188"/>
  <c r="EH62" i="188"/>
  <c r="EJ62" i="188"/>
  <c r="EC62" i="188"/>
  <c r="EF62" i="188"/>
  <c r="EK62" i="188"/>
  <c r="ED62" i="188"/>
  <c r="EI62" i="188"/>
  <c r="EG62" i="188"/>
  <c r="EA62" i="188"/>
  <c r="EB62" i="188"/>
  <c r="EE62" i="188"/>
  <c r="DZ62" i="188"/>
  <c r="V95" i="110"/>
  <c r="EE79" i="188"/>
  <c r="DL33" i="188"/>
  <c r="EF75" i="188"/>
  <c r="L65" i="192"/>
  <c r="M10" i="192"/>
  <c r="DC14" i="188"/>
  <c r="EG79" i="188"/>
  <c r="EB75" i="188"/>
  <c r="EI79" i="188"/>
  <c r="EH75" i="188"/>
  <c r="AZ9" i="188"/>
  <c r="AZ14" i="188" s="1"/>
  <c r="AZ130" i="188" s="1"/>
  <c r="BD9" i="188"/>
  <c r="BD14" i="188" s="1"/>
  <c r="BD130" i="188" s="1"/>
  <c r="BE9" i="188"/>
  <c r="BE14" i="188" s="1"/>
  <c r="BE130" i="188" s="1"/>
  <c r="BG9" i="188"/>
  <c r="BG14" i="188" s="1"/>
  <c r="BG130" i="188" s="1"/>
  <c r="BC9" i="188"/>
  <c r="BC14" i="188" s="1"/>
  <c r="BC130" i="188" s="1"/>
  <c r="BA9" i="188"/>
  <c r="BA14" i="188" s="1"/>
  <c r="BA130" i="188" s="1"/>
  <c r="BB9" i="188"/>
  <c r="BB14" i="188" s="1"/>
  <c r="BB130" i="188" s="1"/>
  <c r="BH9" i="188"/>
  <c r="BH14" i="188" s="1"/>
  <c r="BH130" i="188" s="1"/>
  <c r="BF9" i="188"/>
  <c r="BF14" i="188" s="1"/>
  <c r="BF130" i="188" s="1"/>
  <c r="BI9" i="188"/>
  <c r="BI14" i="188" s="1"/>
  <c r="BI130" i="188" s="1"/>
  <c r="BK9" i="188"/>
  <c r="BK14" i="188" s="1"/>
  <c r="BK130" i="188" s="1"/>
  <c r="BJ9" i="188"/>
  <c r="BJ14" i="188" s="1"/>
  <c r="BJ130" i="188" s="1"/>
  <c r="EB76" i="188"/>
  <c r="EA76" i="188"/>
  <c r="EK76" i="188"/>
  <c r="EI76" i="188"/>
  <c r="EF76" i="188"/>
  <c r="EE76" i="188"/>
  <c r="DZ76" i="188"/>
  <c r="EJ76" i="188"/>
  <c r="EH76" i="188"/>
  <c r="ED76" i="188"/>
  <c r="EC76" i="188"/>
  <c r="EG76" i="188"/>
  <c r="EI99" i="188"/>
  <c r="EB99" i="188"/>
  <c r="EC99" i="188"/>
  <c r="EK99" i="188"/>
  <c r="DZ99" i="188"/>
  <c r="EF99" i="188"/>
  <c r="EE99" i="188"/>
  <c r="EJ99" i="188"/>
  <c r="EA99" i="188"/>
  <c r="EH99" i="188"/>
  <c r="EG99" i="188"/>
  <c r="ED99" i="188"/>
  <c r="EK100" i="188"/>
  <c r="EE100" i="188"/>
  <c r="EJ100" i="188"/>
  <c r="EH100" i="188"/>
  <c r="EI100" i="188"/>
  <c r="EG100" i="188"/>
  <c r="EB100" i="188"/>
  <c r="EC100" i="188"/>
  <c r="EF100" i="188"/>
  <c r="ED100" i="188"/>
  <c r="EA100" i="188"/>
  <c r="DZ100" i="188"/>
  <c r="DL37" i="188"/>
  <c r="DH74" i="188"/>
  <c r="DD14" i="188"/>
  <c r="DI14" i="188"/>
  <c r="EJ79" i="188"/>
  <c r="EA75" i="188"/>
  <c r="U147" i="137"/>
  <c r="U151" i="137" s="1"/>
  <c r="X146" i="137"/>
  <c r="U152" i="137"/>
  <c r="DL81" i="188"/>
  <c r="I99" i="192"/>
  <c r="EF79" i="188"/>
  <c r="EH81" i="188"/>
  <c r="EJ81" i="188"/>
  <c r="DZ81" i="188"/>
  <c r="EK81" i="188"/>
  <c r="EG81" i="188"/>
  <c r="EA81" i="188"/>
  <c r="ED81" i="188"/>
  <c r="EI81" i="188"/>
  <c r="EE81" i="188"/>
  <c r="EF81" i="188"/>
  <c r="EB81" i="188"/>
  <c r="EC81" i="188"/>
  <c r="K18" i="192"/>
  <c r="J20" i="192"/>
  <c r="J25" i="192" s="1"/>
  <c r="J74" i="192"/>
  <c r="J76" i="192" s="1"/>
  <c r="J110" i="192" s="1"/>
  <c r="J111" i="192" s="1"/>
  <c r="EL106" i="188"/>
  <c r="DE97" i="188"/>
  <c r="DL76" i="188"/>
  <c r="DL61" i="188"/>
  <c r="CH130" i="188"/>
  <c r="DG74" i="188"/>
  <c r="DH97" i="188"/>
  <c r="DB97" i="188"/>
  <c r="CB130" i="188"/>
  <c r="EG33" i="188"/>
  <c r="EE33" i="188"/>
  <c r="ED33" i="188"/>
  <c r="DZ33" i="188"/>
  <c r="EB33" i="188"/>
  <c r="EI33" i="188"/>
  <c r="EJ33" i="188"/>
  <c r="EH33" i="188"/>
  <c r="EF33" i="188"/>
  <c r="EC33" i="188"/>
  <c r="EK33" i="188"/>
  <c r="EA33" i="188"/>
  <c r="EF61" i="188"/>
  <c r="EE61" i="188"/>
  <c r="EI61" i="188"/>
  <c r="EK61" i="188"/>
  <c r="EC61" i="188"/>
  <c r="EH61" i="188"/>
  <c r="ED61" i="188"/>
  <c r="EB61" i="188"/>
  <c r="EJ61" i="188"/>
  <c r="DZ61" i="188"/>
  <c r="EG61" i="188"/>
  <c r="EA61" i="188"/>
  <c r="CZ74" i="188"/>
  <c r="DG97" i="188"/>
  <c r="E16" i="196"/>
  <c r="DJ97" i="188"/>
  <c r="I71" i="193"/>
  <c r="I53" i="193"/>
  <c r="J22" i="193"/>
  <c r="EF113" i="188"/>
  <c r="EH113" i="188"/>
  <c r="EC113" i="188"/>
  <c r="EB113" i="188"/>
  <c r="EJ113" i="188"/>
  <c r="EG113" i="188"/>
  <c r="ED113" i="188"/>
  <c r="EA113" i="188"/>
  <c r="EK113" i="188"/>
  <c r="EI113" i="188"/>
  <c r="EE113" i="188"/>
  <c r="DZ113" i="188"/>
  <c r="M9" i="192"/>
  <c r="L64" i="192"/>
  <c r="L12" i="192"/>
  <c r="L13" i="192" s="1"/>
  <c r="L98" i="192" s="1"/>
  <c r="DE74" i="188"/>
  <c r="EL48" i="188"/>
  <c r="DD74" i="188"/>
  <c r="DL50" i="188"/>
  <c r="DL42" i="188"/>
  <c r="EG42" i="188"/>
  <c r="EI42" i="188"/>
  <c r="ED42" i="188"/>
  <c r="EE42" i="188"/>
  <c r="EH42" i="188"/>
  <c r="EC42" i="188"/>
  <c r="DZ42" i="188"/>
  <c r="EK42" i="188"/>
  <c r="EA42" i="188"/>
  <c r="EF42" i="188"/>
  <c r="EB42" i="188"/>
  <c r="EJ42" i="188"/>
  <c r="DL82" i="188"/>
  <c r="EL41" i="188"/>
  <c r="DL113" i="188"/>
  <c r="EJ82" i="188"/>
  <c r="EI82" i="188"/>
  <c r="EH82" i="188"/>
  <c r="EC82" i="188"/>
  <c r="EA82" i="188"/>
  <c r="EE82" i="188"/>
  <c r="EG82" i="188"/>
  <c r="EF82" i="188"/>
  <c r="ED82" i="188"/>
  <c r="DZ82" i="188"/>
  <c r="EB82" i="188"/>
  <c r="EK82" i="188"/>
  <c r="EF50" i="188"/>
  <c r="EJ50" i="188"/>
  <c r="EI50" i="188"/>
  <c r="EB50" i="188"/>
  <c r="EH50" i="188"/>
  <c r="ED50" i="188"/>
  <c r="EK50" i="188"/>
  <c r="EE50" i="188"/>
  <c r="EC50" i="188"/>
  <c r="DZ50" i="188"/>
  <c r="EG50" i="188"/>
  <c r="EA50" i="188"/>
  <c r="Q7" i="192"/>
  <c r="Q62" i="192" s="1"/>
  <c r="P62" i="192"/>
  <c r="DB74" i="188"/>
  <c r="DF74" i="188"/>
  <c r="EL117" i="188"/>
  <c r="EK72" i="188"/>
  <c r="DZ72" i="188"/>
  <c r="EH72" i="188"/>
  <c r="EE72" i="188"/>
  <c r="EC72" i="188"/>
  <c r="EF72" i="188"/>
  <c r="ED72" i="188"/>
  <c r="EG72" i="188"/>
  <c r="EJ72" i="188"/>
  <c r="EB72" i="188"/>
  <c r="EI72" i="188"/>
  <c r="EA72" i="188"/>
  <c r="DL39" i="188"/>
  <c r="EL60" i="188"/>
  <c r="DL49" i="188"/>
  <c r="ED49" i="188"/>
  <c r="EJ49" i="188"/>
  <c r="EB49" i="188"/>
  <c r="EG49" i="188"/>
  <c r="EA49" i="188"/>
  <c r="EC49" i="188"/>
  <c r="EI49" i="188"/>
  <c r="EE49" i="188"/>
  <c r="EF49" i="188"/>
  <c r="DZ49" i="188"/>
  <c r="EK49" i="188"/>
  <c r="EH49" i="188"/>
  <c r="EL25" i="188"/>
  <c r="EB29" i="188"/>
  <c r="EL77" i="188"/>
  <c r="DC97" i="188"/>
  <c r="O10" i="175"/>
  <c r="DL72" i="188"/>
  <c r="EI39" i="188"/>
  <c r="EJ39" i="188"/>
  <c r="EE39" i="188"/>
  <c r="EF39" i="188"/>
  <c r="EA39" i="188"/>
  <c r="EK39" i="188"/>
  <c r="ED39" i="188"/>
  <c r="EG39" i="188"/>
  <c r="EC39" i="188"/>
  <c r="DZ39" i="188"/>
  <c r="EB39" i="188"/>
  <c r="EH39" i="188"/>
  <c r="EI13" i="188"/>
  <c r="DZ13" i="188"/>
  <c r="EG13" i="188"/>
  <c r="EJ13" i="188"/>
  <c r="EK13" i="188"/>
  <c r="ED13" i="188"/>
  <c r="EA13" i="188"/>
  <c r="EH13" i="188"/>
  <c r="EF13" i="188"/>
  <c r="EC13" i="188"/>
  <c r="EE13" i="188"/>
  <c r="EB13" i="188"/>
  <c r="DL13" i="188"/>
  <c r="DI74" i="188"/>
  <c r="DD97" i="188"/>
  <c r="DL66" i="188"/>
  <c r="BL11" i="188"/>
  <c r="DK97" i="188"/>
  <c r="EL118" i="188"/>
  <c r="DK74" i="188"/>
  <c r="DY28" i="188"/>
  <c r="EC66" i="188"/>
  <c r="EI66" i="188"/>
  <c r="ED66" i="188"/>
  <c r="EF66" i="188"/>
  <c r="EH66" i="188"/>
  <c r="EK66" i="188"/>
  <c r="EG66" i="188"/>
  <c r="EE66" i="188"/>
  <c r="EA66" i="188"/>
  <c r="DZ66" i="188"/>
  <c r="EB66" i="188"/>
  <c r="EJ66" i="188"/>
  <c r="EL34" i="188"/>
  <c r="DF97" i="188"/>
  <c r="DK14" i="188"/>
  <c r="DL69" i="188"/>
  <c r="DA74" i="188"/>
  <c r="DL71" i="188"/>
  <c r="DJ74" i="188"/>
  <c r="D6" i="138"/>
  <c r="D55" i="138"/>
  <c r="W36" i="137"/>
  <c r="R66" i="133"/>
  <c r="R67" i="133" s="1"/>
  <c r="I53" i="133"/>
  <c r="U210" i="110"/>
  <c r="Q210" i="110"/>
  <c r="Q329" i="110"/>
  <c r="P210" i="110"/>
  <c r="N36" i="137"/>
  <c r="L210" i="110"/>
  <c r="M55" i="138"/>
  <c r="F6" i="138"/>
  <c r="N210" i="110"/>
  <c r="N329" i="110"/>
  <c r="O36" i="137"/>
  <c r="M210" i="110"/>
  <c r="Q36" i="137"/>
  <c r="S210" i="110"/>
  <c r="O210" i="110"/>
  <c r="S329" i="110"/>
  <c r="V36" i="137"/>
  <c r="T210" i="110"/>
  <c r="K210" i="110"/>
  <c r="K329" i="110"/>
  <c r="L36" i="137"/>
  <c r="J210" i="110"/>
  <c r="P329" i="110"/>
  <c r="EB30" i="188"/>
  <c r="EC30" i="188"/>
  <c r="EJ30" i="188"/>
  <c r="EE30" i="188"/>
  <c r="EF30" i="188"/>
  <c r="EG30" i="188"/>
  <c r="EA30" i="188"/>
  <c r="ED30" i="188"/>
  <c r="EK30" i="188"/>
  <c r="DZ30" i="188"/>
  <c r="EI30" i="188"/>
  <c r="EH30" i="188"/>
  <c r="O151" i="137"/>
  <c r="G24" i="193"/>
  <c r="F55" i="193"/>
  <c r="F64" i="193" s="1"/>
  <c r="F73" i="193" s="1"/>
  <c r="EE12" i="188"/>
  <c r="EG12" i="188"/>
  <c r="EF12" i="188"/>
  <c r="EI12" i="188"/>
  <c r="EB12" i="188"/>
  <c r="ED12" i="188"/>
  <c r="EC12" i="188"/>
  <c r="EA12" i="188"/>
  <c r="EH12" i="188"/>
  <c r="EJ12" i="188"/>
  <c r="DZ12" i="188"/>
  <c r="EK12" i="188"/>
  <c r="G23" i="193"/>
  <c r="F54" i="193"/>
  <c r="EF71" i="188"/>
  <c r="EG71" i="188"/>
  <c r="ED71" i="188"/>
  <c r="EA71" i="188"/>
  <c r="EI71" i="188"/>
  <c r="DZ71" i="188"/>
  <c r="EC71" i="188"/>
  <c r="EE71" i="188"/>
  <c r="EJ71" i="188"/>
  <c r="EH71" i="188"/>
  <c r="EB71" i="188"/>
  <c r="EK71" i="188"/>
  <c r="O11" i="175"/>
  <c r="O12" i="175" s="1"/>
  <c r="CY29" i="188"/>
  <c r="CY130" i="188" s="1"/>
  <c r="DL12" i="188"/>
  <c r="CZ14" i="188"/>
  <c r="E63" i="193"/>
  <c r="G26" i="193"/>
  <c r="F57" i="193"/>
  <c r="F66" i="193" s="1"/>
  <c r="F75" i="193" s="1"/>
  <c r="ED93" i="188"/>
  <c r="EE93" i="188"/>
  <c r="EC93" i="188"/>
  <c r="EI93" i="188"/>
  <c r="EK93" i="188"/>
  <c r="EJ93" i="188"/>
  <c r="EF93" i="188"/>
  <c r="EB93" i="188"/>
  <c r="EA93" i="188"/>
  <c r="EG93" i="188"/>
  <c r="EH93" i="188"/>
  <c r="DZ93" i="188"/>
  <c r="U78" i="181"/>
  <c r="U79" i="181" s="1"/>
  <c r="DH29" i="188"/>
  <c r="DL27" i="188"/>
  <c r="P152" i="137"/>
  <c r="P147" i="137"/>
  <c r="P151" i="137" s="1"/>
  <c r="CL97" i="188"/>
  <c r="DL63" i="188"/>
  <c r="DD102" i="188"/>
  <c r="DD122" i="188" s="1"/>
  <c r="DF102" i="188"/>
  <c r="DF122" i="188" s="1"/>
  <c r="DC102" i="188"/>
  <c r="DC122" i="188" s="1"/>
  <c r="DK102" i="188"/>
  <c r="DK122" i="188" s="1"/>
  <c r="DH102" i="188"/>
  <c r="DH122" i="188" s="1"/>
  <c r="CZ102" i="188"/>
  <c r="DB102" i="188"/>
  <c r="DB122" i="188" s="1"/>
  <c r="DA102" i="188"/>
  <c r="DA122" i="188" s="1"/>
  <c r="DJ102" i="188"/>
  <c r="DJ122" i="188" s="1"/>
  <c r="K102" i="188"/>
  <c r="DE102" i="188"/>
  <c r="DE122" i="188" s="1"/>
  <c r="DG102" i="188"/>
  <c r="DG122" i="188" s="1"/>
  <c r="DI102" i="188"/>
  <c r="DI122" i="188" s="1"/>
  <c r="DL93" i="188"/>
  <c r="EJ92" i="188"/>
  <c r="DZ92" i="188"/>
  <c r="EK92" i="188"/>
  <c r="EH92" i="188"/>
  <c r="EA92" i="188"/>
  <c r="EC92" i="188"/>
  <c r="EB92" i="188"/>
  <c r="EF92" i="188"/>
  <c r="EE92" i="188"/>
  <c r="EG92" i="188"/>
  <c r="EI92" i="188"/>
  <c r="ED92" i="188"/>
  <c r="EJ64" i="188"/>
  <c r="EH64" i="188"/>
  <c r="EG64" i="188"/>
  <c r="ED64" i="188"/>
  <c r="EC64" i="188"/>
  <c r="DZ64" i="188"/>
  <c r="EK64" i="188"/>
  <c r="EE64" i="188"/>
  <c r="EB64" i="188"/>
  <c r="EF64" i="188"/>
  <c r="EI64" i="188"/>
  <c r="EA64" i="188"/>
  <c r="D56" i="138"/>
  <c r="G97" i="133"/>
  <c r="EH27" i="188"/>
  <c r="DU29" i="188"/>
  <c r="DU130" i="188" s="1"/>
  <c r="DY27" i="188"/>
  <c r="CZ97" i="188"/>
  <c r="DL92" i="188"/>
  <c r="DI97" i="188"/>
  <c r="DL64" i="188"/>
  <c r="K50" i="192"/>
  <c r="J56" i="192"/>
  <c r="DL30" i="188"/>
  <c r="EG63" i="188"/>
  <c r="EC63" i="188"/>
  <c r="EF63" i="188"/>
  <c r="DZ63" i="188"/>
  <c r="EJ63" i="188"/>
  <c r="EH63" i="188"/>
  <c r="EB63" i="188"/>
  <c r="EI63" i="188"/>
  <c r="EE63" i="188"/>
  <c r="EA63" i="188"/>
  <c r="EK63" i="188"/>
  <c r="ED63" i="188"/>
  <c r="CL74" i="188"/>
  <c r="EJ69" i="188"/>
  <c r="EA69" i="188"/>
  <c r="DZ69" i="188"/>
  <c r="EF69" i="188"/>
  <c r="EI69" i="188"/>
  <c r="EE69" i="188"/>
  <c r="ED69" i="188"/>
  <c r="EC69" i="188"/>
  <c r="EH69" i="188"/>
  <c r="EB69" i="188"/>
  <c r="EK69" i="188"/>
  <c r="EG69" i="188"/>
  <c r="N12" i="175"/>
  <c r="C42" i="138"/>
  <c r="R73" i="192"/>
  <c r="F76" i="192"/>
  <c r="H110" i="192"/>
  <c r="H111" i="192" s="1"/>
  <c r="H82" i="192"/>
  <c r="O79" i="181"/>
  <c r="Q60" i="192"/>
  <c r="R60" i="192" s="1"/>
  <c r="R5" i="192"/>
  <c r="G110" i="192"/>
  <c r="G111" i="192" s="1"/>
  <c r="G82" i="192"/>
  <c r="G94" i="192" s="1"/>
  <c r="EG29" i="188"/>
  <c r="EL28" i="188"/>
  <c r="I110" i="192"/>
  <c r="I111" i="192" s="1"/>
  <c r="I82" i="192"/>
  <c r="EL32" i="188"/>
  <c r="H36" i="193"/>
  <c r="K76" i="35"/>
  <c r="J75" i="35"/>
  <c r="C12" i="26"/>
  <c r="F73" i="133"/>
  <c r="AZ5" i="133"/>
  <c r="AY44" i="133"/>
  <c r="H53" i="133"/>
  <c r="I89" i="133"/>
  <c r="AR74" i="133"/>
  <c r="BE74" i="133"/>
  <c r="AE74" i="133"/>
  <c r="U73" i="133"/>
  <c r="BA73" i="133"/>
  <c r="T73" i="133"/>
  <c r="AB73" i="133"/>
  <c r="V73" i="133"/>
  <c r="AG73" i="133"/>
  <c r="AI73" i="133"/>
  <c r="AQ73" i="133"/>
  <c r="AV73" i="133"/>
  <c r="BD73" i="133"/>
  <c r="X73" i="133"/>
  <c r="Z73" i="133"/>
  <c r="BB73" i="133"/>
  <c r="D72" i="133"/>
  <c r="D71" i="133" s="1"/>
  <c r="D70" i="133" s="1"/>
  <c r="AW73" i="133"/>
  <c r="AN73" i="133"/>
  <c r="AX73" i="133"/>
  <c r="AZ73" i="133"/>
  <c r="AT73" i="133"/>
  <c r="AC73" i="133"/>
  <c r="AH73" i="133"/>
  <c r="AP73" i="133"/>
  <c r="AJ73" i="133"/>
  <c r="AL73" i="133"/>
  <c r="W73" i="133"/>
  <c r="S73" i="133"/>
  <c r="AA73" i="133"/>
  <c r="AS73" i="133"/>
  <c r="AF73" i="133"/>
  <c r="AU73" i="133"/>
  <c r="AM73" i="133"/>
  <c r="AY73" i="133"/>
  <c r="Y73" i="133"/>
  <c r="AK73" i="133"/>
  <c r="AD73" i="133"/>
  <c r="AO73" i="133"/>
  <c r="BC73" i="133"/>
  <c r="X17" i="133"/>
  <c r="W20" i="133"/>
  <c r="W25" i="133" s="1"/>
  <c r="W95" i="133" s="1"/>
  <c r="W57" i="133"/>
  <c r="AM49" i="133"/>
  <c r="AN10" i="133"/>
  <c r="AA21" i="119"/>
  <c r="BB10" i="133"/>
  <c r="BA49" i="133"/>
  <c r="AM6" i="133"/>
  <c r="AL45" i="133"/>
  <c r="AL47" i="133" s="1"/>
  <c r="AL87" i="133" s="1"/>
  <c r="AN5" i="133"/>
  <c r="AM44" i="133"/>
  <c r="AP23" i="133"/>
  <c r="AO63" i="133"/>
  <c r="AB23" i="133"/>
  <c r="AA63" i="133"/>
  <c r="R121" i="133"/>
  <c r="BB63" i="133"/>
  <c r="BC23" i="133"/>
  <c r="AI60" i="133"/>
  <c r="AI88" i="133" s="1"/>
  <c r="AI89" i="133" s="1"/>
  <c r="AK17" i="133"/>
  <c r="AJ20" i="133"/>
  <c r="AJ57" i="133"/>
  <c r="AJ60" i="133" s="1"/>
  <c r="AJ88" i="133" s="1"/>
  <c r="AJ89" i="133" s="1"/>
  <c r="Z48" i="133"/>
  <c r="AA9" i="133"/>
  <c r="Z45" i="133"/>
  <c r="AA6" i="133"/>
  <c r="K5" i="133"/>
  <c r="J8" i="133"/>
  <c r="J13" i="133" s="1"/>
  <c r="J44" i="133"/>
  <c r="AZ9" i="133"/>
  <c r="AY48" i="133"/>
  <c r="AO7" i="133"/>
  <c r="AN46" i="133"/>
  <c r="V84" i="133"/>
  <c r="V66" i="133"/>
  <c r="T25" i="119"/>
  <c r="T26" i="119" s="1"/>
  <c r="BB7" i="133"/>
  <c r="BA46" i="133"/>
  <c r="AK121" i="133"/>
  <c r="AK127" i="133" s="1"/>
  <c r="AJ127" i="133"/>
  <c r="K48" i="133"/>
  <c r="K51" i="133" s="1"/>
  <c r="L9" i="133"/>
  <c r="K12" i="133"/>
  <c r="AN19" i="133"/>
  <c r="AM59" i="133"/>
  <c r="X87" i="133"/>
  <c r="O46" i="133"/>
  <c r="AQ21" i="133"/>
  <c r="AP61" i="133"/>
  <c r="X22" i="133"/>
  <c r="W62" i="133"/>
  <c r="Y21" i="133"/>
  <c r="X61" i="133"/>
  <c r="AA10" i="133"/>
  <c r="Z49" i="133"/>
  <c r="AA5" i="133"/>
  <c r="Z44" i="133"/>
  <c r="AN18" i="133"/>
  <c r="AM58" i="133"/>
  <c r="AX60" i="133"/>
  <c r="AM9" i="133"/>
  <c r="AL48" i="133"/>
  <c r="BB19" i="133"/>
  <c r="BA59" i="133"/>
  <c r="U84" i="133"/>
  <c r="U66" i="133"/>
  <c r="AB19" i="133"/>
  <c r="AA59" i="133"/>
  <c r="AY20" i="133"/>
  <c r="AZ17" i="133"/>
  <c r="AY57" i="133"/>
  <c r="AY60" i="133" s="1"/>
  <c r="AE58" i="133"/>
  <c r="I55" i="138"/>
  <c r="Z120" i="58"/>
  <c r="O26" i="119"/>
  <c r="AE121" i="133"/>
  <c r="AE127" i="133" s="1"/>
  <c r="S89" i="133"/>
  <c r="AS89" i="133"/>
  <c r="R88" i="133"/>
  <c r="AF89" i="133"/>
  <c r="R23" i="199"/>
  <c r="S23" i="199"/>
  <c r="F25" i="199"/>
  <c r="X38" i="137"/>
  <c r="K38" i="137" s="1"/>
  <c r="K109" i="137" s="1"/>
  <c r="M226" i="110"/>
  <c r="AA226" i="110"/>
  <c r="AD226" i="110" s="1"/>
  <c r="P226" i="110"/>
  <c r="L226" i="110"/>
  <c r="J226" i="110"/>
  <c r="U226" i="110"/>
  <c r="T226" i="110"/>
  <c r="O226" i="110"/>
  <c r="R226" i="110"/>
  <c r="S226" i="110"/>
  <c r="K226" i="110"/>
  <c r="N226" i="110"/>
  <c r="N31" i="124"/>
  <c r="X34" i="137"/>
  <c r="K34" i="137" s="1"/>
  <c r="K105" i="137" s="1"/>
  <c r="J31" i="124"/>
  <c r="Q31" i="124"/>
  <c r="N44" i="124"/>
  <c r="G44" i="124"/>
  <c r="H31" i="124"/>
  <c r="V388" i="110"/>
  <c r="S179" i="110"/>
  <c r="X25" i="137"/>
  <c r="K25" i="137" s="1"/>
  <c r="K96" i="137" s="1"/>
  <c r="N179" i="110"/>
  <c r="N404" i="110"/>
  <c r="O28" i="137"/>
  <c r="U9" i="137"/>
  <c r="J6" i="138"/>
  <c r="J220" i="110"/>
  <c r="X57" i="137"/>
  <c r="K57" i="137" s="1"/>
  <c r="K128" i="137" s="1"/>
  <c r="V318" i="110"/>
  <c r="R339" i="110"/>
  <c r="X39" i="137"/>
  <c r="K39" i="137" s="1"/>
  <c r="K110" i="137" s="1"/>
  <c r="L220" i="110"/>
  <c r="L339" i="110"/>
  <c r="R220" i="110"/>
  <c r="M179" i="110"/>
  <c r="X48" i="137"/>
  <c r="K48" i="137" s="1"/>
  <c r="K119" i="137" s="1"/>
  <c r="X27" i="137"/>
  <c r="K27" i="137" s="1"/>
  <c r="K98" i="137" s="1"/>
  <c r="O339" i="110"/>
  <c r="O220" i="110"/>
  <c r="K324" i="110"/>
  <c r="X44" i="137"/>
  <c r="K44" i="137" s="1"/>
  <c r="K115" i="137" s="1"/>
  <c r="T238" i="110"/>
  <c r="Q238" i="110"/>
  <c r="P238" i="110"/>
  <c r="R238" i="110"/>
  <c r="K391" i="110"/>
  <c r="K238" i="110"/>
  <c r="N238" i="110"/>
  <c r="N220" i="110"/>
  <c r="G31" i="124"/>
  <c r="M238" i="110"/>
  <c r="S238" i="110"/>
  <c r="J238" i="110"/>
  <c r="U238" i="110"/>
  <c r="O238" i="110"/>
  <c r="L238" i="110"/>
  <c r="N339" i="110"/>
  <c r="M204" i="110"/>
  <c r="N204" i="110"/>
  <c r="K204" i="110"/>
  <c r="AA204" i="110"/>
  <c r="AD204" i="110" s="1"/>
  <c r="T220" i="110"/>
  <c r="T339" i="110"/>
  <c r="S339" i="110"/>
  <c r="M220" i="110"/>
  <c r="S220" i="110"/>
  <c r="M339" i="110"/>
  <c r="V134" i="110"/>
  <c r="P220" i="110"/>
  <c r="P339" i="110"/>
  <c r="L204" i="110"/>
  <c r="X43" i="137"/>
  <c r="K43" i="137" s="1"/>
  <c r="K114" i="137" s="1"/>
  <c r="J339" i="110"/>
  <c r="Q339" i="110"/>
  <c r="S46" i="137"/>
  <c r="U339" i="110"/>
  <c r="W46" i="137"/>
  <c r="J204" i="110"/>
  <c r="V343" i="110"/>
  <c r="P391" i="110"/>
  <c r="X24" i="137"/>
  <c r="K24" i="137" s="1"/>
  <c r="K95" i="137" s="1"/>
  <c r="V310" i="110"/>
  <c r="N200" i="110"/>
  <c r="S319" i="110"/>
  <c r="R391" i="110"/>
  <c r="X37" i="137"/>
  <c r="K37" i="137" s="1"/>
  <c r="K108" i="137" s="1"/>
  <c r="X49" i="137"/>
  <c r="K49" i="137" s="1"/>
  <c r="K120" i="137" s="1"/>
  <c r="K319" i="110"/>
  <c r="O324" i="110"/>
  <c r="W28" i="137"/>
  <c r="M404" i="110"/>
  <c r="O391" i="110"/>
  <c r="X41" i="137"/>
  <c r="K41" i="137" s="1"/>
  <c r="K112" i="137" s="1"/>
  <c r="R324" i="110"/>
  <c r="X13" i="137"/>
  <c r="K13" i="137" s="1"/>
  <c r="K85" i="137" s="1"/>
  <c r="O188" i="110"/>
  <c r="X70" i="137"/>
  <c r="K70" i="137" s="1"/>
  <c r="K141" i="137" s="1"/>
  <c r="J391" i="110"/>
  <c r="T391" i="110"/>
  <c r="J319" i="110"/>
  <c r="L200" i="110"/>
  <c r="Q324" i="110"/>
  <c r="S324" i="110"/>
  <c r="V28" i="137"/>
  <c r="T319" i="110"/>
  <c r="R319" i="110"/>
  <c r="T28" i="137"/>
  <c r="L324" i="110"/>
  <c r="L391" i="110"/>
  <c r="N33" i="137"/>
  <c r="J179" i="110"/>
  <c r="V321" i="110"/>
  <c r="N391" i="110"/>
  <c r="Q319" i="110"/>
  <c r="J324" i="110"/>
  <c r="P324" i="110"/>
  <c r="R28" i="137"/>
  <c r="P319" i="110"/>
  <c r="P28" i="137"/>
  <c r="X51" i="137"/>
  <c r="K51" i="137" s="1"/>
  <c r="K122" i="137" s="1"/>
  <c r="V231" i="110"/>
  <c r="N324" i="110"/>
  <c r="Q391" i="110"/>
  <c r="V211" i="110"/>
  <c r="T324" i="110"/>
  <c r="Q28" i="137"/>
  <c r="O319" i="110"/>
  <c r="U391" i="110"/>
  <c r="W33" i="137"/>
  <c r="U33" i="181"/>
  <c r="J205" i="110"/>
  <c r="L205" i="110"/>
  <c r="L9" i="137"/>
  <c r="S391" i="110"/>
  <c r="O33" i="137"/>
  <c r="M324" i="110"/>
  <c r="M391" i="110"/>
  <c r="L319" i="110"/>
  <c r="V387" i="110"/>
  <c r="U179" i="110"/>
  <c r="L179" i="110"/>
  <c r="K200" i="110"/>
  <c r="AA200" i="110"/>
  <c r="AD200" i="110" s="1"/>
  <c r="J200" i="110"/>
  <c r="M200" i="110"/>
  <c r="V93" i="110"/>
  <c r="L404" i="110"/>
  <c r="X16" i="137"/>
  <c r="K16" i="137" s="1"/>
  <c r="K88" i="137" s="1"/>
  <c r="U404" i="110"/>
  <c r="R404" i="110"/>
  <c r="T9" i="137"/>
  <c r="R9" i="137"/>
  <c r="P404" i="110"/>
  <c r="V9" i="137"/>
  <c r="T404" i="110"/>
  <c r="O404" i="110"/>
  <c r="Q9" i="137"/>
  <c r="V336" i="110"/>
  <c r="V340" i="110"/>
  <c r="V330" i="110"/>
  <c r="Q404" i="110"/>
  <c r="S9" i="137"/>
  <c r="Q58" i="124"/>
  <c r="Q53" i="124"/>
  <c r="L64" i="181"/>
  <c r="V350" i="110"/>
  <c r="V326" i="110"/>
  <c r="V217" i="110"/>
  <c r="U15" i="181"/>
  <c r="V331" i="110"/>
  <c r="X31" i="137"/>
  <c r="K31" i="137" s="1"/>
  <c r="K102" i="137" s="1"/>
  <c r="X64" i="137"/>
  <c r="K64" i="137" s="1"/>
  <c r="K135" i="137" s="1"/>
  <c r="X30" i="137"/>
  <c r="K30" i="137" s="1"/>
  <c r="K101" i="137" s="1"/>
  <c r="M188" i="110"/>
  <c r="V225" i="110"/>
  <c r="Q307" i="110"/>
  <c r="X47" i="137"/>
  <c r="K47" i="137" s="1"/>
  <c r="K118" i="137" s="1"/>
  <c r="V305" i="110"/>
  <c r="M51" i="124"/>
  <c r="M52" i="124" s="1"/>
  <c r="M57" i="124" s="1"/>
  <c r="M205" i="110"/>
  <c r="T18" i="137"/>
  <c r="R188" i="110"/>
  <c r="N51" i="124"/>
  <c r="N52" i="124" s="1"/>
  <c r="N57" i="124" s="1"/>
  <c r="R307" i="110"/>
  <c r="O307" i="110"/>
  <c r="K51" i="124"/>
  <c r="K52" i="124" s="1"/>
  <c r="K57" i="124" s="1"/>
  <c r="K188" i="110"/>
  <c r="K307" i="110"/>
  <c r="G51" i="124"/>
  <c r="G52" i="124" s="1"/>
  <c r="M18" i="137"/>
  <c r="I51" i="124"/>
  <c r="I52" i="124" s="1"/>
  <c r="O18" i="137"/>
  <c r="W18" i="137"/>
  <c r="U307" i="110"/>
  <c r="U188" i="110"/>
  <c r="V342" i="110"/>
  <c r="AA205" i="110"/>
  <c r="AD205" i="110" s="1"/>
  <c r="N205" i="110"/>
  <c r="K205" i="110"/>
  <c r="V328" i="110"/>
  <c r="V223" i="110"/>
  <c r="V351" i="110"/>
  <c r="V334" i="110"/>
  <c r="V311" i="110"/>
  <c r="V215" i="110"/>
  <c r="V102" i="110"/>
  <c r="V228" i="110"/>
  <c r="O53" i="124"/>
  <c r="V344" i="110"/>
  <c r="V393" i="110"/>
  <c r="I36" i="124"/>
  <c r="Q188" i="110"/>
  <c r="X50" i="137"/>
  <c r="K50" i="137" s="1"/>
  <c r="K121" i="137" s="1"/>
  <c r="L6" i="137"/>
  <c r="J401" i="110"/>
  <c r="J176" i="110"/>
  <c r="V90" i="110"/>
  <c r="W6" i="137"/>
  <c r="U401" i="110"/>
  <c r="U176" i="110"/>
  <c r="T61" i="137"/>
  <c r="R354" i="110"/>
  <c r="R235" i="110"/>
  <c r="R401" i="110"/>
  <c r="T6" i="137"/>
  <c r="R176" i="110"/>
  <c r="O6" i="137"/>
  <c r="M401" i="110"/>
  <c r="M176" i="110"/>
  <c r="L61" i="137"/>
  <c r="J354" i="110"/>
  <c r="J235" i="110"/>
  <c r="V149" i="110"/>
  <c r="V213" i="110"/>
  <c r="N176" i="110"/>
  <c r="N401" i="110"/>
  <c r="P6" i="137"/>
  <c r="S61" i="137"/>
  <c r="Q354" i="110"/>
  <c r="Q235" i="110"/>
  <c r="O176" i="110"/>
  <c r="O401" i="110"/>
  <c r="Q6" i="137"/>
  <c r="N61" i="137"/>
  <c r="L235" i="110"/>
  <c r="L354" i="110"/>
  <c r="P235" i="110"/>
  <c r="R61" i="137"/>
  <c r="P354" i="110"/>
  <c r="V6" i="137"/>
  <c r="T176" i="110"/>
  <c r="T401" i="110"/>
  <c r="N354" i="110"/>
  <c r="P61" i="137"/>
  <c r="N235" i="110"/>
  <c r="U61" i="137"/>
  <c r="S354" i="110"/>
  <c r="S235" i="110"/>
  <c r="L18" i="137"/>
  <c r="J188" i="110"/>
  <c r="J307" i="110"/>
  <c r="F51" i="124"/>
  <c r="S6" i="137"/>
  <c r="Q176" i="110"/>
  <c r="Q401" i="110"/>
  <c r="Q61" i="137"/>
  <c r="O354" i="110"/>
  <c r="M61" i="137"/>
  <c r="K235" i="110"/>
  <c r="K354" i="110"/>
  <c r="N18" i="137"/>
  <c r="H51" i="124"/>
  <c r="H52" i="124" s="1"/>
  <c r="H53" i="124" s="1"/>
  <c r="L188" i="110"/>
  <c r="L307" i="110"/>
  <c r="V232" i="110"/>
  <c r="X60" i="137"/>
  <c r="K60" i="137" s="1"/>
  <c r="K131" i="137" s="1"/>
  <c r="U6" i="137"/>
  <c r="S176" i="110"/>
  <c r="S401" i="110"/>
  <c r="L401" i="110"/>
  <c r="L176" i="110"/>
  <c r="N6" i="137"/>
  <c r="O61" i="137"/>
  <c r="M354" i="110"/>
  <c r="M235" i="110"/>
  <c r="V61" i="137"/>
  <c r="T354" i="110"/>
  <c r="T235" i="110"/>
  <c r="P51" i="124"/>
  <c r="P52" i="124" s="1"/>
  <c r="P57" i="124" s="1"/>
  <c r="T307" i="110"/>
  <c r="T188" i="110"/>
  <c r="V18" i="137"/>
  <c r="R6" i="137"/>
  <c r="P401" i="110"/>
  <c r="P176" i="110"/>
  <c r="M6" i="137"/>
  <c r="K401" i="110"/>
  <c r="K176" i="110"/>
  <c r="U354" i="110"/>
  <c r="U235" i="110"/>
  <c r="W61" i="137"/>
  <c r="P18" i="137"/>
  <c r="N307" i="110"/>
  <c r="J51" i="124"/>
  <c r="J52" i="124" s="1"/>
  <c r="J57" i="124" s="1"/>
  <c r="N188" i="110"/>
  <c r="R18" i="137"/>
  <c r="P307" i="110"/>
  <c r="L51" i="124"/>
  <c r="L52" i="124" s="1"/>
  <c r="L57" i="124" s="1"/>
  <c r="P188" i="110"/>
  <c r="X21" i="137"/>
  <c r="K21" i="137" s="1"/>
  <c r="K92" i="137" s="1"/>
  <c r="V243" i="110"/>
  <c r="V345" i="110"/>
  <c r="V221" i="110"/>
  <c r="V361" i="110"/>
  <c r="V302" i="110"/>
  <c r="V185" i="110"/>
  <c r="V313" i="110"/>
  <c r="U12" i="181"/>
  <c r="V186" i="110"/>
  <c r="X52" i="137"/>
  <c r="K52" i="137" s="1"/>
  <c r="K123" i="137" s="1"/>
  <c r="V337" i="110"/>
  <c r="V341" i="110"/>
  <c r="V332" i="110"/>
  <c r="X22" i="137"/>
  <c r="K22" i="137" s="1"/>
  <c r="K93" i="137" s="1"/>
  <c r="X35" i="137"/>
  <c r="K35" i="137" s="1"/>
  <c r="K106" i="137" s="1"/>
  <c r="V212" i="110"/>
  <c r="X58" i="137"/>
  <c r="K58" i="137" s="1"/>
  <c r="K129" i="137" s="1"/>
  <c r="V362" i="110"/>
  <c r="X69" i="137"/>
  <c r="K69" i="137" s="1"/>
  <c r="K140" i="137" s="1"/>
  <c r="X68" i="137"/>
  <c r="K68" i="137" s="1"/>
  <c r="K139" i="137" s="1"/>
  <c r="X66" i="137"/>
  <c r="K66" i="137" s="1"/>
  <c r="K137" i="137" s="1"/>
  <c r="V322" i="110"/>
  <c r="V359" i="110"/>
  <c r="V314" i="110"/>
  <c r="V363" i="110"/>
  <c r="K323" i="110"/>
  <c r="M32" i="137"/>
  <c r="R32" i="137"/>
  <c r="P323" i="110"/>
  <c r="O390" i="110"/>
  <c r="O320" i="110"/>
  <c r="Q29" i="137"/>
  <c r="T32" i="137"/>
  <c r="R323" i="110"/>
  <c r="P29" i="137"/>
  <c r="N201" i="110"/>
  <c r="N320" i="110"/>
  <c r="N390" i="110"/>
  <c r="O42" i="124"/>
  <c r="O44" i="124" s="1"/>
  <c r="J323" i="110"/>
  <c r="L32" i="137"/>
  <c r="N32" i="137"/>
  <c r="L323" i="110"/>
  <c r="W29" i="137"/>
  <c r="U390" i="110"/>
  <c r="U320" i="110"/>
  <c r="K6" i="138"/>
  <c r="V32" i="137"/>
  <c r="T323" i="110"/>
  <c r="W32" i="137"/>
  <c r="U323" i="110"/>
  <c r="O29" i="137"/>
  <c r="M320" i="110"/>
  <c r="M201" i="110"/>
  <c r="M390" i="110"/>
  <c r="P32" i="137"/>
  <c r="N323" i="110"/>
  <c r="M323" i="110"/>
  <c r="O32" i="137"/>
  <c r="U32" i="137"/>
  <c r="S323" i="110"/>
  <c r="U29" i="137"/>
  <c r="S390" i="110"/>
  <c r="S320" i="110"/>
  <c r="Q320" i="110"/>
  <c r="Q390" i="110"/>
  <c r="S29" i="137"/>
  <c r="Q32" i="137"/>
  <c r="O323" i="110"/>
  <c r="N29" i="137"/>
  <c r="L320" i="110"/>
  <c r="L390" i="110"/>
  <c r="L201" i="110"/>
  <c r="V29" i="137"/>
  <c r="T390" i="110"/>
  <c r="T320" i="110"/>
  <c r="K320" i="110"/>
  <c r="K201" i="110"/>
  <c r="K390" i="110"/>
  <c r="M29" i="137"/>
  <c r="R29" i="137"/>
  <c r="P320" i="110"/>
  <c r="P390" i="110"/>
  <c r="V244" i="110"/>
  <c r="V183" i="110"/>
  <c r="V353" i="110"/>
  <c r="V214" i="110"/>
  <c r="S32" i="137"/>
  <c r="Q323" i="110"/>
  <c r="T29" i="137"/>
  <c r="R320" i="110"/>
  <c r="R390" i="110"/>
  <c r="L29" i="137"/>
  <c r="J320" i="110"/>
  <c r="J390" i="110"/>
  <c r="J201" i="110"/>
  <c r="L63" i="137"/>
  <c r="J356" i="110"/>
  <c r="J237" i="110"/>
  <c r="V151" i="110"/>
  <c r="N246" i="110"/>
  <c r="T56" i="137"/>
  <c r="R230" i="110"/>
  <c r="R349" i="110"/>
  <c r="O349" i="110"/>
  <c r="O230" i="110"/>
  <c r="Q56" i="137"/>
  <c r="N237" i="110"/>
  <c r="N356" i="110"/>
  <c r="P63" i="137"/>
  <c r="P246" i="110"/>
  <c r="L56" i="137"/>
  <c r="J230" i="110"/>
  <c r="J349" i="110"/>
  <c r="V144" i="110"/>
  <c r="R56" i="137"/>
  <c r="P230" i="110"/>
  <c r="P349" i="110"/>
  <c r="U56" i="137"/>
  <c r="S349" i="110"/>
  <c r="S230" i="110"/>
  <c r="U63" i="137"/>
  <c r="S237" i="110"/>
  <c r="S356" i="110"/>
  <c r="Q63" i="137"/>
  <c r="O356" i="110"/>
  <c r="O237" i="110"/>
  <c r="M246" i="110"/>
  <c r="U246" i="110"/>
  <c r="T349" i="110"/>
  <c r="T230" i="110"/>
  <c r="V56" i="137"/>
  <c r="W56" i="137"/>
  <c r="U349" i="110"/>
  <c r="U230" i="110"/>
  <c r="R246" i="110"/>
  <c r="V63" i="137"/>
  <c r="T356" i="110"/>
  <c r="T237" i="110"/>
  <c r="N63" i="137"/>
  <c r="L356" i="110"/>
  <c r="L237" i="110"/>
  <c r="E378" i="110"/>
  <c r="S246" i="110"/>
  <c r="O56" i="137"/>
  <c r="M349" i="110"/>
  <c r="M230" i="110"/>
  <c r="U59" i="181"/>
  <c r="R63" i="137"/>
  <c r="P237" i="110"/>
  <c r="P356" i="110"/>
  <c r="K237" i="110"/>
  <c r="M63" i="137"/>
  <c r="K356" i="110"/>
  <c r="J246" i="110"/>
  <c r="V160" i="110"/>
  <c r="Q246" i="110"/>
  <c r="S56" i="137"/>
  <c r="Q349" i="110"/>
  <c r="Q230" i="110"/>
  <c r="T63" i="137"/>
  <c r="R356" i="110"/>
  <c r="R237" i="110"/>
  <c r="M56" i="137"/>
  <c r="K230" i="110"/>
  <c r="K349" i="110"/>
  <c r="O63" i="137"/>
  <c r="M356" i="110"/>
  <c r="M237" i="110"/>
  <c r="Q237" i="110"/>
  <c r="Q356" i="110"/>
  <c r="S63" i="137"/>
  <c r="K246" i="110"/>
  <c r="L246" i="110"/>
  <c r="N56" i="137"/>
  <c r="L349" i="110"/>
  <c r="L230" i="110"/>
  <c r="W63" i="137"/>
  <c r="U237" i="110"/>
  <c r="U356" i="110"/>
  <c r="T246" i="110"/>
  <c r="O246" i="110"/>
  <c r="N349" i="110"/>
  <c r="P56" i="137"/>
  <c r="N230" i="110"/>
  <c r="V357" i="110"/>
  <c r="V222" i="110"/>
  <c r="V218" i="110"/>
  <c r="V224" i="110"/>
  <c r="P14" i="137"/>
  <c r="N184" i="110"/>
  <c r="N303" i="110"/>
  <c r="M13" i="181"/>
  <c r="T184" i="110"/>
  <c r="S13" i="181"/>
  <c r="V14" i="137"/>
  <c r="T303" i="110"/>
  <c r="T386" i="110"/>
  <c r="V23" i="137"/>
  <c r="T312" i="110"/>
  <c r="T167" i="110"/>
  <c r="T193" i="110"/>
  <c r="U67" i="137"/>
  <c r="S360" i="110"/>
  <c r="S241" i="110"/>
  <c r="Q67" i="137"/>
  <c r="O241" i="110"/>
  <c r="O360" i="110"/>
  <c r="N193" i="110"/>
  <c r="AA193" i="110"/>
  <c r="AD193" i="110" s="1"/>
  <c r="N62" i="137"/>
  <c r="L355" i="110"/>
  <c r="L236" i="110"/>
  <c r="M62" i="137"/>
  <c r="K236" i="110"/>
  <c r="K355" i="110"/>
  <c r="K338" i="110"/>
  <c r="K219" i="110"/>
  <c r="M45" i="137"/>
  <c r="V45" i="137"/>
  <c r="T338" i="110"/>
  <c r="T219" i="110"/>
  <c r="O55" i="137"/>
  <c r="M348" i="110"/>
  <c r="M229" i="110"/>
  <c r="T55" i="137"/>
  <c r="R229" i="110"/>
  <c r="R348" i="110"/>
  <c r="R42" i="137"/>
  <c r="P335" i="110"/>
  <c r="P216" i="110"/>
  <c r="Q335" i="110"/>
  <c r="Q216" i="110"/>
  <c r="S42" i="137"/>
  <c r="M8" i="137"/>
  <c r="K403" i="110"/>
  <c r="K178" i="110"/>
  <c r="O178" i="110"/>
  <c r="O403" i="110"/>
  <c r="Q8" i="137"/>
  <c r="N59" i="137"/>
  <c r="L233" i="110"/>
  <c r="L352" i="110"/>
  <c r="M352" i="110"/>
  <c r="M233" i="110"/>
  <c r="O59" i="137"/>
  <c r="T17" i="137"/>
  <c r="R306" i="110"/>
  <c r="R187" i="110"/>
  <c r="P358" i="110"/>
  <c r="P239" i="110"/>
  <c r="R65" i="137"/>
  <c r="Q65" i="137"/>
  <c r="O358" i="110"/>
  <c r="O239" i="110"/>
  <c r="P26" i="137"/>
  <c r="N316" i="110"/>
  <c r="N197" i="110"/>
  <c r="S5" i="137"/>
  <c r="Q400" i="110"/>
  <c r="Q103" i="110"/>
  <c r="Q456" i="110" s="1" a="1"/>
  <c r="Q175" i="110"/>
  <c r="L13" i="181"/>
  <c r="M184" i="110"/>
  <c r="M303" i="110"/>
  <c r="O14" i="137"/>
  <c r="R193" i="110"/>
  <c r="R386" i="110"/>
  <c r="R312" i="110"/>
  <c r="R167" i="110"/>
  <c r="T23" i="137"/>
  <c r="M167" i="110"/>
  <c r="O23" i="137"/>
  <c r="M193" i="110"/>
  <c r="M386" i="110"/>
  <c r="M312" i="110"/>
  <c r="M67" i="137"/>
  <c r="K360" i="110"/>
  <c r="K241" i="110"/>
  <c r="U360" i="110"/>
  <c r="W67" i="137"/>
  <c r="U241" i="110"/>
  <c r="L62" i="137"/>
  <c r="J236" i="110"/>
  <c r="J355" i="110"/>
  <c r="V150" i="110"/>
  <c r="N45" i="137"/>
  <c r="L338" i="110"/>
  <c r="L219" i="110"/>
  <c r="O348" i="110"/>
  <c r="O229" i="110"/>
  <c r="Q55" i="137"/>
  <c r="K229" i="110"/>
  <c r="K348" i="110"/>
  <c r="M55" i="137"/>
  <c r="O8" i="137"/>
  <c r="M178" i="110"/>
  <c r="M403" i="110"/>
  <c r="L59" i="137"/>
  <c r="J352" i="110"/>
  <c r="V147" i="110"/>
  <c r="J233" i="110"/>
  <c r="N187" i="110"/>
  <c r="P17" i="137"/>
  <c r="N306" i="110"/>
  <c r="K187" i="110"/>
  <c r="M17" i="137"/>
  <c r="K306" i="110"/>
  <c r="V26" i="137"/>
  <c r="T316" i="110"/>
  <c r="P5" i="137"/>
  <c r="N175" i="110"/>
  <c r="N103" i="110"/>
  <c r="N456" i="110" s="1" a="1"/>
  <c r="N400" i="110"/>
  <c r="W14" i="137"/>
  <c r="U303" i="110"/>
  <c r="U184" i="110"/>
  <c r="T13" i="181"/>
  <c r="P23" i="137"/>
  <c r="N312" i="110"/>
  <c r="N167" i="110"/>
  <c r="N386" i="110"/>
  <c r="L386" i="110"/>
  <c r="L167" i="110"/>
  <c r="N23" i="137"/>
  <c r="L193" i="110"/>
  <c r="L312" i="110"/>
  <c r="S67" i="137"/>
  <c r="Q241" i="110"/>
  <c r="Q360" i="110"/>
  <c r="V67" i="137"/>
  <c r="T360" i="110"/>
  <c r="T241" i="110"/>
  <c r="M355" i="110"/>
  <c r="O62" i="137"/>
  <c r="M236" i="110"/>
  <c r="Q45" i="137"/>
  <c r="O338" i="110"/>
  <c r="O219" i="110"/>
  <c r="W55" i="137"/>
  <c r="U229" i="110"/>
  <c r="U348" i="110"/>
  <c r="N55" i="137"/>
  <c r="L229" i="110"/>
  <c r="L348" i="110"/>
  <c r="U42" i="137"/>
  <c r="S335" i="110"/>
  <c r="S216" i="110"/>
  <c r="P8" i="137"/>
  <c r="N178" i="110"/>
  <c r="N403" i="110"/>
  <c r="P59" i="137"/>
  <c r="N233" i="110"/>
  <c r="N352" i="110"/>
  <c r="N17" i="137"/>
  <c r="L306" i="110"/>
  <c r="L187" i="110"/>
  <c r="P306" i="110"/>
  <c r="R17" i="137"/>
  <c r="P187" i="110"/>
  <c r="R239" i="110"/>
  <c r="T65" i="137"/>
  <c r="R358" i="110"/>
  <c r="M26" i="137"/>
  <c r="K197" i="110"/>
  <c r="K316" i="110"/>
  <c r="M316" i="110"/>
  <c r="O26" i="137"/>
  <c r="M197" i="110"/>
  <c r="M175" i="110"/>
  <c r="O5" i="137"/>
  <c r="M400" i="110"/>
  <c r="M103" i="110"/>
  <c r="M456" i="110" s="1" a="1"/>
  <c r="R14" i="137"/>
  <c r="P303" i="110"/>
  <c r="P184" i="110"/>
  <c r="O13" i="181"/>
  <c r="M23" i="137"/>
  <c r="K312" i="110"/>
  <c r="K193" i="110"/>
  <c r="K386" i="110"/>
  <c r="K167" i="110"/>
  <c r="S193" i="110"/>
  <c r="S167" i="110"/>
  <c r="S386" i="110"/>
  <c r="S312" i="110"/>
  <c r="U23" i="137"/>
  <c r="T67" i="137"/>
  <c r="R241" i="110"/>
  <c r="R360" i="110"/>
  <c r="T236" i="110"/>
  <c r="V62" i="137"/>
  <c r="T355" i="110"/>
  <c r="S45" i="137"/>
  <c r="Q219" i="110"/>
  <c r="Q338" i="110"/>
  <c r="P55" i="137"/>
  <c r="N229" i="110"/>
  <c r="N348" i="110"/>
  <c r="Q42" i="137"/>
  <c r="O216" i="110"/>
  <c r="O335" i="110"/>
  <c r="S403" i="110"/>
  <c r="S178" i="110"/>
  <c r="U8" i="137"/>
  <c r="O352" i="110"/>
  <c r="Q59" i="137"/>
  <c r="O233" i="110"/>
  <c r="O187" i="110"/>
  <c r="Q17" i="137"/>
  <c r="O306" i="110"/>
  <c r="W17" i="137"/>
  <c r="U306" i="110"/>
  <c r="U187" i="110"/>
  <c r="J358" i="110"/>
  <c r="J239" i="110"/>
  <c r="V153" i="110"/>
  <c r="L65" i="137"/>
  <c r="S26" i="137"/>
  <c r="Q316" i="110"/>
  <c r="Q26" i="137"/>
  <c r="O316" i="110"/>
  <c r="P400" i="110"/>
  <c r="P103" i="110"/>
  <c r="P456" i="110" s="1" a="1"/>
  <c r="R5" i="137"/>
  <c r="P175" i="110"/>
  <c r="I19" i="124"/>
  <c r="M14" i="137"/>
  <c r="K184" i="110"/>
  <c r="J13" i="181"/>
  <c r="K303" i="110"/>
  <c r="N14" i="137"/>
  <c r="L184" i="110"/>
  <c r="L303" i="110"/>
  <c r="R23" i="137"/>
  <c r="P312" i="110"/>
  <c r="P386" i="110"/>
  <c r="P167" i="110"/>
  <c r="P193" i="110"/>
  <c r="J241" i="110"/>
  <c r="J360" i="110"/>
  <c r="V155" i="110"/>
  <c r="L67" i="137"/>
  <c r="R355" i="110"/>
  <c r="R236" i="110"/>
  <c r="T62" i="137"/>
  <c r="P236" i="110"/>
  <c r="R62" i="137"/>
  <c r="P355" i="110"/>
  <c r="O45" i="137"/>
  <c r="M219" i="110"/>
  <c r="M338" i="110"/>
  <c r="R45" i="137"/>
  <c r="P338" i="110"/>
  <c r="P219" i="110"/>
  <c r="T348" i="110"/>
  <c r="T229" i="110"/>
  <c r="V55" i="137"/>
  <c r="P42" i="137"/>
  <c r="N216" i="110"/>
  <c r="N335" i="110"/>
  <c r="T216" i="110"/>
  <c r="V42" i="137"/>
  <c r="T335" i="110"/>
  <c r="T403" i="110"/>
  <c r="V8" i="137"/>
  <c r="T178" i="110"/>
  <c r="T59" i="137"/>
  <c r="R233" i="110"/>
  <c r="R352" i="110"/>
  <c r="T233" i="110"/>
  <c r="V59" i="137"/>
  <c r="T352" i="110"/>
  <c r="O17" i="137"/>
  <c r="M306" i="110"/>
  <c r="M187" i="110"/>
  <c r="V101" i="110"/>
  <c r="J306" i="110"/>
  <c r="L17" i="137"/>
  <c r="J187" i="110"/>
  <c r="U65" i="137"/>
  <c r="S239" i="110"/>
  <c r="S358" i="110"/>
  <c r="T358" i="110"/>
  <c r="V65" i="137"/>
  <c r="T239" i="110"/>
  <c r="W26" i="137"/>
  <c r="U316" i="110"/>
  <c r="L175" i="110"/>
  <c r="L400" i="110"/>
  <c r="L103" i="110"/>
  <c r="L456" i="110" s="1" a="1"/>
  <c r="N5" i="137"/>
  <c r="U5" i="137"/>
  <c r="S175" i="110"/>
  <c r="S400" i="110"/>
  <c r="S103" i="110"/>
  <c r="S456" i="110" s="1" a="1"/>
  <c r="Q14" i="137"/>
  <c r="O184" i="110"/>
  <c r="O303" i="110"/>
  <c r="N13" i="181"/>
  <c r="O167" i="110"/>
  <c r="O312" i="110"/>
  <c r="O386" i="110"/>
  <c r="O193" i="110"/>
  <c r="Q23" i="137"/>
  <c r="J386" i="110"/>
  <c r="J167" i="110"/>
  <c r="L23" i="137"/>
  <c r="J193" i="110"/>
  <c r="J312" i="110"/>
  <c r="V107" i="110"/>
  <c r="N67" i="137"/>
  <c r="L360" i="110"/>
  <c r="L241" i="110"/>
  <c r="N355" i="110"/>
  <c r="P62" i="137"/>
  <c r="N236" i="110"/>
  <c r="T45" i="137"/>
  <c r="R219" i="110"/>
  <c r="R338" i="110"/>
  <c r="U55" i="137"/>
  <c r="S348" i="110"/>
  <c r="S229" i="110"/>
  <c r="U216" i="110"/>
  <c r="U335" i="110"/>
  <c r="W42" i="137"/>
  <c r="L216" i="110"/>
  <c r="L335" i="110"/>
  <c r="N42" i="137"/>
  <c r="R8" i="137"/>
  <c r="P178" i="110"/>
  <c r="P403" i="110"/>
  <c r="Q178" i="110"/>
  <c r="Q403" i="110"/>
  <c r="S8" i="137"/>
  <c r="Q233" i="110"/>
  <c r="S59" i="137"/>
  <c r="Q352" i="110"/>
  <c r="W59" i="137"/>
  <c r="U233" i="110"/>
  <c r="U352" i="110"/>
  <c r="U17" i="137"/>
  <c r="S306" i="110"/>
  <c r="S187" i="110"/>
  <c r="U358" i="110"/>
  <c r="W65" i="137"/>
  <c r="U239" i="110"/>
  <c r="O65" i="137"/>
  <c r="M358" i="110"/>
  <c r="M239" i="110"/>
  <c r="T26" i="137"/>
  <c r="R316" i="110"/>
  <c r="L26" i="137"/>
  <c r="J316" i="110"/>
  <c r="J197" i="110"/>
  <c r="V111" i="110"/>
  <c r="V5" i="137"/>
  <c r="T175" i="110"/>
  <c r="T400" i="110"/>
  <c r="T103" i="110"/>
  <c r="T457" i="110" s="1" a="1"/>
  <c r="V89" i="110"/>
  <c r="J103" i="110"/>
  <c r="J457" i="110" s="1" a="1"/>
  <c r="L5" i="137"/>
  <c r="J175" i="110"/>
  <c r="J400" i="110"/>
  <c r="U14" i="137"/>
  <c r="S303" i="110"/>
  <c r="R13" i="181"/>
  <c r="S184" i="110"/>
  <c r="S14" i="137"/>
  <c r="P13" i="181"/>
  <c r="Q303" i="110"/>
  <c r="Q184" i="110"/>
  <c r="Q193" i="110"/>
  <c r="Q386" i="110"/>
  <c r="Q167" i="110"/>
  <c r="S23" i="137"/>
  <c r="Q312" i="110"/>
  <c r="P67" i="137"/>
  <c r="N360" i="110"/>
  <c r="N241" i="110"/>
  <c r="W62" i="137"/>
  <c r="U236" i="110"/>
  <c r="U355" i="110"/>
  <c r="S62" i="137"/>
  <c r="Q236" i="110"/>
  <c r="Q355" i="110"/>
  <c r="P45" i="137"/>
  <c r="N338" i="110"/>
  <c r="N219" i="110"/>
  <c r="U219" i="110"/>
  <c r="W45" i="137"/>
  <c r="U338" i="110"/>
  <c r="L55" i="137"/>
  <c r="J348" i="110"/>
  <c r="J229" i="110"/>
  <c r="V143" i="110"/>
  <c r="L42" i="137"/>
  <c r="J216" i="110"/>
  <c r="V130" i="110"/>
  <c r="J335" i="110"/>
  <c r="T42" i="137"/>
  <c r="R216" i="110"/>
  <c r="R335" i="110"/>
  <c r="T8" i="137"/>
  <c r="R403" i="110"/>
  <c r="R178" i="110"/>
  <c r="U403" i="110"/>
  <c r="W8" i="137"/>
  <c r="U178" i="110"/>
  <c r="S352" i="110"/>
  <c r="U59" i="137"/>
  <c r="S233" i="110"/>
  <c r="T187" i="110"/>
  <c r="V17" i="137"/>
  <c r="T306" i="110"/>
  <c r="N65" i="137"/>
  <c r="L239" i="110"/>
  <c r="L358" i="110"/>
  <c r="S65" i="137"/>
  <c r="Q239" i="110"/>
  <c r="Q358" i="110"/>
  <c r="L197" i="110"/>
  <c r="L316" i="110"/>
  <c r="N26" i="137"/>
  <c r="U26" i="137"/>
  <c r="S316" i="110"/>
  <c r="R175" i="110"/>
  <c r="T5" i="137"/>
  <c r="R400" i="110"/>
  <c r="R103" i="110"/>
  <c r="R456" i="110" s="1" a="1"/>
  <c r="O400" i="110"/>
  <c r="O175" i="110"/>
  <c r="Q5" i="137"/>
  <c r="O103" i="110"/>
  <c r="O456" i="110" s="1" a="1"/>
  <c r="J303" i="110"/>
  <c r="I13" i="181"/>
  <c r="V98" i="110"/>
  <c r="L14" i="137"/>
  <c r="J184" i="110"/>
  <c r="T14" i="137"/>
  <c r="R303" i="110"/>
  <c r="R184" i="110"/>
  <c r="Q13" i="181"/>
  <c r="U312" i="110"/>
  <c r="U193" i="110"/>
  <c r="U167" i="110"/>
  <c r="U386" i="110"/>
  <c r="W23" i="137"/>
  <c r="M241" i="110"/>
  <c r="M360" i="110"/>
  <c r="O67" i="137"/>
  <c r="P241" i="110"/>
  <c r="R67" i="137"/>
  <c r="P360" i="110"/>
  <c r="Q62" i="137"/>
  <c r="O355" i="110"/>
  <c r="O236" i="110"/>
  <c r="U62" i="137"/>
  <c r="S355" i="110"/>
  <c r="S236" i="110"/>
  <c r="U45" i="137"/>
  <c r="S338" i="110"/>
  <c r="S219" i="110"/>
  <c r="V133" i="110"/>
  <c r="J219" i="110"/>
  <c r="J338" i="110"/>
  <c r="L45" i="137"/>
  <c r="S55" i="137"/>
  <c r="Q229" i="110"/>
  <c r="Q348" i="110"/>
  <c r="R55" i="137"/>
  <c r="P348" i="110"/>
  <c r="P229" i="110"/>
  <c r="M216" i="110"/>
  <c r="O42" i="137"/>
  <c r="M335" i="110"/>
  <c r="M42" i="137"/>
  <c r="K216" i="110"/>
  <c r="K335" i="110"/>
  <c r="L178" i="110"/>
  <c r="N8" i="137"/>
  <c r="L403" i="110"/>
  <c r="L8" i="137"/>
  <c r="J403" i="110"/>
  <c r="J178" i="110"/>
  <c r="V92" i="110"/>
  <c r="R59" i="137"/>
  <c r="P233" i="110"/>
  <c r="P352" i="110"/>
  <c r="M59" i="137"/>
  <c r="K352" i="110"/>
  <c r="K233" i="110"/>
  <c r="S17" i="137"/>
  <c r="Q187" i="110"/>
  <c r="Q306" i="110"/>
  <c r="M65" i="137"/>
  <c r="K358" i="110"/>
  <c r="K239" i="110"/>
  <c r="P65" i="137"/>
  <c r="N239" i="110"/>
  <c r="N358" i="110"/>
  <c r="R26" i="137"/>
  <c r="P316" i="110"/>
  <c r="U103" i="110"/>
  <c r="U456" i="110" s="1" a="1"/>
  <c r="W5" i="137"/>
  <c r="U400" i="110"/>
  <c r="U175" i="110"/>
  <c r="M5" i="137"/>
  <c r="K103" i="110"/>
  <c r="K456" i="110" s="1" a="1"/>
  <c r="K400" i="110"/>
  <c r="K175" i="110"/>
  <c r="V240" i="110"/>
  <c r="V242" i="110"/>
  <c r="L6" i="138"/>
  <c r="R16" i="124"/>
  <c r="V234" i="110"/>
  <c r="F19" i="124"/>
  <c r="U38" i="181"/>
  <c r="V452" i="110"/>
  <c r="V453" i="110" s="1"/>
  <c r="F43" i="124"/>
  <c r="F44" i="124" s="1"/>
  <c r="U60" i="181"/>
  <c r="U58" i="181"/>
  <c r="L31" i="124"/>
  <c r="K31" i="124"/>
  <c r="P31" i="124"/>
  <c r="M31" i="124"/>
  <c r="X311" i="58"/>
  <c r="G305" i="58"/>
  <c r="G300" i="58"/>
  <c r="G306" i="58"/>
  <c r="G303" i="58"/>
  <c r="G299" i="58"/>
  <c r="G302" i="58"/>
  <c r="G304" i="58"/>
  <c r="G308" i="58"/>
  <c r="O333" i="58"/>
  <c r="O332" i="58"/>
  <c r="O370" i="58"/>
  <c r="O331" i="58"/>
  <c r="U62" i="181"/>
  <c r="I64" i="181"/>
  <c r="G17" i="138"/>
  <c r="X352" i="58"/>
  <c r="G346" i="58"/>
  <c r="G344" i="58"/>
  <c r="G365" i="58"/>
  <c r="G342" i="58"/>
  <c r="G368" i="58"/>
  <c r="X351" i="58"/>
  <c r="G349" i="58"/>
  <c r="G341" i="58"/>
  <c r="G361" i="58"/>
  <c r="G364" i="58"/>
  <c r="G345" i="58"/>
  <c r="G347" i="58"/>
  <c r="G363" i="58"/>
  <c r="G343" i="58"/>
  <c r="G360" i="58"/>
  <c r="G362" i="58"/>
  <c r="G359" i="58"/>
  <c r="G339" i="58"/>
  <c r="H55" i="138"/>
  <c r="H6" i="138"/>
  <c r="L25" i="124"/>
  <c r="M32" i="138"/>
  <c r="J32" i="138"/>
  <c r="P58" i="35"/>
  <c r="N32" i="138"/>
  <c r="L32" i="138"/>
  <c r="F36" i="124"/>
  <c r="F38" i="124" s="1"/>
  <c r="F25" i="124"/>
  <c r="F32" i="124" s="1"/>
  <c r="G25" i="124"/>
  <c r="G36" i="124"/>
  <c r="G38" i="124" s="1"/>
  <c r="G45" i="124" s="1"/>
  <c r="H36" i="124"/>
  <c r="H45" i="124" s="1"/>
  <c r="H25" i="124"/>
  <c r="I43" i="124"/>
  <c r="R30" i="124"/>
  <c r="R23" i="124"/>
  <c r="R25" i="124" s="1"/>
  <c r="I42" i="124"/>
  <c r="I31" i="124"/>
  <c r="R29" i="124"/>
  <c r="J41" i="124"/>
  <c r="R39" i="124"/>
  <c r="J45" i="124" l="1"/>
  <c r="Z8" i="133"/>
  <c r="M51" i="35"/>
  <c r="I35" i="138" s="1"/>
  <c r="Z46" i="133"/>
  <c r="Z47" i="133" s="1"/>
  <c r="Z87" i="133" s="1"/>
  <c r="S23" i="35"/>
  <c r="F56" i="193"/>
  <c r="F65" i="193" s="1"/>
  <c r="F74" i="193" s="1"/>
  <c r="F27" i="193"/>
  <c r="F18" i="193" s="1"/>
  <c r="N6" i="205"/>
  <c r="I5" i="206"/>
  <c r="F45" i="124"/>
  <c r="I45" i="124"/>
  <c r="X25" i="205"/>
  <c r="AW25" i="205" s="1"/>
  <c r="AX25" i="205" s="1"/>
  <c r="Q6" i="205"/>
  <c r="L5" i="206"/>
  <c r="EL104" i="188"/>
  <c r="F5" i="206"/>
  <c r="K6" i="205"/>
  <c r="L208" i="58"/>
  <c r="H6" i="205"/>
  <c r="C5" i="206"/>
  <c r="AI5" i="206"/>
  <c r="AN6" i="205"/>
  <c r="M48" i="35"/>
  <c r="Y51" i="205"/>
  <c r="AA51" i="205" s="1"/>
  <c r="T5" i="206"/>
  <c r="Y6" i="205"/>
  <c r="R48" i="35"/>
  <c r="AN51" i="205"/>
  <c r="AP51" i="205" s="1"/>
  <c r="O13" i="206"/>
  <c r="P13" i="206" s="1"/>
  <c r="G42" i="138"/>
  <c r="V6" i="205"/>
  <c r="Q5" i="206"/>
  <c r="AF5" i="206"/>
  <c r="AK6" i="205"/>
  <c r="Q48" i="35"/>
  <c r="AK51" i="205"/>
  <c r="AM51" i="205" s="1"/>
  <c r="O48" i="35"/>
  <c r="AE51" i="205"/>
  <c r="AG51" i="205" s="1"/>
  <c r="AB6" i="205"/>
  <c r="W5" i="206"/>
  <c r="AH6" i="205"/>
  <c r="AC5" i="206"/>
  <c r="P48" i="35"/>
  <c r="AH51" i="205"/>
  <c r="AJ51" i="205" s="1"/>
  <c r="Z5" i="206"/>
  <c r="AE6" i="205"/>
  <c r="N48" i="35"/>
  <c r="AB51" i="205"/>
  <c r="L48" i="35"/>
  <c r="Q5" i="35"/>
  <c r="H4" i="26"/>
  <c r="Q5" i="124"/>
  <c r="Q61" i="124" s="1" a="1"/>
  <c r="Q61" i="124" s="1"/>
  <c r="Q73" i="124" s="1"/>
  <c r="O5" i="35"/>
  <c r="M5" i="124"/>
  <c r="M61" i="124" s="1" a="1"/>
  <c r="M61" i="124" s="1"/>
  <c r="K4" i="26"/>
  <c r="K5" i="124"/>
  <c r="K61" i="124" s="1" a="1"/>
  <c r="K61" i="124" s="1"/>
  <c r="P253" i="110"/>
  <c r="J5" i="35"/>
  <c r="C117" i="193"/>
  <c r="E17" i="193"/>
  <c r="CL102" i="188"/>
  <c r="CL122" i="188" s="1"/>
  <c r="CL130" i="188" s="1"/>
  <c r="H29" i="133"/>
  <c r="H30" i="133" s="1"/>
  <c r="H36" i="133" s="1"/>
  <c r="G4" i="138"/>
  <c r="EL115" i="188"/>
  <c r="G5" i="124"/>
  <c r="G61" i="124" s="1"/>
  <c r="C4" i="26"/>
  <c r="H5" i="124"/>
  <c r="H61" i="124" s="1" a="1"/>
  <c r="H61" i="124" s="1"/>
  <c r="G141" i="133"/>
  <c r="G142" i="133" s="1"/>
  <c r="H5" i="35"/>
  <c r="D4" i="138" s="1"/>
  <c r="N141" i="133"/>
  <c r="M5" i="35"/>
  <c r="Q141" i="133"/>
  <c r="M4" i="26"/>
  <c r="R5" i="35"/>
  <c r="V79" i="181"/>
  <c r="M48" i="199"/>
  <c r="M50" i="199" s="1"/>
  <c r="M60" i="199" s="1"/>
  <c r="H38" i="124"/>
  <c r="O45" i="124"/>
  <c r="L38" i="124"/>
  <c r="L45" i="124"/>
  <c r="J38" i="124"/>
  <c r="I38" i="124"/>
  <c r="L5" i="35"/>
  <c r="P5" i="124"/>
  <c r="P61" i="124" s="1" a="1"/>
  <c r="P61" i="124" s="1"/>
  <c r="K141" i="133"/>
  <c r="L5" i="124"/>
  <c r="L61" i="124" s="1" a="1"/>
  <c r="L61" i="124" s="1"/>
  <c r="P5" i="35"/>
  <c r="L141" i="133"/>
  <c r="G4" i="26"/>
  <c r="D4" i="26"/>
  <c r="I5" i="35"/>
  <c r="E4" i="138" s="1"/>
  <c r="H141" i="133"/>
  <c r="J4" i="26"/>
  <c r="L4" i="26"/>
  <c r="O5" i="124"/>
  <c r="O61" i="124" s="1" a="1"/>
  <c r="O61" i="124" s="1"/>
  <c r="M141" i="133"/>
  <c r="E4" i="26"/>
  <c r="O141" i="133"/>
  <c r="P141" i="133"/>
  <c r="I5" i="124"/>
  <c r="I61" i="124" s="1" a="1"/>
  <c r="I61" i="124" s="1"/>
  <c r="F5" i="124"/>
  <c r="F61" i="124" s="1"/>
  <c r="G5" i="35"/>
  <c r="F141" i="133"/>
  <c r="F142" i="133" s="1"/>
  <c r="B4" i="26"/>
  <c r="I4" i="26"/>
  <c r="I141" i="133"/>
  <c r="N5" i="35"/>
  <c r="N5" i="124"/>
  <c r="N61" i="124" s="1" a="1"/>
  <c r="N61" i="124" s="1"/>
  <c r="EL112" i="188"/>
  <c r="O16" i="199"/>
  <c r="O22" i="199" s="1"/>
  <c r="O23" i="199" s="1"/>
  <c r="O25" i="199" s="1"/>
  <c r="P15" i="199"/>
  <c r="EL70" i="188"/>
  <c r="E55" i="138"/>
  <c r="EL31" i="188"/>
  <c r="G112" i="192"/>
  <c r="R58" i="35"/>
  <c r="EL40" i="188"/>
  <c r="DL29" i="188"/>
  <c r="H28" i="138"/>
  <c r="N17" i="199"/>
  <c r="DY29" i="188"/>
  <c r="DY130" i="188" s="1"/>
  <c r="K69" i="192"/>
  <c r="EL55" i="188"/>
  <c r="X126" i="58"/>
  <c r="V438" i="110"/>
  <c r="V426" i="110"/>
  <c r="V414" i="110"/>
  <c r="X7" i="137"/>
  <c r="K7" i="137" s="1"/>
  <c r="K80" i="137" s="1"/>
  <c r="V402" i="110"/>
  <c r="X331" i="58"/>
  <c r="X370" i="58"/>
  <c r="G318" i="58"/>
  <c r="G325" i="58"/>
  <c r="G322" i="58"/>
  <c r="X333" i="58"/>
  <c r="G328" i="58"/>
  <c r="G319" i="58"/>
  <c r="G321" i="58"/>
  <c r="G324" i="58"/>
  <c r="G323" i="58"/>
  <c r="X11" i="137"/>
  <c r="K11" i="137" s="1"/>
  <c r="K84" i="137" s="1"/>
  <c r="V177" i="110"/>
  <c r="Q443" i="110"/>
  <c r="V415" i="110"/>
  <c r="V442" i="110"/>
  <c r="V413" i="110"/>
  <c r="S443" i="110"/>
  <c r="R419" i="110"/>
  <c r="V430" i="110"/>
  <c r="J443" i="110"/>
  <c r="J287" i="110" s="1"/>
  <c r="V436" i="110"/>
  <c r="V412" i="110"/>
  <c r="J419" i="110"/>
  <c r="J281" i="110" s="1"/>
  <c r="V424" i="110"/>
  <c r="J431" i="110"/>
  <c r="J284" i="110" s="1"/>
  <c r="V427" i="110"/>
  <c r="V439" i="110"/>
  <c r="M443" i="110"/>
  <c r="L419" i="110"/>
  <c r="O419" i="110"/>
  <c r="M419" i="110"/>
  <c r="L431" i="110"/>
  <c r="O431" i="110"/>
  <c r="M431" i="110"/>
  <c r="Q419" i="110"/>
  <c r="L443" i="110"/>
  <c r="O443" i="110"/>
  <c r="V428" i="110"/>
  <c r="Q431" i="110"/>
  <c r="V440" i="110"/>
  <c r="K419" i="110"/>
  <c r="K431" i="110"/>
  <c r="N419" i="110"/>
  <c r="K443" i="110"/>
  <c r="N443" i="110"/>
  <c r="P431" i="110"/>
  <c r="N431" i="110"/>
  <c r="V416" i="110"/>
  <c r="P443" i="110"/>
  <c r="U443" i="110"/>
  <c r="P419" i="110"/>
  <c r="U419" i="110"/>
  <c r="U431" i="110"/>
  <c r="T419" i="110"/>
  <c r="T443" i="110"/>
  <c r="T431" i="110"/>
  <c r="V425" i="110"/>
  <c r="S419" i="110"/>
  <c r="R443" i="110"/>
  <c r="V418" i="110"/>
  <c r="V437" i="110"/>
  <c r="S431" i="110"/>
  <c r="R431" i="110"/>
  <c r="AX8" i="133"/>
  <c r="AX45" i="133"/>
  <c r="AX47" i="133" s="1"/>
  <c r="AX87" i="133" s="1"/>
  <c r="V209" i="110"/>
  <c r="V205" i="110"/>
  <c r="V193" i="110"/>
  <c r="V204" i="110"/>
  <c r="V197" i="110"/>
  <c r="V201" i="110"/>
  <c r="V200" i="110"/>
  <c r="DG130" i="188"/>
  <c r="DD130" i="188"/>
  <c r="EL51" i="188"/>
  <c r="EF14" i="188"/>
  <c r="EL111" i="188"/>
  <c r="R7" i="192"/>
  <c r="EL75" i="188"/>
  <c r="DL14" i="188"/>
  <c r="EL101" i="188"/>
  <c r="BE121" i="133"/>
  <c r="BE127" i="133" s="1"/>
  <c r="EH14" i="188"/>
  <c r="EL114" i="188"/>
  <c r="EL38" i="188"/>
  <c r="DF130" i="188"/>
  <c r="EA97" i="188"/>
  <c r="EI14" i="188"/>
  <c r="EL54" i="188"/>
  <c r="EL79" i="188"/>
  <c r="R62" i="192"/>
  <c r="EL99" i="188"/>
  <c r="EL100" i="188"/>
  <c r="EL103" i="188"/>
  <c r="V181" i="110"/>
  <c r="V309" i="110"/>
  <c r="V190" i="110"/>
  <c r="X20" i="137"/>
  <c r="K20" i="137" s="1"/>
  <c r="K91" i="137" s="1"/>
  <c r="L67" i="192"/>
  <c r="L69" i="192" s="1"/>
  <c r="EL36" i="188"/>
  <c r="P153" i="137"/>
  <c r="N10" i="192"/>
  <c r="M65" i="192"/>
  <c r="EK14" i="188"/>
  <c r="J82" i="192"/>
  <c r="EL61" i="188"/>
  <c r="BL9" i="188"/>
  <c r="BL14" i="188" s="1"/>
  <c r="BL130" i="188" s="1"/>
  <c r="EL37" i="188"/>
  <c r="V152" i="137"/>
  <c r="X152" i="137" s="1"/>
  <c r="V147" i="137"/>
  <c r="V151" i="137" s="1"/>
  <c r="EL76" i="188"/>
  <c r="DE130" i="188"/>
  <c r="U153" i="137"/>
  <c r="N63" i="199"/>
  <c r="DJ130" i="188"/>
  <c r="P11" i="133"/>
  <c r="O50" i="133"/>
  <c r="EL80" i="188"/>
  <c r="H34" i="192"/>
  <c r="H86" i="192"/>
  <c r="H92" i="192" s="1"/>
  <c r="H107" i="192" s="1"/>
  <c r="H108" i="192" s="1"/>
  <c r="H112" i="192" s="1"/>
  <c r="I41" i="192"/>
  <c r="O8" i="192"/>
  <c r="O61" i="192"/>
  <c r="O63" i="192" s="1"/>
  <c r="O109" i="192" s="1"/>
  <c r="P6" i="192"/>
  <c r="EA14" i="188"/>
  <c r="EL109" i="188"/>
  <c r="J99" i="192"/>
  <c r="L18" i="192"/>
  <c r="K20" i="192"/>
  <c r="K25" i="192" s="1"/>
  <c r="K74" i="192"/>
  <c r="K76" i="192" s="1"/>
  <c r="EL62" i="188"/>
  <c r="EC14" i="188"/>
  <c r="EF97" i="188"/>
  <c r="EL81" i="188"/>
  <c r="DB130" i="188"/>
  <c r="EB97" i="188"/>
  <c r="DC130" i="188"/>
  <c r="EL78" i="188"/>
  <c r="EK74" i="188"/>
  <c r="DH130" i="188"/>
  <c r="EF74" i="188"/>
  <c r="DL97" i="188"/>
  <c r="EL33" i="188"/>
  <c r="ED14" i="188"/>
  <c r="DZ74" i="188"/>
  <c r="EH74" i="188"/>
  <c r="EL82" i="188"/>
  <c r="EI74" i="188"/>
  <c r="EC74" i="188"/>
  <c r="K22" i="193"/>
  <c r="J71" i="193"/>
  <c r="J53" i="193"/>
  <c r="EL42" i="188"/>
  <c r="EL50" i="188"/>
  <c r="EI97" i="188"/>
  <c r="N9" i="192"/>
  <c r="M12" i="192"/>
  <c r="M13" i="192" s="1"/>
  <c r="M98" i="192" s="1"/>
  <c r="M64" i="192"/>
  <c r="EL113" i="188"/>
  <c r="EE74" i="188"/>
  <c r="EB14" i="188"/>
  <c r="EA74" i="188"/>
  <c r="DL74" i="188"/>
  <c r="DI130" i="188"/>
  <c r="EL49" i="188"/>
  <c r="EL72" i="188"/>
  <c r="EB74" i="188"/>
  <c r="ED97" i="188"/>
  <c r="DK130" i="188"/>
  <c r="EG74" i="188"/>
  <c r="EJ14" i="188"/>
  <c r="EG14" i="188"/>
  <c r="EJ74" i="188"/>
  <c r="EG97" i="188"/>
  <c r="EE14" i="188"/>
  <c r="EL13" i="188"/>
  <c r="ED74" i="188"/>
  <c r="EE97" i="188"/>
  <c r="EL39" i="188"/>
  <c r="DA130" i="188"/>
  <c r="EL66" i="188"/>
  <c r="B20" i="26"/>
  <c r="B22" i="26" s="1"/>
  <c r="V329" i="110"/>
  <c r="X36" i="137"/>
  <c r="K36" i="137" s="1"/>
  <c r="K107" i="137" s="1"/>
  <c r="V210" i="110"/>
  <c r="K56" i="192"/>
  <c r="R50" i="192"/>
  <c r="R56" i="192" s="1"/>
  <c r="R57" i="192" s="1"/>
  <c r="EH29" i="188"/>
  <c r="EL27" i="188"/>
  <c r="EL29" i="188" s="1"/>
  <c r="EH97" i="188"/>
  <c r="EL69" i="188"/>
  <c r="EK97" i="188"/>
  <c r="EL93" i="188"/>
  <c r="E72" i="193"/>
  <c r="E67" i="193"/>
  <c r="E76" i="193" s="1"/>
  <c r="E13" i="193" s="1"/>
  <c r="E14" i="193" s="1"/>
  <c r="O153" i="137"/>
  <c r="EL92" i="188"/>
  <c r="DZ97" i="188"/>
  <c r="ED102" i="188"/>
  <c r="ED122" i="188" s="1"/>
  <c r="EK102" i="188"/>
  <c r="EK122" i="188" s="1"/>
  <c r="EA102" i="188"/>
  <c r="EA122" i="188" s="1"/>
  <c r="EJ102" i="188"/>
  <c r="EJ122" i="188" s="1"/>
  <c r="DZ102" i="188"/>
  <c r="EF102" i="188"/>
  <c r="EF122" i="188" s="1"/>
  <c r="EG102" i="188"/>
  <c r="EG122" i="188" s="1"/>
  <c r="EB102" i="188"/>
  <c r="EB122" i="188" s="1"/>
  <c r="EC102" i="188"/>
  <c r="EC122" i="188" s="1"/>
  <c r="EH102" i="188"/>
  <c r="EH122" i="188" s="1"/>
  <c r="EI102" i="188"/>
  <c r="EI122" i="188" s="1"/>
  <c r="EE102" i="188"/>
  <c r="EE122" i="188" s="1"/>
  <c r="EJ97" i="188"/>
  <c r="EL71" i="188"/>
  <c r="F63" i="193"/>
  <c r="G55" i="193"/>
  <c r="G64" i="193" s="1"/>
  <c r="G73" i="193" s="1"/>
  <c r="H24" i="193"/>
  <c r="EL12" i="188"/>
  <c r="DZ14" i="188"/>
  <c r="H25" i="193"/>
  <c r="G56" i="193"/>
  <c r="G65" i="193" s="1"/>
  <c r="G74" i="193" s="1"/>
  <c r="EL30" i="188"/>
  <c r="EL63" i="188"/>
  <c r="EL64" i="188"/>
  <c r="G54" i="193"/>
  <c r="H23" i="193"/>
  <c r="G27" i="193"/>
  <c r="EC97" i="188"/>
  <c r="DL102" i="188"/>
  <c r="DL122" i="188" s="1"/>
  <c r="CZ122" i="188"/>
  <c r="CZ130" i="188" s="1"/>
  <c r="H26" i="193"/>
  <c r="G57" i="193"/>
  <c r="G66" i="193" s="1"/>
  <c r="G75" i="193" s="1"/>
  <c r="N51" i="35"/>
  <c r="I30" i="193"/>
  <c r="I36" i="193" s="1"/>
  <c r="F110" i="192"/>
  <c r="F82" i="192"/>
  <c r="F94" i="192" s="1"/>
  <c r="J76" i="35"/>
  <c r="L13" i="206" s="1"/>
  <c r="F12" i="26"/>
  <c r="R19" i="124"/>
  <c r="F72" i="133"/>
  <c r="AZ44" i="133"/>
  <c r="BA5" i="133"/>
  <c r="AR73" i="133"/>
  <c r="AE73" i="133"/>
  <c r="V72" i="133"/>
  <c r="AB72" i="133"/>
  <c r="AS72" i="133"/>
  <c r="AJ72" i="133"/>
  <c r="AK72" i="133"/>
  <c r="BA72" i="133"/>
  <c r="AY72" i="133"/>
  <c r="W72" i="133"/>
  <c r="Z72" i="133"/>
  <c r="Y72" i="133"/>
  <c r="BC72" i="133"/>
  <c r="AC72" i="133"/>
  <c r="X72" i="133"/>
  <c r="AH72" i="133"/>
  <c r="AM72" i="133"/>
  <c r="AF72" i="133"/>
  <c r="AT72" i="133"/>
  <c r="AD72" i="133"/>
  <c r="AA72" i="133"/>
  <c r="AZ72" i="133"/>
  <c r="AL72" i="133"/>
  <c r="AI72" i="133"/>
  <c r="AU72" i="133"/>
  <c r="AN72" i="133"/>
  <c r="BB72" i="133"/>
  <c r="AG72" i="133"/>
  <c r="S72" i="133"/>
  <c r="AX72" i="133"/>
  <c r="AV72" i="133"/>
  <c r="AQ72" i="133"/>
  <c r="AW72" i="133"/>
  <c r="AP72" i="133"/>
  <c r="BD72" i="133"/>
  <c r="T72" i="133"/>
  <c r="AO72" i="133"/>
  <c r="U72" i="133"/>
  <c r="BE73" i="133"/>
  <c r="AB7" i="133"/>
  <c r="AA46" i="133"/>
  <c r="W60" i="133"/>
  <c r="W88" i="133" s="1"/>
  <c r="W89" i="133" s="1"/>
  <c r="Y17" i="133"/>
  <c r="X20" i="133"/>
  <c r="X57" i="133"/>
  <c r="X60" i="133" s="1"/>
  <c r="X88" i="133" s="1"/>
  <c r="X89" i="133" s="1"/>
  <c r="AO10" i="133"/>
  <c r="AN49" i="133"/>
  <c r="BC10" i="133"/>
  <c r="BB49" i="133"/>
  <c r="AZ6" i="133"/>
  <c r="AY45" i="133"/>
  <c r="AY47" i="133" s="1"/>
  <c r="AY87" i="133" s="1"/>
  <c r="AY8" i="133"/>
  <c r="AL17" i="133"/>
  <c r="AK57" i="133"/>
  <c r="AK20" i="133"/>
  <c r="AB6" i="133"/>
  <c r="AA45" i="133"/>
  <c r="AN44" i="133"/>
  <c r="AO5" i="133"/>
  <c r="AA48" i="133"/>
  <c r="AB9" i="133"/>
  <c r="L45" i="133"/>
  <c r="BD23" i="133"/>
  <c r="BC63" i="133"/>
  <c r="AB63" i="133"/>
  <c r="AC23" i="133"/>
  <c r="AA26" i="119"/>
  <c r="AA28" i="119" s="1"/>
  <c r="AQ23" i="133"/>
  <c r="AQ63" i="133" s="1"/>
  <c r="AP63" i="133"/>
  <c r="AN6" i="133"/>
  <c r="AM45" i="133"/>
  <c r="AM47" i="133" s="1"/>
  <c r="AM87" i="133" s="1"/>
  <c r="AM8" i="133"/>
  <c r="AA25" i="119"/>
  <c r="AR121" i="133"/>
  <c r="AR127" i="133" s="1"/>
  <c r="J47" i="133"/>
  <c r="K44" i="133"/>
  <c r="K47" i="133" s="1"/>
  <c r="K87" i="133" s="1"/>
  <c r="K89" i="133" s="1"/>
  <c r="K8" i="133"/>
  <c r="K13" i="133" s="1"/>
  <c r="L5" i="133"/>
  <c r="AA8" i="133"/>
  <c r="AB5" i="133"/>
  <c r="AA44" i="133"/>
  <c r="W64" i="133"/>
  <c r="BA9" i="133"/>
  <c r="AZ48" i="133"/>
  <c r="AZ20" i="133"/>
  <c r="BA17" i="133"/>
  <c r="AZ57" i="133"/>
  <c r="AZ60" i="133" s="1"/>
  <c r="AN9" i="133"/>
  <c r="AM48" i="133"/>
  <c r="AX88" i="133"/>
  <c r="Z21" i="133"/>
  <c r="Y61" i="133"/>
  <c r="Y22" i="133"/>
  <c r="Y24" i="133" s="1"/>
  <c r="X62" i="133"/>
  <c r="X64" i="133" s="1"/>
  <c r="X24" i="133"/>
  <c r="AO18" i="133"/>
  <c r="AN58" i="133"/>
  <c r="AB10" i="133"/>
  <c r="AA49" i="133"/>
  <c r="AP7" i="133"/>
  <c r="AO46" i="133"/>
  <c r="AY88" i="133"/>
  <c r="BC19" i="133"/>
  <c r="BB59" i="133"/>
  <c r="P46" i="133"/>
  <c r="R7" i="133"/>
  <c r="L12" i="133"/>
  <c r="M9" i="133"/>
  <c r="L48" i="133"/>
  <c r="BC7" i="133"/>
  <c r="BB46" i="133"/>
  <c r="K83" i="133"/>
  <c r="AC19" i="133"/>
  <c r="AB59" i="133"/>
  <c r="AQ61" i="133"/>
  <c r="AR21" i="133"/>
  <c r="AO19" i="133"/>
  <c r="AN59" i="133"/>
  <c r="F63" i="199"/>
  <c r="F48" i="199"/>
  <c r="R25" i="199"/>
  <c r="S25" i="199"/>
  <c r="G32" i="124"/>
  <c r="V226" i="110"/>
  <c r="S54" i="35"/>
  <c r="V167" i="110"/>
  <c r="R42" i="124"/>
  <c r="P394" i="110"/>
  <c r="P396" i="110" s="1"/>
  <c r="P275" i="110" s="1"/>
  <c r="P276" i="110" s="1"/>
  <c r="S394" i="110"/>
  <c r="S396" i="110" s="1"/>
  <c r="S275" i="110" s="1"/>
  <c r="S276" i="110" s="1"/>
  <c r="M394" i="110"/>
  <c r="M396" i="110" s="1"/>
  <c r="M275" i="110" s="1"/>
  <c r="M276" i="110" s="1"/>
  <c r="X33" i="137"/>
  <c r="K33" i="137" s="1"/>
  <c r="K104" i="137" s="1"/>
  <c r="V391" i="110"/>
  <c r="P72" i="137"/>
  <c r="W72" i="137"/>
  <c r="S72" i="137"/>
  <c r="Q253" i="110"/>
  <c r="M72" i="137"/>
  <c r="K253" i="110"/>
  <c r="S253" i="110"/>
  <c r="O253" i="110"/>
  <c r="U72" i="137"/>
  <c r="R253" i="110"/>
  <c r="M253" i="110"/>
  <c r="T253" i="110"/>
  <c r="O72" i="137"/>
  <c r="N253" i="110"/>
  <c r="R72" i="137"/>
  <c r="L253" i="110"/>
  <c r="T72" i="137"/>
  <c r="V72" i="137"/>
  <c r="U253" i="110"/>
  <c r="Q72" i="137"/>
  <c r="N72" i="137"/>
  <c r="G68" i="35"/>
  <c r="C10" i="206" s="1"/>
  <c r="V238" i="110"/>
  <c r="V220" i="110"/>
  <c r="V339" i="110"/>
  <c r="X46" i="137"/>
  <c r="K46" i="137" s="1"/>
  <c r="K117" i="137" s="1"/>
  <c r="V179" i="110"/>
  <c r="V319" i="110"/>
  <c r="T406" i="110"/>
  <c r="T278" i="110" s="1"/>
  <c r="T279" i="110" s="1"/>
  <c r="X28" i="137"/>
  <c r="K28" i="137" s="1"/>
  <c r="K99" i="137" s="1"/>
  <c r="V324" i="110"/>
  <c r="X9" i="137"/>
  <c r="K9" i="137" s="1"/>
  <c r="K82" i="137" s="1"/>
  <c r="V404" i="110"/>
  <c r="M58" i="124"/>
  <c r="M53" i="124"/>
  <c r="I57" i="124"/>
  <c r="I58" i="124" s="1"/>
  <c r="I53" i="124"/>
  <c r="N53" i="124"/>
  <c r="N58" i="124"/>
  <c r="G53" i="124"/>
  <c r="G57" i="124"/>
  <c r="G58" i="124" s="1"/>
  <c r="K53" i="124"/>
  <c r="K58" i="124"/>
  <c r="S406" i="110"/>
  <c r="S278" i="110" s="1"/>
  <c r="S279" i="110" s="1"/>
  <c r="V188" i="110"/>
  <c r="X18" i="137"/>
  <c r="K18" i="137" s="1"/>
  <c r="K90" i="137" s="1"/>
  <c r="V307" i="110"/>
  <c r="S457" i="110" a="1"/>
  <c r="S457" i="110" s="1"/>
  <c r="V176" i="110"/>
  <c r="P457" i="110" a="1"/>
  <c r="P457" i="110" s="1"/>
  <c r="P53" i="124"/>
  <c r="P58" i="124"/>
  <c r="L457" i="110" a="1"/>
  <c r="L457" i="110" s="1"/>
  <c r="V401" i="110"/>
  <c r="M457" i="110" a="1"/>
  <c r="M457" i="110" s="1"/>
  <c r="J58" i="124"/>
  <c r="J53" i="124"/>
  <c r="N457" i="110" a="1"/>
  <c r="N457" i="110" s="1"/>
  <c r="O457" i="110" a="1"/>
  <c r="O457" i="110" s="1"/>
  <c r="R51" i="124"/>
  <c r="R52" i="124" s="1"/>
  <c r="R53" i="124" s="1"/>
  <c r="F52" i="124"/>
  <c r="K457" i="110" a="1"/>
  <c r="K457" i="110" s="1"/>
  <c r="X6" i="137"/>
  <c r="K6" i="137" s="1"/>
  <c r="K79" i="137" s="1"/>
  <c r="R457" i="110" a="1"/>
  <c r="R457" i="110" s="1"/>
  <c r="T456" i="110" a="1"/>
  <c r="T456" i="110" s="1"/>
  <c r="Q457" i="110" a="1"/>
  <c r="Q457" i="110" s="1"/>
  <c r="J456" i="110" a="1"/>
  <c r="J456" i="110" s="1"/>
  <c r="V235" i="110"/>
  <c r="U457" i="110" a="1"/>
  <c r="U457" i="110" s="1"/>
  <c r="L58" i="124"/>
  <c r="L53" i="124"/>
  <c r="H57" i="124"/>
  <c r="H58" i="124" s="1"/>
  <c r="V354" i="110"/>
  <c r="X61" i="137"/>
  <c r="K61" i="137" s="1"/>
  <c r="K132" i="137" s="1"/>
  <c r="R308" i="110"/>
  <c r="U406" i="110"/>
  <c r="U278" i="110" s="1"/>
  <c r="U279" i="110" s="1"/>
  <c r="T256" i="110"/>
  <c r="T264" i="110" s="1"/>
  <c r="T265" i="110" s="1"/>
  <c r="K406" i="110"/>
  <c r="K278" i="110" s="1"/>
  <c r="K279" i="110" s="1"/>
  <c r="Q394" i="110"/>
  <c r="Q396" i="110" s="1"/>
  <c r="Q275" i="110" s="1"/>
  <c r="Q276" i="110" s="1"/>
  <c r="O394" i="110"/>
  <c r="O396" i="110" s="1"/>
  <c r="O275" i="110" s="1"/>
  <c r="O276" i="110" s="1"/>
  <c r="K394" i="110"/>
  <c r="K396" i="110" s="1"/>
  <c r="K275" i="110" s="1"/>
  <c r="K276" i="110" s="1"/>
  <c r="L394" i="110"/>
  <c r="L396" i="110" s="1"/>
  <c r="L275" i="110" s="1"/>
  <c r="L276" i="110" s="1"/>
  <c r="N394" i="110"/>
  <c r="N396" i="110" s="1"/>
  <c r="N275" i="110" s="1"/>
  <c r="N276" i="110" s="1"/>
  <c r="X29" i="137"/>
  <c r="K29" i="137" s="1"/>
  <c r="K100" i="137" s="1"/>
  <c r="V323" i="110"/>
  <c r="U394" i="110"/>
  <c r="U396" i="110" s="1"/>
  <c r="U275" i="110" s="1"/>
  <c r="U276" i="110" s="1"/>
  <c r="T394" i="110"/>
  <c r="T396" i="110" s="1"/>
  <c r="T275" i="110" s="1"/>
  <c r="T276" i="110" s="1"/>
  <c r="V390" i="110"/>
  <c r="R394" i="110"/>
  <c r="R396" i="110" s="1"/>
  <c r="R275" i="110" s="1"/>
  <c r="R276" i="110" s="1"/>
  <c r="V320" i="110"/>
  <c r="X32" i="137"/>
  <c r="K32" i="137" s="1"/>
  <c r="K103" i="137" s="1"/>
  <c r="V349" i="110"/>
  <c r="V230" i="110"/>
  <c r="V237" i="110"/>
  <c r="V246" i="110"/>
  <c r="X56" i="137"/>
  <c r="K56" i="137" s="1"/>
  <c r="K127" i="137" s="1"/>
  <c r="V356" i="110"/>
  <c r="X63" i="137"/>
  <c r="K63" i="137" s="1"/>
  <c r="K134" i="137" s="1"/>
  <c r="V219" i="110"/>
  <c r="Q19" i="137"/>
  <c r="R256" i="110"/>
  <c r="R264" i="110" s="1"/>
  <c r="R265" i="110" s="1"/>
  <c r="K308" i="110"/>
  <c r="O256" i="110"/>
  <c r="O264" i="110" s="1"/>
  <c r="O265" i="110" s="1"/>
  <c r="R406" i="110"/>
  <c r="R407" i="110" s="1"/>
  <c r="S308" i="110"/>
  <c r="O308" i="110"/>
  <c r="L406" i="110"/>
  <c r="L278" i="110" s="1"/>
  <c r="L279" i="110" s="1"/>
  <c r="S256" i="110"/>
  <c r="S264" i="110" s="1"/>
  <c r="S265" i="110" s="1"/>
  <c r="L256" i="110"/>
  <c r="L264" i="110" s="1"/>
  <c r="L265" i="110" s="1"/>
  <c r="V348" i="110"/>
  <c r="P406" i="110"/>
  <c r="W19" i="137"/>
  <c r="V338" i="110"/>
  <c r="Q308" i="110"/>
  <c r="O255" i="110"/>
  <c r="O261" i="110" s="1"/>
  <c r="O262" i="110" s="1"/>
  <c r="V19" i="137"/>
  <c r="M255" i="110"/>
  <c r="M261" i="110" s="1"/>
  <c r="M262" i="110" s="1"/>
  <c r="O373" i="110"/>
  <c r="K189" i="110"/>
  <c r="O189" i="110"/>
  <c r="Q256" i="110"/>
  <c r="Q264" i="110" s="1"/>
  <c r="Q265" i="110" s="1"/>
  <c r="U255" i="110"/>
  <c r="U261" i="110" s="1"/>
  <c r="P256" i="110"/>
  <c r="P264" i="110" s="1"/>
  <c r="P265" i="110" s="1"/>
  <c r="L308" i="110"/>
  <c r="V184" i="110"/>
  <c r="O406" i="110"/>
  <c r="V335" i="110"/>
  <c r="L19" i="137"/>
  <c r="X5" i="137"/>
  <c r="U256" i="110"/>
  <c r="U264" i="110" s="1"/>
  <c r="U265" i="110" s="1"/>
  <c r="L72" i="137"/>
  <c r="X23" i="137"/>
  <c r="N47" i="181"/>
  <c r="N49" i="181" s="1"/>
  <c r="N28" i="181"/>
  <c r="S456" i="110"/>
  <c r="S168" i="110"/>
  <c r="S458" i="110"/>
  <c r="V360" i="110"/>
  <c r="K47" i="181"/>
  <c r="K49" i="181" s="1"/>
  <c r="K28" i="181"/>
  <c r="P189" i="110"/>
  <c r="P255" i="110"/>
  <c r="P261" i="110" s="1"/>
  <c r="M406" i="110"/>
  <c r="U308" i="110"/>
  <c r="V355" i="110"/>
  <c r="R373" i="110"/>
  <c r="Q168" i="110"/>
  <c r="Q458" i="110"/>
  <c r="Q456" i="110"/>
  <c r="T308" i="110"/>
  <c r="U64" i="181"/>
  <c r="V64" i="181" s="1"/>
  <c r="K456" i="110"/>
  <c r="K168" i="110"/>
  <c r="K458" i="110"/>
  <c r="K256" i="110"/>
  <c r="K264" i="110" s="1"/>
  <c r="K265" i="110" s="1"/>
  <c r="X14" i="137"/>
  <c r="K14" i="137" s="1"/>
  <c r="K86" i="137" s="1"/>
  <c r="R456" i="110"/>
  <c r="R458" i="110"/>
  <c r="R168" i="110"/>
  <c r="R47" i="181"/>
  <c r="R49" i="181" s="1"/>
  <c r="R28" i="181"/>
  <c r="V103" i="110"/>
  <c r="J457" i="110"/>
  <c r="J464" i="110" s="1"/>
  <c r="J458" i="110" a="1"/>
  <c r="J458" i="110" s="1"/>
  <c r="J168" i="110"/>
  <c r="V316" i="110"/>
  <c r="V187" i="110"/>
  <c r="V241" i="110"/>
  <c r="R19" i="137"/>
  <c r="K373" i="110"/>
  <c r="O19" i="137"/>
  <c r="V352" i="110"/>
  <c r="V236" i="110"/>
  <c r="M373" i="110"/>
  <c r="Q406" i="110"/>
  <c r="M19" i="137"/>
  <c r="V178" i="110"/>
  <c r="J256" i="110"/>
  <c r="J264" i="110" s="1"/>
  <c r="V216" i="110"/>
  <c r="X26" i="137"/>
  <c r="K26" i="137" s="1"/>
  <c r="K97" i="137" s="1"/>
  <c r="V386" i="110"/>
  <c r="J394" i="110"/>
  <c r="S189" i="110"/>
  <c r="X17" i="137"/>
  <c r="K17" i="137" s="1"/>
  <c r="K89" i="137" s="1"/>
  <c r="P456" i="110"/>
  <c r="P458" i="110"/>
  <c r="P168" i="110"/>
  <c r="X65" i="137"/>
  <c r="K65" i="137" s="1"/>
  <c r="K136" i="137" s="1"/>
  <c r="S373" i="110"/>
  <c r="M189" i="110"/>
  <c r="N406" i="110"/>
  <c r="X59" i="137"/>
  <c r="K59" i="137" s="1"/>
  <c r="K130" i="137" s="1"/>
  <c r="X62" i="137"/>
  <c r="K62" i="137" s="1"/>
  <c r="K133" i="137" s="1"/>
  <c r="S19" i="137"/>
  <c r="S47" i="181"/>
  <c r="S49" i="181" s="1"/>
  <c r="S28" i="181"/>
  <c r="U189" i="110"/>
  <c r="V403" i="110"/>
  <c r="U373" i="110"/>
  <c r="I47" i="181"/>
  <c r="I49" i="181" s="1"/>
  <c r="I28" i="181"/>
  <c r="U13" i="181"/>
  <c r="U28" i="181" s="1"/>
  <c r="T19" i="137"/>
  <c r="X42" i="137"/>
  <c r="K42" i="137" s="1"/>
  <c r="K113" i="137" s="1"/>
  <c r="T458" i="110"/>
  <c r="T457" i="110"/>
  <c r="T168" i="110"/>
  <c r="U19" i="137"/>
  <c r="V306" i="110"/>
  <c r="O47" i="181"/>
  <c r="O49" i="181" s="1"/>
  <c r="O28" i="181"/>
  <c r="N456" i="110"/>
  <c r="N168" i="110"/>
  <c r="N458" i="110"/>
  <c r="P47" i="181"/>
  <c r="P49" i="181" s="1"/>
  <c r="P28" i="181"/>
  <c r="X8" i="137"/>
  <c r="K8" i="137" s="1"/>
  <c r="K81" i="137" s="1"/>
  <c r="X45" i="137"/>
  <c r="K45" i="137" s="1"/>
  <c r="K116" i="137" s="1"/>
  <c r="Q47" i="181"/>
  <c r="Q49" i="181" s="1"/>
  <c r="Q28" i="181"/>
  <c r="V303" i="110"/>
  <c r="J308" i="110"/>
  <c r="R255" i="110"/>
  <c r="R261" i="110" s="1"/>
  <c r="R189" i="110"/>
  <c r="S255" i="110"/>
  <c r="S261" i="110" s="1"/>
  <c r="N19" i="137"/>
  <c r="J47" i="181"/>
  <c r="J49" i="181" s="1"/>
  <c r="J28" i="181"/>
  <c r="V239" i="110"/>
  <c r="N373" i="110"/>
  <c r="N255" i="110"/>
  <c r="N261" i="110" s="1"/>
  <c r="N189" i="110"/>
  <c r="M308" i="110"/>
  <c r="M47" i="181"/>
  <c r="M49" i="181" s="1"/>
  <c r="M28" i="181"/>
  <c r="M256" i="110"/>
  <c r="M264" i="110" s="1"/>
  <c r="M265" i="110" s="1"/>
  <c r="O168" i="110"/>
  <c r="O458" i="110"/>
  <c r="O456" i="110"/>
  <c r="V229" i="110"/>
  <c r="T255" i="110"/>
  <c r="T261" i="110" s="1"/>
  <c r="T189" i="110"/>
  <c r="K255" i="110"/>
  <c r="K261" i="110" s="1"/>
  <c r="L168" i="110"/>
  <c r="L458" i="110"/>
  <c r="L456" i="110"/>
  <c r="N256" i="110"/>
  <c r="N264" i="110" s="1"/>
  <c r="N265" i="110" s="1"/>
  <c r="P373" i="110"/>
  <c r="V358" i="110"/>
  <c r="P308" i="110"/>
  <c r="L373" i="110"/>
  <c r="P19" i="137"/>
  <c r="T373" i="110"/>
  <c r="N308" i="110"/>
  <c r="U456" i="110"/>
  <c r="U458" i="110"/>
  <c r="U168" i="110"/>
  <c r="J406" i="110"/>
  <c r="V400" i="110"/>
  <c r="J373" i="110"/>
  <c r="V312" i="110"/>
  <c r="X67" i="137"/>
  <c r="K67" i="137" s="1"/>
  <c r="K138" i="137" s="1"/>
  <c r="T47" i="181"/>
  <c r="T49" i="181" s="1"/>
  <c r="T28" i="181"/>
  <c r="L47" i="181"/>
  <c r="L49" i="181" s="1"/>
  <c r="L28" i="181"/>
  <c r="X55" i="137"/>
  <c r="K55" i="137" s="1"/>
  <c r="K126" i="137" s="1"/>
  <c r="Q373" i="110"/>
  <c r="V175" i="110"/>
  <c r="J189" i="110"/>
  <c r="J253" i="110"/>
  <c r="J255" i="110"/>
  <c r="J261" i="110" s="1"/>
  <c r="L255" i="110"/>
  <c r="L261" i="110" s="1"/>
  <c r="L189" i="110"/>
  <c r="M168" i="110"/>
  <c r="M456" i="110"/>
  <c r="M458" i="110"/>
  <c r="V233" i="110"/>
  <c r="Q255" i="110"/>
  <c r="Q261" i="110" s="1"/>
  <c r="Q189" i="110"/>
  <c r="G6" i="138"/>
  <c r="O6" i="138" s="1"/>
  <c r="G55" i="138"/>
  <c r="O17" i="138"/>
  <c r="H32" i="138"/>
  <c r="K32" i="138"/>
  <c r="I44" i="124"/>
  <c r="R43" i="124"/>
  <c r="R36" i="124"/>
  <c r="R31" i="124"/>
  <c r="R32" i="124" s="1"/>
  <c r="R41" i="124"/>
  <c r="F58" i="193" l="1"/>
  <c r="D117" i="193"/>
  <c r="F17" i="193"/>
  <c r="L45" i="35"/>
  <c r="V48" i="205"/>
  <c r="M5" i="206"/>
  <c r="L9" i="206"/>
  <c r="L8" i="206"/>
  <c r="M8" i="206" s="1"/>
  <c r="J5" i="206"/>
  <c r="I8" i="206"/>
  <c r="J8" i="206" s="1"/>
  <c r="I9" i="206"/>
  <c r="R6" i="205"/>
  <c r="Q72" i="205"/>
  <c r="Q40" i="205"/>
  <c r="Q41" i="205"/>
  <c r="Q39" i="205"/>
  <c r="O6" i="205"/>
  <c r="N72" i="205"/>
  <c r="N39" i="205"/>
  <c r="N41" i="205"/>
  <c r="N40" i="205"/>
  <c r="AM5" i="206"/>
  <c r="AL5" i="206"/>
  <c r="AL7" i="206"/>
  <c r="AN7" i="206" s="1"/>
  <c r="AO7" i="206" s="1"/>
  <c r="D5" i="206"/>
  <c r="AL14" i="206"/>
  <c r="AN14" i="206" s="1"/>
  <c r="AO14" i="206" s="1"/>
  <c r="AL21" i="206"/>
  <c r="AN21" i="206" s="1"/>
  <c r="AO21" i="206" s="1"/>
  <c r="AL22" i="206"/>
  <c r="AN22" i="206" s="1"/>
  <c r="AO22" i="206" s="1"/>
  <c r="AL18" i="206"/>
  <c r="AL15" i="206"/>
  <c r="AL9" i="206"/>
  <c r="AL13" i="206"/>
  <c r="AL19" i="206"/>
  <c r="AL16" i="206"/>
  <c r="AN16" i="206" s="1"/>
  <c r="AO16" i="206" s="1"/>
  <c r="AL23" i="206"/>
  <c r="AN23" i="206" s="1"/>
  <c r="AO23" i="206" s="1"/>
  <c r="AL10" i="206"/>
  <c r="AL6" i="206"/>
  <c r="AL12" i="206"/>
  <c r="AL20" i="206"/>
  <c r="AL17" i="206"/>
  <c r="C9" i="206"/>
  <c r="C8" i="206"/>
  <c r="D8" i="206" s="1"/>
  <c r="AQ48" i="205"/>
  <c r="AQ76" i="205"/>
  <c r="AQ58" i="205"/>
  <c r="AS58" i="205" s="1"/>
  <c r="AQ68" i="205"/>
  <c r="AS68" i="205" s="1"/>
  <c r="AQ67" i="205"/>
  <c r="AS67" i="205" s="1"/>
  <c r="AQ56" i="205"/>
  <c r="AS56" i="205" s="1"/>
  <c r="AQ66" i="205"/>
  <c r="AS66" i="205" s="1"/>
  <c r="AQ65" i="205"/>
  <c r="AS65" i="205" s="1"/>
  <c r="AQ53" i="205"/>
  <c r="AS53" i="205" s="1"/>
  <c r="AQ62" i="205"/>
  <c r="AS62" i="205" s="1"/>
  <c r="AQ61" i="205"/>
  <c r="AS61" i="205" s="1"/>
  <c r="AQ78" i="205"/>
  <c r="AS78" i="205" s="1"/>
  <c r="AQ77" i="205"/>
  <c r="AS77" i="205" s="1"/>
  <c r="AQ57" i="205"/>
  <c r="AS57" i="205" s="1"/>
  <c r="AQ55" i="205"/>
  <c r="AS55" i="205" s="1"/>
  <c r="AQ54" i="205"/>
  <c r="AS54" i="205" s="1"/>
  <c r="AQ64" i="205"/>
  <c r="AS64" i="205" s="1"/>
  <c r="AQ63" i="205"/>
  <c r="AS63" i="205" s="1"/>
  <c r="AQ52" i="205"/>
  <c r="AS52" i="205" s="1"/>
  <c r="AQ51" i="205"/>
  <c r="AS51" i="205" s="1"/>
  <c r="AQ49" i="205"/>
  <c r="AS49" i="205" s="1"/>
  <c r="AQ59" i="205"/>
  <c r="AS59" i="205" s="1"/>
  <c r="AQ81" i="205"/>
  <c r="AS81" i="205" s="1"/>
  <c r="AQ32" i="205"/>
  <c r="AS32" i="205" s="1"/>
  <c r="AR6" i="205"/>
  <c r="AQ24" i="205"/>
  <c r="AS24" i="205" s="1"/>
  <c r="AQ21" i="205"/>
  <c r="AS21" i="205" s="1"/>
  <c r="H72" i="205"/>
  <c r="AQ13" i="205"/>
  <c r="AQ30" i="205"/>
  <c r="AS30" i="205" s="1"/>
  <c r="AQ37" i="205"/>
  <c r="AQ34" i="205"/>
  <c r="AS34" i="205" s="1"/>
  <c r="AQ31" i="205"/>
  <c r="AS31" i="205" s="1"/>
  <c r="I6" i="205"/>
  <c r="AQ18" i="205"/>
  <c r="AS18" i="205" s="1"/>
  <c r="AQ29" i="205"/>
  <c r="AS29" i="205" s="1"/>
  <c r="AQ15" i="205"/>
  <c r="AS15" i="205" s="1"/>
  <c r="AQ6" i="205"/>
  <c r="AQ26" i="205"/>
  <c r="AS26" i="205" s="1"/>
  <c r="AQ22" i="205"/>
  <c r="AS22" i="205" s="1"/>
  <c r="AQ19" i="205"/>
  <c r="AS19" i="205" s="1"/>
  <c r="AQ17" i="205"/>
  <c r="AS17" i="205" s="1"/>
  <c r="AQ25" i="205"/>
  <c r="AS25" i="205" s="1"/>
  <c r="AQ28" i="205"/>
  <c r="AS28" i="205" s="1"/>
  <c r="AQ12" i="205"/>
  <c r="AS12" i="205" s="1"/>
  <c r="AQ11" i="205"/>
  <c r="AQ33" i="205"/>
  <c r="AS33" i="205" s="1"/>
  <c r="AQ23" i="205"/>
  <c r="AS23" i="205" s="1"/>
  <c r="AQ27" i="205"/>
  <c r="AS27" i="205" s="1"/>
  <c r="AQ16" i="205"/>
  <c r="AS16" i="205" s="1"/>
  <c r="AQ60" i="205"/>
  <c r="AS60" i="205" s="1"/>
  <c r="AQ50" i="205"/>
  <c r="AS50" i="205" s="1"/>
  <c r="AQ14" i="205"/>
  <c r="AS14" i="205" s="1"/>
  <c r="AQ20" i="205"/>
  <c r="AS20" i="205" s="1"/>
  <c r="AQ69" i="205"/>
  <c r="AS69" i="205" s="1"/>
  <c r="AQ70" i="205"/>
  <c r="AS70" i="205" s="1"/>
  <c r="H39" i="205"/>
  <c r="H41" i="205"/>
  <c r="H40" i="205"/>
  <c r="L6" i="205"/>
  <c r="K39" i="205"/>
  <c r="K72" i="205"/>
  <c r="K40" i="205"/>
  <c r="K41" i="205"/>
  <c r="G5" i="206"/>
  <c r="F8" i="206"/>
  <c r="G8" i="206" s="1"/>
  <c r="F9" i="206"/>
  <c r="Y60" i="205"/>
  <c r="AA60" i="205" s="1"/>
  <c r="Y15" i="205"/>
  <c r="AA15" i="205" s="1"/>
  <c r="Y26" i="205"/>
  <c r="AA26" i="205" s="1"/>
  <c r="Y14" i="205"/>
  <c r="Y23" i="205"/>
  <c r="AA23" i="205" s="1"/>
  <c r="AA6" i="205"/>
  <c r="Y69" i="205"/>
  <c r="AA69" i="205" s="1"/>
  <c r="Y24" i="205"/>
  <c r="AA24" i="205" s="1"/>
  <c r="Y33" i="205"/>
  <c r="AA33" i="205" s="1"/>
  <c r="Y20" i="205"/>
  <c r="AA20" i="205" s="1"/>
  <c r="Y21" i="205"/>
  <c r="AA21" i="205" s="1"/>
  <c r="Y16" i="205"/>
  <c r="AA16" i="205" s="1"/>
  <c r="Y27" i="205"/>
  <c r="AA27" i="205" s="1"/>
  <c r="Y70" i="205"/>
  <c r="AA70" i="205" s="1"/>
  <c r="Y50" i="205"/>
  <c r="R9" i="35"/>
  <c r="AN11" i="205"/>
  <c r="AP11" i="205" s="1"/>
  <c r="AN15" i="205"/>
  <c r="AP15" i="205" s="1"/>
  <c r="AN14" i="205"/>
  <c r="AP14" i="205" s="1"/>
  <c r="AN16" i="205"/>
  <c r="AP16" i="205" s="1"/>
  <c r="AN23" i="205"/>
  <c r="AP23" i="205" s="1"/>
  <c r="AN33" i="205"/>
  <c r="AP33" i="205" s="1"/>
  <c r="AN20" i="205"/>
  <c r="AP20" i="205" s="1"/>
  <c r="AN27" i="205"/>
  <c r="AP27" i="205" s="1"/>
  <c r="AN24" i="205"/>
  <c r="AP24" i="205" s="1"/>
  <c r="AP6" i="205"/>
  <c r="AN60" i="205"/>
  <c r="AP60" i="205" s="1"/>
  <c r="AN69" i="205"/>
  <c r="AP69" i="205" s="1"/>
  <c r="AN70" i="205"/>
  <c r="AP70" i="205" s="1"/>
  <c r="AN50" i="205"/>
  <c r="AP50" i="205" s="1"/>
  <c r="AN26" i="205"/>
  <c r="AP26" i="205" s="1"/>
  <c r="AN21" i="205"/>
  <c r="AP21" i="205" s="1"/>
  <c r="C11" i="206"/>
  <c r="D11" i="206" s="1"/>
  <c r="D10" i="206"/>
  <c r="M13" i="206"/>
  <c r="AM13" i="206"/>
  <c r="V26" i="205"/>
  <c r="X26" i="205" s="1"/>
  <c r="V21" i="205"/>
  <c r="X21" i="205" s="1"/>
  <c r="V15" i="205"/>
  <c r="X15" i="205" s="1"/>
  <c r="V16" i="205"/>
  <c r="X16" i="205" s="1"/>
  <c r="V27" i="205"/>
  <c r="X27" i="205" s="1"/>
  <c r="V69" i="205"/>
  <c r="X69" i="205" s="1"/>
  <c r="X6" i="205"/>
  <c r="V20" i="205"/>
  <c r="X20" i="205" s="1"/>
  <c r="V24" i="205"/>
  <c r="X24" i="205" s="1"/>
  <c r="V33" i="205"/>
  <c r="X33" i="205" s="1"/>
  <c r="V14" i="205"/>
  <c r="V23" i="205"/>
  <c r="X23" i="205" s="1"/>
  <c r="V70" i="205"/>
  <c r="X70" i="205" s="1"/>
  <c r="V50" i="205"/>
  <c r="V60" i="205"/>
  <c r="X60" i="205" s="1"/>
  <c r="AK20" i="205"/>
  <c r="AM20" i="205" s="1"/>
  <c r="AK15" i="205"/>
  <c r="AM15" i="205" s="1"/>
  <c r="AK23" i="205"/>
  <c r="AM23" i="205" s="1"/>
  <c r="AK60" i="205"/>
  <c r="AM60" i="205" s="1"/>
  <c r="AK26" i="205"/>
  <c r="AM26" i="205" s="1"/>
  <c r="AK70" i="205"/>
  <c r="AM70" i="205" s="1"/>
  <c r="AK24" i="205"/>
  <c r="AM24" i="205" s="1"/>
  <c r="AK21" i="205"/>
  <c r="AM21" i="205" s="1"/>
  <c r="AK33" i="205"/>
  <c r="AM33" i="205" s="1"/>
  <c r="AK16" i="205"/>
  <c r="AM16" i="205" s="1"/>
  <c r="AK27" i="205"/>
  <c r="AM27" i="205" s="1"/>
  <c r="AK69" i="205"/>
  <c r="AM69" i="205" s="1"/>
  <c r="AK50" i="205"/>
  <c r="AM6" i="205"/>
  <c r="AK14" i="205"/>
  <c r="AD51" i="205"/>
  <c r="AW51" i="205" s="1"/>
  <c r="AX51" i="205" s="1"/>
  <c r="AE26" i="205"/>
  <c r="AG26" i="205" s="1"/>
  <c r="AG6" i="205"/>
  <c r="AE24" i="205"/>
  <c r="AG24" i="205" s="1"/>
  <c r="AE16" i="205"/>
  <c r="AG16" i="205" s="1"/>
  <c r="AE60" i="205"/>
  <c r="AG60" i="205" s="1"/>
  <c r="AE21" i="205"/>
  <c r="AG21" i="205" s="1"/>
  <c r="AE14" i="205"/>
  <c r="AE20" i="205"/>
  <c r="AG20" i="205" s="1"/>
  <c r="AE33" i="205"/>
  <c r="AG33" i="205" s="1"/>
  <c r="AE69" i="205"/>
  <c r="AG69" i="205" s="1"/>
  <c r="AE50" i="205"/>
  <c r="AE27" i="205"/>
  <c r="AG27" i="205" s="1"/>
  <c r="AE15" i="205"/>
  <c r="AG15" i="205" s="1"/>
  <c r="AE23" i="205"/>
  <c r="AG23" i="205" s="1"/>
  <c r="AE70" i="205"/>
  <c r="AG70" i="205" s="1"/>
  <c r="AB20" i="205"/>
  <c r="AB33" i="205"/>
  <c r="AB27" i="205"/>
  <c r="AB23" i="205"/>
  <c r="AB16" i="205"/>
  <c r="AB70" i="205"/>
  <c r="AB26" i="205"/>
  <c r="AB15" i="205"/>
  <c r="AB14" i="205"/>
  <c r="AB21" i="205"/>
  <c r="AD6" i="205"/>
  <c r="AB60" i="205"/>
  <c r="AB69" i="205"/>
  <c r="AB50" i="205"/>
  <c r="AB24" i="205"/>
  <c r="AH70" i="205"/>
  <c r="AJ70" i="205" s="1"/>
  <c r="AH50" i="205"/>
  <c r="AH24" i="205"/>
  <c r="AJ24" i="205" s="1"/>
  <c r="AH23" i="205"/>
  <c r="AJ23" i="205" s="1"/>
  <c r="AH16" i="205"/>
  <c r="AJ16" i="205" s="1"/>
  <c r="AJ6" i="205"/>
  <c r="AH15" i="205"/>
  <c r="AJ15" i="205" s="1"/>
  <c r="AH69" i="205"/>
  <c r="AJ69" i="205" s="1"/>
  <c r="AH27" i="205"/>
  <c r="AJ27" i="205" s="1"/>
  <c r="AH60" i="205"/>
  <c r="AJ60" i="205" s="1"/>
  <c r="AH20" i="205"/>
  <c r="AJ20" i="205" s="1"/>
  <c r="AH26" i="205"/>
  <c r="AJ26" i="205" s="1"/>
  <c r="AH33" i="205"/>
  <c r="AJ33" i="205" s="1"/>
  <c r="AH21" i="205"/>
  <c r="AJ21" i="205" s="1"/>
  <c r="AH14" i="205"/>
  <c r="C4" i="138"/>
  <c r="T52" i="35"/>
  <c r="T14" i="35"/>
  <c r="T45" i="35"/>
  <c r="T75" i="35"/>
  <c r="T30" i="35"/>
  <c r="T27" i="35"/>
  <c r="T25" i="35"/>
  <c r="T23" i="35"/>
  <c r="T21" i="35"/>
  <c r="T20" i="35"/>
  <c r="T18" i="35"/>
  <c r="T53" i="35"/>
  <c r="T51" i="35"/>
  <c r="T13" i="35"/>
  <c r="T74" i="35"/>
  <c r="T63" i="35"/>
  <c r="T59" i="35"/>
  <c r="T55" i="35"/>
  <c r="T50" i="35"/>
  <c r="T12" i="35"/>
  <c r="T73" i="35"/>
  <c r="T66" i="35"/>
  <c r="T26" i="35"/>
  <c r="T24" i="35"/>
  <c r="T60" i="35"/>
  <c r="T56" i="35"/>
  <c r="T49" i="35"/>
  <c r="T11" i="35"/>
  <c r="T76" i="35"/>
  <c r="T31" i="35"/>
  <c r="T28" i="35"/>
  <c r="T22" i="35"/>
  <c r="T57" i="35"/>
  <c r="T16" i="35"/>
  <c r="T48" i="35"/>
  <c r="T10" i="35"/>
  <c r="T46" i="35"/>
  <c r="T67" i="35"/>
  <c r="T64" i="35"/>
  <c r="T62" i="35"/>
  <c r="T15" i="35"/>
  <c r="T47" i="35"/>
  <c r="T9" i="35"/>
  <c r="T78" i="35"/>
  <c r="T32" i="35"/>
  <c r="T29" i="35"/>
  <c r="T65" i="35"/>
  <c r="T61" i="35"/>
  <c r="T58" i="35"/>
  <c r="T17" i="35"/>
  <c r="T19" i="35"/>
  <c r="T54" i="35"/>
  <c r="U73" i="35"/>
  <c r="U15" i="35"/>
  <c r="U55" i="35"/>
  <c r="U27" i="35"/>
  <c r="U74" i="35"/>
  <c r="U48" i="35"/>
  <c r="U53" i="35"/>
  <c r="U28" i="35"/>
  <c r="N24" i="35"/>
  <c r="N18" i="35"/>
  <c r="S48" i="35"/>
  <c r="U30" i="35"/>
  <c r="U23" i="35"/>
  <c r="U29" i="35"/>
  <c r="M66" i="35"/>
  <c r="M18" i="35"/>
  <c r="U16" i="35"/>
  <c r="U56" i="35"/>
  <c r="U32" i="35"/>
  <c r="U64" i="35"/>
  <c r="U65" i="35"/>
  <c r="U59" i="35"/>
  <c r="U78" i="35"/>
  <c r="U58" i="35"/>
  <c r="O25" i="35"/>
  <c r="O18" i="35"/>
  <c r="P21" i="35"/>
  <c r="P18" i="35"/>
  <c r="U49" i="35"/>
  <c r="U20" i="35"/>
  <c r="U54" i="35"/>
  <c r="U50" i="35"/>
  <c r="R25" i="35"/>
  <c r="R18" i="35"/>
  <c r="L31" i="35"/>
  <c r="L18" i="35"/>
  <c r="W48" i="35"/>
  <c r="X48" i="35" s="1"/>
  <c r="Q25" i="35"/>
  <c r="Q18" i="35"/>
  <c r="U52" i="35"/>
  <c r="H40" i="133"/>
  <c r="I31" i="138"/>
  <c r="I29" i="138"/>
  <c r="I28" i="138"/>
  <c r="S58" i="35"/>
  <c r="W58" i="35"/>
  <c r="X58" i="35" s="1"/>
  <c r="M73" i="124"/>
  <c r="O14" i="35"/>
  <c r="O22" i="35"/>
  <c r="Q66" i="35"/>
  <c r="Q31" i="35"/>
  <c r="K73" i="124"/>
  <c r="O19" i="35"/>
  <c r="K4" i="138"/>
  <c r="O47" i="35"/>
  <c r="Q21" i="35"/>
  <c r="O31" i="35"/>
  <c r="O66" i="35"/>
  <c r="Q67" i="35"/>
  <c r="Q57" i="35"/>
  <c r="Q47" i="35"/>
  <c r="O21" i="35"/>
  <c r="O57" i="35"/>
  <c r="Q12" i="35"/>
  <c r="Q22" i="35"/>
  <c r="O67" i="35"/>
  <c r="O24" i="35"/>
  <c r="Q14" i="35"/>
  <c r="Q13" i="35"/>
  <c r="O13" i="35"/>
  <c r="M31" i="138" s="1"/>
  <c r="O12" i="35"/>
  <c r="M28" i="138" s="1"/>
  <c r="Q19" i="35"/>
  <c r="M4" i="138"/>
  <c r="Q24" i="35"/>
  <c r="I29" i="133"/>
  <c r="I30" i="133" s="1"/>
  <c r="I36" i="133" s="1"/>
  <c r="I73" i="124"/>
  <c r="H73" i="124"/>
  <c r="H142" i="133"/>
  <c r="P16" i="199"/>
  <c r="P17" i="199" s="1"/>
  <c r="Q15" i="199"/>
  <c r="S15" i="199" s="1"/>
  <c r="P21" i="199"/>
  <c r="H31" i="138"/>
  <c r="F4" i="138"/>
  <c r="M25" i="35"/>
  <c r="I39" i="138"/>
  <c r="M13" i="35"/>
  <c r="K31" i="138" s="1"/>
  <c r="M22" i="35"/>
  <c r="I4" i="138"/>
  <c r="M19" i="35"/>
  <c r="M24" i="35"/>
  <c r="M21" i="35"/>
  <c r="M12" i="35"/>
  <c r="K28" i="138" s="1"/>
  <c r="M31" i="35"/>
  <c r="M67" i="35"/>
  <c r="M47" i="35"/>
  <c r="M57" i="35"/>
  <c r="M14" i="35"/>
  <c r="R31" i="35"/>
  <c r="R57" i="35"/>
  <c r="R66" i="35"/>
  <c r="R21" i="35"/>
  <c r="R12" i="35"/>
  <c r="R24" i="35"/>
  <c r="R13" i="35"/>
  <c r="R22" i="35"/>
  <c r="N4" i="138"/>
  <c r="L13" i="35"/>
  <c r="J31" i="138" s="1"/>
  <c r="L21" i="35"/>
  <c r="L57" i="35"/>
  <c r="L19" i="35"/>
  <c r="H4" i="138"/>
  <c r="R38" i="124"/>
  <c r="L25" i="35"/>
  <c r="L22" i="35"/>
  <c r="L47" i="35"/>
  <c r="L24" i="35"/>
  <c r="L14" i="35"/>
  <c r="L66" i="35"/>
  <c r="L12" i="35"/>
  <c r="J28" i="138" s="1"/>
  <c r="L67" i="35"/>
  <c r="R19" i="35"/>
  <c r="R67" i="35"/>
  <c r="L4" i="138"/>
  <c r="P24" i="35"/>
  <c r="P31" i="35"/>
  <c r="R14" i="35"/>
  <c r="P47" i="35"/>
  <c r="P13" i="35"/>
  <c r="N31" i="138" s="1"/>
  <c r="P14" i="35"/>
  <c r="R47" i="35"/>
  <c r="L73" i="124"/>
  <c r="R44" i="124"/>
  <c r="O73" i="124"/>
  <c r="P73" i="124"/>
  <c r="O17" i="199"/>
  <c r="N47" i="35"/>
  <c r="N19" i="35"/>
  <c r="N25" i="35"/>
  <c r="K72" i="181"/>
  <c r="U70" i="181"/>
  <c r="U72" i="181" s="1"/>
  <c r="N4" i="26"/>
  <c r="P22" i="35"/>
  <c r="P19" i="35"/>
  <c r="P67" i="35"/>
  <c r="E141" i="133"/>
  <c r="R141" i="133"/>
  <c r="R142" i="133" s="1"/>
  <c r="P12" i="35"/>
  <c r="N28" i="138" s="1"/>
  <c r="P66" i="35"/>
  <c r="P57" i="35"/>
  <c r="P25" i="35"/>
  <c r="N57" i="35"/>
  <c r="Y126" i="58"/>
  <c r="X203" i="58"/>
  <c r="N31" i="35"/>
  <c r="N13" i="35"/>
  <c r="L31" i="138" s="1"/>
  <c r="N14" i="35"/>
  <c r="N12" i="35"/>
  <c r="L28" i="138" s="1"/>
  <c r="N67" i="35"/>
  <c r="N73" i="124"/>
  <c r="N21" i="35"/>
  <c r="N22" i="35"/>
  <c r="N66" i="35"/>
  <c r="R5" i="124"/>
  <c r="J4" i="138"/>
  <c r="G69" i="35"/>
  <c r="I68" i="35"/>
  <c r="H97" i="133"/>
  <c r="G73" i="124"/>
  <c r="H29" i="138"/>
  <c r="H39" i="138"/>
  <c r="L106" i="192"/>
  <c r="G123" i="133"/>
  <c r="G125" i="133"/>
  <c r="G126" i="133"/>
  <c r="G124" i="133"/>
  <c r="H68" i="35"/>
  <c r="P432" i="110"/>
  <c r="P284" i="110"/>
  <c r="P285" i="110" s="1"/>
  <c r="N444" i="110"/>
  <c r="N287" i="110"/>
  <c r="N288" i="110" s="1"/>
  <c r="J285" i="110"/>
  <c r="K444" i="110"/>
  <c r="K287" i="110"/>
  <c r="K288" i="110" s="1"/>
  <c r="P444" i="110"/>
  <c r="P287" i="110"/>
  <c r="P288" i="110" s="1"/>
  <c r="L420" i="110"/>
  <c r="L281" i="110"/>
  <c r="L282" i="110" s="1"/>
  <c r="M444" i="110"/>
  <c r="M287" i="110"/>
  <c r="M288" i="110" s="1"/>
  <c r="J282" i="110"/>
  <c r="S420" i="110"/>
  <c r="S281" i="110"/>
  <c r="S282" i="110" s="1"/>
  <c r="R420" i="110"/>
  <c r="R281" i="110"/>
  <c r="R282" i="110" s="1"/>
  <c r="T432" i="110"/>
  <c r="T284" i="110"/>
  <c r="T285" i="110" s="1"/>
  <c r="T420" i="110"/>
  <c r="T281" i="110"/>
  <c r="T282" i="110" s="1"/>
  <c r="M432" i="110"/>
  <c r="M284" i="110"/>
  <c r="M285" i="110" s="1"/>
  <c r="U432" i="110"/>
  <c r="U284" i="110"/>
  <c r="U285" i="110" s="1"/>
  <c r="O432" i="110"/>
  <c r="O284" i="110"/>
  <c r="O285" i="110" s="1"/>
  <c r="Q444" i="110"/>
  <c r="Q287" i="110"/>
  <c r="Q288" i="110" s="1"/>
  <c r="N432" i="110"/>
  <c r="N284" i="110"/>
  <c r="N285" i="110" s="1"/>
  <c r="N420" i="110"/>
  <c r="N281" i="110"/>
  <c r="N282" i="110" s="1"/>
  <c r="S432" i="110"/>
  <c r="S284" i="110"/>
  <c r="S285" i="110" s="1"/>
  <c r="J288" i="110"/>
  <c r="R444" i="110"/>
  <c r="R287" i="110"/>
  <c r="R288" i="110" s="1"/>
  <c r="Q432" i="110"/>
  <c r="Q284" i="110"/>
  <c r="Q285" i="110" s="1"/>
  <c r="S444" i="110"/>
  <c r="S287" i="110"/>
  <c r="S288" i="110" s="1"/>
  <c r="T444" i="110"/>
  <c r="T287" i="110"/>
  <c r="T288" i="110" s="1"/>
  <c r="U420" i="110"/>
  <c r="U281" i="110"/>
  <c r="U282" i="110" s="1"/>
  <c r="L432" i="110"/>
  <c r="L284" i="110"/>
  <c r="L285" i="110" s="1"/>
  <c r="K420" i="110"/>
  <c r="K281" i="110"/>
  <c r="K282" i="110" s="1"/>
  <c r="Q420" i="110"/>
  <c r="Q281" i="110"/>
  <c r="Q282" i="110" s="1"/>
  <c r="P420" i="110"/>
  <c r="P281" i="110"/>
  <c r="P282" i="110" s="1"/>
  <c r="M420" i="110"/>
  <c r="M281" i="110"/>
  <c r="M282" i="110" s="1"/>
  <c r="R432" i="110"/>
  <c r="R284" i="110"/>
  <c r="R285" i="110" s="1"/>
  <c r="K432" i="110"/>
  <c r="K284" i="110"/>
  <c r="K285" i="110" s="1"/>
  <c r="O444" i="110"/>
  <c r="O287" i="110"/>
  <c r="O288" i="110" s="1"/>
  <c r="L444" i="110"/>
  <c r="L287" i="110"/>
  <c r="L288" i="110" s="1"/>
  <c r="U444" i="110"/>
  <c r="U287" i="110"/>
  <c r="U288" i="110" s="1"/>
  <c r="O420" i="110"/>
  <c r="O281" i="110"/>
  <c r="O282" i="110" s="1"/>
  <c r="J420" i="110"/>
  <c r="V419" i="110"/>
  <c r="V420" i="110" s="1"/>
  <c r="J444" i="110"/>
  <c r="V443" i="110"/>
  <c r="V444" i="110" s="1"/>
  <c r="V431" i="110"/>
  <c r="V432" i="110" s="1"/>
  <c r="J432" i="110"/>
  <c r="V153" i="137"/>
  <c r="J35" i="138"/>
  <c r="X151" i="137"/>
  <c r="X153" i="137" s="1"/>
  <c r="H94" i="192"/>
  <c r="N65" i="192"/>
  <c r="O10" i="192"/>
  <c r="CL131" i="188"/>
  <c r="H100" i="192"/>
  <c r="H101" i="192" s="1"/>
  <c r="H36" i="192"/>
  <c r="K99" i="192"/>
  <c r="DL130" i="188"/>
  <c r="DL131" i="188" s="1"/>
  <c r="P8" i="192"/>
  <c r="Q6" i="192"/>
  <c r="P61" i="192"/>
  <c r="P63" i="192" s="1"/>
  <c r="P109" i="192" s="1"/>
  <c r="ED130" i="188"/>
  <c r="M18" i="192"/>
  <c r="L20" i="192"/>
  <c r="L25" i="192" s="1"/>
  <c r="L99" i="192" s="1"/>
  <c r="L74" i="192"/>
  <c r="L76" i="192" s="1"/>
  <c r="EF130" i="188"/>
  <c r="Q11" i="133"/>
  <c r="P50" i="133"/>
  <c r="K110" i="192"/>
  <c r="K111" i="192" s="1"/>
  <c r="K82" i="192"/>
  <c r="EI130" i="188"/>
  <c r="I29" i="192"/>
  <c r="I46" i="192"/>
  <c r="I47" i="192" s="1"/>
  <c r="X147" i="137"/>
  <c r="EL97" i="188"/>
  <c r="O9" i="192"/>
  <c r="N64" i="192"/>
  <c r="N12" i="192"/>
  <c r="N13" i="192" s="1"/>
  <c r="N98" i="192" s="1"/>
  <c r="X25" i="133"/>
  <c r="X95" i="133" s="1"/>
  <c r="L22" i="193"/>
  <c r="K53" i="193"/>
  <c r="K71" i="193"/>
  <c r="EG130" i="188"/>
  <c r="M67" i="192"/>
  <c r="EC130" i="188"/>
  <c r="EB130" i="188"/>
  <c r="EL14" i="188"/>
  <c r="EL74" i="188"/>
  <c r="EE130" i="188"/>
  <c r="EJ130" i="188"/>
  <c r="EH130" i="188"/>
  <c r="EA130" i="188"/>
  <c r="EK130" i="188"/>
  <c r="H55" i="193"/>
  <c r="H64" i="193" s="1"/>
  <c r="H73" i="193" s="1"/>
  <c r="I24" i="193"/>
  <c r="G18" i="193"/>
  <c r="E117" i="193"/>
  <c r="G17" i="193"/>
  <c r="H54" i="193"/>
  <c r="I23" i="193"/>
  <c r="H27" i="193"/>
  <c r="G63" i="193"/>
  <c r="G58" i="193"/>
  <c r="F72" i="193"/>
  <c r="F67" i="193"/>
  <c r="F76" i="193" s="1"/>
  <c r="F13" i="193" s="1"/>
  <c r="F14" i="193" s="1"/>
  <c r="I26" i="193"/>
  <c r="H57" i="193"/>
  <c r="I25" i="193"/>
  <c r="H56" i="193"/>
  <c r="H65" i="193" s="1"/>
  <c r="H74" i="193" s="1"/>
  <c r="EL102" i="188"/>
  <c r="EL122" i="188" s="1"/>
  <c r="DZ122" i="188"/>
  <c r="DZ130" i="188" s="1"/>
  <c r="M254" i="110"/>
  <c r="J30" i="193"/>
  <c r="J36" i="193" s="1"/>
  <c r="O51" i="35"/>
  <c r="K35" i="138" s="1"/>
  <c r="O63" i="199"/>
  <c r="O48" i="199"/>
  <c r="O50" i="199" s="1"/>
  <c r="O60" i="199" s="1"/>
  <c r="F111" i="192"/>
  <c r="F112" i="192" s="1"/>
  <c r="S407" i="110"/>
  <c r="L75" i="35"/>
  <c r="E12" i="26"/>
  <c r="F71" i="133"/>
  <c r="BB5" i="133"/>
  <c r="BA44" i="133"/>
  <c r="BE72" i="133"/>
  <c r="AR72" i="133"/>
  <c r="AL71" i="133"/>
  <c r="AN71" i="133"/>
  <c r="AM71" i="133"/>
  <c r="AQ71" i="133"/>
  <c r="AF71" i="133"/>
  <c r="W71" i="133"/>
  <c r="AX71" i="133"/>
  <c r="AD71" i="133"/>
  <c r="S71" i="133"/>
  <c r="AC71" i="133"/>
  <c r="AO71" i="133"/>
  <c r="Z71" i="133"/>
  <c r="AJ71" i="133"/>
  <c r="AK71" i="133"/>
  <c r="V71" i="133"/>
  <c r="AG71" i="133"/>
  <c r="AT71" i="133"/>
  <c r="BD71" i="133"/>
  <c r="AB71" i="133"/>
  <c r="AV71" i="133"/>
  <c r="AS71" i="133"/>
  <c r="U71" i="133"/>
  <c r="BB71" i="133"/>
  <c r="AW71" i="133"/>
  <c r="AI71" i="133"/>
  <c r="BA71" i="133"/>
  <c r="AZ71" i="133"/>
  <c r="BC71" i="133"/>
  <c r="AU71" i="133"/>
  <c r="Y71" i="133"/>
  <c r="T71" i="133"/>
  <c r="AA71" i="133"/>
  <c r="AP71" i="133"/>
  <c r="AY71" i="133"/>
  <c r="AH71" i="133"/>
  <c r="X71" i="133"/>
  <c r="AE72" i="133"/>
  <c r="Z17" i="133"/>
  <c r="Y20" i="133"/>
  <c r="Y25" i="133" s="1"/>
  <c r="Y95" i="133" s="1"/>
  <c r="Y57" i="133"/>
  <c r="AC7" i="133"/>
  <c r="AB46" i="133"/>
  <c r="AR63" i="133"/>
  <c r="AP10" i="133"/>
  <c r="AO49" i="133"/>
  <c r="BA6" i="133"/>
  <c r="AZ45" i="133"/>
  <c r="AZ47" i="133" s="1"/>
  <c r="AZ87" i="133" s="1"/>
  <c r="AZ8" i="133"/>
  <c r="AY89" i="133"/>
  <c r="BD10" i="133"/>
  <c r="BC49" i="133"/>
  <c r="AO6" i="133"/>
  <c r="AN45" i="133"/>
  <c r="AN47" i="133" s="1"/>
  <c r="AN87" i="133" s="1"/>
  <c r="AN8" i="133"/>
  <c r="AB48" i="133"/>
  <c r="AC9" i="133"/>
  <c r="AK60" i="133"/>
  <c r="AK88" i="133" s="1"/>
  <c r="AK89" i="133" s="1"/>
  <c r="AC6" i="133"/>
  <c r="AB45" i="133"/>
  <c r="AM17" i="133"/>
  <c r="AL57" i="133"/>
  <c r="AL60" i="133" s="1"/>
  <c r="AL88" i="133" s="1"/>
  <c r="AL89" i="133" s="1"/>
  <c r="AL20" i="133"/>
  <c r="AD23" i="133"/>
  <c r="AD63" i="133" s="1"/>
  <c r="AC63" i="133"/>
  <c r="M45" i="133"/>
  <c r="AR23" i="133"/>
  <c r="AP5" i="133"/>
  <c r="AO44" i="133"/>
  <c r="BE23" i="133"/>
  <c r="BD63" i="133"/>
  <c r="BE63" i="133" s="1"/>
  <c r="K53" i="133"/>
  <c r="L44" i="133"/>
  <c r="L47" i="133" s="1"/>
  <c r="L87" i="133" s="1"/>
  <c r="L89" i="133" s="1"/>
  <c r="M5" i="133"/>
  <c r="L8" i="133"/>
  <c r="L13" i="133" s="1"/>
  <c r="J89" i="133"/>
  <c r="J53" i="133"/>
  <c r="AP19" i="133"/>
  <c r="AO59" i="133"/>
  <c r="AC10" i="133"/>
  <c r="AB49" i="133"/>
  <c r="AA21" i="133"/>
  <c r="Z61" i="133"/>
  <c r="BD7" i="133"/>
  <c r="BC46" i="133"/>
  <c r="X84" i="133"/>
  <c r="X66" i="133"/>
  <c r="BD19" i="133"/>
  <c r="BC59" i="133"/>
  <c r="BA20" i="133"/>
  <c r="BB17" i="133"/>
  <c r="BA57" i="133"/>
  <c r="Q46" i="133"/>
  <c r="K94" i="133"/>
  <c r="V49" i="205" s="1"/>
  <c r="AP18" i="133"/>
  <c r="AO58" i="133"/>
  <c r="AX89" i="133"/>
  <c r="AA47" i="133"/>
  <c r="AR61" i="133"/>
  <c r="AC5" i="133"/>
  <c r="AB8" i="133"/>
  <c r="AB44" i="133"/>
  <c r="AD19" i="133"/>
  <c r="AC59" i="133"/>
  <c r="L51" i="133"/>
  <c r="AO9" i="133"/>
  <c r="AN48" i="133"/>
  <c r="M12" i="133"/>
  <c r="N9" i="133"/>
  <c r="M48" i="133"/>
  <c r="M51" i="133" s="1"/>
  <c r="AQ7" i="133"/>
  <c r="AR7" i="133" s="1"/>
  <c r="AP46" i="133"/>
  <c r="Z22" i="133"/>
  <c r="Y62" i="133"/>
  <c r="Y64" i="133" s="1"/>
  <c r="BB9" i="133"/>
  <c r="BA48" i="133"/>
  <c r="AZ88" i="133"/>
  <c r="W84" i="133"/>
  <c r="W66" i="133"/>
  <c r="S73" i="137"/>
  <c r="O32" i="138"/>
  <c r="B9" i="26"/>
  <c r="B10" i="26" s="1"/>
  <c r="V168" i="110"/>
  <c r="V169" i="110" s="1"/>
  <c r="V170" i="110" s="1"/>
  <c r="F50" i="199"/>
  <c r="R48" i="199"/>
  <c r="S48" i="199"/>
  <c r="R63" i="199"/>
  <c r="S63" i="199"/>
  <c r="M73" i="137"/>
  <c r="T254" i="110"/>
  <c r="P254" i="110"/>
  <c r="U254" i="110"/>
  <c r="Q254" i="110"/>
  <c r="O73" i="137"/>
  <c r="N73" i="137"/>
  <c r="P73" i="137"/>
  <c r="T73" i="137"/>
  <c r="R33" i="124"/>
  <c r="W73" i="137"/>
  <c r="N254" i="110"/>
  <c r="S254" i="110"/>
  <c r="L254" i="110"/>
  <c r="U73" i="137"/>
  <c r="O254" i="110"/>
  <c r="K254" i="110"/>
  <c r="V73" i="137"/>
  <c r="Q73" i="137"/>
  <c r="R254" i="110"/>
  <c r="R73" i="137"/>
  <c r="T407" i="110"/>
  <c r="R278" i="110"/>
  <c r="R279" i="110" s="1"/>
  <c r="Q374" i="110"/>
  <c r="Q268" i="110" s="1"/>
  <c r="Q269" i="110" s="1"/>
  <c r="J73" i="124"/>
  <c r="F53" i="124"/>
  <c r="R54" i="124" s="1"/>
  <c r="F57" i="124"/>
  <c r="R374" i="110"/>
  <c r="R268" i="110" s="1"/>
  <c r="R269" i="110" s="1"/>
  <c r="K407" i="110"/>
  <c r="K374" i="110"/>
  <c r="K268" i="110" s="1"/>
  <c r="K269" i="110" s="1"/>
  <c r="U407" i="110"/>
  <c r="S374" i="110"/>
  <c r="S268" i="110" s="1"/>
  <c r="S269" i="110" s="1"/>
  <c r="N374" i="110"/>
  <c r="N268" i="110" s="1"/>
  <c r="N269" i="110" s="1"/>
  <c r="L407" i="110"/>
  <c r="O374" i="110"/>
  <c r="O268" i="110" s="1"/>
  <c r="O269" i="110" s="1"/>
  <c r="M374" i="110"/>
  <c r="M268" i="110" s="1"/>
  <c r="M269" i="110" s="1"/>
  <c r="U374" i="110"/>
  <c r="U268" i="110" s="1"/>
  <c r="U269" i="110" s="1"/>
  <c r="V256" i="110"/>
  <c r="O266" i="110"/>
  <c r="T12" i="119" s="1"/>
  <c r="T13" i="119" s="1"/>
  <c r="U266" i="110"/>
  <c r="Z12" i="119" s="1"/>
  <c r="Z13" i="119" s="1"/>
  <c r="Z22" i="119" s="1"/>
  <c r="Z23" i="119" s="1"/>
  <c r="P407" i="110"/>
  <c r="P278" i="110"/>
  <c r="P279" i="110" s="1"/>
  <c r="L374" i="110"/>
  <c r="L268" i="110" s="1"/>
  <c r="L269" i="110" s="1"/>
  <c r="P374" i="110"/>
  <c r="P268" i="110" s="1"/>
  <c r="P269" i="110" s="1"/>
  <c r="U262" i="110"/>
  <c r="V255" i="110"/>
  <c r="U465" i="110"/>
  <c r="U472" i="110"/>
  <c r="Q11" i="124"/>
  <c r="M465" i="110"/>
  <c r="M472" i="110"/>
  <c r="I11" i="124"/>
  <c r="T73" i="181"/>
  <c r="T54" i="181"/>
  <c r="Q9" i="124"/>
  <c r="U459" i="110"/>
  <c r="U473" i="110" s="1"/>
  <c r="U463" i="110"/>
  <c r="U470" i="110"/>
  <c r="T262" i="110"/>
  <c r="T266" i="110"/>
  <c r="Y12" i="119" s="1"/>
  <c r="Y13" i="119" s="1"/>
  <c r="J54" i="181"/>
  <c r="J73" i="181"/>
  <c r="Q73" i="181"/>
  <c r="Q75" i="181" s="1"/>
  <c r="Q54" i="181"/>
  <c r="J9" i="124"/>
  <c r="N463" i="110"/>
  <c r="N470" i="110"/>
  <c r="N459" i="110"/>
  <c r="N473" i="110" s="1"/>
  <c r="T472" i="110"/>
  <c r="T465" i="110"/>
  <c r="P11" i="124"/>
  <c r="V394" i="110"/>
  <c r="V396" i="110" s="1"/>
  <c r="J396" i="110"/>
  <c r="J275" i="110" s="1"/>
  <c r="R464" i="110"/>
  <c r="R471" i="110"/>
  <c r="N10" i="124"/>
  <c r="G143" i="133"/>
  <c r="G144" i="133" s="1"/>
  <c r="K169" i="110"/>
  <c r="K170" i="110" s="1"/>
  <c r="Q262" i="110"/>
  <c r="Q266" i="110"/>
  <c r="V12" i="119" s="1"/>
  <c r="V13" i="119" s="1"/>
  <c r="V261" i="110"/>
  <c r="J262" i="110"/>
  <c r="J266" i="110"/>
  <c r="J254" i="110"/>
  <c r="V253" i="110"/>
  <c r="N169" i="110"/>
  <c r="N170" i="110" s="1"/>
  <c r="J143" i="133"/>
  <c r="J144" i="133" s="1"/>
  <c r="I9" i="124"/>
  <c r="M470" i="110"/>
  <c r="M463" i="110"/>
  <c r="M459" i="110"/>
  <c r="M473" i="110" s="1"/>
  <c r="V189" i="110"/>
  <c r="U471" i="110"/>
  <c r="Q10" i="124"/>
  <c r="U464" i="110"/>
  <c r="M54" i="181"/>
  <c r="M73" i="181"/>
  <c r="J169" i="110"/>
  <c r="J170" i="110" s="1"/>
  <c r="F143" i="133"/>
  <c r="R169" i="110"/>
  <c r="R170" i="110" s="1"/>
  <c r="N143" i="133"/>
  <c r="N144" i="133" s="1"/>
  <c r="G9" i="124"/>
  <c r="K470" i="110"/>
  <c r="K463" i="110"/>
  <c r="K459" i="110"/>
  <c r="K473" i="110" s="1"/>
  <c r="O11" i="124"/>
  <c r="S465" i="110"/>
  <c r="S472" i="110"/>
  <c r="H9" i="124"/>
  <c r="L463" i="110"/>
  <c r="L470" i="110"/>
  <c r="L459" i="110"/>
  <c r="L473" i="110" s="1"/>
  <c r="O463" i="110"/>
  <c r="O459" i="110"/>
  <c r="O473" i="110" s="1"/>
  <c r="K9" i="124"/>
  <c r="O470" i="110"/>
  <c r="S262" i="110"/>
  <c r="S266" i="110"/>
  <c r="X12" i="119" s="1"/>
  <c r="X13" i="119" s="1"/>
  <c r="O73" i="181"/>
  <c r="O54" i="181"/>
  <c r="S54" i="181"/>
  <c r="S73" i="181"/>
  <c r="P169" i="110"/>
  <c r="P170" i="110" s="1"/>
  <c r="L143" i="133"/>
  <c r="L144" i="133" s="1"/>
  <c r="F11" i="124"/>
  <c r="J465" i="110"/>
  <c r="J472" i="110"/>
  <c r="V458" i="110"/>
  <c r="V472" i="110" s="1"/>
  <c r="R465" i="110"/>
  <c r="N11" i="124"/>
  <c r="R472" i="110"/>
  <c r="O10" i="124"/>
  <c r="S464" i="110"/>
  <c r="S471" i="110"/>
  <c r="M471" i="110"/>
  <c r="M464" i="110"/>
  <c r="I10" i="124"/>
  <c r="V373" i="110"/>
  <c r="K10" i="124"/>
  <c r="O464" i="110"/>
  <c r="O471" i="110"/>
  <c r="P471" i="110"/>
  <c r="L10" i="124"/>
  <c r="P464" i="110"/>
  <c r="F10" i="124"/>
  <c r="V457" i="110"/>
  <c r="V471" i="110" s="1"/>
  <c r="J471" i="110"/>
  <c r="R470" i="110"/>
  <c r="R463" i="110"/>
  <c r="R459" i="110"/>
  <c r="R473" i="110" s="1"/>
  <c r="N9" i="124"/>
  <c r="T374" i="110"/>
  <c r="T268" i="110" s="1"/>
  <c r="T269" i="110" s="1"/>
  <c r="M278" i="110"/>
  <c r="M279" i="110" s="1"/>
  <c r="M407" i="110"/>
  <c r="O143" i="133"/>
  <c r="O144" i="133" s="1"/>
  <c r="S169" i="110"/>
  <c r="S170" i="110" s="1"/>
  <c r="K5" i="137"/>
  <c r="K78" i="137" s="1"/>
  <c r="X19" i="137"/>
  <c r="M169" i="110"/>
  <c r="M170" i="110" s="1"/>
  <c r="I143" i="133"/>
  <c r="I144" i="133" s="1"/>
  <c r="L465" i="110"/>
  <c r="L472" i="110"/>
  <c r="H11" i="124"/>
  <c r="H143" i="133"/>
  <c r="H144" i="133" s="1"/>
  <c r="L169" i="110"/>
  <c r="L170" i="110" s="1"/>
  <c r="K11" i="124"/>
  <c r="O465" i="110"/>
  <c r="O472" i="110"/>
  <c r="N262" i="110"/>
  <c r="N266" i="110"/>
  <c r="S12" i="119" s="1"/>
  <c r="S13" i="119" s="1"/>
  <c r="R266" i="110"/>
  <c r="W12" i="119" s="1"/>
  <c r="W13" i="119" s="1"/>
  <c r="R262" i="110"/>
  <c r="P73" i="181"/>
  <c r="P54" i="181"/>
  <c r="P472" i="110"/>
  <c r="L11" i="124"/>
  <c r="P465" i="110"/>
  <c r="V264" i="110"/>
  <c r="J265" i="110"/>
  <c r="V265" i="110" s="1"/>
  <c r="Q463" i="110"/>
  <c r="Q459" i="110"/>
  <c r="Q473" i="110" s="1"/>
  <c r="M9" i="124"/>
  <c r="Q470" i="110"/>
  <c r="P266" i="110"/>
  <c r="U12" i="119" s="1"/>
  <c r="U13" i="119" s="1"/>
  <c r="P262" i="110"/>
  <c r="O9" i="124"/>
  <c r="S470" i="110"/>
  <c r="S459" i="110"/>
  <c r="S473" i="110" s="1"/>
  <c r="S463" i="110"/>
  <c r="L73" i="137"/>
  <c r="L262" i="110"/>
  <c r="L266" i="110"/>
  <c r="Q12" i="119" s="1"/>
  <c r="Q13" i="119" s="1"/>
  <c r="J278" i="110"/>
  <c r="J407" i="110"/>
  <c r="V406" i="110"/>
  <c r="V407" i="110" s="1"/>
  <c r="L471" i="110"/>
  <c r="H10" i="124"/>
  <c r="L464" i="110"/>
  <c r="O169" i="110"/>
  <c r="O170" i="110" s="1"/>
  <c r="K143" i="133"/>
  <c r="K144" i="133" s="1"/>
  <c r="J374" i="110"/>
  <c r="J268" i="110" s="1"/>
  <c r="V308" i="110"/>
  <c r="N471" i="110"/>
  <c r="J10" i="124"/>
  <c r="N464" i="110"/>
  <c r="T169" i="110"/>
  <c r="T170" i="110" s="1"/>
  <c r="P143" i="133"/>
  <c r="P144" i="133" s="1"/>
  <c r="I73" i="181"/>
  <c r="I75" i="181" s="1"/>
  <c r="I54" i="181"/>
  <c r="U47" i="181"/>
  <c r="L9" i="124"/>
  <c r="P463" i="110"/>
  <c r="P470" i="110"/>
  <c r="P459" i="110"/>
  <c r="P473" i="110" s="1"/>
  <c r="J470" i="110"/>
  <c r="J463" i="110"/>
  <c r="F9" i="124"/>
  <c r="V456" i="110"/>
  <c r="J459" i="110"/>
  <c r="J473" i="110" s="1"/>
  <c r="M11" i="124"/>
  <c r="Q472" i="110"/>
  <c r="Q465" i="110"/>
  <c r="L73" i="181"/>
  <c r="L54" i="181"/>
  <c r="U169" i="110"/>
  <c r="U170" i="110" s="1"/>
  <c r="Q143" i="133"/>
  <c r="Q144" i="133" s="1"/>
  <c r="K266" i="110"/>
  <c r="P12" i="119" s="1"/>
  <c r="P13" i="119" s="1"/>
  <c r="K262" i="110"/>
  <c r="N472" i="110"/>
  <c r="J11" i="124"/>
  <c r="N465" i="110"/>
  <c r="P9" i="124"/>
  <c r="T470" i="110"/>
  <c r="T463" i="110"/>
  <c r="T459" i="110"/>
  <c r="T473" i="110" s="1"/>
  <c r="N407" i="110"/>
  <c r="N278" i="110"/>
  <c r="N279" i="110" s="1"/>
  <c r="G11" i="124"/>
  <c r="K465" i="110"/>
  <c r="K472" i="110"/>
  <c r="Q169" i="110"/>
  <c r="Q170" i="110" s="1"/>
  <c r="M143" i="133"/>
  <c r="M144" i="133" s="1"/>
  <c r="N54" i="181"/>
  <c r="N73" i="181"/>
  <c r="O278" i="110"/>
  <c r="O279" i="110" s="1"/>
  <c r="O407" i="110"/>
  <c r="M266" i="110"/>
  <c r="R12" i="119" s="1"/>
  <c r="R13" i="119" s="1"/>
  <c r="P10" i="124"/>
  <c r="T464" i="110"/>
  <c r="T471" i="110"/>
  <c r="Q407" i="110"/>
  <c r="Q278" i="110"/>
  <c r="Q279" i="110" s="1"/>
  <c r="R73" i="181"/>
  <c r="R75" i="181" s="1"/>
  <c r="R54" i="181"/>
  <c r="G10" i="124"/>
  <c r="K464" i="110"/>
  <c r="K471" i="110"/>
  <c r="Q464" i="110"/>
  <c r="M10" i="124"/>
  <c r="Q471" i="110"/>
  <c r="K54" i="181"/>
  <c r="K73" i="181"/>
  <c r="K23" i="137"/>
  <c r="K94" i="137" s="1"/>
  <c r="X72" i="137"/>
  <c r="K72" i="137" s="1"/>
  <c r="C20" i="26"/>
  <c r="C22" i="26" s="1"/>
  <c r="P22" i="199" l="1"/>
  <c r="P23" i="199" s="1"/>
  <c r="P25" i="199" s="1"/>
  <c r="P63" i="199" s="1"/>
  <c r="H123" i="133"/>
  <c r="AN13" i="206"/>
  <c r="AO13" i="206" s="1"/>
  <c r="Q16" i="199"/>
  <c r="Q22" i="199" s="1"/>
  <c r="AT51" i="205"/>
  <c r="AT62" i="205"/>
  <c r="AL8" i="206"/>
  <c r="AL25" i="206"/>
  <c r="AL11" i="206"/>
  <c r="AT52" i="205"/>
  <c r="Q43" i="205"/>
  <c r="Q42" i="205"/>
  <c r="X49" i="205"/>
  <c r="AT59" i="205"/>
  <c r="AL26" i="206"/>
  <c r="N43" i="205"/>
  <c r="N42" i="205"/>
  <c r="M9" i="206"/>
  <c r="L25" i="206"/>
  <c r="M25" i="206" s="1"/>
  <c r="AT76" i="205"/>
  <c r="M45" i="35"/>
  <c r="Y48" i="205"/>
  <c r="AA48" i="205" s="1"/>
  <c r="AT27" i="205"/>
  <c r="J9" i="206"/>
  <c r="I25" i="206"/>
  <c r="J25" i="206" s="1"/>
  <c r="X48" i="205"/>
  <c r="AU29" i="205"/>
  <c r="AT14" i="205"/>
  <c r="AT37" i="205"/>
  <c r="AT23" i="205"/>
  <c r="AT81" i="205"/>
  <c r="H43" i="205"/>
  <c r="H42" i="205"/>
  <c r="AT29" i="205"/>
  <c r="AT56" i="205"/>
  <c r="K42" i="205"/>
  <c r="K43" i="205"/>
  <c r="AT19" i="205"/>
  <c r="AT12" i="205"/>
  <c r="AT35" i="205"/>
  <c r="AT53" i="205"/>
  <c r="AT25" i="205"/>
  <c r="AT34" i="205"/>
  <c r="AT28" i="205"/>
  <c r="AT49" i="205"/>
  <c r="AT21" i="205"/>
  <c r="AT24" i="205"/>
  <c r="AS6" i="205"/>
  <c r="AR72" i="205"/>
  <c r="AT48" i="205"/>
  <c r="AT61" i="205"/>
  <c r="AT70" i="205"/>
  <c r="AT68" i="205"/>
  <c r="AT22" i="205"/>
  <c r="AT65" i="205"/>
  <c r="AT69" i="205"/>
  <c r="AT36" i="205"/>
  <c r="AS11" i="205"/>
  <c r="AT18" i="205"/>
  <c r="AT20" i="205"/>
  <c r="AT55" i="205"/>
  <c r="AT31" i="205"/>
  <c r="AT77" i="205"/>
  <c r="AT71" i="205"/>
  <c r="AT66" i="205"/>
  <c r="AT63" i="205"/>
  <c r="C25" i="206"/>
  <c r="D25" i="206" s="1"/>
  <c r="D9" i="206"/>
  <c r="AT30" i="205"/>
  <c r="AL37" i="206"/>
  <c r="AL27" i="206"/>
  <c r="AL36" i="206"/>
  <c r="AT33" i="205"/>
  <c r="AT26" i="205"/>
  <c r="AT64" i="205"/>
  <c r="AT67" i="205"/>
  <c r="AT50" i="205"/>
  <c r="G9" i="206"/>
  <c r="F25" i="206"/>
  <c r="G25" i="206" s="1"/>
  <c r="AT32" i="205"/>
  <c r="AT16" i="205"/>
  <c r="AT79" i="205"/>
  <c r="AS76" i="205"/>
  <c r="AS79" i="205" s="1"/>
  <c r="AQ79" i="205"/>
  <c r="C12" i="206"/>
  <c r="D12" i="206" s="1"/>
  <c r="AT17" i="205"/>
  <c r="AT11" i="205"/>
  <c r="AT78" i="205"/>
  <c r="AT54" i="205"/>
  <c r="AT60" i="205"/>
  <c r="AS13" i="205"/>
  <c r="AQ35" i="205"/>
  <c r="AS35" i="205" s="1"/>
  <c r="AS48" i="205"/>
  <c r="AQ71" i="205"/>
  <c r="AT15" i="205"/>
  <c r="AT13" i="205"/>
  <c r="AT58" i="205"/>
  <c r="AT57" i="205"/>
  <c r="AN5" i="206"/>
  <c r="AO5" i="206" s="1"/>
  <c r="M9" i="35"/>
  <c r="K26" i="138" s="1"/>
  <c r="Y11" i="205"/>
  <c r="AA50" i="205"/>
  <c r="AU34" i="205"/>
  <c r="AA14" i="205"/>
  <c r="I69" i="35"/>
  <c r="I10" i="206"/>
  <c r="H69" i="35"/>
  <c r="F10" i="206"/>
  <c r="AU64" i="205"/>
  <c r="AU61" i="205"/>
  <c r="AU68" i="205"/>
  <c r="AU81" i="205"/>
  <c r="X14" i="205"/>
  <c r="X50" i="205"/>
  <c r="L9" i="35"/>
  <c r="J26" i="138" s="1"/>
  <c r="V11" i="205"/>
  <c r="AU25" i="205"/>
  <c r="AM50" i="205"/>
  <c r="Q9" i="35"/>
  <c r="AK11" i="205"/>
  <c r="AM14" i="205"/>
  <c r="AU67" i="205"/>
  <c r="AU59" i="205"/>
  <c r="AU63" i="205"/>
  <c r="AU57" i="205"/>
  <c r="AU65" i="205"/>
  <c r="P9" i="35"/>
  <c r="N26" i="138" s="1"/>
  <c r="AH11" i="205"/>
  <c r="AD33" i="205"/>
  <c r="AW33" i="205" s="1"/>
  <c r="AX33" i="205" s="1"/>
  <c r="AU28" i="205"/>
  <c r="AU79" i="205"/>
  <c r="AU76" i="205"/>
  <c r="AG50" i="205"/>
  <c r="AU30" i="205"/>
  <c r="AJ50" i="205"/>
  <c r="AU56" i="205"/>
  <c r="AU78" i="205"/>
  <c r="AU32" i="205"/>
  <c r="AU62" i="205"/>
  <c r="O9" i="35"/>
  <c r="M26" i="138" s="1"/>
  <c r="AE11" i="205"/>
  <c r="AD16" i="205"/>
  <c r="AU16" i="205" s="1"/>
  <c r="N9" i="35"/>
  <c r="L26" i="138" s="1"/>
  <c r="AB11" i="205"/>
  <c r="AD23" i="205"/>
  <c r="AU23" i="205" s="1"/>
  <c r="AU77" i="205"/>
  <c r="AG14" i="205"/>
  <c r="AD50" i="205"/>
  <c r="AD60" i="205"/>
  <c r="AU60" i="205" s="1"/>
  <c r="AJ14" i="205"/>
  <c r="AU18" i="205"/>
  <c r="AD21" i="205"/>
  <c r="AW21" i="205" s="1"/>
  <c r="AX21" i="205" s="1"/>
  <c r="AD27" i="205"/>
  <c r="AU27" i="205" s="1"/>
  <c r="AD20" i="205"/>
  <c r="AW20" i="205" s="1"/>
  <c r="AX20" i="205" s="1"/>
  <c r="AU58" i="205"/>
  <c r="AU52" i="205"/>
  <c r="AD69" i="205"/>
  <c r="AW69" i="205" s="1"/>
  <c r="AX69" i="205" s="1"/>
  <c r="AD14" i="205"/>
  <c r="AU51" i="205"/>
  <c r="AD70" i="205"/>
  <c r="AW70" i="205" s="1"/>
  <c r="AX70" i="205" s="1"/>
  <c r="AU31" i="205"/>
  <c r="AU53" i="205"/>
  <c r="AU22" i="205"/>
  <c r="AU54" i="205"/>
  <c r="AU17" i="205"/>
  <c r="AD15" i="205"/>
  <c r="AU15" i="205" s="1"/>
  <c r="AU55" i="205"/>
  <c r="AD24" i="205"/>
  <c r="AU24" i="205" s="1"/>
  <c r="AD26" i="205"/>
  <c r="AU26" i="205" s="1"/>
  <c r="U57" i="35"/>
  <c r="U25" i="35"/>
  <c r="W67" i="35"/>
  <c r="X67" i="35" s="1"/>
  <c r="W31" i="35"/>
  <c r="X31" i="35" s="1"/>
  <c r="U14" i="35"/>
  <c r="U22" i="35"/>
  <c r="U66" i="35"/>
  <c r="U47" i="35"/>
  <c r="W66" i="35"/>
  <c r="X66" i="35" s="1"/>
  <c r="U24" i="35"/>
  <c r="U19" i="35"/>
  <c r="U21" i="35"/>
  <c r="W24" i="35"/>
  <c r="X24" i="35" s="1"/>
  <c r="W57" i="35"/>
  <c r="X57" i="35" s="1"/>
  <c r="W47" i="35"/>
  <c r="X47" i="35" s="1"/>
  <c r="U31" i="35"/>
  <c r="W14" i="35"/>
  <c r="X14" i="35" s="1"/>
  <c r="W22" i="35"/>
  <c r="X22" i="35" s="1"/>
  <c r="U12" i="35"/>
  <c r="U13" i="35"/>
  <c r="W21" i="35"/>
  <c r="X21" i="35" s="1"/>
  <c r="W25" i="35"/>
  <c r="X25" i="35" s="1"/>
  <c r="U18" i="35"/>
  <c r="W19" i="35"/>
  <c r="X19" i="35" s="1"/>
  <c r="U67" i="35"/>
  <c r="I40" i="133"/>
  <c r="I142" i="133"/>
  <c r="J29" i="133"/>
  <c r="J30" i="133" s="1"/>
  <c r="J36" i="133" s="1"/>
  <c r="W12" i="35"/>
  <c r="X12" i="35" s="1"/>
  <c r="W13" i="35"/>
  <c r="X13" i="35" s="1"/>
  <c r="W18" i="35"/>
  <c r="X18" i="35" s="1"/>
  <c r="K76" i="124"/>
  <c r="M29" i="138"/>
  <c r="M39" i="138"/>
  <c r="L75" i="181"/>
  <c r="L80" i="181" s="1"/>
  <c r="Q21" i="199"/>
  <c r="S21" i="199" s="1"/>
  <c r="N75" i="181"/>
  <c r="N80" i="181" s="1"/>
  <c r="M75" i="181"/>
  <c r="M80" i="181" s="1"/>
  <c r="K75" i="181"/>
  <c r="K80" i="181" s="1"/>
  <c r="K82" i="181" s="1"/>
  <c r="J75" i="181"/>
  <c r="J80" i="181" s="1"/>
  <c r="J82" i="181" s="1"/>
  <c r="R15" i="199"/>
  <c r="P75" i="181"/>
  <c r="P80" i="181" s="1"/>
  <c r="S75" i="181"/>
  <c r="S80" i="181" s="1"/>
  <c r="T75" i="181"/>
  <c r="T80" i="181" s="1"/>
  <c r="U49" i="181"/>
  <c r="U54" i="181" s="1"/>
  <c r="O75" i="181"/>
  <c r="O80" i="181" s="1"/>
  <c r="K39" i="138"/>
  <c r="K29" i="138"/>
  <c r="R45" i="124"/>
  <c r="R46" i="124" s="1"/>
  <c r="J29" i="138"/>
  <c r="S21" i="35"/>
  <c r="S24" i="35"/>
  <c r="J39" i="138"/>
  <c r="O4" i="138"/>
  <c r="K65" i="138" s="1"/>
  <c r="S14" i="35"/>
  <c r="O31" i="138"/>
  <c r="S31" i="35"/>
  <c r="S47" i="35"/>
  <c r="N39" i="138"/>
  <c r="N29" i="138"/>
  <c r="S19" i="35"/>
  <c r="L29" i="138"/>
  <c r="H30" i="138"/>
  <c r="Q80" i="181"/>
  <c r="R80" i="181"/>
  <c r="R61" i="124"/>
  <c r="V72" i="181"/>
  <c r="S25" i="35"/>
  <c r="O28" i="138"/>
  <c r="S57" i="35"/>
  <c r="S12" i="35"/>
  <c r="S67" i="35"/>
  <c r="S22" i="35"/>
  <c r="S66" i="35"/>
  <c r="S18" i="35"/>
  <c r="L39" i="138"/>
  <c r="S13" i="35"/>
  <c r="Y203" i="58"/>
  <c r="X206" i="58"/>
  <c r="C9" i="26"/>
  <c r="C10" i="26" s="1"/>
  <c r="D9" i="26"/>
  <c r="D10" i="26" s="1"/>
  <c r="G71" i="133"/>
  <c r="X154" i="137"/>
  <c r="H71" i="133"/>
  <c r="I97" i="133"/>
  <c r="G74" i="133"/>
  <c r="H126" i="133"/>
  <c r="H125" i="133"/>
  <c r="G73" i="133"/>
  <c r="J68" i="35"/>
  <c r="H33" i="35"/>
  <c r="H124" i="133"/>
  <c r="G72" i="133"/>
  <c r="G127" i="133"/>
  <c r="V287" i="110"/>
  <c r="V282" i="110"/>
  <c r="V281" i="110"/>
  <c r="V285" i="110"/>
  <c r="V288" i="110"/>
  <c r="V284" i="110"/>
  <c r="I33" i="35"/>
  <c r="E57" i="138"/>
  <c r="E61" i="138" s="1"/>
  <c r="I26" i="138"/>
  <c r="N67" i="192"/>
  <c r="N106" i="192" s="1"/>
  <c r="J41" i="192"/>
  <c r="I34" i="192"/>
  <c r="I86" i="192"/>
  <c r="I92" i="192" s="1"/>
  <c r="L82" i="192"/>
  <c r="L110" i="192"/>
  <c r="N18" i="192"/>
  <c r="M20" i="192"/>
  <c r="M25" i="192" s="1"/>
  <c r="M99" i="192" s="1"/>
  <c r="M74" i="192"/>
  <c r="M76" i="192" s="1"/>
  <c r="P10" i="192"/>
  <c r="O65" i="192"/>
  <c r="Q61" i="192"/>
  <c r="R6" i="192"/>
  <c r="Q8" i="192"/>
  <c r="R8" i="192" s="1"/>
  <c r="R11" i="133"/>
  <c r="S11" i="133" s="1"/>
  <c r="Q50" i="133"/>
  <c r="R50" i="133" s="1"/>
  <c r="EL130" i="188"/>
  <c r="EL131" i="188" s="1"/>
  <c r="L53" i="193"/>
  <c r="L71" i="193"/>
  <c r="M22" i="193"/>
  <c r="M106" i="192"/>
  <c r="M69" i="192"/>
  <c r="O12" i="192"/>
  <c r="O13" i="192" s="1"/>
  <c r="O98" i="192" s="1"/>
  <c r="O64" i="192"/>
  <c r="P9" i="192"/>
  <c r="J26" i="193"/>
  <c r="I57" i="193"/>
  <c r="I66" i="193" s="1"/>
  <c r="I75" i="193" s="1"/>
  <c r="I55" i="193"/>
  <c r="J24" i="193"/>
  <c r="G72" i="193"/>
  <c r="G67" i="193"/>
  <c r="G76" i="193" s="1"/>
  <c r="G13" i="193" s="1"/>
  <c r="G14" i="193" s="1"/>
  <c r="H18" i="193"/>
  <c r="F117" i="193"/>
  <c r="H17" i="193"/>
  <c r="J25" i="193"/>
  <c r="I56" i="193"/>
  <c r="I65" i="193" s="1"/>
  <c r="I74" i="193" s="1"/>
  <c r="J23" i="193"/>
  <c r="I27" i="193"/>
  <c r="I54" i="193"/>
  <c r="I63" i="193" s="1"/>
  <c r="H66" i="193"/>
  <c r="H63" i="193"/>
  <c r="H58" i="193"/>
  <c r="K30" i="193"/>
  <c r="K36" i="193" s="1"/>
  <c r="P51" i="35"/>
  <c r="AB47" i="133"/>
  <c r="AB87" i="133" s="1"/>
  <c r="AZ89" i="133"/>
  <c r="L76" i="35"/>
  <c r="Q13" i="206" s="1"/>
  <c r="Q70" i="133"/>
  <c r="I70" i="133"/>
  <c r="P70" i="133"/>
  <c r="H70" i="133"/>
  <c r="L70" i="133"/>
  <c r="J70" i="133"/>
  <c r="O70" i="133"/>
  <c r="G70" i="133"/>
  <c r="K70" i="133"/>
  <c r="N70" i="133"/>
  <c r="F70" i="133"/>
  <c r="F75" i="133" s="1"/>
  <c r="F77" i="133" s="1"/>
  <c r="M70" i="133"/>
  <c r="AE23" i="133"/>
  <c r="BC5" i="133"/>
  <c r="BB44" i="133"/>
  <c r="AE71" i="133"/>
  <c r="AR71" i="133"/>
  <c r="AI70" i="133"/>
  <c r="AV70" i="133"/>
  <c r="AT70" i="133"/>
  <c r="AB70" i="133"/>
  <c r="AD70" i="133"/>
  <c r="AO70" i="133"/>
  <c r="X70" i="133"/>
  <c r="S70" i="133"/>
  <c r="AC70" i="133"/>
  <c r="AS70" i="133"/>
  <c r="AU70" i="133"/>
  <c r="BD70" i="133"/>
  <c r="AK70" i="133"/>
  <c r="AM70" i="133"/>
  <c r="T70" i="133"/>
  <c r="AZ70" i="133"/>
  <c r="BB70" i="133"/>
  <c r="AG70" i="133"/>
  <c r="AX70" i="133"/>
  <c r="BA70" i="133"/>
  <c r="W70" i="133"/>
  <c r="Y70" i="133"/>
  <c r="AA70" i="133"/>
  <c r="AH70" i="133"/>
  <c r="AP70" i="133"/>
  <c r="AL70" i="133"/>
  <c r="Z70" i="133"/>
  <c r="V70" i="133"/>
  <c r="AQ70" i="133"/>
  <c r="AN70" i="133"/>
  <c r="AY70" i="133"/>
  <c r="U70" i="133"/>
  <c r="AW70" i="133"/>
  <c r="AJ70" i="133"/>
  <c r="AF70" i="133"/>
  <c r="BC70" i="133"/>
  <c r="BE71" i="133"/>
  <c r="AD7" i="133"/>
  <c r="AD46" i="133" s="1"/>
  <c r="AC46" i="133"/>
  <c r="Y60" i="133"/>
  <c r="Y88" i="133" s="1"/>
  <c r="Y89" i="133" s="1"/>
  <c r="AA17" i="133"/>
  <c r="Z57" i="133"/>
  <c r="Z60" i="133" s="1"/>
  <c r="Z88" i="133" s="1"/>
  <c r="Z89" i="133" s="1"/>
  <c r="Z20" i="133"/>
  <c r="AE63" i="133"/>
  <c r="AQ10" i="133"/>
  <c r="AQ49" i="133" s="1"/>
  <c r="AP49" i="133"/>
  <c r="BD49" i="133"/>
  <c r="BE49" i="133" s="1"/>
  <c r="BE10" i="133"/>
  <c r="BB6" i="133"/>
  <c r="BA45" i="133"/>
  <c r="BA47" i="133" s="1"/>
  <c r="BA87" i="133" s="1"/>
  <c r="BA8" i="133"/>
  <c r="L94" i="133"/>
  <c r="Y49" i="205" s="1"/>
  <c r="AA49" i="205" s="1"/>
  <c r="AD9" i="133"/>
  <c r="AD48" i="133" s="1"/>
  <c r="AC48" i="133"/>
  <c r="AQ5" i="133"/>
  <c r="AQ44" i="133" s="1"/>
  <c r="AP44" i="133"/>
  <c r="AN17" i="133"/>
  <c r="AM57" i="133"/>
  <c r="AM60" i="133" s="1"/>
  <c r="AM88" i="133" s="1"/>
  <c r="AM89" i="133" s="1"/>
  <c r="AM20" i="133"/>
  <c r="AP6" i="133"/>
  <c r="AO45" i="133"/>
  <c r="AO47" i="133" s="1"/>
  <c r="AO87" i="133" s="1"/>
  <c r="AO8" i="133"/>
  <c r="N45" i="133"/>
  <c r="AD6" i="133"/>
  <c r="AC45" i="133"/>
  <c r="M44" i="133"/>
  <c r="N5" i="133"/>
  <c r="M8" i="133"/>
  <c r="M13" i="133" s="1"/>
  <c r="M83" i="133"/>
  <c r="BD59" i="133"/>
  <c r="BE59" i="133" s="1"/>
  <c r="BE19" i="133"/>
  <c r="O9" i="133"/>
  <c r="N12" i="133"/>
  <c r="N48" i="133"/>
  <c r="N51" i="133" s="1"/>
  <c r="AP9" i="133"/>
  <c r="AO48" i="133"/>
  <c r="AD59" i="133"/>
  <c r="AE19" i="133"/>
  <c r="AQ19" i="133"/>
  <c r="AP59" i="133"/>
  <c r="AA87" i="133"/>
  <c r="AQ18" i="133"/>
  <c r="AP58" i="133"/>
  <c r="AA22" i="133"/>
  <c r="AA24" i="133" s="1"/>
  <c r="Z62" i="133"/>
  <c r="Z64" i="133" s="1"/>
  <c r="BA60" i="133"/>
  <c r="AD10" i="133"/>
  <c r="AC49" i="133"/>
  <c r="Z24" i="133"/>
  <c r="Y84" i="133"/>
  <c r="L46" i="35"/>
  <c r="BC17" i="133"/>
  <c r="BB20" i="133"/>
  <c r="BB57" i="133"/>
  <c r="BB60" i="133" s="1"/>
  <c r="BC9" i="133"/>
  <c r="BB48" i="133"/>
  <c r="L83" i="133"/>
  <c r="L53" i="133"/>
  <c r="AD5" i="133"/>
  <c r="AE5" i="133" s="1"/>
  <c r="AC8" i="133"/>
  <c r="AC44" i="133"/>
  <c r="AQ46" i="133"/>
  <c r="R46" i="133"/>
  <c r="BD46" i="133"/>
  <c r="BE7" i="133"/>
  <c r="AB21" i="133"/>
  <c r="AA61" i="133"/>
  <c r="W168" i="110"/>
  <c r="S34" i="199"/>
  <c r="T64" i="199"/>
  <c r="R50" i="199"/>
  <c r="F60" i="199"/>
  <c r="S50" i="199"/>
  <c r="O466" i="110"/>
  <c r="J12" i="124"/>
  <c r="U466" i="110"/>
  <c r="N12" i="124"/>
  <c r="S466" i="110"/>
  <c r="T466" i="110"/>
  <c r="O12" i="124"/>
  <c r="V464" i="110"/>
  <c r="M466" i="110"/>
  <c r="N466" i="110"/>
  <c r="M12" i="124"/>
  <c r="P12" i="124"/>
  <c r="R10" i="124"/>
  <c r="K466" i="110"/>
  <c r="R466" i="110"/>
  <c r="V465" i="110"/>
  <c r="L466" i="110"/>
  <c r="G12" i="124"/>
  <c r="P466" i="110"/>
  <c r="Q466" i="110"/>
  <c r="R11" i="124"/>
  <c r="L12" i="124"/>
  <c r="K12" i="124"/>
  <c r="V254" i="110"/>
  <c r="F58" i="124"/>
  <c r="R57" i="124"/>
  <c r="R58" i="124" s="1"/>
  <c r="T22" i="119"/>
  <c r="T23" i="119" s="1"/>
  <c r="T14" i="119"/>
  <c r="Z14" i="119"/>
  <c r="P14" i="119"/>
  <c r="P22" i="119"/>
  <c r="P23" i="119" s="1"/>
  <c r="W22" i="119"/>
  <c r="W23" i="119" s="1"/>
  <c r="W14" i="119"/>
  <c r="H12" i="124"/>
  <c r="V470" i="110"/>
  <c r="V459" i="110"/>
  <c r="V473" i="110" s="1"/>
  <c r="V374" i="110"/>
  <c r="V375" i="110" s="1"/>
  <c r="S14" i="119"/>
  <c r="S22" i="119"/>
  <c r="S23" i="119" s="1"/>
  <c r="Y14" i="119"/>
  <c r="Y22" i="119"/>
  <c r="Y23" i="119" s="1"/>
  <c r="I12" i="124"/>
  <c r="F144" i="133"/>
  <c r="E144" i="133" s="1"/>
  <c r="E143" i="133"/>
  <c r="R143" i="133"/>
  <c r="O12" i="119"/>
  <c r="V266" i="110"/>
  <c r="J279" i="110"/>
  <c r="V279" i="110" s="1"/>
  <c r="V278" i="110"/>
  <c r="J466" i="110"/>
  <c r="V463" i="110"/>
  <c r="I80" i="181"/>
  <c r="I82" i="181" s="1"/>
  <c r="U73" i="181"/>
  <c r="Q14" i="119"/>
  <c r="Q22" i="119"/>
  <c r="Q23" i="119" s="1"/>
  <c r="U14" i="119"/>
  <c r="U22" i="119"/>
  <c r="U23" i="119" s="1"/>
  <c r="V262" i="110"/>
  <c r="R9" i="124"/>
  <c r="F12" i="124"/>
  <c r="J269" i="110"/>
  <c r="V269" i="110" s="1"/>
  <c r="V268" i="110"/>
  <c r="K73" i="137"/>
  <c r="R22" i="119"/>
  <c r="R23" i="119" s="1"/>
  <c r="R14" i="119"/>
  <c r="V275" i="110"/>
  <c r="J276" i="110"/>
  <c r="V276" i="110" s="1"/>
  <c r="Q12" i="124"/>
  <c r="K19" i="137"/>
  <c r="X73" i="137"/>
  <c r="X74" i="137" s="1"/>
  <c r="V14" i="119"/>
  <c r="V22" i="119"/>
  <c r="V23" i="119" s="1"/>
  <c r="X22" i="119"/>
  <c r="X23" i="119" s="1"/>
  <c r="X14" i="119"/>
  <c r="H26" i="138"/>
  <c r="D20" i="26"/>
  <c r="D22" i="26" s="1"/>
  <c r="P48" i="199" l="1"/>
  <c r="P50" i="199" s="1"/>
  <c r="P60" i="199" s="1"/>
  <c r="I123" i="133"/>
  <c r="I71" i="133" s="1"/>
  <c r="Q17" i="199"/>
  <c r="R21" i="199"/>
  <c r="Q23" i="199"/>
  <c r="Q25" i="199" s="1"/>
  <c r="Q48" i="199" s="1"/>
  <c r="Q50" i="199" s="1"/>
  <c r="Q60" i="199" s="1"/>
  <c r="AQ36" i="205"/>
  <c r="AQ72" i="205"/>
  <c r="AS72" i="205" s="1"/>
  <c r="AS71" i="205"/>
  <c r="C26" i="206"/>
  <c r="D26" i="206" s="1"/>
  <c r="C15" i="206"/>
  <c r="D15" i="206" s="1"/>
  <c r="AU69" i="205"/>
  <c r="AW27" i="205"/>
  <c r="AX27" i="205" s="1"/>
  <c r="AW60" i="205"/>
  <c r="AX60" i="205" s="1"/>
  <c r="AU21" i="205"/>
  <c r="M17" i="35"/>
  <c r="K30" i="138" s="1"/>
  <c r="K52" i="138" s="1"/>
  <c r="Y19" i="205"/>
  <c r="L17" i="35"/>
  <c r="J30" i="138" s="1"/>
  <c r="J52" i="138" s="1"/>
  <c r="V19" i="205"/>
  <c r="AU20" i="205"/>
  <c r="AW14" i="205"/>
  <c r="AX14" i="205" s="1"/>
  <c r="AW15" i="205"/>
  <c r="AX15" i="205" s="1"/>
  <c r="AW50" i="205"/>
  <c r="AX50" i="205" s="1"/>
  <c r="AW16" i="205"/>
  <c r="AX16" i="205" s="1"/>
  <c r="AW24" i="205"/>
  <c r="AX24" i="205" s="1"/>
  <c r="AU33" i="205"/>
  <c r="R17" i="35"/>
  <c r="AN19" i="205"/>
  <c r="AP19" i="205" s="1"/>
  <c r="AW23" i="205"/>
  <c r="AX23" i="205" s="1"/>
  <c r="AA11" i="205"/>
  <c r="AU14" i="205"/>
  <c r="G10" i="206"/>
  <c r="F11" i="206"/>
  <c r="G11" i="206" s="1"/>
  <c r="F12" i="206"/>
  <c r="T33" i="35"/>
  <c r="J10" i="206"/>
  <c r="I11" i="206"/>
  <c r="J11" i="206" s="1"/>
  <c r="I12" i="206"/>
  <c r="J69" i="35"/>
  <c r="L10" i="206"/>
  <c r="T68" i="35"/>
  <c r="X11" i="205"/>
  <c r="AM11" i="205"/>
  <c r="Q17" i="35"/>
  <c r="AK19" i="205"/>
  <c r="AG11" i="205"/>
  <c r="U9" i="35"/>
  <c r="P17" i="35"/>
  <c r="N30" i="138" s="1"/>
  <c r="N52" i="138" s="1"/>
  <c r="AH19" i="205"/>
  <c r="AU70" i="205"/>
  <c r="N17" i="35"/>
  <c r="L30" i="138" s="1"/>
  <c r="L52" i="138" s="1"/>
  <c r="AB19" i="205"/>
  <c r="O17" i="35"/>
  <c r="M30" i="138" s="1"/>
  <c r="M52" i="138" s="1"/>
  <c r="AE19" i="205"/>
  <c r="AU50" i="205"/>
  <c r="AJ11" i="205"/>
  <c r="W9" i="35"/>
  <c r="X9" i="35" s="1"/>
  <c r="AD11" i="205"/>
  <c r="AW26" i="205"/>
  <c r="AX26" i="205" s="1"/>
  <c r="J40" i="133"/>
  <c r="J142" i="133"/>
  <c r="K29" i="133"/>
  <c r="K30" i="133" s="1"/>
  <c r="K36" i="133" s="1"/>
  <c r="K128" i="133" s="1"/>
  <c r="U62" i="35"/>
  <c r="W62" i="35"/>
  <c r="X62" i="35" s="1"/>
  <c r="S62" i="35"/>
  <c r="U61" i="35"/>
  <c r="W61" i="35"/>
  <c r="X61" i="35" s="1"/>
  <c r="S61" i="35"/>
  <c r="U60" i="35"/>
  <c r="W60" i="35"/>
  <c r="X60" i="35" s="1"/>
  <c r="S60" i="35"/>
  <c r="V68" i="35"/>
  <c r="H52" i="138"/>
  <c r="U75" i="181"/>
  <c r="U80" i="181" s="1"/>
  <c r="S5" i="35"/>
  <c r="Y206" i="58"/>
  <c r="O29" i="138"/>
  <c r="O39" i="138"/>
  <c r="K68" i="35"/>
  <c r="O10" i="206" s="1"/>
  <c r="P20" i="157"/>
  <c r="P21" i="157" s="1"/>
  <c r="X330" i="58"/>
  <c r="H127" i="133"/>
  <c r="G75" i="133"/>
  <c r="G77" i="133" s="1"/>
  <c r="G86" i="133" s="1"/>
  <c r="E9" i="26"/>
  <c r="E10" i="26" s="1"/>
  <c r="H73" i="133"/>
  <c r="I125" i="133"/>
  <c r="H74" i="133"/>
  <c r="I126" i="133"/>
  <c r="F57" i="138"/>
  <c r="F61" i="138" s="1"/>
  <c r="J97" i="133"/>
  <c r="H72" i="133"/>
  <c r="I124" i="133"/>
  <c r="N69" i="192"/>
  <c r="L35" i="138"/>
  <c r="P65" i="192"/>
  <c r="Q10" i="192"/>
  <c r="M82" i="192"/>
  <c r="M110" i="192"/>
  <c r="M111" i="192" s="1"/>
  <c r="N20" i="192"/>
  <c r="N25" i="192" s="1"/>
  <c r="O18" i="192"/>
  <c r="N74" i="192"/>
  <c r="N76" i="192" s="1"/>
  <c r="L111" i="192"/>
  <c r="I107" i="192"/>
  <c r="I108" i="192" s="1"/>
  <c r="I112" i="192" s="1"/>
  <c r="I94" i="192"/>
  <c r="I100" i="192"/>
  <c r="I101" i="192" s="1"/>
  <c r="I36" i="192"/>
  <c r="J29" i="192"/>
  <c r="J46" i="192"/>
  <c r="J47" i="192" s="1"/>
  <c r="R61" i="192"/>
  <c r="Q63" i="192"/>
  <c r="S50" i="133"/>
  <c r="S51" i="133" s="1"/>
  <c r="T11" i="133"/>
  <c r="S12" i="133"/>
  <c r="S13" i="133" s="1"/>
  <c r="AE48" i="133"/>
  <c r="Q9" i="192"/>
  <c r="R9" i="192" s="1"/>
  <c r="P12" i="192"/>
  <c r="P13" i="192" s="1"/>
  <c r="P98" i="192" s="1"/>
  <c r="P64" i="192"/>
  <c r="N22" i="193"/>
  <c r="M53" i="193"/>
  <c r="M71" i="193"/>
  <c r="O67" i="192"/>
  <c r="I72" i="193"/>
  <c r="G117" i="193"/>
  <c r="I18" i="193"/>
  <c r="I17" i="193"/>
  <c r="J54" i="193"/>
  <c r="K23" i="193"/>
  <c r="J27" i="193"/>
  <c r="J55" i="193"/>
  <c r="J64" i="193" s="1"/>
  <c r="J73" i="193" s="1"/>
  <c r="K24" i="193"/>
  <c r="I58" i="193"/>
  <c r="I64" i="193"/>
  <c r="I73" i="193" s="1"/>
  <c r="H72" i="193"/>
  <c r="H67" i="193"/>
  <c r="H76" i="193" s="1"/>
  <c r="H13" i="193" s="1"/>
  <c r="H14" i="193" s="1"/>
  <c r="J56" i="193"/>
  <c r="J65" i="193" s="1"/>
  <c r="J74" i="193" s="1"/>
  <c r="K25" i="193"/>
  <c r="K26" i="193"/>
  <c r="J57" i="193"/>
  <c r="J66" i="193" s="1"/>
  <c r="J75" i="193" s="1"/>
  <c r="H75" i="193"/>
  <c r="L30" i="193"/>
  <c r="L36" i="193" s="1"/>
  <c r="AR10" i="133"/>
  <c r="AE7" i="133"/>
  <c r="Q51" i="35"/>
  <c r="M35" i="138" s="1"/>
  <c r="H42" i="138"/>
  <c r="G12" i="26"/>
  <c r="F86" i="133"/>
  <c r="F79" i="133"/>
  <c r="BC44" i="133"/>
  <c r="BD5" i="133"/>
  <c r="BD44" i="133" s="1"/>
  <c r="AE46" i="133"/>
  <c r="AR70" i="133"/>
  <c r="Y66" i="133"/>
  <c r="Z25" i="133"/>
  <c r="Z95" i="133" s="1"/>
  <c r="R70" i="133"/>
  <c r="BE70" i="133"/>
  <c r="AE70" i="133"/>
  <c r="AB17" i="133"/>
  <c r="AA57" i="133"/>
  <c r="AA60" i="133" s="1"/>
  <c r="AA88" i="133" s="1"/>
  <c r="AA89" i="133" s="1"/>
  <c r="AA20" i="133"/>
  <c r="AA25" i="133" s="1"/>
  <c r="AA95" i="133" s="1"/>
  <c r="AR5" i="133"/>
  <c r="AR49" i="133"/>
  <c r="BC6" i="133"/>
  <c r="BB45" i="133"/>
  <c r="BB47" i="133" s="1"/>
  <c r="BB87" i="133" s="1"/>
  <c r="BB8" i="133"/>
  <c r="AE6" i="133"/>
  <c r="AD45" i="133"/>
  <c r="AE45" i="133" s="1"/>
  <c r="AC47" i="133"/>
  <c r="AC87" i="133" s="1"/>
  <c r="AO17" i="133"/>
  <c r="AN57" i="133"/>
  <c r="AN20" i="133"/>
  <c r="O45" i="133"/>
  <c r="AR44" i="133"/>
  <c r="AE9" i="133"/>
  <c r="M46" i="35"/>
  <c r="AQ6" i="133"/>
  <c r="AR6" i="133" s="1"/>
  <c r="AP45" i="133"/>
  <c r="AP47" i="133" s="1"/>
  <c r="AP87" i="133" s="1"/>
  <c r="AP8" i="133"/>
  <c r="AE59" i="133"/>
  <c r="M47" i="133"/>
  <c r="N44" i="133"/>
  <c r="N47" i="133" s="1"/>
  <c r="N87" i="133" s="1"/>
  <c r="N89" i="133" s="1"/>
  <c r="O5" i="133"/>
  <c r="N8" i="133"/>
  <c r="N13" i="133" s="1"/>
  <c r="AD8" i="133"/>
  <c r="AD44" i="133"/>
  <c r="BD9" i="133"/>
  <c r="BC48" i="133"/>
  <c r="BB88" i="133"/>
  <c r="BE46" i="133"/>
  <c r="BA88" i="133"/>
  <c r="M94" i="133"/>
  <c r="AB49" i="205" s="1"/>
  <c r="AD49" i="205" s="1"/>
  <c r="BC20" i="133"/>
  <c r="BD17" i="133"/>
  <c r="BC57" i="133"/>
  <c r="BC60" i="133" s="1"/>
  <c r="AQ59" i="133"/>
  <c r="AR59" i="133" s="1"/>
  <c r="AR19" i="133"/>
  <c r="AQ9" i="133"/>
  <c r="AP48" i="133"/>
  <c r="Z84" i="133"/>
  <c r="Z66" i="133"/>
  <c r="N83" i="133"/>
  <c r="AB22" i="133"/>
  <c r="AB24" i="133" s="1"/>
  <c r="AA62" i="133"/>
  <c r="AA64" i="133" s="1"/>
  <c r="AC21" i="133"/>
  <c r="AB61" i="133"/>
  <c r="AR46" i="133"/>
  <c r="AD49" i="133"/>
  <c r="AE10" i="133"/>
  <c r="AQ58" i="133"/>
  <c r="AR18" i="133"/>
  <c r="O48" i="133"/>
  <c r="O51" i="133" s="1"/>
  <c r="P9" i="133"/>
  <c r="O12" i="133"/>
  <c r="S60" i="199"/>
  <c r="R60" i="199"/>
  <c r="V466" i="110"/>
  <c r="R12" i="124"/>
  <c r="R59" i="124"/>
  <c r="R73" i="124"/>
  <c r="R76" i="124" s="1"/>
  <c r="R78" i="124" s="1"/>
  <c r="K145" i="137"/>
  <c r="AA12" i="119"/>
  <c r="O13" i="119"/>
  <c r="D61" i="138"/>
  <c r="D58" i="138"/>
  <c r="E20" i="26"/>
  <c r="E22" i="26" s="1"/>
  <c r="Q63" i="199" l="1"/>
  <c r="J123" i="133"/>
  <c r="K129" i="133"/>
  <c r="C17" i="206"/>
  <c r="C31" i="206" s="1"/>
  <c r="C33" i="206" s="1"/>
  <c r="O45" i="35"/>
  <c r="AE48" i="205"/>
  <c r="X19" i="205"/>
  <c r="AA19" i="205"/>
  <c r="AW11" i="205"/>
  <c r="AX11" i="205" s="1"/>
  <c r="AU11" i="205"/>
  <c r="U17" i="35"/>
  <c r="P10" i="206"/>
  <c r="O11" i="206"/>
  <c r="P11" i="206" s="1"/>
  <c r="M10" i="206"/>
  <c r="L11" i="206"/>
  <c r="M11" i="206" s="1"/>
  <c r="L12" i="206"/>
  <c r="AM10" i="206"/>
  <c r="G12" i="206"/>
  <c r="F15" i="206"/>
  <c r="F26" i="206"/>
  <c r="G26" i="206" s="1"/>
  <c r="J12" i="206"/>
  <c r="I15" i="206"/>
  <c r="I26" i="206"/>
  <c r="J26" i="206" s="1"/>
  <c r="AM19" i="205"/>
  <c r="AG19" i="205"/>
  <c r="AD19" i="205"/>
  <c r="AJ19" i="205"/>
  <c r="V75" i="181"/>
  <c r="K40" i="133"/>
  <c r="K142" i="133"/>
  <c r="K96" i="133"/>
  <c r="L29" i="133"/>
  <c r="L36" i="133" s="1"/>
  <c r="L40" i="133" s="1"/>
  <c r="I30" i="138"/>
  <c r="I52" i="138" s="1"/>
  <c r="W17" i="35"/>
  <c r="X17" i="35" s="1"/>
  <c r="K69" i="35"/>
  <c r="S17" i="35"/>
  <c r="V80" i="181"/>
  <c r="U83" i="181"/>
  <c r="U85" i="181" s="1"/>
  <c r="F9" i="26"/>
  <c r="F10" i="26" s="1"/>
  <c r="H75" i="133"/>
  <c r="H77" i="133" s="1"/>
  <c r="H86" i="133" s="1"/>
  <c r="H90" i="133" s="1"/>
  <c r="G79" i="133"/>
  <c r="I127" i="133"/>
  <c r="K33" i="35"/>
  <c r="I72" i="133"/>
  <c r="J124" i="133"/>
  <c r="I74" i="133"/>
  <c r="J126" i="133"/>
  <c r="I73" i="133"/>
  <c r="J125" i="133"/>
  <c r="G61" i="138"/>
  <c r="P67" i="192"/>
  <c r="P69" i="192" s="1"/>
  <c r="R63" i="192"/>
  <c r="Q109" i="192"/>
  <c r="T50" i="133"/>
  <c r="T51" i="133" s="1"/>
  <c r="T12" i="133"/>
  <c r="T13" i="133" s="1"/>
  <c r="U11" i="133"/>
  <c r="O74" i="192"/>
  <c r="O76" i="192" s="1"/>
  <c r="O20" i="192"/>
  <c r="O25" i="192" s="1"/>
  <c r="O99" i="192" s="1"/>
  <c r="P18" i="192"/>
  <c r="N99" i="192"/>
  <c r="S83" i="133"/>
  <c r="S86" i="133" s="1"/>
  <c r="S53" i="133"/>
  <c r="N82" i="192"/>
  <c r="N110" i="192"/>
  <c r="J34" i="192"/>
  <c r="J86" i="192"/>
  <c r="J92" i="192" s="1"/>
  <c r="K41" i="192"/>
  <c r="Q65" i="192"/>
  <c r="R65" i="192" s="1"/>
  <c r="R10" i="192"/>
  <c r="S94" i="133"/>
  <c r="S97" i="133" s="1"/>
  <c r="N53" i="193"/>
  <c r="N71" i="193"/>
  <c r="O22" i="193"/>
  <c r="P22" i="193" s="1"/>
  <c r="Q12" i="192"/>
  <c r="Q64" i="192"/>
  <c r="O106" i="192"/>
  <c r="O69" i="192"/>
  <c r="L23" i="193"/>
  <c r="K54" i="193"/>
  <c r="K27" i="193"/>
  <c r="J63" i="193"/>
  <c r="J58" i="193"/>
  <c r="BE44" i="133"/>
  <c r="K57" i="193"/>
  <c r="L26" i="193"/>
  <c r="L24" i="193"/>
  <c r="K55" i="193"/>
  <c r="K64" i="193" s="1"/>
  <c r="K73" i="193" s="1"/>
  <c r="I67" i="193"/>
  <c r="I76" i="193" s="1"/>
  <c r="I13" i="193" s="1"/>
  <c r="I14" i="193" s="1"/>
  <c r="L25" i="193"/>
  <c r="K56" i="193"/>
  <c r="K65" i="193" s="1"/>
  <c r="K74" i="193" s="1"/>
  <c r="J17" i="193"/>
  <c r="J18" i="193"/>
  <c r="H117" i="193"/>
  <c r="M30" i="193"/>
  <c r="M36" i="193" s="1"/>
  <c r="R51" i="35"/>
  <c r="W51" i="35" s="1"/>
  <c r="X51" i="35" s="1"/>
  <c r="F90" i="133"/>
  <c r="G90" i="133"/>
  <c r="BE5" i="133"/>
  <c r="BB89" i="133"/>
  <c r="AC17" i="133"/>
  <c r="AB57" i="133"/>
  <c r="AB20" i="133"/>
  <c r="AB25" i="133" s="1"/>
  <c r="AB95" i="133" s="1"/>
  <c r="BC45" i="133"/>
  <c r="BC47" i="133" s="1"/>
  <c r="BC87" i="133" s="1"/>
  <c r="BD6" i="133"/>
  <c r="BC8" i="133"/>
  <c r="AN60" i="133"/>
  <c r="AN88" i="133" s="1"/>
  <c r="AN89" i="133" s="1"/>
  <c r="Q45" i="133"/>
  <c r="P45" i="133"/>
  <c r="AP17" i="133"/>
  <c r="AO57" i="133"/>
  <c r="AO60" i="133" s="1"/>
  <c r="AO88" i="133" s="1"/>
  <c r="AO89" i="133" s="1"/>
  <c r="AO20" i="133"/>
  <c r="AQ45" i="133"/>
  <c r="AQ8" i="133"/>
  <c r="AR8" i="133" s="1"/>
  <c r="N53" i="133"/>
  <c r="N94" i="133"/>
  <c r="AE49" i="205" s="1"/>
  <c r="AG49" i="205" s="1"/>
  <c r="O44" i="133"/>
  <c r="O47" i="133" s="1"/>
  <c r="O53" i="133" s="1"/>
  <c r="P5" i="133"/>
  <c r="O8" i="133"/>
  <c r="O13" i="133" s="1"/>
  <c r="M87" i="133"/>
  <c r="M89" i="133" s="1"/>
  <c r="M53" i="133"/>
  <c r="AA84" i="133"/>
  <c r="AA66" i="133"/>
  <c r="AD21" i="133"/>
  <c r="AC61" i="133"/>
  <c r="BC88" i="133"/>
  <c r="AD47" i="133"/>
  <c r="AE44" i="133"/>
  <c r="AR58" i="133"/>
  <c r="AQ48" i="133"/>
  <c r="AR9" i="133"/>
  <c r="BD20" i="133"/>
  <c r="BD57" i="133"/>
  <c r="BD60" i="133" s="1"/>
  <c r="BE17" i="133"/>
  <c r="BE20" i="133" s="1"/>
  <c r="N46" i="35"/>
  <c r="P12" i="133"/>
  <c r="Q9" i="133"/>
  <c r="P48" i="133"/>
  <c r="P51" i="133" s="1"/>
  <c r="BA89" i="133"/>
  <c r="O83" i="133"/>
  <c r="AE49" i="133"/>
  <c r="BD48" i="133"/>
  <c r="BE9" i="133"/>
  <c r="AC22" i="133"/>
  <c r="AC24" i="133" s="1"/>
  <c r="AB62" i="133"/>
  <c r="AB64" i="133" s="1"/>
  <c r="AE8" i="133"/>
  <c r="S9" i="35"/>
  <c r="C61" i="138"/>
  <c r="O14" i="119"/>
  <c r="AA14" i="119" s="1"/>
  <c r="O22" i="119"/>
  <c r="O23" i="119" s="1"/>
  <c r="AA13" i="119"/>
  <c r="F20" i="26"/>
  <c r="F22" i="26" s="1"/>
  <c r="L26" i="35"/>
  <c r="K123" i="133" l="1"/>
  <c r="J71" i="133"/>
  <c r="D17" i="206"/>
  <c r="L11" i="35"/>
  <c r="L33" i="35" s="1"/>
  <c r="V13" i="205"/>
  <c r="L63" i="35"/>
  <c r="V66" i="205"/>
  <c r="N45" i="35"/>
  <c r="AB48" i="205"/>
  <c r="K97" i="133"/>
  <c r="M63" i="35"/>
  <c r="I34" i="138" s="1"/>
  <c r="Y66" i="205"/>
  <c r="AG48" i="205"/>
  <c r="AW19" i="205"/>
  <c r="AX19" i="205" s="1"/>
  <c r="AM11" i="206"/>
  <c r="AN11" i="206" s="1"/>
  <c r="AN10" i="206"/>
  <c r="AO10" i="206" s="1"/>
  <c r="J15" i="206"/>
  <c r="I17" i="206"/>
  <c r="L26" i="206"/>
  <c r="M26" i="206" s="1"/>
  <c r="L15" i="206"/>
  <c r="M12" i="206"/>
  <c r="U51" i="35"/>
  <c r="G15" i="206"/>
  <c r="F17" i="206"/>
  <c r="C32" i="206"/>
  <c r="C18" i="206" s="1"/>
  <c r="Q21" i="206"/>
  <c r="Q23" i="206" s="1"/>
  <c r="AU19" i="205"/>
  <c r="O30" i="138"/>
  <c r="L142" i="133"/>
  <c r="M29" i="133"/>
  <c r="L96" i="133"/>
  <c r="Y13" i="205" s="1"/>
  <c r="H79" i="133"/>
  <c r="L128" i="133"/>
  <c r="L129" i="133" s="1"/>
  <c r="P106" i="192"/>
  <c r="J127" i="133"/>
  <c r="I75" i="133"/>
  <c r="I77" i="133" s="1"/>
  <c r="I79" i="133" s="1"/>
  <c r="K71" i="133"/>
  <c r="J74" i="133"/>
  <c r="K126" i="133"/>
  <c r="K74" i="133" s="1"/>
  <c r="J72" i="133"/>
  <c r="K124" i="133"/>
  <c r="K72" i="133" s="1"/>
  <c r="J73" i="133"/>
  <c r="K125" i="133"/>
  <c r="K73" i="133" s="1"/>
  <c r="M36" i="133"/>
  <c r="N35" i="138"/>
  <c r="O35" i="138" s="1"/>
  <c r="S51" i="35"/>
  <c r="J107" i="192"/>
  <c r="J108" i="192" s="1"/>
  <c r="J112" i="192" s="1"/>
  <c r="J94" i="192"/>
  <c r="N111" i="192"/>
  <c r="V11" i="133"/>
  <c r="U50" i="133"/>
  <c r="U51" i="133" s="1"/>
  <c r="U12" i="133"/>
  <c r="U13" i="133" s="1"/>
  <c r="P74" i="192"/>
  <c r="P76" i="192" s="1"/>
  <c r="P20" i="192"/>
  <c r="P25" i="192" s="1"/>
  <c r="Q18" i="192"/>
  <c r="T94" i="133"/>
  <c r="T97" i="133" s="1"/>
  <c r="O110" i="192"/>
  <c r="O111" i="192" s="1"/>
  <c r="O82" i="192"/>
  <c r="T53" i="133"/>
  <c r="T83" i="133"/>
  <c r="T86" i="133" s="1"/>
  <c r="J100" i="192"/>
  <c r="J101" i="192" s="1"/>
  <c r="J36" i="192"/>
  <c r="Q67" i="192"/>
  <c r="R67" i="192" s="1"/>
  <c r="R109" i="192"/>
  <c r="K29" i="192"/>
  <c r="K46" i="192"/>
  <c r="K47" i="192" s="1"/>
  <c r="R64" i="192"/>
  <c r="O53" i="193"/>
  <c r="P53" i="193" s="1"/>
  <c r="O71" i="193"/>
  <c r="P71" i="193" s="1"/>
  <c r="R12" i="192"/>
  <c r="Q13" i="192"/>
  <c r="O26" i="138"/>
  <c r="M25" i="193"/>
  <c r="L56" i="193"/>
  <c r="J72" i="193"/>
  <c r="J67" i="193"/>
  <c r="J76" i="193" s="1"/>
  <c r="J13" i="193" s="1"/>
  <c r="J14" i="193" s="1"/>
  <c r="M24" i="193"/>
  <c r="L55" i="193"/>
  <c r="K17" i="193"/>
  <c r="K18" i="193"/>
  <c r="I117" i="193"/>
  <c r="L57" i="193"/>
  <c r="L66" i="193" s="1"/>
  <c r="L75" i="193" s="1"/>
  <c r="M26" i="193"/>
  <c r="K63" i="193"/>
  <c r="K58" i="193"/>
  <c r="K66" i="193"/>
  <c r="L54" i="193"/>
  <c r="M23" i="193"/>
  <c r="L27" i="193"/>
  <c r="G34" i="35"/>
  <c r="N30" i="193"/>
  <c r="N36" i="193" s="1"/>
  <c r="I34" i="35"/>
  <c r="H34" i="35"/>
  <c r="BE57" i="133"/>
  <c r="BE60" i="133" s="1"/>
  <c r="BC89" i="133"/>
  <c r="AB60" i="133"/>
  <c r="AB88" i="133" s="1"/>
  <c r="AD17" i="133"/>
  <c r="AC57" i="133"/>
  <c r="AC60" i="133" s="1"/>
  <c r="AC88" i="133" s="1"/>
  <c r="AC89" i="133" s="1"/>
  <c r="AC20" i="133"/>
  <c r="AC25" i="133" s="1"/>
  <c r="AC95" i="133" s="1"/>
  <c r="E56" i="138"/>
  <c r="E58" i="138" s="1"/>
  <c r="BD45" i="133"/>
  <c r="BD8" i="133"/>
  <c r="BE8" i="133" s="1"/>
  <c r="BE6" i="133"/>
  <c r="R45" i="133"/>
  <c r="AR45" i="133"/>
  <c r="AQ47" i="133"/>
  <c r="AQ17" i="133"/>
  <c r="AP57" i="133"/>
  <c r="AP20" i="133"/>
  <c r="R6" i="133"/>
  <c r="P44" i="133"/>
  <c r="P47" i="133" s="1"/>
  <c r="P87" i="133" s="1"/>
  <c r="P89" i="133" s="1"/>
  <c r="Q5" i="133"/>
  <c r="P8" i="133"/>
  <c r="P13" i="133" s="1"/>
  <c r="O87" i="133"/>
  <c r="O46" i="35"/>
  <c r="AB84" i="133"/>
  <c r="AD22" i="133"/>
  <c r="AD24" i="133" s="1"/>
  <c r="AC62" i="133"/>
  <c r="AC64" i="133" s="1"/>
  <c r="Q12" i="133"/>
  <c r="Q48" i="133"/>
  <c r="R9" i="133"/>
  <c r="O94" i="133"/>
  <c r="AH49" i="205" s="1"/>
  <c r="AJ49" i="205" s="1"/>
  <c r="AD61" i="133"/>
  <c r="AE21" i="133"/>
  <c r="BE48" i="133"/>
  <c r="BD88" i="133"/>
  <c r="AD87" i="133"/>
  <c r="AE47" i="133"/>
  <c r="P83" i="133"/>
  <c r="AR48" i="133"/>
  <c r="C58" i="138"/>
  <c r="C59" i="138"/>
  <c r="D59" i="138" s="1"/>
  <c r="M26" i="35"/>
  <c r="T21" i="206" s="1"/>
  <c r="T23" i="206" s="1"/>
  <c r="G20" i="26"/>
  <c r="G22" i="26" s="1"/>
  <c r="L123" i="133" l="1"/>
  <c r="L71" i="133" s="1"/>
  <c r="M68" i="35"/>
  <c r="H9" i="26" s="1"/>
  <c r="H10" i="26" s="1"/>
  <c r="L97" i="133"/>
  <c r="Q45" i="35"/>
  <c r="AK48" i="205"/>
  <c r="AD48" i="205"/>
  <c r="AA66" i="205"/>
  <c r="Y71" i="205"/>
  <c r="AA13" i="205"/>
  <c r="Y35" i="205"/>
  <c r="AA35" i="205" s="1"/>
  <c r="X66" i="205"/>
  <c r="V71" i="205"/>
  <c r="M11" i="35"/>
  <c r="I57" i="138" s="1"/>
  <c r="I61" i="138" s="1"/>
  <c r="H34" i="138"/>
  <c r="L68" i="35"/>
  <c r="X13" i="205"/>
  <c r="V35" i="205"/>
  <c r="X35" i="205" s="1"/>
  <c r="H36" i="138"/>
  <c r="H56" i="138" s="1"/>
  <c r="H57" i="138"/>
  <c r="H61" i="138" s="1"/>
  <c r="F31" i="206"/>
  <c r="F33" i="206" s="1"/>
  <c r="G17" i="206"/>
  <c r="I31" i="206"/>
  <c r="J17" i="206"/>
  <c r="D18" i="206"/>
  <c r="C19" i="206"/>
  <c r="M69" i="35"/>
  <c r="M15" i="206"/>
  <c r="L17" i="206"/>
  <c r="I86" i="133"/>
  <c r="I90" i="133" s="1"/>
  <c r="L126" i="133"/>
  <c r="L74" i="133" s="1"/>
  <c r="L124" i="133"/>
  <c r="L72" i="133" s="1"/>
  <c r="J75" i="133"/>
  <c r="J77" i="133" s="1"/>
  <c r="L125" i="133"/>
  <c r="L73" i="133" s="1"/>
  <c r="K127" i="133"/>
  <c r="K75" i="133"/>
  <c r="K77" i="133" s="1"/>
  <c r="M142" i="133"/>
  <c r="N29" i="133"/>
  <c r="M96" i="133"/>
  <c r="AB13" i="205" s="1"/>
  <c r="M128" i="133"/>
  <c r="M129" i="133" s="1"/>
  <c r="M40" i="133"/>
  <c r="R18" i="192"/>
  <c r="R20" i="192" s="1"/>
  <c r="Q20" i="192"/>
  <c r="Q25" i="192" s="1"/>
  <c r="Q74" i="192"/>
  <c r="Q69" i="192"/>
  <c r="R69" i="192" s="1"/>
  <c r="R70" i="192" s="1"/>
  <c r="P99" i="192"/>
  <c r="U94" i="133"/>
  <c r="U97" i="133" s="1"/>
  <c r="P82" i="192"/>
  <c r="P110" i="192"/>
  <c r="P111" i="192" s="1"/>
  <c r="U53" i="133"/>
  <c r="U83" i="133"/>
  <c r="V50" i="133"/>
  <c r="V51" i="133" s="1"/>
  <c r="W11" i="133"/>
  <c r="V12" i="133"/>
  <c r="V13" i="133" s="1"/>
  <c r="Q106" i="192"/>
  <c r="R106" i="192" s="1"/>
  <c r="K86" i="192"/>
  <c r="K92" i="192" s="1"/>
  <c r="L41" i="192"/>
  <c r="K34" i="192"/>
  <c r="C9" i="138"/>
  <c r="R13" i="192"/>
  <c r="Q98" i="192"/>
  <c r="R98" i="192" s="1"/>
  <c r="AB66" i="133"/>
  <c r="B7" i="26"/>
  <c r="L64" i="193"/>
  <c r="N24" i="193"/>
  <c r="M55" i="193"/>
  <c r="M64" i="193" s="1"/>
  <c r="M73" i="193" s="1"/>
  <c r="K72" i="193"/>
  <c r="K67" i="193"/>
  <c r="K76" i="193" s="1"/>
  <c r="K13" i="193" s="1"/>
  <c r="K14" i="193" s="1"/>
  <c r="L17" i="193"/>
  <c r="L18" i="193"/>
  <c r="J117" i="193"/>
  <c r="M57" i="193"/>
  <c r="M66" i="193" s="1"/>
  <c r="M75" i="193" s="1"/>
  <c r="N26" i="193"/>
  <c r="M54" i="193"/>
  <c r="N23" i="193"/>
  <c r="M27" i="193"/>
  <c r="L63" i="193"/>
  <c r="L58" i="193"/>
  <c r="K75" i="193"/>
  <c r="L65" i="193"/>
  <c r="N25" i="193"/>
  <c r="M56" i="193"/>
  <c r="M65" i="193" s="1"/>
  <c r="M74" i="193" s="1"/>
  <c r="G37" i="35"/>
  <c r="G35" i="35"/>
  <c r="B8" i="26"/>
  <c r="B24" i="26" s="1"/>
  <c r="O30" i="193"/>
  <c r="P30" i="193" s="1"/>
  <c r="C8" i="26"/>
  <c r="H37" i="35"/>
  <c r="D9" i="138"/>
  <c r="I37" i="35"/>
  <c r="C47" i="138"/>
  <c r="C10" i="138"/>
  <c r="AE17" i="133"/>
  <c r="AE20" i="133" s="1"/>
  <c r="AD57" i="133"/>
  <c r="AD20" i="133"/>
  <c r="AD25" i="133" s="1"/>
  <c r="AB89" i="133"/>
  <c r="BE45" i="133"/>
  <c r="BD47" i="133"/>
  <c r="AR47" i="133"/>
  <c r="AQ87" i="133"/>
  <c r="P53" i="133"/>
  <c r="AP60" i="133"/>
  <c r="AP88" i="133" s="1"/>
  <c r="AP89" i="133" s="1"/>
  <c r="AQ57" i="133"/>
  <c r="AQ60" i="133" s="1"/>
  <c r="AQ88" i="133" s="1"/>
  <c r="AQ20" i="133"/>
  <c r="AR17" i="133"/>
  <c r="AR20" i="133" s="1"/>
  <c r="P94" i="133"/>
  <c r="AK49" i="205" s="1"/>
  <c r="AM49" i="205" s="1"/>
  <c r="O89" i="133"/>
  <c r="Q44" i="133"/>
  <c r="R5" i="133"/>
  <c r="Q8" i="133"/>
  <c r="R8" i="133" s="1"/>
  <c r="Q51" i="133"/>
  <c r="R48" i="133"/>
  <c r="R12" i="133"/>
  <c r="AC84" i="133"/>
  <c r="AC66" i="133"/>
  <c r="P46" i="35"/>
  <c r="AE87" i="133"/>
  <c r="AD62" i="133"/>
  <c r="AE62" i="133" s="1"/>
  <c r="AE22" i="133"/>
  <c r="AF22" i="133" s="1"/>
  <c r="BE88" i="133"/>
  <c r="AE61" i="133"/>
  <c r="C62" i="138"/>
  <c r="D62" i="138"/>
  <c r="E59" i="138"/>
  <c r="H20" i="26"/>
  <c r="H22" i="26" s="1"/>
  <c r="N26" i="35"/>
  <c r="W21" i="206" s="1"/>
  <c r="W23" i="206" s="1"/>
  <c r="T10" i="206" l="1"/>
  <c r="T11" i="206" s="1"/>
  <c r="I36" i="138"/>
  <c r="I56" i="138" s="1"/>
  <c r="I58" i="138" s="1"/>
  <c r="M33" i="35"/>
  <c r="AD13" i="205"/>
  <c r="AB35" i="205"/>
  <c r="AD35" i="205" s="1"/>
  <c r="P45" i="35"/>
  <c r="AH48" i="205"/>
  <c r="Q10" i="206"/>
  <c r="Q11" i="206" s="1"/>
  <c r="L69" i="35"/>
  <c r="G9" i="26"/>
  <c r="G10" i="26" s="1"/>
  <c r="X71" i="205"/>
  <c r="V72" i="205"/>
  <c r="N63" i="35"/>
  <c r="J34" i="138" s="1"/>
  <c r="AB66" i="205"/>
  <c r="AA71" i="205"/>
  <c r="Y72" i="205"/>
  <c r="AM48" i="205"/>
  <c r="M124" i="133"/>
  <c r="M72" i="133" s="1"/>
  <c r="H58" i="138"/>
  <c r="C20" i="206"/>
  <c r="D20" i="206" s="1"/>
  <c r="C37" i="206"/>
  <c r="C36" i="206"/>
  <c r="D19" i="206"/>
  <c r="C27" i="206"/>
  <c r="D27" i="206" s="1"/>
  <c r="L31" i="206"/>
  <c r="M17" i="206"/>
  <c r="F32" i="206"/>
  <c r="F18" i="206" s="1"/>
  <c r="I33" i="206"/>
  <c r="J79" i="133"/>
  <c r="G38" i="35"/>
  <c r="Q99" i="192"/>
  <c r="R99" i="192" s="1"/>
  <c r="R25" i="192"/>
  <c r="J86" i="133"/>
  <c r="L75" i="133"/>
  <c r="L77" i="133" s="1"/>
  <c r="L127" i="133"/>
  <c r="J34" i="35"/>
  <c r="T34" i="35" s="1"/>
  <c r="K85" i="133"/>
  <c r="K86" i="133" s="1"/>
  <c r="V12" i="205" s="1"/>
  <c r="K79" i="133"/>
  <c r="M126" i="133"/>
  <c r="M123" i="133"/>
  <c r="M125" i="133"/>
  <c r="N11" i="35"/>
  <c r="M97" i="133"/>
  <c r="N36" i="133"/>
  <c r="V94" i="133"/>
  <c r="V97" i="133" s="1"/>
  <c r="W12" i="133"/>
  <c r="W13" i="133" s="1"/>
  <c r="W50" i="133"/>
  <c r="W51" i="133" s="1"/>
  <c r="X11" i="133"/>
  <c r="V83" i="133"/>
  <c r="V53" i="133"/>
  <c r="K107" i="192"/>
  <c r="K108" i="192" s="1"/>
  <c r="K112" i="192" s="1"/>
  <c r="K94" i="192"/>
  <c r="L29" i="192"/>
  <c r="L46" i="192"/>
  <c r="L47" i="192" s="1"/>
  <c r="R74" i="192"/>
  <c r="R76" i="192" s="1"/>
  <c r="R82" i="192" s="1"/>
  <c r="R83" i="192" s="1"/>
  <c r="Q76" i="192"/>
  <c r="K100" i="192"/>
  <c r="K101" i="192" s="1"/>
  <c r="K36" i="192"/>
  <c r="C11" i="138"/>
  <c r="L72" i="193"/>
  <c r="L67" i="193"/>
  <c r="L76" i="193" s="1"/>
  <c r="L13" i="193" s="1"/>
  <c r="O36" i="193"/>
  <c r="P37" i="193" s="1"/>
  <c r="K117" i="193"/>
  <c r="M18" i="193"/>
  <c r="M17" i="193"/>
  <c r="L74" i="193"/>
  <c r="N54" i="193"/>
  <c r="O23" i="193"/>
  <c r="N27" i="193"/>
  <c r="M63" i="193"/>
  <c r="M58" i="193"/>
  <c r="O25" i="193"/>
  <c r="O56" i="193" s="1"/>
  <c r="O65" i="193" s="1"/>
  <c r="O74" i="193" s="1"/>
  <c r="N56" i="193"/>
  <c r="N65" i="193" s="1"/>
  <c r="N74" i="193" s="1"/>
  <c r="N57" i="193"/>
  <c r="N66" i="193" s="1"/>
  <c r="N75" i="193" s="1"/>
  <c r="O26" i="193"/>
  <c r="O57" i="193" s="1"/>
  <c r="O66" i="193" s="1"/>
  <c r="O75" i="193" s="1"/>
  <c r="N55" i="193"/>
  <c r="O24" i="193"/>
  <c r="L73" i="193"/>
  <c r="G39" i="35"/>
  <c r="G41" i="35" s="1"/>
  <c r="B11" i="26"/>
  <c r="B25" i="26" s="1"/>
  <c r="G36" i="35"/>
  <c r="C7" i="26"/>
  <c r="H35" i="35"/>
  <c r="D8" i="26"/>
  <c r="D7" i="26"/>
  <c r="I35" i="35"/>
  <c r="D10" i="138"/>
  <c r="D11" i="138" s="1"/>
  <c r="C7" i="138"/>
  <c r="C8" i="138" s="1"/>
  <c r="C25" i="138"/>
  <c r="C48" i="138" s="1"/>
  <c r="C49" i="138" s="1"/>
  <c r="D47" i="138"/>
  <c r="AE24" i="133"/>
  <c r="AR88" i="133"/>
  <c r="AD95" i="133"/>
  <c r="AE95" i="133" s="1"/>
  <c r="AE25" i="133"/>
  <c r="AD60" i="133"/>
  <c r="AD88" i="133" s="1"/>
  <c r="AE57" i="133"/>
  <c r="AE60" i="133" s="1"/>
  <c r="AE64" i="133"/>
  <c r="BD87" i="133"/>
  <c r="BE47" i="133"/>
  <c r="AR87" i="133"/>
  <c r="AQ89" i="133"/>
  <c r="AR57" i="133"/>
  <c r="AR60" i="133" s="1"/>
  <c r="Q13" i="133"/>
  <c r="Q94" i="133" s="1"/>
  <c r="AN49" i="205" s="1"/>
  <c r="AU49" i="205" s="1"/>
  <c r="Q47" i="133"/>
  <c r="Q53" i="133" s="1"/>
  <c r="R53" i="133" s="1"/>
  <c r="R54" i="133" s="1"/>
  <c r="R44" i="133"/>
  <c r="Q46" i="35"/>
  <c r="AD64" i="133"/>
  <c r="AG22" i="133"/>
  <c r="AF24" i="133"/>
  <c r="AF25" i="133" s="1"/>
  <c r="AF62" i="133"/>
  <c r="Q83" i="133"/>
  <c r="R83" i="133" s="1"/>
  <c r="R51" i="133"/>
  <c r="F59" i="138"/>
  <c r="E62" i="138"/>
  <c r="I20" i="26"/>
  <c r="I22" i="26" s="1"/>
  <c r="O26" i="35"/>
  <c r="Z21" i="206" s="1"/>
  <c r="Z23" i="206" s="1"/>
  <c r="N68" i="35" l="1"/>
  <c r="W10" i="206" s="1"/>
  <c r="W11" i="206" s="1"/>
  <c r="AP49" i="205"/>
  <c r="AW49" i="205"/>
  <c r="AX49" i="205" s="1"/>
  <c r="AD66" i="205"/>
  <c r="AB71" i="205"/>
  <c r="X12" i="205"/>
  <c r="V36" i="205"/>
  <c r="AJ48" i="205"/>
  <c r="I32" i="206"/>
  <c r="I18" i="206" s="1"/>
  <c r="L33" i="206"/>
  <c r="L32" i="206" s="1"/>
  <c r="L18" i="206" s="1"/>
  <c r="G18" i="206"/>
  <c r="F19" i="206"/>
  <c r="V35" i="35"/>
  <c r="T35" i="35"/>
  <c r="N33" i="35"/>
  <c r="J90" i="133"/>
  <c r="L79" i="133"/>
  <c r="L85" i="133"/>
  <c r="L86" i="133" s="1"/>
  <c r="Y12" i="205" s="1"/>
  <c r="K90" i="133"/>
  <c r="L10" i="35"/>
  <c r="J37" i="35"/>
  <c r="F47" i="138"/>
  <c r="F9" i="138"/>
  <c r="N40" i="133"/>
  <c r="N128" i="133"/>
  <c r="N129" i="133" s="1"/>
  <c r="N124" i="133" s="1"/>
  <c r="N142" i="133"/>
  <c r="O29" i="133"/>
  <c r="O36" i="133" s="1"/>
  <c r="N96" i="133"/>
  <c r="AE13" i="205" s="1"/>
  <c r="M74" i="133"/>
  <c r="M127" i="133"/>
  <c r="M73" i="133"/>
  <c r="M71" i="133"/>
  <c r="J57" i="138"/>
  <c r="J61" i="138" s="1"/>
  <c r="J36" i="138"/>
  <c r="J56" i="138" s="1"/>
  <c r="P75" i="193"/>
  <c r="Q82" i="192"/>
  <c r="Q110" i="192"/>
  <c r="Y11" i="133"/>
  <c r="X12" i="133"/>
  <c r="X13" i="133" s="1"/>
  <c r="X50" i="133"/>
  <c r="X51" i="133" s="1"/>
  <c r="C12" i="138"/>
  <c r="W83" i="133"/>
  <c r="W53" i="133"/>
  <c r="W94" i="133"/>
  <c r="W97" i="133" s="1"/>
  <c r="M41" i="192"/>
  <c r="L86" i="192"/>
  <c r="L92" i="192" s="1"/>
  <c r="L34" i="192"/>
  <c r="P26" i="193"/>
  <c r="P74" i="193"/>
  <c r="M72" i="193"/>
  <c r="M67" i="193"/>
  <c r="M76" i="193" s="1"/>
  <c r="M13" i="193" s="1"/>
  <c r="M14" i="193" s="1"/>
  <c r="N64" i="193"/>
  <c r="L117" i="193"/>
  <c r="N17" i="193"/>
  <c r="N18" i="193"/>
  <c r="P66" i="193"/>
  <c r="P56" i="193"/>
  <c r="O54" i="193"/>
  <c r="P54" i="193" s="1"/>
  <c r="O27" i="193"/>
  <c r="P23" i="193"/>
  <c r="P57" i="193"/>
  <c r="N63" i="193"/>
  <c r="N58" i="193"/>
  <c r="L14" i="193"/>
  <c r="O55" i="193"/>
  <c r="O64" i="193" s="1"/>
  <c r="O73" i="193" s="1"/>
  <c r="P24" i="193"/>
  <c r="P25" i="193"/>
  <c r="P65" i="193"/>
  <c r="B14" i="26"/>
  <c r="G40" i="35"/>
  <c r="R13" i="133"/>
  <c r="AR89" i="133"/>
  <c r="C51" i="138"/>
  <c r="D16" i="138"/>
  <c r="I38" i="35"/>
  <c r="I36" i="35"/>
  <c r="I39" i="35"/>
  <c r="D24" i="26"/>
  <c r="D11" i="26"/>
  <c r="D25" i="138"/>
  <c r="D48" i="138" s="1"/>
  <c r="D7" i="138"/>
  <c r="D8" i="138" s="1"/>
  <c r="H39" i="35"/>
  <c r="H38" i="35"/>
  <c r="H36" i="35"/>
  <c r="C24" i="26"/>
  <c r="C11" i="26"/>
  <c r="C14" i="26" s="1"/>
  <c r="C16" i="26" s="1"/>
  <c r="C30" i="26" s="1"/>
  <c r="AE66" i="133"/>
  <c r="AD89" i="133"/>
  <c r="AE88" i="133"/>
  <c r="AE89" i="133" s="1"/>
  <c r="BE87" i="133"/>
  <c r="BE89" i="133" s="1"/>
  <c r="BD89" i="133"/>
  <c r="Q87" i="133"/>
  <c r="R47" i="133"/>
  <c r="AD84" i="133"/>
  <c r="AE84" i="133" s="1"/>
  <c r="AD66" i="133"/>
  <c r="R46" i="35"/>
  <c r="R94" i="133"/>
  <c r="AF64" i="133"/>
  <c r="AF95" i="133"/>
  <c r="AH22" i="133"/>
  <c r="AG24" i="133"/>
  <c r="AG25" i="133" s="1"/>
  <c r="AG95" i="133" s="1"/>
  <c r="AG62" i="133"/>
  <c r="AG64" i="133" s="1"/>
  <c r="G59" i="138"/>
  <c r="F62" i="138"/>
  <c r="P26" i="35"/>
  <c r="AC21" i="206" s="1"/>
  <c r="AC23" i="206" s="1"/>
  <c r="J20" i="26"/>
  <c r="J22" i="26" s="1"/>
  <c r="I9" i="26" l="1"/>
  <c r="I10" i="26" s="1"/>
  <c r="N69" i="35"/>
  <c r="AG13" i="205"/>
  <c r="AE35" i="205"/>
  <c r="AG35" i="205" s="1"/>
  <c r="V39" i="205"/>
  <c r="X36" i="205"/>
  <c r="AD71" i="205"/>
  <c r="AB72" i="205"/>
  <c r="O63" i="35"/>
  <c r="O68" i="35" s="1"/>
  <c r="Z10" i="206" s="1"/>
  <c r="Z11" i="206" s="1"/>
  <c r="AE66" i="205"/>
  <c r="AA12" i="205"/>
  <c r="Y36" i="205"/>
  <c r="F27" i="206"/>
  <c r="G27" i="206" s="1"/>
  <c r="F36" i="206"/>
  <c r="G19" i="206"/>
  <c r="F20" i="206"/>
  <c r="G20" i="206" s="1"/>
  <c r="F37" i="206"/>
  <c r="M18" i="206"/>
  <c r="L19" i="206"/>
  <c r="J18" i="206"/>
  <c r="I19" i="206"/>
  <c r="W46" i="35"/>
  <c r="X46" i="35" s="1"/>
  <c r="U46" i="35"/>
  <c r="K34" i="35"/>
  <c r="M10" i="35"/>
  <c r="I33" i="138" s="1"/>
  <c r="L90" i="133"/>
  <c r="B16" i="26"/>
  <c r="B30" i="26" s="1"/>
  <c r="B32" i="26" s="1"/>
  <c r="N126" i="133"/>
  <c r="N74" i="133" s="1"/>
  <c r="N125" i="133"/>
  <c r="N73" i="133" s="1"/>
  <c r="E8" i="26"/>
  <c r="E7" i="26"/>
  <c r="H33" i="138"/>
  <c r="L34" i="35"/>
  <c r="Q6" i="206" s="1"/>
  <c r="F10" i="138"/>
  <c r="F11" i="138" s="1"/>
  <c r="N123" i="133"/>
  <c r="N71" i="133" s="1"/>
  <c r="G9" i="138"/>
  <c r="G47" i="138"/>
  <c r="J58" i="138"/>
  <c r="O40" i="133"/>
  <c r="O96" i="133"/>
  <c r="AH13" i="205" s="1"/>
  <c r="P29" i="133"/>
  <c r="O128" i="133"/>
  <c r="O129" i="133" s="1"/>
  <c r="O142" i="133"/>
  <c r="M75" i="133"/>
  <c r="M77" i="133" s="1"/>
  <c r="O11" i="35"/>
  <c r="N97" i="133"/>
  <c r="N72" i="133"/>
  <c r="L100" i="192"/>
  <c r="L101" i="192" s="1"/>
  <c r="L36" i="192"/>
  <c r="X53" i="133"/>
  <c r="X83" i="133"/>
  <c r="X94" i="133"/>
  <c r="X97" i="133" s="1"/>
  <c r="M46" i="192"/>
  <c r="M47" i="192" s="1"/>
  <c r="M29" i="192"/>
  <c r="Y12" i="133"/>
  <c r="Z11" i="133"/>
  <c r="Y50" i="133"/>
  <c r="Q111" i="192"/>
  <c r="R110" i="192"/>
  <c r="R111" i="192" s="1"/>
  <c r="L94" i="192"/>
  <c r="L107" i="192"/>
  <c r="L108" i="192" s="1"/>
  <c r="L112" i="192" s="1"/>
  <c r="D5" i="138"/>
  <c r="D12" i="138" s="1"/>
  <c r="D49" i="138"/>
  <c r="N72" i="193"/>
  <c r="N67" i="193"/>
  <c r="N76" i="193" s="1"/>
  <c r="N13" i="193" s="1"/>
  <c r="N14" i="193" s="1"/>
  <c r="P14" i="193" s="1"/>
  <c r="P55" i="193"/>
  <c r="P58" i="193" s="1"/>
  <c r="P27" i="193"/>
  <c r="N117" i="193" s="1"/>
  <c r="O17" i="193"/>
  <c r="B20" i="193"/>
  <c r="O18" i="193"/>
  <c r="M117" i="193"/>
  <c r="N73" i="193"/>
  <c r="P73" i="193" s="1"/>
  <c r="P64" i="193"/>
  <c r="O63" i="193"/>
  <c r="O58" i="193"/>
  <c r="H41" i="35"/>
  <c r="H40" i="35"/>
  <c r="I40" i="35"/>
  <c r="I41" i="35"/>
  <c r="D25" i="26"/>
  <c r="D14" i="26"/>
  <c r="D16" i="26" s="1"/>
  <c r="C25" i="26"/>
  <c r="AE67" i="133"/>
  <c r="Q89" i="133"/>
  <c r="R87" i="133"/>
  <c r="R89" i="133" s="1"/>
  <c r="AF84" i="133"/>
  <c r="AF66" i="133"/>
  <c r="AG84" i="133"/>
  <c r="AG66" i="133"/>
  <c r="S46" i="35"/>
  <c r="AH24" i="133"/>
  <c r="AH25" i="133" s="1"/>
  <c r="AI22" i="133"/>
  <c r="AH62" i="133"/>
  <c r="AH64" i="133" s="1"/>
  <c r="H59" i="138"/>
  <c r="G62" i="138"/>
  <c r="Q26" i="35"/>
  <c r="AF21" i="206" s="1"/>
  <c r="AF23" i="206" s="1"/>
  <c r="K20" i="26"/>
  <c r="K22" i="26" s="1"/>
  <c r="K34" i="138" l="1"/>
  <c r="Y39" i="205"/>
  <c r="AA36" i="205"/>
  <c r="R45" i="35"/>
  <c r="W45" i="35" s="1"/>
  <c r="X45" i="35" s="1"/>
  <c r="AN48" i="205"/>
  <c r="M34" i="35"/>
  <c r="T6" i="206" s="1"/>
  <c r="T9" i="206" s="1"/>
  <c r="AJ13" i="205"/>
  <c r="AH35" i="205"/>
  <c r="AJ35" i="205" s="1"/>
  <c r="AG66" i="205"/>
  <c r="AE71" i="205"/>
  <c r="P63" i="35"/>
  <c r="P68" i="35" s="1"/>
  <c r="AC10" i="206" s="1"/>
  <c r="AC11" i="206" s="1"/>
  <c r="AH66" i="205"/>
  <c r="I37" i="206"/>
  <c r="I27" i="206"/>
  <c r="J27" i="206" s="1"/>
  <c r="J19" i="206"/>
  <c r="I20" i="206"/>
  <c r="J20" i="206" s="1"/>
  <c r="I36" i="206"/>
  <c r="M19" i="206"/>
  <c r="L27" i="206"/>
  <c r="M27" i="206" s="1"/>
  <c r="L36" i="206"/>
  <c r="L37" i="206"/>
  <c r="L20" i="206"/>
  <c r="M20" i="206" s="1"/>
  <c r="P6" i="206"/>
  <c r="O8" i="206"/>
  <c r="P8" i="206" s="1"/>
  <c r="O9" i="206"/>
  <c r="AM6" i="206"/>
  <c r="Q8" i="206"/>
  <c r="Q9" i="206"/>
  <c r="T37" i="205"/>
  <c r="K37" i="35"/>
  <c r="B31" i="26"/>
  <c r="B17" i="26" s="1"/>
  <c r="B18" i="26" s="1"/>
  <c r="B19" i="26" s="1"/>
  <c r="C32" i="26"/>
  <c r="C31" i="26" s="1"/>
  <c r="C17" i="26" s="1"/>
  <c r="C18" i="26" s="1"/>
  <c r="O126" i="133"/>
  <c r="O74" i="133" s="1"/>
  <c r="D30" i="26"/>
  <c r="F7" i="138"/>
  <c r="F8" i="138" s="1"/>
  <c r="F25" i="138"/>
  <c r="F48" i="138" s="1"/>
  <c r="L37" i="35"/>
  <c r="G5" i="26"/>
  <c r="V37" i="205" s="1"/>
  <c r="G10" i="138"/>
  <c r="G11" i="138" s="1"/>
  <c r="N127" i="133"/>
  <c r="J38" i="35"/>
  <c r="J39" i="35"/>
  <c r="J36" i="35"/>
  <c r="E11" i="26"/>
  <c r="E24" i="26"/>
  <c r="O125" i="133"/>
  <c r="O73" i="133" s="1"/>
  <c r="O124" i="133"/>
  <c r="O72" i="133" s="1"/>
  <c r="O123" i="133"/>
  <c r="O71" i="133" s="1"/>
  <c r="K57" i="138"/>
  <c r="K61" i="138" s="1"/>
  <c r="K36" i="138"/>
  <c r="K56" i="138" s="1"/>
  <c r="O33" i="35"/>
  <c r="N75" i="133"/>
  <c r="N77" i="133" s="1"/>
  <c r="I40" i="138"/>
  <c r="I21" i="138" s="1"/>
  <c r="I9" i="138"/>
  <c r="M85" i="133"/>
  <c r="M86" i="133" s="1"/>
  <c r="AB12" i="205" s="1"/>
  <c r="M79" i="133"/>
  <c r="J9" i="26"/>
  <c r="J10" i="26" s="1"/>
  <c r="O69" i="35"/>
  <c r="P36" i="133"/>
  <c r="P11" i="35"/>
  <c r="O97" i="133"/>
  <c r="D51" i="138"/>
  <c r="Y51" i="133"/>
  <c r="Y13" i="133"/>
  <c r="AA11" i="133"/>
  <c r="Z50" i="133"/>
  <c r="Z51" i="133" s="1"/>
  <c r="Z12" i="133"/>
  <c r="Z13" i="133" s="1"/>
  <c r="M86" i="192"/>
  <c r="M92" i="192" s="1"/>
  <c r="M34" i="192"/>
  <c r="N41" i="192"/>
  <c r="P13" i="193"/>
  <c r="O72" i="193"/>
  <c r="P72" i="193" s="1"/>
  <c r="O67" i="193"/>
  <c r="O76" i="193" s="1"/>
  <c r="P63" i="193"/>
  <c r="P67" i="193" s="1"/>
  <c r="E16" i="138"/>
  <c r="AH84" i="133"/>
  <c r="AH66" i="133"/>
  <c r="AI24" i="133"/>
  <c r="AI25" i="133" s="1"/>
  <c r="AI95" i="133" s="1"/>
  <c r="AJ22" i="133"/>
  <c r="AI62" i="133"/>
  <c r="AI64" i="133" s="1"/>
  <c r="AH95" i="133"/>
  <c r="H62" i="138"/>
  <c r="I59" i="138"/>
  <c r="L20" i="26"/>
  <c r="R26" i="35"/>
  <c r="AI21" i="206" s="1"/>
  <c r="AI23" i="206" s="1"/>
  <c r="M37" i="35" l="1"/>
  <c r="H5" i="26"/>
  <c r="Y37" i="205" s="1"/>
  <c r="Y40" i="205" s="1"/>
  <c r="T8" i="206"/>
  <c r="S45" i="35"/>
  <c r="U45" i="35"/>
  <c r="L34" i="138"/>
  <c r="AD12" i="205"/>
  <c r="AB36" i="205"/>
  <c r="AJ66" i="205"/>
  <c r="AH71" i="205"/>
  <c r="AP48" i="205"/>
  <c r="AU48" i="205"/>
  <c r="AW48" i="205"/>
  <c r="AX48" i="205" s="1"/>
  <c r="AE72" i="205"/>
  <c r="AG71" i="205"/>
  <c r="AM8" i="206"/>
  <c r="AN8" i="206" s="1"/>
  <c r="AN6" i="206"/>
  <c r="AO6" i="206" s="1"/>
  <c r="T38" i="205"/>
  <c r="T40" i="205"/>
  <c r="U37" i="205"/>
  <c r="AR37" i="205"/>
  <c r="AR41" i="205" s="1"/>
  <c r="O25" i="206"/>
  <c r="P25" i="206" s="1"/>
  <c r="P9" i="206"/>
  <c r="O12" i="206"/>
  <c r="AM9" i="206"/>
  <c r="X37" i="205"/>
  <c r="V40" i="205"/>
  <c r="V41" i="205"/>
  <c r="V38" i="205"/>
  <c r="T12" i="206"/>
  <c r="T25" i="206"/>
  <c r="Q25" i="206"/>
  <c r="Q12" i="206"/>
  <c r="F8" i="26"/>
  <c r="F7" i="26"/>
  <c r="K35" i="35"/>
  <c r="K38" i="35" s="1"/>
  <c r="W26" i="35"/>
  <c r="X26" i="35" s="1"/>
  <c r="U26" i="35"/>
  <c r="D32" i="26"/>
  <c r="D31" i="26" s="1"/>
  <c r="D17" i="26" s="1"/>
  <c r="J40" i="35"/>
  <c r="J41" i="35"/>
  <c r="G7" i="138"/>
  <c r="G8" i="138" s="1"/>
  <c r="G25" i="138"/>
  <c r="G48" i="138" s="1"/>
  <c r="E14" i="26"/>
  <c r="E25" i="26"/>
  <c r="O127" i="133"/>
  <c r="G7" i="26"/>
  <c r="L35" i="35"/>
  <c r="G8" i="26"/>
  <c r="K58" i="138"/>
  <c r="P128" i="133"/>
  <c r="P129" i="133" s="1"/>
  <c r="Q29" i="133"/>
  <c r="P96" i="133"/>
  <c r="AK13" i="205" s="1"/>
  <c r="P40" i="133"/>
  <c r="AK66" i="205" s="1"/>
  <c r="P142" i="133"/>
  <c r="N10" i="35"/>
  <c r="M90" i="133"/>
  <c r="P69" i="35"/>
  <c r="K9" i="26"/>
  <c r="K10" i="26" s="1"/>
  <c r="N79" i="133"/>
  <c r="N85" i="133"/>
  <c r="N86" i="133" s="1"/>
  <c r="AE12" i="205" s="1"/>
  <c r="O75" i="133"/>
  <c r="O77" i="133" s="1"/>
  <c r="I7" i="138"/>
  <c r="I8" i="138" s="1"/>
  <c r="I25" i="138"/>
  <c r="L36" i="138"/>
  <c r="L56" i="138" s="1"/>
  <c r="L57" i="138"/>
  <c r="L61" i="138" s="1"/>
  <c r="P33" i="35"/>
  <c r="C19" i="26"/>
  <c r="C26" i="26"/>
  <c r="Z94" i="133"/>
  <c r="Z97" i="133" s="1"/>
  <c r="N46" i="192"/>
  <c r="N47" i="192" s="1"/>
  <c r="N29" i="192"/>
  <c r="AA50" i="133"/>
  <c r="AA51" i="133" s="1"/>
  <c r="AA12" i="133"/>
  <c r="AA13" i="133" s="1"/>
  <c r="AB11" i="133"/>
  <c r="Z83" i="133"/>
  <c r="Z53" i="133"/>
  <c r="Y94" i="133"/>
  <c r="M107" i="192"/>
  <c r="M108" i="192" s="1"/>
  <c r="M112" i="192" s="1"/>
  <c r="M94" i="192"/>
  <c r="Y83" i="133"/>
  <c r="Y53" i="133"/>
  <c r="M100" i="192"/>
  <c r="M101" i="192" s="1"/>
  <c r="M36" i="192"/>
  <c r="C36" i="26"/>
  <c r="C35" i="26"/>
  <c r="E5" i="138"/>
  <c r="AI84" i="133"/>
  <c r="AI66" i="133"/>
  <c r="AJ24" i="133"/>
  <c r="AJ25" i="133" s="1"/>
  <c r="AK22" i="133"/>
  <c r="AJ62" i="133"/>
  <c r="AJ64" i="133" s="1"/>
  <c r="I62" i="138"/>
  <c r="J59" i="138"/>
  <c r="M20" i="26"/>
  <c r="M22" i="26" s="1"/>
  <c r="S26" i="35"/>
  <c r="L22" i="26"/>
  <c r="B36" i="26"/>
  <c r="B35" i="26"/>
  <c r="B26" i="26"/>
  <c r="M35" i="35" l="1"/>
  <c r="M36" i="35" s="1"/>
  <c r="Y41" i="205"/>
  <c r="Y43" i="205" s="1"/>
  <c r="AA37" i="205"/>
  <c r="H8" i="26"/>
  <c r="H11" i="26" s="1"/>
  <c r="H25" i="26" s="1"/>
  <c r="Y38" i="205"/>
  <c r="H7" i="26"/>
  <c r="AG12" i="205"/>
  <c r="AE36" i="205"/>
  <c r="AM66" i="205"/>
  <c r="AK71" i="205"/>
  <c r="AH72" i="205"/>
  <c r="AJ71" i="205"/>
  <c r="AM13" i="205"/>
  <c r="AK35" i="205"/>
  <c r="AM35" i="205" s="1"/>
  <c r="AD36" i="205"/>
  <c r="AB39" i="205"/>
  <c r="AR43" i="205"/>
  <c r="AR42" i="205"/>
  <c r="AN9" i="206"/>
  <c r="AO9" i="206" s="1"/>
  <c r="AM25" i="206"/>
  <c r="AN25" i="206" s="1"/>
  <c r="P12" i="206"/>
  <c r="O26" i="206"/>
  <c r="P26" i="206" s="1"/>
  <c r="O15" i="206"/>
  <c r="AM12" i="206"/>
  <c r="T26" i="206"/>
  <c r="V43" i="205"/>
  <c r="V42" i="205"/>
  <c r="Q15" i="206"/>
  <c r="Q26" i="206"/>
  <c r="K36" i="35"/>
  <c r="K39" i="35"/>
  <c r="K40" i="35" s="1"/>
  <c r="F24" i="26"/>
  <c r="F11" i="26"/>
  <c r="F25" i="26" s="1"/>
  <c r="E16" i="26"/>
  <c r="E30" i="26" s="1"/>
  <c r="E32" i="26" s="1"/>
  <c r="E31" i="26" s="1"/>
  <c r="E17" i="26" s="1"/>
  <c r="L39" i="35"/>
  <c r="L38" i="35"/>
  <c r="L36" i="35"/>
  <c r="G24" i="26"/>
  <c r="G11" i="26"/>
  <c r="L58" i="138"/>
  <c r="J33" i="138"/>
  <c r="N34" i="35"/>
  <c r="W6" i="206" s="1"/>
  <c r="Q63" i="35"/>
  <c r="Q11" i="35"/>
  <c r="P97" i="133"/>
  <c r="O85" i="133"/>
  <c r="O86" i="133" s="1"/>
  <c r="AH12" i="205" s="1"/>
  <c r="O79" i="133"/>
  <c r="O10" i="35"/>
  <c r="N90" i="133"/>
  <c r="Q36" i="133"/>
  <c r="P126" i="133"/>
  <c r="P125" i="133"/>
  <c r="P123" i="133"/>
  <c r="P124" i="133"/>
  <c r="AA94" i="133"/>
  <c r="AA97" i="133" s="1"/>
  <c r="AA83" i="133"/>
  <c r="AA53" i="133"/>
  <c r="O41" i="192"/>
  <c r="N34" i="192"/>
  <c r="N86" i="192"/>
  <c r="Y97" i="133"/>
  <c r="AC11" i="133"/>
  <c r="AB50" i="133"/>
  <c r="AB12" i="133"/>
  <c r="AK24" i="133"/>
  <c r="AK25" i="133" s="1"/>
  <c r="AK95" i="133" s="1"/>
  <c r="AL22" i="133"/>
  <c r="AK62" i="133"/>
  <c r="AK64" i="133" s="1"/>
  <c r="AJ95" i="133"/>
  <c r="AJ84" i="133"/>
  <c r="AJ66" i="133"/>
  <c r="K59" i="138"/>
  <c r="J62" i="138"/>
  <c r="N20" i="26"/>
  <c r="N22" i="26" s="1"/>
  <c r="D18" i="26"/>
  <c r="D19" i="26" s="1"/>
  <c r="M38" i="35" l="1"/>
  <c r="Y42" i="205"/>
  <c r="H24" i="26"/>
  <c r="AJ12" i="205"/>
  <c r="AH36" i="205"/>
  <c r="AM71" i="205"/>
  <c r="AK72" i="205"/>
  <c r="AG36" i="205"/>
  <c r="AE39" i="205"/>
  <c r="AN12" i="206"/>
  <c r="AO12" i="206" s="1"/>
  <c r="AM26" i="206"/>
  <c r="AN26" i="206" s="1"/>
  <c r="P15" i="206"/>
  <c r="O17" i="206"/>
  <c r="AM15" i="206"/>
  <c r="AN15" i="206" s="1"/>
  <c r="AO15" i="206" s="1"/>
  <c r="Q17" i="206"/>
  <c r="Q31" i="206" s="1"/>
  <c r="W8" i="206"/>
  <c r="W9" i="206"/>
  <c r="K41" i="35"/>
  <c r="F14" i="26"/>
  <c r="F16" i="26" s="1"/>
  <c r="F30" i="26" s="1"/>
  <c r="F32" i="26" s="1"/>
  <c r="F31" i="26" s="1"/>
  <c r="F17" i="26" s="1"/>
  <c r="F18" i="26" s="1"/>
  <c r="F19" i="26" s="1"/>
  <c r="G14" i="26"/>
  <c r="G16" i="26" s="1"/>
  <c r="G30" i="26" s="1"/>
  <c r="G25" i="26"/>
  <c r="L40" i="35"/>
  <c r="L41" i="35"/>
  <c r="Q40" i="133"/>
  <c r="Q96" i="133"/>
  <c r="AN13" i="205" s="1"/>
  <c r="Q128" i="133"/>
  <c r="Q129" i="133" s="1"/>
  <c r="Q125" i="133" s="1"/>
  <c r="Q73" i="133" s="1"/>
  <c r="Q142" i="133"/>
  <c r="E142" i="133" s="1"/>
  <c r="P73" i="133"/>
  <c r="K33" i="138"/>
  <c r="O34" i="35"/>
  <c r="Z6" i="206" s="1"/>
  <c r="P10" i="35"/>
  <c r="O90" i="133"/>
  <c r="R30" i="133"/>
  <c r="R36" i="133" s="1"/>
  <c r="M36" i="138"/>
  <c r="M57" i="138"/>
  <c r="M61" i="138" s="1"/>
  <c r="Q33" i="35"/>
  <c r="M34" i="138"/>
  <c r="Q68" i="35"/>
  <c r="AF10" i="206" s="1"/>
  <c r="AF11" i="206" s="1"/>
  <c r="P71" i="133"/>
  <c r="P127" i="133"/>
  <c r="N37" i="35"/>
  <c r="I5" i="26"/>
  <c r="AB37" i="205" s="1"/>
  <c r="P74" i="133"/>
  <c r="P72" i="133"/>
  <c r="J9" i="138"/>
  <c r="J40" i="138"/>
  <c r="J21" i="138" s="1"/>
  <c r="AB13" i="133"/>
  <c r="N36" i="192"/>
  <c r="N100" i="192"/>
  <c r="O29" i="192"/>
  <c r="O46" i="192"/>
  <c r="O47" i="192" s="1"/>
  <c r="AB51" i="133"/>
  <c r="AD11" i="133"/>
  <c r="AC50" i="133"/>
  <c r="AC51" i="133" s="1"/>
  <c r="AC12" i="133"/>
  <c r="AC13" i="133" s="1"/>
  <c r="N92" i="192"/>
  <c r="E18" i="26"/>
  <c r="AK84" i="133"/>
  <c r="AK66" i="133"/>
  <c r="AM22" i="133"/>
  <c r="AL24" i="133"/>
  <c r="AL25" i="133" s="1"/>
  <c r="AL62" i="133"/>
  <c r="AL64" i="133" s="1"/>
  <c r="L59" i="138"/>
  <c r="K62" i="138"/>
  <c r="E9" i="138"/>
  <c r="D26" i="26"/>
  <c r="D35" i="26"/>
  <c r="D36" i="26"/>
  <c r="AH39" i="205" l="1"/>
  <c r="AJ36" i="205"/>
  <c r="O31" i="206"/>
  <c r="O33" i="206" s="1"/>
  <c r="O32" i="206" s="1"/>
  <c r="O18" i="206" s="1"/>
  <c r="P17" i="206"/>
  <c r="AM17" i="206"/>
  <c r="AN17" i="206" s="1"/>
  <c r="AO17" i="206" s="1"/>
  <c r="AP13" i="205"/>
  <c r="AW13" i="205"/>
  <c r="AX13" i="205" s="1"/>
  <c r="AN35" i="205"/>
  <c r="AU13" i="205"/>
  <c r="AN66" i="205"/>
  <c r="Z8" i="206"/>
  <c r="Z9" i="206"/>
  <c r="AD37" i="205"/>
  <c r="AB40" i="205"/>
  <c r="AB41" i="205"/>
  <c r="AB38" i="205"/>
  <c r="W25" i="206"/>
  <c r="W12" i="206"/>
  <c r="R125" i="133"/>
  <c r="R73" i="133"/>
  <c r="G32" i="26"/>
  <c r="G31" i="26" s="1"/>
  <c r="G17" i="26" s="1"/>
  <c r="P75" i="133"/>
  <c r="P77" i="133" s="1"/>
  <c r="P79" i="133" s="1"/>
  <c r="Q124" i="133"/>
  <c r="Q126" i="133"/>
  <c r="M56" i="138"/>
  <c r="M58" i="138" s="1"/>
  <c r="L33" i="138"/>
  <c r="P34" i="35"/>
  <c r="AC6" i="206" s="1"/>
  <c r="J7" i="138"/>
  <c r="J8" i="138" s="1"/>
  <c r="J25" i="138"/>
  <c r="J5" i="26"/>
  <c r="AE37" i="205" s="1"/>
  <c r="O37" i="35"/>
  <c r="S29" i="133"/>
  <c r="AE29" i="133" s="1"/>
  <c r="S30" i="133"/>
  <c r="L9" i="26"/>
  <c r="Q69" i="35"/>
  <c r="I8" i="26"/>
  <c r="I7" i="26"/>
  <c r="N35" i="35"/>
  <c r="Q97" i="133"/>
  <c r="R11" i="35"/>
  <c r="R96" i="133"/>
  <c r="R97" i="133" s="1"/>
  <c r="Q123" i="133"/>
  <c r="R63" i="35"/>
  <c r="R40" i="133"/>
  <c r="E19" i="26"/>
  <c r="E35" i="26"/>
  <c r="E36" i="26"/>
  <c r="N94" i="192"/>
  <c r="N107" i="192"/>
  <c r="O34" i="192"/>
  <c r="O86" i="192"/>
  <c r="P41" i="192"/>
  <c r="AC94" i="133"/>
  <c r="AC97" i="133" s="1"/>
  <c r="AC53" i="133"/>
  <c r="AC83" i="133"/>
  <c r="AF11" i="133"/>
  <c r="AD12" i="133"/>
  <c r="AD13" i="133" s="1"/>
  <c r="AD50" i="133"/>
  <c r="AD51" i="133" s="1"/>
  <c r="AE11" i="133"/>
  <c r="N101" i="192"/>
  <c r="AB83" i="133"/>
  <c r="AB53" i="133"/>
  <c r="AB94" i="133"/>
  <c r="E26" i="26"/>
  <c r="F35" i="26"/>
  <c r="F26" i="26"/>
  <c r="F36" i="26"/>
  <c r="AL84" i="133"/>
  <c r="AL66" i="133"/>
  <c r="AL95" i="133"/>
  <c r="AN22" i="133"/>
  <c r="AM62" i="133"/>
  <c r="AM64" i="133" s="1"/>
  <c r="AM24" i="133"/>
  <c r="AM25" i="133" s="1"/>
  <c r="AM95" i="133" s="1"/>
  <c r="L62" i="138"/>
  <c r="E10" i="138"/>
  <c r="E11" i="138" s="1"/>
  <c r="Q33" i="206" l="1"/>
  <c r="Q32" i="206" s="1"/>
  <c r="Q18" i="206" s="1"/>
  <c r="Q19" i="206" s="1"/>
  <c r="Q37" i="206" s="1"/>
  <c r="AM18" i="206"/>
  <c r="AN18" i="206" s="1"/>
  <c r="AO18" i="206" s="1"/>
  <c r="P18" i="206"/>
  <c r="O19" i="206"/>
  <c r="AP66" i="205"/>
  <c r="AW66" i="205"/>
  <c r="AX66" i="205" s="1"/>
  <c r="AN71" i="205"/>
  <c r="AU66" i="205"/>
  <c r="AP35" i="205"/>
  <c r="AU35" i="205"/>
  <c r="AB43" i="205"/>
  <c r="AB42" i="205"/>
  <c r="AG37" i="205"/>
  <c r="AE40" i="205"/>
  <c r="AE41" i="205"/>
  <c r="AE38" i="205"/>
  <c r="Z12" i="206"/>
  <c r="Z25" i="206"/>
  <c r="AC8" i="206"/>
  <c r="AC9" i="206"/>
  <c r="W26" i="206"/>
  <c r="W11" i="35"/>
  <c r="X11" i="35" s="1"/>
  <c r="U11" i="35"/>
  <c r="W63" i="35"/>
  <c r="X63" i="35" s="1"/>
  <c r="U63" i="35"/>
  <c r="P85" i="133"/>
  <c r="P86" i="133" s="1"/>
  <c r="AK12" i="205" s="1"/>
  <c r="AE50" i="133"/>
  <c r="M59" i="138"/>
  <c r="M62" i="138" s="1"/>
  <c r="S36" i="133"/>
  <c r="S142" i="133" s="1"/>
  <c r="Q72" i="133"/>
  <c r="R72" i="133" s="1"/>
  <c r="R124" i="133"/>
  <c r="R98" i="133"/>
  <c r="Q74" i="133"/>
  <c r="R74" i="133" s="1"/>
  <c r="R126" i="133"/>
  <c r="L10" i="26"/>
  <c r="N38" i="35"/>
  <c r="N36" i="35"/>
  <c r="K5" i="26"/>
  <c r="AH37" i="205" s="1"/>
  <c r="P37" i="35"/>
  <c r="L40" i="138"/>
  <c r="L21" i="138" s="1"/>
  <c r="L9" i="138"/>
  <c r="Q71" i="133"/>
  <c r="Q127" i="133"/>
  <c r="R123" i="133"/>
  <c r="I11" i="26"/>
  <c r="I25" i="26" s="1"/>
  <c r="I24" i="26"/>
  <c r="O35" i="35"/>
  <c r="J8" i="26"/>
  <c r="J7" i="26"/>
  <c r="R33" i="35"/>
  <c r="N36" i="138"/>
  <c r="N57" i="138"/>
  <c r="N61" i="138" s="1"/>
  <c r="S11" i="35"/>
  <c r="N34" i="138"/>
  <c r="O34" i="138" s="1"/>
  <c r="R68" i="35"/>
  <c r="AI10" i="206" s="1"/>
  <c r="AI11" i="206" s="1"/>
  <c r="S63" i="35"/>
  <c r="S68" i="35" s="1"/>
  <c r="AD53" i="133"/>
  <c r="AD83" i="133"/>
  <c r="AD94" i="133"/>
  <c r="AD97" i="133" s="1"/>
  <c r="AE13" i="133"/>
  <c r="P46" i="192"/>
  <c r="P47" i="192" s="1"/>
  <c r="P29" i="192"/>
  <c r="O92" i="192"/>
  <c r="AB97" i="133"/>
  <c r="O36" i="192"/>
  <c r="O100" i="192"/>
  <c r="AF12" i="133"/>
  <c r="AF13" i="133" s="1"/>
  <c r="AG11" i="133"/>
  <c r="AF50" i="133"/>
  <c r="AF51" i="133" s="1"/>
  <c r="AE12" i="133"/>
  <c r="N108" i="192"/>
  <c r="N112" i="192" s="1"/>
  <c r="AE51" i="133"/>
  <c r="AO22" i="133"/>
  <c r="AN62" i="133"/>
  <c r="AN64" i="133" s="1"/>
  <c r="AN24" i="133"/>
  <c r="AN25" i="133" s="1"/>
  <c r="AM84" i="133"/>
  <c r="AM66" i="133"/>
  <c r="G18" i="26"/>
  <c r="G19" i="26" s="1"/>
  <c r="H40" i="138"/>
  <c r="E7" i="138"/>
  <c r="E25" i="138"/>
  <c r="Q20" i="206" l="1"/>
  <c r="Q36" i="206"/>
  <c r="Q27" i="206"/>
  <c r="AM12" i="205"/>
  <c r="AK36" i="205"/>
  <c r="Q10" i="35"/>
  <c r="Q34" i="35" s="1"/>
  <c r="AF6" i="206" s="1"/>
  <c r="P90" i="133"/>
  <c r="P19" i="206"/>
  <c r="O20" i="206"/>
  <c r="O37" i="206"/>
  <c r="O27" i="206"/>
  <c r="P27" i="206" s="1"/>
  <c r="O36" i="206"/>
  <c r="AM19" i="206"/>
  <c r="AP71" i="205"/>
  <c r="AN72" i="205"/>
  <c r="AW71" i="205"/>
  <c r="AX71" i="205" s="1"/>
  <c r="AU71" i="205"/>
  <c r="AR73" i="205"/>
  <c r="AC25" i="206"/>
  <c r="AC12" i="206"/>
  <c r="Z26" i="206"/>
  <c r="AE42" i="205"/>
  <c r="AE43" i="205"/>
  <c r="AJ37" i="205"/>
  <c r="AH40" i="205"/>
  <c r="AH41" i="205"/>
  <c r="AH38" i="205"/>
  <c r="S33" i="35"/>
  <c r="U33" i="35"/>
  <c r="W68" i="35"/>
  <c r="X68" i="35" s="1"/>
  <c r="U68" i="35"/>
  <c r="S40" i="133"/>
  <c r="AE40" i="133" s="1"/>
  <c r="T29" i="133"/>
  <c r="T30" i="133"/>
  <c r="T36" i="133" s="1"/>
  <c r="E48" i="138"/>
  <c r="E49" i="138" s="1"/>
  <c r="S70" i="35"/>
  <c r="AE94" i="133"/>
  <c r="AE97" i="133" s="1"/>
  <c r="AE98" i="133" s="1"/>
  <c r="R127" i="133"/>
  <c r="P35" i="35"/>
  <c r="K8" i="26"/>
  <c r="K7" i="26"/>
  <c r="O36" i="35"/>
  <c r="O38" i="35"/>
  <c r="R71" i="133"/>
  <c r="Q75" i="133"/>
  <c r="M9" i="26"/>
  <c r="R69" i="35"/>
  <c r="S69" i="35" s="1"/>
  <c r="M33" i="138"/>
  <c r="L7" i="138"/>
  <c r="L8" i="138" s="1"/>
  <c r="L25" i="138"/>
  <c r="N56" i="138"/>
  <c r="O36" i="138"/>
  <c r="J11" i="26"/>
  <c r="J25" i="26" s="1"/>
  <c r="J24" i="26"/>
  <c r="AH11" i="133"/>
  <c r="AG12" i="133"/>
  <c r="AG13" i="133" s="1"/>
  <c r="AG50" i="133"/>
  <c r="AG51" i="133" s="1"/>
  <c r="O101" i="192"/>
  <c r="O94" i="192"/>
  <c r="O107" i="192"/>
  <c r="Q41" i="192"/>
  <c r="P34" i="192"/>
  <c r="P86" i="192"/>
  <c r="AF94" i="133"/>
  <c r="AF97" i="133" s="1"/>
  <c r="AE83" i="133"/>
  <c r="AF53" i="133"/>
  <c r="AF83" i="133"/>
  <c r="AF86" i="133" s="1"/>
  <c r="AE53" i="133"/>
  <c r="AE54" i="133" s="1"/>
  <c r="AP22" i="133"/>
  <c r="AO62" i="133"/>
  <c r="AO64" i="133" s="1"/>
  <c r="AO24" i="133"/>
  <c r="AO25" i="133" s="1"/>
  <c r="AO95" i="133" s="1"/>
  <c r="AN95" i="133"/>
  <c r="AN84" i="133"/>
  <c r="AN66" i="133"/>
  <c r="E8" i="138"/>
  <c r="H9" i="138"/>
  <c r="G35" i="26"/>
  <c r="G26" i="26"/>
  <c r="G36" i="26"/>
  <c r="AK39" i="205" l="1"/>
  <c r="AM36" i="205"/>
  <c r="AN19" i="206"/>
  <c r="AO19" i="206" s="1"/>
  <c r="AM37" i="206"/>
  <c r="AM27" i="206"/>
  <c r="AN27" i="206" s="1"/>
  <c r="AM36" i="206"/>
  <c r="P20" i="206"/>
  <c r="AM20" i="206"/>
  <c r="AN20" i="206" s="1"/>
  <c r="AO20" i="206" s="1"/>
  <c r="AF8" i="206"/>
  <c r="AF9" i="206"/>
  <c r="AC26" i="206"/>
  <c r="AH43" i="205"/>
  <c r="AH42" i="205"/>
  <c r="T142" i="133"/>
  <c r="T40" i="133"/>
  <c r="U29" i="133"/>
  <c r="U30" i="133"/>
  <c r="U36" i="133" s="1"/>
  <c r="U142" i="133" s="1"/>
  <c r="F16" i="138"/>
  <c r="F5" i="138" s="1"/>
  <c r="F12" i="138" s="1"/>
  <c r="E51" i="138"/>
  <c r="Q37" i="35"/>
  <c r="L5" i="26"/>
  <c r="AK37" i="205" s="1"/>
  <c r="M9" i="138"/>
  <c r="M40" i="138"/>
  <c r="M21" i="138" s="1"/>
  <c r="M10" i="26"/>
  <c r="N9" i="26"/>
  <c r="N10" i="26" s="1"/>
  <c r="Q77" i="133"/>
  <c r="R75" i="133"/>
  <c r="R77" i="133" s="1"/>
  <c r="K11" i="26"/>
  <c r="K25" i="26" s="1"/>
  <c r="K24" i="26"/>
  <c r="N58" i="138"/>
  <c r="N59" i="138"/>
  <c r="N62" i="138" s="1"/>
  <c r="P36" i="35"/>
  <c r="P38" i="35"/>
  <c r="P100" i="192"/>
  <c r="P36" i="192"/>
  <c r="AG53" i="133"/>
  <c r="AG83" i="133"/>
  <c r="AG86" i="133" s="1"/>
  <c r="P92" i="192"/>
  <c r="Q46" i="192"/>
  <c r="Q47" i="192" s="1"/>
  <c r="Q29" i="192"/>
  <c r="R41" i="192"/>
  <c r="AG94" i="133"/>
  <c r="AG97" i="133" s="1"/>
  <c r="O108" i="192"/>
  <c r="O112" i="192" s="1"/>
  <c r="AH12" i="133"/>
  <c r="AH13" i="133" s="1"/>
  <c r="AI11" i="133"/>
  <c r="AH50" i="133"/>
  <c r="AH51" i="133" s="1"/>
  <c r="AO84" i="133"/>
  <c r="AO66" i="133"/>
  <c r="AQ22" i="133"/>
  <c r="AP62" i="133"/>
  <c r="AP64" i="133" s="1"/>
  <c r="AP24" i="133"/>
  <c r="AP25" i="133" s="1"/>
  <c r="AP95" i="133" s="1"/>
  <c r="H21" i="138"/>
  <c r="E12" i="138"/>
  <c r="AM37" i="205" l="1"/>
  <c r="AK40" i="205"/>
  <c r="AK41" i="205"/>
  <c r="AK38" i="205"/>
  <c r="AF25" i="206"/>
  <c r="AF12" i="206"/>
  <c r="U40" i="133"/>
  <c r="V29" i="133"/>
  <c r="V30" i="133"/>
  <c r="V36" i="133" s="1"/>
  <c r="U75" i="133"/>
  <c r="AE75" i="133" s="1"/>
  <c r="AE77" i="133" s="1"/>
  <c r="R78" i="133"/>
  <c r="F49" i="138"/>
  <c r="M7" i="138"/>
  <c r="M8" i="138" s="1"/>
  <c r="M25" i="138"/>
  <c r="L7" i="26"/>
  <c r="L8" i="26"/>
  <c r="Q35" i="35"/>
  <c r="Q79" i="133"/>
  <c r="R79" i="133" s="1"/>
  <c r="Q85" i="133"/>
  <c r="P94" i="192"/>
  <c r="P107" i="192"/>
  <c r="AH94" i="133"/>
  <c r="AH97" i="133" s="1"/>
  <c r="AJ11" i="133"/>
  <c r="AI50" i="133"/>
  <c r="AI51" i="133" s="1"/>
  <c r="AI12" i="133"/>
  <c r="AI13" i="133" s="1"/>
  <c r="AH83" i="133"/>
  <c r="AH53" i="133"/>
  <c r="Q86" i="192"/>
  <c r="Q34" i="192"/>
  <c r="R29" i="192"/>
  <c r="R34" i="192" s="1"/>
  <c r="P101" i="192"/>
  <c r="AP84" i="133"/>
  <c r="AP66" i="133"/>
  <c r="AQ62" i="133"/>
  <c r="AQ24" i="133"/>
  <c r="AQ25" i="133" s="1"/>
  <c r="AR22" i="133"/>
  <c r="H7" i="138"/>
  <c r="H25" i="138"/>
  <c r="U77" i="133" l="1"/>
  <c r="U85" i="133" s="1"/>
  <c r="AF26" i="206"/>
  <c r="AK43" i="205"/>
  <c r="AK42" i="205"/>
  <c r="V142" i="133"/>
  <c r="V75" i="133"/>
  <c r="V77" i="133" s="1"/>
  <c r="V85" i="133" s="1"/>
  <c r="V86" i="133" s="1"/>
  <c r="V90" i="133" s="1"/>
  <c r="V40" i="133"/>
  <c r="W30" i="133"/>
  <c r="W36" i="133" s="1"/>
  <c r="W29" i="133"/>
  <c r="G16" i="138"/>
  <c r="G49" i="138" s="1"/>
  <c r="F51" i="138"/>
  <c r="Q36" i="35"/>
  <c r="Q38" i="35"/>
  <c r="L11" i="26"/>
  <c r="L25" i="26" s="1"/>
  <c r="L24" i="26"/>
  <c r="R85" i="133"/>
  <c r="R86" i="133" s="1"/>
  <c r="R90" i="133" s="1"/>
  <c r="Q86" i="133"/>
  <c r="AN12" i="205" s="1"/>
  <c r="R80" i="133"/>
  <c r="R99" i="133"/>
  <c r="R101" i="133" s="1"/>
  <c r="AI53" i="133"/>
  <c r="AI83" i="133"/>
  <c r="AK11" i="133"/>
  <c r="AJ12" i="133"/>
  <c r="AJ13" i="133" s="1"/>
  <c r="AJ50" i="133"/>
  <c r="AJ51" i="133" s="1"/>
  <c r="Q36" i="192"/>
  <c r="R36" i="192" s="1"/>
  <c r="Q100" i="192"/>
  <c r="AI94" i="133"/>
  <c r="AI97" i="133" s="1"/>
  <c r="P108" i="192"/>
  <c r="P112" i="192" s="1"/>
  <c r="Q92" i="192"/>
  <c r="R86" i="192"/>
  <c r="R92" i="192" s="1"/>
  <c r="AQ64" i="133"/>
  <c r="AR62" i="133"/>
  <c r="AR64" i="133" s="1"/>
  <c r="AR66" i="133" s="1"/>
  <c r="AS22" i="133"/>
  <c r="AR24" i="133"/>
  <c r="AQ95" i="133"/>
  <c r="AR95" i="133" s="1"/>
  <c r="AR25" i="133"/>
  <c r="H8" i="138"/>
  <c r="U79" i="133" l="1"/>
  <c r="AE78" i="133"/>
  <c r="V79" i="133"/>
  <c r="AP12" i="205"/>
  <c r="AW12" i="205"/>
  <c r="AX12" i="205" s="1"/>
  <c r="AN36" i="205"/>
  <c r="AU12" i="205"/>
  <c r="G5" i="138"/>
  <c r="G12" i="138" s="1"/>
  <c r="X30" i="133"/>
  <c r="X36" i="133" s="1"/>
  <c r="X40" i="133" s="1"/>
  <c r="W40" i="133"/>
  <c r="W75" i="133"/>
  <c r="W77" i="133" s="1"/>
  <c r="W79" i="133" s="1"/>
  <c r="W142" i="133"/>
  <c r="X29" i="133"/>
  <c r="R10" i="35"/>
  <c r="Q90" i="133"/>
  <c r="U86" i="133"/>
  <c r="U90" i="133" s="1"/>
  <c r="AE85" i="133"/>
  <c r="AE86" i="133" s="1"/>
  <c r="AE90" i="133" s="1"/>
  <c r="R93" i="192"/>
  <c r="Q107" i="192"/>
  <c r="Q94" i="192"/>
  <c r="R94" i="192" s="1"/>
  <c r="AJ94" i="133"/>
  <c r="AJ97" i="133" s="1"/>
  <c r="AJ53" i="133"/>
  <c r="AJ83" i="133"/>
  <c r="AL11" i="133"/>
  <c r="AK50" i="133"/>
  <c r="AK51" i="133" s="1"/>
  <c r="AK12" i="133"/>
  <c r="AK13" i="133" s="1"/>
  <c r="Q101" i="192"/>
  <c r="R100" i="192"/>
  <c r="R101" i="192" s="1"/>
  <c r="AS62" i="133"/>
  <c r="AS24" i="133"/>
  <c r="AS25" i="133" s="1"/>
  <c r="AT22" i="133"/>
  <c r="AQ84" i="133"/>
  <c r="AR84" i="133" s="1"/>
  <c r="AQ66" i="133"/>
  <c r="AR67" i="133" s="1"/>
  <c r="X75" i="133" l="1"/>
  <c r="X77" i="133" s="1"/>
  <c r="X79" i="133" s="1"/>
  <c r="X142" i="133"/>
  <c r="Y30" i="133"/>
  <c r="Y36" i="133" s="1"/>
  <c r="Z30" i="133" s="1"/>
  <c r="Z36" i="133" s="1"/>
  <c r="Y29" i="133"/>
  <c r="W85" i="133"/>
  <c r="W86" i="133" s="1"/>
  <c r="W90" i="133" s="1"/>
  <c r="AP36" i="205"/>
  <c r="AN39" i="205"/>
  <c r="AU36" i="205"/>
  <c r="G51" i="138"/>
  <c r="H16" i="138"/>
  <c r="H5" i="138" s="1"/>
  <c r="W10" i="35"/>
  <c r="X10" i="35" s="1"/>
  <c r="U10" i="35"/>
  <c r="AE91" i="133"/>
  <c r="S10" i="35"/>
  <c r="S34" i="35" s="1"/>
  <c r="R34" i="35"/>
  <c r="N33" i="138"/>
  <c r="O33" i="138" s="1"/>
  <c r="AK94" i="133"/>
  <c r="AK97" i="133" s="1"/>
  <c r="AK83" i="133"/>
  <c r="AK53" i="133"/>
  <c r="R103" i="192"/>
  <c r="R102" i="192"/>
  <c r="AM11" i="133"/>
  <c r="AL50" i="133"/>
  <c r="AL12" i="133"/>
  <c r="Q108" i="192"/>
  <c r="Q112" i="192" s="1"/>
  <c r="R107" i="192"/>
  <c r="R108" i="192" s="1"/>
  <c r="R112" i="192" s="1"/>
  <c r="AT24" i="133"/>
  <c r="AT25" i="133" s="1"/>
  <c r="AT95" i="133" s="1"/>
  <c r="AT62" i="133"/>
  <c r="AT64" i="133" s="1"/>
  <c r="AU22" i="133"/>
  <c r="AS95" i="133"/>
  <c r="AS64" i="133"/>
  <c r="X85" i="133" l="1"/>
  <c r="X86" i="133" s="1"/>
  <c r="X90" i="133" s="1"/>
  <c r="Y75" i="133"/>
  <c r="Y77" i="133" s="1"/>
  <c r="Y79" i="133" s="1"/>
  <c r="Z29" i="133"/>
  <c r="Y40" i="133"/>
  <c r="Y142" i="133"/>
  <c r="U34" i="35"/>
  <c r="AI6" i="206"/>
  <c r="Z75" i="133"/>
  <c r="Z77" i="133" s="1"/>
  <c r="AA29" i="133"/>
  <c r="Z40" i="133"/>
  <c r="Z142" i="133"/>
  <c r="AA30" i="133"/>
  <c r="AA36" i="133" s="1"/>
  <c r="M5" i="26"/>
  <c r="AN37" i="205" s="1"/>
  <c r="R37" i="35"/>
  <c r="AL51" i="133"/>
  <c r="R113" i="192"/>
  <c r="S112" i="192"/>
  <c r="AL13" i="133"/>
  <c r="AN11" i="133"/>
  <c r="AM50" i="133"/>
  <c r="AM51" i="133" s="1"/>
  <c r="AM12" i="133"/>
  <c r="AM13" i="133" s="1"/>
  <c r="AU24" i="133"/>
  <c r="AU25" i="133" s="1"/>
  <c r="AU95" i="133" s="1"/>
  <c r="AU62" i="133"/>
  <c r="AV22" i="133"/>
  <c r="AT84" i="133"/>
  <c r="AT66" i="133"/>
  <c r="AS84" i="133"/>
  <c r="AS66" i="133"/>
  <c r="Y85" i="133" l="1"/>
  <c r="Y86" i="133" s="1"/>
  <c r="Y90" i="133" s="1"/>
  <c r="AI9" i="206"/>
  <c r="AI8" i="206"/>
  <c r="AP37" i="205"/>
  <c r="AN40" i="205"/>
  <c r="AN41" i="205"/>
  <c r="AN38" i="205"/>
  <c r="AU37" i="205"/>
  <c r="AW37" i="205"/>
  <c r="AX37" i="205" s="1"/>
  <c r="AX38" i="205" s="1"/>
  <c r="AA142" i="133"/>
  <c r="AA75" i="133"/>
  <c r="AA77" i="133" s="1"/>
  <c r="AB30" i="133"/>
  <c r="AB36" i="133" s="1"/>
  <c r="AB29" i="133"/>
  <c r="AA40" i="133"/>
  <c r="N5" i="26"/>
  <c r="R35" i="35"/>
  <c r="M7" i="26"/>
  <c r="M8" i="26"/>
  <c r="Z85" i="133"/>
  <c r="Z86" i="133" s="1"/>
  <c r="Z90" i="133" s="1"/>
  <c r="Z79" i="133"/>
  <c r="AM94" i="133"/>
  <c r="AM97" i="133" s="1"/>
  <c r="AO11" i="133"/>
  <c r="AN50" i="133"/>
  <c r="AN51" i="133" s="1"/>
  <c r="AN12" i="133"/>
  <c r="AN13" i="133" s="1"/>
  <c r="AM53" i="133"/>
  <c r="AM83" i="133"/>
  <c r="AL94" i="133"/>
  <c r="AL83" i="133"/>
  <c r="AL53" i="133"/>
  <c r="AW22" i="133"/>
  <c r="AV24" i="133"/>
  <c r="AV25" i="133" s="1"/>
  <c r="AV62" i="133"/>
  <c r="AV64" i="133" s="1"/>
  <c r="AU64" i="133"/>
  <c r="AN42" i="205" l="1"/>
  <c r="AN43" i="205"/>
  <c r="AI25" i="206"/>
  <c r="AI12" i="206"/>
  <c r="W35" i="35"/>
  <c r="X35" i="35" s="1"/>
  <c r="X36" i="35" s="1"/>
  <c r="U35" i="35"/>
  <c r="M24" i="26"/>
  <c r="M11" i="26"/>
  <c r="M25" i="26" s="1"/>
  <c r="N8" i="26"/>
  <c r="N7" i="26"/>
  <c r="R38" i="35"/>
  <c r="S35" i="35"/>
  <c r="R36" i="35"/>
  <c r="AC30" i="133"/>
  <c r="AC36" i="133" s="1"/>
  <c r="AB75" i="133"/>
  <c r="AB77" i="133" s="1"/>
  <c r="AC29" i="133"/>
  <c r="AB40" i="133"/>
  <c r="AB142" i="133"/>
  <c r="AA79" i="133"/>
  <c r="AA85" i="133"/>
  <c r="AA86" i="133" s="1"/>
  <c r="AA90" i="133" s="1"/>
  <c r="AL97" i="133"/>
  <c r="AN53" i="133"/>
  <c r="AN83" i="133"/>
  <c r="AP11" i="133"/>
  <c r="AO50" i="133"/>
  <c r="AO12" i="133"/>
  <c r="AN94" i="133"/>
  <c r="AN97" i="133" s="1"/>
  <c r="AV84" i="133"/>
  <c r="AV66" i="133"/>
  <c r="AV95" i="133"/>
  <c r="AW62" i="133"/>
  <c r="AW64" i="133" s="1"/>
  <c r="AX22" i="133"/>
  <c r="AW24" i="133"/>
  <c r="AW25" i="133" s="1"/>
  <c r="AW95" i="133" s="1"/>
  <c r="AU84" i="133"/>
  <c r="AU66" i="133"/>
  <c r="AI26" i="206" l="1"/>
  <c r="AD30" i="133"/>
  <c r="AE30" i="133" s="1"/>
  <c r="AE36" i="133" s="1"/>
  <c r="AC40" i="133"/>
  <c r="AC142" i="133"/>
  <c r="AC75" i="133"/>
  <c r="AC77" i="133" s="1"/>
  <c r="AD29" i="133"/>
  <c r="AB85" i="133"/>
  <c r="AB86" i="133" s="1"/>
  <c r="AB90" i="133" s="1"/>
  <c r="AB79" i="133"/>
  <c r="N11" i="26"/>
  <c r="N25" i="26" s="1"/>
  <c r="N24" i="26"/>
  <c r="AP50" i="133"/>
  <c r="AP51" i="133" s="1"/>
  <c r="AQ11" i="133"/>
  <c r="AP12" i="133"/>
  <c r="AP13" i="133" s="1"/>
  <c r="AO13" i="133"/>
  <c r="AO51" i="133"/>
  <c r="AX62" i="133"/>
  <c r="AX64" i="133" s="1"/>
  <c r="AY22" i="133"/>
  <c r="AX24" i="133"/>
  <c r="AX25" i="133" s="1"/>
  <c r="AW84" i="133"/>
  <c r="AW66" i="133"/>
  <c r="AD36" i="133" l="1"/>
  <c r="AD142" i="133" s="1"/>
  <c r="AC85" i="133"/>
  <c r="AC86" i="133" s="1"/>
  <c r="AC90" i="133" s="1"/>
  <c r="AC79" i="133"/>
  <c r="AF30" i="133"/>
  <c r="AR30" i="133" s="1"/>
  <c r="AF29" i="133"/>
  <c r="AO83" i="133"/>
  <c r="AO53" i="133"/>
  <c r="AO94" i="133"/>
  <c r="AP94" i="133"/>
  <c r="AP97" i="133" s="1"/>
  <c r="AS11" i="133"/>
  <c r="AQ50" i="133"/>
  <c r="AQ12" i="133"/>
  <c r="AR11" i="133"/>
  <c r="AP53" i="133"/>
  <c r="AP83" i="133"/>
  <c r="AZ22" i="133"/>
  <c r="AY62" i="133"/>
  <c r="AY24" i="133"/>
  <c r="AY25" i="133" s="1"/>
  <c r="AY95" i="133" s="1"/>
  <c r="AX84" i="133"/>
  <c r="AX66" i="133"/>
  <c r="AX95" i="133"/>
  <c r="AD40" i="133" l="1"/>
  <c r="AD75" i="133"/>
  <c r="AD77" i="133" s="1"/>
  <c r="AR29" i="133"/>
  <c r="AR36" i="133" s="1"/>
  <c r="AF36" i="133"/>
  <c r="AO97" i="133"/>
  <c r="AQ13" i="133"/>
  <c r="AR12" i="133"/>
  <c r="AQ51" i="133"/>
  <c r="AR50" i="133"/>
  <c r="AT11" i="133"/>
  <c r="AS50" i="133"/>
  <c r="AS51" i="133" s="1"/>
  <c r="AS12" i="133"/>
  <c r="AS13" i="133" s="1"/>
  <c r="AY64" i="133"/>
  <c r="BA22" i="133"/>
  <c r="AZ62" i="133"/>
  <c r="AZ64" i="133" s="1"/>
  <c r="AZ24" i="133"/>
  <c r="AZ25" i="133" s="1"/>
  <c r="AZ95" i="133" s="1"/>
  <c r="AD79" i="133" l="1"/>
  <c r="AE79" i="133" s="1"/>
  <c r="AE80" i="133" s="1"/>
  <c r="AD85" i="133"/>
  <c r="AD86" i="133" s="1"/>
  <c r="AD90" i="133" s="1"/>
  <c r="AS30" i="133"/>
  <c r="AS29" i="133"/>
  <c r="AG30" i="133"/>
  <c r="AG36" i="133" s="1"/>
  <c r="AG29" i="133"/>
  <c r="AF142" i="133"/>
  <c r="AF40" i="133"/>
  <c r="AR40" i="133" s="1"/>
  <c r="AU11" i="133"/>
  <c r="AT12" i="133"/>
  <c r="AT13" i="133" s="1"/>
  <c r="AT50" i="133"/>
  <c r="AT51" i="133" s="1"/>
  <c r="AS83" i="133"/>
  <c r="AS86" i="133" s="1"/>
  <c r="AS53" i="133"/>
  <c r="AQ83" i="133"/>
  <c r="AQ53" i="133"/>
  <c r="AR51" i="133"/>
  <c r="AQ94" i="133"/>
  <c r="AR13" i="133"/>
  <c r="AS94" i="133"/>
  <c r="AS97" i="133" s="1"/>
  <c r="AZ84" i="133"/>
  <c r="AZ66" i="133"/>
  <c r="BB22" i="133"/>
  <c r="BA24" i="133"/>
  <c r="BA25" i="133" s="1"/>
  <c r="BA95" i="133" s="1"/>
  <c r="BA62" i="133"/>
  <c r="BA64" i="133" s="1"/>
  <c r="AY84" i="133"/>
  <c r="AY66" i="133"/>
  <c r="AE99" i="133" l="1"/>
  <c r="AE101" i="133" s="1"/>
  <c r="BE29" i="133"/>
  <c r="AS36" i="133"/>
  <c r="AH29" i="133"/>
  <c r="AG40" i="133"/>
  <c r="AG142" i="133"/>
  <c r="AH30" i="133"/>
  <c r="AH36" i="133" s="1"/>
  <c r="AQ97" i="133"/>
  <c r="AR94" i="133"/>
  <c r="AR97" i="133" s="1"/>
  <c r="AR53" i="133"/>
  <c r="AR54" i="133" s="1"/>
  <c r="AR83" i="133"/>
  <c r="AT53" i="133"/>
  <c r="AT83" i="133"/>
  <c r="AT86" i="133" s="1"/>
  <c r="AT94" i="133"/>
  <c r="AT97" i="133" s="1"/>
  <c r="AV11" i="133"/>
  <c r="AU12" i="133"/>
  <c r="AU13" i="133" s="1"/>
  <c r="AU50" i="133"/>
  <c r="AU51" i="133" s="1"/>
  <c r="BA84" i="133"/>
  <c r="BA66" i="133"/>
  <c r="BC22" i="133"/>
  <c r="BB24" i="133"/>
  <c r="BB25" i="133" s="1"/>
  <c r="BB95" i="133" s="1"/>
  <c r="BB62" i="133"/>
  <c r="BB64" i="133" s="1"/>
  <c r="AT29" i="133" l="1"/>
  <c r="AT30" i="133"/>
  <c r="AT36" i="133" s="1"/>
  <c r="AS142" i="133"/>
  <c r="AS40" i="133"/>
  <c r="AH75" i="133"/>
  <c r="AI29" i="133"/>
  <c r="AH142" i="133"/>
  <c r="AH40" i="133"/>
  <c r="AI30" i="133"/>
  <c r="AI36" i="133" s="1"/>
  <c r="AU94" i="133"/>
  <c r="AU97" i="133" s="1"/>
  <c r="AU53" i="133"/>
  <c r="AU83" i="133"/>
  <c r="AW11" i="133"/>
  <c r="AV50" i="133"/>
  <c r="AV51" i="133" s="1"/>
  <c r="AV12" i="133"/>
  <c r="AV13" i="133" s="1"/>
  <c r="AR98" i="133"/>
  <c r="BB84" i="133"/>
  <c r="BB66" i="133"/>
  <c r="BC62" i="133"/>
  <c r="BC64" i="133" s="1"/>
  <c r="BD22" i="133"/>
  <c r="BC24" i="133"/>
  <c r="BC25" i="133" s="1"/>
  <c r="BC95" i="133" s="1"/>
  <c r="AJ30" i="133" l="1"/>
  <c r="AJ36" i="133" s="1"/>
  <c r="AJ29" i="133"/>
  <c r="AI40" i="133"/>
  <c r="AI75" i="133"/>
  <c r="AI77" i="133" s="1"/>
  <c r="AI142" i="133"/>
  <c r="AH77" i="133"/>
  <c r="AR75" i="133"/>
  <c r="AR77" i="133" s="1"/>
  <c r="AT142" i="133"/>
  <c r="AU30" i="133"/>
  <c r="AU36" i="133" s="1"/>
  <c r="AU29" i="133"/>
  <c r="AT40" i="133"/>
  <c r="AX11" i="133"/>
  <c r="AW12" i="133"/>
  <c r="AW13" i="133" s="1"/>
  <c r="AW50" i="133"/>
  <c r="AW51" i="133" s="1"/>
  <c r="AV94" i="133"/>
  <c r="AV97" i="133" s="1"/>
  <c r="AV83" i="133"/>
  <c r="AV53" i="133"/>
  <c r="BD24" i="133"/>
  <c r="BD25" i="133" s="1"/>
  <c r="BD62" i="133"/>
  <c r="BE22" i="133"/>
  <c r="BE24" i="133" s="1"/>
  <c r="BC84" i="133"/>
  <c r="BC66" i="133"/>
  <c r="AR78" i="133" l="1"/>
  <c r="AV29" i="133"/>
  <c r="AU142" i="133"/>
  <c r="AU75" i="133"/>
  <c r="AU77" i="133" s="1"/>
  <c r="AV30" i="133"/>
  <c r="AV36" i="133" s="1"/>
  <c r="AU40" i="133"/>
  <c r="AH85" i="133"/>
  <c r="AH79" i="133"/>
  <c r="AK30" i="133"/>
  <c r="AK36" i="133" s="1"/>
  <c r="AJ75" i="133"/>
  <c r="AJ77" i="133" s="1"/>
  <c r="AJ142" i="133"/>
  <c r="AK29" i="133"/>
  <c r="AJ40" i="133"/>
  <c r="AI85" i="133"/>
  <c r="AI86" i="133" s="1"/>
  <c r="AI90" i="133" s="1"/>
  <c r="AI79" i="133"/>
  <c r="AW53" i="133"/>
  <c r="AW83" i="133"/>
  <c r="AW94" i="133"/>
  <c r="AW97" i="133" s="1"/>
  <c r="AY11" i="133"/>
  <c r="AX12" i="133"/>
  <c r="AX13" i="133" s="1"/>
  <c r="AX50" i="133"/>
  <c r="AX51" i="133" s="1"/>
  <c r="BD64" i="133"/>
  <c r="BE62" i="133"/>
  <c r="BE64" i="133" s="1"/>
  <c r="BE66" i="133" s="1"/>
  <c r="BD95" i="133"/>
  <c r="BE95" i="133" s="1"/>
  <c r="BE25" i="133"/>
  <c r="AJ85" i="133" l="1"/>
  <c r="AJ86" i="133" s="1"/>
  <c r="AJ90" i="133" s="1"/>
  <c r="AJ79" i="133"/>
  <c r="AK75" i="133"/>
  <c r="AK77" i="133" s="1"/>
  <c r="AK40" i="133"/>
  <c r="AK142" i="133"/>
  <c r="AL29" i="133"/>
  <c r="AL30" i="133"/>
  <c r="AL36" i="133" s="1"/>
  <c r="AH86" i="133"/>
  <c r="AH90" i="133" s="1"/>
  <c r="AR85" i="133"/>
  <c r="AR86" i="133" s="1"/>
  <c r="AR90" i="133" s="1"/>
  <c r="AW29" i="133"/>
  <c r="AW30" i="133"/>
  <c r="AW36" i="133" s="1"/>
  <c r="AV142" i="133"/>
  <c r="AV75" i="133"/>
  <c r="AV77" i="133" s="1"/>
  <c r="AV40" i="133"/>
  <c r="AU85" i="133"/>
  <c r="AU86" i="133" s="1"/>
  <c r="AU90" i="133" s="1"/>
  <c r="AU79" i="133"/>
  <c r="AX83" i="133"/>
  <c r="AX53" i="133"/>
  <c r="AZ11" i="133"/>
  <c r="AY50" i="133"/>
  <c r="AY12" i="133"/>
  <c r="AX94" i="133"/>
  <c r="AX97" i="133" s="1"/>
  <c r="BD84" i="133"/>
  <c r="BE84" i="133" s="1"/>
  <c r="BD66" i="133"/>
  <c r="BE67" i="133" s="1"/>
  <c r="AR91" i="133" l="1"/>
  <c r="AV85" i="133"/>
  <c r="AV86" i="133" s="1"/>
  <c r="AV90" i="133" s="1"/>
  <c r="AV79" i="133"/>
  <c r="AX30" i="133"/>
  <c r="AX36" i="133" s="1"/>
  <c r="AX29" i="133"/>
  <c r="AW142" i="133"/>
  <c r="AW75" i="133"/>
  <c r="AW77" i="133" s="1"/>
  <c r="AW40" i="133"/>
  <c r="AL75" i="133"/>
  <c r="AL77" i="133" s="1"/>
  <c r="AM30" i="133"/>
  <c r="AM36" i="133" s="1"/>
  <c r="AM29" i="133"/>
  <c r="AL142" i="133"/>
  <c r="AL40" i="133"/>
  <c r="AK85" i="133"/>
  <c r="AK86" i="133" s="1"/>
  <c r="AK90" i="133" s="1"/>
  <c r="AK79" i="133"/>
  <c r="AY51" i="133"/>
  <c r="AY13" i="133"/>
  <c r="AZ50" i="133"/>
  <c r="AZ51" i="133" s="1"/>
  <c r="AZ12" i="133"/>
  <c r="AZ13" i="133" s="1"/>
  <c r="BA11" i="133"/>
  <c r="AW85" i="133" l="1"/>
  <c r="AW86" i="133" s="1"/>
  <c r="AW90" i="133" s="1"/>
  <c r="AW79" i="133"/>
  <c r="AX75" i="133"/>
  <c r="AX77" i="133" s="1"/>
  <c r="AY30" i="133"/>
  <c r="AY36" i="133" s="1"/>
  <c r="AY29" i="133"/>
  <c r="AX142" i="133"/>
  <c r="AX40" i="133"/>
  <c r="AN30" i="133"/>
  <c r="AN36" i="133" s="1"/>
  <c r="AM142" i="133"/>
  <c r="AM40" i="133"/>
  <c r="AN29" i="133"/>
  <c r="AM75" i="133"/>
  <c r="AM77" i="133" s="1"/>
  <c r="AL79" i="133"/>
  <c r="AL85" i="133"/>
  <c r="AL86" i="133" s="1"/>
  <c r="AL90" i="133" s="1"/>
  <c r="BA12" i="133"/>
  <c r="BA13" i="133" s="1"/>
  <c r="BB11" i="133"/>
  <c r="BA50" i="133"/>
  <c r="BA51" i="133" s="1"/>
  <c r="AZ94" i="133"/>
  <c r="AZ97" i="133" s="1"/>
  <c r="AZ53" i="133"/>
  <c r="AZ83" i="133"/>
  <c r="AY94" i="133"/>
  <c r="AY53" i="133"/>
  <c r="AY83" i="133"/>
  <c r="AO30" i="133" l="1"/>
  <c r="AO36" i="133" s="1"/>
  <c r="AN40" i="133"/>
  <c r="AN142" i="133"/>
  <c r="AO29" i="133"/>
  <c r="AN75" i="133"/>
  <c r="AN77" i="133" s="1"/>
  <c r="AM85" i="133"/>
  <c r="AM86" i="133" s="1"/>
  <c r="AM90" i="133" s="1"/>
  <c r="AM79" i="133"/>
  <c r="AZ29" i="133"/>
  <c r="AY142" i="133"/>
  <c r="AY75" i="133"/>
  <c r="AY77" i="133" s="1"/>
  <c r="AY85" i="133" s="1"/>
  <c r="AY86" i="133" s="1"/>
  <c r="AY90" i="133" s="1"/>
  <c r="AZ30" i="133"/>
  <c r="AZ36" i="133" s="1"/>
  <c r="AX85" i="133"/>
  <c r="AX86" i="133" s="1"/>
  <c r="AX90" i="133" s="1"/>
  <c r="AX79" i="133"/>
  <c r="AY40" i="133"/>
  <c r="AY97" i="133"/>
  <c r="BA53" i="133"/>
  <c r="BA83" i="133"/>
  <c r="BC11" i="133"/>
  <c r="BB12" i="133"/>
  <c r="BB50" i="133"/>
  <c r="BA94" i="133"/>
  <c r="BA97" i="133" s="1"/>
  <c r="AN79" i="133" l="1"/>
  <c r="AN85" i="133"/>
  <c r="AN86" i="133" s="1"/>
  <c r="AN90" i="133" s="1"/>
  <c r="AY79" i="133"/>
  <c r="BA30" i="133"/>
  <c r="BA36" i="133" s="1"/>
  <c r="AZ75" i="133"/>
  <c r="AZ77" i="133" s="1"/>
  <c r="BA29" i="133"/>
  <c r="AZ142" i="133"/>
  <c r="AZ40" i="133"/>
  <c r="AP30" i="133"/>
  <c r="AP36" i="133" s="1"/>
  <c r="AO142" i="133"/>
  <c r="AP29" i="133"/>
  <c r="AO75" i="133"/>
  <c r="AO77" i="133" s="1"/>
  <c r="AO40" i="133"/>
  <c r="BB13" i="133"/>
  <c r="BB51" i="133"/>
  <c r="BD11" i="133"/>
  <c r="BE11" i="133" s="1"/>
  <c r="BC12" i="133"/>
  <c r="BC13" i="133" s="1"/>
  <c r="BC50" i="133"/>
  <c r="BC51" i="133" s="1"/>
  <c r="BE75" i="133"/>
  <c r="BE77" i="133" s="1"/>
  <c r="BE78" i="133" s="1"/>
  <c r="AZ85" i="133" l="1"/>
  <c r="AZ86" i="133" s="1"/>
  <c r="AZ90" i="133" s="1"/>
  <c r="AZ79" i="133"/>
  <c r="AP40" i="133"/>
  <c r="AQ30" i="133"/>
  <c r="AQ36" i="133" s="1"/>
  <c r="AQ29" i="133"/>
  <c r="AP75" i="133"/>
  <c r="AP77" i="133" s="1"/>
  <c r="AP142" i="133"/>
  <c r="AO85" i="133"/>
  <c r="AO86" i="133" s="1"/>
  <c r="AO90" i="133" s="1"/>
  <c r="AO79" i="133"/>
  <c r="BA75" i="133"/>
  <c r="BA77" i="133" s="1"/>
  <c r="BB30" i="133"/>
  <c r="BB36" i="133" s="1"/>
  <c r="BB29" i="133"/>
  <c r="BA142" i="133"/>
  <c r="BA40" i="133"/>
  <c r="BC53" i="133"/>
  <c r="BC83" i="133"/>
  <c r="BC94" i="133"/>
  <c r="BC97" i="133" s="1"/>
  <c r="BD50" i="133"/>
  <c r="BD51" i="133" s="1"/>
  <c r="BE51" i="133" s="1"/>
  <c r="BD12" i="133"/>
  <c r="BB53" i="133"/>
  <c r="BB83" i="133"/>
  <c r="BB94" i="133"/>
  <c r="BE40" i="133"/>
  <c r="AQ142" i="133" l="1"/>
  <c r="AQ75" i="133"/>
  <c r="AQ77" i="133" s="1"/>
  <c r="AQ40" i="133"/>
  <c r="BC29" i="133"/>
  <c r="BB75" i="133"/>
  <c r="BB77" i="133" s="1"/>
  <c r="BB85" i="133" s="1"/>
  <c r="BB86" i="133" s="1"/>
  <c r="BB90" i="133" s="1"/>
  <c r="BC30" i="133"/>
  <c r="BC36" i="133" s="1"/>
  <c r="BB142" i="133"/>
  <c r="AP85" i="133"/>
  <c r="AP86" i="133" s="1"/>
  <c r="AP90" i="133" s="1"/>
  <c r="AP79" i="133"/>
  <c r="BB40" i="133"/>
  <c r="BA85" i="133"/>
  <c r="BA86" i="133" s="1"/>
  <c r="BA90" i="133" s="1"/>
  <c r="BA79" i="133"/>
  <c r="BB97" i="133"/>
  <c r="BE50" i="133"/>
  <c r="BD13" i="133"/>
  <c r="BE12" i="133"/>
  <c r="BD83" i="133"/>
  <c r="BE83" i="133" s="1"/>
  <c r="BD53" i="133"/>
  <c r="BE85" i="133"/>
  <c r="BB79" i="133" l="1"/>
  <c r="BE86" i="133"/>
  <c r="BE90" i="133" s="1"/>
  <c r="BE91" i="133" s="1"/>
  <c r="BC75" i="133"/>
  <c r="BC77" i="133" s="1"/>
  <c r="BD29" i="133"/>
  <c r="BC142" i="133"/>
  <c r="BD30" i="133"/>
  <c r="BE30" i="133" s="1"/>
  <c r="BE36" i="133" s="1"/>
  <c r="BC40" i="133"/>
  <c r="AQ85" i="133"/>
  <c r="AQ86" i="133" s="1"/>
  <c r="AQ90" i="133" s="1"/>
  <c r="AQ79" i="133"/>
  <c r="AR79" i="133" s="1"/>
  <c r="BE53" i="133"/>
  <c r="BE54" i="133" s="1"/>
  <c r="BD94" i="133"/>
  <c r="BE13" i="133"/>
  <c r="BD36" i="133" l="1"/>
  <c r="BD40" i="133" s="1"/>
  <c r="AR99" i="133"/>
  <c r="AR101" i="133" s="1"/>
  <c r="AR80" i="133"/>
  <c r="BC85" i="133"/>
  <c r="BC86" i="133" s="1"/>
  <c r="BC90" i="133" s="1"/>
  <c r="BC79" i="133"/>
  <c r="BD97" i="133"/>
  <c r="BE94" i="133"/>
  <c r="BE97" i="133" s="1"/>
  <c r="BD142" i="133" l="1"/>
  <c r="BD75" i="133"/>
  <c r="BD77" i="133" s="1"/>
  <c r="BD85" i="133" s="1"/>
  <c r="BD86" i="133" s="1"/>
  <c r="BD90" i="133" s="1"/>
  <c r="BE98" i="133"/>
  <c r="Q75" i="35"/>
  <c r="Q76" i="35" s="1"/>
  <c r="AF13" i="206" s="1"/>
  <c r="AF15" i="206" s="1"/>
  <c r="AF17" i="206" s="1"/>
  <c r="AF31" i="206" s="1"/>
  <c r="P75" i="35"/>
  <c r="P76" i="35" s="1"/>
  <c r="AC13" i="206" s="1"/>
  <c r="AC15" i="206" s="1"/>
  <c r="AC17" i="206" s="1"/>
  <c r="AC31" i="206" s="1"/>
  <c r="N75" i="35"/>
  <c r="N76" i="35" s="1"/>
  <c r="W13" i="206" s="1"/>
  <c r="W15" i="206" s="1"/>
  <c r="W17" i="206" s="1"/>
  <c r="W31" i="206" s="1"/>
  <c r="R75" i="35"/>
  <c r="R76" i="35" s="1"/>
  <c r="AI13" i="206" s="1"/>
  <c r="AI15" i="206" s="1"/>
  <c r="AI17" i="206" s="1"/>
  <c r="AI31" i="206" s="1"/>
  <c r="O75" i="35"/>
  <c r="O76" i="35" s="1"/>
  <c r="Z13" i="206" s="1"/>
  <c r="Z15" i="206" s="1"/>
  <c r="Z17" i="206" s="1"/>
  <c r="Z31" i="206" s="1"/>
  <c r="H41" i="138"/>
  <c r="BD79" i="133" l="1"/>
  <c r="BE79" i="133" s="1"/>
  <c r="BE80" i="133" s="1"/>
  <c r="O39" i="35"/>
  <c r="K42" i="138"/>
  <c r="J12" i="26"/>
  <c r="J14" i="26" s="1"/>
  <c r="J16" i="26" s="1"/>
  <c r="J30" i="26" s="1"/>
  <c r="K12" i="26"/>
  <c r="K14" i="26" s="1"/>
  <c r="K16" i="26" s="1"/>
  <c r="K30" i="26" s="1"/>
  <c r="L42" i="138"/>
  <c r="P39" i="35"/>
  <c r="M12" i="26"/>
  <c r="M14" i="26" s="1"/>
  <c r="M16" i="26" s="1"/>
  <c r="M30" i="26" s="1"/>
  <c r="N42" i="138"/>
  <c r="R39" i="35"/>
  <c r="I12" i="26"/>
  <c r="I14" i="26" s="1"/>
  <c r="I16" i="26" s="1"/>
  <c r="I30" i="26" s="1"/>
  <c r="N39" i="35"/>
  <c r="J42" i="138"/>
  <c r="H47" i="138"/>
  <c r="H48" i="138" s="1"/>
  <c r="H49" i="138" s="1"/>
  <c r="H10" i="138"/>
  <c r="M42" i="138"/>
  <c r="Q39" i="35"/>
  <c r="L12" i="26"/>
  <c r="L14" i="26" s="1"/>
  <c r="L16" i="26" s="1"/>
  <c r="L30" i="26" s="1"/>
  <c r="M75" i="35" l="1"/>
  <c r="U75" i="35" s="1"/>
  <c r="BE99" i="133"/>
  <c r="BE101" i="133" s="1"/>
  <c r="L10" i="138"/>
  <c r="L11" i="138" s="1"/>
  <c r="L47" i="138"/>
  <c r="L48" i="138" s="1"/>
  <c r="R40" i="35"/>
  <c r="R41" i="35"/>
  <c r="N40" i="35"/>
  <c r="N41" i="35"/>
  <c r="H11" i="138"/>
  <c r="H51" i="138"/>
  <c r="I16" i="138"/>
  <c r="I5" i="138" s="1"/>
  <c r="Q40" i="35"/>
  <c r="Q41" i="35"/>
  <c r="P40" i="35"/>
  <c r="P41" i="35"/>
  <c r="M10" i="138"/>
  <c r="M11" i="138" s="1"/>
  <c r="M47" i="138"/>
  <c r="M48" i="138" s="1"/>
  <c r="J47" i="138"/>
  <c r="J48" i="138" s="1"/>
  <c r="J10" i="138"/>
  <c r="J11" i="138" s="1"/>
  <c r="O41" i="35"/>
  <c r="O40" i="35"/>
  <c r="M76" i="35" l="1"/>
  <c r="S75" i="35"/>
  <c r="S76" i="35" s="1"/>
  <c r="S39" i="35" s="1"/>
  <c r="H12" i="138"/>
  <c r="U76" i="35" l="1"/>
  <c r="T13" i="206"/>
  <c r="T15" i="206" s="1"/>
  <c r="T17" i="206" s="1"/>
  <c r="T31" i="206" s="1"/>
  <c r="S40" i="35"/>
  <c r="S41" i="35"/>
  <c r="M39" i="35"/>
  <c r="I42" i="138"/>
  <c r="H12" i="26"/>
  <c r="T33" i="206" l="1"/>
  <c r="AM31" i="206"/>
  <c r="N12" i="26"/>
  <c r="N14" i="26" s="1"/>
  <c r="H14" i="26"/>
  <c r="O42" i="138"/>
  <c r="I47" i="138"/>
  <c r="I48" i="138" s="1"/>
  <c r="I49" i="138" s="1"/>
  <c r="I10" i="138"/>
  <c r="I11" i="138" s="1"/>
  <c r="I12" i="138" s="1"/>
  <c r="M41" i="35"/>
  <c r="M40" i="35"/>
  <c r="T32" i="206" l="1"/>
  <c r="W33" i="206"/>
  <c r="H16" i="26"/>
  <c r="J16" i="138"/>
  <c r="I51" i="138"/>
  <c r="W32" i="206" l="1"/>
  <c r="W18" i="206" s="1"/>
  <c r="W19" i="206" s="1"/>
  <c r="Z33" i="206"/>
  <c r="T18" i="206"/>
  <c r="T19" i="206" s="1"/>
  <c r="H30" i="26"/>
  <c r="N16" i="26"/>
  <c r="J49" i="138"/>
  <c r="J5" i="138"/>
  <c r="J12" i="138" s="1"/>
  <c r="T27" i="206" l="1"/>
  <c r="T20" i="206"/>
  <c r="T36" i="206"/>
  <c r="T37" i="206"/>
  <c r="AC33" i="206"/>
  <c r="Z32" i="206"/>
  <c r="W36" i="206"/>
  <c r="W27" i="206"/>
  <c r="W20" i="206"/>
  <c r="W37" i="206"/>
  <c r="H32" i="26"/>
  <c r="N30" i="26"/>
  <c r="K16" i="138"/>
  <c r="K5" i="138" s="1"/>
  <c r="J51" i="138"/>
  <c r="AF33" i="206" l="1"/>
  <c r="AC32" i="206"/>
  <c r="AC18" i="206" s="1"/>
  <c r="AC19" i="206" s="1"/>
  <c r="Z18" i="206"/>
  <c r="Z19" i="206" s="1"/>
  <c r="H31" i="26"/>
  <c r="H17" i="26" s="1"/>
  <c r="H18" i="26" s="1"/>
  <c r="H36" i="26" s="1"/>
  <c r="I32" i="26"/>
  <c r="AC27" i="206" l="1"/>
  <c r="AC36" i="206"/>
  <c r="AC20" i="206"/>
  <c r="AC37" i="206"/>
  <c r="Z37" i="206"/>
  <c r="Z20" i="206"/>
  <c r="Z36" i="206"/>
  <c r="Z27" i="206"/>
  <c r="AF32" i="206"/>
  <c r="AI33" i="206"/>
  <c r="AI32" i="206" s="1"/>
  <c r="AI18" i="206" s="1"/>
  <c r="AI19" i="206" s="1"/>
  <c r="H35" i="26"/>
  <c r="H19" i="26"/>
  <c r="H26" i="26"/>
  <c r="J32" i="26"/>
  <c r="I31" i="26"/>
  <c r="I17" i="26" s="1"/>
  <c r="AI20" i="206" l="1"/>
  <c r="AI37" i="206"/>
  <c r="AI27" i="206"/>
  <c r="AI36" i="206"/>
  <c r="AF18" i="206"/>
  <c r="AF19" i="206" s="1"/>
  <c r="AM32" i="206"/>
  <c r="I18" i="26"/>
  <c r="K32" i="26"/>
  <c r="J31" i="26"/>
  <c r="J17" i="26" s="1"/>
  <c r="J18" i="26" s="1"/>
  <c r="AF37" i="206" l="1"/>
  <c r="AF20" i="206"/>
  <c r="AF27" i="206"/>
  <c r="AF36" i="206"/>
  <c r="J26" i="26"/>
  <c r="J36" i="26"/>
  <c r="J19" i="26"/>
  <c r="J35" i="26"/>
  <c r="K31" i="26"/>
  <c r="K17" i="26" s="1"/>
  <c r="L32" i="26"/>
  <c r="I19" i="26"/>
  <c r="I26" i="26"/>
  <c r="I35" i="26"/>
  <c r="I36" i="26"/>
  <c r="L31" i="26" l="1"/>
  <c r="L17" i="26" s="1"/>
  <c r="L18" i="26" s="1"/>
  <c r="M32" i="26"/>
  <c r="M31" i="26" s="1"/>
  <c r="M17" i="26" s="1"/>
  <c r="M18" i="26" s="1"/>
  <c r="K18" i="26"/>
  <c r="K40" i="138"/>
  <c r="K9" i="138"/>
  <c r="N9" i="138" l="1"/>
  <c r="O9" i="138" s="1"/>
  <c r="K47" i="138"/>
  <c r="K21" i="138"/>
  <c r="K10" i="138"/>
  <c r="K11" i="138" s="1"/>
  <c r="K35" i="26"/>
  <c r="K26" i="26"/>
  <c r="K19" i="26"/>
  <c r="K36" i="26"/>
  <c r="M26" i="26"/>
  <c r="M19" i="26"/>
  <c r="M35" i="26"/>
  <c r="M36" i="26"/>
  <c r="N17" i="26"/>
  <c r="N18" i="26" s="1"/>
  <c r="N31" i="26"/>
  <c r="L19" i="26"/>
  <c r="L26" i="26"/>
  <c r="L35" i="26"/>
  <c r="L36" i="26"/>
  <c r="O38" i="138" l="1"/>
  <c r="N40" i="138"/>
  <c r="O40" i="138" s="1"/>
  <c r="N35" i="26"/>
  <c r="N26" i="26"/>
  <c r="N19" i="26"/>
  <c r="K25" i="138"/>
  <c r="K48" i="138" s="1"/>
  <c r="K49" i="138" s="1"/>
  <c r="K7" i="138"/>
  <c r="K8" i="138" s="1"/>
  <c r="K12" i="138" s="1"/>
  <c r="N21" i="138" l="1"/>
  <c r="N7" i="138" s="1"/>
  <c r="L16" i="138"/>
  <c r="K51" i="138"/>
  <c r="O21" i="138" l="1"/>
  <c r="O25" i="138" s="1"/>
  <c r="N25" i="138"/>
  <c r="L49" i="138"/>
  <c r="L5" i="138"/>
  <c r="L12" i="138" s="1"/>
  <c r="N8" i="138"/>
  <c r="O8" i="138" s="1"/>
  <c r="O7" i="138"/>
  <c r="M16" i="138" l="1"/>
  <c r="L51" i="138"/>
  <c r="M49" i="138" l="1"/>
  <c r="M5" i="138"/>
  <c r="M12" i="138" s="1"/>
  <c r="N16" i="138" l="1"/>
  <c r="M51" i="138"/>
  <c r="N5" i="138" l="1"/>
  <c r="N41" i="138" l="1"/>
  <c r="N47" i="138" s="1"/>
  <c r="N48" i="138" s="1"/>
  <c r="N49" i="138" s="1"/>
  <c r="N51" i="138" s="1"/>
  <c r="N10" i="138" l="1"/>
  <c r="N11" i="138" s="1"/>
  <c r="O41" i="138"/>
  <c r="O47" i="138" s="1"/>
  <c r="O48" i="138" s="1"/>
  <c r="O49" i="138" s="1"/>
  <c r="O51" i="138" s="1"/>
  <c r="O10" i="138" l="1"/>
  <c r="N12" i="138"/>
  <c r="O11" i="138"/>
  <c r="O12" i="13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  <author>MR.KANG</author>
    <author>ACC-PC01</author>
  </authors>
  <commentList>
    <comment ref="J6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 xml:space="preserve">A17
</t>
        </r>
      </text>
    </comment>
    <comment ref="U11" authorId="1" shapeId="0" xr:uid="{00000000-0006-0000-0500-000002000000}">
      <text>
        <r>
          <rPr>
            <b/>
            <sz val="10"/>
            <color indexed="81"/>
            <rFont val="Tahoma"/>
            <family val="2"/>
          </rPr>
          <t xml:space="preserve">A18 5G </t>
        </r>
        <r>
          <rPr>
            <b/>
            <sz val="10"/>
            <color indexed="81"/>
            <rFont val="돋움"/>
            <family val="3"/>
            <charset val="129"/>
          </rPr>
          <t>모델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수주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목표</t>
        </r>
      </text>
    </comment>
    <comment ref="G199" authorId="1" shapeId="0" xr:uid="{00000000-0006-0000-0500-000003000000}">
      <text>
        <r>
          <rPr>
            <b/>
            <sz val="9"/>
            <color indexed="81"/>
            <rFont val="돋움"/>
            <family val="3"/>
            <charset val="129"/>
          </rPr>
          <t>단가</t>
        </r>
        <r>
          <rPr>
            <b/>
            <sz val="9"/>
            <color indexed="81"/>
            <rFont val="Tahoma"/>
            <family val="2"/>
          </rPr>
          <t xml:space="preserve"> $1,069
SG 80%
VN 20%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  <comment ref="M202" authorId="2" shapeId="0" xr:uid="{00000000-0006-0000-0500-000004000000}">
      <text>
        <r>
          <rPr>
            <b/>
            <sz val="9"/>
            <color indexed="81"/>
            <rFont val="Tahoma"/>
            <family val="2"/>
          </rPr>
          <t>Sale :58k 
Tool: 54k</t>
        </r>
        <r>
          <rPr>
            <sz val="9"/>
            <color indexed="81"/>
            <rFont val="Tahoma"/>
            <family val="2"/>
          </rPr>
          <t xml:space="preserve">
Product: 3k</t>
        </r>
      </text>
    </comment>
    <comment ref="N202" authorId="2" shapeId="0" xr:uid="{00000000-0006-0000-0500-000005000000}">
      <text>
        <r>
          <rPr>
            <b/>
            <sz val="9"/>
            <color indexed="81"/>
            <rFont val="Tahoma"/>
            <family val="2"/>
          </rPr>
          <t>Product: 20k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02" authorId="2" shapeId="0" xr:uid="{00000000-0006-0000-0500-000006000000}">
      <text>
        <r>
          <rPr>
            <sz val="9"/>
            <color indexed="81"/>
            <rFont val="Tahoma"/>
            <family val="2"/>
          </rPr>
          <t>Sale :82k 
Tool:57k 
Product:25k</t>
        </r>
      </text>
    </comment>
    <comment ref="M269" authorId="2" shapeId="0" xr:uid="{00000000-0006-0000-0500-000007000000}">
      <text>
        <r>
          <rPr>
            <b/>
            <sz val="9"/>
            <color indexed="81"/>
            <rFont val="Tahoma"/>
            <family val="2"/>
          </rPr>
          <t>Mando Korea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89" authorId="2" shapeId="0" xr:uid="{00000000-0006-0000-0500-000008000000}">
      <text>
        <r>
          <rPr>
            <b/>
            <sz val="9"/>
            <color indexed="81"/>
            <rFont val="Tahoma"/>
            <family val="2"/>
          </rPr>
          <t>Net receive Chailease
2- 5% deposit :48,049$
3- Offset 2% contract liquidation  : 19,220$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89" authorId="2" shapeId="0" xr:uid="{00000000-0006-0000-0500-000009000000}">
      <text>
        <r>
          <rPr>
            <b/>
            <sz val="9"/>
            <color indexed="81"/>
            <rFont val="Tahoma"/>
            <family val="2"/>
          </rPr>
          <t>Deposit saving 2025 and Saple of bracket</t>
        </r>
      </text>
    </comment>
    <comment ref="N289" authorId="2" shapeId="0" xr:uid="{00000000-0006-0000-0500-00000A000000}">
      <text>
        <r>
          <rPr>
            <b/>
            <sz val="9"/>
            <color indexed="81"/>
            <rFont val="Tahoma"/>
            <family val="2"/>
          </rPr>
          <t>ACC-PC01:</t>
        </r>
        <r>
          <rPr>
            <sz val="9"/>
            <color indexed="81"/>
            <rFont val="Tahoma"/>
            <family val="2"/>
          </rPr>
          <t xml:space="preserve">
Others Customer
Hyeosengg
Dragion</t>
        </r>
      </text>
    </comment>
    <comment ref="O289" authorId="2" shapeId="0" xr:uid="{00000000-0006-0000-0500-00000B000000}">
      <text>
        <r>
          <rPr>
            <b/>
            <sz val="9"/>
            <color indexed="81"/>
            <rFont val="Tahoma"/>
            <family val="2"/>
          </rPr>
          <t>HYOSEONG: 10k
Cashback from vendor :10k 
3-Interest deposit electric contract: 18k</t>
        </r>
      </text>
    </comment>
    <comment ref="P289" authorId="2" shapeId="0" xr:uid="{00000000-0006-0000-0500-00000C000000}">
      <text>
        <r>
          <rPr>
            <b/>
            <sz val="9"/>
            <color indexed="81"/>
            <rFont val="Tahoma"/>
            <family val="2"/>
          </rPr>
          <t xml:space="preserve">AR from TAILYN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290" authorId="0" shapeId="0" xr:uid="{00000000-0006-0000-0500-00000D000000}">
      <text>
        <r>
          <rPr>
            <b/>
            <sz val="12"/>
            <color indexed="81"/>
            <rFont val="돋움"/>
            <family val="3"/>
            <charset val="129"/>
          </rPr>
          <t>셜리와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협의하여</t>
        </r>
        <r>
          <rPr>
            <b/>
            <sz val="12"/>
            <color indexed="81"/>
            <rFont val="Tahoma"/>
            <family val="2"/>
          </rPr>
          <t xml:space="preserve"> AR</t>
        </r>
        <r>
          <rPr>
            <b/>
            <sz val="12"/>
            <color indexed="81"/>
            <rFont val="돋움"/>
            <family val="3"/>
            <charset val="129"/>
          </rPr>
          <t>비용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수정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 Lee</author>
    <author>LPC</author>
    <author>PT.THUY</author>
  </authors>
  <commentList>
    <comment ref="H34" authorId="0" shapeId="0" xr:uid="{00000000-0006-0000-0700-000001000000}">
      <text>
        <r>
          <rPr>
            <sz val="9"/>
            <color indexed="81"/>
            <rFont val="돋움"/>
            <family val="3"/>
            <charset val="129"/>
          </rPr>
          <t>현재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대비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>상승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기간이익율</t>
        </r>
        <r>
          <rPr>
            <sz val="9"/>
            <color indexed="81"/>
            <rFont val="Tahoma"/>
            <family val="2"/>
          </rPr>
          <t xml:space="preserve"> 7% </t>
        </r>
        <r>
          <rPr>
            <sz val="9"/>
            <color indexed="81"/>
            <rFont val="돋움"/>
            <family val="3"/>
            <charset val="129"/>
          </rPr>
          <t>고려</t>
        </r>
      </text>
    </comment>
    <comment ref="AA73" authorId="1" shapeId="0" xr:uid="{00000000-0006-0000-0700-000002000000}">
      <text>
        <r>
          <rPr>
            <b/>
            <sz val="9"/>
            <color indexed="81"/>
            <rFont val="Tahoma"/>
            <family val="2"/>
          </rPr>
          <t>LPC: LGIT PL compensation amount + mold fee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73" authorId="1" shapeId="0" xr:uid="{00000000-0006-0000-0700-000003000000}">
      <text>
        <r>
          <rPr>
            <b/>
            <sz val="9"/>
            <color indexed="81"/>
            <rFont val="Tahoma"/>
            <family val="2"/>
          </rPr>
          <t>LPC:</t>
        </r>
        <r>
          <rPr>
            <sz val="9"/>
            <color indexed="81"/>
            <rFont val="Tahoma"/>
            <family val="2"/>
          </rPr>
          <t xml:space="preserve">
AL5#7, T6 bearing #2, 203A,207A #2</t>
        </r>
      </text>
    </comment>
    <comment ref="AD73" authorId="2" shapeId="0" xr:uid="{00000000-0006-0000-0700-000004000000}">
      <text>
        <r>
          <rPr>
            <b/>
            <sz val="9"/>
            <color indexed="81"/>
            <rFont val="Tahoma"/>
            <family val="2"/>
          </rPr>
          <t>PT.THUY:</t>
        </r>
        <r>
          <rPr>
            <sz val="9"/>
            <color indexed="81"/>
            <rFont val="Tahoma"/>
            <family val="2"/>
          </rPr>
          <t xml:space="preserve">
AL5 #8, Gen 2 #5, CL4 HS #3 #4 570W #3
</t>
        </r>
      </text>
    </comment>
    <comment ref="AE73" authorId="2" shapeId="0" xr:uid="{00000000-0006-0000-0700-000005000000}">
      <text>
        <r>
          <rPr>
            <b/>
            <sz val="9"/>
            <color indexed="81"/>
            <rFont val="Tahoma"/>
            <family val="2"/>
          </rPr>
          <t>PT.THUY:</t>
        </r>
        <r>
          <rPr>
            <sz val="9"/>
            <color indexed="81"/>
            <rFont val="Tahoma"/>
            <family val="2"/>
          </rPr>
          <t xml:space="preserve">
T6M6 #4, CL4 Cover #2 MQ4a Cover #2</t>
        </r>
      </text>
    </comment>
    <comment ref="AF73" authorId="2" shapeId="0" xr:uid="{00000000-0006-0000-0700-000006000000}">
      <text>
        <r>
          <rPr>
            <b/>
            <sz val="9"/>
            <color indexed="81"/>
            <rFont val="Tahoma"/>
            <family val="2"/>
          </rPr>
          <t>PT.THUY:</t>
        </r>
        <r>
          <rPr>
            <sz val="9"/>
            <color indexed="81"/>
            <rFont val="Tahoma"/>
            <family val="2"/>
          </rPr>
          <t xml:space="preserve">
MQ4a Housing #2 
T6 Bearing Plate #3
Cl4 Housing #5
</t>
        </r>
      </text>
    </comment>
    <comment ref="AY73" authorId="0" shapeId="0" xr:uid="{00000000-0006-0000-0700-000007000000}">
      <text>
        <r>
          <rPr>
            <b/>
            <sz val="9"/>
            <color indexed="81"/>
            <rFont val="돋움"/>
            <family val="3"/>
            <charset val="129"/>
          </rPr>
          <t>모터</t>
        </r>
        <r>
          <rPr>
            <b/>
            <sz val="9"/>
            <color indexed="81"/>
            <rFont val="Tahoma"/>
            <family val="2"/>
          </rPr>
          <t xml:space="preserve"> '24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대비</t>
        </r>
        <r>
          <rPr>
            <b/>
            <sz val="9"/>
            <color indexed="81"/>
            <rFont val="Tahoma"/>
            <family val="2"/>
          </rPr>
          <t xml:space="preserve"> 25% </t>
        </r>
        <r>
          <rPr>
            <b/>
            <sz val="9"/>
            <color indexed="81"/>
            <rFont val="돋움"/>
            <family val="3"/>
            <charset val="129"/>
          </rPr>
          <t>증가로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32</t>
        </r>
        <r>
          <rPr>
            <b/>
            <sz val="9"/>
            <color indexed="81"/>
            <rFont val="돋움"/>
            <family val="3"/>
            <charset val="129"/>
          </rPr>
          <t>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
카메라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제작이나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금형비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감안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  <author>Kang YeongKyu</author>
  </authors>
  <commentList>
    <comment ref="P265" authorId="0" shapeId="0" xr:uid="{00000000-0006-0000-0800-000001000000}">
      <text>
        <r>
          <rPr>
            <b/>
            <sz val="9"/>
            <color indexed="81"/>
            <rFont val="돋움"/>
            <family val="3"/>
            <charset val="129"/>
          </rPr>
          <t>선행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대응</t>
        </r>
      </text>
    </comment>
    <comment ref="J277" authorId="1" shapeId="0" xr:uid="{00000000-0006-0000-0800-000002000000}">
      <text>
        <r>
          <rPr>
            <b/>
            <sz val="14"/>
            <color indexed="81"/>
            <rFont val="돋움"/>
            <family val="3"/>
            <charset val="129"/>
          </rPr>
          <t>자동</t>
        </r>
        <r>
          <rPr>
            <b/>
            <sz val="14"/>
            <color indexed="81"/>
            <rFont val="Tahoma"/>
            <family val="2"/>
          </rPr>
          <t xml:space="preserve"> 3</t>
        </r>
        <r>
          <rPr>
            <b/>
            <sz val="14"/>
            <color indexed="81"/>
            <rFont val="돋움"/>
            <family val="3"/>
            <charset val="129"/>
          </rPr>
          <t xml:space="preserve">대
</t>
        </r>
        <r>
          <rPr>
            <b/>
            <sz val="14"/>
            <color indexed="81"/>
            <rFont val="Tahoma"/>
            <family val="2"/>
          </rPr>
          <t xml:space="preserve">Old </t>
        </r>
        <r>
          <rPr>
            <b/>
            <sz val="14"/>
            <color indexed="81"/>
            <rFont val="돋움"/>
            <family val="3"/>
            <charset val="129"/>
          </rPr>
          <t>자동</t>
        </r>
        <r>
          <rPr>
            <b/>
            <sz val="14"/>
            <color indexed="81"/>
            <rFont val="Tahoma"/>
            <family val="2"/>
          </rPr>
          <t xml:space="preserve"> 2</t>
        </r>
        <r>
          <rPr>
            <b/>
            <sz val="14"/>
            <color indexed="81"/>
            <rFont val="돋움"/>
            <family val="3"/>
            <charset val="129"/>
          </rPr>
          <t>세트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MR.KANG</author>
    <author>Kang YeongKyu</author>
  </authors>
  <commentList>
    <comment ref="K79" authorId="0" shapeId="0" xr:uid="{00000000-0006-0000-0900-000001000000}">
      <text>
        <r>
          <rPr>
            <b/>
            <sz val="9"/>
            <color indexed="81"/>
            <rFont val="돋움"/>
            <family val="3"/>
            <charset val="129"/>
          </rPr>
          <t>내부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고객사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</t>
        </r>
      </text>
    </comment>
    <comment ref="K82" authorId="0" shapeId="0" xr:uid="{00000000-0006-0000-0900-000002000000}">
      <text>
        <r>
          <rPr>
            <b/>
            <sz val="9"/>
            <color indexed="81"/>
            <rFont val="돋움"/>
            <family val="3"/>
            <charset val="129"/>
          </rPr>
          <t>내부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고객사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</t>
        </r>
      </text>
    </comment>
    <comment ref="K84" authorId="0" shapeId="0" xr:uid="{00000000-0006-0000-0900-000003000000}">
      <text>
        <r>
          <rPr>
            <b/>
            <sz val="9"/>
            <color indexed="81"/>
            <rFont val="돋움"/>
            <family val="3"/>
            <charset val="129"/>
          </rPr>
          <t>내부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고객사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</t>
        </r>
      </text>
    </comment>
    <comment ref="U146" authorId="0" shapeId="0" xr:uid="{00000000-0006-0000-0900-000004000000}">
      <text>
        <r>
          <rPr>
            <b/>
            <sz val="9"/>
            <color indexed="81"/>
            <rFont val="돋움"/>
            <family val="3"/>
            <charset val="129"/>
          </rPr>
          <t>금형</t>
        </r>
        <r>
          <rPr>
            <b/>
            <sz val="9"/>
            <color indexed="81"/>
            <rFont val="Tahoma"/>
            <family val="2"/>
          </rPr>
          <t xml:space="preserve"> Capa </t>
        </r>
        <r>
          <rPr>
            <b/>
            <sz val="9"/>
            <color indexed="81"/>
            <rFont val="돋움"/>
            <family val="3"/>
            <charset val="129"/>
          </rPr>
          <t xml:space="preserve">증가
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158" authorId="1" shapeId="0" xr:uid="{00000000-0006-0000-0900-000005000000}">
      <text>
        <r>
          <rPr>
            <b/>
            <sz val="9"/>
            <color indexed="81"/>
            <rFont val="돋움"/>
            <family val="3"/>
            <charset val="129"/>
          </rPr>
          <t xml:space="preserve">삼성, 퀄컴, LG
</t>
        </r>
      </text>
    </comment>
    <comment ref="B159" authorId="1" shapeId="0" xr:uid="{00000000-0006-0000-0900-000006000000}">
      <text>
        <r>
          <rPr>
            <b/>
            <sz val="9"/>
            <color indexed="81"/>
            <rFont val="돋움"/>
            <family val="3"/>
            <charset val="129"/>
          </rPr>
          <t>만도</t>
        </r>
        <r>
          <rPr>
            <b/>
            <sz val="9"/>
            <color indexed="81"/>
            <rFont val="Tahoma"/>
            <family val="2"/>
          </rPr>
          <t>, ZF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  <author>Windows 사용자</author>
    <author>ACC-PC01</author>
  </authors>
  <commentList>
    <comment ref="B5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Roh chung hyun,kim young jin, Lee Choong jae, Choi Byeong Youn,kim seok ki, Lim Jae hong</t>
        </r>
      </text>
    </comment>
    <comment ref="B6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Kim dokun</t>
        </r>
      </text>
    </comment>
    <comment ref="B7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Noh Young jun, Kang yeong kyu</t>
        </r>
      </text>
    </comment>
    <comment ref="B9" authorId="0" shapeId="0" xr:uid="{00000000-0006-0000-0B00-000004000000}">
      <text>
        <r>
          <rPr>
            <b/>
            <sz val="9"/>
            <color indexed="81"/>
            <rFont val="돋움"/>
            <family val="3"/>
            <charset val="129"/>
          </rPr>
          <t>Lee Bong ki, Mr Koh</t>
        </r>
      </text>
    </comment>
    <comment ref="B10" authorId="0" shapeId="0" xr:uid="{00000000-0006-0000-0B00-000005000000}">
      <text>
        <r>
          <rPr>
            <b/>
            <sz val="9"/>
            <color indexed="81"/>
            <rFont val="돋움"/>
            <family val="3"/>
            <charset val="129"/>
          </rPr>
          <t>Yeong Dongil, Park seong oh,</t>
        </r>
      </text>
    </comment>
    <comment ref="B1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 xml:space="preserve">son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 xml:space="preserve">, Wang Shin </t>
        </r>
        <r>
          <rPr>
            <b/>
            <sz val="9"/>
            <color indexed="81"/>
            <rFont val="돋움"/>
            <family val="3"/>
            <charset val="129"/>
          </rPr>
          <t>과장</t>
        </r>
      </text>
    </comment>
    <comment ref="B17" authorId="1" shapeId="0" xr:uid="{00000000-0006-0000-0B00-000007000000}">
      <text>
        <r>
          <rPr>
            <b/>
            <sz val="9"/>
            <color indexed="81"/>
            <rFont val="Tahoma"/>
            <family val="2"/>
          </rPr>
          <t>Đức, Tấm, Dân, Chi, Tú.</t>
        </r>
      </text>
    </comment>
    <comment ref="B18" authorId="1" shapeId="0" xr:uid="{00000000-0006-0000-0B00-000008000000}">
      <text>
        <r>
          <rPr>
            <b/>
            <sz val="9"/>
            <color indexed="81"/>
            <rFont val="Tahoma"/>
            <family val="2"/>
          </rPr>
          <t xml:space="preserve">Hoa, Lương, Luân, Trọng, Cương, Đáo, Quang, Hà.
</t>
        </r>
      </text>
    </comment>
    <comment ref="B21" authorId="1" shapeId="0" xr:uid="{00000000-0006-0000-0B00-000009000000}">
      <text>
        <r>
          <rPr>
            <b/>
            <sz val="9"/>
            <color indexed="81"/>
            <rFont val="Tahoma"/>
            <family val="2"/>
          </rPr>
          <t xml:space="preserve">Mạnh, Chất
</t>
        </r>
      </text>
    </comment>
    <comment ref="B22" authorId="1" shapeId="0" xr:uid="{00000000-0006-0000-0B00-00000A000000}">
      <text>
        <r>
          <rPr>
            <b/>
            <sz val="9"/>
            <color indexed="81"/>
            <rFont val="Tahoma"/>
            <family val="2"/>
          </rPr>
          <t>Thủy ,Sơn, Tráng, Giang, Duyên, Duẩn, Cường, Sơn (CNC from Mar).</t>
        </r>
      </text>
    </comment>
    <comment ref="F53" authorId="1" shapeId="0" xr:uid="{00000000-0006-0000-0B00-00000B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N53" authorId="1" shapeId="0" xr:uid="{00000000-0006-0000-0B00-00000C000000}">
      <text>
        <r>
          <rPr>
            <b/>
            <sz val="9"/>
            <color indexed="81"/>
            <rFont val="Tahoma"/>
            <family val="2"/>
          </rPr>
          <t>CNC 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F54" authorId="1" shapeId="0" xr:uid="{00000000-0006-0000-0B00-00000D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도입
</t>
        </r>
      </text>
    </comment>
    <comment ref="G54" authorId="1" shapeId="0" xr:uid="{00000000-0006-0000-0B00-00000E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F55" authorId="1" shapeId="0" xr:uid="{00000000-0006-0000-0B00-00000F000000}">
      <text>
        <r>
          <rPr>
            <b/>
            <sz val="9"/>
            <color indexed="81"/>
            <rFont val="돋움"/>
            <family val="3"/>
            <charset val="129"/>
          </rPr>
          <t>전수검사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K55" authorId="1" shapeId="0" xr:uid="{00000000-0006-0000-0B00-000010000000}">
      <text>
        <r>
          <rPr>
            <b/>
            <sz val="9"/>
            <color indexed="81"/>
            <rFont val="돋움"/>
            <family val="3"/>
            <charset val="129"/>
          </rPr>
          <t>품질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Cision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D59" authorId="2" shapeId="0" xr:uid="{00000000-0006-0000-0B00-000011000000}">
      <text>
        <r>
          <rPr>
            <sz val="9"/>
            <color indexed="81"/>
            <rFont val="Tahoma"/>
            <family val="2"/>
          </rPr>
          <t xml:space="preserve">wealfare expense m
</t>
        </r>
      </text>
    </comment>
    <comment ref="D64" authorId="2" shapeId="0" xr:uid="{00000000-0006-0000-0B00-000012000000}">
      <text>
        <r>
          <rPr>
            <sz val="9"/>
            <color indexed="81"/>
            <rFont val="Tahoma"/>
            <family val="2"/>
          </rPr>
          <t xml:space="preserve">
Atual salary Mr Koh 
reduces : 3k</t>
        </r>
      </text>
    </comment>
    <comment ref="D72" authorId="2" shapeId="0" xr:uid="{00000000-0006-0000-0B00-000013000000}">
      <text>
        <r>
          <rPr>
            <b/>
            <sz val="9"/>
            <color indexed="81"/>
            <rFont val="Tahoma"/>
            <family val="2"/>
          </rPr>
          <t>SHUI company pay: 21.5%</t>
        </r>
      </text>
    </comment>
    <comment ref="F117" authorId="1" shapeId="0" xr:uid="{00000000-0006-0000-0B00-000014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D12" authorId="0" shapeId="0" xr:uid="{00000000-0006-0000-0C00-000001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D87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L87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CNC 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D88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도입
</t>
        </r>
      </text>
    </comment>
    <comment ref="E88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D89" authorId="0" shapeId="0" xr:uid="{00000000-0006-0000-0C00-000006000000}">
      <text>
        <r>
          <rPr>
            <b/>
            <sz val="9"/>
            <color indexed="81"/>
            <rFont val="돋움"/>
            <family val="3"/>
            <charset val="129"/>
          </rPr>
          <t>전수검사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89" authorId="0" shapeId="0" xr:uid="{00000000-0006-0000-0C00-000007000000}">
      <text>
        <r>
          <rPr>
            <b/>
            <sz val="9"/>
            <color indexed="81"/>
            <rFont val="돋움"/>
            <family val="3"/>
            <charset val="129"/>
          </rPr>
          <t>품질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Cision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D105" authorId="0" shapeId="0" xr:uid="{00000000-0006-0000-0C00-000008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  <author>임재홍</author>
    <author>MR.KANG</author>
    <author>Windows 사용자</author>
    <author>Michael</author>
    <author>ACC-PC01</author>
  </authors>
  <commentList>
    <comment ref="B5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Roh chung hyun
Lee Choong jae
Choi Byeong Youn
kim seok ki
Lim Jae hong</t>
        </r>
      </text>
    </comment>
    <comment ref="U5" authorId="1" shapeId="0" xr:uid="{00000000-0006-0000-0D00-000002000000}">
      <text>
        <r>
          <rPr>
            <b/>
            <sz val="9"/>
            <color indexed="81"/>
            <rFont val="돋움"/>
            <family val="3"/>
            <charset val="129"/>
          </rPr>
          <t>김영진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퇴사
</t>
        </r>
      </text>
    </comment>
    <comment ref="AH5" authorId="1" shapeId="0" xr:uid="{00000000-0006-0000-0D00-000003000000}">
      <text>
        <r>
          <rPr>
            <b/>
            <sz val="9"/>
            <color indexed="81"/>
            <rFont val="돋움"/>
            <family val="3"/>
            <charset val="129"/>
          </rPr>
          <t>김영진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퇴사
</t>
        </r>
      </text>
    </comment>
    <comment ref="AU5" authorId="1" shapeId="0" xr:uid="{00000000-0006-0000-0D00-000004000000}">
      <text>
        <r>
          <rPr>
            <b/>
            <sz val="9"/>
            <color indexed="81"/>
            <rFont val="돋움"/>
            <family val="3"/>
            <charset val="129"/>
          </rPr>
          <t>김영진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퇴사
</t>
        </r>
      </text>
    </comment>
    <comment ref="B6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Kim dokun retire in Apr.26
Noh Young jun</t>
        </r>
      </text>
    </comment>
    <comment ref="I6" authorId="2" shapeId="0" xr:uid="{00000000-0006-0000-0D00-000006000000}">
      <text>
        <r>
          <rPr>
            <b/>
            <sz val="9"/>
            <color indexed="81"/>
            <rFont val="돋움"/>
            <family val="3"/>
            <charset val="129"/>
          </rPr>
          <t>김도근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퇴사</t>
        </r>
      </text>
    </comment>
    <comment ref="B7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 xml:space="preserve">Kang yeong kyu
Oh Sang Hoon
</t>
        </r>
        <r>
          <rPr>
            <b/>
            <sz val="9"/>
            <color indexed="81"/>
            <rFont val="돋움"/>
            <family val="3"/>
            <charset val="129"/>
          </rPr>
          <t>개발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입사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명</t>
        </r>
      </text>
    </comment>
    <comment ref="B9" authorId="0" shapeId="0" xr:uid="{00000000-0006-0000-0D00-000008000000}">
      <text>
        <r>
          <rPr>
            <b/>
            <sz val="9"/>
            <color indexed="81"/>
            <rFont val="돋움"/>
            <family val="3"/>
            <charset val="129"/>
          </rPr>
          <t>Koh Jin Seok</t>
        </r>
      </text>
    </comment>
    <comment ref="B10" authorId="0" shapeId="0" xr:uid="{00000000-0006-0000-0D00-000009000000}">
      <text>
        <r>
          <rPr>
            <b/>
            <sz val="9"/>
            <color indexed="81"/>
            <rFont val="돋움"/>
            <family val="3"/>
            <charset val="129"/>
          </rPr>
          <t>Yeong Dongil
Lim Sungjo
Kang Seok Ha</t>
        </r>
      </text>
    </comment>
    <comment ref="T10" authorId="1" shapeId="0" xr:uid="{00000000-0006-0000-0D00-00000A000000}">
      <text>
        <r>
          <rPr>
            <b/>
            <sz val="9"/>
            <color indexed="81"/>
            <rFont val="돋움"/>
            <family val="3"/>
            <charset val="129"/>
          </rPr>
          <t>캐스팅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임성조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입사</t>
        </r>
        <r>
          <rPr>
            <b/>
            <sz val="9"/>
            <color indexed="81"/>
            <rFont val="Tahoma"/>
            <family val="2"/>
          </rPr>
          <t xml:space="preserve">(2/3)
</t>
        </r>
      </text>
    </comment>
    <comment ref="AG10" authorId="1" shapeId="0" xr:uid="{00000000-0006-0000-0D00-00000B000000}">
      <text>
        <r>
          <rPr>
            <b/>
            <sz val="9"/>
            <color indexed="81"/>
            <rFont val="돋움"/>
            <family val="3"/>
            <charset val="129"/>
          </rPr>
          <t>캐스팅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임성조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입사</t>
        </r>
        <r>
          <rPr>
            <b/>
            <sz val="9"/>
            <color indexed="81"/>
            <rFont val="Tahoma"/>
            <family val="2"/>
          </rPr>
          <t xml:space="preserve">(2/3)
</t>
        </r>
      </text>
    </comment>
    <comment ref="AT10" authorId="1" shapeId="0" xr:uid="{00000000-0006-0000-0D00-00000C000000}">
      <text>
        <r>
          <rPr>
            <b/>
            <sz val="9"/>
            <color indexed="81"/>
            <rFont val="돋움"/>
            <family val="3"/>
            <charset val="129"/>
          </rPr>
          <t>캐스팅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임성조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입사</t>
        </r>
        <r>
          <rPr>
            <b/>
            <sz val="9"/>
            <color indexed="81"/>
            <rFont val="Tahoma"/>
            <family val="2"/>
          </rPr>
          <t xml:space="preserve">(2/3)
</t>
        </r>
      </text>
    </comment>
    <comment ref="B11" authorId="0" shapeId="0" xr:uid="{00000000-0006-0000-0D00-00000D000000}">
      <text>
        <r>
          <rPr>
            <b/>
            <sz val="9"/>
            <color indexed="81"/>
            <rFont val="돋움"/>
            <family val="3"/>
            <charset val="129"/>
          </rPr>
          <t>Wang Shin
Kim Jin Wook</t>
        </r>
      </text>
    </comment>
    <comment ref="AB11" authorId="3" shapeId="0" xr:uid="{00000000-0006-0000-0D00-00000E000000}">
      <text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주재원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채용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개발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AO11" authorId="3" shapeId="0" xr:uid="{00000000-0006-0000-0D00-00000F000000}">
      <text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주재원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채용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개발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B11" authorId="3" shapeId="0" xr:uid="{00000000-0006-0000-0D00-000010000000}">
      <text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주재원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채용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개발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17" authorId="3" shapeId="0" xr:uid="{00000000-0006-0000-0D00-000011000000}">
      <text>
        <r>
          <rPr>
            <b/>
            <sz val="9"/>
            <color indexed="81"/>
            <rFont val="Tahoma"/>
            <family val="2"/>
          </rPr>
          <t>Ngô Văn Đông Đức
Phùng Thị Tấm
Tạ Khánh Chi
Nguyễn Văn Tú
Nguyễn Viết Luân</t>
        </r>
      </text>
    </comment>
    <comment ref="L17" authorId="4" shapeId="0" xr:uid="{087FCD95-F828-4B9D-B6B2-84A771888130}">
      <text>
        <r>
          <rPr>
            <b/>
            <sz val="9"/>
            <color indexed="81"/>
            <rFont val="Tahoma"/>
            <family val="2"/>
          </rPr>
          <t xml:space="preserve">Phùng Thị Tấm </t>
        </r>
        <r>
          <rPr>
            <b/>
            <sz val="9"/>
            <color indexed="81"/>
            <rFont val="돋움"/>
            <family val="3"/>
            <charset val="129"/>
          </rPr>
          <t>퇴사</t>
        </r>
      </text>
    </comment>
    <comment ref="B18" authorId="3" shapeId="0" xr:uid="{00000000-0006-0000-0D00-000012000000}">
      <text>
        <r>
          <rPr>
            <b/>
            <sz val="9"/>
            <color indexed="81"/>
            <rFont val="Tahoma"/>
            <family val="2"/>
          </rPr>
          <t>NGUYỄN THỊ HÀ
NGUYỄN DIỆU TIÊN
ĐỖ ĐÌNH QUANG
NGUYỄN VIẾT CƯƠNG
TRẦN THỊ THỦY
NGUYỄN THANH HÙNG
NGUYỄN TÀI MẠNH</t>
        </r>
      </text>
    </comment>
    <comment ref="V19" authorId="3" shapeId="0" xr:uid="{00000000-0006-0000-0D00-000013000000}">
      <text>
        <r>
          <rPr>
            <b/>
            <sz val="9"/>
            <color indexed="81"/>
            <rFont val="Tahoma"/>
            <family val="2"/>
          </rPr>
          <t>CNC 1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+R&amp;D 1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I19" authorId="3" shapeId="0" xr:uid="{00000000-0006-0000-0D00-000014000000}">
      <text>
        <r>
          <rPr>
            <b/>
            <sz val="9"/>
            <color indexed="81"/>
            <rFont val="Tahoma"/>
            <family val="2"/>
          </rPr>
          <t>CNC 1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+R&amp;D 1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V19" authorId="3" shapeId="0" xr:uid="{00000000-0006-0000-0D00-000015000000}">
      <text>
        <r>
          <rPr>
            <b/>
            <sz val="9"/>
            <color indexed="81"/>
            <rFont val="Tahoma"/>
            <family val="2"/>
          </rPr>
          <t>CNC 1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+R&amp;D 1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B21" authorId="3" shapeId="0" xr:uid="{00000000-0006-0000-0D00-000016000000}">
      <text>
        <r>
          <rPr>
            <b/>
            <sz val="9"/>
            <color indexed="81"/>
            <rFont val="Tahoma"/>
            <family val="2"/>
          </rPr>
          <t>Nguyễn Thế Duẩn
Nguyễn Văn Chất
Nguyễn Ngọc Mạnh
'V</t>
        </r>
        <r>
          <rPr>
            <b/>
            <sz val="9"/>
            <color indexed="81"/>
            <rFont val="돋움"/>
            <family val="3"/>
            <charset val="129"/>
          </rPr>
          <t>Ũ</t>
        </r>
        <r>
          <rPr>
            <b/>
            <sz val="9"/>
            <color indexed="81"/>
            <rFont val="Tahoma"/>
            <family val="2"/>
          </rPr>
          <t xml:space="preserve"> VĂN GIANG
ĐÀO BÁ TRỌNG</t>
        </r>
      </text>
    </comment>
    <comment ref="B22" authorId="3" shapeId="0" xr:uid="{00000000-0006-0000-0D00-000017000000}">
      <text>
        <r>
          <rPr>
            <b/>
            <sz val="9"/>
            <color indexed="81"/>
            <rFont val="Tahoma"/>
            <family val="2"/>
          </rPr>
          <t>ĐỖ VĂN DUYÊN
V</t>
        </r>
        <r>
          <rPr>
            <b/>
            <sz val="9"/>
            <color indexed="81"/>
            <rFont val="돋움"/>
            <family val="3"/>
            <charset val="129"/>
          </rPr>
          <t>Ũ</t>
        </r>
        <r>
          <rPr>
            <b/>
            <sz val="9"/>
            <color indexed="81"/>
            <rFont val="Tahoma"/>
            <family val="2"/>
          </rPr>
          <t xml:space="preserve"> VĂN SƠN
TRẦN VĂN SƠN
TRỊNH ĐẮC CƯỜNG
NGUYỄN THẾ SAN
NGUYỄN ĐỨC TIẾN
TẠ ĐÌNH TRÁNG
VÕ BÌNH DƯƠNG
ĐÀO VĂN TÂN
NGUYỄN HỮU TUÂN
NGUYỄN VĂN ĐIỂM
</t>
        </r>
      </text>
    </comment>
    <comment ref="V23" authorId="3" shapeId="0" xr:uid="{00000000-0006-0000-0D00-000018000000}">
      <text>
        <r>
          <rPr>
            <b/>
            <sz val="9"/>
            <color indexed="81"/>
            <rFont val="Tahoma"/>
            <family val="2"/>
          </rPr>
          <t>MOLD 5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+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</text>
    </comment>
    <comment ref="AI23" authorId="3" shapeId="0" xr:uid="{00000000-0006-0000-0D00-000019000000}">
      <text>
        <r>
          <rPr>
            <b/>
            <sz val="9"/>
            <color indexed="81"/>
            <rFont val="Tahoma"/>
            <family val="2"/>
          </rPr>
          <t>MOLD 5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+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</text>
    </comment>
    <comment ref="AV23" authorId="3" shapeId="0" xr:uid="{00000000-0006-0000-0D00-00001A000000}">
      <text>
        <r>
          <rPr>
            <b/>
            <sz val="9"/>
            <color indexed="81"/>
            <rFont val="Tahoma"/>
            <family val="2"/>
          </rPr>
          <t>MOLD 5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+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</text>
    </comment>
    <comment ref="B44" authorId="0" shapeId="0" xr:uid="{00000000-0006-0000-0D00-00001B000000}">
      <text>
        <r>
          <rPr>
            <b/>
            <sz val="9"/>
            <color indexed="81"/>
            <rFont val="Tahoma"/>
            <family val="2"/>
          </rPr>
          <t>Roh chung hyun
Lee Choong jae
Choi Byeong Youn
kim seok ki
Lim Jae hong</t>
        </r>
      </text>
    </comment>
    <comment ref="B45" authorId="0" shapeId="0" xr:uid="{00000000-0006-0000-0D00-00001C000000}">
      <text>
        <r>
          <rPr>
            <b/>
            <sz val="9"/>
            <color indexed="81"/>
            <rFont val="Tahoma"/>
            <family val="2"/>
          </rPr>
          <t>Kim dokun
Noh Young jun</t>
        </r>
      </text>
    </comment>
    <comment ref="B46" authorId="0" shapeId="0" xr:uid="{00000000-0006-0000-0D00-00001D000000}">
      <text>
        <r>
          <rPr>
            <b/>
            <sz val="9"/>
            <color indexed="81"/>
            <rFont val="Tahoma"/>
            <family val="2"/>
          </rPr>
          <t>Kang yeong kyu
Oh Sang Hoon</t>
        </r>
      </text>
    </comment>
    <comment ref="B48" authorId="0" shapeId="0" xr:uid="{00000000-0006-0000-0D00-00001E000000}">
      <text>
        <r>
          <rPr>
            <b/>
            <sz val="9"/>
            <color indexed="81"/>
            <rFont val="돋움"/>
            <family val="3"/>
            <charset val="129"/>
          </rPr>
          <t>Koh Jin Seok</t>
        </r>
      </text>
    </comment>
    <comment ref="B49" authorId="0" shapeId="0" xr:uid="{00000000-0006-0000-0D00-00001F000000}">
      <text>
        <r>
          <rPr>
            <b/>
            <sz val="9"/>
            <color indexed="81"/>
            <rFont val="돋움"/>
            <family val="3"/>
            <charset val="129"/>
          </rPr>
          <t>Yeong Dongil
Lim Sungjo
Kang Seok Ha</t>
        </r>
      </text>
    </comment>
    <comment ref="B50" authorId="0" shapeId="0" xr:uid="{00000000-0006-0000-0D00-000020000000}">
      <text>
        <r>
          <rPr>
            <b/>
            <sz val="9"/>
            <color indexed="81"/>
            <rFont val="돋움"/>
            <family val="3"/>
            <charset val="129"/>
          </rPr>
          <t>Wang Shin
Kim Jin Wook</t>
        </r>
      </text>
    </comment>
    <comment ref="F52" authorId="5" shapeId="0" xr:uid="{00000000-0006-0000-0D00-000021000000}">
      <text>
        <r>
          <rPr>
            <sz val="9"/>
            <color indexed="81"/>
            <rFont val="Tahoma"/>
            <family val="2"/>
          </rPr>
          <t xml:space="preserve">한국 주재원 25년 퇴직금
</t>
        </r>
      </text>
    </comment>
    <comment ref="G52" authorId="5" shapeId="0" xr:uid="{00000000-0006-0000-0D00-000022000000}">
      <text>
        <r>
          <rPr>
            <b/>
            <sz val="9"/>
            <color indexed="81"/>
            <rFont val="Tahoma"/>
            <family val="2"/>
          </rPr>
          <t>한국 주재원 25년 퇴직금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63" authorId="3" shapeId="0" xr:uid="{00000000-0006-0000-0D00-000023000000}">
      <text>
        <r>
          <rPr>
            <sz val="9"/>
            <color indexed="81"/>
            <rFont val="Tahoma"/>
            <family val="2"/>
          </rPr>
          <t>5%</t>
        </r>
        <r>
          <rPr>
            <sz val="9"/>
            <color indexed="81"/>
            <rFont val="돋움"/>
            <family val="3"/>
            <charset val="129"/>
          </rPr>
          <t>인상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63" authorId="3" shapeId="0" xr:uid="{00000000-0006-0000-0D00-000024000000}">
      <text>
        <r>
          <rPr>
            <sz val="9"/>
            <color indexed="81"/>
            <rFont val="Tahoma"/>
            <family val="2"/>
          </rPr>
          <t>5%</t>
        </r>
        <r>
          <rPr>
            <sz val="9"/>
            <color indexed="81"/>
            <rFont val="돋움"/>
            <family val="3"/>
            <charset val="129"/>
          </rPr>
          <t>인상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63" authorId="3" shapeId="0" xr:uid="{00000000-0006-0000-0D00-000025000000}">
      <text>
        <r>
          <rPr>
            <sz val="9"/>
            <color indexed="81"/>
            <rFont val="Tahoma"/>
            <family val="2"/>
          </rPr>
          <t>5%</t>
        </r>
        <r>
          <rPr>
            <sz val="9"/>
            <color indexed="81"/>
            <rFont val="돋움"/>
            <family val="3"/>
            <charset val="129"/>
          </rPr>
          <t>인상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5" authorId="3" shapeId="0" xr:uid="{00000000-0006-0000-0D00-000026000000}">
      <text>
        <r>
          <rPr>
            <b/>
            <sz val="9"/>
            <color indexed="81"/>
            <rFont val="Tahoma"/>
            <family val="2"/>
          </rPr>
          <t xml:space="preserve">2%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AL75" authorId="3" shapeId="0" xr:uid="{00000000-0006-0000-0D00-000027000000}">
      <text>
        <r>
          <rPr>
            <b/>
            <sz val="9"/>
            <color indexed="81"/>
            <rFont val="Tahoma"/>
            <family val="2"/>
          </rPr>
          <t xml:space="preserve">2%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AY75" authorId="3" shapeId="0" xr:uid="{00000000-0006-0000-0D00-000028000000}">
      <text>
        <r>
          <rPr>
            <b/>
            <sz val="9"/>
            <color indexed="81"/>
            <rFont val="Tahoma"/>
            <family val="2"/>
          </rPr>
          <t xml:space="preserve">2%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R76" authorId="0" shapeId="0" xr:uid="{00000000-0006-0000-0D00-000029000000}">
      <text>
        <r>
          <rPr>
            <b/>
            <sz val="12"/>
            <color indexed="81"/>
            <rFont val="Tahoma"/>
            <family val="2"/>
          </rPr>
          <t>2027</t>
        </r>
        <r>
          <rPr>
            <b/>
            <sz val="12"/>
            <color indexed="81"/>
            <rFont val="돋움"/>
            <family val="3"/>
            <charset val="129"/>
          </rPr>
          <t>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지급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예정인</t>
        </r>
        <r>
          <rPr>
            <b/>
            <sz val="12"/>
            <color indexed="81"/>
            <rFont val="Tahoma"/>
            <family val="2"/>
          </rPr>
          <t xml:space="preserve"> 2026</t>
        </r>
        <r>
          <rPr>
            <b/>
            <sz val="12"/>
            <color indexed="81"/>
            <rFont val="돋움"/>
            <family val="3"/>
            <charset val="129"/>
          </rPr>
          <t>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직원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보너스</t>
        </r>
      </text>
    </comment>
    <comment ref="G107" authorId="0" shapeId="0" xr:uid="{00000000-0006-0000-0D00-00002A000000}">
      <text>
        <r>
          <rPr>
            <b/>
            <sz val="9"/>
            <color indexed="81"/>
            <rFont val="돋움"/>
            <family val="3"/>
            <charset val="129"/>
          </rPr>
          <t>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2/13~2/22
</t>
        </r>
      </text>
    </comment>
    <comment ref="R107" authorId="3" shapeId="0" xr:uid="{00000000-0006-0000-0D00-00002B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S107" authorId="3" shapeId="0" xr:uid="{00000000-0006-0000-0D00-00002C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F107" authorId="3" shapeId="0" xr:uid="{00000000-0006-0000-0D00-00002D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S107" authorId="3" shapeId="0" xr:uid="{00000000-0006-0000-0D00-00002E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R113" authorId="3" shapeId="0" xr:uid="{00000000-0006-0000-0D00-00002F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S113" authorId="3" shapeId="0" xr:uid="{00000000-0006-0000-0D00-000030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F113" authorId="3" shapeId="0" xr:uid="{00000000-0006-0000-0D00-000031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S113" authorId="3" shapeId="0" xr:uid="{00000000-0006-0000-0D00-000032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R124" authorId="3" shapeId="0" xr:uid="{00000000-0006-0000-0D00-000033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S124" authorId="3" shapeId="0" xr:uid="{00000000-0006-0000-0D00-000034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A124" authorId="3" shapeId="0" xr:uid="{00000000-0006-0000-0D00-000035000000}">
      <text>
        <r>
          <rPr>
            <b/>
            <sz val="9"/>
            <color indexed="81"/>
            <rFont val="Tahoma"/>
            <family val="2"/>
          </rPr>
          <t>CNC 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F124" authorId="3" shapeId="0" xr:uid="{00000000-0006-0000-0D00-000036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N124" authorId="3" shapeId="0" xr:uid="{00000000-0006-0000-0D00-000037000000}">
      <text>
        <r>
          <rPr>
            <b/>
            <sz val="9"/>
            <color indexed="81"/>
            <rFont val="Tahoma"/>
            <family val="2"/>
          </rPr>
          <t>CNC 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S124" authorId="3" shapeId="0" xr:uid="{00000000-0006-0000-0D00-000038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BA124" authorId="3" shapeId="0" xr:uid="{00000000-0006-0000-0D00-000039000000}">
      <text>
        <r>
          <rPr>
            <b/>
            <sz val="9"/>
            <color indexed="81"/>
            <rFont val="Tahoma"/>
            <family val="2"/>
          </rPr>
          <t>CNC 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R125" authorId="3" shapeId="0" xr:uid="{00000000-0006-0000-0D00-00003A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도입
</t>
        </r>
      </text>
    </comment>
    <comment ref="S125" authorId="3" shapeId="0" xr:uid="{00000000-0006-0000-0D00-00003B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도입
</t>
        </r>
      </text>
    </comment>
    <comment ref="T125" authorId="3" shapeId="0" xr:uid="{00000000-0006-0000-0D00-00003C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F125" authorId="3" shapeId="0" xr:uid="{00000000-0006-0000-0D00-00003D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도입
</t>
        </r>
      </text>
    </comment>
    <comment ref="AG125" authorId="3" shapeId="0" xr:uid="{00000000-0006-0000-0D00-00003E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S125" authorId="3" shapeId="0" xr:uid="{00000000-0006-0000-0D00-00003F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도입
</t>
        </r>
      </text>
    </comment>
    <comment ref="AT125" authorId="3" shapeId="0" xr:uid="{00000000-0006-0000-0D00-000040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R126" authorId="3" shapeId="0" xr:uid="{00000000-0006-0000-0D00-000041000000}">
      <text>
        <r>
          <rPr>
            <b/>
            <sz val="9"/>
            <color indexed="81"/>
            <rFont val="돋움"/>
            <family val="3"/>
            <charset val="129"/>
          </rPr>
          <t>전수검사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S126" authorId="3" shapeId="0" xr:uid="{00000000-0006-0000-0D00-000042000000}">
      <text>
        <r>
          <rPr>
            <b/>
            <sz val="9"/>
            <color indexed="81"/>
            <rFont val="돋움"/>
            <family val="3"/>
            <charset val="129"/>
          </rPr>
          <t>전수검사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X126" authorId="3" shapeId="0" xr:uid="{00000000-0006-0000-0D00-000043000000}">
      <text>
        <r>
          <rPr>
            <b/>
            <sz val="9"/>
            <color indexed="81"/>
            <rFont val="돋움"/>
            <family val="3"/>
            <charset val="129"/>
          </rPr>
          <t>품질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Cision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F126" authorId="3" shapeId="0" xr:uid="{00000000-0006-0000-0D00-000044000000}">
      <text>
        <r>
          <rPr>
            <b/>
            <sz val="9"/>
            <color indexed="81"/>
            <rFont val="돋움"/>
            <family val="3"/>
            <charset val="129"/>
          </rPr>
          <t>전수검사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K126" authorId="3" shapeId="0" xr:uid="{00000000-0006-0000-0D00-000045000000}">
      <text>
        <r>
          <rPr>
            <b/>
            <sz val="9"/>
            <color indexed="81"/>
            <rFont val="돋움"/>
            <family val="3"/>
            <charset val="129"/>
          </rPr>
          <t>품질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Cision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S126" authorId="3" shapeId="0" xr:uid="{00000000-0006-0000-0D00-000046000000}">
      <text>
        <r>
          <rPr>
            <b/>
            <sz val="9"/>
            <color indexed="81"/>
            <rFont val="돋움"/>
            <family val="3"/>
            <charset val="129"/>
          </rPr>
          <t>전수검사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X126" authorId="3" shapeId="0" xr:uid="{00000000-0006-0000-0D00-000047000000}">
      <text>
        <r>
          <rPr>
            <b/>
            <sz val="9"/>
            <color indexed="81"/>
            <rFont val="돋움"/>
            <family val="3"/>
            <charset val="129"/>
          </rPr>
          <t>품질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Cision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임재홍</author>
    <author>Windows 사용자</author>
    <author>Kang YeongKyu</author>
  </authors>
  <commentList>
    <comment ref="D23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 xml:space="preserve">loss 5%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반영
</t>
        </r>
      </text>
    </comment>
    <comment ref="E23" authorId="0" shapeId="0" xr:uid="{00000000-0006-0000-0E00-000002000000}">
      <text>
        <r>
          <rPr>
            <b/>
            <sz val="12"/>
            <color indexed="81"/>
            <rFont val="돋움체"/>
            <family val="3"/>
            <charset val="129"/>
          </rPr>
          <t xml:space="preserve">2025 ADC12종 평균 가격(1~10월평균가) </t>
        </r>
      </text>
    </comment>
    <comment ref="D26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 xml:space="preserve">Loss 5%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반영
</t>
        </r>
      </text>
    </comment>
    <comment ref="E26" authorId="1" shapeId="0" xr:uid="{00000000-0006-0000-0E00-000004000000}">
      <text>
        <r>
          <rPr>
            <b/>
            <sz val="12"/>
            <color indexed="81"/>
            <rFont val="맑은 고딕"/>
            <family val="3"/>
            <charset val="129"/>
          </rPr>
          <t xml:space="preserve">2025 S36 평균 가격(1~10월평균가) </t>
        </r>
      </text>
    </comment>
    <comment ref="E29" authorId="1" shapeId="0" xr:uid="{00000000-0006-0000-0E00-000005000000}">
      <text>
        <r>
          <rPr>
            <b/>
            <sz val="12"/>
            <color indexed="81"/>
            <rFont val="맑은 고딕"/>
            <family val="3"/>
            <charset val="129"/>
          </rPr>
          <t xml:space="preserve">2025 S36 평균 가격(1~10월평균가) </t>
        </r>
      </text>
    </comment>
    <comment ref="E65" authorId="2" shapeId="0" xr:uid="{00000000-0006-0000-0E00-000006000000}">
      <text>
        <r>
          <rPr>
            <b/>
            <sz val="12"/>
            <color indexed="81"/>
            <rFont val="돋움"/>
            <family val="3"/>
            <charset val="129"/>
          </rPr>
          <t>물류비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포함</t>
        </r>
      </text>
    </comment>
    <comment ref="E66" authorId="2" shapeId="0" xr:uid="{00000000-0006-0000-0E00-000007000000}">
      <text>
        <r>
          <rPr>
            <b/>
            <sz val="14"/>
            <color indexed="81"/>
            <rFont val="돋움"/>
            <family val="3"/>
            <charset val="129"/>
          </rPr>
          <t>물류비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포함</t>
        </r>
      </text>
    </comment>
    <comment ref="E67" authorId="2" shapeId="0" xr:uid="{00000000-0006-0000-0E00-000008000000}">
      <text>
        <r>
          <rPr>
            <b/>
            <sz val="14"/>
            <color indexed="81"/>
            <rFont val="돋움"/>
            <family val="3"/>
            <charset val="129"/>
          </rPr>
          <t>물류비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포함</t>
        </r>
      </text>
    </comment>
    <comment ref="E68" authorId="2" shapeId="0" xr:uid="{00000000-0006-0000-0E00-000009000000}">
      <text>
        <r>
          <rPr>
            <b/>
            <sz val="14"/>
            <color indexed="81"/>
            <rFont val="돋움"/>
            <family val="3"/>
            <charset val="129"/>
          </rPr>
          <t>물류비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포함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임재홍</author>
    <author>Kang YeongKyu</author>
  </authors>
  <commentList>
    <comment ref="D1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 xml:space="preserve">loss 5%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반영
</t>
        </r>
      </text>
    </comment>
    <comment ref="E11" authorId="0" shapeId="0" xr:uid="{00000000-0006-0000-0F00-000002000000}">
      <text>
        <r>
          <rPr>
            <b/>
            <sz val="12"/>
            <color indexed="81"/>
            <rFont val="돋움체"/>
            <family val="3"/>
            <charset val="129"/>
          </rPr>
          <t xml:space="preserve">2025 ADC12종 평균 가격 $2.8 예상 </t>
        </r>
      </text>
    </comment>
    <comment ref="E60" authorId="1" shapeId="0" xr:uid="{00000000-0006-0000-0F00-000003000000}">
      <text>
        <r>
          <rPr>
            <b/>
            <sz val="9"/>
            <color indexed="81"/>
            <rFont val="Tahoma"/>
            <family val="2"/>
          </rPr>
          <t>원재료 현금 구매로 추가 대출 $50만</t>
        </r>
      </text>
    </comment>
    <comment ref="L62" authorId="1" shapeId="0" xr:uid="{00000000-0006-0000-0F00-000004000000}">
      <text>
        <r>
          <rPr>
            <b/>
            <sz val="9"/>
            <color indexed="81"/>
            <rFont val="Tahoma"/>
            <family val="2"/>
          </rPr>
          <t>원금 24개월 기준 월 $33,333(원금) +  $5,333(이자) X2 
월 $77,332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  <author>MISTOP</author>
  </authors>
  <commentList>
    <comment ref="G34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12%
</t>
        </r>
      </text>
    </comment>
    <comment ref="G35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17%
</t>
        </r>
      </text>
    </comment>
    <comment ref="G36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29%</t>
        </r>
      </text>
    </comment>
    <comment ref="G37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42%
</t>
        </r>
      </text>
    </comment>
    <comment ref="G60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12%
</t>
        </r>
      </text>
    </comment>
    <comment ref="G6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17%
</t>
        </r>
      </text>
    </comment>
    <comment ref="G62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29%</t>
        </r>
      </text>
    </comment>
    <comment ref="G63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42%
</t>
        </r>
      </text>
    </comment>
    <comment ref="M71" authorId="1" shapeId="0" xr:uid="{887693CC-5575-44FB-9777-7BD43F28A699}">
      <text>
        <r>
          <rPr>
            <sz val="11"/>
            <color indexed="81"/>
            <rFont val="돋움"/>
            <family val="3"/>
            <charset val="129"/>
          </rPr>
          <t>에어게이지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측정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납품으로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변경하여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인건비</t>
        </r>
        <r>
          <rPr>
            <sz val="11"/>
            <color indexed="81"/>
            <rFont val="Tahoma"/>
            <family val="2"/>
          </rPr>
          <t>(2</t>
        </r>
        <r>
          <rPr>
            <sz val="11"/>
            <color indexed="81"/>
            <rFont val="돋움"/>
            <family val="3"/>
            <charset val="129"/>
          </rPr>
          <t>명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추가됨</t>
        </r>
        <r>
          <rPr>
            <sz val="11"/>
            <color indexed="81"/>
            <rFont val="Tahoma"/>
            <family val="2"/>
          </rPr>
          <t xml:space="preserve">  
- </t>
        </r>
        <r>
          <rPr>
            <sz val="11"/>
            <color indexed="81"/>
            <rFont val="돋움"/>
            <family val="3"/>
            <charset val="129"/>
          </rPr>
          <t>인전비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추가</t>
        </r>
        <r>
          <rPr>
            <sz val="11"/>
            <color indexed="81"/>
            <rFont val="Tahoma"/>
            <family val="2"/>
          </rPr>
          <t xml:space="preserve"> 1000</t>
        </r>
        <r>
          <rPr>
            <sz val="11"/>
            <color indexed="81"/>
            <rFont val="돋움"/>
            <family val="3"/>
            <charset val="129"/>
          </rPr>
          <t>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적용</t>
        </r>
        <r>
          <rPr>
            <sz val="11"/>
            <color indexed="81"/>
            <rFont val="Tahoma"/>
            <family val="2"/>
          </rPr>
          <t xml:space="preserve"> (</t>
        </r>
        <r>
          <rPr>
            <sz val="11"/>
            <color indexed="81"/>
            <rFont val="돋움"/>
            <family val="3"/>
            <charset val="129"/>
          </rPr>
          <t>주야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각</t>
        </r>
        <r>
          <rPr>
            <sz val="11"/>
            <color indexed="81"/>
            <rFont val="Tahoma"/>
            <family val="2"/>
          </rPr>
          <t xml:space="preserve"> 1</t>
        </r>
        <r>
          <rPr>
            <sz val="11"/>
            <color indexed="81"/>
            <rFont val="돋움"/>
            <family val="3"/>
            <charset val="129"/>
          </rPr>
          <t>명씩</t>
        </r>
        <r>
          <rPr>
            <sz val="11"/>
            <color indexed="81"/>
            <rFont val="Tahoma"/>
            <family val="2"/>
          </rPr>
          <t>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  <author>ACC-PC01</author>
    <author>Kang YeongKyu</author>
    <author>MISTOP</author>
    <author>MR.KANG</author>
  </authors>
  <commentList>
    <comment ref="D13" authorId="0" shapeId="0" xr:uid="{00000000-0006-0000-1100-000001000000}">
      <text>
        <r>
          <rPr>
            <b/>
            <sz val="9"/>
            <color indexed="81"/>
            <rFont val="돋움"/>
            <family val="3"/>
            <charset val="129"/>
          </rPr>
          <t>차량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물류비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D15" authorId="1" shapeId="0" xr:uid="{00000000-0006-0000-1100-000002000000}">
      <text>
        <r>
          <rPr>
            <b/>
            <sz val="9"/>
            <color indexed="81"/>
            <rFont val="Tahoma"/>
            <family val="2"/>
          </rPr>
          <t>My A WH palm finish May.26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6" authorId="2" shapeId="0" xr:uid="{00000000-0006-0000-1100-000003000000}">
      <text>
        <r>
          <rPr>
            <b/>
            <sz val="11"/>
            <color indexed="81"/>
            <rFont val="맑은 고딕"/>
            <family val="3"/>
            <charset val="129"/>
          </rPr>
          <t>SG MCT 18K + 외주창고  및 지게차</t>
        </r>
      </text>
    </comment>
    <comment ref="I31" authorId="1" shapeId="0" xr:uid="{00000000-0006-0000-1100-000004000000}">
      <text>
        <r>
          <rPr>
            <b/>
            <sz val="9"/>
            <color indexed="81"/>
            <rFont val="Tahoma"/>
            <family val="2"/>
          </rPr>
          <t xml:space="preserve">Sportday- Meal: 7k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2" authorId="3" shapeId="0" xr:uid="{200143EA-EFDD-44B3-A9D8-92A4243C1ABB}">
      <text>
        <r>
          <rPr>
            <b/>
            <sz val="9"/>
            <color indexed="81"/>
            <rFont val="Tahoma"/>
            <family val="2"/>
          </rPr>
          <t>MISTOP:</t>
        </r>
        <r>
          <rPr>
            <sz val="9"/>
            <color indexed="81"/>
            <rFont val="Tahoma"/>
            <family val="2"/>
          </rPr>
          <t xml:space="preserve">
5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잔액
</t>
        </r>
      </text>
    </comment>
    <comment ref="D47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2026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분기별</t>
        </r>
        <r>
          <rPr>
            <b/>
            <sz val="9"/>
            <color indexed="81"/>
            <rFont val="Tahoma"/>
            <family val="2"/>
          </rPr>
          <t xml:space="preserve"> 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b/>
            <sz val="9"/>
            <color indexed="81"/>
            <rFont val="Tahoma"/>
            <family val="2"/>
          </rPr>
          <t xml:space="preserve"> $10,000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  <comment ref="L47" authorId="2" shapeId="0" xr:uid="{00000000-0006-0000-1100-000006000000}">
      <text>
        <r>
          <rPr>
            <b/>
            <sz val="9"/>
            <color indexed="81"/>
            <rFont val="Tahoma"/>
            <family val="2"/>
          </rPr>
          <t>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출장
</t>
        </r>
        <r>
          <rPr>
            <b/>
            <sz val="9"/>
            <color indexed="81"/>
            <rFont val="Tahoma"/>
            <family val="2"/>
          </rPr>
          <t>$10,000</t>
        </r>
      </text>
    </comment>
    <comment ref="O47" authorId="2" shapeId="0" xr:uid="{00000000-0006-0000-1100-000007000000}">
      <text>
        <r>
          <rPr>
            <b/>
            <sz val="9"/>
            <color indexed="81"/>
            <rFont val="Tahoma"/>
            <family val="2"/>
          </rPr>
          <t>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출장
</t>
        </r>
        <r>
          <rPr>
            <b/>
            <sz val="9"/>
            <color indexed="81"/>
            <rFont val="Tahoma"/>
            <family val="2"/>
          </rPr>
          <t>$10,000</t>
        </r>
      </text>
    </comment>
    <comment ref="R47" authorId="2" shapeId="0" xr:uid="{00000000-0006-0000-1100-000008000000}">
      <text>
        <r>
          <rPr>
            <b/>
            <sz val="9"/>
            <color indexed="81"/>
            <rFont val="Tahoma"/>
            <family val="2"/>
          </rPr>
          <t>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출장
</t>
        </r>
        <r>
          <rPr>
            <b/>
            <sz val="9"/>
            <color indexed="81"/>
            <rFont val="Tahoma"/>
            <family val="2"/>
          </rPr>
          <t>$10,000</t>
        </r>
      </text>
    </comment>
    <comment ref="D48" authorId="1" shapeId="0" xr:uid="{00000000-0006-0000-1100-000009000000}">
      <text>
        <r>
          <rPr>
            <b/>
            <sz val="9"/>
            <color indexed="81"/>
            <rFont val="Tahoma"/>
            <family val="2"/>
          </rPr>
          <t>warehouse fee for hyosung gen5 s.block 
$0.109 x monthly qty</t>
        </r>
      </text>
    </comment>
    <comment ref="D56" authorId="2" shapeId="0" xr:uid="{00000000-0006-0000-1100-00000A000000}">
      <text>
        <r>
          <rPr>
            <b/>
            <sz val="9"/>
            <color indexed="81"/>
            <rFont val="Tahoma"/>
            <family val="2"/>
          </rPr>
          <t>Included WHT (VMI)</t>
        </r>
      </text>
    </comment>
    <comment ref="D64" authorId="0" shapeId="0" xr:uid="{00000000-0006-0000-1100-00000B000000}">
      <text>
        <r>
          <rPr>
            <b/>
            <sz val="9"/>
            <color indexed="81"/>
            <rFont val="돋움"/>
            <family val="3"/>
            <charset val="129"/>
          </rPr>
          <t>자녀수</t>
        </r>
        <r>
          <rPr>
            <b/>
            <sz val="9"/>
            <color indexed="81"/>
            <rFont val="Tahoma"/>
            <family val="2"/>
          </rPr>
          <t xml:space="preserve"> 7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Net $6,500/1</t>
        </r>
        <r>
          <rPr>
            <b/>
            <sz val="9"/>
            <color indexed="81"/>
            <rFont val="돋움"/>
            <family val="3"/>
            <charset val="129"/>
          </rPr>
          <t>명당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$50,050 (</t>
        </r>
        <r>
          <rPr>
            <b/>
            <sz val="9"/>
            <color indexed="81"/>
            <rFont val="돋움"/>
            <family val="3"/>
            <charset val="129"/>
          </rPr>
          <t>세금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I78" authorId="4" shapeId="0" xr:uid="{00000000-0006-0000-1100-00000C000000}">
      <text>
        <r>
          <rPr>
            <b/>
            <sz val="9"/>
            <color indexed="81"/>
            <rFont val="Tahoma"/>
            <family val="2"/>
          </rPr>
          <t xml:space="preserve">UV Line </t>
        </r>
        <r>
          <rPr>
            <b/>
            <sz val="9"/>
            <color indexed="81"/>
            <rFont val="돋움"/>
            <family val="3"/>
            <charset val="129"/>
          </rPr>
          <t>설비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처리
몇개월에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걸쳐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번에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
$367,375: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  <author>MR.KANG</author>
    <author>Admin</author>
    <author>ACC-PC01</author>
  </authors>
  <commentList>
    <comment ref="I6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2025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</text>
    </comment>
    <comment ref="E8" authorId="1" shapeId="0" xr:uid="{00000000-0006-0000-1200-000002000000}">
      <text>
        <r>
          <rPr>
            <b/>
            <sz val="9"/>
            <color indexed="81"/>
            <rFont val="Tahoma"/>
            <family val="2"/>
          </rPr>
          <t>4/18 Final quote
USD 59,500</t>
        </r>
      </text>
    </comment>
    <comment ref="E9" authorId="1" shapeId="0" xr:uid="{00000000-0006-0000-1200-000003000000}">
      <text>
        <r>
          <rPr>
            <b/>
            <sz val="9"/>
            <color indexed="81"/>
            <rFont val="Tahoma"/>
            <family val="2"/>
          </rPr>
          <t>32,285,349 JPY / 1
5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환율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</text>
    </comment>
    <comment ref="E10" authorId="1" shapeId="0" xr:uid="{00000000-0006-0000-1200-000004000000}">
      <text>
        <r>
          <rPr>
            <b/>
            <sz val="9"/>
            <color indexed="81"/>
            <rFont val="Tahoma"/>
            <family val="2"/>
          </rPr>
          <t xml:space="preserve">Sodick 4/20 Final Quote
</t>
        </r>
      </text>
    </comment>
    <comment ref="E11" authorId="1" shapeId="0" xr:uid="{00000000-0006-0000-1200-000005000000}">
      <text>
        <r>
          <rPr>
            <b/>
            <sz val="9"/>
            <color indexed="81"/>
            <rFont val="Tahoma"/>
            <family val="2"/>
          </rPr>
          <t xml:space="preserve">Sodick 4/20 Final Quote
</t>
        </r>
      </text>
    </comment>
    <comment ref="E12" authorId="1" shapeId="0" xr:uid="{00000000-0006-0000-1200-000006000000}">
      <text>
        <r>
          <rPr>
            <b/>
            <sz val="12"/>
            <color indexed="81"/>
            <rFont val="돋움"/>
            <family val="3"/>
            <charset val="129"/>
          </rPr>
          <t>공사비용</t>
        </r>
        <r>
          <rPr>
            <b/>
            <sz val="12"/>
            <color indexed="81"/>
            <rFont val="Tahoma"/>
            <family val="2"/>
          </rPr>
          <t xml:space="preserve"> $397,059
Server </t>
        </r>
        <r>
          <rPr>
            <b/>
            <sz val="12"/>
            <color indexed="81"/>
            <rFont val="돋움"/>
            <family val="3"/>
            <charset val="129"/>
          </rPr>
          <t>설비</t>
        </r>
        <r>
          <rPr>
            <b/>
            <sz val="12"/>
            <color indexed="81"/>
            <rFont val="Tahoma"/>
            <family val="2"/>
          </rPr>
          <t xml:space="preserve"> $14,000
</t>
        </r>
        <r>
          <rPr>
            <b/>
            <sz val="12"/>
            <color indexed="81"/>
            <rFont val="돋움"/>
            <family val="3"/>
            <charset val="129"/>
          </rPr>
          <t>금형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자동화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부자재</t>
        </r>
        <r>
          <rPr>
            <b/>
            <sz val="12"/>
            <color indexed="81"/>
            <rFont val="Tahoma"/>
            <family val="2"/>
          </rPr>
          <t xml:space="preserve">&amp;Tool) </t>
        </r>
        <r>
          <rPr>
            <b/>
            <sz val="12"/>
            <color indexed="81"/>
            <rFont val="돋움"/>
            <family val="3"/>
            <charset val="129"/>
          </rPr>
          <t>예비비</t>
        </r>
        <r>
          <rPr>
            <b/>
            <sz val="12"/>
            <color indexed="81"/>
            <rFont val="Tahoma"/>
            <family val="2"/>
          </rPr>
          <t xml:space="preserve"> $100,000 </t>
        </r>
      </text>
    </comment>
    <comment ref="G18" authorId="0" shapeId="0" xr:uid="{00000000-0006-0000-1200-000007000000}">
      <text>
        <r>
          <rPr>
            <b/>
            <sz val="11"/>
            <color indexed="81"/>
            <rFont val="Tahoma"/>
            <family val="2"/>
          </rPr>
          <t>2025</t>
        </r>
        <r>
          <rPr>
            <b/>
            <sz val="11"/>
            <color indexed="81"/>
            <rFont val="돋움"/>
            <family val="3"/>
            <charset val="129"/>
          </rPr>
          <t>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이월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금액</t>
        </r>
        <r>
          <rPr>
            <b/>
            <sz val="11"/>
            <color indexed="81"/>
            <rFont val="Tahoma"/>
            <family val="2"/>
          </rPr>
          <t xml:space="preserve"> $1.4</t>
        </r>
        <r>
          <rPr>
            <b/>
            <sz val="11"/>
            <color indexed="81"/>
            <rFont val="돋움"/>
            <family val="3"/>
            <charset val="129"/>
          </rPr>
          <t>만</t>
        </r>
      </text>
    </comment>
    <comment ref="V18" authorId="2" shapeId="0" xr:uid="{00000000-0006-0000-1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ĐÃ CÓ 1 HỢP ĐỒNG MUA THÊM 6 BƠM</t>
        </r>
      </text>
    </comment>
    <comment ref="J20" authorId="3" shapeId="0" xr:uid="{B9FB5D51-6450-4086-8A72-626C26FACAE6}">
      <text>
        <r>
          <rPr>
            <b/>
            <sz val="9"/>
            <color indexed="81"/>
            <rFont val="Tahoma"/>
            <family val="2"/>
          </rPr>
          <t xml:space="preserve">Final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2" authorId="0" shapeId="0" xr:uid="{00000000-0006-0000-1200-00000B000000}">
      <text>
        <r>
          <rPr>
            <b/>
            <sz val="9"/>
            <color indexed="81"/>
            <rFont val="돋움"/>
            <family val="3"/>
            <charset val="129"/>
          </rPr>
          <t>하반기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계획</t>
        </r>
      </text>
    </comment>
    <comment ref="G32" authorId="0" shapeId="0" xr:uid="{00000000-0006-0000-1200-00000C000000}">
      <text>
        <r>
          <rPr>
            <b/>
            <sz val="11"/>
            <color indexed="81"/>
            <rFont val="Tahoma"/>
            <family val="2"/>
          </rPr>
          <t>25</t>
        </r>
        <r>
          <rPr>
            <b/>
            <sz val="11"/>
            <color indexed="81"/>
            <rFont val="돋움"/>
            <family val="3"/>
            <charset val="129"/>
          </rPr>
          <t>년</t>
        </r>
        <r>
          <rPr>
            <b/>
            <sz val="11"/>
            <color indexed="81"/>
            <rFont val="Tahoma"/>
            <family val="2"/>
          </rPr>
          <t xml:space="preserve"> 3</t>
        </r>
        <r>
          <rPr>
            <b/>
            <sz val="11"/>
            <color indexed="81"/>
            <rFont val="돋움"/>
            <family val="3"/>
            <charset val="129"/>
          </rPr>
          <t>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구매분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잔액</t>
        </r>
      </text>
    </comment>
    <comment ref="H35" authorId="0" shapeId="0" xr:uid="{00000000-0006-0000-1200-00000D000000}">
      <text>
        <r>
          <rPr>
            <b/>
            <sz val="9"/>
            <color indexed="81"/>
            <rFont val="돋움"/>
            <family val="3"/>
            <charset val="129"/>
          </rPr>
          <t>잔금</t>
        </r>
        <r>
          <rPr>
            <b/>
            <sz val="9"/>
            <color indexed="81"/>
            <rFont val="Tahoma"/>
            <family val="2"/>
          </rPr>
          <t xml:space="preserve"> 70%</t>
        </r>
      </text>
    </comment>
    <comment ref="F36" authorId="0" shapeId="0" xr:uid="{00000000-0006-0000-1200-00000E000000}">
      <text>
        <r>
          <rPr>
            <b/>
            <sz val="9"/>
            <color indexed="81"/>
            <rFont val="돋움"/>
            <family val="3"/>
            <charset val="129"/>
          </rPr>
          <t>하반기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H36" authorId="0" shapeId="0" xr:uid="{00000000-0006-0000-1200-00000F000000}">
      <text>
        <r>
          <rPr>
            <b/>
            <sz val="9"/>
            <color indexed="81"/>
            <rFont val="돋움"/>
            <family val="3"/>
            <charset val="129"/>
          </rPr>
          <t xml:space="preserve">Final amonunt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F38" authorId="0" shapeId="0" xr:uid="{00000000-0006-0000-1200-000010000000}">
      <text>
        <r>
          <rPr>
            <b/>
            <sz val="9"/>
            <color indexed="81"/>
            <rFont val="돋움"/>
            <family val="3"/>
            <charset val="129"/>
          </rPr>
          <t>하반기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or 2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G39" authorId="3" shapeId="0" xr:uid="{00000000-0006-0000-1200-000011000000}">
      <text>
        <r>
          <rPr>
            <sz val="9"/>
            <color indexed="81"/>
            <rFont val="Tahoma"/>
            <family val="2"/>
          </rPr>
          <t xml:space="preserve">Carry forward 2025: 70,000
</t>
        </r>
      </text>
    </comment>
    <comment ref="I53" authorId="0" shapeId="0" xr:uid="{00000000-0006-0000-1200-000012000000}">
      <text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출하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W53" authorId="3" shapeId="0" xr:uid="{00000000-0006-0000-1200-000013000000}">
      <text>
        <r>
          <rPr>
            <b/>
            <sz val="9"/>
            <color indexed="81"/>
            <rFont val="Tahoma"/>
            <family val="2"/>
          </rPr>
          <t>ACC-PC01:</t>
        </r>
        <r>
          <rPr>
            <sz val="9"/>
            <color indexed="81"/>
            <rFont val="Tahoma"/>
            <family val="2"/>
          </rPr>
          <t xml:space="preserve">
2025</t>
        </r>
      </text>
    </comment>
    <comment ref="I54" authorId="0" shapeId="0" xr:uid="{00000000-0006-0000-1200-000014000000}">
      <text>
        <r>
          <rPr>
            <b/>
            <sz val="9"/>
            <color indexed="81"/>
            <rFont val="Tahoma"/>
            <family val="2"/>
          </rPr>
          <t>11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출하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G56" authorId="0" shapeId="0" xr:uid="{00000000-0006-0000-1200-000015000000}">
      <text>
        <r>
          <rPr>
            <b/>
            <sz val="9"/>
            <color indexed="81"/>
            <rFont val="돋움"/>
            <family val="3"/>
            <charset val="129"/>
          </rPr>
          <t>이월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 xml:space="preserve"> $110,777
</t>
        </r>
      </text>
    </comment>
    <comment ref="K57" authorId="3" shapeId="0" xr:uid="{00000000-0006-0000-1200-000016000000}">
      <text>
        <r>
          <rPr>
            <b/>
            <sz val="9"/>
            <color indexed="81"/>
            <rFont val="Tahoma"/>
            <family val="2"/>
          </rPr>
          <t>Final</t>
        </r>
      </text>
    </comment>
    <comment ref="G58" authorId="0" shapeId="0" xr:uid="{00000000-0006-0000-1200-000017000000}">
      <text>
        <r>
          <rPr>
            <b/>
            <sz val="9"/>
            <color indexed="81"/>
            <rFont val="돋움"/>
            <family val="3"/>
            <charset val="129"/>
          </rPr>
          <t>이월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 xml:space="preserve"> $69,785</t>
        </r>
      </text>
    </comment>
    <comment ref="G59" authorId="3" shapeId="0" xr:uid="{00000000-0006-0000-1200-000018000000}">
      <text>
        <r>
          <rPr>
            <b/>
            <sz val="9"/>
            <color indexed="81"/>
            <rFont val="Tahoma"/>
            <family val="2"/>
          </rPr>
          <t>2025 forward: 119,192$</t>
        </r>
      </text>
    </comment>
    <comment ref="H62" authorId="0" shapeId="0" xr:uid="{00000000-0006-0000-1200-000019000000}">
      <text>
        <r>
          <rPr>
            <b/>
            <sz val="11"/>
            <color indexed="81"/>
            <rFont val="Tahoma"/>
            <family val="2"/>
          </rPr>
          <t>25</t>
        </r>
        <r>
          <rPr>
            <b/>
            <sz val="11"/>
            <color indexed="81"/>
            <rFont val="돋움"/>
            <family val="3"/>
            <charset val="129"/>
          </rPr>
          <t>년도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이월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금액</t>
        </r>
        <r>
          <rPr>
            <b/>
            <sz val="11"/>
            <color indexed="81"/>
            <rFont val="Tahoma"/>
            <family val="2"/>
          </rPr>
          <t xml:space="preserve"> $7.1</t>
        </r>
        <r>
          <rPr>
            <b/>
            <sz val="11"/>
            <color indexed="81"/>
            <rFont val="돋움"/>
            <family val="3"/>
            <charset val="129"/>
          </rPr>
          <t xml:space="preserve">만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</authors>
  <commentList>
    <comment ref="B9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 xml:space="preserve">부가세 (VAT) 5% 
대행 (CIT) 5%
</t>
        </r>
      </text>
    </comment>
    <comment ref="B14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CNC 40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* $400,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$16,000</t>
        </r>
      </text>
    </comment>
    <comment ref="B15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400Ton 1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$2,500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ACC-PC01</author>
    <author>Kang YeongKyu</author>
  </authors>
  <commentList>
    <comment ref="D13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 xml:space="preserve">UV Line </t>
        </r>
        <r>
          <rPr>
            <b/>
            <sz val="9"/>
            <color indexed="81"/>
            <rFont val="돋움"/>
            <family val="3"/>
            <charset val="129"/>
          </rPr>
          <t>설비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처리
몇개월에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걸쳐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번에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
$367,375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7" authorId="1" shapeId="0" xr:uid="{00000000-0006-0000-1500-000002000000}">
      <text>
        <r>
          <rPr>
            <sz val="11"/>
            <color indexed="81"/>
            <rFont val="돋움"/>
            <family val="3"/>
            <charset val="129"/>
          </rPr>
          <t>기존</t>
        </r>
        <r>
          <rPr>
            <sz val="11"/>
            <color indexed="81"/>
            <rFont val="Tahoma"/>
            <family val="2"/>
          </rPr>
          <t xml:space="preserve"> 11</t>
        </r>
        <r>
          <rPr>
            <sz val="11"/>
            <color indexed="81"/>
            <rFont val="돋움"/>
            <family val="3"/>
            <charset val="129"/>
          </rPr>
          <t>만불에서</t>
        </r>
        <r>
          <rPr>
            <sz val="11"/>
            <color indexed="81"/>
            <rFont val="Tahoma"/>
            <family val="2"/>
          </rPr>
          <t xml:space="preserve"> 1</t>
        </r>
        <r>
          <rPr>
            <sz val="11"/>
            <color indexed="81"/>
            <rFont val="돋움"/>
            <family val="3"/>
            <charset val="129"/>
          </rPr>
          <t>월에</t>
        </r>
        <r>
          <rPr>
            <sz val="11"/>
            <color indexed="81"/>
            <rFont val="Tahoma"/>
            <family val="2"/>
          </rPr>
          <t xml:space="preserve"> UV</t>
        </r>
        <r>
          <rPr>
            <sz val="11"/>
            <color indexed="81"/>
            <rFont val="돋움"/>
            <family val="3"/>
            <charset val="129"/>
          </rPr>
          <t>라인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정리시</t>
        </r>
        <r>
          <rPr>
            <sz val="11"/>
            <color indexed="81"/>
            <rFont val="Tahoma"/>
            <family val="2"/>
          </rPr>
          <t>3.4</t>
        </r>
        <r>
          <rPr>
            <sz val="11"/>
            <color indexed="81"/>
            <rFont val="돋움"/>
            <family val="3"/>
            <charset val="129"/>
          </rPr>
          <t>만으로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감소</t>
        </r>
      </text>
    </comment>
    <comment ref="A32" authorId="0" shapeId="0" xr:uid="{00000000-0006-0000-1500-000003000000}">
      <text>
        <r>
          <rPr>
            <sz val="9"/>
            <color indexed="81"/>
            <rFont val="Tahoma"/>
            <family val="2"/>
          </rPr>
          <t xml:space="preserve">After Audit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  <author>ACC-PC01</author>
    <author>Windows 사용자</author>
    <author>MR.KANG</author>
  </authors>
  <commentList>
    <comment ref="C16" authorId="0" shapeId="0" xr:uid="{00000000-0006-0000-1600-000001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2025년 디파짓 금액 초기 금액으로 적용</t>
        </r>
      </text>
    </comment>
    <comment ref="H23" authorId="1" shapeId="0" xr:uid="{25B0BE42-EDFF-4874-A851-20D870524B18}">
      <text>
        <r>
          <rPr>
            <b/>
            <sz val="9"/>
            <color indexed="81"/>
            <rFont val="Tahoma"/>
            <family val="2"/>
          </rPr>
          <t>VAT refund 330k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6" authorId="1" shapeId="0" xr:uid="{00000000-0006-0000-1600-000003000000}">
      <text>
        <r>
          <rPr>
            <sz val="9"/>
            <color indexed="81"/>
            <rFont val="Tahoma"/>
            <family val="2"/>
          </rPr>
          <t xml:space="preserve">561k AP carried forward ending Mar
</t>
        </r>
      </text>
    </comment>
    <comment ref="B33" authorId="1" shapeId="0" xr:uid="{00000000-0006-0000-1600-000004000000}">
      <text>
        <r>
          <rPr>
            <b/>
            <sz val="9"/>
            <color indexed="81"/>
            <rFont val="Tahoma"/>
            <family val="2"/>
          </rPr>
          <t>Apr ( Insurance +PIT+Salary)</t>
        </r>
      </text>
    </comment>
    <comment ref="C33" authorId="1" shapeId="0" xr:uid="{00000000-0006-0000-1600-000005000000}">
      <text>
        <r>
          <rPr>
            <b/>
            <sz val="9"/>
            <color indexed="81"/>
            <rFont val="Tahoma"/>
            <family val="2"/>
          </rPr>
          <t>Korean Severance allowance: 62,342</t>
        </r>
      </text>
    </comment>
    <comment ref="D33" authorId="1" shapeId="0" xr:uid="{00000000-0006-0000-1600-000006000000}">
      <text>
        <r>
          <rPr>
            <sz val="12"/>
            <color indexed="81"/>
            <rFont val="맑은 고딕"/>
            <family val="3"/>
            <charset val="129"/>
            <scheme val="major"/>
          </rPr>
          <t>estimate severance pay 2025:
VN: 1- 193,486*50%=96,743$ 
         2-160,000 10days Salary Jan.25 
Korean: 
       1-  30% bonus Korean 2025:29,671</t>
        </r>
      </text>
    </comment>
    <comment ref="E33" authorId="1" shapeId="0" xr:uid="{00000000-0006-0000-1600-000007000000}">
      <text>
        <r>
          <rPr>
            <b/>
            <sz val="9"/>
            <color indexed="81"/>
            <rFont val="Tahoma"/>
            <family val="2"/>
          </rPr>
          <t xml:space="preserve">VN:
1- 50% Bonus: 96,743$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5" authorId="1" shapeId="0" xr:uid="{00000000-0006-0000-1600-000008000000}">
      <text>
        <r>
          <rPr>
            <b/>
            <sz val="9"/>
            <color indexed="81"/>
            <rFont val="Tahoma"/>
            <family val="2"/>
          </rPr>
          <t>Singapore 
Rental machine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6" authorId="1" shapeId="0" xr:uid="{00000000-0006-0000-1600-000009000000}">
      <text>
        <r>
          <rPr>
            <b/>
            <sz val="9"/>
            <color indexed="81"/>
            <rFont val="Tahoma"/>
            <family val="2"/>
          </rPr>
          <t>Meal+tuisonfee +Wealfare</t>
        </r>
      </text>
    </comment>
    <comment ref="B37" authorId="2" shapeId="0" xr:uid="{00000000-0006-0000-1600-00000A000000}">
      <text>
        <r>
          <rPr>
            <b/>
            <sz val="12"/>
            <color indexed="81"/>
            <rFont val="돋움"/>
            <family val="3"/>
            <charset val="129"/>
          </rPr>
          <t>25년도 평균 금액 반영</t>
        </r>
      </text>
    </comment>
    <comment ref="F37" authorId="1" shapeId="0" xr:uid="{00000000-0006-0000-1600-00000B000000}">
      <text>
        <r>
          <rPr>
            <b/>
            <sz val="9"/>
            <color indexed="81"/>
            <rFont val="Tahoma"/>
            <family val="2"/>
          </rPr>
          <t>40k  for Alumium</t>
        </r>
        <r>
          <rPr>
            <sz val="9"/>
            <color indexed="81"/>
            <rFont val="Tahoma"/>
            <family val="2"/>
          </rPr>
          <t xml:space="preserve">
50k - Machines and others</t>
        </r>
      </text>
    </comment>
    <comment ref="B38" authorId="3" shapeId="0" xr:uid="{00000000-0006-0000-1600-00000C000000}">
      <text/>
    </comment>
    <comment ref="O38" authorId="1" shapeId="0" xr:uid="{00000000-0006-0000-1600-00000D000000}">
      <text>
        <r>
          <rPr>
            <b/>
            <sz val="9"/>
            <color indexed="81"/>
            <rFont val="Tahoma"/>
            <family val="2"/>
          </rPr>
          <t>A minimum payment of 80% must be made by January 31, 2027 at the latest.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1" authorId="1" shapeId="0" xr:uid="{00000000-0006-0000-1600-00000E000000}">
      <text>
        <r>
          <rPr>
            <b/>
            <sz val="9"/>
            <color indexed="81"/>
            <rFont val="Tahoma"/>
            <family val="2"/>
          </rPr>
          <t>Return Loan Chailease:243k</t>
        </r>
      </text>
    </comment>
    <comment ref="M41" authorId="1" shapeId="0" xr:uid="{00000000-0006-0000-1600-00000F000000}">
      <text>
        <r>
          <rPr>
            <b/>
            <sz val="9"/>
            <color indexed="81"/>
            <rFont val="Tahoma"/>
            <family val="2"/>
          </rPr>
          <t>Return loan chailease: 67k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1" authorId="1" shapeId="0" xr:uid="{00000000-0006-0000-1600-000010000000}">
      <text>
        <r>
          <rPr>
            <b/>
            <sz val="9"/>
            <color indexed="81"/>
            <rFont val="Tahoma"/>
            <family val="2"/>
          </rPr>
          <t>Return loan sacombank: 229k</t>
        </r>
      </text>
    </comment>
    <comment ref="F43" authorId="1" shapeId="0" xr:uid="{00000000-0006-0000-1600-000011000000}">
      <text>
        <r>
          <rPr>
            <b/>
            <sz val="9"/>
            <color indexed="81"/>
            <rFont val="Tahoma"/>
            <family val="2"/>
          </rPr>
          <t>Actual payment for overdue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4" authorId="0" shapeId="0" xr:uid="{00000000-0006-0000-1600-000012000000}">
      <text>
        <r>
          <rPr>
            <b/>
            <sz val="14"/>
            <color indexed="81"/>
            <rFont val="Tahoma"/>
            <family val="2"/>
          </rPr>
          <t xml:space="preserve">M&amp;C </t>
        </r>
        <r>
          <rPr>
            <b/>
            <sz val="14"/>
            <color indexed="81"/>
            <rFont val="맑은 고딕"/>
            <family val="2"/>
            <charset val="129"/>
          </rPr>
          <t>전사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맑은 고딕"/>
            <family val="2"/>
            <charset val="129"/>
          </rPr>
          <t>체육대회</t>
        </r>
        <r>
          <rPr>
            <b/>
            <sz val="14"/>
            <color indexed="81"/>
            <rFont val="Tahoma"/>
            <family val="2"/>
          </rPr>
          <t xml:space="preserve">  $20,000 
</t>
        </r>
        <r>
          <rPr>
            <b/>
            <sz val="14"/>
            <color indexed="81"/>
            <rFont val="맑은 고딕"/>
            <family val="2"/>
            <charset val="129"/>
          </rPr>
          <t>국제여성의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맑은 고딕"/>
            <family val="2"/>
            <charset val="129"/>
          </rPr>
          <t>날</t>
        </r>
        <r>
          <rPr>
            <b/>
            <sz val="14"/>
            <color indexed="81"/>
            <rFont val="Tahoma"/>
            <family val="2"/>
          </rPr>
          <t xml:space="preserve">(3/8) </t>
        </r>
        <r>
          <rPr>
            <b/>
            <sz val="14"/>
            <color indexed="81"/>
            <rFont val="맑은 고딕"/>
            <family val="2"/>
            <charset val="129"/>
          </rPr>
          <t>기념행사</t>
        </r>
        <r>
          <rPr>
            <b/>
            <sz val="14"/>
            <color indexed="81"/>
            <rFont val="Tahoma"/>
            <family val="2"/>
          </rPr>
          <t xml:space="preserve">  $5,000 
CEO</t>
        </r>
        <r>
          <rPr>
            <b/>
            <sz val="14"/>
            <color indexed="81"/>
            <rFont val="맑은 고딕"/>
            <family val="2"/>
            <charset val="129"/>
          </rPr>
          <t>와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맑은 고딕"/>
            <family val="2"/>
            <charset val="129"/>
          </rPr>
          <t>간부의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맑은 고딕"/>
            <family val="2"/>
            <charset val="129"/>
          </rPr>
          <t>밤</t>
        </r>
        <r>
          <rPr>
            <b/>
            <sz val="14"/>
            <color indexed="81"/>
            <rFont val="Tahoma"/>
            <family val="2"/>
          </rPr>
          <t xml:space="preserve">1  $1,000 </t>
        </r>
      </text>
    </comment>
    <comment ref="F44" authorId="0" shapeId="0" xr:uid="{00000000-0006-0000-1600-000013000000}">
      <text>
        <r>
          <rPr>
            <b/>
            <sz val="12"/>
            <color indexed="81"/>
            <rFont val="돋움"/>
            <family val="3"/>
            <charset val="129"/>
          </rPr>
          <t>부서장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워크숍</t>
        </r>
        <r>
          <rPr>
            <b/>
            <sz val="12"/>
            <color indexed="81"/>
            <rFont val="Tahoma"/>
            <family val="2"/>
          </rPr>
          <t xml:space="preserve"> $10,000 (Actual: 5,387$)
</t>
        </r>
        <r>
          <rPr>
            <b/>
            <sz val="12"/>
            <color indexed="81"/>
            <rFont val="돋움"/>
            <family val="3"/>
            <charset val="129"/>
          </rPr>
          <t xml:space="preserve">
반기별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사내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프로그램</t>
        </r>
        <r>
          <rPr>
            <b/>
            <sz val="12"/>
            <color indexed="81"/>
            <rFont val="Tahoma"/>
            <family val="2"/>
          </rPr>
          <t>(</t>
        </r>
        <r>
          <rPr>
            <b/>
            <sz val="12"/>
            <color indexed="81"/>
            <rFont val="돋움"/>
            <family val="3"/>
            <charset val="129"/>
          </rPr>
          <t>합창대회</t>
        </r>
        <r>
          <rPr>
            <b/>
            <sz val="12"/>
            <color indexed="81"/>
            <rFont val="Tahoma"/>
            <family val="2"/>
          </rPr>
          <t>)  $ 3,000: Not yet</t>
        </r>
      </text>
    </comment>
    <comment ref="G44" authorId="0" shapeId="0" xr:uid="{00000000-0006-0000-1600-000014000000}">
      <text>
        <r>
          <rPr>
            <b/>
            <sz val="12"/>
            <color indexed="81"/>
            <rFont val="돋움"/>
            <family val="3"/>
            <charset val="129"/>
          </rPr>
          <t>전사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축구대회</t>
        </r>
        <r>
          <rPr>
            <b/>
            <sz val="12"/>
            <color indexed="81"/>
            <rFont val="Tahoma"/>
            <family val="2"/>
          </rPr>
          <t>(</t>
        </r>
        <r>
          <rPr>
            <b/>
            <sz val="12"/>
            <color indexed="81"/>
            <rFont val="돋움"/>
            <family val="3"/>
            <charset val="129"/>
          </rPr>
          <t>부서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대항</t>
        </r>
        <r>
          <rPr>
            <b/>
            <sz val="12"/>
            <color indexed="81"/>
            <rFont val="Tahoma"/>
            <family val="2"/>
          </rPr>
          <t>)  $    4,000
Actual advance for Cup : 1138$
Tuison fee (Mr Kim YJ): 30k</t>
        </r>
      </text>
    </comment>
    <comment ref="H44" authorId="0" shapeId="0" xr:uid="{00000000-0006-0000-1600-000015000000}">
      <text>
        <r>
          <rPr>
            <b/>
            <sz val="12"/>
            <color indexed="81"/>
            <rFont val="Tahoma"/>
            <family val="2"/>
          </rPr>
          <t>CEO</t>
        </r>
        <r>
          <rPr>
            <b/>
            <sz val="12"/>
            <color indexed="81"/>
            <rFont val="돋움"/>
            <family val="3"/>
            <charset val="129"/>
          </rPr>
          <t>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간부의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밤</t>
        </r>
        <r>
          <rPr>
            <b/>
            <sz val="12"/>
            <color indexed="81"/>
            <rFont val="Tahoma"/>
            <family val="2"/>
          </rPr>
          <t>2 2,000</t>
        </r>
        <r>
          <rPr>
            <b/>
            <sz val="12"/>
            <color indexed="81"/>
            <rFont val="돋움"/>
            <family val="3"/>
            <charset val="129"/>
          </rPr>
          <t>달러</t>
        </r>
      </text>
    </comment>
    <comment ref="J44" authorId="0" shapeId="0" xr:uid="{00000000-0006-0000-1600-000016000000}">
      <text>
        <r>
          <rPr>
            <b/>
            <sz val="12"/>
            <color indexed="81"/>
            <rFont val="돋움"/>
            <family val="3"/>
            <charset val="129"/>
          </rPr>
          <t>직원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자녀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장학금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수여식</t>
        </r>
        <r>
          <rPr>
            <b/>
            <sz val="12"/>
            <color indexed="81"/>
            <rFont val="Tahoma"/>
            <family val="2"/>
          </rPr>
          <t xml:space="preserve">  $  10,000 
</t>
        </r>
        <r>
          <rPr>
            <b/>
            <sz val="12"/>
            <color indexed="81"/>
            <rFont val="Tahoma"/>
            <family val="2"/>
          </rPr>
          <t>CEO</t>
        </r>
        <r>
          <rPr>
            <b/>
            <sz val="12"/>
            <color indexed="81"/>
            <rFont val="돋움"/>
            <family val="3"/>
            <charset val="129"/>
          </rPr>
          <t>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간부의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밤</t>
        </r>
        <r>
          <rPr>
            <b/>
            <sz val="12"/>
            <color indexed="81"/>
            <rFont val="Tahoma"/>
            <family val="2"/>
          </rPr>
          <t>2 $2,000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L44" authorId="0" shapeId="0" xr:uid="{00000000-0006-0000-1600-000017000000}">
      <text>
        <r>
          <rPr>
            <b/>
            <sz val="12"/>
            <color indexed="81"/>
            <rFont val="돋움"/>
            <family val="3"/>
            <charset val="129"/>
          </rPr>
          <t xml:space="preserve">회사 창립 기념일 $10,000
베트남 여성의 날 $5,000
</t>
        </r>
      </text>
    </comment>
    <comment ref="M44" authorId="0" shapeId="0" xr:uid="{00000000-0006-0000-1600-000018000000}">
      <text>
        <r>
          <rPr>
            <b/>
            <sz val="12"/>
            <color indexed="81"/>
            <rFont val="돋움"/>
            <family val="3"/>
            <charset val="129"/>
          </rPr>
          <t>전 직원 1일 여행 프로그램 $50,000</t>
        </r>
      </text>
    </comment>
    <comment ref="N44" authorId="0" shapeId="0" xr:uid="{00000000-0006-0000-1600-000019000000}">
      <text>
        <r>
          <rPr>
            <b/>
            <sz val="12"/>
            <color indexed="81"/>
            <rFont val="돋움"/>
            <family val="3"/>
            <charset val="129"/>
          </rPr>
          <t xml:space="preserve">CEO와 간부의 밤2 $2,000
우수사원 수상 $7,000
$임원 및 간부 가족 동반 연말 행사 $31000
</t>
        </r>
      </text>
    </comment>
    <comment ref="C45" authorId="0" shapeId="0" xr:uid="{00000000-0006-0000-1600-00001A000000}">
      <text>
        <r>
          <rPr>
            <b/>
            <sz val="9"/>
            <color indexed="81"/>
            <rFont val="돋움"/>
            <family val="3"/>
            <charset val="129"/>
          </rPr>
          <t>배당금</t>
        </r>
        <r>
          <rPr>
            <b/>
            <sz val="9"/>
            <color indexed="81"/>
            <rFont val="Tahoma"/>
            <family val="2"/>
          </rPr>
          <t xml:space="preserve"> 500K </t>
        </r>
        <r>
          <rPr>
            <b/>
            <sz val="9"/>
            <color indexed="81"/>
            <rFont val="돋움"/>
            <family val="3"/>
            <charset val="129"/>
          </rPr>
          <t>반영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ACC-PC01</author>
  </authors>
  <commentList>
    <comment ref="E4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VND convers with 26k</t>
        </r>
      </text>
    </comment>
    <comment ref="E29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VND convers with 25k</t>
        </r>
      </text>
    </comment>
    <comment ref="J29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Base on balance at Jul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  <author>ACC-PC01</author>
    <author>Kang YeongKyu</author>
    <author>MISTOP</author>
    <author>MR.KANG</author>
  </authors>
  <commentList>
    <comment ref="D15" authorId="0" shapeId="0" xr:uid="{13F39971-0949-4CEB-9971-7B1776302E95}">
      <text>
        <r>
          <rPr>
            <b/>
            <sz val="9"/>
            <color indexed="81"/>
            <rFont val="돋움"/>
            <family val="3"/>
            <charset val="129"/>
          </rPr>
          <t>차량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물류비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D17" authorId="1" shapeId="0" xr:uid="{2FC8022A-D626-4525-BB59-16A1D983B1A9}">
      <text>
        <r>
          <rPr>
            <b/>
            <sz val="9"/>
            <color indexed="81"/>
            <rFont val="Tahoma"/>
            <family val="2"/>
          </rPr>
          <t>My A WH palm finish May.26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8" authorId="2" shapeId="0" xr:uid="{65E689FA-7CC0-454B-B1F1-8943CD819887}">
      <text>
        <r>
          <rPr>
            <b/>
            <sz val="11"/>
            <color indexed="81"/>
            <rFont val="맑은 고딕"/>
            <family val="3"/>
            <charset val="129"/>
          </rPr>
          <t>SG MCT 18K + 외주창고  및 지게차</t>
        </r>
      </text>
    </comment>
    <comment ref="N33" authorId="1" shapeId="0" xr:uid="{07BBF810-3027-4188-AF68-404FAFEA3756}">
      <text>
        <r>
          <rPr>
            <b/>
            <sz val="9"/>
            <color indexed="81"/>
            <rFont val="Tahoma"/>
            <family val="2"/>
          </rPr>
          <t xml:space="preserve">Sportday- Meal: 7k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4" authorId="3" shapeId="0" xr:uid="{9A0B565F-CE2B-40EA-8CF6-63E8A0ECDA3C}">
      <text>
        <r>
          <rPr>
            <b/>
            <sz val="9"/>
            <color indexed="81"/>
            <rFont val="Tahoma"/>
            <family val="2"/>
          </rPr>
          <t>MISTOP:</t>
        </r>
        <r>
          <rPr>
            <sz val="9"/>
            <color indexed="81"/>
            <rFont val="Tahoma"/>
            <family val="2"/>
          </rPr>
          <t xml:space="preserve">
5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잔액
</t>
        </r>
      </text>
    </comment>
    <comment ref="D50" authorId="0" shapeId="0" xr:uid="{AEC4289E-FF04-4AD0-A405-7F789941CD32}">
      <text>
        <r>
          <rPr>
            <b/>
            <sz val="9"/>
            <color indexed="81"/>
            <rFont val="Tahoma"/>
            <family val="2"/>
          </rPr>
          <t>2026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분기별</t>
        </r>
        <r>
          <rPr>
            <b/>
            <sz val="9"/>
            <color indexed="81"/>
            <rFont val="Tahoma"/>
            <family val="2"/>
          </rPr>
          <t xml:space="preserve"> 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b/>
            <sz val="9"/>
            <color indexed="81"/>
            <rFont val="Tahoma"/>
            <family val="2"/>
          </rPr>
          <t xml:space="preserve"> $10,000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  <comment ref="V50" authorId="2" shapeId="0" xr:uid="{FF0D250A-9DB4-485E-86FF-56E664EE9529}">
      <text>
        <r>
          <rPr>
            <b/>
            <sz val="9"/>
            <color indexed="81"/>
            <rFont val="Tahoma"/>
            <family val="2"/>
          </rPr>
          <t>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출장
</t>
        </r>
        <r>
          <rPr>
            <b/>
            <sz val="9"/>
            <color indexed="81"/>
            <rFont val="Tahoma"/>
            <family val="2"/>
          </rPr>
          <t>$10,000</t>
        </r>
      </text>
    </comment>
    <comment ref="AE50" authorId="2" shapeId="0" xr:uid="{04E61F09-BA8A-48CA-8322-528AC46618C4}">
      <text>
        <r>
          <rPr>
            <b/>
            <sz val="9"/>
            <color indexed="81"/>
            <rFont val="Tahoma"/>
            <family val="2"/>
          </rPr>
          <t>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출장
</t>
        </r>
        <r>
          <rPr>
            <b/>
            <sz val="9"/>
            <color indexed="81"/>
            <rFont val="Tahoma"/>
            <family val="2"/>
          </rPr>
          <t>$10,000</t>
        </r>
      </text>
    </comment>
    <comment ref="AN50" authorId="2" shapeId="0" xr:uid="{F4E9C258-580D-4E0F-8DE5-525AB06332D9}">
      <text>
        <r>
          <rPr>
            <b/>
            <sz val="9"/>
            <color indexed="81"/>
            <rFont val="Tahoma"/>
            <family val="2"/>
          </rPr>
          <t>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출장
</t>
        </r>
        <r>
          <rPr>
            <b/>
            <sz val="9"/>
            <color indexed="81"/>
            <rFont val="Tahoma"/>
            <family val="2"/>
          </rPr>
          <t>$10,000</t>
        </r>
      </text>
    </comment>
    <comment ref="D51" authorId="1" shapeId="0" xr:uid="{97A20A1C-F3CE-491A-A3A6-11B95C40B98A}">
      <text>
        <r>
          <rPr>
            <b/>
            <sz val="9"/>
            <color indexed="81"/>
            <rFont val="Tahoma"/>
            <family val="2"/>
          </rPr>
          <t>warehouse fee for hyosung gen5 s.block 
$0.109 x monthly qty</t>
        </r>
      </text>
    </comment>
    <comment ref="D59" authorId="2" shapeId="0" xr:uid="{1EA7DE60-CF1E-401A-BFA3-D388FFBB87FD}">
      <text>
        <r>
          <rPr>
            <b/>
            <sz val="9"/>
            <color indexed="81"/>
            <rFont val="Tahoma"/>
            <family val="2"/>
          </rPr>
          <t>Included WHT (VMI)</t>
        </r>
      </text>
    </comment>
    <comment ref="D67" authorId="0" shapeId="0" xr:uid="{A8D0AFE6-A8A8-426F-8CA5-C2D17F2A30A0}">
      <text>
        <r>
          <rPr>
            <b/>
            <sz val="9"/>
            <color indexed="81"/>
            <rFont val="돋움"/>
            <family val="3"/>
            <charset val="129"/>
          </rPr>
          <t>자녀수</t>
        </r>
        <r>
          <rPr>
            <b/>
            <sz val="9"/>
            <color indexed="81"/>
            <rFont val="Tahoma"/>
            <family val="2"/>
          </rPr>
          <t xml:space="preserve"> 7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Net $6,500/1</t>
        </r>
        <r>
          <rPr>
            <b/>
            <sz val="9"/>
            <color indexed="81"/>
            <rFont val="돋움"/>
            <family val="3"/>
            <charset val="129"/>
          </rPr>
          <t>명당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$50,050 (</t>
        </r>
        <r>
          <rPr>
            <b/>
            <sz val="9"/>
            <color indexed="81"/>
            <rFont val="돋움"/>
            <family val="3"/>
            <charset val="129"/>
          </rPr>
          <t>세금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81" authorId="4" shapeId="0" xr:uid="{7DFF3871-1104-4147-9D39-E30EED91A95F}">
      <text>
        <r>
          <rPr>
            <b/>
            <sz val="9"/>
            <color indexed="81"/>
            <rFont val="Tahoma"/>
            <family val="2"/>
          </rPr>
          <t xml:space="preserve">UV Line </t>
        </r>
        <r>
          <rPr>
            <b/>
            <sz val="9"/>
            <color indexed="81"/>
            <rFont val="돋움"/>
            <family val="3"/>
            <charset val="129"/>
          </rPr>
          <t>설비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처리
몇개월에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걸쳐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번에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
$367,375: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ACC-PC01</author>
    <author>Kang YeongKyu</author>
  </authors>
  <commentList>
    <comment ref="I14" authorId="0" shapeId="0" xr:uid="{C90B6B4A-7210-4FF8-A588-15696CB93646}">
      <text>
        <r>
          <rPr>
            <b/>
            <sz val="9"/>
            <color indexed="81"/>
            <rFont val="Tahoma"/>
            <family val="2"/>
          </rPr>
          <t xml:space="preserve">UV Line </t>
        </r>
        <r>
          <rPr>
            <b/>
            <sz val="9"/>
            <color indexed="81"/>
            <rFont val="돋움"/>
            <family val="3"/>
            <charset val="129"/>
          </rPr>
          <t>설비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처리
몇개월에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걸쳐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번에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
$367,375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8" authorId="1" shapeId="0" xr:uid="{0EADF1FB-0ECB-486D-B2CB-36F50009662B}">
      <text>
        <r>
          <rPr>
            <sz val="11"/>
            <color indexed="81"/>
            <rFont val="돋움"/>
            <family val="3"/>
            <charset val="129"/>
          </rPr>
          <t>기존</t>
        </r>
        <r>
          <rPr>
            <sz val="11"/>
            <color indexed="81"/>
            <rFont val="Tahoma"/>
            <family val="2"/>
          </rPr>
          <t xml:space="preserve"> 11</t>
        </r>
        <r>
          <rPr>
            <sz val="11"/>
            <color indexed="81"/>
            <rFont val="돋움"/>
            <family val="3"/>
            <charset val="129"/>
          </rPr>
          <t>만불에서</t>
        </r>
        <r>
          <rPr>
            <sz val="11"/>
            <color indexed="81"/>
            <rFont val="Tahoma"/>
            <family val="2"/>
          </rPr>
          <t xml:space="preserve"> 1</t>
        </r>
        <r>
          <rPr>
            <sz val="11"/>
            <color indexed="81"/>
            <rFont val="돋움"/>
            <family val="3"/>
            <charset val="129"/>
          </rPr>
          <t>월에</t>
        </r>
        <r>
          <rPr>
            <sz val="11"/>
            <color indexed="81"/>
            <rFont val="Tahoma"/>
            <family val="2"/>
          </rPr>
          <t xml:space="preserve"> UV</t>
        </r>
        <r>
          <rPr>
            <sz val="11"/>
            <color indexed="81"/>
            <rFont val="돋움"/>
            <family val="3"/>
            <charset val="129"/>
          </rPr>
          <t>라인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정리시</t>
        </r>
        <r>
          <rPr>
            <sz val="11"/>
            <color indexed="81"/>
            <rFont val="Tahoma"/>
            <family val="2"/>
          </rPr>
          <t>3.4</t>
        </r>
        <r>
          <rPr>
            <sz val="11"/>
            <color indexed="81"/>
            <rFont val="돋움"/>
            <family val="3"/>
            <charset val="129"/>
          </rPr>
          <t>만으로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감소</t>
        </r>
      </text>
    </comment>
    <comment ref="A33" authorId="0" shapeId="0" xr:uid="{8226C950-0563-4609-BB4D-5DEC377B1C11}">
      <text>
        <r>
          <rPr>
            <sz val="9"/>
            <color indexed="81"/>
            <rFont val="Tahoma"/>
            <family val="2"/>
          </rPr>
          <t xml:space="preserve">After Audit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ACC-PC01</author>
  </authors>
  <commentList>
    <comment ref="M14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Only reference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ACC-PC01</author>
    <author>Kang YeongKyu</author>
    <author>Windows 사용자</author>
    <author>CHI</author>
  </authors>
  <commentList>
    <comment ref="G23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Mr Kim:63.830$ (1.5B)
Mr Noh:42.553$ (1B)</t>
        </r>
      </text>
    </comment>
    <comment ref="I23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Mr Choi:20.425 (480M)
Mr Roh:46,708$ (1.1B)</t>
        </r>
      </text>
    </comment>
    <comment ref="L23" authorId="1" shapeId="0" xr:uid="{00000000-0006-0000-1D00-000003000000}">
      <text>
        <r>
          <rPr>
            <b/>
            <sz val="9"/>
            <color indexed="81"/>
            <rFont val="Tahoma"/>
            <family val="2"/>
          </rPr>
          <t>Mr.Roh APT Loan  $208,333</t>
        </r>
      </text>
    </comment>
    <comment ref="M23" authorId="1" shapeId="0" xr:uid="{00000000-0006-0000-1D00-000004000000}">
      <text>
        <r>
          <rPr>
            <b/>
            <sz val="9"/>
            <color indexed="81"/>
            <rFont val="돋움"/>
            <family val="3"/>
            <charset val="129"/>
          </rPr>
          <t>Sell off Singapore Office</t>
        </r>
      </text>
    </comment>
    <comment ref="N23" authorId="2" shapeId="0" xr:uid="{00000000-0006-0000-1D00-000005000000}">
      <text>
        <r>
          <rPr>
            <b/>
            <sz val="9"/>
            <color indexed="81"/>
            <rFont val="Tahoma"/>
            <family val="2"/>
          </rPr>
          <t xml:space="preserve">Sell Casting 900ton </t>
        </r>
      </text>
    </comment>
    <comment ref="C24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VAT refund: 666k
Subsidise SS, Advance Hanwa: 157k</t>
        </r>
      </text>
    </comment>
    <comment ref="G24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Subsidise from Samsung Korea : 1.384
Refund rental fee Mr Lee Bong ki:633</t>
        </r>
      </text>
    </comment>
    <comment ref="M24" authorId="2" shapeId="0" xr:uid="{00000000-0006-0000-1D00-000008000000}">
      <text>
        <r>
          <rPr>
            <b/>
            <sz val="9"/>
            <color indexed="81"/>
            <rFont val="Tahoma"/>
            <family val="2"/>
          </rPr>
          <t>VAT Refund</t>
        </r>
      </text>
    </comment>
    <comment ref="C26" authorId="2" shapeId="0" xr:uid="{00000000-0006-0000-1D00-000009000000}">
      <text>
        <r>
          <rPr>
            <b/>
            <sz val="9"/>
            <color indexed="81"/>
            <rFont val="Tahoma"/>
            <family val="2"/>
          </rPr>
          <t xml:space="preserve">Reducing AP: 346K
</t>
        </r>
      </text>
    </comment>
    <comment ref="D27" authorId="3" shapeId="0" xr:uid="{00000000-0006-0000-1D00-00000A000000}">
      <text>
        <r>
          <rPr>
            <b/>
            <sz val="9"/>
            <color indexed="81"/>
            <rFont val="Tahoma"/>
            <family val="2"/>
          </rPr>
          <t>CHI:</t>
        </r>
        <r>
          <rPr>
            <sz val="9"/>
            <color indexed="81"/>
            <rFont val="Tahoma"/>
            <family val="2"/>
          </rPr>
          <t xml:space="preserve">
No pay MC Korea </t>
        </r>
      </text>
    </comment>
    <comment ref="H27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ACC-PC01:</t>
        </r>
        <r>
          <rPr>
            <sz val="9"/>
            <color indexed="81"/>
            <rFont val="Tahoma"/>
            <family val="2"/>
          </rPr>
          <t xml:space="preserve">
Paid exxpense in May in 1.Jun</t>
        </r>
      </text>
    </comment>
    <comment ref="G29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5 CNC- 110K
Dukin: 14k MC (20%)
             -35k  (50%)Sacom</t>
        </r>
      </text>
    </comment>
    <comment ref="H29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10 CNC :22k.700</t>
        </r>
      </text>
    </comment>
    <comment ref="I32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10 CNC</t>
        </r>
      </text>
    </comment>
    <comment ref="C33" authorId="0" shapeId="0" xr:uid="{00000000-0006-0000-1D00-00000F000000}">
      <text>
        <r>
          <rPr>
            <b/>
            <sz val="9"/>
            <color indexed="81"/>
            <rFont val="Tahoma"/>
            <family val="2"/>
          </rPr>
          <t>Bonus VN:$18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ok </t>
        </r>
      </text>
    </comment>
    <comment ref="D33" authorId="0" shapeId="0" xr:uid="{00000000-0006-0000-1D00-000010000000}">
      <text>
        <r>
          <rPr>
            <b/>
            <sz val="9"/>
            <color indexed="81"/>
            <rFont val="Tahoma"/>
            <family val="2"/>
          </rPr>
          <t>Pospone VN salary 1.Feb.23</t>
        </r>
      </text>
    </comment>
    <comment ref="N33" authorId="2" shapeId="0" xr:uid="{00000000-0006-0000-1D00-000011000000}">
      <text>
        <r>
          <rPr>
            <b/>
            <sz val="9"/>
            <color indexed="81"/>
            <rFont val="Tahoma"/>
            <family val="2"/>
          </rPr>
          <t>2022</t>
        </r>
        <r>
          <rPr>
            <b/>
            <sz val="9"/>
            <color indexed="81"/>
            <rFont val="돋움"/>
            <family val="3"/>
            <charset val="129"/>
          </rPr>
          <t>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주재원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퇴직금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 xml:space="preserve"> 
KR:$9.7</t>
        </r>
        <r>
          <rPr>
            <b/>
            <sz val="9"/>
            <color indexed="81"/>
            <rFont val="돋움"/>
            <family val="3"/>
            <charset val="129"/>
          </rPr>
          <t>만</t>
        </r>
      </text>
    </comment>
    <comment ref="I36" authorId="0" shapeId="0" xr:uid="{00000000-0006-0000-1D00-000012000000}">
      <text>
        <r>
          <rPr>
            <b/>
            <sz val="9"/>
            <color indexed="81"/>
            <rFont val="Tahoma"/>
            <family val="2"/>
          </rPr>
          <t>Include: 219k rental machine of MFG</t>
        </r>
      </text>
    </comment>
    <comment ref="F37" authorId="0" shapeId="0" xr:uid="{00000000-0006-0000-1D00-000013000000}">
      <text>
        <r>
          <rPr>
            <b/>
            <sz val="9"/>
            <color indexed="81"/>
            <rFont val="Tahoma"/>
            <family val="2"/>
          </rPr>
          <t>Mar</t>
        </r>
      </text>
    </comment>
    <comment ref="G37" authorId="0" shapeId="0" xr:uid="{00000000-0006-0000-1D00-000014000000}">
      <text>
        <r>
          <rPr>
            <b/>
            <sz val="9"/>
            <color indexed="81"/>
            <rFont val="Tahoma"/>
            <family val="2"/>
          </rPr>
          <t>Mar+Apr</t>
        </r>
      </text>
    </comment>
    <comment ref="C41" authorId="0" shapeId="0" xr:uid="{00000000-0006-0000-1D00-000015000000}">
      <text>
        <r>
          <rPr>
            <sz val="9"/>
            <color indexed="81"/>
            <rFont val="Tahoma"/>
            <family val="2"/>
          </rPr>
          <t>New Long Loan from Dec.22: 4 years.and paid orginal amt Monthly</t>
        </r>
      </text>
    </comment>
    <comment ref="D44" authorId="2" shapeId="0" xr:uid="{00000000-0006-0000-1D00-000016000000}">
      <text>
        <r>
          <rPr>
            <b/>
            <sz val="9"/>
            <color indexed="81"/>
            <rFont val="돋움"/>
            <family val="3"/>
            <charset val="129"/>
          </rPr>
          <t>기타</t>
        </r>
        <r>
          <rPr>
            <b/>
            <sz val="9"/>
            <color indexed="81"/>
            <rFont val="Tahoma"/>
            <family val="2"/>
          </rPr>
          <t xml:space="preserve"> TAX</t>
        </r>
      </text>
    </comment>
    <comment ref="M44" authorId="2" shapeId="0" xr:uid="{00000000-0006-0000-1D00-000017000000}">
      <text>
        <r>
          <rPr>
            <b/>
            <sz val="9"/>
            <color indexed="81"/>
            <rFont val="돋움"/>
            <family val="3"/>
            <charset val="129"/>
          </rPr>
          <t>경남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대출금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반환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이자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원금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44" authorId="2" shapeId="0" xr:uid="{00000000-0006-0000-1D00-000018000000}">
      <text>
        <r>
          <rPr>
            <b/>
            <sz val="11"/>
            <color indexed="81"/>
            <rFont val="맑은 고딕"/>
            <family val="3"/>
            <charset val="129"/>
            <scheme val="minor"/>
          </rPr>
          <t>가족 여행비 (푸우꾹) 74명$50,000+18,755+11,666 (CNC장비구매용 장부 반환 $18,755,경남 대출금 반환)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A13" authorId="0" shapeId="0" xr:uid="{00000000-0006-0000-1E00-000001000000}">
      <text>
        <r>
          <rPr>
            <b/>
            <sz val="9"/>
            <color indexed="81"/>
            <rFont val="돋움"/>
            <family val="3"/>
            <charset val="129"/>
          </rPr>
          <t>전체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전기료</t>
        </r>
        <r>
          <rPr>
            <b/>
            <sz val="9"/>
            <color indexed="81"/>
            <rFont val="Tahoma"/>
            <family val="2"/>
          </rPr>
          <t>*50%/</t>
        </r>
        <r>
          <rPr>
            <b/>
            <sz val="9"/>
            <color indexed="81"/>
            <rFont val="돋움"/>
            <family val="3"/>
            <charset val="129"/>
          </rPr>
          <t>캐스킹</t>
        </r>
        <r>
          <rPr>
            <b/>
            <sz val="9"/>
            <color indexed="81"/>
            <rFont val="Tahoma"/>
            <family val="2"/>
          </rPr>
          <t xml:space="preserve"> 28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가동되는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캐스팅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월간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산정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<sst xmlns="http://schemas.openxmlformats.org/spreadsheetml/2006/main" count="5924" uniqueCount="1935">
  <si>
    <t>Sales</t>
  </si>
  <si>
    <t>Gross profit</t>
  </si>
  <si>
    <t>SG&amp;A</t>
  </si>
  <si>
    <t>Income from Operation</t>
  </si>
  <si>
    <t>Ordinary Profit</t>
  </si>
  <si>
    <t>Tax</t>
  </si>
  <si>
    <t>Net Income</t>
  </si>
  <si>
    <t>EBITDA</t>
  </si>
  <si>
    <t>Depreciation</t>
  </si>
  <si>
    <t>Amortization</t>
  </si>
  <si>
    <t>Material cost</t>
  </si>
  <si>
    <t>Labor cost</t>
  </si>
  <si>
    <t xml:space="preserve">Depreciation </t>
  </si>
  <si>
    <t>total</t>
  </si>
  <si>
    <t>AVG</t>
    <phoneticPr fontId="10" type="noConversion"/>
  </si>
  <si>
    <t>Total</t>
    <phoneticPr fontId="10" type="noConversion"/>
  </si>
  <si>
    <t>Mobile</t>
    <phoneticPr fontId="10" type="noConversion"/>
  </si>
  <si>
    <t>Sales</t>
    <phoneticPr fontId="10" type="noConversion"/>
  </si>
  <si>
    <t>Interest of Bank</t>
  </si>
  <si>
    <t>Samsung</t>
  </si>
  <si>
    <t>LGIT</t>
  </si>
  <si>
    <t>Hosiden</t>
  </si>
  <si>
    <t>ZF TRW</t>
  </si>
  <si>
    <t>Automotive</t>
  </si>
  <si>
    <t>Qualcomm</t>
  </si>
  <si>
    <t>operating profit</t>
  </si>
  <si>
    <t>2) SG&amp;A</t>
    <phoneticPr fontId="10" type="noConversion"/>
  </si>
  <si>
    <t>1) Sales Quantity</t>
    <phoneticPr fontId="10" type="noConversion"/>
  </si>
  <si>
    <t>U/P</t>
    <phoneticPr fontId="10" type="noConversion"/>
  </si>
  <si>
    <t>2.  Sales Plan</t>
    <phoneticPr fontId="10" type="noConversion"/>
  </si>
  <si>
    <t>Note</t>
    <phoneticPr fontId="10" type="noConversion"/>
  </si>
  <si>
    <t>* Sales</t>
    <phoneticPr fontId="10" type="noConversion"/>
  </si>
  <si>
    <t>1) COGS</t>
    <phoneticPr fontId="10" type="noConversion"/>
  </si>
  <si>
    <t>3. Production Plan</t>
    <phoneticPr fontId="10" type="noConversion"/>
  </si>
  <si>
    <t>2) Sales Amount</t>
    <phoneticPr fontId="10" type="noConversion"/>
  </si>
  <si>
    <t>- 매출 수량 및 금액</t>
    <phoneticPr fontId="10" type="noConversion"/>
  </si>
  <si>
    <t>3. Production Plan (P Plan)</t>
    <phoneticPr fontId="10" type="noConversion"/>
  </si>
  <si>
    <t>- 생산 수량 및 필요 설비 수</t>
    <phoneticPr fontId="10" type="noConversion"/>
  </si>
  <si>
    <t>4. Labor Plan (L Plan)</t>
    <phoneticPr fontId="10" type="noConversion"/>
  </si>
  <si>
    <t>- 인원 계획</t>
    <phoneticPr fontId="10" type="noConversion"/>
  </si>
  <si>
    <t>No.</t>
    <phoneticPr fontId="10" type="noConversion"/>
  </si>
  <si>
    <t>내용</t>
    <phoneticPr fontId="10" type="noConversion"/>
  </si>
  <si>
    <t>비고/특이사항</t>
    <phoneticPr fontId="10" type="noConversion"/>
  </si>
  <si>
    <t>Sub-Total</t>
    <phoneticPr fontId="10" type="noConversion"/>
  </si>
  <si>
    <t>Grand Total</t>
  </si>
  <si>
    <t>Customer</t>
  </si>
  <si>
    <t>PART NO.</t>
  </si>
  <si>
    <t>Samsung BRK VN Total</t>
  </si>
  <si>
    <t>Samsung CNC Total</t>
  </si>
  <si>
    <t>Tooling</t>
  </si>
  <si>
    <t>Tooling USA</t>
  </si>
  <si>
    <t>Qualcomm Total</t>
  </si>
  <si>
    <t>3CAC00159A</t>
  </si>
  <si>
    <t>3CAC00160A</t>
  </si>
  <si>
    <t>(GEN3/AL5) - MX</t>
  </si>
  <si>
    <t>(GEN3/AL6) - MX</t>
  </si>
  <si>
    <t>(GEN2)EPS Motor Cover</t>
  </si>
  <si>
    <t>Yubei 570W EPS Bracket</t>
  </si>
  <si>
    <t>3CAC00306A</t>
  </si>
  <si>
    <t>3CAC00307A</t>
  </si>
  <si>
    <t>OMS Entry Vcsel Cover</t>
  </si>
  <si>
    <t>3CAC00250A</t>
  </si>
  <si>
    <t>OMS Entry Lens Holder</t>
  </si>
  <si>
    <t>3CAC00203A</t>
  </si>
  <si>
    <t>OMS Front Lens Holder</t>
  </si>
  <si>
    <t>3CAC00207A</t>
  </si>
  <si>
    <t>HKMC Ikc Camera Base</t>
  </si>
  <si>
    <t>3CAC00180A</t>
  </si>
  <si>
    <t>MRA2</t>
  </si>
  <si>
    <t>3CAC00196A</t>
  </si>
  <si>
    <t>BMS Top Case</t>
  </si>
  <si>
    <t>3CAC00181A</t>
  </si>
  <si>
    <t>BMS Bottom Case</t>
  </si>
  <si>
    <t>3CAC00182A</t>
  </si>
  <si>
    <t>BMS Bottom Case-PL</t>
  </si>
  <si>
    <t>MPC5.5 Cover Lens</t>
  </si>
  <si>
    <t>M. Brose</t>
  </si>
  <si>
    <t>MAS65 Heatsink</t>
  </si>
  <si>
    <t>Mando Hella Total</t>
  </si>
  <si>
    <t>IPM Housing -UK</t>
  </si>
  <si>
    <t>FCA 4.8 Housing -PL</t>
  </si>
  <si>
    <t>FCA 4.8 Cover-PL</t>
  </si>
  <si>
    <t>FCA 4.8 Lens Mount-PL</t>
  </si>
  <si>
    <t>Harley Davidson Handle Bar</t>
  </si>
  <si>
    <t xml:space="preserve">ZF TRW Total </t>
  </si>
  <si>
    <t xml:space="preserve">Hosiden Total </t>
  </si>
  <si>
    <t>Unit: USD</t>
    <phoneticPr fontId="10" type="noConversion"/>
  </si>
  <si>
    <t xml:space="preserve">          Grand Total</t>
    <phoneticPr fontId="10" type="noConversion"/>
  </si>
  <si>
    <t>가동율</t>
    <phoneticPr fontId="10" type="noConversion"/>
  </si>
  <si>
    <t>Casting</t>
    <phoneticPr fontId="10" type="noConversion"/>
  </si>
  <si>
    <t>Mold</t>
  </si>
  <si>
    <t>CNC</t>
  </si>
  <si>
    <t>QC</t>
  </si>
  <si>
    <t>Production</t>
  </si>
  <si>
    <t>Total</t>
  </si>
  <si>
    <t>Management</t>
  </si>
  <si>
    <t>5. Material Plan (M Plan)</t>
  </si>
  <si>
    <t>ADC12</t>
    <phoneticPr fontId="10" type="noConversion"/>
  </si>
  <si>
    <t>New</t>
    <phoneticPr fontId="10" type="noConversion"/>
  </si>
  <si>
    <t>AL</t>
    <phoneticPr fontId="10" type="noConversion"/>
  </si>
  <si>
    <t>Model</t>
  </si>
  <si>
    <t>MCT</t>
    <phoneticPr fontId="10" type="noConversion"/>
  </si>
  <si>
    <t>Remark</t>
  </si>
  <si>
    <t>AVG. S</t>
    <phoneticPr fontId="10" type="noConversion"/>
  </si>
  <si>
    <t>Unit: ea</t>
    <phoneticPr fontId="10" type="noConversion"/>
  </si>
  <si>
    <t>Customer</t>
    <phoneticPr fontId="10" type="noConversion"/>
  </si>
  <si>
    <t>Industry</t>
    <phoneticPr fontId="10" type="noConversion"/>
  </si>
  <si>
    <t>Model</t>
    <phoneticPr fontId="10" type="noConversion"/>
  </si>
  <si>
    <t>Category</t>
    <phoneticPr fontId="10" type="noConversion"/>
  </si>
  <si>
    <t>Tonnage</t>
    <phoneticPr fontId="10" type="noConversion"/>
  </si>
  <si>
    <t>Machinery</t>
    <phoneticPr fontId="10" type="noConversion"/>
  </si>
  <si>
    <t>Dept.</t>
    <phoneticPr fontId="10" type="noConversion"/>
  </si>
  <si>
    <t>TOTAL</t>
    <phoneticPr fontId="10" type="noConversion"/>
  </si>
  <si>
    <t>Unit: Kg</t>
    <phoneticPr fontId="10" type="noConversion"/>
  </si>
  <si>
    <t>Unit: Liter</t>
    <phoneticPr fontId="10" type="noConversion"/>
  </si>
  <si>
    <t>Category 2</t>
    <phoneticPr fontId="10" type="noConversion"/>
  </si>
  <si>
    <t>Category 1</t>
    <phoneticPr fontId="10" type="noConversion"/>
  </si>
  <si>
    <t>2) Actual Production Q'ty</t>
    <phoneticPr fontId="10" type="noConversion"/>
  </si>
  <si>
    <t>주제</t>
    <phoneticPr fontId="10" type="noConversion"/>
  </si>
  <si>
    <t xml:space="preserve">                               Grand Total</t>
    <phoneticPr fontId="10" type="noConversion"/>
  </si>
  <si>
    <t>환율 적용</t>
    <phoneticPr fontId="10" type="noConversion"/>
  </si>
  <si>
    <t xml:space="preserve"> Total</t>
    <phoneticPr fontId="10" type="noConversion"/>
  </si>
  <si>
    <t>Sub Total</t>
    <phoneticPr fontId="10" type="noConversion"/>
  </si>
  <si>
    <t>Category</t>
  </si>
  <si>
    <t>U/P</t>
  </si>
  <si>
    <t>AVG.S</t>
  </si>
  <si>
    <t>Category 1</t>
  </si>
  <si>
    <t>Category 2</t>
  </si>
  <si>
    <t>&lt;Index&gt;</t>
    <phoneticPr fontId="10" type="noConversion"/>
  </si>
  <si>
    <t>- 영업, 개발, 생산, 품질, 관리, 재무</t>
    <phoneticPr fontId="10" type="noConversion"/>
  </si>
  <si>
    <t>2. Sales Plan (S Plan)</t>
    <phoneticPr fontId="10" type="noConversion"/>
  </si>
  <si>
    <t>5. Material Plan (M Plan)</t>
    <phoneticPr fontId="10" type="noConversion"/>
  </si>
  <si>
    <t>- 원부자재 계획</t>
    <phoneticPr fontId="10" type="noConversion"/>
  </si>
  <si>
    <t>6. Outsourcing (O Plan)</t>
    <phoneticPr fontId="10" type="noConversion"/>
  </si>
  <si>
    <t>7. Expense Plan (E Plan)</t>
    <phoneticPr fontId="10" type="noConversion"/>
  </si>
  <si>
    <t>8. Investment Plan (I Plan)</t>
    <phoneticPr fontId="10" type="noConversion"/>
  </si>
  <si>
    <t>Category</t>
    <phoneticPr fontId="18" type="noConversion"/>
  </si>
  <si>
    <t>Grand Total</t>
    <phoneticPr fontId="10" type="noConversion"/>
  </si>
  <si>
    <t>Unit: Pcs</t>
    <phoneticPr fontId="10" type="noConversion"/>
  </si>
  <si>
    <t>No.</t>
  </si>
  <si>
    <t>Industry</t>
  </si>
  <si>
    <t>Sub-Total</t>
  </si>
  <si>
    <t>Prodution</t>
  </si>
  <si>
    <t xml:space="preserve">                               Grand Total</t>
  </si>
  <si>
    <t>- 현금흐름표</t>
    <phoneticPr fontId="10" type="noConversion"/>
  </si>
  <si>
    <t>- 투자 계획</t>
    <phoneticPr fontId="10" type="noConversion"/>
  </si>
  <si>
    <t>- 손익 계산서</t>
    <phoneticPr fontId="10" type="noConversion"/>
  </si>
  <si>
    <t>- 외주 비용(아노다이징,분체도장)</t>
    <phoneticPr fontId="10" type="noConversion"/>
  </si>
  <si>
    <t>- 제조비 및 관리비 계획</t>
    <phoneticPr fontId="10" type="noConversion"/>
  </si>
  <si>
    <t>AL,MG,S36</t>
    <phoneticPr fontId="10" type="noConversion"/>
  </si>
  <si>
    <t>Qualcomm</t>
    <phoneticPr fontId="10" type="noConversion"/>
  </si>
  <si>
    <t>Begin</t>
    <phoneticPr fontId="15" type="noConversion"/>
  </si>
  <si>
    <t>In flow</t>
    <phoneticPr fontId="15" type="noConversion"/>
  </si>
  <si>
    <t>AR</t>
  </si>
  <si>
    <t>AR (Subsidiary) MFG</t>
  </si>
  <si>
    <t>Short term - Sacombank</t>
  </si>
  <si>
    <t>Long term - Sacombank</t>
  </si>
  <si>
    <t>Others  &amp; VAT refund</t>
  </si>
  <si>
    <t>Sub Total</t>
    <phoneticPr fontId="15" type="noConversion"/>
  </si>
  <si>
    <t>Out flow</t>
    <phoneticPr fontId="15" type="noConversion"/>
  </si>
  <si>
    <t>AP</t>
  </si>
  <si>
    <t>AP(Repairing and other services)</t>
  </si>
  <si>
    <t>AP(Consumables)</t>
    <phoneticPr fontId="15" type="noConversion"/>
  </si>
  <si>
    <t>AP(Outsourcing)</t>
  </si>
  <si>
    <t>Salary</t>
  </si>
  <si>
    <t>Utility(Electricity,Water,Gas,sewage charges…)</t>
  </si>
  <si>
    <t>Rental Fee(Care,House,Office machine..)</t>
    <phoneticPr fontId="28" type="noConversion"/>
  </si>
  <si>
    <t>Social Insurance/Trade Union</t>
    <phoneticPr fontId="15" type="noConversion"/>
  </si>
  <si>
    <t>Operation Fee(Security, Comm, Travel.. )</t>
    <phoneticPr fontId="28" type="noConversion"/>
  </si>
  <si>
    <t>Redemption of the loan(Short term)</t>
  </si>
  <si>
    <t>Redemption of the loan(Long term)</t>
  </si>
  <si>
    <t>Variation</t>
    <phoneticPr fontId="15" type="noConversion"/>
  </si>
  <si>
    <t>Ending</t>
    <phoneticPr fontId="28" type="noConversion"/>
  </si>
  <si>
    <t>Inflow</t>
  </si>
  <si>
    <t>AR from Operating</t>
  </si>
  <si>
    <t>AR from Financial oprerating</t>
  </si>
  <si>
    <t>Outflow</t>
  </si>
  <si>
    <t>AP for finacial expense</t>
  </si>
  <si>
    <t>AP for Operating expense</t>
  </si>
  <si>
    <t>Net cash</t>
  </si>
  <si>
    <t>Beginning</t>
  </si>
  <si>
    <t>1) IN &amp; OUT Flow Detail Plan</t>
    <phoneticPr fontId="10" type="noConversion"/>
  </si>
  <si>
    <t>Daily Q'ty</t>
    <phoneticPr fontId="10" type="noConversion"/>
  </si>
  <si>
    <t>G.Shots</t>
    <phoneticPr fontId="10" type="noConversion"/>
  </si>
  <si>
    <t>D/Q,ty</t>
  </si>
  <si>
    <t>M/Tons</t>
  </si>
  <si>
    <t>Cavity</t>
  </si>
  <si>
    <t>Shortage</t>
  </si>
  <si>
    <t>1. ELECTRONIC</t>
    <phoneticPr fontId="10" type="noConversion"/>
  </si>
  <si>
    <t>P.Rate/
Month</t>
    <phoneticPr fontId="10" type="noConversion"/>
  </si>
  <si>
    <t>kw (VNd/USD)</t>
  </si>
  <si>
    <t>COGS</t>
  </si>
  <si>
    <t xml:space="preserve">                                                                     SG&amp;A Percentile / Sales</t>
  </si>
  <si>
    <t xml:space="preserve">        Sub-Total</t>
  </si>
  <si>
    <t>Current Q'ty</t>
  </si>
  <si>
    <t>Need Q'ty</t>
  </si>
  <si>
    <t>Shortage</t>
    <phoneticPr fontId="10" type="noConversion"/>
  </si>
  <si>
    <t>Casting M Total Required Q'ty</t>
    <phoneticPr fontId="10" type="noConversion"/>
  </si>
  <si>
    <t>Outsourcing Amount</t>
  </si>
  <si>
    <t>In-house Q'ty</t>
  </si>
  <si>
    <t>Outsourcing Q'ty</t>
  </si>
  <si>
    <t>2) Mold Q'ty &amp; Cost</t>
  </si>
  <si>
    <t>8. Investment Plan ( I Plan)</t>
  </si>
  <si>
    <t>2) Casting Material Amount</t>
    <phoneticPr fontId="10" type="noConversion"/>
  </si>
  <si>
    <t>Matreial</t>
    <phoneticPr fontId="10" type="noConversion"/>
  </si>
  <si>
    <t>Material</t>
    <phoneticPr fontId="10" type="noConversion"/>
  </si>
  <si>
    <t xml:space="preserve">Chromate Material </t>
    <phoneticPr fontId="10" type="noConversion"/>
  </si>
  <si>
    <t>Mold/Year</t>
  </si>
  <si>
    <t>항목</t>
    <phoneticPr fontId="10" type="noConversion"/>
  </si>
  <si>
    <t xml:space="preserve">인건비 </t>
    <phoneticPr fontId="10" type="noConversion"/>
  </si>
  <si>
    <t>관리비(유틸리티)</t>
    <phoneticPr fontId="10" type="noConversion"/>
  </si>
  <si>
    <t>관리비(아웃소싱)</t>
    <phoneticPr fontId="10" type="noConversion"/>
  </si>
  <si>
    <t xml:space="preserve">투자계획 </t>
    <phoneticPr fontId="10" type="noConversion"/>
  </si>
  <si>
    <t>관리비(납품차량렌트)</t>
    <phoneticPr fontId="10" type="noConversion"/>
  </si>
  <si>
    <t xml:space="preserve">COGS
(COGM) </t>
    <phoneticPr fontId="10" type="noConversion"/>
  </si>
  <si>
    <t>Basic Assumption (Expense)</t>
    <phoneticPr fontId="10" type="noConversion"/>
  </si>
  <si>
    <t>Manufacturing cost</t>
    <phoneticPr fontId="10" type="noConversion"/>
  </si>
  <si>
    <t>관리비(3대보험&amp;복지)</t>
    <phoneticPr fontId="10" type="noConversion"/>
  </si>
  <si>
    <t xml:space="preserve">감가상각 </t>
    <phoneticPr fontId="10" type="noConversion"/>
  </si>
  <si>
    <t>기타 비용</t>
    <phoneticPr fontId="10" type="noConversion"/>
  </si>
  <si>
    <t xml:space="preserve">1. Assumption </t>
    <phoneticPr fontId="10" type="noConversion"/>
  </si>
  <si>
    <t>5) 관리</t>
    <phoneticPr fontId="10" type="noConversion"/>
  </si>
  <si>
    <t>출장비</t>
    <phoneticPr fontId="10" type="noConversion"/>
  </si>
  <si>
    <t>차량(출퇴근)임대</t>
    <phoneticPr fontId="10" type="noConversion"/>
  </si>
  <si>
    <t xml:space="preserve">학자금 지원 </t>
    <phoneticPr fontId="10" type="noConversion"/>
  </si>
  <si>
    <t>4.L.Plan 참조</t>
    <phoneticPr fontId="10" type="noConversion"/>
  </si>
  <si>
    <t xml:space="preserve">8.I-Plan 참조  </t>
    <phoneticPr fontId="10" type="noConversion"/>
  </si>
  <si>
    <t>6.O Plan 참조</t>
    <phoneticPr fontId="10" type="noConversion"/>
  </si>
  <si>
    <t>AR scrapt</t>
  </si>
  <si>
    <t>Tax(VAT, CIT ,PIT, Customs)</t>
  </si>
  <si>
    <t>FC</t>
  </si>
  <si>
    <t>3HDC00003A</t>
  </si>
  <si>
    <t>A021D074</t>
  </si>
  <si>
    <t>A021D075</t>
  </si>
  <si>
    <t>125T</t>
    <phoneticPr fontId="10" type="noConversion"/>
  </si>
  <si>
    <t>HL Klemove</t>
  </si>
  <si>
    <t>Interest Loan</t>
  </si>
  <si>
    <t>OTHERS</t>
    <phoneticPr fontId="10" type="noConversion"/>
  </si>
  <si>
    <t>Employee Benefits(Canteen,tuison fee)</t>
  </si>
  <si>
    <t>Differrece beween COGS vs COGM</t>
  </si>
  <si>
    <t>NG Yield%</t>
    <phoneticPr fontId="10" type="noConversion"/>
  </si>
  <si>
    <t xml:space="preserve">M&amp;C Work  </t>
    <phoneticPr fontId="10" type="noConversion"/>
  </si>
  <si>
    <t>컨설팅 서비스 비용</t>
    <phoneticPr fontId="10" type="noConversion"/>
  </si>
  <si>
    <t>기타비용 (사내 경비,청소)</t>
    <phoneticPr fontId="10" type="noConversion"/>
  </si>
  <si>
    <t xml:space="preserve">원재료 </t>
    <phoneticPr fontId="10" type="noConversion"/>
  </si>
  <si>
    <t xml:space="preserve"> </t>
    <phoneticPr fontId="10" type="noConversion"/>
  </si>
  <si>
    <t>AP Overdue Deduction Plan</t>
    <phoneticPr fontId="10" type="noConversion"/>
  </si>
  <si>
    <t>Machine Set</t>
    <phoneticPr fontId="10" type="noConversion"/>
  </si>
  <si>
    <t>Out Recycle</t>
    <phoneticPr fontId="10" type="noConversion"/>
  </si>
  <si>
    <t>A245 Mobase</t>
  </si>
  <si>
    <t>GH61-17884A</t>
  </si>
  <si>
    <t>GH61-17770A</t>
  </si>
  <si>
    <t>A546 Elentec</t>
  </si>
  <si>
    <t>GH61-17786A</t>
  </si>
  <si>
    <t>3HUC00006A</t>
  </si>
  <si>
    <t>3HUC00007A</t>
  </si>
  <si>
    <t>3CVC00004A</t>
  </si>
  <si>
    <t>3CAZ00041A</t>
  </si>
  <si>
    <t>3CAZ00042A</t>
  </si>
  <si>
    <t>MBA4515181</t>
  </si>
  <si>
    <t>NX4 Housing</t>
  </si>
  <si>
    <t>MBA4111122</t>
  </si>
  <si>
    <t>ME041A1100</t>
  </si>
  <si>
    <t>ME200A1700</t>
  </si>
  <si>
    <t>IMEB2 Housing</t>
  </si>
  <si>
    <t>A012U602</t>
  </si>
  <si>
    <t>GM Cover / GM EU2L-CN</t>
  </si>
  <si>
    <t>GM-ACP2_Cover-US</t>
  </si>
  <si>
    <t>A020R329</t>
  </si>
  <si>
    <t>GM-ACP2 Housing-US</t>
  </si>
  <si>
    <t>A020R331</t>
  </si>
  <si>
    <t>GM-ACP2_Cover-CN</t>
  </si>
  <si>
    <t>GM-ACP2 Housing-CN</t>
  </si>
  <si>
    <t>IPM Base Housing</t>
  </si>
  <si>
    <t>A014A871</t>
  </si>
  <si>
    <t>IPM Advanced Housing</t>
  </si>
  <si>
    <t>A014A881</t>
  </si>
  <si>
    <t>Laser</t>
    <phoneticPr fontId="10" type="noConversion"/>
  </si>
  <si>
    <t>Unit: ea</t>
  </si>
  <si>
    <t>Unit: Kg</t>
  </si>
  <si>
    <t>TCM</t>
    <phoneticPr fontId="10" type="noConversion"/>
  </si>
  <si>
    <t>3) Outsourcing Production Amount</t>
    <phoneticPr fontId="10" type="noConversion"/>
  </si>
  <si>
    <t>2) Outsourcing Production Q'ty</t>
    <phoneticPr fontId="10" type="noConversion"/>
  </si>
  <si>
    <t>Weight(kg)</t>
    <phoneticPr fontId="10" type="noConversion"/>
  </si>
  <si>
    <t>A245 Elentec</t>
  </si>
  <si>
    <t>Increasing  Capital  from MFG</t>
  </si>
  <si>
    <t>Personal Loan</t>
  </si>
  <si>
    <t>GM Lens Mount-CN</t>
  </si>
  <si>
    <t>3CAC00182A-PL</t>
  </si>
  <si>
    <t>3CAC00181A-PL</t>
  </si>
  <si>
    <t>관리비(Oil &amp; 소모품)</t>
    <phoneticPr fontId="10" type="noConversion"/>
  </si>
  <si>
    <t xml:space="preserve">근무일수 </t>
    <phoneticPr fontId="10" type="noConversion"/>
  </si>
  <si>
    <t>주요구입장비</t>
    <phoneticPr fontId="10" type="noConversion"/>
  </si>
  <si>
    <t>10. Income Statement (IS)</t>
    <phoneticPr fontId="10" type="noConversion"/>
  </si>
  <si>
    <t>9. Commission Plan (C Plan)</t>
    <phoneticPr fontId="10" type="noConversion"/>
  </si>
  <si>
    <t xml:space="preserve">- 본사 및 해외 사무소 Commission 계획 </t>
    <phoneticPr fontId="10" type="noConversion"/>
  </si>
  <si>
    <t>Singapore</t>
    <phoneticPr fontId="10" type="noConversion"/>
  </si>
  <si>
    <t>Korea</t>
    <phoneticPr fontId="10" type="noConversion"/>
  </si>
  <si>
    <t>China</t>
    <phoneticPr fontId="10" type="noConversion"/>
  </si>
  <si>
    <t xml:space="preserve">2) Machine Rental </t>
    <phoneticPr fontId="10" type="noConversion"/>
  </si>
  <si>
    <t>Detail</t>
    <phoneticPr fontId="10" type="noConversion"/>
  </si>
  <si>
    <t>Country</t>
    <phoneticPr fontId="10" type="noConversion"/>
  </si>
  <si>
    <t>Casting 400Ton</t>
    <phoneticPr fontId="10" type="noConversion"/>
  </si>
  <si>
    <t>1) Commision</t>
    <phoneticPr fontId="10" type="noConversion"/>
  </si>
  <si>
    <r>
      <t xml:space="preserve">11. Cash Flow Plan (CF) </t>
    </r>
    <r>
      <rPr>
        <b/>
        <sz val="12"/>
        <color theme="0"/>
        <rFont val="맑은 고딕"/>
        <family val="2"/>
        <scheme val="minor"/>
      </rPr>
      <t>V6</t>
    </r>
    <phoneticPr fontId="10" type="noConversion"/>
  </si>
  <si>
    <t>Total Commission</t>
    <phoneticPr fontId="10" type="noConversion"/>
  </si>
  <si>
    <t>Manager</t>
    <phoneticPr fontId="10" type="noConversion"/>
  </si>
  <si>
    <t>Staff + Technician</t>
    <phoneticPr fontId="10" type="noConversion"/>
  </si>
  <si>
    <t>AVG. S</t>
  </si>
  <si>
    <t>Direct</t>
    <phoneticPr fontId="18" type="noConversion"/>
  </si>
  <si>
    <t>Vietnam</t>
    <phoneticPr fontId="10" type="noConversion"/>
  </si>
  <si>
    <t>Foreigner Management</t>
    <phoneticPr fontId="10" type="noConversion"/>
  </si>
  <si>
    <t>SGD</t>
  </si>
  <si>
    <t>KRW</t>
  </si>
  <si>
    <t>CNY</t>
  </si>
  <si>
    <t>VND</t>
  </si>
  <si>
    <t>Banking charge</t>
  </si>
  <si>
    <t>Entertainment</t>
  </si>
  <si>
    <t>Jan.23</t>
  </si>
  <si>
    <t>Feb.23</t>
  </si>
  <si>
    <t>Mar.23</t>
  </si>
  <si>
    <t>Apr.23</t>
  </si>
  <si>
    <t>May.23</t>
  </si>
  <si>
    <t>Jun.23</t>
  </si>
  <si>
    <t>Jul.23</t>
  </si>
  <si>
    <t>Aug.23</t>
  </si>
  <si>
    <t>Sep.23</t>
  </si>
  <si>
    <t>Oct.23</t>
  </si>
  <si>
    <t>Nov.23</t>
  </si>
  <si>
    <t>Dec.23</t>
  </si>
  <si>
    <t>Act</t>
  </si>
  <si>
    <t>350/400T</t>
    <phoneticPr fontId="10" type="noConversion"/>
  </si>
  <si>
    <t>3) Chromate Material Q'ty</t>
    <phoneticPr fontId="10" type="noConversion"/>
  </si>
  <si>
    <t>4) Chromate Material Amount</t>
    <phoneticPr fontId="10" type="noConversion"/>
  </si>
  <si>
    <t>5) Others Material Amount (Packing and injection RM)</t>
    <phoneticPr fontId="10" type="noConversion"/>
  </si>
  <si>
    <t>CNC</t>
    <phoneticPr fontId="10" type="noConversion"/>
  </si>
  <si>
    <t>Capex(include cash &amp; long loan)</t>
  </si>
  <si>
    <t>3MAM00541A</t>
  </si>
  <si>
    <t>ME200RS400</t>
  </si>
  <si>
    <t>ME210RS400</t>
  </si>
  <si>
    <t>MB200IMBO1</t>
  </si>
  <si>
    <t>AP Logistics&amp;VMI WH</t>
    <phoneticPr fontId="10" type="noConversion"/>
  </si>
  <si>
    <t xml:space="preserve">Total </t>
    <phoneticPr fontId="10" type="noConversion"/>
  </si>
  <si>
    <t>Commision (SIG,KR,CN,JP)</t>
    <phoneticPr fontId="10" type="noConversion"/>
  </si>
  <si>
    <t>Sub total</t>
  </si>
  <si>
    <t>Act</t>
    <phoneticPr fontId="10" type="noConversion"/>
  </si>
  <si>
    <t>Commision (SIG,KR,CN,JP)</t>
  </si>
  <si>
    <t>Mando</t>
    <phoneticPr fontId="10" type="noConversion"/>
  </si>
  <si>
    <t>ZF</t>
    <phoneticPr fontId="10" type="noConversion"/>
  </si>
  <si>
    <t>Unit: Person</t>
    <phoneticPr fontId="10" type="noConversion"/>
  </si>
  <si>
    <t>ST-Person</t>
    <phoneticPr fontId="10" type="noConversion"/>
  </si>
  <si>
    <t>Staff</t>
    <phoneticPr fontId="10" type="noConversion"/>
  </si>
  <si>
    <t xml:space="preserve"> Sub total</t>
    <phoneticPr fontId="10" type="noConversion"/>
  </si>
  <si>
    <t>Foreigner Production</t>
    <phoneticPr fontId="10" type="noConversion"/>
  </si>
  <si>
    <t>Director</t>
    <phoneticPr fontId="10" type="noConversion"/>
  </si>
  <si>
    <t>Sub total</t>
    <phoneticPr fontId="10" type="noConversion"/>
  </si>
  <si>
    <t>Foreigner  Total</t>
    <phoneticPr fontId="10" type="noConversion"/>
  </si>
  <si>
    <t>VN Management</t>
    <phoneticPr fontId="10" type="noConversion"/>
  </si>
  <si>
    <t>VN Production</t>
    <phoneticPr fontId="10" type="noConversion"/>
  </si>
  <si>
    <t xml:space="preserve">    Vietnam Total</t>
    <phoneticPr fontId="10" type="noConversion"/>
  </si>
  <si>
    <t>Staff</t>
  </si>
  <si>
    <t>Sub Total</t>
    <phoneticPr fontId="18" type="noConversion"/>
  </si>
  <si>
    <t>Indirect</t>
    <phoneticPr fontId="18" type="noConversion"/>
  </si>
  <si>
    <t>Grand Total</t>
    <phoneticPr fontId="18" type="noConversion"/>
  </si>
  <si>
    <t>Unit: Days</t>
    <phoneticPr fontId="10" type="noConversion"/>
  </si>
  <si>
    <t>T/Day</t>
    <phoneticPr fontId="10" type="noConversion"/>
  </si>
  <si>
    <t>1YEAR W/Day</t>
    <phoneticPr fontId="18" type="noConversion"/>
  </si>
  <si>
    <t>Working Days</t>
    <phoneticPr fontId="10" type="noConversion"/>
  </si>
  <si>
    <t>Working Days (Weekend)</t>
    <phoneticPr fontId="10" type="noConversion"/>
  </si>
  <si>
    <t>Labor Total_ Amount</t>
    <phoneticPr fontId="10" type="noConversion"/>
  </si>
  <si>
    <t>2)VN Person Plan</t>
    <phoneticPr fontId="10" type="noConversion"/>
  </si>
  <si>
    <t>1) Foreigner Person Plan</t>
    <phoneticPr fontId="10" type="noConversion"/>
  </si>
  <si>
    <t>추정 이유(계산) (개선방안)</t>
    <phoneticPr fontId="10" type="noConversion"/>
  </si>
  <si>
    <t>Expenses(SA&amp;GA)</t>
  </si>
  <si>
    <t>Travel -business trips</t>
  </si>
  <si>
    <t>Logistics</t>
  </si>
  <si>
    <t>Electricity</t>
  </si>
  <si>
    <t>cars relative</t>
  </si>
  <si>
    <t>Sorting</t>
  </si>
  <si>
    <t>Sample</t>
  </si>
  <si>
    <t>property insurance</t>
  </si>
  <si>
    <t>Security charge</t>
  </si>
  <si>
    <t>Communication</t>
    <phoneticPr fontId="10" type="noConversion"/>
  </si>
  <si>
    <t>Total cost</t>
    <phoneticPr fontId="10" type="noConversion"/>
  </si>
  <si>
    <t>Present Yield%</t>
    <phoneticPr fontId="10" type="noConversion"/>
  </si>
  <si>
    <t xml:space="preserve">                                Grand Total</t>
    <phoneticPr fontId="10" type="noConversion"/>
  </si>
  <si>
    <t>설비 가동율은 장비수량 파악</t>
    <phoneticPr fontId="10" type="noConversion"/>
  </si>
  <si>
    <t>Casting</t>
  </si>
  <si>
    <t>Trimming</t>
  </si>
  <si>
    <t>Polishing</t>
  </si>
  <si>
    <t>Sanding</t>
  </si>
  <si>
    <t>Chromate</t>
  </si>
  <si>
    <t>LDS Antenna</t>
  </si>
  <si>
    <t>Pmt term</t>
  </si>
  <si>
    <t>30days</t>
  </si>
  <si>
    <t>S.manger and above</t>
    <phoneticPr fontId="10" type="noConversion"/>
  </si>
  <si>
    <t>NX4 HSG</t>
  </si>
  <si>
    <t>HL Klemove</t>
    <phoneticPr fontId="9" type="noConversion"/>
  </si>
  <si>
    <t>Mando</t>
    <phoneticPr fontId="9" type="noConversion"/>
  </si>
  <si>
    <t>FCA Cover</t>
  </si>
  <si>
    <t>ZF TRW</t>
    <phoneticPr fontId="9" type="noConversion"/>
  </si>
  <si>
    <t>ZF TWR</t>
    <phoneticPr fontId="10" type="noConversion"/>
  </si>
  <si>
    <t>90 days</t>
  </si>
  <si>
    <t>OT 2023</t>
  </si>
  <si>
    <t>Headcount</t>
  </si>
  <si>
    <t>Amount OT VND</t>
  </si>
  <si>
    <t>Total 
Headcount</t>
  </si>
  <si>
    <t>Total Amt
 VND 3M</t>
  </si>
  <si>
    <t xml:space="preserve">Rate
 vs Gross </t>
  </si>
  <si>
    <t>Oct</t>
  </si>
  <si>
    <t>Nov</t>
  </si>
  <si>
    <t>Dec</t>
  </si>
  <si>
    <t>Mgm</t>
  </si>
  <si>
    <t>S.manger and above</t>
  </si>
  <si>
    <t>Manager</t>
  </si>
  <si>
    <t>Pro</t>
  </si>
  <si>
    <t>Staff + Technician</t>
  </si>
  <si>
    <t>Workers</t>
  </si>
  <si>
    <t>Data 2024 ( Mar)</t>
  </si>
  <si>
    <t>Persons</t>
  </si>
  <si>
    <t xml:space="preserve"> Gross Basic</t>
  </si>
  <si>
    <t>Bonus (1m)</t>
  </si>
  <si>
    <t>OT Mar</t>
  </si>
  <si>
    <t>Usd OT in Mar</t>
  </si>
  <si>
    <t>%</t>
  </si>
  <si>
    <t>Jan.25</t>
  </si>
  <si>
    <t>Apr.25</t>
  </si>
  <si>
    <t>AVR.USD</t>
  </si>
  <si>
    <t>AVG Total</t>
    <phoneticPr fontId="10" type="noConversion"/>
  </si>
  <si>
    <t>G,S Manager</t>
    <phoneticPr fontId="10" type="noConversion"/>
  </si>
  <si>
    <t>1) Casting Material Q.ty</t>
    <phoneticPr fontId="10" type="noConversion"/>
  </si>
  <si>
    <t xml:space="preserve">New </t>
    <phoneticPr fontId="10" type="noConversion"/>
  </si>
  <si>
    <t>1)Sales Quantity</t>
    <phoneticPr fontId="10" type="noConversion"/>
  </si>
  <si>
    <t>Electricity</t>
    <phoneticPr fontId="10" type="noConversion"/>
  </si>
  <si>
    <t xml:space="preserve">Water </t>
    <phoneticPr fontId="10" type="noConversion"/>
  </si>
  <si>
    <t>Gas</t>
    <phoneticPr fontId="10" type="noConversion"/>
  </si>
  <si>
    <t>Repair Expense</t>
    <phoneticPr fontId="10" type="noConversion"/>
  </si>
  <si>
    <t>Transportation</t>
    <phoneticPr fontId="10" type="noConversion"/>
  </si>
  <si>
    <t>Travel(Business)</t>
    <phoneticPr fontId="10" type="noConversion"/>
  </si>
  <si>
    <t>Consumable tool (CNC)</t>
    <phoneticPr fontId="10" type="noConversion"/>
  </si>
  <si>
    <t>Security</t>
    <phoneticPr fontId="10" type="noConversion"/>
  </si>
  <si>
    <t>Insurance (Fire insurance)</t>
    <phoneticPr fontId="10" type="noConversion"/>
  </si>
  <si>
    <t xml:space="preserve">Cleaning expense </t>
    <phoneticPr fontId="10" type="noConversion"/>
  </si>
  <si>
    <t>Amortization</t>
    <phoneticPr fontId="10" type="noConversion"/>
  </si>
  <si>
    <t>Consumables</t>
    <phoneticPr fontId="10" type="noConversion"/>
  </si>
  <si>
    <t>SG&amp;A</t>
    <phoneticPr fontId="10" type="noConversion"/>
  </si>
  <si>
    <t>Average OT
 VND</t>
  </si>
  <si>
    <t>Average
 USD</t>
  </si>
  <si>
    <t>Aver USD Basic
 (inluded bonus +OT)</t>
  </si>
  <si>
    <t>Coding1</t>
  </si>
  <si>
    <t>Coding2</t>
  </si>
  <si>
    <t>Director</t>
  </si>
  <si>
    <t xml:space="preserve"> Total Gross</t>
  </si>
  <si>
    <t xml:space="preserve">Average </t>
  </si>
  <si>
    <t>Park Seong OH</t>
  </si>
  <si>
    <t>Noh Young Jun</t>
  </si>
  <si>
    <t>Kang Yeong Kyu</t>
  </si>
  <si>
    <t>Wang Zhao Peng</t>
  </si>
  <si>
    <t>Xu Shi Pei</t>
  </si>
  <si>
    <t>Kim Seok Ki</t>
  </si>
  <si>
    <t>G,S Manager</t>
  </si>
  <si>
    <t>Commission fee (M&amp;C SG,KR,CH,JP)</t>
  </si>
  <si>
    <t>Consulting</t>
  </si>
  <si>
    <t>AL Total</t>
    <phoneticPr fontId="10" type="noConversion"/>
  </si>
  <si>
    <t>VN bonus</t>
  </si>
  <si>
    <t>AR from MFG</t>
  </si>
  <si>
    <t>Total</t>
    <phoneticPr fontId="9" type="noConversion"/>
  </si>
  <si>
    <t>SHUI Insurance (21.5%) Company
 VND</t>
  </si>
  <si>
    <t>Basic use for Calculating insurance VND</t>
  </si>
  <si>
    <t>Everage usd</t>
  </si>
  <si>
    <t>Basic 
USD</t>
  </si>
  <si>
    <t>Employee 10.5%</t>
  </si>
  <si>
    <t xml:space="preserve">Company 21.5% </t>
  </si>
  <si>
    <t>Insurance Korean</t>
  </si>
  <si>
    <t>Wealfare others</t>
  </si>
  <si>
    <t xml:space="preserve">    Others (SAMPLE)</t>
    <phoneticPr fontId="10" type="noConversion"/>
  </si>
  <si>
    <t>Grand Total (Foreigner+VN)</t>
    <phoneticPr fontId="10" type="noConversion"/>
  </si>
  <si>
    <t>Carrier Frame</t>
    <phoneticPr fontId="10" type="noConversion"/>
  </si>
  <si>
    <t xml:space="preserve">Bracket </t>
  </si>
  <si>
    <t>Qualcom</t>
  </si>
  <si>
    <t xml:space="preserve"> 55-PM920/ 55-29708-20 </t>
  </si>
  <si>
    <t>Chromate AL</t>
    <phoneticPr fontId="10" type="noConversion"/>
  </si>
  <si>
    <t>Salary VN</t>
  </si>
  <si>
    <t>Sales ( Trading)</t>
  </si>
  <si>
    <t>Outsourcing (Ano, Paint, Chromate ,CNC)</t>
  </si>
  <si>
    <t>Salary (Included PIT,SHUI)</t>
  </si>
  <si>
    <t>COGS  Atual</t>
  </si>
  <si>
    <t>Amortization Mold</t>
  </si>
  <si>
    <t>Amotization (Mold)</t>
  </si>
  <si>
    <t>6. Outsourcing  Plan (O Plan)</t>
    <phoneticPr fontId="10" type="noConversion"/>
  </si>
  <si>
    <t>1) Sales Production Q'ty</t>
    <phoneticPr fontId="10" type="noConversion"/>
  </si>
  <si>
    <t>Yield%</t>
    <phoneticPr fontId="10" type="noConversion"/>
  </si>
  <si>
    <t>Automotive</t>
    <phoneticPr fontId="10" type="noConversion"/>
  </si>
  <si>
    <t xml:space="preserve">Mobile/Auto </t>
    <phoneticPr fontId="10" type="noConversion"/>
  </si>
  <si>
    <t>Front HSG</t>
    <phoneticPr fontId="10" type="noConversion"/>
  </si>
  <si>
    <t>Frame</t>
    <phoneticPr fontId="10" type="noConversion"/>
  </si>
  <si>
    <t>Others</t>
    <phoneticPr fontId="10" type="noConversion"/>
  </si>
  <si>
    <t>ACP2 Housing</t>
    <phoneticPr fontId="10" type="noConversion"/>
  </si>
  <si>
    <t xml:space="preserve">   </t>
    <phoneticPr fontId="10" type="noConversion"/>
  </si>
  <si>
    <t>[USD]</t>
    <phoneticPr fontId="10" type="noConversion"/>
  </si>
  <si>
    <t xml:space="preserve">    Others (Mold)</t>
    <phoneticPr fontId="62" type="noConversion"/>
  </si>
  <si>
    <t>Retirement Korean</t>
    <phoneticPr fontId="10" type="noConversion"/>
  </si>
  <si>
    <t>Mold Fee (Others)  &amp; VAT refund</t>
    <phoneticPr fontId="10" type="noConversion"/>
  </si>
  <si>
    <t>Salary (SHUI, PIT)</t>
  </si>
  <si>
    <t>관리비(Tool 소모품)</t>
    <phoneticPr fontId="10" type="noConversion"/>
  </si>
  <si>
    <t>3) Actual Casting Machine Q'ty</t>
    <phoneticPr fontId="10" type="noConversion"/>
  </si>
  <si>
    <t>4) Equipment balance</t>
    <phoneticPr fontId="10" type="noConversion"/>
  </si>
  <si>
    <t>5) MCT Production Rate &amp; Q'ty</t>
    <phoneticPr fontId="10" type="noConversion"/>
  </si>
  <si>
    <t>Apr</t>
  </si>
  <si>
    <t>May</t>
  </si>
  <si>
    <t>Aug</t>
  </si>
  <si>
    <t>Sep</t>
  </si>
  <si>
    <t>1)Product Plan (BOM) Material Total</t>
    <phoneticPr fontId="10" type="noConversion"/>
  </si>
  <si>
    <t>Othes invest and Long term - Sacombank</t>
  </si>
  <si>
    <t>Ugint PT400SS Samchully machine</t>
  </si>
  <si>
    <t>Qty</t>
  </si>
  <si>
    <t xml:space="preserve">Rental - oversea -warehouse </t>
  </si>
  <si>
    <t>Others (Garden and cleaning,EHS,comsumption,Unreasonable...)</t>
  </si>
  <si>
    <t xml:space="preserve">Lathe CNC Machine </t>
  </si>
  <si>
    <t>CNC machine</t>
  </si>
  <si>
    <t>25.Jun.2024</t>
  </si>
  <si>
    <t>12.Jul.2024</t>
  </si>
  <si>
    <t>Depreciation Financial Assets (Chailease)</t>
  </si>
  <si>
    <t>Loan date</t>
  </si>
  <si>
    <t xml:space="preserve">Principle  Loan
Contract </t>
  </si>
  <si>
    <t>Month of Loan</t>
  </si>
  <si>
    <t>17.Jun.2022</t>
  </si>
  <si>
    <t>Supplying and installing transformer</t>
  </si>
  <si>
    <t>29.Nov.2022</t>
  </si>
  <si>
    <t>08.Dec.2022</t>
  </si>
  <si>
    <t>3D measuring machine</t>
  </si>
  <si>
    <t>18.May.2023</t>
  </si>
  <si>
    <t>Chailease</t>
  </si>
  <si>
    <t xml:space="preserve">Principle Loan
Contract </t>
  </si>
  <si>
    <t>Note</t>
  </si>
  <si>
    <t>3) Financial Expenses</t>
    <phoneticPr fontId="10" type="noConversion"/>
  </si>
  <si>
    <t>Financial expenses</t>
    <phoneticPr fontId="10" type="noConversion"/>
  </si>
  <si>
    <t>COGS(COGM)</t>
    <phoneticPr fontId="10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</si>
  <si>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.</t>
    <phoneticPr fontId="10" type="noConversion"/>
  </si>
  <si>
    <t>Salary Koren update: Jun.24</t>
  </si>
  <si>
    <t xml:space="preserve">Tháng 8 </t>
  </si>
  <si>
    <t>Giảm 1</t>
  </si>
  <si>
    <t>Net profit</t>
    <phoneticPr fontId="10" type="noConversion"/>
  </si>
  <si>
    <t>10. INCOME STATEMENT (IS)</t>
    <phoneticPr fontId="10" type="noConversion"/>
  </si>
  <si>
    <t>LGIT</t>
    <phoneticPr fontId="10" type="noConversion"/>
  </si>
  <si>
    <t>Feb.25</t>
  </si>
  <si>
    <t>Mar.25</t>
  </si>
  <si>
    <t>May.25</t>
  </si>
  <si>
    <t>Jun.25</t>
  </si>
  <si>
    <t>Jul.25</t>
  </si>
  <si>
    <t>Aug.25</t>
  </si>
  <si>
    <t>Sep.25</t>
  </si>
  <si>
    <t>Oct.25</t>
  </si>
  <si>
    <t>Nov.25</t>
  </si>
  <si>
    <t>Dec.25</t>
  </si>
  <si>
    <t>Anodizing</t>
    <phoneticPr fontId="10" type="noConversion"/>
  </si>
  <si>
    <t>Jan</t>
  </si>
  <si>
    <t>Feb</t>
  </si>
  <si>
    <t>Mar</t>
  </si>
  <si>
    <t>Jun</t>
  </si>
  <si>
    <t>Barel</t>
  </si>
  <si>
    <t>Chomate</t>
  </si>
  <si>
    <t>Cleanning(Sơn)</t>
  </si>
  <si>
    <t>Soi Dino</t>
  </si>
  <si>
    <t>Dán tape (Sơn)</t>
  </si>
  <si>
    <t>CNC1</t>
  </si>
  <si>
    <t>Anodizing Hmal</t>
  </si>
  <si>
    <t>Lazer</t>
  </si>
  <si>
    <t>CNC 1</t>
  </si>
  <si>
    <t>Clean</t>
  </si>
  <si>
    <t>Gasket (Sơn)</t>
  </si>
  <si>
    <t>Ass Tape Gasket (LẮp ráp)</t>
  </si>
  <si>
    <t>Lazer   &amp; Clean</t>
  </si>
  <si>
    <t>CNC 2.3</t>
  </si>
  <si>
    <t>Ép Pin</t>
  </si>
  <si>
    <t xml:space="preserve"> Clean (Auto)</t>
  </si>
  <si>
    <t>Leakage Testing</t>
  </si>
  <si>
    <t>Clean ( Sơn)</t>
  </si>
  <si>
    <t>Trimming-Blaster</t>
  </si>
  <si>
    <t>Tiện</t>
  </si>
  <si>
    <t>Clean (AUTO)</t>
  </si>
  <si>
    <t>CNC (Smartech)</t>
  </si>
  <si>
    <t>Paint( WJ)</t>
  </si>
  <si>
    <t>Inlogo</t>
  </si>
  <si>
    <t>Bending</t>
  </si>
  <si>
    <t>Hotpress</t>
  </si>
  <si>
    <t>Marking</t>
  </si>
  <si>
    <t>Total Interest</t>
  </si>
  <si>
    <t>TOTAL TO PAY ( principle and interst)MOTHLY</t>
  </si>
  <si>
    <t>2024-Q1
 Unit Price</t>
    <phoneticPr fontId="10" type="noConversion"/>
  </si>
  <si>
    <t>2024-Q2
 Unit Price</t>
    <phoneticPr fontId="10" type="noConversion"/>
  </si>
  <si>
    <t>2024-Q3
 Unit Price</t>
    <phoneticPr fontId="10" type="noConversion"/>
  </si>
  <si>
    <t>2024-Q4
 Unit Price</t>
    <phoneticPr fontId="10" type="noConversion"/>
  </si>
  <si>
    <t>2025
Unit Price</t>
    <phoneticPr fontId="10" type="noConversion"/>
  </si>
  <si>
    <t>2026
Unit Price</t>
    <phoneticPr fontId="10" type="noConversion"/>
  </si>
  <si>
    <t>2027
Unit Price</t>
    <phoneticPr fontId="10" type="noConversion"/>
  </si>
  <si>
    <t>2028
Unit Price</t>
    <phoneticPr fontId="10" type="noConversion"/>
  </si>
  <si>
    <t>2024 Quantity</t>
    <phoneticPr fontId="27" type="noConversion"/>
  </si>
  <si>
    <t>2024 Amount (USD)</t>
    <phoneticPr fontId="27" type="noConversion"/>
  </si>
  <si>
    <t>2025 Quantity</t>
  </si>
  <si>
    <t>2025 Amount (USD)</t>
    <phoneticPr fontId="27" type="noConversion"/>
  </si>
  <si>
    <t>2026 Quantity</t>
  </si>
  <si>
    <t>2026 Amount (USD)</t>
    <phoneticPr fontId="27" type="noConversion"/>
  </si>
  <si>
    <t>2027 Quantity</t>
    <phoneticPr fontId="27" type="noConversion"/>
  </si>
  <si>
    <t>2027 Amount (USD)</t>
    <phoneticPr fontId="27" type="noConversion"/>
  </si>
  <si>
    <t>2028 Quantity</t>
    <phoneticPr fontId="27" type="noConversion"/>
  </si>
  <si>
    <t>2028 Amount (USD)</t>
    <phoneticPr fontId="27" type="noConversion"/>
  </si>
  <si>
    <t>Jan</t>
    <phoneticPr fontId="27" type="noConversion"/>
  </si>
  <si>
    <t>Feb</t>
    <phoneticPr fontId="27" type="noConversion"/>
  </si>
  <si>
    <t>Mar</t>
    <phoneticPr fontId="27" type="noConversion"/>
  </si>
  <si>
    <t>Apr</t>
    <phoneticPr fontId="27" type="noConversion"/>
  </si>
  <si>
    <t>Jul</t>
  </si>
  <si>
    <t>Dec</t>
    <phoneticPr fontId="27" type="noConversion"/>
  </si>
  <si>
    <t>Total 2024</t>
    <phoneticPr fontId="27" type="noConversion"/>
  </si>
  <si>
    <t>Total 2025</t>
  </si>
  <si>
    <t>Total 2025</t>
    <phoneticPr fontId="27" type="noConversion"/>
  </si>
  <si>
    <t>Total 2026</t>
  </si>
  <si>
    <t>Total 2026</t>
    <phoneticPr fontId="27" type="noConversion"/>
  </si>
  <si>
    <t>Total 2027</t>
    <phoneticPr fontId="27" type="noConversion"/>
  </si>
  <si>
    <t>Total 2028</t>
    <phoneticPr fontId="27" type="noConversion"/>
  </si>
  <si>
    <t>HEG Stand Cover</t>
    <phoneticPr fontId="27" type="noConversion"/>
  </si>
  <si>
    <t>Mold/Credit note</t>
    <phoneticPr fontId="27" type="noConversion"/>
  </si>
  <si>
    <t>Samsung BRK</t>
    <phoneticPr fontId="27" type="noConversion"/>
  </si>
  <si>
    <t>A346 Mobase</t>
    <phoneticPr fontId="27" type="noConversion"/>
  </si>
  <si>
    <t>A15</t>
    <phoneticPr fontId="27" type="noConversion"/>
  </si>
  <si>
    <t>GH61-18886A</t>
  </si>
  <si>
    <t>A35</t>
    <phoneticPr fontId="27" type="noConversion"/>
  </si>
  <si>
    <t>GH61-18868A</t>
  </si>
  <si>
    <t>New BRK 1</t>
  </si>
  <si>
    <t>New BRK 2</t>
  </si>
  <si>
    <t xml:space="preserve">Samsung CNC </t>
  </si>
  <si>
    <t>DM3 (S23)</t>
    <phoneticPr fontId="27" type="noConversion"/>
  </si>
  <si>
    <t>GH94-35427A</t>
    <phoneticPr fontId="27" type="noConversion"/>
  </si>
  <si>
    <t>Q4</t>
    <phoneticPr fontId="27" type="noConversion"/>
  </si>
  <si>
    <t xml:space="preserve">GH94-34528A    </t>
  </si>
  <si>
    <t>Q5</t>
  </si>
  <si>
    <t>GH94-35418A</t>
  </si>
  <si>
    <t>HX1</t>
  </si>
  <si>
    <t>GH94-26469A</t>
  </si>
  <si>
    <t>B0</t>
    <phoneticPr fontId="27" type="noConversion"/>
  </si>
  <si>
    <t>GH94-32719A</t>
  </si>
  <si>
    <t>E1</t>
  </si>
  <si>
    <t>GH94-38080A</t>
  </si>
  <si>
    <t>B6</t>
  </si>
  <si>
    <t>GH94-39228A</t>
  </si>
  <si>
    <t>Q6 Sub</t>
  </si>
  <si>
    <t>GH94-39352A</t>
  </si>
  <si>
    <t>Beyond2</t>
    <phoneticPr fontId="27" type="noConversion"/>
  </si>
  <si>
    <t>GH94-21815A</t>
  </si>
  <si>
    <t>Qualcomm</t>
    <phoneticPr fontId="27" type="noConversion"/>
  </si>
  <si>
    <t>MTP Pinnacles</t>
    <phoneticPr fontId="27" type="noConversion"/>
  </si>
  <si>
    <t>MTP/IDP</t>
    <phoneticPr fontId="27" type="noConversion"/>
  </si>
  <si>
    <t>MTP Pakala</t>
    <phoneticPr fontId="27" type="noConversion"/>
  </si>
  <si>
    <t>LDS Antenna</t>
    <phoneticPr fontId="27" type="noConversion"/>
  </si>
  <si>
    <t>LDS</t>
    <phoneticPr fontId="27" type="noConversion"/>
  </si>
  <si>
    <t xml:space="preserve">LG Innotek </t>
    <phoneticPr fontId="27" type="noConversion"/>
  </si>
  <si>
    <t>(GEN3/AL5) - YT</t>
    <phoneticPr fontId="27" type="noConversion"/>
  </si>
  <si>
    <t>(GEN3/AL6) - YT</t>
    <phoneticPr fontId="27" type="noConversion"/>
  </si>
  <si>
    <t>3CAC00159A_MX</t>
  </si>
  <si>
    <t>3CAC00160A_MX</t>
  </si>
  <si>
    <t>(GEN3/AL5) - YT (추가물량)</t>
    <phoneticPr fontId="27" type="noConversion"/>
  </si>
  <si>
    <t>(GEN3/AL6) - YT (추가물량)</t>
    <phoneticPr fontId="27" type="noConversion"/>
  </si>
  <si>
    <t>(GEN3/AL5) - MX (추가물량)</t>
    <phoneticPr fontId="62" type="noConversion"/>
  </si>
  <si>
    <t>(GEN3/AL6) - MX (추가물량)</t>
    <phoneticPr fontId="62" type="noConversion"/>
  </si>
  <si>
    <t>3MAM00269A</t>
    <phoneticPr fontId="27" type="noConversion"/>
  </si>
  <si>
    <t>T6 Housing M6</t>
    <phoneticPr fontId="27" type="noConversion"/>
  </si>
  <si>
    <t>T6 Housing M8</t>
    <phoneticPr fontId="27" type="noConversion"/>
  </si>
  <si>
    <t>T6 Bearing Plate</t>
    <phoneticPr fontId="27" type="noConversion"/>
  </si>
  <si>
    <t xml:space="preserve">LG Innotek </t>
  </si>
  <si>
    <t>T6 Housing M6 - Mexico</t>
    <phoneticPr fontId="62" type="noConversion"/>
  </si>
  <si>
    <t>T6 Housing M8 - Mexico</t>
    <phoneticPr fontId="62" type="noConversion"/>
  </si>
  <si>
    <t>BEV Housing</t>
    <phoneticPr fontId="62" type="noConversion"/>
  </si>
  <si>
    <t>T6 BP - Mexico</t>
    <phoneticPr fontId="62" type="noConversion"/>
  </si>
  <si>
    <t>T3 BP</t>
    <phoneticPr fontId="62" type="noConversion"/>
  </si>
  <si>
    <t xml:space="preserve">CL4 Housing </t>
  </si>
  <si>
    <t xml:space="preserve">CL4 Cover </t>
  </si>
  <si>
    <t xml:space="preserve">MQ4a PE Housing </t>
    <phoneticPr fontId="27" type="noConversion"/>
  </si>
  <si>
    <t>3CAZ00039A</t>
  </si>
  <si>
    <t>MQ4a PE Cover</t>
    <phoneticPr fontId="27" type="noConversion"/>
  </si>
  <si>
    <t>3CAZ00038A</t>
  </si>
  <si>
    <t>BYD Housing</t>
  </si>
  <si>
    <t>3CAC00129A</t>
  </si>
  <si>
    <t>BYD Bracket(cover)</t>
  </si>
  <si>
    <t>3MAM00121A</t>
  </si>
  <si>
    <t xml:space="preserve">BYD HX Housing </t>
  </si>
  <si>
    <t>3HUO00001A</t>
  </si>
  <si>
    <t>New LGIT R-EPS Housing 1</t>
    <phoneticPr fontId="27" type="noConversion"/>
  </si>
  <si>
    <t>New LGIT R-EPS Cover 1</t>
    <phoneticPr fontId="27" type="noConversion"/>
  </si>
  <si>
    <t>New LGIT R-EPS Housing 2</t>
    <phoneticPr fontId="27" type="noConversion"/>
  </si>
  <si>
    <t>New LGIT R-EPS Cover 2</t>
    <phoneticPr fontId="27" type="noConversion"/>
  </si>
  <si>
    <t>New LGIT C-EPS Housing 1</t>
    <phoneticPr fontId="27" type="noConversion"/>
  </si>
  <si>
    <t>New LGIT C-EPS Cover 1</t>
    <phoneticPr fontId="27" type="noConversion"/>
  </si>
  <si>
    <t>BMS Top Case-PL</t>
    <phoneticPr fontId="27" type="noConversion"/>
  </si>
  <si>
    <t>DCU15 Housing-KR</t>
    <phoneticPr fontId="27" type="noConversion"/>
  </si>
  <si>
    <t>DCU15 Cover-KR</t>
    <phoneticPr fontId="27" type="noConversion"/>
  </si>
  <si>
    <t>Mold/Sample</t>
    <phoneticPr fontId="27" type="noConversion"/>
  </si>
  <si>
    <t>LG Innotek Total</t>
    <phoneticPr fontId="27" type="noConversion"/>
  </si>
  <si>
    <t>NX4 Cover</t>
    <phoneticPr fontId="27" type="noConversion"/>
  </si>
  <si>
    <t>TEY GEN4 Heatsink Cover</t>
    <phoneticPr fontId="27" type="noConversion"/>
  </si>
  <si>
    <t>RS4 Housing</t>
    <phoneticPr fontId="27" type="noConversion"/>
  </si>
  <si>
    <t>RS4 Cover</t>
    <phoneticPr fontId="27" type="noConversion"/>
  </si>
  <si>
    <t>J100 Housing</t>
    <phoneticPr fontId="27" type="noConversion"/>
  </si>
  <si>
    <t>SV52 Housing Cover</t>
    <phoneticPr fontId="27" type="noConversion"/>
  </si>
  <si>
    <t>ME210SV500</t>
    <phoneticPr fontId="27" type="noConversion"/>
  </si>
  <si>
    <t>New Mando R-EPS HSG 1</t>
    <phoneticPr fontId="27" type="noConversion"/>
  </si>
  <si>
    <t>New Mando R-EPS CVR 1</t>
    <phoneticPr fontId="62" type="noConversion"/>
  </si>
  <si>
    <t>New Mando R-EPS HSG 2</t>
    <phoneticPr fontId="27" type="noConversion"/>
  </si>
  <si>
    <t>New Mando R-EPS CVR 2</t>
    <phoneticPr fontId="62" type="noConversion"/>
  </si>
  <si>
    <t>New Mando C-EPS HSG 1</t>
    <phoneticPr fontId="62" type="noConversion"/>
  </si>
  <si>
    <t>New Mando C-EPS CVR 1</t>
    <phoneticPr fontId="62" type="noConversion"/>
  </si>
  <si>
    <t>New Mando iMEB</t>
    <phoneticPr fontId="62" type="noConversion"/>
  </si>
  <si>
    <t>New Mando NX5 HSG</t>
    <phoneticPr fontId="62" type="noConversion"/>
  </si>
  <si>
    <t>New Mando NX5 CVR</t>
    <phoneticPr fontId="62" type="noConversion"/>
  </si>
  <si>
    <t>HL Klemove</t>
    <phoneticPr fontId="27" type="noConversion"/>
  </si>
  <si>
    <t>L00.136-00</t>
    <phoneticPr fontId="27" type="noConversion"/>
  </si>
  <si>
    <t>RG3 Heatsink Cover</t>
    <phoneticPr fontId="27" type="noConversion"/>
  </si>
  <si>
    <t>FCM30-Upper Housing</t>
    <phoneticPr fontId="27" type="noConversion"/>
  </si>
  <si>
    <t>FCM30-Lower Housing</t>
    <phoneticPr fontId="27" type="noConversion"/>
  </si>
  <si>
    <t>ZF</t>
    <phoneticPr fontId="27" type="noConversion"/>
  </si>
  <si>
    <t>A010R190</t>
    <phoneticPr fontId="27" type="noConversion"/>
  </si>
  <si>
    <t>A010W096</t>
    <phoneticPr fontId="27" type="noConversion"/>
  </si>
  <si>
    <t>A011F352</t>
    <phoneticPr fontId="27" type="noConversion"/>
  </si>
  <si>
    <t>A011F352</t>
  </si>
  <si>
    <t>GM Housing / GM EU2L-CN</t>
    <phoneticPr fontId="27" type="noConversion"/>
  </si>
  <si>
    <t>GM Housing / GM EU2L -MON</t>
    <phoneticPr fontId="27" type="noConversion"/>
  </si>
  <si>
    <t>GM Cover / GM EU2L-MON</t>
    <phoneticPr fontId="27" type="noConversion"/>
  </si>
  <si>
    <t>GM Lens Mount / GM EU2L-MON</t>
    <phoneticPr fontId="27" type="noConversion"/>
  </si>
  <si>
    <t>GM Lens Mount / GM EU2L-UK</t>
  </si>
  <si>
    <t>IPM 2.0 Housing Base+</t>
    <phoneticPr fontId="27" type="noConversion"/>
  </si>
  <si>
    <t>IPM 2.0 Housing Premium</t>
    <phoneticPr fontId="27" type="noConversion"/>
  </si>
  <si>
    <t>New ADAS HSG 1</t>
    <phoneticPr fontId="27" type="noConversion"/>
  </si>
  <si>
    <t>New ADAS CVR 1</t>
    <phoneticPr fontId="27" type="noConversion"/>
  </si>
  <si>
    <t>New LogoPlate 1</t>
    <phoneticPr fontId="27" type="noConversion"/>
  </si>
  <si>
    <t>Claim (Credit Note)</t>
    <phoneticPr fontId="27" type="noConversion"/>
  </si>
  <si>
    <t>Hyosung</t>
    <phoneticPr fontId="27" type="noConversion"/>
  </si>
  <si>
    <t>Hyosung-GEN5 Block</t>
    <phoneticPr fontId="10" type="noConversion"/>
  </si>
  <si>
    <t>Hyosung-MQ4 Cover</t>
    <phoneticPr fontId="10" type="noConversion"/>
  </si>
  <si>
    <t>Hyosung-P739 EPS Housing</t>
    <phoneticPr fontId="10" type="noConversion"/>
  </si>
  <si>
    <t>Hyosung-P739 EPS Cover</t>
    <phoneticPr fontId="10" type="noConversion"/>
  </si>
  <si>
    <t>Hyosung Total</t>
    <phoneticPr fontId="27" type="noConversion"/>
  </si>
  <si>
    <t>TTI</t>
    <phoneticPr fontId="27" type="noConversion"/>
  </si>
  <si>
    <t>Guidance</t>
    <phoneticPr fontId="27" type="noConversion"/>
  </si>
  <si>
    <t>Others</t>
    <phoneticPr fontId="27" type="noConversion"/>
  </si>
  <si>
    <t>Others + Scrap</t>
    <phoneticPr fontId="27" type="noConversion"/>
  </si>
  <si>
    <t>Time/1day</t>
    <phoneticPr fontId="10" type="noConversion"/>
  </si>
  <si>
    <t xml:space="preserve">W/F+SHUI </t>
    <phoneticPr fontId="10" type="noConversion"/>
  </si>
  <si>
    <t>W/F+exr</t>
    <phoneticPr fontId="10" type="noConversion"/>
  </si>
  <si>
    <t>합계</t>
  </si>
  <si>
    <t>담당부서</t>
    <phoneticPr fontId="10" type="noConversion"/>
  </si>
  <si>
    <t>Content</t>
    <phoneticPr fontId="10" type="noConversion"/>
  </si>
  <si>
    <t>Remarks</t>
    <phoneticPr fontId="10" type="noConversion"/>
  </si>
  <si>
    <t>EM</t>
    <phoneticPr fontId="10" type="noConversion"/>
  </si>
  <si>
    <t>S Plan</t>
    <phoneticPr fontId="10" type="noConversion"/>
  </si>
  <si>
    <t>매출 계획 재 확인</t>
    <phoneticPr fontId="10" type="noConversion"/>
  </si>
  <si>
    <t>- 각 고객사 2025년 SOP 최신 데이터 입수 후 반영
- T6 멕시코향 기존 3분기 시작 → 2분기 시작으로 변경
   CL4 '24년 수량 수준 반영 (기존 월 4.8만개 → 6만개)
   IMEB2 고객사로부터 증량 수량 수취 (기존 월 2.9만개 → 4.2만개)
   삼성 A26, A36 수주 건  (월 30만개(2벌) 기준)</t>
    <phoneticPr fontId="10" type="noConversion"/>
  </si>
  <si>
    <t>개발 중 제품</t>
    <phoneticPr fontId="10" type="noConversion"/>
  </si>
  <si>
    <t>- 고객사 및 품명 : LGIT eK Cover
-  양산 기간 : 25년 하반기 ~ 2031년
-  총 매출 : $1,748,858</t>
    <phoneticPr fontId="10" type="noConversion"/>
  </si>
  <si>
    <t>Production Plan</t>
    <phoneticPr fontId="10" type="noConversion"/>
  </si>
  <si>
    <t>P Plan</t>
    <phoneticPr fontId="10" type="noConversion"/>
  </si>
  <si>
    <t>Production Plan,
EM</t>
    <phoneticPr fontId="10" type="noConversion"/>
  </si>
  <si>
    <t>P Plan-2</t>
    <phoneticPr fontId="10" type="noConversion"/>
  </si>
  <si>
    <t>예상 금형 제작 벌 수</t>
    <phoneticPr fontId="10" type="noConversion"/>
  </si>
  <si>
    <t>- 사내 제작 : $835,807 (79set)
- 외주 제작 : $492,370 (20set - 한국) + $53,500 (5set - 베트남)
- 합계 : $1,328,177 (104set)</t>
    <phoneticPr fontId="10" type="noConversion"/>
  </si>
  <si>
    <t>Production, Production Plan, Quality, Finance</t>
    <phoneticPr fontId="10" type="noConversion"/>
  </si>
  <si>
    <t>L Plan</t>
    <phoneticPr fontId="10" type="noConversion"/>
  </si>
  <si>
    <t>CNC 자동화</t>
    <phoneticPr fontId="10" type="noConversion"/>
  </si>
  <si>
    <t xml:space="preserve"> - CNC 선반 + MCT 자동화 도입 (1X3)+(1X2)
 - CNC 자동화(1X6)  - 다관절 로봇타입
 - 세척 및 검사 결합라인 등을 통한 인력절감</t>
    <phoneticPr fontId="10" type="noConversion"/>
  </si>
  <si>
    <t>사상 자동화</t>
    <phoneticPr fontId="10" type="noConversion"/>
  </si>
  <si>
    <t xml:space="preserve"> - 하우징/ 플레이트 사상 자동화 도입으로 인원절감 추진
 - 카메라류/브라캣 류 사상 자동화 도입
 - 브라캣류 열정형 자동화 진행</t>
    <phoneticPr fontId="10" type="noConversion"/>
  </si>
  <si>
    <t xml:space="preserve">비용 절감 (품질팀) </t>
    <phoneticPr fontId="10" type="noConversion"/>
  </si>
  <si>
    <t xml:space="preserve">- 검사 인원 축소  (152명 → 87명, 43% 인원절감)
- 외관 한도 완화 : AUTO 제품 4% 폐기 비용 절감 </t>
    <phoneticPr fontId="10" type="noConversion"/>
  </si>
  <si>
    <t>M Plan</t>
    <phoneticPr fontId="10" type="noConversion"/>
  </si>
  <si>
    <t>O Plan</t>
    <phoneticPr fontId="10" type="noConversion"/>
  </si>
  <si>
    <t>Finance</t>
    <phoneticPr fontId="10" type="noConversion"/>
  </si>
  <si>
    <t>E Plan</t>
    <phoneticPr fontId="10" type="noConversion"/>
  </si>
  <si>
    <t>Automation</t>
    <phoneticPr fontId="10" type="noConversion"/>
  </si>
  <si>
    <t>I Plan</t>
    <phoneticPr fontId="10" type="noConversion"/>
  </si>
  <si>
    <t>C Plan</t>
    <phoneticPr fontId="10" type="noConversion"/>
  </si>
  <si>
    <t>586명</t>
    <phoneticPr fontId="10" type="noConversion"/>
  </si>
  <si>
    <t>고객사별 인원</t>
    <phoneticPr fontId="10" type="noConversion"/>
  </si>
  <si>
    <t>- 삼성 제품 생산을 위한 직접 인력: 103명
- LG/Mando/Hyosung 제품 생산을 위한 직접 인력: 303명
- ZF 제품 생산을 위한 직접 인력: 180명</t>
    <phoneticPr fontId="10" type="noConversion"/>
  </si>
  <si>
    <t>125Ton 부족</t>
    <phoneticPr fontId="10" type="noConversion"/>
  </si>
  <si>
    <t>MCT 부족</t>
    <phoneticPr fontId="10" type="noConversion"/>
  </si>
  <si>
    <t>125ton 부족으로 예상되어 현재 양산중인 125Ton 제품 350Ton으로 변경 필요</t>
    <phoneticPr fontId="10" type="noConversion"/>
  </si>
  <si>
    <t>Production 3</t>
    <phoneticPr fontId="10" type="noConversion"/>
  </si>
  <si>
    <t>Production 2</t>
    <phoneticPr fontId="10" type="noConversion"/>
  </si>
  <si>
    <t>Producrion 1</t>
    <phoneticPr fontId="10" type="noConversion"/>
  </si>
  <si>
    <t>오피스 인원</t>
    <phoneticPr fontId="10" type="noConversion"/>
  </si>
  <si>
    <t>2024년 90명, 2025년 70명으로 축소</t>
    <phoneticPr fontId="10" type="noConversion"/>
  </si>
  <si>
    <t>4월 T6 Mexico 향 신규 물량 수주로 기존 6월 추가 5대 구매 계획 4월로 변경 필요</t>
    <phoneticPr fontId="10" type="noConversion"/>
  </si>
  <si>
    <t>내부 리사이클 진행</t>
    <phoneticPr fontId="10" type="noConversion"/>
  </si>
  <si>
    <t>- 내부 리사이클 진행 예정으로, 리사이클링 비용 삭제
- 신재 52% 재생 48% 유지하되, 신재 사용 절감 방안 지속 강구</t>
    <phoneticPr fontId="10" type="noConversion"/>
  </si>
  <si>
    <t>외주 진행</t>
    <phoneticPr fontId="10" type="noConversion"/>
  </si>
  <si>
    <t>- 아노다이징 및 퀄컴 외주 외 100% 내부 진행</t>
    <phoneticPr fontId="10" type="noConversion"/>
  </si>
  <si>
    <t>구분</t>
    <phoneticPr fontId="10" type="noConversion"/>
  </si>
  <si>
    <t>매출액</t>
    <phoneticPr fontId="10" type="noConversion"/>
  </si>
  <si>
    <t>Ride</t>
    <phoneticPr fontId="10" type="noConversion"/>
  </si>
  <si>
    <t>Mold</t>
    <phoneticPr fontId="10" type="noConversion"/>
  </si>
  <si>
    <t xml:space="preserve">개인별 급여 월 23.5%보험가입비*총 인원+식대  </t>
    <phoneticPr fontId="10" type="noConversion"/>
  </si>
  <si>
    <t>5.M Plan 참조</t>
    <phoneticPr fontId="10" type="noConversion"/>
  </si>
  <si>
    <t>4.L Plan 참조</t>
    <phoneticPr fontId="10" type="noConversion"/>
  </si>
  <si>
    <t xml:space="preserve">베트남 기준 (사회,고용,건강보험,노동조합)가입, 복지(식대)  </t>
    <phoneticPr fontId="10" type="noConversion"/>
  </si>
  <si>
    <t>폐수처리 비용 (생활 폐수,오염 절삭유,크로메이트 처리 폐수 )</t>
    <phoneticPr fontId="10" type="noConversion"/>
  </si>
  <si>
    <t xml:space="preserve">월 계산=3개월 평균 가격 (월 인원수+캐스팅 가동수+크로메이트처리(시간당) 기준) </t>
    <phoneticPr fontId="10" type="noConversion"/>
  </si>
  <si>
    <t xml:space="preserve">8.I Plan 참조  </t>
    <phoneticPr fontId="10" type="noConversion"/>
  </si>
  <si>
    <t>24년 상반기 기준</t>
    <phoneticPr fontId="10" type="noConversion"/>
  </si>
  <si>
    <t>Alumium recycle</t>
  </si>
  <si>
    <t>10.Sep.2024</t>
  </si>
  <si>
    <t>CEO&amp;Director</t>
    <phoneticPr fontId="10" type="noConversion"/>
  </si>
  <si>
    <t>Depreciation</t>
    <phoneticPr fontId="10" type="noConversion"/>
  </si>
  <si>
    <t>9) Working Days</t>
    <phoneticPr fontId="10" type="noConversion"/>
  </si>
  <si>
    <t>3)SOP Worker plan</t>
    <phoneticPr fontId="10" type="noConversion"/>
  </si>
  <si>
    <t>Sewage charge</t>
    <phoneticPr fontId="10" type="noConversion"/>
  </si>
  <si>
    <t>4)Planned personnel reduction after automation</t>
    <phoneticPr fontId="10" type="noConversion"/>
  </si>
  <si>
    <t>전기비 (일 사용량kwh 평균*단가*일수)</t>
    <phoneticPr fontId="10" type="noConversion"/>
  </si>
  <si>
    <t>1월~5월, 10~12월 일 KWh</t>
    <phoneticPr fontId="10" type="noConversion"/>
  </si>
  <si>
    <t>6월~9월 일 KWh</t>
    <phoneticPr fontId="10" type="noConversion"/>
  </si>
  <si>
    <t xml:space="preserve">작업 일수 </t>
    <phoneticPr fontId="10" type="noConversion"/>
  </si>
  <si>
    <t>평균</t>
    <phoneticPr fontId="10" type="noConversion"/>
  </si>
  <si>
    <t>2024년 147명 절감</t>
    <phoneticPr fontId="10" type="noConversion"/>
  </si>
  <si>
    <t>Production</t>
    <phoneticPr fontId="10" type="noConversion"/>
  </si>
  <si>
    <t>Worker</t>
    <phoneticPr fontId="10" type="noConversion"/>
  </si>
  <si>
    <t>8) Meal-Amount</t>
    <phoneticPr fontId="10" type="noConversion"/>
  </si>
  <si>
    <t>3) Worker plan</t>
    <phoneticPr fontId="10" type="noConversion"/>
  </si>
  <si>
    <t>6) VN Salary Plan</t>
    <phoneticPr fontId="10" type="noConversion"/>
  </si>
  <si>
    <t xml:space="preserve">7) Workers Salary plan                      </t>
    <phoneticPr fontId="10" type="noConversion"/>
  </si>
  <si>
    <t>Meal Amount</t>
    <phoneticPr fontId="10" type="noConversion"/>
  </si>
  <si>
    <t xml:space="preserve">Vietnam </t>
    <phoneticPr fontId="10" type="noConversion"/>
  </si>
  <si>
    <t>Vietnam (Workers)</t>
    <phoneticPr fontId="10" type="noConversion"/>
  </si>
  <si>
    <t>VN Bonus</t>
    <phoneticPr fontId="10" type="noConversion"/>
  </si>
  <si>
    <t>OT</t>
    <phoneticPr fontId="10" type="noConversion"/>
  </si>
  <si>
    <t>Grand Total (Foreigner+VN+Workers)</t>
    <phoneticPr fontId="10" type="noConversion"/>
  </si>
  <si>
    <t>9) Direct vs Indirect Amount</t>
    <phoneticPr fontId="10" type="noConversion"/>
  </si>
  <si>
    <t>5) Foreigner Salary Plan</t>
    <phoneticPr fontId="10" type="noConversion"/>
  </si>
  <si>
    <t>Foreigner</t>
    <phoneticPr fontId="10" type="noConversion"/>
  </si>
  <si>
    <t>W/F + Tax</t>
    <phoneticPr fontId="10" type="noConversion"/>
  </si>
  <si>
    <t>105 days</t>
  </si>
  <si>
    <t>7) Direct vs Indirect Amount</t>
    <phoneticPr fontId="10" type="noConversion"/>
  </si>
  <si>
    <t>Vietnam Workers</t>
    <phoneticPr fontId="10" type="noConversion"/>
  </si>
  <si>
    <t>AVR.S</t>
    <phoneticPr fontId="10" type="noConversion"/>
  </si>
  <si>
    <t>수출액기준</t>
  </si>
  <si>
    <t>추가 없음</t>
    <phoneticPr fontId="10" type="noConversion"/>
  </si>
  <si>
    <t>12. FA Loan</t>
    <phoneticPr fontId="10" type="noConversion"/>
  </si>
  <si>
    <t>- 대출 현황</t>
    <phoneticPr fontId="10" type="noConversion"/>
  </si>
  <si>
    <t>Mobile</t>
  </si>
  <si>
    <t>Bracket</t>
  </si>
  <si>
    <t>MTP+IDP+ADP</t>
  </si>
  <si>
    <t>Ride5</t>
  </si>
  <si>
    <t>Motor HSG</t>
  </si>
  <si>
    <t>GEN3 AL5 Housing (YT)</t>
  </si>
  <si>
    <t>GEN3 AL6 Housing (YT)</t>
  </si>
  <si>
    <t>GEN3 AL5  Housing (MX)</t>
  </si>
  <si>
    <t>GEN3 AL6 Housing (MX)</t>
  </si>
  <si>
    <t>T6 Housing</t>
  </si>
  <si>
    <t>CL4 Housing</t>
  </si>
  <si>
    <t>MQ4a PE Housing</t>
  </si>
  <si>
    <t>BYD  Housing</t>
  </si>
  <si>
    <t>Motor CVR</t>
  </si>
  <si>
    <t>Gen2 Cover</t>
  </si>
  <si>
    <t>T6 Cover</t>
  </si>
  <si>
    <t>EK_Part Cover</t>
  </si>
  <si>
    <t>CL4 Cover</t>
  </si>
  <si>
    <t xml:space="preserve">MQ4a PE Cover </t>
  </si>
  <si>
    <t>BYD Cover</t>
  </si>
  <si>
    <t>DCU15 Housing</t>
  </si>
  <si>
    <t>CAM CVR</t>
  </si>
  <si>
    <t>DCU15 Cover</t>
  </si>
  <si>
    <t>OMS Entry Vcsel Cover(250A)</t>
  </si>
  <si>
    <t>CAM L.Mount</t>
  </si>
  <si>
    <t>OMS Entry Lens Holder (203A)</t>
  </si>
  <si>
    <t>OMS Front Lens Holder (207A)</t>
  </si>
  <si>
    <t>J100 Housing</t>
  </si>
  <si>
    <t>NX4 Cover</t>
  </si>
  <si>
    <t>Tey Gen4 Cover</t>
  </si>
  <si>
    <t>RG3 Heatsink Cover</t>
  </si>
  <si>
    <t>Heatsink</t>
  </si>
  <si>
    <t>MAS65 Heatsink Cover</t>
  </si>
  <si>
    <t>FCA Housing</t>
  </si>
  <si>
    <t>GM EU2L Housing</t>
  </si>
  <si>
    <t>GM ACP Housing</t>
  </si>
  <si>
    <t>GM EU2L Cover</t>
  </si>
  <si>
    <t>GM ACP Cover</t>
  </si>
  <si>
    <t>Lens Mount</t>
  </si>
  <si>
    <t>IPM 1.0 Housing</t>
  </si>
  <si>
    <t>IPM 2.0  Base Housing</t>
  </si>
  <si>
    <t xml:space="preserve">Gen5 S.Block </t>
  </si>
  <si>
    <t>Hyosung</t>
  </si>
  <si>
    <t>Mando</t>
  </si>
  <si>
    <t>CAM HSG</t>
  </si>
  <si>
    <t>CAM HSG</t>
    <phoneticPr fontId="10" type="noConversion"/>
  </si>
  <si>
    <t xml:space="preserve">* 목표인원 관리 : 인당매출액과 생산량을 관리 -&gt; 인원조정 보다는 목표관리인원의 잔업 및 특근을 조정하여 일정한 인원을 유지하고 해당인원의  근속을 유지함 </t>
    <phoneticPr fontId="10" type="noConversion"/>
  </si>
  <si>
    <t>* 2025년 기초인원은 2024년 12월 말기준인원을 참조하여 반영함</t>
    <phoneticPr fontId="10" type="noConversion"/>
  </si>
  <si>
    <t xml:space="preserve">* 인원의 증감 </t>
    <phoneticPr fontId="10" type="noConversion"/>
  </si>
  <si>
    <t xml:space="preserve">  - 감소 : 자연감소는 전월 대비 5%의 인원이 감소하는 것으로 작성 (24년 월별평균 사직인원 비율 참고)   -&gt; 인사팀 자료 확인 필요 요청하였음</t>
    <phoneticPr fontId="10" type="noConversion"/>
  </si>
  <si>
    <t xml:space="preserve">  - 증가 : 관리 목표인원 부족시 충원 진행 -&gt; 당월 잔업 및 특근 사항을 고려하여 ±5% 이내에서 추가 고려 진행 (추가 고려 부분은 자연감소인원을 넘지 않는 부분에서 증원진행)</t>
    <phoneticPr fontId="10" type="noConversion"/>
  </si>
  <si>
    <t>* 부족한 부분은 OT관리를 통해서 생산계획에 맞추어 작업을 진행하는 것으로 함</t>
    <phoneticPr fontId="10" type="noConversion"/>
  </si>
  <si>
    <t>표준편자</t>
    <phoneticPr fontId="10" type="noConversion"/>
  </si>
  <si>
    <t>잔업취소</t>
    <phoneticPr fontId="10" type="noConversion"/>
  </si>
  <si>
    <t>잔업 2시간</t>
    <phoneticPr fontId="10" type="noConversion"/>
  </si>
  <si>
    <t>잔업 3시간</t>
    <phoneticPr fontId="10" type="noConversion"/>
  </si>
  <si>
    <t>작업시간 차이</t>
    <phoneticPr fontId="10" type="noConversion"/>
  </si>
  <si>
    <t>잔업시간 조정 확인</t>
    <phoneticPr fontId="10" type="noConversion"/>
  </si>
  <si>
    <t xml:space="preserve"> * 감소인원의 반영이 익월 부터 발생하는 것으로 가정함.  (실제로는 도입전후로 부터 인원 관리를 진행하여야 함)</t>
    <phoneticPr fontId="10" type="noConversion"/>
  </si>
  <si>
    <t xml:space="preserve"> * CRP 계획에서 인원 부분을 자동 계산하여 입력함</t>
    <phoneticPr fontId="10" type="noConversion"/>
  </si>
  <si>
    <t>1) Working Days</t>
    <phoneticPr fontId="10" type="noConversion"/>
  </si>
  <si>
    <t>* 전년도 평균 자연감소인원 비율 적용 (1,9월) :</t>
    <phoneticPr fontId="10" type="noConversion"/>
  </si>
  <si>
    <t>자연감소인원</t>
    <phoneticPr fontId="10" type="noConversion"/>
  </si>
  <si>
    <t>평균 특근일수</t>
    <phoneticPr fontId="10" type="noConversion"/>
  </si>
  <si>
    <t>월말예상인원</t>
    <phoneticPr fontId="10" type="noConversion"/>
  </si>
  <si>
    <t>채용인원</t>
    <phoneticPr fontId="10" type="noConversion"/>
  </si>
  <si>
    <t>기준</t>
    <phoneticPr fontId="10" type="noConversion"/>
  </si>
  <si>
    <t>* 12월 에는 소요인원보다 예상인원이 많으므로 잔업시간을 줄여서 인원 활용시간을 조정할 필요가 앖음</t>
    <phoneticPr fontId="10" type="noConversion"/>
  </si>
  <si>
    <t>2) 목표인원</t>
    <phoneticPr fontId="10" type="noConversion"/>
  </si>
  <si>
    <t>2-1) 소요인원</t>
    <phoneticPr fontId="10" type="noConversion"/>
  </si>
  <si>
    <t>2-2) 차이인원</t>
    <phoneticPr fontId="10" type="noConversion"/>
  </si>
  <si>
    <t>소요인원 - 목표인원 : 부족한 시간을 특근시간으로 계산하여 특근일자를 조정한다 -&gt; 인원은 목표인원을 기준으로 5% 이내에서만 이직 및 충원이 이루어 지도록 한다.</t>
    <phoneticPr fontId="10" type="noConversion"/>
  </si>
  <si>
    <t>Unit : Hour</t>
    <phoneticPr fontId="10" type="noConversion"/>
  </si>
  <si>
    <t>Unit : Day</t>
    <phoneticPr fontId="10" type="noConversion"/>
  </si>
  <si>
    <t>2-3) 초과 &amp; 부족 생산시간</t>
    <phoneticPr fontId="10" type="noConversion"/>
  </si>
  <si>
    <t>4-1. Labor Plan (L Plan)</t>
    <phoneticPr fontId="10" type="noConversion"/>
  </si>
  <si>
    <t xml:space="preserve"> * 자동화 진행에 따른 인원 조정을 반영하여 당월 생산 품목에 대하여 잔업 3시간 2교대로만 소요인원 산출</t>
    <phoneticPr fontId="10" type="noConversion"/>
  </si>
  <si>
    <t xml:space="preserve"> * 잔업 3시간 2교대 기준인원 계산</t>
    <phoneticPr fontId="10" type="noConversion"/>
  </si>
  <si>
    <t>참고1) Planned personnel reduction after automation</t>
    <phoneticPr fontId="10" type="noConversion"/>
  </si>
  <si>
    <t>기준수율</t>
    <phoneticPr fontId="10" type="noConversion"/>
  </si>
  <si>
    <t>공정</t>
    <phoneticPr fontId="10" type="noConversion"/>
  </si>
  <si>
    <t>1. 기준수율</t>
    <phoneticPr fontId="10" type="noConversion"/>
  </si>
  <si>
    <t>Hot</t>
    <phoneticPr fontId="10" type="noConversion"/>
  </si>
  <si>
    <t>Blasting</t>
    <phoneticPr fontId="10" type="noConversion"/>
  </si>
  <si>
    <t>참고2) 2024년 1~9월 현장직 이익율 현황</t>
    <phoneticPr fontId="10" type="noConversion"/>
  </si>
  <si>
    <t>Item</t>
    <phoneticPr fontId="10" type="noConversion"/>
  </si>
  <si>
    <t>Jan</t>
    <phoneticPr fontId="10" type="noConversion"/>
  </si>
  <si>
    <t>Production Workers</t>
    <phoneticPr fontId="10" type="noConversion"/>
  </si>
  <si>
    <t>Resignation</t>
    <phoneticPr fontId="10" type="noConversion"/>
  </si>
  <si>
    <t>Reason</t>
  </si>
  <si>
    <t>1-Go back to hometown
2-Moving to another company</t>
  </si>
  <si>
    <t>1-Moving to another company
2- New employees are not familiar with the job.</t>
  </si>
  <si>
    <t>1- New employees are not familiar with the job
2-Summer, hot working environment</t>
  </si>
  <si>
    <t>Personal reasons and going home</t>
  </si>
  <si>
    <t>%</t>
    <phoneticPr fontId="10" type="noConversion"/>
  </si>
  <si>
    <t>2-4) 특근소요 일수 계획</t>
    <phoneticPr fontId="10" type="noConversion"/>
  </si>
  <si>
    <t>참고3) Over Time Plan</t>
    <phoneticPr fontId="10" type="noConversion"/>
  </si>
  <si>
    <t xml:space="preserve"> * 뭘별 자연감소 및 채용인원</t>
    <phoneticPr fontId="10" type="noConversion"/>
  </si>
  <si>
    <t>1인당 매출액</t>
    <phoneticPr fontId="10" type="noConversion"/>
  </si>
  <si>
    <t>생산수량</t>
    <phoneticPr fontId="10" type="noConversion"/>
  </si>
  <si>
    <t>단가 (매출액/생산수량)</t>
    <phoneticPr fontId="10" type="noConversion"/>
  </si>
  <si>
    <t>* 자동화 감소인원 반영으로 수량은 늘어나지만 인당 매출액의 감소 폭이 작아짐</t>
    <phoneticPr fontId="10" type="noConversion"/>
  </si>
  <si>
    <t>참고3) 2025년 worker 당 매출액</t>
    <phoneticPr fontId="10" type="noConversion"/>
  </si>
  <si>
    <t>참고자료</t>
    <phoneticPr fontId="10" type="noConversion"/>
  </si>
  <si>
    <t xml:space="preserve">Employees </t>
    <phoneticPr fontId="10" type="noConversion"/>
  </si>
  <si>
    <t>(End of Month)</t>
  </si>
  <si>
    <t>FCM30-Upper Housing</t>
  </si>
  <si>
    <t>FCM30-Lower Housing</t>
  </si>
  <si>
    <t xml:space="preserve">FCM30 Lens Holder </t>
  </si>
  <si>
    <t>90 days</t>
    <phoneticPr fontId="8" type="noConversion"/>
  </si>
  <si>
    <t>1) Actual Production Q'ty</t>
    <phoneticPr fontId="10" type="noConversion"/>
  </si>
  <si>
    <t>Cavity</t>
    <phoneticPr fontId="10" type="noConversion"/>
  </si>
  <si>
    <t>Mold U/P</t>
    <phoneticPr fontId="10" type="noConversion"/>
  </si>
  <si>
    <t xml:space="preserve">    Others</t>
    <phoneticPr fontId="10" type="noConversion"/>
  </si>
  <si>
    <t>Mold T-Cost</t>
    <phoneticPr fontId="10" type="noConversion"/>
  </si>
  <si>
    <t>3) Mold  Amount</t>
    <phoneticPr fontId="10" type="noConversion"/>
  </si>
  <si>
    <t>Mold AVG Price</t>
    <phoneticPr fontId="10" type="noConversion"/>
  </si>
  <si>
    <t>In-House Amount</t>
    <phoneticPr fontId="10" type="noConversion"/>
  </si>
  <si>
    <t>한국 평균</t>
    <phoneticPr fontId="10" type="noConversion"/>
  </si>
  <si>
    <t>4) Sales(Mold) &amp; Amotization Qty</t>
    <phoneticPr fontId="10" type="noConversion"/>
  </si>
  <si>
    <t>Amotization</t>
    <phoneticPr fontId="10" type="noConversion"/>
  </si>
  <si>
    <t>5) Sales(Mold) &amp; Amotization Amount</t>
    <phoneticPr fontId="10" type="noConversion"/>
  </si>
  <si>
    <t>및 인원조정</t>
    <phoneticPr fontId="10" type="noConversion"/>
  </si>
  <si>
    <t>References</t>
  </si>
  <si>
    <t>References 2) Planned personnel reduction after automation</t>
    <phoneticPr fontId="10" type="noConversion"/>
  </si>
  <si>
    <t>References 1) Working Days</t>
    <phoneticPr fontId="10" type="noConversion"/>
  </si>
  <si>
    <t>References 3) 생산인원 조정현황</t>
    <phoneticPr fontId="10" type="noConversion"/>
  </si>
  <si>
    <t>4) Foreigner Salary Plan</t>
    <phoneticPr fontId="10" type="noConversion"/>
  </si>
  <si>
    <t>5) VN Salary Plan</t>
    <phoneticPr fontId="10" type="noConversion"/>
  </si>
  <si>
    <t xml:space="preserve">6) Workers Salary plan                      </t>
    <phoneticPr fontId="10" type="noConversion"/>
  </si>
  <si>
    <t>Die-casting BD-350V5EX</t>
  </si>
  <si>
    <t>05.Aug.2024</t>
  </si>
  <si>
    <t>CNC Machine</t>
  </si>
  <si>
    <t>X-ray</t>
  </si>
  <si>
    <t>Melting furnace</t>
  </si>
  <si>
    <t>24.Sep.2024</t>
  </si>
  <si>
    <t>기초 인원</t>
    <phoneticPr fontId="10" type="noConversion"/>
  </si>
  <si>
    <t>기말 인원</t>
    <phoneticPr fontId="10" type="noConversion"/>
  </si>
  <si>
    <t>(-) 감소 인원</t>
    <phoneticPr fontId="10" type="noConversion"/>
  </si>
  <si>
    <t xml:space="preserve">(+) 채용 및 내부 조정 </t>
    <phoneticPr fontId="10" type="noConversion"/>
  </si>
  <si>
    <t>Scrap</t>
    <phoneticPr fontId="10" type="noConversion"/>
  </si>
  <si>
    <t>Current Q'ty (Samsung  제외)</t>
    <phoneticPr fontId="10" type="noConversion"/>
  </si>
  <si>
    <t>자연감소 및 자동화에 따른 충원 및 부서조정</t>
  </si>
  <si>
    <t>* 2024년도 평균 자연감소인원 비율 적용 (1~9월) :</t>
    <phoneticPr fontId="10" type="noConversion"/>
  </si>
  <si>
    <t>* 분기별 인원계획을 작성하여 달성하도록 진행</t>
    <phoneticPr fontId="10" type="noConversion"/>
  </si>
  <si>
    <t>Categories</t>
  </si>
  <si>
    <t>Categories</t>
    <phoneticPr fontId="9" type="noConversion"/>
  </si>
  <si>
    <t>CAM HSG</t>
    <phoneticPr fontId="9" type="noConversion"/>
  </si>
  <si>
    <t>CAM CVR</t>
    <phoneticPr fontId="9" type="noConversion"/>
  </si>
  <si>
    <t>Categories</t>
    <phoneticPr fontId="10" type="noConversion"/>
  </si>
  <si>
    <r>
      <t>Data OT 202</t>
    </r>
    <r>
      <rPr>
        <sz val="11"/>
        <color theme="1"/>
        <rFont val="맑은 고딕"/>
        <family val="2"/>
        <scheme val="minor"/>
      </rPr>
      <t>4</t>
    </r>
    <phoneticPr fontId="10" type="noConversion"/>
  </si>
  <si>
    <t xml:space="preserve">Sewage </t>
    <phoneticPr fontId="10" type="noConversion"/>
  </si>
  <si>
    <t>Basic Assumption</t>
    <phoneticPr fontId="10" type="noConversion"/>
  </si>
  <si>
    <t>☆ M&amp;C 베트남 법인 사업계획 보고</t>
    <phoneticPr fontId="10" type="noConversion"/>
  </si>
  <si>
    <t>1) 개발영업 - 매출</t>
    <phoneticPr fontId="10" type="noConversion"/>
  </si>
  <si>
    <t>고객사</t>
    <phoneticPr fontId="10" type="noConversion"/>
  </si>
  <si>
    <t>2) 개발영업 - 제품 개발</t>
    <phoneticPr fontId="10" type="noConversion"/>
  </si>
  <si>
    <t>삼성</t>
    <phoneticPr fontId="10" type="noConversion"/>
  </si>
  <si>
    <t>Other</t>
    <phoneticPr fontId="10" type="noConversion"/>
  </si>
  <si>
    <t>참고) summary</t>
    <phoneticPr fontId="10" type="noConversion"/>
  </si>
  <si>
    <t>1) 고객별 매출수량</t>
    <phoneticPr fontId="10" type="noConversion"/>
  </si>
  <si>
    <t>2) 고객별 매출액</t>
    <phoneticPr fontId="10" type="noConversion"/>
  </si>
  <si>
    <t>3) 카테고리별 매출수량</t>
    <phoneticPr fontId="10" type="noConversion"/>
  </si>
  <si>
    <t>점유율</t>
    <phoneticPr fontId="10" type="noConversion"/>
  </si>
  <si>
    <t>4) 카테고리별 매출액</t>
    <phoneticPr fontId="10" type="noConversion"/>
  </si>
  <si>
    <t>No</t>
    <phoneticPr fontId="10" type="noConversion"/>
  </si>
  <si>
    <t>NO</t>
    <phoneticPr fontId="9" type="noConversion"/>
  </si>
  <si>
    <t>No</t>
    <phoneticPr fontId="9" type="noConversion"/>
  </si>
  <si>
    <t>Basic Information</t>
    <phoneticPr fontId="10" type="noConversion"/>
  </si>
  <si>
    <t>Present Yield%</t>
  </si>
  <si>
    <t>가동율*수율</t>
    <phoneticPr fontId="10" type="noConversion"/>
  </si>
  <si>
    <t>Meterial</t>
    <phoneticPr fontId="10" type="noConversion"/>
  </si>
  <si>
    <t>평균불량율</t>
    <phoneticPr fontId="9" type="noConversion"/>
  </si>
  <si>
    <t>평균수율</t>
    <phoneticPr fontId="9" type="noConversion"/>
  </si>
  <si>
    <t>Meterial</t>
    <phoneticPr fontId="9" type="noConversion"/>
  </si>
  <si>
    <t>AVR.S</t>
  </si>
  <si>
    <t>Tax 계산</t>
    <phoneticPr fontId="7" type="noConversion"/>
  </si>
  <si>
    <t>법인세 비율</t>
    <phoneticPr fontId="10" type="noConversion"/>
  </si>
  <si>
    <t>과세</t>
    <phoneticPr fontId="10" type="noConversion"/>
  </si>
  <si>
    <t xml:space="preserve"> * 신재 구매비율 (신재구매소요량/생산중량)</t>
    <phoneticPr fontId="9" type="noConversion"/>
  </si>
  <si>
    <t xml:space="preserve"> * 신재구매량계산 (매출수량 * 제품중량) : 신재구매기준 수량</t>
    <phoneticPr fontId="9" type="noConversion"/>
  </si>
  <si>
    <t xml:space="preserve"> * 생산중량 계산 (생산수량 * 쇼트(BOM)중량[1세트 기준]) : 생산시 전체 소요량 산정기준 : </t>
    <phoneticPr fontId="9" type="noConversion"/>
  </si>
  <si>
    <t xml:space="preserve"> * 리사이클 소요 중량</t>
    <phoneticPr fontId="9" type="noConversion"/>
  </si>
  <si>
    <t>Shot
Weight(kg)
(1)</t>
    <phoneticPr fontId="10" type="noConversion"/>
  </si>
  <si>
    <t>Product Wigth(Kg)
(2)</t>
    <phoneticPr fontId="10" type="noConversion"/>
  </si>
  <si>
    <t>(2)/(1)</t>
    <phoneticPr fontId="10" type="noConversion"/>
  </si>
  <si>
    <t>이월금액</t>
    <phoneticPr fontId="10" type="noConversion"/>
  </si>
  <si>
    <t>기말금액</t>
    <phoneticPr fontId="10" type="noConversion"/>
  </si>
  <si>
    <t>잉여이익(손실)금액</t>
    <phoneticPr fontId="10" type="noConversion"/>
  </si>
  <si>
    <t>기초자금</t>
    <phoneticPr fontId="10" type="noConversion"/>
  </si>
  <si>
    <t>* 전년도 기초금액입력</t>
    <phoneticPr fontId="10" type="noConversion"/>
  </si>
  <si>
    <t>NO</t>
    <phoneticPr fontId="10" type="noConversion"/>
  </si>
  <si>
    <t>ADC12</t>
  </si>
  <si>
    <t>1-1)Product Plan Product Material Total</t>
    <phoneticPr fontId="10" type="noConversion"/>
  </si>
  <si>
    <t>Ride5</t>
    <phoneticPr fontId="10" type="noConversion"/>
  </si>
  <si>
    <t>Interest of Bank (short loan)</t>
    <phoneticPr fontId="10" type="noConversion"/>
  </si>
  <si>
    <t>Interest long loan ( machine)</t>
    <phoneticPr fontId="10" type="noConversion"/>
  </si>
  <si>
    <t>S36</t>
  </si>
  <si>
    <t>S3Y</t>
  </si>
  <si>
    <t>Loss Yield%</t>
    <phoneticPr fontId="10" type="noConversion"/>
  </si>
  <si>
    <t>570W Cover</t>
  </si>
  <si>
    <t>1) 기초금액</t>
    <phoneticPr fontId="10" type="noConversion"/>
  </si>
  <si>
    <t>2) Item</t>
    <phoneticPr fontId="10" type="noConversion"/>
  </si>
  <si>
    <t>24년 누적 품목기준정보</t>
    <phoneticPr fontId="10" type="noConversion"/>
  </si>
  <si>
    <t>MTP Hawi</t>
  </si>
  <si>
    <t>QMP Amboseli</t>
  </si>
  <si>
    <t>2024년 141명 절감</t>
    <phoneticPr fontId="10" type="noConversion"/>
  </si>
  <si>
    <t>매출금액</t>
    <phoneticPr fontId="10" type="noConversion"/>
  </si>
  <si>
    <t>인당 생산량</t>
    <phoneticPr fontId="10" type="noConversion"/>
  </si>
  <si>
    <t>인당 매출금</t>
    <phoneticPr fontId="10" type="noConversion"/>
  </si>
  <si>
    <t>S36</t>
    <phoneticPr fontId="10" type="noConversion"/>
  </si>
  <si>
    <t>S3Y/ETC</t>
    <phoneticPr fontId="10" type="noConversion"/>
  </si>
  <si>
    <t>데이터 분석  (평일)</t>
    <phoneticPr fontId="10" type="noConversion"/>
  </si>
  <si>
    <t>데이터 분석  (일요일/공휴일)</t>
    <phoneticPr fontId="10" type="noConversion"/>
  </si>
  <si>
    <t xml:space="preserve">미작업 일수 </t>
    <phoneticPr fontId="10" type="noConversion"/>
  </si>
  <si>
    <t>캐스팅 가동기계 (SOP기준)</t>
    <phoneticPr fontId="10" type="noConversion"/>
  </si>
  <si>
    <t xml:space="preserve">CASTing 전기료 </t>
    <phoneticPr fontId="10" type="noConversion"/>
  </si>
  <si>
    <t>(용해로) 상부침전식 절감비 (8대기준)</t>
    <phoneticPr fontId="10" type="noConversion"/>
  </si>
  <si>
    <t>보온로 절감 (상부8,미설치8 제외,하반기 미설치 적용)</t>
    <phoneticPr fontId="10" type="noConversion"/>
  </si>
  <si>
    <t xml:space="preserve">용해로(더블)증가 (스크랩) </t>
    <phoneticPr fontId="10" type="noConversion"/>
  </si>
  <si>
    <t xml:space="preserve">실제 절감액 </t>
    <phoneticPr fontId="10" type="noConversion"/>
  </si>
  <si>
    <t>월 전기(투자) Total</t>
    <phoneticPr fontId="10" type="noConversion"/>
  </si>
  <si>
    <t>Casting  비용(전기세)</t>
    <phoneticPr fontId="10" type="noConversion"/>
  </si>
  <si>
    <t>office-E</t>
    <phoneticPr fontId="10" type="noConversion"/>
  </si>
  <si>
    <t>전기 TOTAL (제조/판관 비용)</t>
    <phoneticPr fontId="10" type="noConversion"/>
  </si>
  <si>
    <t>절감액</t>
    <phoneticPr fontId="10" type="noConversion"/>
  </si>
  <si>
    <t>`</t>
    <phoneticPr fontId="10" type="noConversion"/>
  </si>
  <si>
    <r>
      <t xml:space="preserve">11. Cash Flow Plan (CF) </t>
    </r>
    <r>
      <rPr>
        <b/>
        <sz val="12"/>
        <color theme="0"/>
        <rFont val="맑은 고딕"/>
        <family val="3"/>
        <charset val="129"/>
      </rPr>
      <t>V6</t>
    </r>
  </si>
  <si>
    <t>차이</t>
  </si>
  <si>
    <t>자동화 완료이후 월평균 Direct Labor cost 절감 예상액</t>
    <phoneticPr fontId="10" type="noConversion"/>
  </si>
  <si>
    <t>2025년도</t>
    <phoneticPr fontId="10" type="noConversion"/>
  </si>
  <si>
    <t>2024년도</t>
    <phoneticPr fontId="10" type="noConversion"/>
  </si>
  <si>
    <t>증감율</t>
    <phoneticPr fontId="10" type="noConversion"/>
  </si>
  <si>
    <t>Labor Total Amount</t>
    <phoneticPr fontId="10" type="noConversion"/>
  </si>
  <si>
    <t>2025년</t>
    <phoneticPr fontId="10" type="noConversion"/>
  </si>
  <si>
    <t>Outsourcing Total</t>
    <phoneticPr fontId="10" type="noConversion"/>
  </si>
  <si>
    <t>AP Plan</t>
  </si>
  <si>
    <t>프로젝트 개요</t>
  </si>
  <si>
    <r>
      <t>목표:</t>
    </r>
    <r>
      <rPr>
        <sz val="12"/>
        <color theme="1"/>
        <rFont val="맑은 고딕"/>
        <family val="3"/>
        <charset val="129"/>
      </rPr>
      <t xml:space="preserve"> Payment Term 단축을 통해 알루미늄 원재료 구매 비용 절감 → 절감된 비용으로 Oil 구매 비용 절감</t>
    </r>
  </si>
  <si>
    <r>
      <t>현금 구매</t>
    </r>
    <r>
      <rPr>
        <sz val="12"/>
        <color theme="1"/>
        <rFont val="맑은 고딕"/>
        <family val="3"/>
        <charset val="129"/>
      </rPr>
      <t xml:space="preserve">를 통해 </t>
    </r>
    <r>
      <rPr>
        <b/>
        <sz val="12"/>
        <color theme="1"/>
        <rFont val="맑은 고딕"/>
        <family val="3"/>
        <charset val="129"/>
      </rPr>
      <t>Vendor A (120일 거래)</t>
    </r>
    <r>
      <rPr>
        <sz val="12"/>
        <color theme="1"/>
        <rFont val="맑은 고딕"/>
        <family val="3"/>
        <charset val="129"/>
      </rPr>
      <t xml:space="preserve"> 대비 비용 절감 달성.</t>
    </r>
  </si>
  <si>
    <r>
      <t>현금 구매를 통해 연간 절감액은</t>
    </r>
    <r>
      <rPr>
        <b/>
        <sz val="12"/>
        <color theme="1"/>
        <rFont val="맑은 고딕"/>
        <family val="3"/>
        <charset val="129"/>
      </rPr>
      <t xml:space="preserve"> 550,800 USD(12%)</t>
    </r>
  </si>
  <si>
    <r>
      <t xml:space="preserve">효율적 재투자: </t>
    </r>
    <r>
      <rPr>
        <sz val="11"/>
        <color theme="1"/>
        <rFont val="맑은 고딕"/>
        <family val="2"/>
        <charset val="129"/>
        <scheme val="minor"/>
      </rPr>
      <t>절감된 비용을 다른 원가 항목에 할당하여 전반적인 구매 비용을 최적화.</t>
    </r>
  </si>
  <si>
    <t>1-1) 신규구매량</t>
    <phoneticPr fontId="10" type="noConversion"/>
  </si>
  <si>
    <t>신 원재료</t>
  </si>
  <si>
    <t>1-2) 구매계획</t>
    <phoneticPr fontId="10" type="noConversion"/>
  </si>
  <si>
    <t>신규업체 (Cash)</t>
    <phoneticPr fontId="10" type="noConversion"/>
  </si>
  <si>
    <t>기존업체 (120days)</t>
    <phoneticPr fontId="10" type="noConversion"/>
  </si>
  <si>
    <t>1월 20Ton, 2월 100Ton으로 점차 늘려가며, 총 150Ton정도 구매 예정이며, 월 20~30Ton 정도는 현재 사용중인 업체 중 가장 품질 및 가격이 좋은 1업체 이용하여 긴급시 이원화 가능하도록 지속 거래</t>
  </si>
  <si>
    <t>1-3) 업체 변경에 따른 절감금액</t>
    <phoneticPr fontId="10" type="noConversion"/>
  </si>
  <si>
    <t>절감계획 금액</t>
    <phoneticPr fontId="10" type="noConversion"/>
  </si>
  <si>
    <t>절감계획 Total</t>
    <phoneticPr fontId="10" type="noConversion"/>
  </si>
  <si>
    <t>기존구매 계획금액</t>
    <phoneticPr fontId="10" type="noConversion"/>
  </si>
  <si>
    <t>기존계획 Total</t>
    <phoneticPr fontId="10" type="noConversion"/>
  </si>
  <si>
    <r>
      <t xml:space="preserve">2) </t>
    </r>
    <r>
      <rPr>
        <sz val="12"/>
        <rFont val="맑은 고딕"/>
        <family val="3"/>
        <charset val="129"/>
      </rPr>
      <t>절감된 금액을 통한 오일 비용 추가 절감 계획</t>
    </r>
  </si>
  <si>
    <t>2-1) 개요</t>
    <phoneticPr fontId="10" type="noConversion"/>
  </si>
  <si>
    <t>원재료 현금으로 NEGO 진행한 금액 및 추가 AP 지불 금액으로 Oil업체 지급 후 NEGO 진행 예정</t>
  </si>
  <si>
    <t>Oil로 선정 이유는 내년 월 약7만불 사용하는 예상되며, 금액 대비 NEGO 감소 또한 10%로 정도로 높음</t>
  </si>
  <si>
    <t>현재 Oil 납품 2업체 있으며, 총 25만불에 정상화 (90days) 가능</t>
  </si>
  <si>
    <t>2-2) 2024년 오일류 구매</t>
  </si>
  <si>
    <t>Jan.24</t>
  </si>
  <si>
    <t>Feb.24</t>
  </si>
  <si>
    <t>Mar.24</t>
  </si>
  <si>
    <t>Apr.24</t>
  </si>
  <si>
    <t>May.24</t>
  </si>
  <si>
    <t>Jun.24</t>
  </si>
  <si>
    <t>Jul.24</t>
  </si>
  <si>
    <t>Aug.24</t>
  </si>
  <si>
    <t>Sep.24</t>
  </si>
  <si>
    <t>Oct.24</t>
  </si>
  <si>
    <t>Nov.24</t>
  </si>
  <si>
    <t>Dec.24</t>
  </si>
  <si>
    <t>Purchase (Oil)</t>
    <phoneticPr fontId="10" type="noConversion"/>
  </si>
  <si>
    <t xml:space="preserve">24년 평균 구매금액 산출 </t>
    <phoneticPr fontId="10" type="noConversion"/>
  </si>
  <si>
    <t>2-3)2025년 오일류 예상 구매 금액 및 절감액</t>
  </si>
  <si>
    <t>Purchase (Oil)</t>
  </si>
  <si>
    <t>기존 예상 구매 금액</t>
    <phoneticPr fontId="10" type="noConversion"/>
  </si>
  <si>
    <t>절감 예상 구매 금액</t>
    <phoneticPr fontId="10" type="noConversion"/>
  </si>
  <si>
    <t xml:space="preserve">지급 정상화(90days) 협력사와 협의 됨, 이후 10% NEGO </t>
  </si>
  <si>
    <t>3) 총 절감금액</t>
  </si>
  <si>
    <t>Oil</t>
  </si>
  <si>
    <t>4) 비용계획</t>
    <phoneticPr fontId="10" type="noConversion"/>
  </si>
  <si>
    <t>4-1) 개요</t>
    <phoneticPr fontId="10" type="noConversion"/>
  </si>
  <si>
    <t xml:space="preserve">비용지급 기준 </t>
    <phoneticPr fontId="10" type="noConversion"/>
  </si>
  <si>
    <t>원재료와 Oil 업체와 마찬가지로 구매량이 높고 NEGO %가 제일 높은 업체로 선별하여 협의 예정</t>
  </si>
  <si>
    <t>기초</t>
    <phoneticPr fontId="10" type="noConversion"/>
  </si>
  <si>
    <t>절감금액</t>
    <phoneticPr fontId="10" type="noConversion"/>
  </si>
  <si>
    <t>AP Overdue Deduction Plan</t>
  </si>
  <si>
    <t>Interest &amp; repay (CEO)</t>
  </si>
  <si>
    <t>Polishing Automation Model: MR12E</t>
  </si>
  <si>
    <t>04.Nov.2024</t>
  </si>
  <si>
    <t>Feb</t>
    <phoneticPr fontId="10" type="noConversion"/>
  </si>
  <si>
    <t>AR</t>
    <phoneticPr fontId="10" type="noConversion"/>
  </si>
  <si>
    <t>AP</t>
    <phoneticPr fontId="10" type="noConversion"/>
  </si>
  <si>
    <t>당월 발생 AP</t>
    <phoneticPr fontId="10" type="noConversion"/>
  </si>
  <si>
    <t>overdue 추가 지급 AP</t>
    <phoneticPr fontId="10" type="noConversion"/>
  </si>
  <si>
    <t>Total AP 잔액</t>
    <phoneticPr fontId="10" type="noConversion"/>
  </si>
  <si>
    <t>당월 AP/AR</t>
    <phoneticPr fontId="10" type="noConversion"/>
  </si>
  <si>
    <t>계획작성 순서</t>
    <phoneticPr fontId="10" type="noConversion"/>
  </si>
  <si>
    <t>1. 추가지급 가능한 금액 확인</t>
    <phoneticPr fontId="10" type="noConversion"/>
  </si>
  <si>
    <t>2. 업체별 중요도 결정</t>
    <phoneticPr fontId="10" type="noConversion"/>
  </si>
  <si>
    <t>목표 AP 수준(매출액 2.5배수준)</t>
    <phoneticPr fontId="10" type="noConversion"/>
  </si>
  <si>
    <t xml:space="preserve">    - 신규 &amp; 이원화 업체 비율 (30%) -&gt; 추가 절감 규모 확인 </t>
    <phoneticPr fontId="10" type="noConversion"/>
  </si>
  <si>
    <t>3. 지급금액 결정</t>
    <phoneticPr fontId="10" type="noConversion"/>
  </si>
  <si>
    <t>4. 계획 대비 지급 실적 확인 -&gt; 지속 보고 및 관리</t>
    <phoneticPr fontId="10" type="noConversion"/>
  </si>
  <si>
    <t xml:space="preserve">업체를 운영 중요도로 등급을 구분 (4단계) ◎ ○ </t>
    <phoneticPr fontId="10" type="noConversion"/>
  </si>
  <si>
    <t>1분기에는 53항의 AP금액을 나누어 지급하는 것으로 계획 작성</t>
    <phoneticPr fontId="10" type="noConversion"/>
  </si>
  <si>
    <t>등급에 따른 지급계획 마련</t>
    <phoneticPr fontId="10" type="noConversion"/>
  </si>
  <si>
    <t>2분기에는 당월 발생지급분은 건들지 않고 추가지급분에 대해서 분배하여 지급계획작성</t>
    <phoneticPr fontId="10" type="noConversion"/>
  </si>
  <si>
    <t>△  이원화 변경 준비</t>
    <phoneticPr fontId="10" type="noConversion"/>
  </si>
  <si>
    <t>정상적으로 지급계획이 만들어진 부분은 추가지급 계획 작성하지 않음</t>
    <phoneticPr fontId="10" type="noConversion"/>
  </si>
  <si>
    <t>X  업체취소 준비</t>
    <phoneticPr fontId="10" type="noConversion"/>
  </si>
  <si>
    <t>월마다 지급 중요도를 별도로 표기하여 준비</t>
    <phoneticPr fontId="10" type="noConversion"/>
  </si>
  <si>
    <t>지급 중요도 결정</t>
    <phoneticPr fontId="10" type="noConversion"/>
  </si>
  <si>
    <t>생산주요도</t>
    <phoneticPr fontId="10" type="noConversion"/>
  </si>
  <si>
    <t>구매난이도</t>
    <phoneticPr fontId="10" type="noConversion"/>
  </si>
  <si>
    <t>구매비용</t>
    <phoneticPr fontId="10" type="noConversion"/>
  </si>
  <si>
    <t>AP 지연금액</t>
    <phoneticPr fontId="10" type="noConversion"/>
  </si>
  <si>
    <t>갱신주기</t>
    <phoneticPr fontId="10" type="noConversion"/>
  </si>
  <si>
    <t xml:space="preserve">상반기 - 주간단위 </t>
    <phoneticPr fontId="10" type="noConversion"/>
  </si>
  <si>
    <t>하반기 - 월간단위</t>
    <phoneticPr fontId="10" type="noConversion"/>
  </si>
  <si>
    <t>추가확인 사항</t>
    <phoneticPr fontId="10" type="noConversion"/>
  </si>
  <si>
    <t>대출상환에 따른 이자비용 절감</t>
    <phoneticPr fontId="10" type="noConversion"/>
  </si>
  <si>
    <t>CEO 개인자금 활용방안</t>
    <phoneticPr fontId="10" type="noConversion"/>
  </si>
  <si>
    <t>15.Jan.2025</t>
  </si>
  <si>
    <t>System (1V3-4+Clearning +Transportation)</t>
  </si>
  <si>
    <t xml:space="preserve">Meal </t>
  </si>
  <si>
    <t>Stationery&amp;supplies/utilities</t>
  </si>
  <si>
    <t>Glymur</t>
  </si>
  <si>
    <t>GEN3 AL6  Housing (MX)</t>
  </si>
  <si>
    <t/>
  </si>
  <si>
    <t>* 1분기 : 분기말 700명 수준 관리</t>
    <phoneticPr fontId="10" type="noConversion"/>
  </si>
  <si>
    <t>년초 감소 인원 2월 100명 충원진행</t>
    <phoneticPr fontId="10" type="noConversion"/>
  </si>
  <si>
    <t>이전계획대비
(Rev 19)</t>
    <phoneticPr fontId="10" type="noConversion"/>
  </si>
  <si>
    <t>AP잔액/ 매출액</t>
    <phoneticPr fontId="10" type="noConversion"/>
  </si>
  <si>
    <t>11.Feb.2025</t>
  </si>
  <si>
    <t>System 1V8</t>
  </si>
  <si>
    <t>* 트리밍 자동화 추가, 사상자동화 완성, CNC 자동화 완성 -&gt; (40명 취소 가능)</t>
    <phoneticPr fontId="10" type="noConversion"/>
  </si>
  <si>
    <t>Others incomes</t>
    <phoneticPr fontId="10" type="noConversion"/>
  </si>
  <si>
    <t>2) AP Balance</t>
    <phoneticPr fontId="10" type="noConversion"/>
  </si>
  <si>
    <t xml:space="preserve">200% 이하를 목표로 계획 작성 </t>
    <phoneticPr fontId="10" type="noConversion"/>
  </si>
  <si>
    <t>* 2분기 1분기 테핑자동화 + 기존 테핑기 -&gt;  브라켓 CNC 가공 취소 -&gt; (42명 취소 가능)</t>
    <phoneticPr fontId="10" type="noConversion"/>
  </si>
  <si>
    <t>자연감소인원 반영 (평균 감소율)</t>
    <phoneticPr fontId="10" type="noConversion"/>
  </si>
  <si>
    <t>GEN3 AL5  Housing (MX)</t>
    <phoneticPr fontId="10" type="noConversion"/>
  </si>
  <si>
    <t>Total COGM</t>
  </si>
  <si>
    <t xml:space="preserve"> COGM Percentile / Sales</t>
  </si>
  <si>
    <t xml:space="preserve"> COGS Percentile / Sales</t>
  </si>
  <si>
    <t>A36</t>
  </si>
  <si>
    <t>A26</t>
  </si>
  <si>
    <t>Braket</t>
  </si>
  <si>
    <t>Samsung</t>
    <phoneticPr fontId="10" type="noConversion"/>
  </si>
  <si>
    <t>Polishing</t>
    <phoneticPr fontId="10" type="noConversion"/>
  </si>
  <si>
    <t xml:space="preserve">* 4분기 620명 수준으로 관리 진행 </t>
    <phoneticPr fontId="10" type="noConversion"/>
  </si>
  <si>
    <t>Q1</t>
  </si>
  <si>
    <t>Q2</t>
  </si>
  <si>
    <t>Q3</t>
  </si>
  <si>
    <t>Q4</t>
  </si>
  <si>
    <t>SHUI (4보험 +  PIT)</t>
    <phoneticPr fontId="10" type="noConversion"/>
  </si>
  <si>
    <t>Deposit</t>
  </si>
  <si>
    <t>Write off inventory and others booking( previous years)</t>
  </si>
  <si>
    <t>Before adjust</t>
  </si>
  <si>
    <t>After Adjust</t>
  </si>
  <si>
    <t>Netprofit before adjust</t>
  </si>
  <si>
    <t>4) Others Expenses</t>
  </si>
  <si>
    <t>Obsolete Inventory Disposal (불용 처리)</t>
  </si>
  <si>
    <t>Slow-moving items not reflected</t>
    <phoneticPr fontId="10" type="noConversion"/>
  </si>
  <si>
    <t>75days</t>
  </si>
  <si>
    <t>Tax(FCT)</t>
  </si>
  <si>
    <t>서비스비용 공제시 납부 법인세</t>
    <phoneticPr fontId="10" type="noConversion"/>
  </si>
  <si>
    <t xml:space="preserve">Slow moving Item 투입비율 조정  </t>
    <phoneticPr fontId="10" type="noConversion"/>
  </si>
  <si>
    <t xml:space="preserve">3) Sales AR payment </t>
    <phoneticPr fontId="10" type="noConversion"/>
  </si>
  <si>
    <t>Tax(VAT, CIT , Customs, FCT.)</t>
  </si>
  <si>
    <t>A15/17</t>
  </si>
  <si>
    <t>A27</t>
  </si>
  <si>
    <t>A37</t>
  </si>
  <si>
    <t>A18</t>
  </si>
  <si>
    <t>MX5 Housing</t>
    <phoneticPr fontId="10" type="noConversion"/>
  </si>
  <si>
    <t>MX5 Cover</t>
    <phoneticPr fontId="10" type="noConversion"/>
  </si>
  <si>
    <t>BENZ R-EPS HSG (Anodizing)</t>
  </si>
  <si>
    <t>NE2 R-EPS HSG</t>
  </si>
  <si>
    <t>M184 R-EPS HSG</t>
  </si>
  <si>
    <t>CEER RWA CVR-만도향</t>
  </si>
  <si>
    <t>CEER RWS CVR-만도향</t>
  </si>
  <si>
    <t>JG R-EPS CVR-만도향</t>
  </si>
  <si>
    <t>JG RWS CVR-만도향</t>
  </si>
  <si>
    <t>IPM 2.0 Advanced HSG</t>
  </si>
  <si>
    <t>IPM 2.0 HSG Base+</t>
  </si>
  <si>
    <t>IPM 2.0 HSG Premium</t>
  </si>
  <si>
    <t>New IPM 2.0 Base</t>
  </si>
  <si>
    <t>New IPM 2.0 Advanced</t>
  </si>
  <si>
    <t>New RC 2.1 CVR</t>
  </si>
  <si>
    <t>IPM 2.0 Adv ME Bundle 3.0 (Step5)</t>
  </si>
  <si>
    <t>Brake Adaptor</t>
  </si>
  <si>
    <t>Crossbar L</t>
  </si>
  <si>
    <t>Crossbar XL</t>
  </si>
  <si>
    <t>Skeleton L</t>
  </si>
  <si>
    <t>Skeleton XL</t>
  </si>
  <si>
    <t>Ford eRCB</t>
  </si>
  <si>
    <t>Brake</t>
    <phoneticPr fontId="10" type="noConversion"/>
  </si>
  <si>
    <t>Jan.26</t>
    <phoneticPr fontId="10" type="noConversion"/>
  </si>
  <si>
    <t>Feb.26</t>
    <phoneticPr fontId="10" type="noConversion"/>
  </si>
  <si>
    <t>Mar.26</t>
    <phoneticPr fontId="10" type="noConversion"/>
  </si>
  <si>
    <t>Apr.26</t>
    <phoneticPr fontId="10" type="noConversion"/>
  </si>
  <si>
    <t>May.26</t>
    <phoneticPr fontId="10" type="noConversion"/>
  </si>
  <si>
    <t>Jun.26</t>
    <phoneticPr fontId="10" type="noConversion"/>
  </si>
  <si>
    <t>Jul.26</t>
    <phoneticPr fontId="10" type="noConversion"/>
  </si>
  <si>
    <t>Aug.26</t>
    <phoneticPr fontId="10" type="noConversion"/>
  </si>
  <si>
    <t>Sep.26</t>
    <phoneticPr fontId="10" type="noConversion"/>
  </si>
  <si>
    <t>Oct.26</t>
    <phoneticPr fontId="10" type="noConversion"/>
  </si>
  <si>
    <t>Nov.26</t>
    <phoneticPr fontId="10" type="noConversion"/>
  </si>
  <si>
    <t>Dec.26</t>
    <phoneticPr fontId="10" type="noConversion"/>
  </si>
  <si>
    <t>2026
Total</t>
    <phoneticPr fontId="10" type="noConversion"/>
  </si>
  <si>
    <t>MX5 Housing</t>
  </si>
  <si>
    <t>MX5 Cover</t>
  </si>
  <si>
    <t>A15/17</t>
    <phoneticPr fontId="10" type="noConversion"/>
  </si>
  <si>
    <t xml:space="preserve">Gen5 S.Block </t>
    <phoneticPr fontId="10" type="noConversion"/>
  </si>
  <si>
    <t>Brake</t>
  </si>
  <si>
    <t>Laser(LDS)</t>
    <phoneticPr fontId="10" type="noConversion"/>
  </si>
  <si>
    <t>Painting</t>
    <phoneticPr fontId="10" type="noConversion"/>
  </si>
  <si>
    <t>A</t>
    <phoneticPr fontId="10" type="noConversion"/>
  </si>
  <si>
    <t>HUB REAR COVER</t>
  </si>
  <si>
    <t>AM HUD ENCL</t>
  </si>
  <si>
    <t>PUCK REAR COVER</t>
  </si>
  <si>
    <t>COA2 PUCK FRONY COVER</t>
  </si>
  <si>
    <t>HUD LID AM</t>
  </si>
  <si>
    <t>CTRL TOP COVER ASM</t>
  </si>
  <si>
    <t>CTRL REAR COVER ASM</t>
  </si>
  <si>
    <t>HUB FRONT COVER</t>
    <phoneticPr fontId="10" type="noConversion"/>
  </si>
  <si>
    <t>a</t>
    <phoneticPr fontId="10" type="noConversion"/>
  </si>
  <si>
    <t>Cover</t>
    <phoneticPr fontId="10" type="noConversion"/>
  </si>
  <si>
    <t>7) TCM Production Rate &amp; Q'ty</t>
    <phoneticPr fontId="10" type="noConversion"/>
  </si>
  <si>
    <t>MCT Total Required Q'ty</t>
    <phoneticPr fontId="9" type="noConversion"/>
  </si>
  <si>
    <t>8) Auto Tapping Production Rate &amp; Q'ty</t>
    <phoneticPr fontId="10" type="noConversion"/>
  </si>
  <si>
    <t>NX5 Housing</t>
    <phoneticPr fontId="10" type="noConversion"/>
  </si>
  <si>
    <t>NX5 Cover</t>
    <phoneticPr fontId="10" type="noConversion"/>
  </si>
  <si>
    <t>Auto</t>
    <phoneticPr fontId="10" type="noConversion"/>
  </si>
  <si>
    <t>Auto Tapping</t>
    <phoneticPr fontId="10" type="noConversion"/>
  </si>
  <si>
    <t>Current Q'ty</t>
    <phoneticPr fontId="10" type="noConversion"/>
  </si>
  <si>
    <t>AP (1)</t>
  </si>
  <si>
    <t>AP(Repairing and other services) (4 + 33)</t>
  </si>
  <si>
    <t>AP(Consumables) (9 + 10)</t>
  </si>
  <si>
    <t>AP(Outsourcing) (8)</t>
  </si>
  <si>
    <t>AP Logistics&amp;VMI WH (6+27+32)</t>
  </si>
  <si>
    <t>Utility(Electricity,Water,Gas,sewage charges…)(12+14+15+16+34+42)</t>
  </si>
  <si>
    <t>Rental Fee(Care,House,Office machine..) (30+31)</t>
  </si>
  <si>
    <t>Operation Fee (6+11+13+20+22+26+28+29+39+40+41+44+45+46)</t>
  </si>
  <si>
    <t>Redemption of the Long Loan Chailese &amp; Sacombank (Machine)</t>
  </si>
  <si>
    <t>Interest of Chailese &amp; Sacombank (47+48+49)</t>
  </si>
  <si>
    <t>Saving monthtly send deposit</t>
  </si>
  <si>
    <t>Jan.26</t>
  </si>
  <si>
    <t>Feb.26</t>
  </si>
  <si>
    <t>Mar.26</t>
  </si>
  <si>
    <t>Apr.26</t>
  </si>
  <si>
    <t>May.26</t>
  </si>
  <si>
    <t>Jun.26</t>
  </si>
  <si>
    <t>Jul.26</t>
  </si>
  <si>
    <t>Aug.26</t>
  </si>
  <si>
    <t>Sep.26</t>
  </si>
  <si>
    <t>Oct.26</t>
  </si>
  <si>
    <t>Nov.26</t>
  </si>
  <si>
    <t>Dec.26</t>
  </si>
  <si>
    <t>2026
Total</t>
  </si>
  <si>
    <t>A17/A27/A37</t>
    <phoneticPr fontId="10" type="noConversion"/>
  </si>
  <si>
    <t>Variation</t>
    <phoneticPr fontId="11" type="noConversion"/>
  </si>
  <si>
    <t>Ending</t>
    <phoneticPr fontId="24" type="noConversion"/>
  </si>
  <si>
    <t>Deposit Balance</t>
    <phoneticPr fontId="24" type="noConversion"/>
  </si>
  <si>
    <t xml:space="preserve">Total Ending </t>
    <phoneticPr fontId="24" type="noConversion"/>
  </si>
  <si>
    <t>Interest of Personal (Short)</t>
  </si>
  <si>
    <t>2026
Average</t>
    <phoneticPr fontId="9" type="noConversion"/>
  </si>
  <si>
    <t>T6 Cover</t>
    <phoneticPr fontId="9" type="noConversion"/>
  </si>
  <si>
    <t>IMEB2 Housing</t>
    <phoneticPr fontId="9" type="noConversion"/>
  </si>
  <si>
    <t>Samsung</t>
    <phoneticPr fontId="9" type="noConversion"/>
  </si>
  <si>
    <t>5Axis</t>
    <phoneticPr fontId="9" type="noConversion"/>
  </si>
  <si>
    <t>3/4Axis</t>
    <phoneticPr fontId="9" type="noConversion"/>
  </si>
  <si>
    <t>6) 5Axis Production Rate &amp; Q'ty</t>
    <phoneticPr fontId="10" type="noConversion"/>
  </si>
  <si>
    <t>Mold/Year
2026</t>
    <phoneticPr fontId="10" type="noConversion"/>
  </si>
  <si>
    <t>2026년도</t>
    <phoneticPr fontId="10" type="noConversion"/>
  </si>
  <si>
    <t xml:space="preserve">절감인원 </t>
    <phoneticPr fontId="10" type="noConversion"/>
  </si>
  <si>
    <t>2026인상율</t>
    <phoneticPr fontId="10" type="noConversion"/>
  </si>
  <si>
    <t>2026년</t>
    <phoneticPr fontId="10" type="noConversion"/>
  </si>
  <si>
    <t>삼성 Bracket</t>
  </si>
  <si>
    <t>삼성 CNC</t>
  </si>
  <si>
    <t>ZF</t>
  </si>
  <si>
    <t>A</t>
  </si>
  <si>
    <t>기타</t>
  </si>
  <si>
    <t>- 스크랩 및 금형비 반영</t>
  </si>
  <si>
    <t>- AI디바이스 교체에 따른 연간 출하량 지속 증가</t>
  </si>
  <si>
    <t xml:space="preserve"> CL4 &amp; MQ4 기존 납품처 YT -&gt; MX 변경 예정
 구체적인 일정 및 단가 변경은 고객사와 협의 후 사업계획 내 반영 예정</t>
  </si>
  <si>
    <t>Acrual</t>
    <phoneticPr fontId="10" type="noConversion"/>
  </si>
  <si>
    <t>Remaining 31.12.2026</t>
  </si>
  <si>
    <r>
      <rPr>
        <b/>
        <sz val="32"/>
        <color theme="1"/>
        <rFont val="맑은 고딕"/>
        <family val="3"/>
        <charset val="129"/>
        <scheme val="major"/>
      </rPr>
      <t>2026 Business Plan</t>
    </r>
    <r>
      <rPr>
        <b/>
        <sz val="36"/>
        <color theme="1"/>
        <rFont val="맑은 고딕"/>
        <family val="3"/>
        <charset val="129"/>
        <scheme val="major"/>
      </rPr>
      <t xml:space="preserve">
</t>
    </r>
    <r>
      <rPr>
        <b/>
        <sz val="28"/>
        <color theme="1"/>
        <rFont val="맑은 고딕"/>
        <family val="3"/>
        <charset val="129"/>
        <scheme val="major"/>
      </rPr>
      <t>M&amp;C Electronics</t>
    </r>
    <phoneticPr fontId="10" type="noConversion"/>
  </si>
  <si>
    <t>3) 관리</t>
    <phoneticPr fontId="10" type="noConversion"/>
  </si>
  <si>
    <t>11. 2026 Cash Flow (CF)</t>
    <phoneticPr fontId="10" type="noConversion"/>
  </si>
  <si>
    <t>25년 (1~8월) 평균가</t>
    <phoneticPr fontId="10" type="noConversion"/>
  </si>
  <si>
    <t xml:space="preserve">2025년 대비 Worker 7%, 관리자 5%, 주재원 3% 인상 적용 </t>
    <phoneticPr fontId="10" type="noConversion"/>
  </si>
  <si>
    <t>2026년 주재원 충원 미반영</t>
    <phoneticPr fontId="10" type="noConversion"/>
  </si>
  <si>
    <t>생산일수 기반으로 현재 단가 적용</t>
    <phoneticPr fontId="10" type="noConversion"/>
  </si>
  <si>
    <t>2023~2025년도 평균 4.5%인상 기준으로 2026년도 베트남 전기료 인상 4.5% 반영</t>
    <phoneticPr fontId="10" type="noConversion"/>
  </si>
  <si>
    <t>2026년 시장 예상(단 환율 변동이 클 경우 조정 필요, update 25.08 UOB 및 Traders Union 참조)</t>
    <phoneticPr fontId="10" type="noConversion"/>
  </si>
  <si>
    <t>Samsung Bracket 월 50만개 이상시 외주 사상 진행, ZF 아노다이징, 퀄컴 레이저 및 A사 외주 비용 반영</t>
    <phoneticPr fontId="10" type="noConversion"/>
  </si>
  <si>
    <t xml:space="preserve">2025년 영업매출 대비 평균 % 반영 </t>
    <phoneticPr fontId="10" type="noConversion"/>
  </si>
  <si>
    <r>
      <t xml:space="preserve">2024년 1.7% 대비 2025년 1~8월 평균 1.2%로, 0.5% 감소하여 </t>
    </r>
    <r>
      <rPr>
        <b/>
        <sz val="10"/>
        <color theme="1"/>
        <rFont val="맑은 고딕"/>
        <family val="3"/>
        <charset val="129"/>
      </rPr>
      <t>2026년 1.2% 반영</t>
    </r>
    <phoneticPr fontId="10" type="noConversion"/>
  </si>
  <si>
    <t xml:space="preserve">영업 납품용 차량 (화물 탑차 5ton 2대 임대 비용) </t>
    <phoneticPr fontId="10" type="noConversion"/>
  </si>
  <si>
    <t xml:space="preserve">각종 납품용 박스 및 파렛트 년평균 매출 %기준 대비 추정 </t>
    <phoneticPr fontId="10" type="noConversion"/>
  </si>
  <si>
    <t>서비스 비용(한국 $5만, 중국$3만)</t>
    <phoneticPr fontId="10" type="noConversion"/>
  </si>
  <si>
    <t xml:space="preserve">주재원 자녀 총 7명 지원    </t>
    <phoneticPr fontId="10" type="noConversion"/>
  </si>
  <si>
    <t>2026년 8월 기준, 신규 투자 설비 반영</t>
    <phoneticPr fontId="10" type="noConversion"/>
  </si>
  <si>
    <t xml:space="preserve">주재원 자녀 복리 학비 지원 (1명당Net $6,500$ 총$45,500 월 평균 반영) </t>
    <phoneticPr fontId="10" type="noConversion"/>
  </si>
  <si>
    <t>Tuition fee (foreigner kids)</t>
    <phoneticPr fontId="10" type="noConversion"/>
  </si>
  <si>
    <t xml:space="preserve">경비 &amp; 청소 용역, 정원 관리 비용 </t>
    <phoneticPr fontId="10" type="noConversion"/>
  </si>
  <si>
    <t>2025년 비용 평균 적용 (예비비 포함)</t>
    <phoneticPr fontId="10" type="noConversion"/>
  </si>
  <si>
    <t>2026년도 총 302일 (주일 53일,국경절&amp;행사 10일)</t>
    <phoneticPr fontId="10" type="noConversion"/>
  </si>
  <si>
    <t xml:space="preserve">(ADC12 $2.65, S36 $3.30, S3Y $3.37) / Kg </t>
    <phoneticPr fontId="10" type="noConversion"/>
  </si>
  <si>
    <t>외화(달러)현재 적용 환율</t>
    <phoneticPr fontId="10" type="noConversion"/>
  </si>
  <si>
    <t>캐스팅 장비수+CNC생산일수(평균)*25년 (1~8월) 평균 폐수처리 단가계산로 반영</t>
    <phoneticPr fontId="10" type="noConversion"/>
  </si>
  <si>
    <t xml:space="preserve">매출액 대비 1.2%기준 적용 </t>
    <phoneticPr fontId="10" type="noConversion"/>
  </si>
  <si>
    <t xml:space="preserve">매출액 대비 5.5%기준 적용 </t>
    <phoneticPr fontId="10" type="noConversion"/>
  </si>
  <si>
    <t xml:space="preserve">고정자산(장비&amp;설비) 회계처리 비용 </t>
    <phoneticPr fontId="10" type="noConversion"/>
  </si>
  <si>
    <t>2025년 8월 기준기준 실제 비용 적용</t>
    <phoneticPr fontId="10" type="noConversion"/>
  </si>
  <si>
    <t>매출액의 0.2%로 적용</t>
    <phoneticPr fontId="10" type="noConversion"/>
  </si>
  <si>
    <t>2025년도 월 평균 반영 및 A사 (미국) 출장 비용 분기별 1만불 추가 적용</t>
    <phoneticPr fontId="10" type="noConversion"/>
  </si>
  <si>
    <t>카니발 7인승 5대, 15인승 1대 ,지게차 2대 운영비용</t>
    <phoneticPr fontId="10" type="noConversion"/>
  </si>
  <si>
    <t>사업계획에 투자 반영</t>
    <phoneticPr fontId="10" type="noConversion"/>
  </si>
  <si>
    <t>2025년 8월 기준 업데이트,  'I plan 참조</t>
    <phoneticPr fontId="10" type="noConversion"/>
  </si>
  <si>
    <t>수도,하수 비용</t>
    <phoneticPr fontId="10" type="noConversion"/>
  </si>
  <si>
    <t>Warehouse</t>
    <phoneticPr fontId="10" type="noConversion"/>
  </si>
  <si>
    <t>점유율</t>
  </si>
  <si>
    <t>2025Y 말</t>
  </si>
  <si>
    <t>100%+금형</t>
    <phoneticPr fontId="10" type="noConversion"/>
  </si>
  <si>
    <t>Remaining Principle
01.01.2026</t>
  </si>
  <si>
    <t>Remaining principine 
01.01.2026</t>
  </si>
  <si>
    <t>Total + 금형</t>
    <phoneticPr fontId="10" type="noConversion"/>
  </si>
  <si>
    <t>금형</t>
    <phoneticPr fontId="10" type="noConversion"/>
  </si>
  <si>
    <t>Machining Parts &amp; others</t>
    <phoneticPr fontId="10" type="noConversion"/>
  </si>
  <si>
    <t>AZ31B</t>
    <phoneticPr fontId="10" type="noConversion"/>
  </si>
  <si>
    <t>Size (mm)</t>
    <phoneticPr fontId="10" type="noConversion"/>
  </si>
  <si>
    <t>2026년 3월까지 시제품 평가 완료. 하반기 저율초도생산(LRIP)으로 전환 예상
Qualcomm과 같이 VN 20%, SG 80%</t>
    <phoneticPr fontId="10" type="noConversion"/>
  </si>
  <si>
    <t>60 days</t>
    <phoneticPr fontId="10" type="noConversion"/>
  </si>
  <si>
    <t xml:space="preserve">TOYO 350TON_ Machine </t>
  </si>
  <si>
    <t>5 Axis CNC Machine (DN-DVS 5000)</t>
  </si>
  <si>
    <t>30.Nov.2025</t>
  </si>
  <si>
    <t>C240622712</t>
  </si>
  <si>
    <t>C240623712</t>
  </si>
  <si>
    <t>C240626212</t>
  </si>
  <si>
    <t>C240829912</t>
  </si>
  <si>
    <t>C240903412</t>
  </si>
  <si>
    <t>C240926612</t>
  </si>
  <si>
    <t>C250109712</t>
  </si>
  <si>
    <t>C250112712</t>
  </si>
  <si>
    <t>Interest
Current</t>
  </si>
  <si>
    <t>Interest
Before</t>
  </si>
  <si>
    <t>Contract no</t>
  </si>
  <si>
    <t>CL4 Housing (MX)</t>
  </si>
  <si>
    <t>CL4 Housing (MX)</t>
    <phoneticPr fontId="10" type="noConversion"/>
  </si>
  <si>
    <t>CL4 Housing (YT)</t>
  </si>
  <si>
    <t>CL4 Housing (YT)</t>
    <phoneticPr fontId="10" type="noConversion"/>
  </si>
  <si>
    <t>CL4 Cover (YT)</t>
  </si>
  <si>
    <t>CL4 Cover (YT)</t>
    <phoneticPr fontId="10" type="noConversion"/>
  </si>
  <si>
    <t>CL4 Cover (MX)</t>
  </si>
  <si>
    <t>CL4 Cover (MX)</t>
    <phoneticPr fontId="10" type="noConversion"/>
  </si>
  <si>
    <t>MQ4a PE Cover (YT)</t>
  </si>
  <si>
    <t>MQ4a PE Cover (YT)</t>
    <phoneticPr fontId="10" type="noConversion"/>
  </si>
  <si>
    <t>MQ4a PE Cover (MX)</t>
  </si>
  <si>
    <t>MQ4a PE Cover (MX)</t>
    <phoneticPr fontId="10" type="noConversion"/>
  </si>
  <si>
    <t>MQ4a PE Housing (YT)</t>
  </si>
  <si>
    <t>MQ4a PE Housing (YT)</t>
    <phoneticPr fontId="10" type="noConversion"/>
  </si>
  <si>
    <t>MQ4a PE Housing (MX)</t>
  </si>
  <si>
    <t>MQ4a PE Housing (MX)</t>
    <phoneticPr fontId="10" type="noConversion"/>
  </si>
  <si>
    <t>MQ4a PE Cover (YT)</t>
    <phoneticPr fontId="9" type="noConversion"/>
  </si>
  <si>
    <t>MQ4a PE Cover (MX)</t>
    <phoneticPr fontId="9" type="noConversion"/>
  </si>
  <si>
    <t>CL4 Cover (YT)</t>
    <phoneticPr fontId="9" type="noConversion"/>
  </si>
  <si>
    <t>CL4 Cover (MX)</t>
    <phoneticPr fontId="9" type="noConversion"/>
  </si>
  <si>
    <t>Mgnesium Block (ZK60A)</t>
    <phoneticPr fontId="10" type="noConversion"/>
  </si>
  <si>
    <t>2026년 인상분</t>
    <phoneticPr fontId="10" type="noConversion"/>
  </si>
  <si>
    <t>Meal (3+25)</t>
    <phoneticPr fontId="10" type="noConversion"/>
  </si>
  <si>
    <t>Walfare (Monthly Events)</t>
    <phoneticPr fontId="10" type="noConversion"/>
  </si>
  <si>
    <t>Others Part</t>
    <phoneticPr fontId="10" type="noConversion"/>
  </si>
  <si>
    <t>Glass Frame (ZF60A-T5)</t>
    <phoneticPr fontId="10" type="noConversion"/>
  </si>
  <si>
    <t>Body Compute enclosure (AL6061-T6)</t>
    <phoneticPr fontId="10" type="noConversion"/>
  </si>
  <si>
    <t>PEO</t>
    <phoneticPr fontId="10" type="noConversion"/>
  </si>
  <si>
    <t>Silicone</t>
    <phoneticPr fontId="10" type="noConversion"/>
  </si>
  <si>
    <t>Oring</t>
    <phoneticPr fontId="10" type="noConversion"/>
  </si>
  <si>
    <t>Aluminum Block (AL6061-T6)</t>
    <phoneticPr fontId="10" type="noConversion"/>
  </si>
  <si>
    <t>60*110*200</t>
    <phoneticPr fontId="10" type="noConversion"/>
  </si>
  <si>
    <t>2025년 U/P</t>
    <phoneticPr fontId="10" type="noConversion"/>
  </si>
  <si>
    <t>2026년 U/P</t>
    <phoneticPr fontId="10" type="noConversion"/>
  </si>
  <si>
    <t>References 5) 2026년 worker 당 매출액</t>
    <phoneticPr fontId="10" type="noConversion"/>
  </si>
  <si>
    <t>References 4) 2025년 현장직 이직율 현황</t>
    <phoneticPr fontId="10" type="noConversion"/>
  </si>
  <si>
    <t>56 machine CNC</t>
  </si>
  <si>
    <t>27 machine CNC</t>
  </si>
  <si>
    <t>5CNC, 2 casting, 1 X-ray</t>
  </si>
  <si>
    <t>System (1V8)</t>
  </si>
  <si>
    <t>VAT refund ( Reducing with due to Sale local increase more)</t>
  </si>
  <si>
    <t>Used -Time (D)</t>
  </si>
  <si>
    <t>Used month
 end Dec.25</t>
  </si>
  <si>
    <t>Remaing 2026</t>
  </si>
  <si>
    <t>Bonus for 2026</t>
    <phoneticPr fontId="10" type="noConversion"/>
  </si>
  <si>
    <t>Month</t>
  </si>
  <si>
    <t>M&amp;C2025-0718-BV</t>
  </si>
  <si>
    <t>M&amp;C2025-0913-BV</t>
  </si>
  <si>
    <t>현장 화장실 개조공사(On-site restroom renovation project)</t>
  </si>
  <si>
    <t>M&amp;C2025-0922-BV</t>
  </si>
  <si>
    <t>Plan payment</t>
  </si>
  <si>
    <t>26.Jun.2026</t>
  </si>
  <si>
    <t>10.Jan.2026</t>
  </si>
  <si>
    <t>25.Sep.2026</t>
  </si>
  <si>
    <t>16.Jan.2027</t>
  </si>
  <si>
    <t>12.Feb.2027</t>
  </si>
  <si>
    <t>05.Nov.2026</t>
  </si>
  <si>
    <t>Penalty</t>
  </si>
  <si>
    <t>D&lt; =12m 
(3%)</t>
  </si>
  <si>
    <t>No</t>
  </si>
  <si>
    <t>Contract No</t>
  </si>
  <si>
    <t>Content</t>
  </si>
  <si>
    <t>Principle contract</t>
  </si>
  <si>
    <t>Interest
Contract</t>
  </si>
  <si>
    <t>Remaining at 31.Dec.2025</t>
  </si>
  <si>
    <t xml:space="preserve">Penanty Amount </t>
  </si>
  <si>
    <t>Amount (VND)</t>
  </si>
  <si>
    <t>Sart date</t>
  </si>
  <si>
    <t>Finished date</t>
  </si>
  <si>
    <t>Time loan</t>
  </si>
  <si>
    <t>Interest</t>
  </si>
  <si>
    <t>Margin 
Fixed</t>
  </si>
  <si>
    <t>Floating</t>
  </si>
  <si>
    <t>Plan returning Loan</t>
  </si>
  <si>
    <t>Esstimated Interest saving</t>
  </si>
  <si>
    <t>Used more in 2026-2027</t>
  </si>
  <si>
    <t>12.Jul.2029</t>
  </si>
  <si>
    <t>10.Sep.2029</t>
  </si>
  <si>
    <t>24.Sep.2029</t>
  </si>
  <si>
    <t>04.Nov.2029</t>
  </si>
  <si>
    <t>15.Jan.2029</t>
  </si>
  <si>
    <t>10.Feb.2025</t>
  </si>
  <si>
    <t>10.Feb.2029</t>
  </si>
  <si>
    <t>Returning Amt Monthly
VND</t>
  </si>
  <si>
    <t>Returning Amt Monthly
USD</t>
  </si>
  <si>
    <t>Payment Amount</t>
  </si>
  <si>
    <t>Remaing Amt
01.01.2026</t>
  </si>
  <si>
    <t>Remaning amt at time of returning Plan</t>
  </si>
  <si>
    <t>Used 
31.Dec.25
(Month)</t>
  </si>
  <si>
    <t>Remaining time
at plan returning )</t>
  </si>
  <si>
    <t>Used time at plan of  returning</t>
  </si>
  <si>
    <t>12m&lt;D&lt;=24m
 (3%)</t>
  </si>
  <si>
    <t>24m&lt;D&lt;=36m
 (2%)</t>
  </si>
  <si>
    <t>36m&lt;D
(1%)</t>
  </si>
  <si>
    <t>Jan.2026
3%</t>
  </si>
  <si>
    <t>Jun.2026
3%</t>
  </si>
  <si>
    <t>Sep.26
3%</t>
  </si>
  <si>
    <t>Nov.26
3%</t>
  </si>
  <si>
    <t>Jan.27
3%</t>
  </si>
  <si>
    <t>Feb.27
3%</t>
  </si>
  <si>
    <t>M-Y2025</t>
  </si>
  <si>
    <t>Sale Amount</t>
  </si>
  <si>
    <t>TOTAL</t>
  </si>
  <si>
    <t>Sorting Fee</t>
  </si>
  <si>
    <t>% vs Sale</t>
  </si>
  <si>
    <t>xx</t>
  </si>
  <si>
    <t>WH</t>
  </si>
  <si>
    <t>M-Y2026</t>
  </si>
  <si>
    <t>Office &amp; Windows S/W</t>
    <phoneticPr fontId="5" type="noConversion"/>
  </si>
  <si>
    <t>Three Punch Trimming Machine</t>
  </si>
  <si>
    <t>Tax (FCT machines and RM)</t>
  </si>
  <si>
    <t>Rental others (warehouse)</t>
  </si>
  <si>
    <t>Rent Expense (SG MCT, Outside WH, etc)</t>
  </si>
  <si>
    <t>Others</t>
  </si>
  <si>
    <t>Rental others(house, land..)</t>
  </si>
  <si>
    <t>S3Y</t>
    <phoneticPr fontId="10" type="noConversion"/>
  </si>
  <si>
    <t>AZ32B</t>
  </si>
  <si>
    <t>AZ33B</t>
  </si>
  <si>
    <t>AZ34B</t>
  </si>
  <si>
    <t>Cover</t>
    <phoneticPr fontId="10" type="noConversion"/>
  </si>
  <si>
    <t>12) M Material 산출식 TOTAL</t>
    <phoneticPr fontId="10" type="noConversion"/>
  </si>
  <si>
    <t>9) Hot Press Production Rate &amp; Q'ty</t>
    <phoneticPr fontId="10" type="noConversion"/>
  </si>
  <si>
    <t>No</t>
    <phoneticPr fontId="4" type="noConversion"/>
  </si>
  <si>
    <t>Samsung</t>
    <phoneticPr fontId="4" type="noConversion"/>
  </si>
  <si>
    <t>10) Auto Polising Production Rate &amp; Q'ty</t>
    <phoneticPr fontId="10" type="noConversion"/>
  </si>
  <si>
    <t>Auto Polishing</t>
    <phoneticPr fontId="10" type="noConversion"/>
  </si>
  <si>
    <t>11) Auto Trimming Production Rate &amp; Q'ty</t>
    <phoneticPr fontId="10" type="noConversion"/>
  </si>
  <si>
    <t>산출방식</t>
  </si>
  <si>
    <t>비율</t>
  </si>
  <si>
    <t>5. M Plan 참조</t>
  </si>
  <si>
    <t>없음</t>
  </si>
  <si>
    <t>4. L Plan 참조</t>
  </si>
  <si>
    <t>전넌도 매출액 대비 비중 0.64%</t>
  </si>
  <si>
    <t>전넌도 매출액 대비 비중 0.21%</t>
  </si>
  <si>
    <t>전넌도 매출액 대비 비중 0.04%</t>
  </si>
  <si>
    <t>6. O Plan 참조</t>
  </si>
  <si>
    <t>전넌도 매출액 대비 비중 1.41%</t>
  </si>
  <si>
    <t>고정비용</t>
  </si>
  <si>
    <t>전넌도 매출액 대비 비중 0.80%</t>
  </si>
  <si>
    <t>전넌도 매출액 대비 비중 0.06%</t>
  </si>
  <si>
    <t>Utilty_Data 참조</t>
  </si>
  <si>
    <t>전넌도 매출액 대비 비중 0.05%</t>
  </si>
  <si>
    <t>8. I Plan 참조</t>
  </si>
  <si>
    <t>분기별 미국 출장비 10000불 추가</t>
  </si>
  <si>
    <t>인터넷비용</t>
  </si>
  <si>
    <t>차량랜트비 고정</t>
  </si>
  <si>
    <t>Utilty_Data</t>
  </si>
  <si>
    <t>9. C Plan</t>
  </si>
  <si>
    <t>전년도 매출대비 비중 0.48%</t>
  </si>
  <si>
    <t>4. L PLAN'!F40*1.02</t>
  </si>
  <si>
    <t>인원기준</t>
  </si>
  <si>
    <t>9. C Plan 참조</t>
  </si>
  <si>
    <t>작성후 숨길것</t>
    <phoneticPr fontId="10" type="noConversion"/>
  </si>
  <si>
    <t>Braket Sub Toal</t>
    <phoneticPr fontId="10" type="noConversion"/>
  </si>
  <si>
    <t>Samsung Sub Total</t>
    <phoneticPr fontId="10" type="noConversion"/>
  </si>
  <si>
    <t>Braket</t>
    <phoneticPr fontId="10" type="noConversion"/>
  </si>
  <si>
    <t>Auto Trimming</t>
    <phoneticPr fontId="10" type="noConversion"/>
  </si>
  <si>
    <t>Auto Hot Press</t>
    <phoneticPr fontId="10" type="noConversion"/>
  </si>
  <si>
    <t xml:space="preserve">*(작업자 한정 5.6% 3월부터 반영) </t>
    <phoneticPr fontId="10" type="noConversion"/>
  </si>
  <si>
    <t>6) A Project</t>
    <phoneticPr fontId="10" type="noConversion"/>
  </si>
  <si>
    <t>Block</t>
    <phoneticPr fontId="10" type="noConversion"/>
  </si>
  <si>
    <t>외부 창고 고정 비용</t>
    <phoneticPr fontId="10" type="noConversion"/>
  </si>
  <si>
    <t>M&amp;C Guest Room</t>
    <phoneticPr fontId="10" type="noConversion"/>
  </si>
  <si>
    <t>Qualcomm Sub Total</t>
    <phoneticPr fontId="10" type="noConversion"/>
  </si>
  <si>
    <t>Mobile Sub-Total</t>
    <phoneticPr fontId="10" type="noConversion"/>
  </si>
  <si>
    <t>Provision ($666,429) + 불용재고($462,797) = $1,129,226</t>
    <phoneticPr fontId="10" type="noConversion"/>
  </si>
  <si>
    <t>계산반영</t>
    <phoneticPr fontId="10" type="noConversion"/>
  </si>
  <si>
    <t>전년도 매출액 대비 LG 4.6%, 만도 1.2%</t>
    <phoneticPr fontId="10" type="noConversion"/>
  </si>
  <si>
    <t>2. S Plan'!L262 참조 (전년도 2.35%)</t>
    <phoneticPr fontId="10" type="noConversion"/>
  </si>
  <si>
    <t>전넌도 매출액 대비 비중 0.88% + VAT환급 불가부분 221K 분할 반영 -&gt; 1.3%로 조정 반영</t>
    <phoneticPr fontId="10" type="noConversion"/>
  </si>
  <si>
    <t>70*110*200</t>
    <phoneticPr fontId="10" type="noConversion"/>
  </si>
  <si>
    <t>Battery pack Front Cable</t>
    <phoneticPr fontId="10" type="noConversion"/>
  </si>
  <si>
    <t>Battery pack Top LID</t>
    <phoneticPr fontId="10" type="noConversion"/>
  </si>
  <si>
    <t>전년도 매출액 대비 LG 2.0%, 만도 2.2%</t>
    <phoneticPr fontId="10" type="noConversion"/>
  </si>
  <si>
    <t>월 $2,000 적용</t>
    <phoneticPr fontId="10" type="noConversion"/>
  </si>
  <si>
    <t>월 $550 적용</t>
    <phoneticPr fontId="10" type="noConversion"/>
  </si>
  <si>
    <t>월 $650 적용</t>
    <phoneticPr fontId="10" type="noConversion"/>
  </si>
  <si>
    <t>2025년 기준 평균</t>
    <phoneticPr fontId="10" type="noConversion"/>
  </si>
  <si>
    <t>전년도 매출 0.48%</t>
    <phoneticPr fontId="10" type="noConversion"/>
  </si>
  <si>
    <t>전년도 매출 0.27%</t>
    <phoneticPr fontId="10" type="noConversion"/>
  </si>
  <si>
    <t>26.10월부터 15대 가동 - 월 최대 2,300,000대 수준으로 변경</t>
    <phoneticPr fontId="10" type="noConversion"/>
  </si>
  <si>
    <t>26.8월 LGIT 종료 설비 50대 + 26.10월 만도 종료 설비 25대 투입 반영</t>
    <phoneticPr fontId="10" type="noConversion"/>
  </si>
  <si>
    <t>협의 수량으로 조정</t>
    <phoneticPr fontId="10" type="noConversion"/>
  </si>
  <si>
    <t>3/16 거래 종료 통보 예정. 추후 최종 공급 수량 협의 필요</t>
    <phoneticPr fontId="10" type="noConversion"/>
  </si>
  <si>
    <t>2026 Forecast 반영</t>
    <phoneticPr fontId="10" type="noConversion"/>
  </si>
  <si>
    <t>2026년 테스트용 시제품 수요 예상 (월 200개, 2026.7~ 반영)</t>
    <phoneticPr fontId="10" type="noConversion"/>
  </si>
  <si>
    <t>자동화 설비 연계, 제품 개발 및 생산성 확보 효율화 / Bracket 금형 추가 배정 영업 지속</t>
    <phoneticPr fontId="10" type="noConversion"/>
  </si>
  <si>
    <t>기존 제품 양산 안정화 및 신규 프로젝트 수주 활동 지속</t>
    <phoneticPr fontId="10" type="noConversion"/>
  </si>
  <si>
    <t>ADAS 외 제품군 견적 및 수주 활동 지속</t>
    <phoneticPr fontId="10" type="noConversion"/>
  </si>
  <si>
    <t>사업 철수 진행</t>
    <phoneticPr fontId="10" type="noConversion"/>
  </si>
  <si>
    <t>Audit 준비 및 DFM, 긴급 물량 지속 대응/협업 진행</t>
    <phoneticPr fontId="10" type="noConversion"/>
  </si>
  <si>
    <t>Others Part</t>
  </si>
  <si>
    <t>Business Relocation Master Plan</t>
    <phoneticPr fontId="10" type="noConversion"/>
  </si>
  <si>
    <t>Vendor</t>
    <phoneticPr fontId="10" type="noConversion"/>
  </si>
  <si>
    <t>Present</t>
    <phoneticPr fontId="10" type="noConversion"/>
  </si>
  <si>
    <t>Future 2027</t>
    <phoneticPr fontId="10" type="noConversion"/>
  </si>
  <si>
    <t>비고</t>
    <phoneticPr fontId="10" type="noConversion"/>
  </si>
  <si>
    <t>Sales Down</t>
    <phoneticPr fontId="10" type="noConversion"/>
  </si>
  <si>
    <t>Samsung Bracket</t>
    <phoneticPr fontId="10" type="noConversion"/>
  </si>
  <si>
    <t>15대 X 7K X 25 DAYS = 2.65M/M</t>
    <phoneticPr fontId="10" type="noConversion"/>
  </si>
  <si>
    <t>Material AL</t>
    <phoneticPr fontId="10" type="noConversion"/>
  </si>
  <si>
    <t>Samsung CNC</t>
    <phoneticPr fontId="10" type="noConversion"/>
  </si>
  <si>
    <t>삼성 CNC생산 투입 400대 (삼성 283+당사 127대)</t>
    <phoneticPr fontId="10" type="noConversion"/>
  </si>
  <si>
    <t>Labor</t>
    <phoneticPr fontId="10" type="noConversion"/>
  </si>
  <si>
    <t xml:space="preserve">Samsung CNC 설비 추가 </t>
    <phoneticPr fontId="10" type="noConversion"/>
  </si>
  <si>
    <t xml:space="preserve">삼성 CNC 설비 추가 50대 임대 </t>
    <phoneticPr fontId="10" type="noConversion"/>
  </si>
  <si>
    <t>Consummerable &amp; Mold Fee</t>
    <phoneticPr fontId="10" type="noConversion"/>
  </si>
  <si>
    <t>Logsitics/Warehoues/QC Exp.</t>
    <phoneticPr fontId="10" type="noConversion"/>
  </si>
  <si>
    <t>감가상각 및 기타</t>
    <phoneticPr fontId="10" type="noConversion"/>
  </si>
  <si>
    <t>Cost Reduction</t>
    <phoneticPr fontId="10" type="noConversion"/>
  </si>
  <si>
    <t>통지</t>
  </si>
  <si>
    <t>1차회의</t>
  </si>
  <si>
    <t>2차회의</t>
  </si>
  <si>
    <t>최종 만도/LG재고생산 4-5대 배치 2027 상반기까지 지원</t>
    <phoneticPr fontId="10" type="noConversion"/>
  </si>
  <si>
    <t>Sales up</t>
    <phoneticPr fontId="10" type="noConversion"/>
  </si>
  <si>
    <t>통지</t>
    <phoneticPr fontId="10" type="noConversion"/>
  </si>
  <si>
    <t>1차회의</t>
    <phoneticPr fontId="10" type="noConversion"/>
  </si>
  <si>
    <t>2차회의</t>
    <phoneticPr fontId="10" type="noConversion"/>
  </si>
  <si>
    <t>외주에 400톤 2대 설치하여 종료제품 SPOT생산 지원</t>
    <phoneticPr fontId="10" type="noConversion"/>
  </si>
  <si>
    <t>Project 명칭</t>
    <phoneticPr fontId="10" type="noConversion"/>
  </si>
  <si>
    <t>단가</t>
    <phoneticPr fontId="10" type="noConversion"/>
  </si>
  <si>
    <t>소요예산</t>
    <phoneticPr fontId="10" type="noConversion"/>
  </si>
  <si>
    <t>캐스팅 125톤 외주 임대 개시</t>
    <phoneticPr fontId="10" type="noConversion"/>
  </si>
  <si>
    <t>외부설치</t>
    <phoneticPr fontId="10" type="noConversion"/>
  </si>
  <si>
    <t>삼성 CNC 화장실 공사 완료</t>
    <phoneticPr fontId="10" type="noConversion"/>
  </si>
  <si>
    <t>설치</t>
    <phoneticPr fontId="10" type="noConversion"/>
  </si>
  <si>
    <t>CNC ZF BT30생산 BT40 이전 생산</t>
    <phoneticPr fontId="10" type="noConversion"/>
  </si>
  <si>
    <t>ZF 물량 BT40으로 이전하고 BT30 12대 삼성 CNC 라인 이동 배치</t>
    <phoneticPr fontId="10" type="noConversion"/>
  </si>
  <si>
    <t>CNC화장실 CNC12대 이동</t>
    <phoneticPr fontId="10" type="noConversion"/>
  </si>
  <si>
    <t>283+24+12대 총 319대 생산 및 일요일 잔업 최소화</t>
    <phoneticPr fontId="10" type="noConversion"/>
  </si>
  <si>
    <t>삼성 CNC Block 자동화 CNC라인 구축 (6개라인 개조)</t>
    <phoneticPr fontId="10" type="noConversion"/>
  </si>
  <si>
    <t>설계</t>
    <phoneticPr fontId="10" type="noConversion"/>
  </si>
  <si>
    <t>발주</t>
    <phoneticPr fontId="10" type="noConversion"/>
  </si>
  <si>
    <t>최소 4개라인에서 최대 6개라인 개선 변경 후 삼성 Block생산</t>
    <phoneticPr fontId="10" type="noConversion"/>
  </si>
  <si>
    <t>삼성 CNC 설비 추가 임대 50대 진행 (삼성지속확인)</t>
    <phoneticPr fontId="10" type="noConversion"/>
  </si>
  <si>
    <t>임대확정</t>
    <phoneticPr fontId="10" type="noConversion"/>
  </si>
  <si>
    <t>공간확보</t>
    <phoneticPr fontId="10" type="noConversion"/>
  </si>
  <si>
    <t>삼성 CNC가공 확인/ GEN3쪽 CNC라인 공간 확보 및 선반 배치 확인</t>
    <phoneticPr fontId="10" type="noConversion"/>
  </si>
  <si>
    <t>삼성 CNC세척라인 이동 및 개조</t>
    <phoneticPr fontId="10" type="noConversion"/>
  </si>
  <si>
    <t>기존 하우징 세척 라인 이용</t>
    <phoneticPr fontId="10" type="noConversion"/>
  </si>
  <si>
    <t>삼성 CNC Block 사상 및 검사 자동화 라인</t>
    <phoneticPr fontId="10" type="noConversion"/>
  </si>
  <si>
    <t>Almus Burr 제거라인 확인 및 공간확보 혹은 당사 외주 발주</t>
    <phoneticPr fontId="10" type="noConversion"/>
  </si>
  <si>
    <t>삼성 CNC라인 공조설치</t>
    <phoneticPr fontId="10" type="noConversion"/>
  </si>
  <si>
    <t>5월15일 이전까지 삼성 CNC라인 공조 설치 및 배풍 개선</t>
    <phoneticPr fontId="10" type="noConversion"/>
  </si>
  <si>
    <t>캐스팅 라인 덮개 26대 공사 완료 및 배풍 시설 개선</t>
    <phoneticPr fontId="10" type="noConversion"/>
  </si>
  <si>
    <t>완료</t>
    <phoneticPr fontId="10" type="noConversion"/>
  </si>
  <si>
    <t>캐스팅 라인 집진 장비 테스트 및 문 추가 설치(통풍)</t>
    <phoneticPr fontId="10" type="noConversion"/>
  </si>
  <si>
    <t>TEST</t>
    <phoneticPr fontId="10" type="noConversion"/>
  </si>
  <si>
    <t>도착</t>
    <phoneticPr fontId="10" type="noConversion"/>
  </si>
  <si>
    <t>캐스팅 설비 350톤 4대 도착 및 생산</t>
    <phoneticPr fontId="10" type="noConversion"/>
  </si>
  <si>
    <t>2026년 7월부터 350톤 24대, 125톤 2대 체제 운영</t>
    <phoneticPr fontId="10" type="noConversion"/>
  </si>
  <si>
    <t>캐스팅 설비 400톤 2대 외주 임대 개시</t>
    <phoneticPr fontId="10" type="noConversion"/>
  </si>
  <si>
    <t>금형라인 CNC로 임시 생산 이동 및 생산</t>
    <phoneticPr fontId="10" type="noConversion"/>
  </si>
  <si>
    <t>이전</t>
    <phoneticPr fontId="10" type="noConversion"/>
  </si>
  <si>
    <t>생산</t>
    <phoneticPr fontId="10" type="noConversion"/>
  </si>
  <si>
    <t>현재 설비 전부 이동 (가공기 6대/방전기2대/와이어 1대)</t>
    <phoneticPr fontId="10" type="noConversion"/>
  </si>
  <si>
    <t>금형라인 사무실 및 유지보수 임시 이동 운영</t>
    <phoneticPr fontId="10" type="noConversion"/>
  </si>
  <si>
    <t>임시운영</t>
    <phoneticPr fontId="10" type="noConversion"/>
  </si>
  <si>
    <t>복귀</t>
    <phoneticPr fontId="10" type="noConversion"/>
  </si>
  <si>
    <t>금형가공 라인 공사 진행 (현 가공+사무실+공구창고)</t>
    <phoneticPr fontId="10" type="noConversion"/>
  </si>
  <si>
    <t xml:space="preserve">금형유지보수 라인 공사 진행 </t>
    <phoneticPr fontId="10" type="noConversion"/>
  </si>
  <si>
    <t>금형설비 발주 (방전기 4대, 가공기 2대, 와이어 1대)</t>
    <phoneticPr fontId="10" type="noConversion"/>
  </si>
  <si>
    <t>가공 6-8대, 방전 6대, 와이어 2대, 일반 방전 2-4대</t>
    <phoneticPr fontId="10" type="noConversion"/>
  </si>
  <si>
    <t>금형 자동화 라인</t>
    <phoneticPr fontId="10" type="noConversion"/>
  </si>
  <si>
    <t>CMM2대 자동화 및 AMR 도입 로봇형 자동화 라인</t>
    <phoneticPr fontId="10" type="noConversion"/>
  </si>
  <si>
    <t>금형 자동화 라인 CMM측정설비 도입 (신규 1대)</t>
    <phoneticPr fontId="10" type="noConversion"/>
  </si>
  <si>
    <t>CMM1대는 기존 설비 이동, CMM 1대는 추가 구매 진행</t>
    <phoneticPr fontId="10" type="noConversion"/>
  </si>
  <si>
    <t>QC측정 자동화 라인 (CMM 3대 자동측정 라인)</t>
    <phoneticPr fontId="10" type="noConversion"/>
  </si>
  <si>
    <t>CL4 &amp; IMEB CNC라인 이동</t>
    <phoneticPr fontId="10" type="noConversion"/>
  </si>
  <si>
    <t>라인이동</t>
    <phoneticPr fontId="10" type="noConversion"/>
  </si>
  <si>
    <t>Braket 자동화 검사 5대운영</t>
    <phoneticPr fontId="10" type="noConversion"/>
  </si>
  <si>
    <t>Bracket Hot Press 자동화 4개라인 운영</t>
    <phoneticPr fontId="10" type="noConversion"/>
  </si>
  <si>
    <t>Bracket 자동화 Index 6개 라인 운영</t>
    <phoneticPr fontId="10" type="noConversion"/>
  </si>
  <si>
    <t>Bracket 자동화 사상 6개라인 운영</t>
    <phoneticPr fontId="10" type="noConversion"/>
  </si>
  <si>
    <t>Bracket 자동화 로봇 사상 라인 16개 라인 운영</t>
    <phoneticPr fontId="10" type="noConversion"/>
  </si>
  <si>
    <t>Bracket 자동화 바렐 라인 라인 운영</t>
    <phoneticPr fontId="10" type="noConversion"/>
  </si>
  <si>
    <t>소싱</t>
    <phoneticPr fontId="10" type="noConversion"/>
  </si>
  <si>
    <t>Bracket 화성라인 개선 진행</t>
    <phoneticPr fontId="10" type="noConversion"/>
  </si>
  <si>
    <t>Braket 자동화 검사 5대 이동 설치 (자동화 투입개선)</t>
    <phoneticPr fontId="10" type="noConversion"/>
  </si>
  <si>
    <t>이동설치</t>
    <phoneticPr fontId="10" type="noConversion"/>
  </si>
  <si>
    <t>현재 OQC 구역으로 5대 이동 설치/ 투입 자동화 추가 개선</t>
    <phoneticPr fontId="10" type="noConversion"/>
  </si>
  <si>
    <t>Bracket 자동화 라인 완성</t>
    <phoneticPr fontId="10" type="noConversion"/>
  </si>
  <si>
    <t>열정형4대/자동사상6대/로봇사상16대/자동인덱스6대 300만개 캐파</t>
    <phoneticPr fontId="10" type="noConversion"/>
  </si>
  <si>
    <t>캐스팅 총 운영 가능 Capa</t>
    <phoneticPr fontId="10" type="noConversion"/>
  </si>
  <si>
    <t>내부: 250톤 24대, 125톤 2대, 외부 400톤 2대, 125톤 2대 총 30대</t>
    <phoneticPr fontId="10" type="noConversion"/>
  </si>
  <si>
    <t>Bien Viet</t>
  </si>
  <si>
    <t>Dasan</t>
    <phoneticPr fontId="10" type="noConversion"/>
  </si>
  <si>
    <t>Chargable income accumulated</t>
  </si>
  <si>
    <t>Non - deductable expense</t>
  </si>
  <si>
    <t>M&amp;C2025-1030-BV</t>
  </si>
  <si>
    <t>M&amp;C2025-1218-BV</t>
  </si>
  <si>
    <t>M&amp;C2026-0206-BV</t>
  </si>
  <si>
    <t>Vendor</t>
  </si>
  <si>
    <t>Contrat no</t>
  </si>
  <si>
    <t>M&amp;C2026-0406-BV</t>
  </si>
  <si>
    <t>Amount contract</t>
  </si>
  <si>
    <t>M&amp;C- NB /20251226</t>
  </si>
  <si>
    <t>CHINA NINGBO INTERNATIONAL COOPERATION CO.，LTD</t>
  </si>
  <si>
    <t>M&amp;C-TOYO/20260213, M&amp;C-TOYO/20260126</t>
  </si>
  <si>
    <t>TOYO INNOVEX CO.M LTD</t>
  </si>
  <si>
    <t>M&amp;C- SJF20250925</t>
  </si>
  <si>
    <t>SHINJIN FURNACE MACHINERY CO., LTD</t>
  </si>
  <si>
    <t>M&amp;C- FUHENGHUI /20260309</t>
  </si>
  <si>
    <t>FUHENGHUI TECHNOLOGY (HK) Co., Ltd</t>
  </si>
  <si>
    <t>3003/M&amp;C- SK/2026</t>
  </si>
  <si>
    <t>M&amp;C- FUHENGHUI /20251219</t>
  </si>
  <si>
    <t>2026/ SKMC/001</t>
  </si>
  <si>
    <t>M&amp;C- FUHENGHUI /20260223-01</t>
  </si>
  <si>
    <t>M&amp;C- FUHENGHUI /20260223</t>
  </si>
  <si>
    <t xml:space="preserve">FUHENGHUI </t>
  </si>
  <si>
    <t xml:space="preserve"> SYMKOS</t>
  </si>
  <si>
    <t>CƠ KHÍ VÀ THIẾT BỊ ĐIỆN HẠO QUANG</t>
  </si>
  <si>
    <t>SYMKOS</t>
  </si>
  <si>
    <t>Other Expenses
(Net other Income &amp; expense &amp; gain loss exchange rate)</t>
  </si>
  <si>
    <t>LG HSG Sub total</t>
    <phoneticPr fontId="10" type="noConversion"/>
  </si>
  <si>
    <t>LG CVR Sub total</t>
    <phoneticPr fontId="10" type="noConversion"/>
  </si>
  <si>
    <t>CAM HSG Sub total</t>
    <phoneticPr fontId="10" type="noConversion"/>
  </si>
  <si>
    <t>CAM CVR Sub total</t>
    <phoneticPr fontId="10" type="noConversion"/>
  </si>
  <si>
    <t>CAM L.Mount Sub total</t>
    <phoneticPr fontId="10" type="noConversion"/>
  </si>
  <si>
    <t>Motor CVR Sub total</t>
    <phoneticPr fontId="10" type="noConversion"/>
  </si>
  <si>
    <t>Motor HSG Sub total</t>
    <phoneticPr fontId="10" type="noConversion"/>
  </si>
  <si>
    <t>LGIT Sub total</t>
    <phoneticPr fontId="10" type="noConversion"/>
  </si>
  <si>
    <t>Mando Sub total</t>
    <phoneticPr fontId="10" type="noConversion"/>
  </si>
  <si>
    <t>ZF Sub total</t>
    <phoneticPr fontId="10" type="noConversion"/>
  </si>
  <si>
    <t>A Sub total</t>
    <phoneticPr fontId="10" type="noConversion"/>
  </si>
  <si>
    <t>Mando Sub Total</t>
    <phoneticPr fontId="10" type="noConversion"/>
  </si>
  <si>
    <t>LGIT Sub Total</t>
    <phoneticPr fontId="10" type="noConversion"/>
  </si>
  <si>
    <t>Heatsink Sub Total</t>
    <phoneticPr fontId="10" type="noConversion"/>
  </si>
  <si>
    <t>ZF HSG Total</t>
    <phoneticPr fontId="10" type="noConversion"/>
  </si>
  <si>
    <t>ZF CVR Total</t>
    <phoneticPr fontId="10" type="noConversion"/>
  </si>
  <si>
    <t>ZF Others Total</t>
    <phoneticPr fontId="10" type="noConversion"/>
  </si>
  <si>
    <t>ZF Sub Total</t>
    <phoneticPr fontId="10" type="noConversion"/>
  </si>
  <si>
    <t>A Total</t>
    <phoneticPr fontId="10" type="noConversion"/>
  </si>
  <si>
    <t>Sales Sub-Total</t>
    <phoneticPr fontId="10" type="noConversion"/>
  </si>
  <si>
    <t>Others Part</t>
    <phoneticPr fontId="10" type="noConversion"/>
  </si>
  <si>
    <t>CAM Mount</t>
    <phoneticPr fontId="10" type="noConversion"/>
  </si>
  <si>
    <t>Motor HSG Sub Total</t>
    <phoneticPr fontId="10" type="noConversion"/>
  </si>
  <si>
    <t>Motor CVR Sub Total</t>
    <phoneticPr fontId="10" type="noConversion"/>
  </si>
  <si>
    <t>CAM HSG Sub Total</t>
    <phoneticPr fontId="10" type="noConversion"/>
  </si>
  <si>
    <t>CAM CVR Sub Total</t>
    <phoneticPr fontId="10" type="noConversion"/>
  </si>
  <si>
    <t>CAM L.Mount Sub Total</t>
    <phoneticPr fontId="10" type="noConversion"/>
  </si>
  <si>
    <t>Motor HSG sub Total</t>
    <phoneticPr fontId="10" type="noConversion"/>
  </si>
  <si>
    <t>Motor CVR sub Total</t>
    <phoneticPr fontId="10" type="noConversion"/>
  </si>
  <si>
    <t>Hong Da</t>
    <phoneticPr fontId="10" type="noConversion"/>
  </si>
  <si>
    <t>Mas65</t>
    <phoneticPr fontId="10" type="noConversion"/>
  </si>
  <si>
    <t>AL5</t>
    <phoneticPr fontId="10" type="noConversion"/>
  </si>
  <si>
    <t>MPC5.5</t>
    <phoneticPr fontId="10" type="noConversion"/>
  </si>
  <si>
    <t>Estimate Incom Tax - (will be pay on Mar of 2027 $700k)</t>
    <phoneticPr fontId="10" type="noConversion"/>
  </si>
  <si>
    <t>1) Investment plan Payment</t>
    <phoneticPr fontId="9" type="noConversion"/>
  </si>
  <si>
    <t>Unit: USD</t>
    <phoneticPr fontId="9" type="noConversion"/>
  </si>
  <si>
    <t>Category 1</t>
    <phoneticPr fontId="5" type="noConversion"/>
  </si>
  <si>
    <t>No</t>
    <phoneticPr fontId="10" type="noConversion"/>
  </si>
  <si>
    <t>Categry 2</t>
    <phoneticPr fontId="5" type="noConversion"/>
  </si>
  <si>
    <t>Q'TY</t>
    <phoneticPr fontId="5" type="noConversion"/>
  </si>
  <si>
    <t>Total Amount</t>
    <phoneticPr fontId="10" type="noConversion"/>
  </si>
  <si>
    <t>IT</t>
    <phoneticPr fontId="10" type="noConversion"/>
  </si>
  <si>
    <t>Network 및 보안(방화벽)업그레이드 시스템 (1차)</t>
    <phoneticPr fontId="10" type="noConversion"/>
  </si>
  <si>
    <t>Sub total</t>
    <phoneticPr fontId="84" type="noConversion"/>
  </si>
  <si>
    <t>Mold</t>
    <phoneticPr fontId="10" type="noConversion"/>
  </si>
  <si>
    <t>3 Axis High Speed CNC (고속 가공기, Komatech)</t>
    <phoneticPr fontId="10" type="noConversion"/>
  </si>
  <si>
    <t>3 Axis High Speed CNC (고속 가공기, Makino)</t>
    <phoneticPr fontId="10" type="noConversion"/>
  </si>
  <si>
    <t>Wire Cut EDM (와이어, Sodic)</t>
    <phoneticPr fontId="10" type="noConversion"/>
  </si>
  <si>
    <t>Electrical Discharge Machine (방전기, Sodic)</t>
    <phoneticPr fontId="10" type="noConversion"/>
  </si>
  <si>
    <t>Automation line (가공 / 방전 자동화 라인)</t>
    <phoneticPr fontId="10" type="noConversion"/>
  </si>
  <si>
    <t>Super Dril</t>
    <phoneticPr fontId="10" type="noConversion"/>
  </si>
  <si>
    <t>Laser Welder</t>
    <phoneticPr fontId="10" type="noConversion"/>
  </si>
  <si>
    <t>Ultrasonic cleaner (진공 초음파 세척기)</t>
    <phoneticPr fontId="10" type="noConversion"/>
  </si>
  <si>
    <t>Production 1</t>
    <phoneticPr fontId="10" type="noConversion"/>
  </si>
  <si>
    <t>이형제 공급 펌프</t>
    <phoneticPr fontId="10" type="noConversion"/>
  </si>
  <si>
    <t xml:space="preserve">Toyo 350Ton </t>
    <phoneticPr fontId="10" type="noConversion"/>
  </si>
  <si>
    <t>상부침전식 용해로 -Top sedimentation furnace 350ton</t>
    <phoneticPr fontId="10" type="noConversion"/>
  </si>
  <si>
    <t>Production 2</t>
    <phoneticPr fontId="10" type="noConversion"/>
  </si>
  <si>
    <t>ZF용 연마석 바렐 자동화 설비</t>
    <phoneticPr fontId="10" type="noConversion"/>
  </si>
  <si>
    <t>Blaket Auto Polishing Machine 2차</t>
    <phoneticPr fontId="10" type="noConversion"/>
  </si>
  <si>
    <t>ZF CNC Auto Machine (추가)</t>
    <phoneticPr fontId="10" type="noConversion"/>
  </si>
  <si>
    <t xml:space="preserve">ZF LENS MOUNT -TR/PO/TAP Auto </t>
    <phoneticPr fontId="10" type="noConversion"/>
  </si>
  <si>
    <t>ZF Trimming ACP Auto Machine (베이스 교체)</t>
    <phoneticPr fontId="10" type="noConversion"/>
  </si>
  <si>
    <t>CNC -Automation 1V8-SDR 1st Line</t>
    <phoneticPr fontId="10" type="noConversion"/>
  </si>
  <si>
    <t>Sending and Cleaning Line (Samsung support)</t>
    <phoneticPr fontId="10" type="noConversion"/>
  </si>
  <si>
    <t>공정이동 box 세척장치</t>
    <phoneticPr fontId="10" type="noConversion"/>
  </si>
  <si>
    <t>프로브 수리</t>
    <phoneticPr fontId="10" type="noConversion"/>
  </si>
  <si>
    <t>Auto Polishing Machine 1차</t>
    <phoneticPr fontId="10" type="noConversion"/>
  </si>
  <si>
    <t>Auto Laser line</t>
    <phoneticPr fontId="10" type="noConversion"/>
  </si>
  <si>
    <t>3+2 Axis Index  (삼천리)</t>
    <phoneticPr fontId="10" type="noConversion"/>
  </si>
  <si>
    <t>Tapping Machine</t>
    <phoneticPr fontId="10" type="noConversion"/>
  </si>
  <si>
    <t>Tapping Machine (추가)</t>
    <phoneticPr fontId="10" type="noConversion"/>
  </si>
  <si>
    <t>Auto Hot Press (추가)</t>
    <phoneticPr fontId="10" type="noConversion"/>
  </si>
  <si>
    <t>CNC -Automation 1V8-SDR</t>
    <phoneticPr fontId="10" type="noConversion"/>
  </si>
  <si>
    <t>QC</t>
    <phoneticPr fontId="10" type="noConversion"/>
  </si>
  <si>
    <t>CNC Block 검사 라인 1대</t>
    <phoneticPr fontId="10" type="noConversion"/>
  </si>
  <si>
    <t>3D 스캐너 측정 프로그램 ZEISS INSPECT OPTICAL 3D PRO</t>
    <phoneticPr fontId="10" type="noConversion"/>
  </si>
  <si>
    <t>3D 스캐너 측정 로봇 (전용 ZEISS SCAN POT)</t>
    <phoneticPr fontId="10" type="noConversion"/>
  </si>
  <si>
    <t>QC SPC 데이터 관리 프로그램 (제품 측정 연계)</t>
    <phoneticPr fontId="10" type="noConversion"/>
  </si>
  <si>
    <t>Bracket 자동 비전 검사 라인</t>
    <phoneticPr fontId="10" type="noConversion"/>
  </si>
  <si>
    <t>Other &amp; Repair</t>
    <phoneticPr fontId="5" type="noConversion"/>
  </si>
  <si>
    <t xml:space="preserve">Casting Scrubber 배기 (32,000m2/H)&amp; DUCT </t>
    <phoneticPr fontId="10" type="noConversion"/>
  </si>
  <si>
    <t>금형 라인 개선 &amp; 공조 /Mold line improvement work &amp; air conditioning facilities</t>
    <phoneticPr fontId="9" type="noConversion"/>
  </si>
  <si>
    <t>변압기 2500KV 변경</t>
    <phoneticPr fontId="9" type="noConversion"/>
  </si>
  <si>
    <t>Other (Move Machine and Building Repairs, layout 개선)</t>
    <phoneticPr fontId="10" type="noConversion"/>
  </si>
  <si>
    <t>Casting 전력 케이블 증설 (Electric cable)</t>
    <phoneticPr fontId="10" type="noConversion"/>
  </si>
  <si>
    <t>Casting Repair 350ton &amp; Include Logistic cost</t>
    <phoneticPr fontId="10" type="noConversion"/>
  </si>
  <si>
    <t>Casting Repair 125ton &amp; Include Logistic cost</t>
    <phoneticPr fontId="10" type="noConversion"/>
  </si>
  <si>
    <t>휴게실 인테리어 내/외부 공사 (In/Exterior Construction of Rest Area)</t>
    <phoneticPr fontId="10" type="noConversion"/>
  </si>
  <si>
    <t>Casting 금형 냉각수 드레인(자연낙하)공사 (비트,Chiller,Tank)</t>
    <phoneticPr fontId="10" type="noConversion"/>
  </si>
  <si>
    <t xml:space="preserve">CNC 2(SEVT)라인 배기 덕트 및 개선 공사  </t>
    <phoneticPr fontId="10" type="noConversion"/>
  </si>
  <si>
    <t>PCCC - 알람 센서 추가 및 승인 (2025년 이월)</t>
    <phoneticPr fontId="10" type="noConversion"/>
  </si>
  <si>
    <t>Boom lift for Utinity (리프트)</t>
    <phoneticPr fontId="10" type="noConversion"/>
  </si>
  <si>
    <t>서버실 확장 공사</t>
    <phoneticPr fontId="10" type="noConversion"/>
  </si>
  <si>
    <t xml:space="preserve">Other (Move Machine and Building Repairs) 2025년 이월 비용 포함 </t>
    <phoneticPr fontId="10" type="noConversion"/>
  </si>
  <si>
    <t>Grand Total</t>
    <phoneticPr fontId="84" type="noConversion"/>
  </si>
  <si>
    <t>2) Investment plan (holding)</t>
    <phoneticPr fontId="9" type="noConversion"/>
  </si>
  <si>
    <t>IT</t>
    <phoneticPr fontId="5" type="noConversion"/>
  </si>
  <si>
    <t>Network 및 보안(방화벽)업그레이드 시스템 (2차)</t>
    <phoneticPr fontId="10" type="noConversion"/>
  </si>
  <si>
    <t>Network 공사 (설비별 렌공사 및 중간 스위치 허브 설치)</t>
    <phoneticPr fontId="10" type="noConversion"/>
  </si>
  <si>
    <t>MES + 서버</t>
    <phoneticPr fontId="10" type="noConversion"/>
  </si>
  <si>
    <t>Mold</t>
    <phoneticPr fontId="9" type="noConversion"/>
  </si>
  <si>
    <t>PVD Coating Machine</t>
    <phoneticPr fontId="10" type="noConversion"/>
  </si>
  <si>
    <t>중속 가공기(Middle-Speed Machining Center)</t>
    <phoneticPr fontId="10" type="noConversion"/>
  </si>
  <si>
    <t>Casting 냉방 공조기</t>
    <phoneticPr fontId="10" type="noConversion"/>
  </si>
  <si>
    <t xml:space="preserve">Chromate - Auto (개조) 추가  </t>
    <phoneticPr fontId="10" type="noConversion"/>
  </si>
  <si>
    <t xml:space="preserve">PEO Coating </t>
    <phoneticPr fontId="10" type="noConversion"/>
  </si>
  <si>
    <t>AGV등 반제품 이동 자동화 로봇</t>
    <phoneticPr fontId="10" type="noConversion"/>
  </si>
  <si>
    <t>완제품 창고 자동화</t>
    <phoneticPr fontId="10" type="noConversion"/>
  </si>
  <si>
    <t>적재 및 포장 로봇</t>
    <phoneticPr fontId="10" type="noConversion"/>
  </si>
  <si>
    <t>발전기1500KW</t>
    <phoneticPr fontId="10" type="noConversion"/>
  </si>
  <si>
    <t>창고 재건축 공사(외부 -쓰레기 집하장)</t>
    <phoneticPr fontId="10" type="noConversion"/>
  </si>
  <si>
    <t>3) Investment Payment (Long-term loan)</t>
    <phoneticPr fontId="9" type="noConversion"/>
  </si>
  <si>
    <t>Category</t>
    <phoneticPr fontId="9" type="noConversion"/>
  </si>
  <si>
    <t>M&amp;C Payments</t>
    <phoneticPr fontId="9" type="noConversion"/>
  </si>
  <si>
    <t>Total</t>
    <phoneticPr fontId="9" type="noConversion"/>
  </si>
  <si>
    <t>4) Depreciation</t>
    <phoneticPr fontId="9" type="noConversion"/>
  </si>
  <si>
    <t>Unit : USD</t>
    <phoneticPr fontId="9" type="noConversion"/>
  </si>
  <si>
    <t>M&amp;C2026-0407 &amp;M&amp;C2026- 0303</t>
  </si>
  <si>
    <t xml:space="preserve">12. Fix Assets  Loan (FA) </t>
    <phoneticPr fontId="10" type="noConversion"/>
  </si>
  <si>
    <t>1. Fix Assets use long loan And Finacial Fix assets ( Principle Amount)</t>
    <phoneticPr fontId="10" type="noConversion"/>
  </si>
  <si>
    <t>연말 전액 상환</t>
    <phoneticPr fontId="10" type="noConversion"/>
  </si>
  <si>
    <t>Unit: USD</t>
    <phoneticPr fontId="10" type="noConversion"/>
  </si>
  <si>
    <t>Category</t>
    <phoneticPr fontId="18" type="noConversion"/>
  </si>
  <si>
    <t>Principle monthly (Average)</t>
    <phoneticPr fontId="10" type="noConversion"/>
  </si>
  <si>
    <t xml:space="preserve">Casting Machine 350V7EX </t>
    <phoneticPr fontId="10" type="noConversion"/>
  </si>
  <si>
    <t>Sub Total</t>
    <phoneticPr fontId="18" type="noConversion"/>
  </si>
  <si>
    <t xml:space="preserve"> Total  Principle</t>
    <phoneticPr fontId="18" type="noConversion"/>
  </si>
  <si>
    <t>2.Fix Assets use long loan And Finacial Fix assets ( Interest Amount)</t>
    <phoneticPr fontId="10" type="noConversion"/>
  </si>
  <si>
    <t>Interest</t>
    <phoneticPr fontId="10" type="noConversion"/>
  </si>
  <si>
    <t>Interest monthly (Average)</t>
    <phoneticPr fontId="10" type="noConversion"/>
  </si>
  <si>
    <t>Total</t>
    <phoneticPr fontId="18" type="noConversion"/>
  </si>
  <si>
    <t>Meal + other Welfare</t>
  </si>
  <si>
    <t>M&amp;C2026-0505-BV</t>
  </si>
  <si>
    <t xml:space="preserve"> M&amp;C2026-0428-BV</t>
  </si>
  <si>
    <t>4Cavity using</t>
    <phoneticPr fontId="10" type="noConversion"/>
  </si>
  <si>
    <t>4Cavity using from June</t>
    <phoneticPr fontId="10" type="noConversion"/>
  </si>
  <si>
    <t>4Cavity using from May</t>
    <phoneticPr fontId="10" type="noConversion"/>
  </si>
  <si>
    <t>FCA Housing</t>
    <phoneticPr fontId="10" type="noConversion"/>
  </si>
  <si>
    <t>Galaxy Tap</t>
    <phoneticPr fontId="10" type="noConversion"/>
  </si>
  <si>
    <t>Galaxy Tap</t>
  </si>
  <si>
    <t>US Cover</t>
  </si>
  <si>
    <t>1-4 AVG</t>
    <phoneticPr fontId="10" type="noConversion"/>
  </si>
  <si>
    <t>5-12 AVG</t>
    <phoneticPr fontId="10" type="noConversion"/>
  </si>
  <si>
    <t>Diff</t>
    <phoneticPr fontId="10" type="noConversion"/>
  </si>
  <si>
    <t>Check Salary</t>
    <phoneticPr fontId="10" type="noConversion"/>
  </si>
  <si>
    <t>Check Warehouse Fee for LG and Mando</t>
    <phoneticPr fontId="10" type="noConversion"/>
  </si>
  <si>
    <t>Check Sorting Fee for LG and Mando</t>
    <phoneticPr fontId="10" type="noConversion"/>
  </si>
  <si>
    <t>Regarding Logistic gee will decrease from Sep because of STOP OF LG business</t>
    <phoneticPr fontId="10" type="noConversion"/>
  </si>
  <si>
    <t>Warehouse비용과 Sorting비용은 5-8월은 변화가 없을 것으로 보이고</t>
    <phoneticPr fontId="10" type="noConversion"/>
  </si>
  <si>
    <t xml:space="preserve">9월부터는 LG비즈니스가 거의 끝날 것이므로 LG는 20%만 반영하고 </t>
    <phoneticPr fontId="10" type="noConversion"/>
  </si>
  <si>
    <t xml:space="preserve">만도는 그대로 반영할 것. </t>
    <phoneticPr fontId="10" type="noConversion"/>
  </si>
  <si>
    <t>LG비즈니스가 9월부터 거의 없을 것이므로 운임 제외하고 만도만 반영할 것.</t>
    <phoneticPr fontId="10" type="noConversion"/>
  </si>
  <si>
    <t>그만두는 사람과 신규 채용 반영하여 조정 요망</t>
    <phoneticPr fontId="10" type="noConversion"/>
  </si>
  <si>
    <t>주재원은 김도근 부장 60-70%정도의 1인 인원 충원으로 반영 요망</t>
    <phoneticPr fontId="10" type="noConversion"/>
  </si>
  <si>
    <t>잘 반영한 것으로 보이는데 다시 한번 체크할것. LG거래 중지되는 9월부터 조정 요망</t>
    <phoneticPr fontId="10" type="noConversion"/>
  </si>
  <si>
    <t>절감인원 목표를 181명으로 하지말고 100명만 반영할 것. 실제 목표는 181명으로 하되 사업계획은 100명만 반영 요망</t>
    <phoneticPr fontId="10" type="noConversion"/>
  </si>
  <si>
    <t>CHECK요망</t>
    <phoneticPr fontId="10" type="noConversion"/>
  </si>
  <si>
    <t>증가되는 경우 추가 반영할 것</t>
    <phoneticPr fontId="10" type="noConversion"/>
  </si>
  <si>
    <t xml:space="preserve">불용재고 처리는 1달에 과다하게 하지 말고 현재 물량과 추가 발생을 예상하여 5-12월 전체로 반영할 것. </t>
    <phoneticPr fontId="10" type="noConversion"/>
  </si>
  <si>
    <t xml:space="preserve">2027년 이후 투자 유치를 위해서 회사 순이익이 5%는 나와야 함. </t>
  </si>
  <si>
    <t>전체적으로 CHECK하여 실질적으로 예상과 결과가 최대한 근접하도록</t>
    <phoneticPr fontId="10" type="noConversion"/>
  </si>
  <si>
    <t>매달 결산 이후 확인하고 조정하고 CHECK할것</t>
    <phoneticPr fontId="10" type="noConversion"/>
  </si>
  <si>
    <t xml:space="preserve">현재 12.49% 차이가 나는데 최대한 3-5% 이내여야 함. </t>
    <phoneticPr fontId="10" type="noConversion"/>
  </si>
  <si>
    <t>Estimate Depreciation</t>
    <phoneticPr fontId="9" type="noConversion"/>
  </si>
  <si>
    <t>Estimate Amotization</t>
    <phoneticPr fontId="9" type="noConversion"/>
  </si>
  <si>
    <t>자산 분류</t>
  </si>
  <si>
    <t>최소 (년)</t>
  </si>
  <si>
    <t>최대 (년)</t>
  </si>
  <si>
    <t>금속 주조 및 압주 기계 (다이캐스팅 포함)</t>
  </si>
  <si>
    <t>금속 단조·압연·신선·압출 장비</t>
  </si>
  <si>
    <t>기타 금속 가공 기계 및 장비</t>
  </si>
  <si>
    <t>공작기계 (선반·밀링·드릴·CNC 가공 등)</t>
  </si>
  <si>
    <t>부품·전자·광학·정밀기계 생산 전문 장비</t>
  </si>
  <si>
    <t>자산 유형</t>
  </si>
  <si>
    <t>건물 (공장 본동)</t>
  </si>
  <si>
    <t>교대근무실·식당·탈의실·차고</t>
  </si>
  <si>
    <t>창고·저장탱크·도로</t>
  </si>
  <si>
    <t>기타 구조물</t>
  </si>
  <si>
    <t>공작기계</t>
  </si>
  <si>
    <t>발전기</t>
  </si>
  <si>
    <t>변압기 및 전기 장비</t>
  </si>
  <si>
    <t>기타 동력기계 및 장비</t>
  </si>
  <si>
    <t>부품·전자·광학·정밀기계 생산 장비</t>
  </si>
  <si>
    <t>사출·고무·플라스틱 등 화학물질 생산 장비</t>
  </si>
  <si>
    <t>직물 산업 기계 및 장비</t>
  </si>
  <si>
    <t>의류 산업 기계 및 장비</t>
  </si>
  <si>
    <t>건축자재·석기·유리 제품 생산 장비</t>
  </si>
  <si>
    <t>식품 생산 및 가공 기계</t>
  </si>
  <si>
    <t>석유화학공업 기계 및 장비</t>
  </si>
  <si>
    <t>건설기계 및 설비</t>
  </si>
  <si>
    <t>크레인</t>
  </si>
  <si>
    <t>기타 기계 및 장비</t>
  </si>
  <si>
    <t>기계·통신·전자·컴퓨터·TV</t>
  </si>
  <si>
    <t>주조 금형</t>
  </si>
  <si>
    <t>공인 -&gt; 기술직 전원 인원을 반영하여 인원을 확인 조정함.</t>
    <phoneticPr fontId="10" type="noConversion"/>
  </si>
  <si>
    <t>공작기계 , CNC 기계등 주요 투자 설비의 감가상각 기간이 7년임 , 계획에 기존 5년으로 반영된 부분을 7년으로 수정함.</t>
    <phoneticPr fontId="9" type="noConversion"/>
  </si>
  <si>
    <t>브라켓 사상 자동화를 통한 사장 외주비용 감소 (1~4월 평균 브라켓 외주사상 비용 26,540불의 감소가 주요 원인임, 5월 이후 브라켓 사상 외주 취소함)</t>
    <phoneticPr fontId="10" type="noConversion"/>
  </si>
  <si>
    <t>매출대비 비율</t>
    <phoneticPr fontId="10" type="noConversion"/>
  </si>
  <si>
    <t>평균 비용</t>
    <phoneticPr fontId="10" type="noConversion"/>
  </si>
  <si>
    <t>중량 확인 추가 확인</t>
    <phoneticPr fontId="10" type="noConversion"/>
  </si>
  <si>
    <t>싱가포르 비용 확인</t>
    <phoneticPr fontId="10" type="noConversion"/>
  </si>
  <si>
    <t>1-4월 매출액 대비 비중 4.50%</t>
    <phoneticPr fontId="10" type="noConversion"/>
  </si>
  <si>
    <t>1-4월 매출액 대비 4.5% (전년도는 매출액 대비 4.74% 였음) 일부 감소된 부분 반영</t>
    <phoneticPr fontId="10" type="noConversion"/>
  </si>
  <si>
    <t>공식 수정 신규설비상각과 이연자산 상각이 모두 설비상각에 반영되어 항목을 나누어 수정함</t>
    <phoneticPr fontId="10" type="noConversion"/>
  </si>
  <si>
    <t>확인 필요함.</t>
    <phoneticPr fontId="10" type="noConversion"/>
  </si>
  <si>
    <t xml:space="preserve">미반영 분 8개월 분할 하여 월간 8.9만불 반영 </t>
    <phoneticPr fontId="10" type="noConversion"/>
  </si>
  <si>
    <t>101명으로 조정, 공인에서 기술직 전환인원에 대한 인건비 반영</t>
    <phoneticPr fontId="10" type="noConversion"/>
  </si>
  <si>
    <t>5~8월 LG 소팅비용을 전년도 수준으로 조정 (LG 매출액 대비 4.6% 적용)</t>
    <phoneticPr fontId="10" type="noConversion"/>
  </si>
  <si>
    <t>이즈미 이형제 스프레이</t>
    <phoneticPr fontId="10" type="noConversion"/>
  </si>
  <si>
    <t>Casting Machine Cover &amp; Duct &amp; Fire Pad (1차)</t>
    <phoneticPr fontId="10" type="noConversion"/>
  </si>
  <si>
    <t>Casting Machine Cover &amp; Duct &amp; Fire Pad (2차)</t>
    <phoneticPr fontId="10" type="noConversion"/>
  </si>
  <si>
    <t>2026.06.06</t>
    <phoneticPr fontId="10" type="noConversion"/>
  </si>
  <si>
    <t>Rev 26</t>
    <phoneticPr fontId="10" type="noConversion"/>
  </si>
  <si>
    <t>Plan</t>
    <phoneticPr fontId="10" type="noConversion"/>
  </si>
  <si>
    <t>Actual</t>
    <phoneticPr fontId="10" type="noConversion"/>
  </si>
  <si>
    <t>계획</t>
  </si>
  <si>
    <t>계획</t>
    <phoneticPr fontId="10" type="noConversion"/>
  </si>
  <si>
    <t>실적</t>
  </si>
  <si>
    <t>실적</t>
    <phoneticPr fontId="10" type="noConversion"/>
  </si>
  <si>
    <t>달성율</t>
    <phoneticPr fontId="10" type="noConversion"/>
  </si>
  <si>
    <t>증감</t>
  </si>
  <si>
    <t>증감</t>
    <phoneticPr fontId="10" type="noConversion"/>
  </si>
  <si>
    <t>아연 캐스팅 설비 Techmire Zinc Machine</t>
    <phoneticPr fontId="1" type="noConversion"/>
  </si>
  <si>
    <t>2D 비전 측정기, 2D Vision Measuring Machine</t>
    <phoneticPr fontId="1" type="noConversion"/>
  </si>
  <si>
    <t>접촉식 3차원 측정기 Contact Type CMM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</si>
</sst>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7">
    <numFmt numFmtId="7" formatCode="&quot;₩&quot;#,##0.00;\-&quot;₩&quot;#,##0.00"/>
    <numFmt numFmtId="8" formatCode="&quot;₩&quot;#,##0.00;[Red]\-&quot;₩&quot;#,##0.0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$&quot;#,##0_);[Red]\(&quot;$&quot;#,##0\)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_ * #,##0_ ;_ * \-#,##0_ ;_ * &quot;-&quot;??_ ;_ @_ "/>
    <numFmt numFmtId="182" formatCode="0.0%"/>
    <numFmt numFmtId="183" formatCode="[$-409]mmm/yy;@"/>
    <numFmt numFmtId="184" formatCode="#,##0_ ;[Red]\-#,##0\ "/>
    <numFmt numFmtId="185" formatCode="_(* #,##0_);_(* \(#,##0\);_(* &quot;-&quot;??_);_(@_)"/>
    <numFmt numFmtId="186" formatCode="[$-409]d/mmm/yy;@"/>
    <numFmt numFmtId="187" formatCode="_-* #,##0_-;\-* #,##0_-;_-* &quot;-&quot;??_-;_-@_-"/>
    <numFmt numFmtId="188" formatCode="_(&quot;$&quot;* #,##0_);_(&quot;$&quot;* \(#,##0\);_(&quot;$&quot;* &quot;-&quot;??_);_(@_)"/>
    <numFmt numFmtId="189" formatCode="_(&quot;$&quot;* #,##0.000_);_(&quot;$&quot;* \(#,##0.000\);_(&quot;$&quot;* &quot;-&quot;??_);_(@_)"/>
    <numFmt numFmtId="190" formatCode="_(&quot;$&quot;* #,##0.0000_);_(&quot;$&quot;* \(#,##0.0000\);_(&quot;$&quot;* &quot;-&quot;??_);_(@_)"/>
    <numFmt numFmtId="191" formatCode="0_);[Red]\(0\)"/>
    <numFmt numFmtId="192" formatCode="_-[$$-409]* #,##0.00_ ;_-[$$-409]* \-#,##0.00\ ;_-[$$-409]* &quot;-&quot;??_ ;_-@_ "/>
    <numFmt numFmtId="193" formatCode="_-* #,##0.0_-;\-* #,##0.0_-;_-* &quot;-&quot;_-;_-@_-"/>
    <numFmt numFmtId="194" formatCode="_-[$$-409]* #,##0_ ;_-[$$-409]* \-#,##0\ ;_-[$$-409]* &quot;-&quot;??_ ;_-@_ "/>
    <numFmt numFmtId="195" formatCode="_-* #,##0.00_-;\-* #,##0.00_-;_-* &quot;-&quot;_-;_-@_-"/>
    <numFmt numFmtId="196" formatCode="_-* #,##0.0_-;\-* #,##0.0_-;_-* &quot;-&quot;??_-;_-@_-"/>
    <numFmt numFmtId="197" formatCode="0.00_);[Red]\(0.00\)"/>
    <numFmt numFmtId="198" formatCode="_-* #,##0.000_-;\-* #,##0.000_-;_-* &quot;-&quot;_-;_-@_-"/>
    <numFmt numFmtId="199" formatCode="[$-409]mmmm&quot;-&quot;yy;@"/>
    <numFmt numFmtId="200" formatCode="0.0_);[Red]\(0.0\)"/>
    <numFmt numFmtId="201" formatCode="_-* #,##0.0000_-;\-* #,##0.0000_-;_-* &quot;-&quot;_-;_-@_-"/>
    <numFmt numFmtId="202" formatCode="_ [$¥-804]* #,##0.00_ ;_ [$¥-804]* \-#,##0.00_ ;_ [$¥-804]* &quot;-&quot;??_ ;_ @_ "/>
    <numFmt numFmtId="203" formatCode="_-[$¥-411]* #,##0.00_-;\-[$¥-411]* #,##0.00_-;_-[$¥-411]* &quot;-&quot;??_-;_-@_-"/>
    <numFmt numFmtId="204" formatCode="_-* #,##0\ [$₫-42A]_-;\-* #,##0\ [$₫-42A]_-;_-* &quot;-&quot;??\ [$₫-42A]_-;_-@_-"/>
    <numFmt numFmtId="205" formatCode="_-[$₩-412]* #,##0.00_-;\-[$₩-412]* #,##0.00_-;_-[$₩-412]* &quot;-&quot;??_-;_-@_-"/>
    <numFmt numFmtId="206" formatCode="_-[$$-4809]* #,##0.00_-;\-[$$-4809]* #,##0.00_-;_-[$$-4809]* &quot;-&quot;??_-;_-@_-"/>
    <numFmt numFmtId="207" formatCode="_([$$-409]* #,##0.00_);_([$$-409]* \(#,##0.00\);_([$$-409]* &quot;-&quot;??_);_(@_)"/>
    <numFmt numFmtId="208" formatCode="0.0"/>
    <numFmt numFmtId="209" formatCode="_(* #,##0.0000_);_(* \(#,##0.0000\);_(* &quot;-&quot;_);_(@_)"/>
    <numFmt numFmtId="210" formatCode="0.0000%"/>
    <numFmt numFmtId="211" formatCode="_-* #,##0.000000000000_-;\-* #,##0.000000000000_-;_-* &quot;-&quot;??_-;_-@_-"/>
    <numFmt numFmtId="212" formatCode="#,##0.00_ ;[Red]\-#,##0.00\ "/>
    <numFmt numFmtId="213" formatCode="#,##0_ "/>
    <numFmt numFmtId="214" formatCode="#,##0.000_ ;[Red]\-#,##0.000\ "/>
    <numFmt numFmtId="215" formatCode="#,##0.0_ ;[Red]\-#,##0.0\ "/>
    <numFmt numFmtId="216" formatCode="&quot;평균 : &quot;#"/>
    <numFmt numFmtId="217" formatCode="_ * #,##0.0_ ;_ * \-#,##0.0_ ;_ * &quot;-&quot;??_ ;_ @_ "/>
    <numFmt numFmtId="218" formatCode="0.0000000000000000_);[Red]\(0.0000000000000000\)"/>
    <numFmt numFmtId="219" formatCode="0.0000"/>
    <numFmt numFmtId="220" formatCode="_-[$$-409]* #,##0.000_ ;_-[$$-409]* \-#,##0.000\ ;_-[$$-409]* &quot;-&quot;??_ ;_-@_ "/>
    <numFmt numFmtId="221" formatCode="[$-409]d\-mmm\-yy;@"/>
    <numFmt numFmtId="222" formatCode="_(&quot;$&quot;* #,##0.0_);_(&quot;$&quot;* \(#,##0.0\);_(&quot;$&quot;* &quot;-&quot;??_);_(@_)"/>
    <numFmt numFmtId="223" formatCode="&quot;¥&quot;#,##0;[Red]&quot;¥&quot;\-#,##0"/>
    <numFmt numFmtId="224" formatCode="&quot;¥&quot;#,##0.00;[Red]&quot;¥&quot;\-#,##0.00"/>
    <numFmt numFmtId="225" formatCode="_ * #,##0_ ;_ * \-#,##0_ ;_ * &quot;-&quot;_ ;_ @_ "/>
    <numFmt numFmtId="226" formatCode="_ * #,##0.00_ ;_ * \-#,##0.00_ ;_ * &quot;-&quot;??_ ;_ @_ "/>
    <numFmt numFmtId="227" formatCode="[$-1010000]d/m/yyyy;@"/>
    <numFmt numFmtId="228" formatCode="##0.00\ &quot;RMB&quot;"/>
    <numFmt numFmtId="229" formatCode="_(* #,##0_);_(* &quot;₩&quot;&quot;₩&quot;&quot;₩&quot;&quot;₩&quot;&quot;₩&quot;&quot;₩&quot;&quot;₩&quot;&quot;₩&quot;\(#,##0&quot;₩&quot;&quot;₩&quot;&quot;₩&quot;&quot;₩&quot;&quot;₩&quot;&quot;₩&quot;&quot;₩&quot;&quot;₩&quot;\);_(* &quot;-&quot;??_);_(@_)"/>
    <numFmt numFmtId="230" formatCode="[$-409]d\-mmm;@"/>
    <numFmt numFmtId="231" formatCode="0.000000000"/>
    <numFmt numFmtId="232" formatCode="###0_);[Red]\(###0\)"/>
    <numFmt numFmtId="233" formatCode="\$#&quot;,&quot;##0\ ;\(\$#&quot;,&quot;##0\)"/>
    <numFmt numFmtId="234" formatCode="&quot;VND&quot;#,##0_);[Red]\(&quot;VND&quot;#,##0\)"/>
    <numFmt numFmtId="235" formatCode="#,##0&quot;£&quot;_);[Red]\(#,##0&quot;£&quot;\)"/>
    <numFmt numFmtId="236" formatCode="_-&quot;$&quot;* #,##0_-;\-&quot;$&quot;* #,##0_-;_-&quot;$&quot;* &quot;-&quot;_-;_-@_-"/>
    <numFmt numFmtId="237" formatCode="_-&quot;$&quot;* #,##0.00_-;\-&quot;$&quot;* #,##0.00_-;_-&quot;$&quot;* &quot;-&quot;??_-;_-@_-"/>
    <numFmt numFmtId="238" formatCode="_-* #,##0.00\ _€_-;\-* #,##0.00\ _€_-;_-* &quot;-&quot;??\ _€_-;_-@_-"/>
    <numFmt numFmtId="239" formatCode=";;"/>
    <numFmt numFmtId="240" formatCode="0.000_)"/>
    <numFmt numFmtId="241" formatCode="\$#,##0\ ;\(\$#,##0\)"/>
    <numFmt numFmtId="242" formatCode="\฿\t#,##0_);\(\฿\t#,##0\)"/>
    <numFmt numFmtId="243" formatCode="\฿\t#,##0_);[Red]\(\฿\t#,##0\)"/>
    <numFmt numFmtId="244" formatCode="0.00_)"/>
    <numFmt numFmtId="245" formatCode="_(&quot;ﾟ&quot;* #,##0_);_(&quot;ﾟ&quot;* \(#,##0\);_(&quot;ﾟ&quot;* &quot;-&quot;_);_(@_)"/>
    <numFmt numFmtId="246" formatCode="_-&quot;฿&quot;* #,##0_-;\-&quot;฿&quot;* #,##0_-;_-&quot;฿&quot;* &quot;-&quot;_-;_-@_-"/>
    <numFmt numFmtId="247" formatCode="_-&quot;฿&quot;* #,##0.00_-;\-&quot;฿&quot;* #,##0.00_-;_-&quot;฿&quot;* &quot;-&quot;??_-;_-@_-"/>
    <numFmt numFmtId="248" formatCode="[$¥-411]#,##0.00"/>
    <numFmt numFmtId="249" formatCode="_([$€-2]* #,##0.00_);_([$€-2]* \(#,##0.00\);_([$€-2]* &quot;-&quot;??_)"/>
    <numFmt numFmtId="250" formatCode="#,##0\ &quot;$&quot;_);[Red]\(#,##0\ &quot;$&quot;\)"/>
    <numFmt numFmtId="251" formatCode="&quot;$&quot;###,0&quot;.&quot;00_);[Red]\(&quot;$&quot;###,0&quot;.&quot;00\)"/>
    <numFmt numFmtId="252" formatCode="_-* #,##0.00_-;&quot;₩&quot;&quot;₩&quot;\!\!\-* #,##0.00_-;_-* &quot;-&quot;??_-;_-@_-"/>
    <numFmt numFmtId="253" formatCode="_-&quot;€&quot;\ * #,##0.00_-;_-&quot;€&quot;\ * #,##0.00\-;_-&quot;€&quot;\ * &quot;-&quot;??_-;_-@_-"/>
    <numFmt numFmtId="254" formatCode="_-* #,##0.00_-;_-* #,##0.00\-;_-* &quot;-&quot;??_-;_-@_-"/>
    <numFmt numFmtId="255" formatCode="[$€-2]\ #,##0.0000_);[Red]\([$€-2]\ #,##0.0000\)"/>
    <numFmt numFmtId="256" formatCode="&quot;$&quot;#,##0;\-&quot;$&quot;#,##0"/>
    <numFmt numFmtId="257" formatCode="&quot;$&quot;#,##0;[Red]\-&quot;$&quot;#,##0"/>
    <numFmt numFmtId="258" formatCode="####0.0000"/>
    <numFmt numFmtId="259" formatCode="&quot;£&quot;#,##0;\-&quot;£&quot;#,##0"/>
    <numFmt numFmtId="260" formatCode="&quot;£&quot;#,##0;[Red]\-&quot;£&quot;#,##0"/>
    <numFmt numFmtId="261" formatCode="0.00%;\(0.00%\);&quot;-&quot;"/>
    <numFmt numFmtId="262" formatCode="#,##0&quot;£&quot;_);\(#,##0&quot;&quot;&quot;£&quot;&quot;&quot;\)"/>
    <numFmt numFmtId="263" formatCode="#,##0.00&quot;£&quot;_);\(#,##0.00&quot;&quot;&quot;£&quot;&quot;&quot;\)"/>
    <numFmt numFmtId="264" formatCode="#,###.0000;\(#,###.0000\)"/>
    <numFmt numFmtId="265" formatCode="_(* #,##0,_);_(* \(#,\);_(* &quot;-&quot;??_);_(@_)"/>
    <numFmt numFmtId="266" formatCode="_ * #,##0_)\ _R_$_ ;_ * \(#,##0\)\ _R_$_ ;_ * &quot;-&quot;_)\ _R_$_ ;_ @_ "/>
    <numFmt numFmtId="267" formatCode="_ * #,##0.00_ ;_ * \-#,##0.00_ ;_ * &quot;-&quot;_ ;_ @_ "/>
  </numFmts>
  <fonts count="3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맑은 고딕"/>
      <family val="3"/>
      <charset val="129"/>
      <scheme val="minor"/>
    </font>
    <font>
      <sz val="9"/>
      <name val="新細明體"/>
      <family val="1"/>
      <charset val="136"/>
    </font>
    <font>
      <b/>
      <sz val="14"/>
      <name val="맑은 고딕"/>
      <family val="3"/>
      <charset val="129"/>
      <scheme val="minor"/>
    </font>
    <font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맑은 고딕"/>
      <family val="1"/>
      <scheme val="major"/>
    </font>
    <font>
      <b/>
      <u/>
      <sz val="20"/>
      <color theme="1"/>
      <name val="맑은 고딕"/>
      <family val="1"/>
      <scheme val="major"/>
    </font>
    <font>
      <b/>
      <sz val="36"/>
      <color theme="1"/>
      <name val="맑은 고딕"/>
      <family val="1"/>
      <scheme val="major"/>
    </font>
    <font>
      <b/>
      <sz val="36"/>
      <color theme="1"/>
      <name val="맑은 고딕"/>
      <family val="3"/>
      <charset val="129"/>
      <scheme val="major"/>
    </font>
    <font>
      <b/>
      <sz val="32"/>
      <color theme="1"/>
      <name val="맑은 고딕"/>
      <family val="3"/>
      <charset val="129"/>
      <scheme val="major"/>
    </font>
    <font>
      <b/>
      <sz val="28"/>
      <color theme="1"/>
      <name val="맑은 고딕"/>
      <family val="3"/>
      <charset val="129"/>
      <scheme val="major"/>
    </font>
    <font>
      <b/>
      <u/>
      <sz val="28"/>
      <color theme="1"/>
      <name val="맑은 고딕"/>
      <family val="1"/>
      <scheme val="major"/>
    </font>
    <font>
      <sz val="12"/>
      <color theme="1"/>
      <name val="맑은 고딕"/>
      <family val="3"/>
      <charset val="129"/>
      <scheme val="major"/>
    </font>
    <font>
      <b/>
      <sz val="9"/>
      <color indexed="81"/>
      <name val="돋움"/>
      <family val="3"/>
      <charset val="129"/>
    </font>
    <font>
      <b/>
      <i/>
      <u/>
      <sz val="10"/>
      <name val="맑은 고딕"/>
      <family val="3"/>
      <charset val="129"/>
      <scheme val="minor"/>
    </font>
    <font>
      <b/>
      <u/>
      <sz val="10"/>
      <name val="맑은 고딕"/>
      <family val="3"/>
      <charset val="129"/>
      <scheme val="minor"/>
    </font>
    <font>
      <b/>
      <u/>
      <sz val="10"/>
      <color theme="1"/>
      <name val="맑은 고딕"/>
      <family val="3"/>
      <charset val="129"/>
      <scheme val="minor"/>
    </font>
    <font>
      <b/>
      <i/>
      <u/>
      <sz val="10"/>
      <color theme="1"/>
      <name val="맑은 고딕"/>
      <family val="3"/>
      <charset val="129"/>
      <scheme val="minor"/>
    </font>
    <font>
      <u/>
      <sz val="10"/>
      <name val="맑은 고딕"/>
      <family val="3"/>
      <charset val="129"/>
      <scheme val="minor"/>
    </font>
    <font>
      <u/>
      <sz val="10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i/>
      <sz val="10"/>
      <color theme="1"/>
      <name val="맑은 고딕"/>
      <family val="3"/>
      <charset val="129"/>
      <scheme val="minor"/>
    </font>
    <font>
      <b/>
      <i/>
      <u/>
      <sz val="10"/>
      <color rgb="FF0000FF"/>
      <name val="맑은 고딕"/>
      <family val="3"/>
      <charset val="129"/>
      <scheme val="minor"/>
    </font>
    <font>
      <b/>
      <i/>
      <sz val="10"/>
      <color rgb="FF0000FF"/>
      <name val="맑은 고딕"/>
      <family val="3"/>
      <charset val="129"/>
      <scheme val="minor"/>
    </font>
    <font>
      <b/>
      <i/>
      <u val="singleAccounting"/>
      <sz val="10"/>
      <color rgb="FF0000FF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sz val="10"/>
      <color theme="7" tint="-0.499984740745262"/>
      <name val="맑은 고딕"/>
      <family val="3"/>
      <charset val="129"/>
      <scheme val="minor"/>
    </font>
    <font>
      <u/>
      <sz val="11"/>
      <color theme="1"/>
      <name val="맑은 고딕"/>
      <family val="2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2"/>
      <color theme="0"/>
      <name val="맑은 고딕"/>
      <family val="2"/>
      <scheme val="minor"/>
    </font>
    <font>
      <sz val="8"/>
      <name val="바탕"/>
      <family val="1"/>
      <charset val="129"/>
    </font>
    <font>
      <sz val="10"/>
      <name val="맑은 고딕"/>
      <family val="3"/>
      <charset val="134"/>
      <scheme val="minor"/>
    </font>
    <font>
      <sz val="10"/>
      <color theme="1"/>
      <name val="Times New Roman"/>
      <family val="1"/>
    </font>
    <font>
      <b/>
      <u/>
      <sz val="10"/>
      <color rgb="FF0000FF"/>
      <name val="맑은 고딕"/>
      <family val="3"/>
      <charset val="129"/>
      <scheme val="minor"/>
    </font>
    <font>
      <b/>
      <sz val="11"/>
      <color indexed="8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0"/>
      <color rgb="FFFF0000"/>
      <name val="맑은 고딕"/>
      <family val="3"/>
      <charset val="134"/>
      <scheme val="minor"/>
    </font>
    <font>
      <sz val="12"/>
      <color rgb="FFFF0000"/>
      <name val="맑은 고딕"/>
      <family val="3"/>
      <charset val="129"/>
      <scheme val="minor"/>
    </font>
    <font>
      <sz val="10"/>
      <name val="Geneva"/>
    </font>
    <font>
      <u/>
      <sz val="10"/>
      <name val="Geneva"/>
    </font>
    <font>
      <sz val="10"/>
      <color rgb="FFFF0000"/>
      <name val="Geneva"/>
    </font>
    <font>
      <b/>
      <sz val="10"/>
      <color theme="1"/>
      <name val="Geneva"/>
    </font>
    <font>
      <b/>
      <sz val="10"/>
      <name val="Geneva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name val="맑은 고딕"/>
      <family val="2"/>
      <scheme val="minor"/>
    </font>
    <font>
      <sz val="10"/>
      <color theme="0"/>
      <name val="Geneva"/>
    </font>
    <font>
      <sz val="10"/>
      <color theme="1"/>
      <name val="Geneva"/>
    </font>
    <font>
      <u/>
      <sz val="10"/>
      <color theme="1"/>
      <name val="Geneva"/>
    </font>
    <font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34"/>
      <scheme val="minor"/>
    </font>
    <font>
      <sz val="10"/>
      <name val="맑은 고딕"/>
      <family val="2"/>
      <scheme val="minor"/>
    </font>
    <font>
      <sz val="12"/>
      <name val="맑은 고딕"/>
      <family val="2"/>
      <scheme val="minor"/>
    </font>
    <font>
      <sz val="10"/>
      <color rgb="FFFF0000"/>
      <name val="맑은 고딕"/>
      <family val="2"/>
      <scheme val="minor"/>
    </font>
    <font>
      <sz val="9"/>
      <color indexed="81"/>
      <name val="돋움"/>
      <family val="3"/>
      <charset val="129"/>
    </font>
    <font>
      <sz val="11"/>
      <name val="맑은 고딕"/>
      <family val="3"/>
      <charset val="129"/>
      <scheme val="major"/>
    </font>
    <font>
      <sz val="10"/>
      <color theme="1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8"/>
      <color rgb="FF0000FF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FF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scheme val="minor"/>
    </font>
    <font>
      <b/>
      <sz val="10"/>
      <color rgb="FF0000FF"/>
      <name val="맑은 고딕"/>
      <family val="2"/>
      <scheme val="minor"/>
    </font>
    <font>
      <b/>
      <sz val="10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6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</font>
    <font>
      <b/>
      <u/>
      <sz val="2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theme="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sz val="10"/>
      <color rgb="FF0000FF"/>
      <name val="맑은 고딕"/>
      <family val="3"/>
      <charset val="129"/>
    </font>
    <font>
      <i/>
      <sz val="1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theme="0"/>
      <name val="맑은 고딕"/>
      <family val="3"/>
      <charset val="129"/>
    </font>
    <font>
      <sz val="12"/>
      <color theme="1"/>
      <name val="맑은 고딕"/>
      <family val="3"/>
      <charset val="129"/>
    </font>
    <font>
      <b/>
      <sz val="10"/>
      <color theme="5" tint="-0.249977111117893"/>
      <name val="맑은 고딕"/>
      <family val="3"/>
      <charset val="129"/>
    </font>
    <font>
      <b/>
      <i/>
      <sz val="10"/>
      <name val="맑은 고딕"/>
      <family val="3"/>
      <charset val="129"/>
    </font>
    <font>
      <sz val="10"/>
      <color theme="0" tint="-0.249977111117893"/>
      <name val="맑은 고딕"/>
      <family val="3"/>
      <charset val="129"/>
    </font>
    <font>
      <b/>
      <i/>
      <sz val="10"/>
      <color theme="1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2"/>
      <color theme="0"/>
      <name val="맑은 고딕"/>
      <family val="3"/>
      <charset val="129"/>
    </font>
    <font>
      <sz val="11"/>
      <color rgb="FF0000FF"/>
      <name val="맑은 고딕"/>
      <family val="3"/>
      <charset val="129"/>
    </font>
    <font>
      <i/>
      <sz val="10"/>
      <color rgb="FF0000FF"/>
      <name val="맑은 고딕"/>
      <family val="3"/>
      <charset val="129"/>
    </font>
    <font>
      <b/>
      <sz val="12"/>
      <name val="맑은 고딕"/>
      <family val="3"/>
      <charset val="129"/>
    </font>
    <font>
      <b/>
      <i/>
      <sz val="10"/>
      <color rgb="FF0000FF"/>
      <name val="맑은 고딕"/>
      <family val="3"/>
      <charset val="129"/>
    </font>
    <font>
      <i/>
      <sz val="10"/>
      <color rgb="FFFF0000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i/>
      <sz val="10"/>
      <color theme="1"/>
      <name val="맑은 고딕"/>
      <family val="3"/>
      <charset val="129"/>
    </font>
    <font>
      <sz val="10"/>
      <color theme="5"/>
      <name val="맑은 고딕"/>
      <family val="3"/>
      <charset val="129"/>
    </font>
    <font>
      <sz val="8"/>
      <color theme="1"/>
      <name val="맑은 고딕"/>
      <family val="3"/>
      <charset val="129"/>
    </font>
    <font>
      <b/>
      <sz val="12"/>
      <color theme="0"/>
      <name val="맑은 고딕"/>
      <family val="3"/>
      <charset val="129"/>
    </font>
    <font>
      <sz val="10"/>
      <color theme="7" tint="-0.499984740745262"/>
      <name val="맑은 고딕"/>
      <family val="3"/>
      <charset val="129"/>
    </font>
    <font>
      <sz val="8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12"/>
      <color indexed="81"/>
      <name val="돋움체"/>
      <family val="3"/>
      <charset val="129"/>
    </font>
    <font>
      <b/>
      <sz val="12"/>
      <color indexed="81"/>
      <name val="맑은 고딕"/>
      <family val="3"/>
      <charset val="129"/>
    </font>
    <font>
      <b/>
      <sz val="9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6"/>
      <color theme="1"/>
      <name val="맑은 고딕"/>
      <family val="3"/>
      <charset val="129"/>
    </font>
    <font>
      <i/>
      <sz val="16"/>
      <color rgb="FF0000FF"/>
      <name val="맑은 고딕"/>
      <family val="3"/>
      <charset val="129"/>
    </font>
    <font>
      <sz val="16"/>
      <color rgb="FF0000FF"/>
      <name val="맑은 고딕"/>
      <family val="3"/>
      <charset val="129"/>
    </font>
    <font>
      <sz val="16"/>
      <color theme="0"/>
      <name val="맑은 고딕"/>
      <family val="3"/>
      <charset val="129"/>
    </font>
    <font>
      <sz val="16"/>
      <color rgb="FFFF0000"/>
      <name val="맑은 고딕"/>
      <family val="3"/>
      <charset val="129"/>
    </font>
    <font>
      <sz val="12"/>
      <name val="맑은 고딕"/>
      <family val="3"/>
      <charset val="129"/>
    </font>
    <font>
      <i/>
      <sz val="12"/>
      <color rgb="FF0000FF"/>
      <name val="맑은 고딕"/>
      <family val="3"/>
      <charset val="129"/>
    </font>
    <font>
      <sz val="12"/>
      <color rgb="FF0000FF"/>
      <name val="맑은 고딕"/>
      <family val="3"/>
      <charset val="129"/>
    </font>
    <font>
      <sz val="12"/>
      <color rgb="FFFF0000"/>
      <name val="맑은 고딕"/>
      <family val="3"/>
      <charset val="129"/>
    </font>
    <font>
      <i/>
      <sz val="11"/>
      <color rgb="FF0000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i/>
      <sz val="11"/>
      <name val="맑은 고딕"/>
      <family val="3"/>
      <charset val="129"/>
    </font>
    <font>
      <b/>
      <i/>
      <sz val="11"/>
      <color rgb="FF0000FF"/>
      <name val="맑은 고딕"/>
      <family val="3"/>
      <charset val="129"/>
    </font>
    <font>
      <b/>
      <u/>
      <sz val="12"/>
      <color rgb="FFFF0000"/>
      <name val="맑은 고딕"/>
      <family val="3"/>
      <charset val="129"/>
    </font>
    <font>
      <b/>
      <sz val="11"/>
      <color indexed="81"/>
      <name val="맑은 고딕"/>
      <family val="3"/>
      <charset val="129"/>
    </font>
    <font>
      <u val="singleAccounting"/>
      <sz val="10"/>
      <color theme="1"/>
      <name val="맑은 고딕"/>
      <family val="3"/>
      <charset val="129"/>
    </font>
    <font>
      <b/>
      <sz val="12"/>
      <color indexed="81"/>
      <name val="돋움"/>
      <family val="3"/>
      <charset val="129"/>
    </font>
    <font>
      <b/>
      <u val="singleAccounting"/>
      <sz val="10"/>
      <color theme="1"/>
      <name val="맑은 고딕"/>
      <family val="3"/>
      <charset val="129"/>
    </font>
    <font>
      <b/>
      <sz val="12"/>
      <color indexed="81"/>
      <name val="Tahoma"/>
      <family val="2"/>
    </font>
    <font>
      <b/>
      <sz val="14"/>
      <color indexed="81"/>
      <name val="Tahoma"/>
      <family val="2"/>
    </font>
    <font>
      <b/>
      <sz val="14"/>
      <color indexed="81"/>
      <name val="돋움"/>
      <family val="3"/>
      <charset val="129"/>
    </font>
    <font>
      <sz val="12"/>
      <name val="맑은 고딕"/>
      <family val="3"/>
      <charset val="129"/>
      <scheme val="major"/>
    </font>
    <font>
      <b/>
      <u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b/>
      <sz val="12"/>
      <color indexed="81"/>
      <name val="맑은 고딕"/>
      <family val="3"/>
      <charset val="129"/>
      <scheme val="major"/>
    </font>
    <font>
      <b/>
      <sz val="14"/>
      <color indexed="81"/>
      <name val="맑은 고딕"/>
      <family val="2"/>
      <charset val="129"/>
    </font>
    <font>
      <sz val="10"/>
      <color rgb="FFCC3300"/>
      <name val="맑은 고딕"/>
      <family val="3"/>
      <charset val="129"/>
    </font>
    <font>
      <sz val="12"/>
      <color indexed="81"/>
      <name val="맑은 고딕"/>
      <family val="3"/>
      <charset val="129"/>
      <scheme val="major"/>
    </font>
    <font>
      <sz val="11"/>
      <color indexed="81"/>
      <name val="돋움"/>
      <family val="3"/>
      <charset val="129"/>
    </font>
    <font>
      <sz val="11"/>
      <color indexed="81"/>
      <name val="Tahoma"/>
      <family val="2"/>
    </font>
    <font>
      <u/>
      <sz val="11"/>
      <color rgb="FF0000FF"/>
      <name val="맑은 고딕"/>
      <family val="3"/>
      <charset val="129"/>
      <scheme val="major"/>
    </font>
    <font>
      <b/>
      <u/>
      <sz val="11"/>
      <color rgb="FF0000FF"/>
      <name val="맑은 고딕"/>
      <family val="3"/>
      <charset val="129"/>
      <scheme val="major"/>
    </font>
    <font>
      <u/>
      <sz val="11"/>
      <name val="맑은 고딕"/>
      <family val="3"/>
      <charset val="129"/>
      <scheme val="major"/>
    </font>
    <font>
      <u/>
      <sz val="11"/>
      <color theme="1"/>
      <name val="맑은 고딕"/>
      <family val="3"/>
      <charset val="129"/>
      <scheme val="major"/>
    </font>
    <font>
      <u/>
      <sz val="11"/>
      <color rgb="FFFF0000"/>
      <name val="맑은 고딕"/>
      <family val="3"/>
      <charset val="129"/>
      <scheme val="major"/>
    </font>
    <font>
      <b/>
      <u/>
      <sz val="11"/>
      <color theme="1"/>
      <name val="맑은 고딕"/>
      <family val="3"/>
      <charset val="129"/>
      <scheme val="major"/>
    </font>
    <font>
      <sz val="11"/>
      <color rgb="FF0000FF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sz val="11"/>
      <color theme="0"/>
      <name val="맑은 고딕"/>
      <family val="3"/>
      <charset val="129"/>
      <scheme val="major"/>
    </font>
    <font>
      <u val="singleAccounting"/>
      <sz val="11"/>
      <name val="맑은 고딕"/>
      <family val="3"/>
      <charset val="129"/>
      <scheme val="major"/>
    </font>
    <font>
      <u val="singleAccounting"/>
      <sz val="11"/>
      <color rgb="FF0000FF"/>
      <name val="맑은 고딕"/>
      <family val="3"/>
      <charset val="129"/>
      <scheme val="major"/>
    </font>
    <font>
      <u val="singleAccounting"/>
      <sz val="11"/>
      <color rgb="FFFF0000"/>
      <name val="맑은 고딕"/>
      <family val="3"/>
      <charset val="129"/>
      <scheme val="major"/>
    </font>
    <font>
      <u val="singleAccounting"/>
      <sz val="11"/>
      <color theme="1"/>
      <name val="맑은 고딕"/>
      <family val="3"/>
      <charset val="129"/>
      <scheme val="major"/>
    </font>
    <font>
      <b/>
      <u val="singleAccounting"/>
      <sz val="11"/>
      <color rgb="FF0000FF"/>
      <name val="맑은 고딕"/>
      <family val="3"/>
      <charset val="129"/>
      <scheme val="major"/>
    </font>
    <font>
      <sz val="11"/>
      <color indexed="8"/>
      <name val="맑은 고딕"/>
      <family val="2"/>
      <scheme val="minor"/>
    </font>
    <font>
      <sz val="10"/>
      <name val="Arial"/>
      <family val="2"/>
    </font>
    <font>
      <b/>
      <sz val="8"/>
      <color theme="1"/>
      <name val="Arial"/>
      <family val="2"/>
    </font>
    <font>
      <b/>
      <sz val="8"/>
      <color indexed="8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0"/>
      <color rgb="FF0000FF"/>
      <name val="맑은 고딕"/>
      <family val="3"/>
      <charset val="129"/>
      <scheme val="major"/>
    </font>
    <font>
      <b/>
      <sz val="11"/>
      <color rgb="FF0000FF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1"/>
      <color theme="1"/>
      <name val="Times New Roman"/>
      <family val="1"/>
    </font>
    <font>
      <sz val="11"/>
      <color theme="1"/>
      <name val="맑은 고딕"/>
      <family val="2"/>
      <charset val="129"/>
    </font>
    <font>
      <b/>
      <u/>
      <sz val="14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0"/>
      <name val="MS Sans Serif"/>
      <family val="2"/>
    </font>
    <font>
      <sz val="11"/>
      <name val="ＭＳ Ｐゴシック"/>
      <family val="2"/>
      <charset val="128"/>
    </font>
    <font>
      <sz val="11"/>
      <color indexed="8"/>
      <name val="맑은 고딕"/>
      <family val="3"/>
      <charset val="129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맑은 고딕"/>
      <family val="2"/>
      <charset val="128"/>
      <scheme val="minor"/>
    </font>
    <font>
      <sz val="11"/>
      <color indexed="8"/>
      <name val="宋体"/>
      <family val="3"/>
      <charset val="129"/>
    </font>
    <font>
      <sz val="12"/>
      <name val="宋体"/>
      <family val="3"/>
      <charset val="134"/>
    </font>
    <font>
      <sz val="10"/>
      <name val="굴림체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8"/>
      <name val="Arial"/>
      <family val="2"/>
    </font>
    <font>
      <b/>
      <sz val="12"/>
      <name val="Arial"/>
      <family val="2"/>
    </font>
    <font>
      <b/>
      <sz val="11"/>
      <name val="Helv"/>
    </font>
    <font>
      <sz val="12"/>
      <name val="ⓒoUAAA¨u"/>
      <family val="3"/>
      <charset val="129"/>
    </font>
    <font>
      <sz val="12"/>
      <name val="뼻뮝"/>
      <family val="3"/>
      <charset val="129"/>
    </font>
    <font>
      <b/>
      <sz val="12"/>
      <name val="Helv"/>
    </font>
    <font>
      <b/>
      <sz val="10"/>
      <name val="Helv"/>
    </font>
    <font>
      <sz val="11"/>
      <color theme="1"/>
      <name val="맑은 고딕"/>
      <family val="2"/>
      <charset val="134"/>
      <scheme val="minor"/>
    </font>
    <font>
      <sz val="12"/>
      <name val="Times New Roman"/>
      <family val="1"/>
    </font>
    <font>
      <sz val="12"/>
      <name val="Arial"/>
      <family val="2"/>
    </font>
    <font>
      <sz val="10"/>
      <color indexed="8"/>
      <name val="Arial"/>
      <family val="2"/>
    </font>
    <font>
      <sz val="11"/>
      <color indexed="8"/>
      <name val="宋体"/>
      <family val="3"/>
      <charset val="134"/>
    </font>
    <font>
      <sz val="12"/>
      <name val=".VnTime"/>
      <family val="2"/>
    </font>
    <font>
      <sz val="10"/>
      <name val=".VnTime"/>
      <family val="2"/>
    </font>
    <font>
      <sz val="14"/>
      <name val=".VnTime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2"/>
      <name val="VNTime"/>
      <family val="2"/>
    </font>
    <font>
      <sz val="10"/>
      <name val="Times New Roman"/>
      <family val="1"/>
    </font>
    <font>
      <sz val="10"/>
      <name val="Geneva"/>
      <family val="2"/>
    </font>
    <font>
      <sz val="10"/>
      <name val="VNtimes new roman"/>
      <family val="2"/>
    </font>
    <font>
      <sz val="11"/>
      <color indexed="63"/>
      <name val="Calibri"/>
      <family val="2"/>
    </font>
    <font>
      <b/>
      <sz val="8"/>
      <color indexed="8"/>
      <name val="Helv"/>
      <family val="2"/>
    </font>
    <font>
      <sz val="10"/>
      <name val=" "/>
      <family val="1"/>
      <charset val="136"/>
    </font>
    <font>
      <sz val="14"/>
      <name val="뼻뮝"/>
      <family val="3"/>
    </font>
    <font>
      <sz val="9"/>
      <name val="Arial"/>
      <family val="2"/>
    </font>
    <font>
      <sz val="12"/>
      <name val="Courier"/>
      <family val="3"/>
    </font>
    <font>
      <sz val="11"/>
      <name val="Times New Roman"/>
      <family val="1"/>
    </font>
    <font>
      <sz val="8"/>
      <name val="Times New Roman"/>
      <family val="1"/>
    </font>
    <font>
      <sz val="12"/>
      <name val="¹UAAA¼"/>
      <family val="3"/>
      <charset val="129"/>
    </font>
    <font>
      <sz val="12"/>
      <name val="Tms Rmn"/>
      <family val="1"/>
    </font>
    <font>
      <sz val="11"/>
      <name val="Tms Rmn"/>
      <family val="1"/>
    </font>
    <font>
      <b/>
      <sz val="12"/>
      <color indexed="9"/>
      <name val="Tms Rmn"/>
      <family val="1"/>
    </font>
    <font>
      <b/>
      <sz val="8"/>
      <name val="MS Sans Serif"/>
      <family val="2"/>
    </font>
    <font>
      <sz val="14"/>
      <name val="CordiaUPC"/>
      <family val="1"/>
    </font>
    <font>
      <sz val="11"/>
      <name val="ＭＳ Ｐゴシック"/>
      <family val="2"/>
    </font>
    <font>
      <b/>
      <i/>
      <sz val="16"/>
      <name val="Helv"/>
      <family val="2"/>
    </font>
    <font>
      <sz val="14"/>
      <name val="Times New Roman"/>
      <family val="1"/>
    </font>
    <font>
      <sz val="11"/>
      <name val="ＭＳ Ｐゴシック"/>
      <family val="3"/>
      <charset val="128"/>
    </font>
    <font>
      <sz val="8"/>
      <name val="Wingdings"/>
      <charset val="2"/>
    </font>
    <font>
      <sz val="8"/>
      <name val="Helv"/>
      <family val="2"/>
    </font>
    <font>
      <sz val="8"/>
      <name val="MS Sans Serif"/>
      <family val="2"/>
    </font>
    <font>
      <sz val="14"/>
      <name val="Cordia New"/>
      <family val="2"/>
      <charset val="222"/>
    </font>
    <font>
      <sz val="11"/>
      <color indexed="8"/>
      <name val="ＭＳ Ｐゴシック"/>
      <family val="3"/>
      <charset val="128"/>
    </font>
    <font>
      <sz val="11"/>
      <color theme="1"/>
      <name val="Times New Roman"/>
      <family val="2"/>
    </font>
    <font>
      <sz val="11"/>
      <color theme="1"/>
      <name val="맑은 고딕"/>
      <family val="3"/>
      <charset val="128"/>
      <scheme val="minor"/>
    </font>
    <font>
      <sz val="11"/>
      <color theme="1"/>
      <name val="맑은 고딕"/>
      <family val="2"/>
      <charset val="163"/>
      <scheme val="minor"/>
    </font>
    <font>
      <sz val="11"/>
      <color theme="1"/>
      <name val="Arial Unicode MS"/>
      <family val="3"/>
      <charset val="128"/>
    </font>
    <font>
      <u/>
      <sz val="10"/>
      <color indexed="12"/>
      <name val="Arial"/>
      <family val="2"/>
    </font>
    <font>
      <sz val="11"/>
      <color indexed="9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theme="1"/>
      <name val="맑은 고딕"/>
      <family val="3"/>
      <charset val="134"/>
      <scheme val="minor"/>
    </font>
    <font>
      <u/>
      <sz val="10"/>
      <color theme="10"/>
      <name val="Arial"/>
      <family val="2"/>
    </font>
    <font>
      <sz val="9"/>
      <name val="Geneva"/>
      <family val="2"/>
    </font>
    <font>
      <sz val="12"/>
      <name val="____"/>
      <family val="1"/>
    </font>
    <font>
      <sz val="12"/>
      <name val="____"/>
      <family val="1"/>
      <charset val="136"/>
    </font>
    <font>
      <sz val="12"/>
      <name val="¹UAAA¼"/>
      <family val="3"/>
    </font>
    <font>
      <b/>
      <sz val="10"/>
      <name val="MS Sans Serif"/>
      <family val="2"/>
    </font>
    <font>
      <sz val="10"/>
      <name val="Helv"/>
      <family val="2"/>
    </font>
    <font>
      <sz val="10"/>
      <color indexed="0"/>
      <name val="MS Sans Serif"/>
      <family val="2"/>
    </font>
    <font>
      <sz val="10"/>
      <name val="Courier"/>
      <family val="3"/>
    </font>
    <font>
      <sz val="7"/>
      <name val="Small Fonts"/>
      <family val="2"/>
    </font>
    <font>
      <sz val="12"/>
      <color indexed="24"/>
      <name val="Arial"/>
      <family val="2"/>
    </font>
    <font>
      <sz val="9"/>
      <name val="Monaco"/>
      <family val="2"/>
    </font>
    <font>
      <sz val="11"/>
      <name val="ＭＳ Ｐゴシック"/>
      <family val="2"/>
      <charset val="134"/>
    </font>
    <font>
      <sz val="11"/>
      <name val="宋体繁体"/>
      <charset val="134"/>
    </font>
    <font>
      <u/>
      <sz val="12"/>
      <color indexed="12"/>
      <name val="宋体"/>
      <family val="3"/>
      <charset val="134"/>
    </font>
    <font>
      <u/>
      <sz val="12"/>
      <color theme="10"/>
      <name val="宋体"/>
      <family val="3"/>
      <charset val="134"/>
    </font>
    <font>
      <b/>
      <sz val="10"/>
      <color indexed="81"/>
      <name val="Tahoma"/>
      <family val="2"/>
    </font>
    <font>
      <b/>
      <sz val="10"/>
      <color indexed="8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rgb="FF0000FF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0000FF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i/>
      <sz val="10"/>
      <color theme="1"/>
      <name val="맑은 고딕"/>
      <family val="3"/>
      <charset val="129"/>
    </font>
  </fonts>
  <fills count="7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rgb="FFC5D9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C6D9F0"/>
      </patternFill>
    </fill>
    <fill>
      <patternFill patternType="solid">
        <fgColor theme="3" tint="0.79998168889431442"/>
        <bgColor rgb="FFC6D9F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rgb="FFC6D9F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rgb="FFC6D9F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darkVertical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2F2F2"/>
        <bgColor indexed="64"/>
      </patternFill>
    </fill>
  </fills>
  <borders count="30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thin">
        <color indexed="64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/>
      <bottom style="thin">
        <color theme="5" tint="0.3999755851924192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auto="1"/>
      </right>
      <top/>
      <bottom style="thin">
        <color indexed="64"/>
      </bottom>
      <diagonal/>
    </border>
    <border>
      <left style="thin">
        <color auto="1"/>
      </left>
      <right style="double">
        <color auto="1"/>
      </right>
      <top/>
      <bottom style="thin">
        <color indexed="64"/>
      </bottom>
      <diagonal/>
    </border>
    <border>
      <left/>
      <right/>
      <top style="double">
        <color indexed="64"/>
      </top>
      <bottom style="hair">
        <color auto="1"/>
      </bottom>
      <diagonal/>
    </border>
    <border>
      <left/>
      <right/>
      <top style="hair">
        <color auto="1"/>
      </top>
      <bottom style="double">
        <color indexed="64"/>
      </bottom>
      <diagonal/>
    </border>
    <border>
      <left style="thin">
        <color theme="1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theme="1"/>
      </right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theme="1"/>
      </left>
      <right style="thin">
        <color indexed="64"/>
      </right>
      <top style="hair">
        <color theme="1"/>
      </top>
      <bottom/>
      <diagonal/>
    </border>
    <border>
      <left style="thin">
        <color indexed="64"/>
      </left>
      <right style="thin">
        <color indexed="64"/>
      </right>
      <top style="hair">
        <color theme="1"/>
      </top>
      <bottom/>
      <diagonal/>
    </border>
    <border>
      <left/>
      <right style="medium">
        <color indexed="64"/>
      </right>
      <top style="hair">
        <color theme="1"/>
      </top>
      <bottom/>
      <diagonal/>
    </border>
    <border>
      <left style="medium">
        <color indexed="64"/>
      </left>
      <right style="medium">
        <color indexed="64"/>
      </right>
      <top style="hair">
        <color theme="1"/>
      </top>
      <bottom/>
      <diagonal/>
    </border>
    <border>
      <left style="medium">
        <color indexed="64"/>
      </left>
      <right/>
      <top style="hair">
        <color theme="1"/>
      </top>
      <bottom/>
      <diagonal/>
    </border>
    <border>
      <left style="thin">
        <color indexed="64"/>
      </left>
      <right/>
      <top style="hair">
        <color theme="1"/>
      </top>
      <bottom/>
      <diagonal/>
    </border>
    <border>
      <left style="thin">
        <color indexed="64"/>
      </left>
      <right style="medium">
        <color indexed="64"/>
      </right>
      <top style="hair">
        <color theme="1"/>
      </top>
      <bottom/>
      <diagonal/>
    </border>
    <border>
      <left/>
      <right/>
      <top style="hair">
        <color theme="1"/>
      </top>
      <bottom/>
      <diagonal/>
    </border>
  </borders>
  <cellStyleXfs count="50028">
    <xf numFmtId="0" fontId="0" fillId="0" borderId="0">
      <alignment vertical="center"/>
    </xf>
    <xf numFmtId="180" fontId="25" fillId="0" borderId="0" applyFont="0" applyFill="0" applyBorder="0" applyAlignment="0" applyProtection="0"/>
    <xf numFmtId="0" fontId="196" fillId="0" borderId="0"/>
    <xf numFmtId="0" fontId="197" fillId="0" borderId="0" applyNumberFormat="0" applyFont="0" applyFill="0" applyBorder="0" applyAlignment="0" applyProtection="0"/>
    <xf numFmtId="178" fontId="197" fillId="0" borderId="0" applyNumberFormat="0" applyFont="0" applyFill="0" applyBorder="0" applyAlignment="0" applyProtection="0"/>
    <xf numFmtId="9" fontId="196" fillId="0" borderId="0" applyFont="0" applyFill="0" applyBorder="0" applyAlignment="0" applyProtection="0"/>
    <xf numFmtId="180" fontId="196" fillId="0" borderId="0" applyFont="0" applyFill="0" applyBorder="0" applyAlignment="0" applyProtection="0"/>
    <xf numFmtId="0" fontId="25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208" fillId="0" borderId="0">
      <alignment vertical="center"/>
    </xf>
    <xf numFmtId="0" fontId="211" fillId="0" borderId="0">
      <alignment vertical="center"/>
    </xf>
    <xf numFmtId="0" fontId="213" fillId="0" borderId="0"/>
    <xf numFmtId="0" fontId="213" fillId="0" borderId="0"/>
    <xf numFmtId="0" fontId="213" fillId="0" borderId="0"/>
    <xf numFmtId="0" fontId="197" fillId="0" borderId="0" applyNumberFormat="0" applyFill="0" applyBorder="0" applyAlignment="0" applyProtection="0"/>
    <xf numFmtId="43" fontId="211" fillId="0" borderId="0" applyFont="0" applyFill="0" applyBorder="0" applyAlignment="0" applyProtection="0">
      <alignment vertical="center"/>
    </xf>
    <xf numFmtId="41" fontId="211" fillId="0" borderId="0" applyFont="0" applyFill="0" applyBorder="0" applyAlignment="0" applyProtection="0">
      <alignment vertical="center"/>
    </xf>
    <xf numFmtId="41" fontId="197" fillId="0" borderId="0" applyFont="0" applyFill="0" applyBorder="0" applyAlignment="0" applyProtection="0"/>
    <xf numFmtId="41" fontId="216" fillId="0" borderId="0" applyFont="0" applyFill="0" applyBorder="0" applyAlignment="0" applyProtection="0"/>
    <xf numFmtId="43" fontId="197" fillId="0" borderId="0" applyFont="0" applyFill="0" applyBorder="0" applyAlignment="0" applyProtection="0"/>
    <xf numFmtId="43" fontId="32" fillId="0" borderId="0" applyFont="0" applyFill="0" applyBorder="0" applyAlignment="0" applyProtection="0"/>
    <xf numFmtId="179" fontId="211" fillId="0" borderId="0" applyFont="0" applyFill="0" applyBorder="0" applyAlignment="0" applyProtection="0">
      <alignment vertical="center"/>
    </xf>
    <xf numFmtId="0" fontId="214" fillId="0" borderId="0"/>
    <xf numFmtId="0" fontId="211" fillId="0" borderId="0"/>
    <xf numFmtId="0" fontId="197" fillId="0" borderId="0"/>
    <xf numFmtId="0" fontId="32" fillId="0" borderId="0"/>
    <xf numFmtId="0" fontId="32" fillId="0" borderId="0"/>
    <xf numFmtId="9" fontId="211" fillId="0" borderId="0" applyFont="0" applyFill="0" applyBorder="0" applyAlignment="0" applyProtection="0">
      <alignment vertical="center"/>
    </xf>
    <xf numFmtId="9" fontId="216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212" fillId="0" borderId="0"/>
    <xf numFmtId="183" fontId="217" fillId="0" borderId="0">
      <alignment vertical="center"/>
    </xf>
    <xf numFmtId="228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227" fontId="32" fillId="0" borderId="0">
      <alignment vertical="center"/>
    </xf>
    <xf numFmtId="226" fontId="215" fillId="0" borderId="0" applyFont="0" applyFill="0" applyBorder="0" applyAlignment="0" applyProtection="0">
      <alignment vertical="center"/>
    </xf>
    <xf numFmtId="227" fontId="110" fillId="0" borderId="0">
      <alignment vertical="center"/>
    </xf>
    <xf numFmtId="0" fontId="32" fillId="0" borderId="0"/>
    <xf numFmtId="0" fontId="212" fillId="0" borderId="0"/>
    <xf numFmtId="0" fontId="32" fillId="0" borderId="0">
      <alignment vertical="center"/>
    </xf>
    <xf numFmtId="179" fontId="32" fillId="0" borderId="0" applyFont="0" applyFill="0" applyBorder="0" applyAlignment="0" applyProtection="0"/>
    <xf numFmtId="43" fontId="218" fillId="0" borderId="0" applyFont="0" applyFill="0" applyBorder="0" applyAlignment="0" applyProtection="0"/>
    <xf numFmtId="0" fontId="2" fillId="0" borderId="0">
      <alignment vertical="center"/>
    </xf>
    <xf numFmtId="0" fontId="226" fillId="0" borderId="0"/>
    <xf numFmtId="0" fontId="222" fillId="0" borderId="0"/>
    <xf numFmtId="0" fontId="220" fillId="0" borderId="0">
      <alignment vertical="center"/>
    </xf>
    <xf numFmtId="0" fontId="222" fillId="0" borderId="0"/>
    <xf numFmtId="0" fontId="220" fillId="0" borderId="0">
      <alignment vertical="center"/>
    </xf>
    <xf numFmtId="0" fontId="220" fillId="0" borderId="0">
      <alignment vertical="center"/>
    </xf>
    <xf numFmtId="0" fontId="222" fillId="0" borderId="0"/>
    <xf numFmtId="0" fontId="222" fillId="0" borderId="0"/>
    <xf numFmtId="0" fontId="220" fillId="0" borderId="0">
      <alignment vertical="center"/>
    </xf>
    <xf numFmtId="0" fontId="230" fillId="0" borderId="0"/>
    <xf numFmtId="0" fontId="222" fillId="0" borderId="0"/>
    <xf numFmtId="0" fontId="222" fillId="0" borderId="0"/>
    <xf numFmtId="0" fontId="220" fillId="0" borderId="0"/>
    <xf numFmtId="0" fontId="220" fillId="0" borderId="0"/>
    <xf numFmtId="0" fontId="220" fillId="0" borderId="0"/>
    <xf numFmtId="0" fontId="220" fillId="0" borderId="0"/>
    <xf numFmtId="0" fontId="220" fillId="0" borderId="0"/>
    <xf numFmtId="0" fontId="220" fillId="0" borderId="0"/>
    <xf numFmtId="0" fontId="220" fillId="0" borderId="0"/>
    <xf numFmtId="10" fontId="224" fillId="45" borderId="196" applyNumberFormat="0" applyBorder="0" applyAlignment="0" applyProtection="0"/>
    <xf numFmtId="225" fontId="227" fillId="0" borderId="0" applyFont="0" applyFill="0" applyBorder="0" applyAlignment="0" applyProtection="0"/>
    <xf numFmtId="229" fontId="221" fillId="0" borderId="0"/>
    <xf numFmtId="0" fontId="222" fillId="0" borderId="0"/>
    <xf numFmtId="0" fontId="229" fillId="0" borderId="0">
      <alignment horizontal="left"/>
    </xf>
    <xf numFmtId="0" fontId="220" fillId="0" borderId="0">
      <alignment vertical="center"/>
    </xf>
    <xf numFmtId="10" fontId="197" fillId="0" borderId="0" applyFont="0" applyFill="0" applyBorder="0" applyAlignment="0" applyProtection="0"/>
    <xf numFmtId="0" fontId="220" fillId="0" borderId="0">
      <alignment vertical="center"/>
    </xf>
    <xf numFmtId="0" fontId="220" fillId="0" borderId="0">
      <alignment vertical="center"/>
    </xf>
    <xf numFmtId="38" fontId="224" fillId="45" borderId="0" applyNumberFormat="0" applyBorder="0" applyAlignment="0" applyProtection="0"/>
    <xf numFmtId="41" fontId="222" fillId="0" borderId="0" applyFont="0" applyFill="0" applyBorder="0" applyAlignment="0" applyProtection="0"/>
    <xf numFmtId="0" fontId="228" fillId="0" borderId="0"/>
    <xf numFmtId="0" fontId="197" fillId="0" borderId="0" applyNumberFormat="0" applyFill="0" applyBorder="0" applyAlignment="0" applyProtection="0"/>
    <xf numFmtId="0" fontId="222" fillId="0" borderId="0"/>
    <xf numFmtId="0" fontId="227" fillId="0" borderId="0"/>
    <xf numFmtId="0" fontId="226" fillId="0" borderId="91"/>
    <xf numFmtId="0" fontId="225" fillId="0" borderId="6">
      <alignment horizontal="left" vertical="center"/>
    </xf>
    <xf numFmtId="0" fontId="220" fillId="0" borderId="0">
      <alignment vertical="center"/>
    </xf>
    <xf numFmtId="0" fontId="220" fillId="0" borderId="0"/>
    <xf numFmtId="0" fontId="2" fillId="0" borderId="0">
      <alignment vertical="center"/>
    </xf>
    <xf numFmtId="0" fontId="225" fillId="0" borderId="45" applyNumberFormat="0" applyAlignment="0" applyProtection="0">
      <alignment horizontal="left" vertical="center"/>
    </xf>
    <xf numFmtId="0" fontId="220" fillId="0" borderId="0">
      <alignment vertical="center"/>
    </xf>
    <xf numFmtId="0" fontId="222" fillId="0" borderId="0"/>
    <xf numFmtId="0" fontId="223" fillId="0" borderId="0"/>
    <xf numFmtId="0" fontId="222" fillId="0" borderId="0"/>
    <xf numFmtId="0" fontId="222" fillId="0" borderId="0"/>
    <xf numFmtId="43" fontId="222" fillId="0" borderId="0" applyFont="0" applyFill="0" applyBorder="0" applyAlignment="0" applyProtection="0"/>
    <xf numFmtId="0" fontId="222" fillId="0" borderId="0"/>
    <xf numFmtId="0" fontId="219" fillId="0" borderId="0" applyProtection="0">
      <alignment vertical="center"/>
    </xf>
    <xf numFmtId="0" fontId="2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230" fontId="211" fillId="0" borderId="0">
      <alignment vertical="center"/>
    </xf>
    <xf numFmtId="230" fontId="213" fillId="0" borderId="0"/>
    <xf numFmtId="230" fontId="213" fillId="0" borderId="0"/>
    <xf numFmtId="230" fontId="213" fillId="0" borderId="0"/>
    <xf numFmtId="230" fontId="197" fillId="0" borderId="0" applyNumberFormat="0" applyFill="0" applyBorder="0" applyAlignment="0" applyProtection="0"/>
    <xf numFmtId="230" fontId="214" fillId="0" borderId="0"/>
    <xf numFmtId="230" fontId="211" fillId="0" borderId="0"/>
    <xf numFmtId="230" fontId="197" fillId="0" borderId="0"/>
    <xf numFmtId="230" fontId="32" fillId="0" borderId="0"/>
    <xf numFmtId="230" fontId="32" fillId="0" borderId="0"/>
    <xf numFmtId="230" fontId="212" fillId="0" borderId="0"/>
    <xf numFmtId="230" fontId="217" fillId="0" borderId="0">
      <alignment vertical="center"/>
    </xf>
    <xf numFmtId="230" fontId="32" fillId="0" borderId="0">
      <alignment vertical="center"/>
    </xf>
    <xf numFmtId="230" fontId="32" fillId="0" borderId="0">
      <alignment vertical="center"/>
    </xf>
    <xf numFmtId="230" fontId="211" fillId="0" borderId="0">
      <alignment vertical="center"/>
    </xf>
    <xf numFmtId="230" fontId="110" fillId="0" borderId="0">
      <alignment vertical="center"/>
    </xf>
    <xf numFmtId="230" fontId="32" fillId="0" borderId="0"/>
    <xf numFmtId="230" fontId="212" fillId="0" borderId="0"/>
    <xf numFmtId="230" fontId="32" fillId="0" borderId="0">
      <alignment vertical="center"/>
    </xf>
    <xf numFmtId="230" fontId="218" fillId="0" borderId="0">
      <alignment vertical="center"/>
    </xf>
    <xf numFmtId="230" fontId="211" fillId="0" borderId="0">
      <alignment vertical="center"/>
    </xf>
    <xf numFmtId="0" fontId="211" fillId="0" borderId="0">
      <alignment vertical="center"/>
    </xf>
    <xf numFmtId="0" fontId="213" fillId="0" borderId="0"/>
    <xf numFmtId="0" fontId="213" fillId="0" borderId="0"/>
    <xf numFmtId="0" fontId="213" fillId="0" borderId="0"/>
    <xf numFmtId="0" fontId="197" fillId="0" borderId="0" applyNumberFormat="0" applyFill="0" applyBorder="0" applyAlignment="0" applyProtection="0"/>
    <xf numFmtId="0" fontId="214" fillId="0" borderId="0"/>
    <xf numFmtId="0" fontId="211" fillId="0" borderId="0"/>
    <xf numFmtId="0" fontId="197" fillId="0" borderId="0"/>
    <xf numFmtId="0" fontId="32" fillId="0" borderId="0"/>
    <xf numFmtId="0" fontId="32" fillId="0" borderId="0"/>
    <xf numFmtId="0" fontId="212" fillId="0" borderId="0"/>
    <xf numFmtId="183" fontId="217" fillId="0" borderId="0">
      <alignment vertical="center"/>
    </xf>
    <xf numFmtId="0" fontId="32" fillId="0" borderId="0">
      <alignment vertical="center"/>
    </xf>
    <xf numFmtId="227" fontId="32" fillId="0" borderId="0">
      <alignment vertical="center"/>
    </xf>
    <xf numFmtId="0" fontId="211" fillId="0" borderId="0">
      <alignment vertical="center"/>
    </xf>
    <xf numFmtId="227" fontId="110" fillId="0" borderId="0">
      <alignment vertical="center"/>
    </xf>
    <xf numFmtId="0" fontId="32" fillId="0" borderId="0"/>
    <xf numFmtId="0" fontId="212" fillId="0" borderId="0"/>
    <xf numFmtId="0" fontId="3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230" fontId="2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207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17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31" fillId="0" borderId="0">
      <alignment vertical="center"/>
    </xf>
    <xf numFmtId="41" fontId="231" fillId="0" borderId="0" applyFont="0" applyFill="0" applyBorder="0" applyAlignment="0" applyProtection="0">
      <alignment vertical="center"/>
    </xf>
    <xf numFmtId="0" fontId="220" fillId="0" borderId="0">
      <alignment vertical="center"/>
    </xf>
    <xf numFmtId="4" fontId="234" fillId="46" borderId="243" applyNumberFormat="0" applyProtection="0">
      <alignment horizontal="left" vertical="center" indent="1"/>
    </xf>
    <xf numFmtId="9" fontId="220" fillId="0" borderId="0" applyFont="0" applyFill="0" applyBorder="0" applyAlignment="0" applyProtection="0">
      <alignment vertical="center"/>
    </xf>
    <xf numFmtId="0" fontId="220" fillId="0" borderId="0">
      <alignment vertical="center"/>
    </xf>
    <xf numFmtId="0" fontId="235" fillId="0" borderId="0">
      <alignment vertical="center"/>
    </xf>
    <xf numFmtId="4" fontId="234" fillId="47" borderId="243" applyNumberFormat="0" applyProtection="0">
      <alignment horizontal="right" vertical="center"/>
    </xf>
    <xf numFmtId="248" fontId="197" fillId="0" borderId="0"/>
    <xf numFmtId="0" fontId="236" fillId="0" borderId="0"/>
    <xf numFmtId="0" fontId="236" fillId="0" borderId="0"/>
    <xf numFmtId="248" fontId="236" fillId="0" borderId="0"/>
    <xf numFmtId="248" fontId="252" fillId="0" borderId="0">
      <alignment horizontal="center" wrapText="1"/>
      <protection locked="0"/>
    </xf>
    <xf numFmtId="248" fontId="254" fillId="0" borderId="0" applyNumberFormat="0" applyFill="0" applyBorder="0" applyAlignment="0" applyProtection="0"/>
    <xf numFmtId="248" fontId="253" fillId="0" borderId="0"/>
    <xf numFmtId="232" fontId="197" fillId="0" borderId="0" applyFill="0" applyBorder="0" applyAlignment="0"/>
    <xf numFmtId="232" fontId="197" fillId="0" borderId="0" applyFill="0" applyBorder="0" applyAlignment="0"/>
    <xf numFmtId="239" fontId="213" fillId="0" borderId="0" applyFill="0" applyBorder="0" applyAlignment="0"/>
    <xf numFmtId="240" fontId="255" fillId="0" borderId="0"/>
    <xf numFmtId="240" fontId="255" fillId="0" borderId="0"/>
    <xf numFmtId="240" fontId="255" fillId="0" borderId="0"/>
    <xf numFmtId="240" fontId="255" fillId="0" borderId="0"/>
    <xf numFmtId="240" fontId="255" fillId="0" borderId="0"/>
    <xf numFmtId="240" fontId="255" fillId="0" borderId="0"/>
    <xf numFmtId="240" fontId="255" fillId="0" borderId="0"/>
    <xf numFmtId="240" fontId="255" fillId="0" borderId="0"/>
    <xf numFmtId="41" fontId="237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6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38" fillId="0" borderId="0" applyFont="0" applyFill="0" applyBorder="0" applyAlignment="0" applyProtection="0"/>
    <xf numFmtId="43" fontId="197" fillId="0" borderId="0" applyFont="0" applyFill="0" applyBorder="0" applyAlignment="0" applyProtection="0"/>
    <xf numFmtId="43" fontId="238" fillId="0" borderId="0" applyFont="0" applyFill="0" applyBorder="0" applyAlignment="0" applyProtection="0"/>
    <xf numFmtId="238" fontId="19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37" fillId="0" borderId="0" applyFont="0" applyFill="0" applyBorder="0" applyAlignment="0" applyProtection="0"/>
    <xf numFmtId="43" fontId="237" fillId="0" borderId="0" applyFont="0" applyFill="0" applyBorder="0" applyAlignment="0" applyProtection="0"/>
    <xf numFmtId="43" fontId="19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67" fillId="0" borderId="0" applyFont="0" applyFill="0" applyBorder="0" applyAlignment="0" applyProtection="0"/>
    <xf numFmtId="43" fontId="267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67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67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1" fillId="0" borderId="0" applyFont="0" applyFill="0" applyBorder="0" applyAlignment="0" applyProtection="0"/>
    <xf numFmtId="3" fontId="197" fillId="0" borderId="0" applyFont="0" applyFill="0" applyBorder="0" applyAlignment="0" applyProtection="0"/>
    <xf numFmtId="0" fontId="239" fillId="0" borderId="0" applyNumberFormat="0" applyAlignment="0">
      <alignment horizontal="left"/>
    </xf>
    <xf numFmtId="0" fontId="239" fillId="0" borderId="0" applyNumberFormat="0" applyAlignment="0">
      <alignment horizontal="left"/>
    </xf>
    <xf numFmtId="248" fontId="239" fillId="0" borderId="0" applyNumberFormat="0" applyAlignment="0">
      <alignment horizontal="left"/>
    </xf>
    <xf numFmtId="233" fontId="197" fillId="0" borderId="0" applyFont="0" applyFill="0" applyBorder="0" applyAlignment="0" applyProtection="0"/>
    <xf numFmtId="233" fontId="197" fillId="0" borderId="0" applyFont="0" applyFill="0" applyBorder="0" applyAlignment="0" applyProtection="0"/>
    <xf numFmtId="241" fontId="197" fillId="0" borderId="0" applyFont="0" applyFill="0" applyBorder="0" applyAlignment="0" applyProtection="0"/>
    <xf numFmtId="0" fontId="197" fillId="0" borderId="0" applyFont="0" applyFill="0" applyBorder="0" applyAlignment="0" applyProtection="0"/>
    <xf numFmtId="0" fontId="197" fillId="0" borderId="0" applyFont="0" applyFill="0" applyBorder="0" applyAlignment="0" applyProtection="0"/>
    <xf numFmtId="248" fontId="197" fillId="0" borderId="0" applyFont="0" applyFill="0" applyBorder="0" applyAlignment="0" applyProtection="0"/>
    <xf numFmtId="0" fontId="197" fillId="0" borderId="0" applyFont="0" applyFill="0" applyBorder="0" applyAlignment="0" applyProtection="0"/>
    <xf numFmtId="0" fontId="197" fillId="0" borderId="0" applyFont="0" applyFill="0" applyBorder="0" applyAlignment="0" applyProtection="0"/>
    <xf numFmtId="0" fontId="240" fillId="0" borderId="0" applyNumberFormat="0" applyAlignment="0">
      <alignment horizontal="left"/>
    </xf>
    <xf numFmtId="0" fontId="240" fillId="0" borderId="0" applyNumberFormat="0" applyAlignment="0">
      <alignment horizontal="left"/>
    </xf>
    <xf numFmtId="248" fontId="240" fillId="0" borderId="0" applyNumberFormat="0" applyAlignment="0">
      <alignment horizontal="left"/>
    </xf>
    <xf numFmtId="249" fontId="197" fillId="0" borderId="0" applyFont="0" applyFill="0" applyBorder="0" applyAlignment="0" applyProtection="0"/>
    <xf numFmtId="2" fontId="197" fillId="0" borderId="0" applyFont="0" applyFill="0" applyBorder="0" applyAlignment="0" applyProtection="0"/>
    <xf numFmtId="38" fontId="224" fillId="48" borderId="0" applyNumberFormat="0" applyBorder="0" applyAlignment="0" applyProtection="0"/>
    <xf numFmtId="248" fontId="256" fillId="49" borderId="0"/>
    <xf numFmtId="0" fontId="225" fillId="0" borderId="45" applyNumberFormat="0" applyAlignment="0" applyProtection="0">
      <alignment horizontal="left" vertical="center"/>
    </xf>
    <xf numFmtId="248" fontId="225" fillId="0" borderId="45" applyNumberFormat="0" applyAlignment="0" applyProtection="0">
      <alignment horizontal="left" vertical="center"/>
    </xf>
    <xf numFmtId="0" fontId="225" fillId="0" borderId="6">
      <alignment horizontal="left" vertical="center"/>
    </xf>
    <xf numFmtId="248" fontId="225" fillId="0" borderId="6">
      <alignment horizontal="left" vertical="center"/>
    </xf>
    <xf numFmtId="248" fontId="257" fillId="0" borderId="91">
      <alignment horizontal="center"/>
    </xf>
    <xf numFmtId="248" fontId="257" fillId="0" borderId="0">
      <alignment horizontal="center"/>
    </xf>
    <xf numFmtId="10" fontId="224" fillId="50" borderId="196" applyNumberFormat="0" applyBorder="0" applyAlignment="0" applyProtection="0"/>
    <xf numFmtId="0" fontId="241" fillId="0" borderId="0"/>
    <xf numFmtId="0" fontId="241" fillId="0" borderId="0"/>
    <xf numFmtId="248" fontId="241" fillId="0" borderId="0"/>
    <xf numFmtId="0" fontId="242" fillId="0" borderId="0" applyNumberFormat="0" applyFont="0" applyFill="0" applyBorder="0" applyProtection="0">
      <alignment horizontal="left" vertical="center"/>
    </xf>
    <xf numFmtId="0" fontId="242" fillId="0" borderId="0" applyNumberFormat="0" applyFont="0" applyFill="0" applyBorder="0" applyProtection="0">
      <alignment horizontal="left" vertical="center"/>
    </xf>
    <xf numFmtId="248" fontId="242" fillId="0" borderId="0" applyNumberFormat="0" applyFont="0" applyFill="0" applyBorder="0" applyProtection="0">
      <alignment horizontal="left" vertical="center"/>
    </xf>
    <xf numFmtId="38" fontId="213" fillId="0" borderId="0" applyFont="0" applyFill="0" applyBorder="0" applyAlignment="0" applyProtection="0"/>
    <xf numFmtId="40" fontId="213" fillId="0" borderId="0" applyFont="0" applyFill="0" applyBorder="0" applyAlignment="0" applyProtection="0"/>
    <xf numFmtId="242" fontId="258" fillId="0" borderId="0" applyFont="0" applyFill="0" applyBorder="0" applyAlignment="0" applyProtection="0"/>
    <xf numFmtId="243" fontId="258" fillId="0" borderId="0" applyFont="0" applyFill="0" applyBorder="0" applyAlignment="0" applyProtection="0"/>
    <xf numFmtId="250" fontId="213" fillId="0" borderId="0" applyFont="0" applyFill="0" applyBorder="0" applyAlignment="0" applyProtection="0"/>
    <xf numFmtId="251" fontId="213" fillId="0" borderId="0" applyFont="0" applyFill="0" applyBorder="0" applyAlignment="0" applyProtection="0"/>
    <xf numFmtId="248" fontId="259" fillId="0" borderId="0"/>
    <xf numFmtId="0" fontId="233" fillId="0" borderId="0" applyNumberFormat="0" applyFont="0" applyFill="0" applyAlignment="0"/>
    <xf numFmtId="0" fontId="233" fillId="0" borderId="0" applyNumberFormat="0" applyFont="0" applyFill="0" applyAlignment="0"/>
    <xf numFmtId="248" fontId="233" fillId="0" borderId="0" applyNumberFormat="0" applyFont="0" applyFill="0" applyAlignment="0"/>
    <xf numFmtId="234" fontId="244" fillId="0" borderId="0"/>
    <xf numFmtId="234" fontId="244" fillId="0" borderId="0"/>
    <xf numFmtId="244" fontId="260" fillId="0" borderId="0"/>
    <xf numFmtId="234" fontId="244" fillId="0" borderId="0"/>
    <xf numFmtId="248" fontId="268" fillId="0" borderId="0"/>
    <xf numFmtId="248" fontId="268" fillId="0" borderId="0"/>
    <xf numFmtId="0" fontId="26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1" fillId="0" borderId="0"/>
    <xf numFmtId="0" fontId="251" fillId="0" borderId="0"/>
    <xf numFmtId="248" fontId="197" fillId="0" borderId="0"/>
    <xf numFmtId="248" fontId="197" fillId="0" borderId="0"/>
    <xf numFmtId="0" fontId="268" fillId="0" borderId="0"/>
    <xf numFmtId="248" fontId="197" fillId="0" borderId="0"/>
    <xf numFmtId="248" fontId="197" fillId="0" borderId="0"/>
    <xf numFmtId="0" fontId="268" fillId="0" borderId="0"/>
    <xf numFmtId="248" fontId="268" fillId="0" borderId="0"/>
    <xf numFmtId="248" fontId="268" fillId="0" borderId="0"/>
    <xf numFmtId="227" fontId="218" fillId="0" borderId="0"/>
    <xf numFmtId="0" fontId="268" fillId="0" borderId="0"/>
    <xf numFmtId="248" fontId="268" fillId="0" borderId="0"/>
    <xf numFmtId="248" fontId="268" fillId="0" borderId="0"/>
    <xf numFmtId="0" fontId="268" fillId="0" borderId="0"/>
    <xf numFmtId="248" fontId="268" fillId="0" borderId="0"/>
    <xf numFmtId="248" fontId="268" fillId="0" borderId="0"/>
    <xf numFmtId="0" fontId="268" fillId="0" borderId="0"/>
    <xf numFmtId="248" fontId="197" fillId="0" borderId="0"/>
    <xf numFmtId="248" fontId="197" fillId="0" borderId="0"/>
    <xf numFmtId="0" fontId="26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8" fillId="0" borderId="0"/>
    <xf numFmtId="0" fontId="245" fillId="0" borderId="0"/>
    <xf numFmtId="248" fontId="245" fillId="0" borderId="0"/>
    <xf numFmtId="0" fontId="245" fillId="0" borderId="0"/>
    <xf numFmtId="248" fontId="197" fillId="0" borderId="0"/>
    <xf numFmtId="248" fontId="197" fillId="0" borderId="0" applyNumberFormat="0" applyFill="0" applyBorder="0" applyAlignment="0" applyProtection="0"/>
    <xf numFmtId="248" fontId="197" fillId="0" borderId="0"/>
    <xf numFmtId="248" fontId="238" fillId="0" borderId="0"/>
    <xf numFmtId="0" fontId="238" fillId="0" borderId="0"/>
    <xf numFmtId="248" fontId="197" fillId="0" borderId="0"/>
    <xf numFmtId="227" fontId="218" fillId="0" borderId="0"/>
    <xf numFmtId="248" fontId="197" fillId="0" borderId="0"/>
    <xf numFmtId="248" fontId="197" fillId="0" borderId="0"/>
    <xf numFmtId="248" fontId="197" fillId="0" borderId="0"/>
    <xf numFmtId="227" fontId="218" fillId="0" borderId="0"/>
    <xf numFmtId="227" fontId="2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48" fontId="2" fillId="0" borderId="0"/>
    <xf numFmtId="0" fontId="197" fillId="0" borderId="0"/>
    <xf numFmtId="248" fontId="2" fillId="0" borderId="0"/>
    <xf numFmtId="248" fontId="2" fillId="0" borderId="0"/>
    <xf numFmtId="248" fontId="2" fillId="0" borderId="0"/>
    <xf numFmtId="0" fontId="237" fillId="0" borderId="0"/>
    <xf numFmtId="248" fontId="261" fillId="0" borderId="0"/>
    <xf numFmtId="248" fontId="237" fillId="0" borderId="0"/>
    <xf numFmtId="0" fontId="237" fillId="0" borderId="0"/>
    <xf numFmtId="248" fontId="197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18" fillId="0" borderId="0">
      <alignment vertical="center"/>
    </xf>
    <xf numFmtId="0" fontId="218" fillId="0" borderId="0">
      <alignment vertical="center"/>
    </xf>
    <xf numFmtId="248" fontId="197" fillId="0" borderId="0" applyNumberFormat="0" applyFill="0" applyBorder="0" applyAlignment="0" applyProtection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0" fontId="218" fillId="0" borderId="0">
      <alignment vertical="center"/>
    </xf>
    <xf numFmtId="248" fontId="218" fillId="0" borderId="0">
      <alignment vertical="center"/>
    </xf>
    <xf numFmtId="0" fontId="218" fillId="0" borderId="0">
      <alignment vertical="center"/>
    </xf>
    <xf numFmtId="248" fontId="197" fillId="0" borderId="0"/>
    <xf numFmtId="0" fontId="234" fillId="0" borderId="0">
      <alignment vertical="top"/>
    </xf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0" fontId="251" fillId="0" borderId="0"/>
    <xf numFmtId="248" fontId="2" fillId="0" borderId="0"/>
    <xf numFmtId="248" fontId="2" fillId="0" borderId="0"/>
    <xf numFmtId="0" fontId="251" fillId="0" borderId="0"/>
    <xf numFmtId="248" fontId="2" fillId="0" borderId="0"/>
    <xf numFmtId="248" fontId="2" fillId="0" borderId="0"/>
    <xf numFmtId="0" fontId="251" fillId="0" borderId="0"/>
    <xf numFmtId="248" fontId="2" fillId="0" borderId="0"/>
    <xf numFmtId="248" fontId="2" fillId="0" borderId="0"/>
    <xf numFmtId="0" fontId="251" fillId="0" borderId="0"/>
    <xf numFmtId="248" fontId="2" fillId="0" borderId="0"/>
    <xf numFmtId="248" fontId="2" fillId="0" borderId="0"/>
    <xf numFmtId="0" fontId="251" fillId="0" borderId="0"/>
    <xf numFmtId="248" fontId="2" fillId="0" borderId="0"/>
    <xf numFmtId="248" fontId="2" fillId="0" borderId="0"/>
    <xf numFmtId="0" fontId="251" fillId="0" borderId="0"/>
    <xf numFmtId="248" fontId="2" fillId="0" borderId="0"/>
    <xf numFmtId="248" fontId="2" fillId="0" borderId="0"/>
    <xf numFmtId="0" fontId="251" fillId="0" borderId="0"/>
    <xf numFmtId="248" fontId="268" fillId="0" borderId="0"/>
    <xf numFmtId="248" fontId="268" fillId="0" borderId="0"/>
    <xf numFmtId="0" fontId="268" fillId="0" borderId="0"/>
    <xf numFmtId="248" fontId="2" fillId="0" borderId="0"/>
    <xf numFmtId="248" fontId="2" fillId="0" borderId="0"/>
    <xf numFmtId="0" fontId="251" fillId="0" borderId="0"/>
    <xf numFmtId="0" fontId="251" fillId="0" borderId="0"/>
    <xf numFmtId="0" fontId="251" fillId="0" borderId="0"/>
    <xf numFmtId="0" fontId="251" fillId="0" borderId="0"/>
    <xf numFmtId="0" fontId="269" fillId="0" borderId="0">
      <alignment vertical="center"/>
    </xf>
    <xf numFmtId="0" fontId="269" fillId="0" borderId="0">
      <alignment vertical="center"/>
    </xf>
    <xf numFmtId="0" fontId="251" fillId="0" borderId="0"/>
    <xf numFmtId="0" fontId="2" fillId="0" borderId="0"/>
    <xf numFmtId="0" fontId="251" fillId="0" borderId="0"/>
    <xf numFmtId="0" fontId="2" fillId="0" borderId="0"/>
    <xf numFmtId="0" fontId="251" fillId="0" borderId="0"/>
    <xf numFmtId="0" fontId="2" fillId="0" borderId="0"/>
    <xf numFmtId="0" fontId="251" fillId="0" borderId="0"/>
    <xf numFmtId="0" fontId="2" fillId="0" borderId="0"/>
    <xf numFmtId="0" fontId="251" fillId="0" borderId="0"/>
    <xf numFmtId="0" fontId="2" fillId="0" borderId="0"/>
    <xf numFmtId="0" fontId="251" fillId="0" borderId="0"/>
    <xf numFmtId="0" fontId="2" fillId="0" borderId="0"/>
    <xf numFmtId="0" fontId="269" fillId="0" borderId="0">
      <alignment vertical="center"/>
    </xf>
    <xf numFmtId="0" fontId="2" fillId="0" borderId="0"/>
    <xf numFmtId="0" fontId="269" fillId="0" borderId="0">
      <alignment vertical="center"/>
    </xf>
    <xf numFmtId="0" fontId="2" fillId="0" borderId="0"/>
    <xf numFmtId="248" fontId="268" fillId="0" borderId="0"/>
    <xf numFmtId="248" fontId="268" fillId="0" borderId="0"/>
    <xf numFmtId="0" fontId="268" fillId="0" borderId="0"/>
    <xf numFmtId="0" fontId="251" fillId="0" borderId="0"/>
    <xf numFmtId="0" fontId="2" fillId="0" borderId="0"/>
    <xf numFmtId="0" fontId="2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48" fontId="268" fillId="0" borderId="0"/>
    <xf numFmtId="248" fontId="268" fillId="0" borderId="0"/>
    <xf numFmtId="0" fontId="268" fillId="0" borderId="0"/>
    <xf numFmtId="0" fontId="2" fillId="0" borderId="0"/>
    <xf numFmtId="0" fontId="2" fillId="0" borderId="0"/>
    <xf numFmtId="227" fontId="2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48" fontId="268" fillId="0" borderId="0"/>
    <xf numFmtId="248" fontId="268" fillId="0" borderId="0"/>
    <xf numFmtId="0" fontId="26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1" fillId="0" borderId="0"/>
    <xf numFmtId="0" fontId="2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14" fontId="252" fillId="0" borderId="0">
      <alignment horizontal="center" wrapText="1"/>
      <protection locked="0"/>
    </xf>
    <xf numFmtId="179" fontId="2" fillId="0" borderId="0" applyFont="0" applyFill="0" applyBorder="0" applyAlignment="0" applyProtection="0"/>
    <xf numFmtId="9" fontId="238" fillId="0" borderId="0" applyFont="0" applyFill="0" applyBorder="0" applyAlignment="0" applyProtection="0"/>
    <xf numFmtId="9" fontId="238" fillId="0" borderId="0" applyFont="0" applyFill="0" applyBorder="0" applyAlignment="0" applyProtection="0"/>
    <xf numFmtId="9" fontId="197" fillId="0" borderId="0" applyFont="0" applyFill="0" applyBorder="0" applyAlignment="0" applyProtection="0"/>
    <xf numFmtId="248" fontId="263" fillId="51" borderId="0" applyNumberFormat="0" applyFont="0" applyBorder="0" applyAlignment="0">
      <alignment horizontal="center"/>
    </xf>
    <xf numFmtId="235" fontId="197" fillId="0" borderId="0" applyNumberFormat="0" applyFill="0" applyBorder="0" applyAlignment="0" applyProtection="0">
      <alignment horizontal="left"/>
    </xf>
    <xf numFmtId="235" fontId="197" fillId="0" borderId="0" applyNumberFormat="0" applyFill="0" applyBorder="0" applyAlignment="0" applyProtection="0">
      <alignment horizontal="left"/>
    </xf>
    <xf numFmtId="14" fontId="264" fillId="0" borderId="0" applyNumberFormat="0" applyFill="0" applyBorder="0" applyAlignment="0" applyProtection="0">
      <alignment horizontal="left"/>
    </xf>
    <xf numFmtId="38" fontId="262" fillId="0" borderId="0" applyFont="0" applyFill="0" applyBorder="0" applyAlignment="0" applyProtection="0"/>
    <xf numFmtId="40" fontId="262" fillId="0" borderId="0" applyFont="0" applyFill="0" applyBorder="0" applyAlignment="0" applyProtection="0"/>
    <xf numFmtId="248" fontId="263" fillId="1" borderId="6" applyNumberFormat="0" applyFont="0" applyAlignment="0">
      <alignment horizontal="center"/>
    </xf>
    <xf numFmtId="248" fontId="265" fillId="0" borderId="0" applyNumberFormat="0" applyFill="0" applyBorder="0" applyAlignment="0">
      <alignment horizontal="center"/>
    </xf>
    <xf numFmtId="248" fontId="197" fillId="0" borderId="0" applyNumberFormat="0" applyFill="0" applyBorder="0" applyAlignment="0" applyProtection="0"/>
    <xf numFmtId="40" fontId="246" fillId="0" borderId="0" applyBorder="0">
      <alignment horizontal="right"/>
    </xf>
    <xf numFmtId="245" fontId="197" fillId="0" borderId="0">
      <alignment vertical="top"/>
    </xf>
    <xf numFmtId="0" fontId="243" fillId="0" borderId="0" applyNumberFormat="0" applyFont="0" applyFill="0" applyBorder="0" applyProtection="0">
      <alignment horizontal="center" vertical="center" wrapText="1"/>
    </xf>
    <xf numFmtId="0" fontId="243" fillId="0" borderId="0" applyNumberFormat="0" applyFont="0" applyFill="0" applyBorder="0" applyProtection="0">
      <alignment horizontal="center" vertical="center" wrapText="1"/>
    </xf>
    <xf numFmtId="248" fontId="243" fillId="0" borderId="0" applyNumberFormat="0" applyFont="0" applyFill="0" applyBorder="0" applyProtection="0">
      <alignment horizontal="center" vertical="center" wrapText="1"/>
    </xf>
    <xf numFmtId="0" fontId="197" fillId="0" borderId="0" applyFont="0" applyFill="0" applyBorder="0" applyAlignment="0" applyProtection="0"/>
    <xf numFmtId="0" fontId="197" fillId="0" borderId="0" applyFont="0" applyFill="0" applyBorder="0" applyAlignment="0" applyProtection="0"/>
    <xf numFmtId="41" fontId="266" fillId="0" borderId="0" applyFont="0" applyFill="0" applyBorder="0" applyAlignment="0" applyProtection="0"/>
    <xf numFmtId="43" fontId="266" fillId="0" borderId="0" applyFont="0" applyFill="0" applyBorder="0" applyAlignment="0" applyProtection="0"/>
    <xf numFmtId="246" fontId="266" fillId="0" borderId="0" applyFont="0" applyFill="0" applyBorder="0" applyAlignment="0" applyProtection="0"/>
    <xf numFmtId="247" fontId="266" fillId="0" borderId="0" applyFont="0" applyFill="0" applyBorder="0" applyAlignment="0" applyProtection="0"/>
    <xf numFmtId="248" fontId="266" fillId="0" borderId="0"/>
    <xf numFmtId="0" fontId="247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32" fillId="0" borderId="0">
      <alignment vertical="center"/>
    </xf>
    <xf numFmtId="40" fontId="248" fillId="0" borderId="0" applyFont="0" applyFill="0" applyBorder="0" applyAlignment="0" applyProtection="0"/>
    <xf numFmtId="38" fontId="248" fillId="0" borderId="0" applyFont="0" applyFill="0" applyBorder="0" applyAlignment="0" applyProtection="0"/>
    <xf numFmtId="0" fontId="248" fillId="0" borderId="0" applyFont="0" applyFill="0" applyBorder="0" applyAlignment="0" applyProtection="0"/>
    <xf numFmtId="0" fontId="248" fillId="0" borderId="0" applyFont="0" applyFill="0" applyBorder="0" applyAlignment="0" applyProtection="0"/>
    <xf numFmtId="41" fontId="197" fillId="0" borderId="0" applyFont="0" applyFill="0" applyBorder="0" applyAlignment="0" applyProtection="0"/>
    <xf numFmtId="43" fontId="197" fillId="0" borderId="0" applyFont="0" applyFill="0" applyBorder="0" applyAlignment="0" applyProtection="0"/>
    <xf numFmtId="0" fontId="233" fillId="0" borderId="0"/>
    <xf numFmtId="226" fontId="232" fillId="0" borderId="0" applyFont="0" applyFill="0" applyBorder="0" applyAlignment="0" applyProtection="0"/>
    <xf numFmtId="38" fontId="271" fillId="0" borderId="0" applyFont="0" applyFill="0" applyBorder="0" applyAlignment="0" applyProtection="0">
      <alignment vertical="center"/>
    </xf>
    <xf numFmtId="225" fontId="232" fillId="0" borderId="0" applyFont="0" applyFill="0" applyBorder="0" applyAlignment="0" applyProtection="0"/>
    <xf numFmtId="248" fontId="262" fillId="0" borderId="0">
      <alignment vertical="center"/>
    </xf>
    <xf numFmtId="248" fontId="271" fillId="0" borderId="0">
      <alignment vertical="center"/>
    </xf>
    <xf numFmtId="248" fontId="271" fillId="0" borderId="0">
      <alignment vertical="center"/>
    </xf>
    <xf numFmtId="0" fontId="271" fillId="0" borderId="0">
      <alignment vertical="center"/>
    </xf>
    <xf numFmtId="236" fontId="249" fillId="0" borderId="0" applyFont="0" applyFill="0" applyBorder="0" applyAlignment="0" applyProtection="0"/>
    <xf numFmtId="176" fontId="250" fillId="0" borderId="0" applyFont="0" applyFill="0" applyBorder="0" applyAlignment="0" applyProtection="0"/>
    <xf numFmtId="237" fontId="249" fillId="0" borderId="0" applyFont="0" applyFill="0" applyBorder="0" applyAlignment="0" applyProtection="0"/>
    <xf numFmtId="224" fontId="262" fillId="0" borderId="0" applyFont="0" applyFill="0" applyBorder="0" applyAlignment="0" applyProtection="0"/>
    <xf numFmtId="223" fontId="262" fillId="0" borderId="0" applyFont="0" applyFill="0" applyBorder="0" applyAlignment="0" applyProtection="0"/>
    <xf numFmtId="0" fontId="222" fillId="0" borderId="0">
      <alignment horizontal="center" vertical="center"/>
    </xf>
    <xf numFmtId="7" fontId="222" fillId="0" borderId="0" applyFont="0" applyFill="0" applyBorder="0" applyAlignment="0" applyProtection="0"/>
    <xf numFmtId="0" fontId="222" fillId="0" borderId="0"/>
    <xf numFmtId="252" fontId="222" fillId="0" borderId="0" applyFont="0" applyFill="0" applyBorder="0" applyAlignment="0" applyProtection="0"/>
    <xf numFmtId="8" fontId="222" fillId="0" borderId="0" applyFont="0" applyFill="0" applyBorder="0" applyAlignment="0" applyProtection="0"/>
    <xf numFmtId="0" fontId="222" fillId="0" borderId="0">
      <alignment horizontal="center" vertical="center"/>
    </xf>
    <xf numFmtId="7" fontId="222" fillId="0" borderId="0" applyFont="0" applyFill="0" applyBorder="0" applyAlignment="0" applyProtection="0"/>
    <xf numFmtId="41" fontId="222" fillId="0" borderId="0" applyFont="0" applyFill="0" applyBorder="0" applyAlignment="0" applyProtection="0">
      <alignment vertical="center"/>
    </xf>
    <xf numFmtId="0" fontId="222" fillId="0" borderId="0"/>
    <xf numFmtId="0" fontId="211" fillId="0" borderId="0">
      <alignment vertical="center"/>
    </xf>
    <xf numFmtId="0" fontId="2" fillId="0" borderId="0"/>
    <xf numFmtId="0" fontId="197" fillId="0" borderId="0" applyNumberFormat="0" applyFont="0" applyFill="0" applyBorder="0" applyAlignment="0" applyProtection="0"/>
    <xf numFmtId="9" fontId="23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" fontId="234" fillId="46" borderId="243" applyNumberFormat="0" applyProtection="0">
      <alignment horizontal="left" vertical="center" indent="1"/>
    </xf>
    <xf numFmtId="4" fontId="234" fillId="47" borderId="243" applyNumberFormat="0" applyProtection="0">
      <alignment horizontal="right" vertical="center"/>
    </xf>
    <xf numFmtId="10" fontId="224" fillId="50" borderId="196" applyNumberFormat="0" applyBorder="0" applyAlignment="0" applyProtection="0"/>
    <xf numFmtId="41" fontId="220" fillId="0" borderId="0" applyFont="0" applyFill="0" applyBorder="0" applyAlignment="0" applyProtection="0">
      <alignment vertical="center"/>
    </xf>
    <xf numFmtId="0" fontId="220" fillId="0" borderId="0">
      <alignment vertical="center"/>
    </xf>
    <xf numFmtId="0" fontId="235" fillId="52" borderId="0" applyNumberFormat="0" applyBorder="0" applyAlignment="0" applyProtection="0">
      <alignment vertical="center"/>
    </xf>
    <xf numFmtId="0" fontId="235" fillId="53" borderId="0" applyNumberFormat="0" applyBorder="0" applyAlignment="0" applyProtection="0">
      <alignment vertical="center"/>
    </xf>
    <xf numFmtId="0" fontId="235" fillId="54" borderId="0" applyNumberFormat="0" applyBorder="0" applyAlignment="0" applyProtection="0">
      <alignment vertical="center"/>
    </xf>
    <xf numFmtId="0" fontId="235" fillId="55" borderId="0" applyNumberFormat="0" applyBorder="0" applyAlignment="0" applyProtection="0">
      <alignment vertical="center"/>
    </xf>
    <xf numFmtId="0" fontId="235" fillId="56" borderId="0" applyNumberFormat="0" applyBorder="0" applyAlignment="0" applyProtection="0">
      <alignment vertical="center"/>
    </xf>
    <xf numFmtId="0" fontId="235" fillId="57" borderId="0" applyNumberFormat="0" applyBorder="0" applyAlignment="0" applyProtection="0">
      <alignment vertical="center"/>
    </xf>
    <xf numFmtId="0" fontId="235" fillId="58" borderId="0" applyNumberFormat="0" applyBorder="0" applyAlignment="0" applyProtection="0">
      <alignment vertical="center"/>
    </xf>
    <xf numFmtId="0" fontId="235" fillId="59" borderId="0" applyNumberFormat="0" applyBorder="0" applyAlignment="0" applyProtection="0">
      <alignment vertical="center"/>
    </xf>
    <xf numFmtId="0" fontId="235" fillId="60" borderId="0" applyNumberFormat="0" applyBorder="0" applyAlignment="0" applyProtection="0">
      <alignment vertical="center"/>
    </xf>
    <xf numFmtId="0" fontId="235" fillId="55" borderId="0" applyNumberFormat="0" applyBorder="0" applyAlignment="0" applyProtection="0">
      <alignment vertical="center"/>
    </xf>
    <xf numFmtId="0" fontId="235" fillId="58" borderId="0" applyNumberFormat="0" applyBorder="0" applyAlignment="0" applyProtection="0">
      <alignment vertical="center"/>
    </xf>
    <xf numFmtId="0" fontId="235" fillId="61" borderId="0" applyNumberFormat="0" applyBorder="0" applyAlignment="0" applyProtection="0">
      <alignment vertical="center"/>
    </xf>
    <xf numFmtId="0" fontId="273" fillId="62" borderId="0" applyNumberFormat="0" applyBorder="0" applyAlignment="0" applyProtection="0">
      <alignment vertical="center"/>
    </xf>
    <xf numFmtId="0" fontId="273" fillId="59" borderId="0" applyNumberFormat="0" applyBorder="0" applyAlignment="0" applyProtection="0">
      <alignment vertical="center"/>
    </xf>
    <xf numFmtId="0" fontId="273" fillId="60" borderId="0" applyNumberFormat="0" applyBorder="0" applyAlignment="0" applyProtection="0">
      <alignment vertical="center"/>
    </xf>
    <xf numFmtId="0" fontId="273" fillId="63" borderId="0" applyNumberFormat="0" applyBorder="0" applyAlignment="0" applyProtection="0">
      <alignment vertical="center"/>
    </xf>
    <xf numFmtId="0" fontId="273" fillId="64" borderId="0" applyNumberFormat="0" applyBorder="0" applyAlignment="0" applyProtection="0">
      <alignment vertical="center"/>
    </xf>
    <xf numFmtId="0" fontId="273" fillId="65" borderId="0" applyNumberFormat="0" applyBorder="0" applyAlignment="0" applyProtection="0">
      <alignment vertical="center"/>
    </xf>
    <xf numFmtId="0" fontId="197" fillId="0" borderId="0"/>
    <xf numFmtId="9" fontId="235" fillId="0" borderId="0" applyFont="0" applyFill="0" applyBorder="0" applyAlignment="0" applyProtection="0">
      <alignment vertical="center"/>
    </xf>
    <xf numFmtId="9" fontId="235" fillId="0" borderId="0" applyFont="0" applyFill="0" applyBorder="0" applyAlignment="0" applyProtection="0">
      <alignment vertical="center"/>
    </xf>
    <xf numFmtId="9" fontId="197" fillId="0" borderId="0" applyFont="0" applyFill="0" applyBorder="0" applyAlignment="0" applyProtection="0"/>
    <xf numFmtId="9" fontId="197" fillId="0" borderId="0" applyFont="0" applyFill="0" applyBorder="0" applyAlignment="0" applyProtection="0"/>
    <xf numFmtId="0" fontId="275" fillId="0" borderId="245" applyNumberFormat="0" applyFill="0" applyAlignment="0" applyProtection="0">
      <alignment vertical="center"/>
    </xf>
    <xf numFmtId="0" fontId="276" fillId="0" borderId="246" applyNumberFormat="0" applyFill="0" applyAlignment="0" applyProtection="0">
      <alignment vertical="center"/>
    </xf>
    <xf numFmtId="0" fontId="277" fillId="0" borderId="247" applyNumberFormat="0" applyFill="0" applyAlignment="0" applyProtection="0">
      <alignment vertical="center"/>
    </xf>
    <xf numFmtId="0" fontId="277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8" fillId="53" borderId="0" applyNumberFormat="0" applyBorder="0" applyAlignment="0" applyProtection="0">
      <alignment vertical="center"/>
    </xf>
    <xf numFmtId="0" fontId="235" fillId="0" borderId="0">
      <alignment vertical="center"/>
    </xf>
    <xf numFmtId="0" fontId="197" fillId="0" borderId="0"/>
    <xf numFmtId="0" fontId="197" fillId="0" borderId="0"/>
    <xf numFmtId="0" fontId="197" fillId="0" borderId="0"/>
    <xf numFmtId="0" fontId="289" fillId="0" borderId="0">
      <alignment vertical="center"/>
    </xf>
    <xf numFmtId="0" fontId="220" fillId="0" borderId="0">
      <alignment vertical="center"/>
    </xf>
    <xf numFmtId="0" fontId="220" fillId="0" borderId="0">
      <alignment vertical="center"/>
    </xf>
    <xf numFmtId="0" fontId="272" fillId="0" borderId="0" applyNumberFormat="0" applyFill="0" applyBorder="0" applyAlignment="0" applyProtection="0">
      <alignment vertical="top"/>
      <protection locked="0"/>
    </xf>
    <xf numFmtId="0" fontId="279" fillId="54" borderId="0" applyNumberFormat="0" applyBorder="0" applyAlignment="0" applyProtection="0">
      <alignment vertical="center"/>
    </xf>
    <xf numFmtId="0" fontId="280" fillId="0" borderId="248" applyNumberFormat="0" applyFill="0" applyAlignment="0" applyProtection="0">
      <alignment vertical="center"/>
    </xf>
    <xf numFmtId="0" fontId="281" fillId="66" borderId="249" applyNumberFormat="0" applyAlignment="0" applyProtection="0">
      <alignment vertical="center"/>
    </xf>
    <xf numFmtId="0" fontId="282" fillId="67" borderId="250" applyNumberFormat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84" fillId="0" borderId="0" applyNumberFormat="0" applyFill="0" applyBorder="0" applyAlignment="0" applyProtection="0">
      <alignment vertical="center"/>
    </xf>
    <xf numFmtId="0" fontId="285" fillId="0" borderId="251" applyNumberFormat="0" applyFill="0" applyAlignment="0" applyProtection="0">
      <alignment vertical="center"/>
    </xf>
    <xf numFmtId="253" fontId="197" fillId="0" borderId="0" applyFont="0" applyFill="0" applyBorder="0" applyAlignment="0" applyProtection="0"/>
    <xf numFmtId="254" fontId="197" fillId="0" borderId="0" applyFont="0" applyFill="0" applyBorder="0" applyAlignment="0" applyProtection="0"/>
    <xf numFmtId="0" fontId="273" fillId="68" borderId="0" applyNumberFormat="0" applyBorder="0" applyAlignment="0" applyProtection="0">
      <alignment vertical="center"/>
    </xf>
    <xf numFmtId="0" fontId="273" fillId="69" borderId="0" applyNumberFormat="0" applyBorder="0" applyAlignment="0" applyProtection="0">
      <alignment vertical="center"/>
    </xf>
    <xf numFmtId="0" fontId="273" fillId="70" borderId="0" applyNumberFormat="0" applyBorder="0" applyAlignment="0" applyProtection="0">
      <alignment vertical="center"/>
    </xf>
    <xf numFmtId="0" fontId="273" fillId="63" borderId="0" applyNumberFormat="0" applyBorder="0" applyAlignment="0" applyProtection="0">
      <alignment vertical="center"/>
    </xf>
    <xf numFmtId="0" fontId="273" fillId="64" borderId="0" applyNumberFormat="0" applyBorder="0" applyAlignment="0" applyProtection="0">
      <alignment vertical="center"/>
    </xf>
    <xf numFmtId="0" fontId="273" fillId="71" borderId="0" applyNumberFormat="0" applyBorder="0" applyAlignment="0" applyProtection="0">
      <alignment vertical="center"/>
    </xf>
    <xf numFmtId="0" fontId="286" fillId="72" borderId="0" applyNumberFormat="0" applyBorder="0" applyAlignment="0" applyProtection="0">
      <alignment vertical="center"/>
    </xf>
    <xf numFmtId="0" fontId="287" fillId="66" borderId="252" applyNumberFormat="0" applyAlignment="0" applyProtection="0">
      <alignment vertical="center"/>
    </xf>
    <xf numFmtId="0" fontId="288" fillId="57" borderId="249" applyNumberFormat="0" applyAlignment="0" applyProtection="0">
      <alignment vertical="center"/>
    </xf>
    <xf numFmtId="0" fontId="220" fillId="73" borderId="253" applyNumberFormat="0" applyFont="0" applyAlignment="0" applyProtection="0">
      <alignment vertical="center"/>
    </xf>
    <xf numFmtId="263" fontId="197" fillId="0" borderId="0"/>
    <xf numFmtId="0" fontId="231" fillId="0" borderId="0">
      <alignment vertical="center"/>
    </xf>
    <xf numFmtId="0" fontId="290" fillId="0" borderId="0" applyNumberFormat="0" applyFill="0" applyBorder="0" applyAlignment="0" applyProtection="0">
      <alignment vertical="top"/>
      <protection locked="0"/>
    </xf>
    <xf numFmtId="237" fontId="291" fillId="0" borderId="0" applyFont="0" applyFill="0" applyBorder="0" applyAlignment="0" applyProtection="0"/>
    <xf numFmtId="255" fontId="272" fillId="0" borderId="0" applyNumberFormat="0" applyFill="0" applyBorder="0" applyAlignment="0" applyProtection="0">
      <alignment vertical="top"/>
      <protection locked="0"/>
    </xf>
    <xf numFmtId="255" fontId="292" fillId="0" borderId="0"/>
    <xf numFmtId="255" fontId="292" fillId="0" borderId="0"/>
    <xf numFmtId="255" fontId="293" fillId="0" borderId="0"/>
    <xf numFmtId="255" fontId="292" fillId="0" borderId="0"/>
    <xf numFmtId="255" fontId="292" fillId="0" borderId="0"/>
    <xf numFmtId="255" fontId="292" fillId="0" borderId="0"/>
    <xf numFmtId="255" fontId="292" fillId="0" borderId="0"/>
    <xf numFmtId="255" fontId="292" fillId="0" borderId="0"/>
    <xf numFmtId="255" fontId="292" fillId="0" borderId="0"/>
    <xf numFmtId="255" fontId="292" fillId="0" borderId="0"/>
    <xf numFmtId="255" fontId="292" fillId="0" borderId="0"/>
    <xf numFmtId="255" fontId="292" fillId="0" borderId="0"/>
    <xf numFmtId="255" fontId="292" fillId="0" borderId="0"/>
    <xf numFmtId="255" fontId="292" fillId="0" borderId="0"/>
    <xf numFmtId="255" fontId="291" fillId="0" borderId="0"/>
    <xf numFmtId="255" fontId="291" fillId="0" borderId="0"/>
    <xf numFmtId="255" fontId="291" fillId="0" borderId="0"/>
    <xf numFmtId="255" fontId="197" fillId="0" borderId="0"/>
    <xf numFmtId="255" fontId="197" fillId="0" borderId="0"/>
    <xf numFmtId="255" fontId="293" fillId="0" borderId="0"/>
    <xf numFmtId="255" fontId="292" fillId="0" borderId="0"/>
    <xf numFmtId="255" fontId="292" fillId="0" borderId="0"/>
    <xf numFmtId="255" fontId="292" fillId="0" borderId="0"/>
    <xf numFmtId="255" fontId="292" fillId="0" borderId="0"/>
    <xf numFmtId="255" fontId="292" fillId="0" borderId="0"/>
    <xf numFmtId="255" fontId="292" fillId="0" borderId="0"/>
    <xf numFmtId="255" fontId="197" fillId="0" borderId="0"/>
    <xf numFmtId="255" fontId="197" fillId="0" borderId="0"/>
    <xf numFmtId="255" fontId="197" fillId="0" borderId="0"/>
    <xf numFmtId="255" fontId="197" fillId="0" borderId="0"/>
    <xf numFmtId="255" fontId="234" fillId="0" borderId="0">
      <alignment vertical="top"/>
    </xf>
    <xf numFmtId="255" fontId="197" fillId="0" borderId="0"/>
    <xf numFmtId="255" fontId="197" fillId="0" borderId="0"/>
    <xf numFmtId="255" fontId="197" fillId="0" borderId="0"/>
    <xf numFmtId="255" fontId="197" fillId="0" borderId="0"/>
    <xf numFmtId="255" fontId="197" fillId="0" borderId="0"/>
    <xf numFmtId="255" fontId="197" fillId="0" borderId="0"/>
    <xf numFmtId="255" fontId="197" fillId="0" borderId="0"/>
    <xf numFmtId="255" fontId="197" fillId="0" borderId="0"/>
    <xf numFmtId="255" fontId="197" fillId="0" borderId="0"/>
    <xf numFmtId="255" fontId="197" fillId="0" borderId="0"/>
    <xf numFmtId="255" fontId="197" fillId="0" borderId="0"/>
    <xf numFmtId="255" fontId="220" fillId="0" borderId="0"/>
    <xf numFmtId="255" fontId="291" fillId="0" borderId="0"/>
    <xf numFmtId="41" fontId="251" fillId="0" borderId="0"/>
    <xf numFmtId="255" fontId="294" fillId="0" borderId="0" applyFont="0" applyFill="0" applyBorder="0" applyAlignment="0" applyProtection="0"/>
    <xf numFmtId="255" fontId="294" fillId="0" borderId="0" applyFont="0" applyFill="0" applyBorder="0" applyAlignment="0" applyProtection="0"/>
    <xf numFmtId="255" fontId="252" fillId="0" borderId="0">
      <alignment horizontal="center" wrapText="1"/>
      <protection locked="0"/>
    </xf>
    <xf numFmtId="255" fontId="294" fillId="0" borderId="0" applyFont="0" applyFill="0" applyBorder="0" applyAlignment="0" applyProtection="0"/>
    <xf numFmtId="255" fontId="294" fillId="0" borderId="0" applyFont="0" applyFill="0" applyBorder="0" applyAlignment="0" applyProtection="0"/>
    <xf numFmtId="256" fontId="295" fillId="0" borderId="197" applyAlignment="0" applyProtection="0"/>
    <xf numFmtId="255" fontId="294" fillId="0" borderId="0"/>
    <xf numFmtId="257" fontId="197" fillId="0" borderId="0" applyFill="0" applyBorder="0" applyAlignment="0"/>
    <xf numFmtId="258" fontId="197" fillId="0" borderId="0" applyFill="0" applyBorder="0" applyAlignment="0"/>
    <xf numFmtId="244" fontId="197" fillId="0" borderId="0" applyFill="0" applyBorder="0" applyAlignment="0"/>
    <xf numFmtId="185" fontId="197" fillId="0" borderId="0" applyFill="0" applyBorder="0" applyAlignment="0"/>
    <xf numFmtId="259" fontId="197" fillId="0" borderId="0" applyFill="0" applyBorder="0" applyAlignment="0"/>
    <xf numFmtId="237" fontId="296" fillId="0" borderId="0" applyFill="0" applyBorder="0" applyAlignment="0"/>
    <xf numFmtId="260" fontId="197" fillId="0" borderId="0" applyFill="0" applyBorder="0" applyAlignment="0"/>
    <xf numFmtId="258" fontId="197" fillId="0" borderId="0" applyFill="0" applyBorder="0" applyAlignment="0"/>
    <xf numFmtId="237" fontId="296" fillId="0" borderId="0" applyFont="0" applyFill="0" applyBorder="0" applyAlignment="0" applyProtection="0"/>
    <xf numFmtId="226" fontId="220" fillId="0" borderId="0" applyFont="0" applyFill="0" applyBorder="0" applyAlignment="0" applyProtection="0"/>
    <xf numFmtId="226" fontId="220" fillId="0" borderId="0" applyFont="0" applyFill="0" applyBorder="0" applyAlignment="0" applyProtection="0"/>
    <xf numFmtId="255" fontId="297" fillId="0" borderId="0" applyNumberFormat="0" applyFill="0" applyBorder="0" applyAlignment="0" applyProtection="0"/>
    <xf numFmtId="255" fontId="239" fillId="0" borderId="0" applyNumberFormat="0" applyAlignment="0">
      <alignment horizontal="left"/>
    </xf>
    <xf numFmtId="255" fontId="298" fillId="0" borderId="0" applyNumberFormat="0" applyAlignment="0"/>
    <xf numFmtId="258" fontId="197" fillId="0" borderId="0" applyFont="0" applyFill="0" applyBorder="0" applyAlignment="0" applyProtection="0"/>
    <xf numFmtId="256" fontId="197" fillId="0" borderId="0" applyFont="0" applyFill="0" applyBorder="0" applyAlignment="0" applyProtection="0"/>
    <xf numFmtId="261" fontId="220" fillId="48" borderId="0" applyFont="0" applyBorder="0"/>
    <xf numFmtId="3" fontId="265" fillId="0" borderId="0"/>
    <xf numFmtId="15" fontId="213" fillId="0" borderId="0"/>
    <xf numFmtId="14" fontId="234" fillId="0" borderId="0" applyFill="0" applyBorder="0" applyAlignment="0"/>
    <xf numFmtId="255" fontId="197" fillId="0" borderId="0" applyFont="0" applyFill="0" applyBorder="0" applyAlignment="0" applyProtection="0"/>
    <xf numFmtId="237" fontId="296" fillId="0" borderId="0" applyFill="0" applyBorder="0" applyAlignment="0"/>
    <xf numFmtId="258" fontId="197" fillId="0" borderId="0" applyFill="0" applyBorder="0" applyAlignment="0"/>
    <xf numFmtId="237" fontId="296" fillId="0" borderId="0" applyFill="0" applyBorder="0" applyAlignment="0"/>
    <xf numFmtId="260" fontId="197" fillId="0" borderId="0" applyFill="0" applyBorder="0" applyAlignment="0"/>
    <xf numFmtId="258" fontId="197" fillId="0" borderId="0" applyFill="0" applyBorder="0" applyAlignment="0"/>
    <xf numFmtId="255" fontId="240" fillId="0" borderId="0" applyNumberFormat="0" applyAlignment="0">
      <alignment horizontal="left"/>
    </xf>
    <xf numFmtId="255" fontId="225" fillId="0" borderId="45" applyNumberFormat="0" applyAlignment="0" applyProtection="0">
      <alignment horizontal="left" vertical="center"/>
    </xf>
    <xf numFmtId="255" fontId="225" fillId="0" borderId="6">
      <alignment horizontal="left" vertical="center"/>
    </xf>
    <xf numFmtId="255" fontId="297" fillId="0" borderId="0" applyNumberFormat="0" applyFill="0" applyBorder="0" applyAlignment="0" applyProtection="0"/>
    <xf numFmtId="255" fontId="297" fillId="0" borderId="0" applyNumberFormat="0" applyFill="0" applyBorder="0" applyAlignment="0" applyProtection="0"/>
    <xf numFmtId="10" fontId="224" fillId="50" borderId="196" applyNumberFormat="0" applyBorder="0" applyAlignment="0" applyProtection="0"/>
    <xf numFmtId="258" fontId="197" fillId="74" borderId="0"/>
    <xf numFmtId="237" fontId="296" fillId="0" borderId="0" applyFill="0" applyBorder="0" applyAlignment="0"/>
    <xf numFmtId="258" fontId="197" fillId="0" borderId="0" applyFill="0" applyBorder="0" applyAlignment="0"/>
    <xf numFmtId="237" fontId="296" fillId="0" borderId="0" applyFill="0" applyBorder="0" applyAlignment="0"/>
    <xf numFmtId="260" fontId="197" fillId="0" borderId="0" applyFill="0" applyBorder="0" applyAlignment="0"/>
    <xf numFmtId="258" fontId="197" fillId="0" borderId="0" applyFill="0" applyBorder="0" applyAlignment="0"/>
    <xf numFmtId="258" fontId="197" fillId="75" borderId="0"/>
    <xf numFmtId="38" fontId="213" fillId="0" borderId="0" applyFont="0" applyFill="0" applyBorder="0" applyAlignment="0" applyProtection="0"/>
    <xf numFmtId="40" fontId="213" fillId="0" borderId="0" applyFont="0" applyFill="0" applyBorder="0" applyAlignment="0" applyProtection="0"/>
    <xf numFmtId="262" fontId="232" fillId="0" borderId="0" applyFont="0" applyFill="0" applyBorder="0" applyAlignment="0" applyProtection="0"/>
    <xf numFmtId="263" fontId="232" fillId="0" borderId="0" applyFont="0" applyFill="0" applyBorder="0" applyAlignment="0" applyProtection="0"/>
    <xf numFmtId="264" fontId="197" fillId="0" borderId="0" applyFont="0" applyFill="0" applyBorder="0" applyAlignment="0" applyProtection="0"/>
    <xf numFmtId="265" fontId="197" fillId="0" borderId="0" applyFont="0" applyFill="0" applyBorder="0" applyAlignment="0" applyProtection="0"/>
    <xf numFmtId="264" fontId="197" fillId="0" borderId="0" applyFont="0" applyFill="0" applyBorder="0" applyAlignment="0" applyProtection="0"/>
    <xf numFmtId="265" fontId="197" fillId="0" borderId="0" applyFont="0" applyFill="0" applyBorder="0" applyAlignment="0" applyProtection="0"/>
    <xf numFmtId="255" fontId="242" fillId="0" borderId="0"/>
    <xf numFmtId="37" fontId="299" fillId="0" borderId="0"/>
    <xf numFmtId="43" fontId="220" fillId="0" borderId="0"/>
    <xf numFmtId="255" fontId="220" fillId="0" borderId="0"/>
    <xf numFmtId="255" fontId="291" fillId="0" borderId="0" applyFont="0" applyFill="0" applyBorder="0" applyAlignment="0" applyProtection="0"/>
    <xf numFmtId="196" fontId="197" fillId="0" borderId="0" applyFont="0" applyFill="0" applyBorder="0" applyAlignment="0" applyProtection="0"/>
    <xf numFmtId="9" fontId="220" fillId="0" borderId="0" applyFont="0" applyFill="0" applyBorder="0" applyAlignment="0" applyProtection="0"/>
    <xf numFmtId="10" fontId="300" fillId="0" borderId="0" applyFont="0" applyFill="0" applyBorder="0" applyAlignment="0" applyProtection="0"/>
    <xf numFmtId="231" fontId="301" fillId="0" borderId="0" applyFill="0" applyBorder="0" applyAlignment="0"/>
    <xf numFmtId="255" fontId="291" fillId="0" borderId="0" applyFill="0" applyBorder="0" applyAlignment="0"/>
    <xf numFmtId="231" fontId="301" fillId="0" borderId="0" applyFill="0" applyBorder="0" applyAlignment="0"/>
    <xf numFmtId="231" fontId="291" fillId="0" borderId="0" applyFill="0" applyBorder="0" applyAlignment="0"/>
    <xf numFmtId="255" fontId="291" fillId="0" borderId="0" applyFill="0" applyBorder="0" applyAlignment="0"/>
    <xf numFmtId="255" fontId="233" fillId="0" borderId="0"/>
    <xf numFmtId="267" fontId="197" fillId="0" borderId="0"/>
    <xf numFmtId="49" fontId="234" fillId="0" borderId="0" applyFill="0" applyBorder="0" applyAlignment="0"/>
    <xf numFmtId="255" fontId="291" fillId="0" borderId="0" applyFill="0" applyBorder="0" applyAlignment="0"/>
    <xf numFmtId="231" fontId="301" fillId="0" borderId="0" applyFill="0" applyBorder="0" applyAlignment="0"/>
    <xf numFmtId="255" fontId="197" fillId="0" borderId="154" applyNumberFormat="0" applyFont="0" applyFill="0" applyAlignment="0" applyProtection="0"/>
    <xf numFmtId="177" fontId="197" fillId="0" borderId="0" applyFont="0" applyFill="0" applyBorder="0" applyAlignment="0" applyProtection="0"/>
    <xf numFmtId="179" fontId="197" fillId="0" borderId="0" applyFont="0" applyFill="0" applyBorder="0" applyAlignment="0" applyProtection="0"/>
    <xf numFmtId="255" fontId="302" fillId="0" borderId="0">
      <alignment vertical="center"/>
    </xf>
    <xf numFmtId="255" fontId="242" fillId="0" borderId="0"/>
    <xf numFmtId="225" fontId="242" fillId="0" borderId="0" applyFont="0" applyFill="0" applyBorder="0" applyAlignment="0" applyProtection="0"/>
    <xf numFmtId="226" fontId="242" fillId="0" borderId="0" applyFont="0" applyFill="0" applyBorder="0" applyAlignment="0" applyProtection="0"/>
    <xf numFmtId="37" fontId="197" fillId="0" borderId="0" applyFont="0" applyFill="0" applyBorder="0" applyAlignment="0" applyProtection="0"/>
    <xf numFmtId="39" fontId="197" fillId="0" borderId="0" applyFont="0" applyFill="0" applyBorder="0" applyAlignment="0" applyProtection="0"/>
    <xf numFmtId="255" fontId="303" fillId="0" borderId="0"/>
    <xf numFmtId="263" fontId="197" fillId="0" borderId="0"/>
    <xf numFmtId="266" fontId="197" fillId="0" borderId="0"/>
    <xf numFmtId="266" fontId="197" fillId="0" borderId="0"/>
    <xf numFmtId="0" fontId="2" fillId="0" borderId="0"/>
    <xf numFmtId="0" fontId="304" fillId="0" borderId="0" applyNumberFormat="0" applyFill="0" applyBorder="0" applyAlignment="0" applyProtection="0">
      <alignment vertical="top"/>
      <protection locked="0"/>
    </xf>
    <xf numFmtId="267" fontId="197" fillId="0" borderId="0"/>
    <xf numFmtId="0" fontId="305" fillId="0" borderId="0" applyNumberFormat="0" applyFill="0" applyBorder="0" applyAlignment="0" applyProtection="0">
      <alignment vertical="center"/>
    </xf>
    <xf numFmtId="43" fontId="220" fillId="0" borderId="0" applyFont="0" applyFill="0" applyBorder="0" applyAlignment="0" applyProtection="0">
      <alignment vertical="center"/>
    </xf>
    <xf numFmtId="9" fontId="220" fillId="0" borderId="0" applyFont="0" applyFill="0" applyBorder="0" applyAlignment="0" applyProtection="0">
      <alignment vertical="center"/>
    </xf>
    <xf numFmtId="0" fontId="220" fillId="0" borderId="0">
      <alignment vertical="center"/>
    </xf>
    <xf numFmtId="0" fontId="220" fillId="0" borderId="0">
      <alignment vertical="center"/>
    </xf>
    <xf numFmtId="43" fontId="220" fillId="0" borderId="0" applyFont="0" applyFill="0" applyBorder="0" applyAlignment="0" applyProtection="0">
      <alignment vertical="center"/>
    </xf>
    <xf numFmtId="9" fontId="220" fillId="0" borderId="0" applyFont="0" applyFill="0" applyBorder="0" applyAlignment="0" applyProtection="0">
      <alignment vertical="center"/>
    </xf>
    <xf numFmtId="43" fontId="220" fillId="0" borderId="0" applyFont="0" applyFill="0" applyBorder="0" applyAlignment="0" applyProtection="0">
      <alignment vertical="center"/>
    </xf>
    <xf numFmtId="9" fontId="220" fillId="0" borderId="0" applyFont="0" applyFill="0" applyBorder="0" applyAlignment="0" applyProtection="0">
      <alignment vertical="center"/>
    </xf>
    <xf numFmtId="10" fontId="224" fillId="50" borderId="244" applyNumberFormat="0" applyBorder="0" applyAlignment="0" applyProtection="0"/>
    <xf numFmtId="0" fontId="280" fillId="0" borderId="248" applyNumberFormat="0" applyFill="0" applyAlignment="0" applyProtection="0">
      <alignment vertical="center"/>
    </xf>
    <xf numFmtId="0" fontId="281" fillId="66" borderId="249" applyNumberFormat="0" applyAlignment="0" applyProtection="0">
      <alignment vertical="center"/>
    </xf>
    <xf numFmtId="0" fontId="287" fillId="66" borderId="252" applyNumberFormat="0" applyAlignment="0" applyProtection="0">
      <alignment vertical="center"/>
    </xf>
    <xf numFmtId="0" fontId="288" fillId="57" borderId="249" applyNumberFormat="0" applyAlignment="0" applyProtection="0">
      <alignment vertical="center"/>
    </xf>
    <xf numFmtId="0" fontId="220" fillId="73" borderId="253" applyNumberFormat="0" applyFont="0" applyAlignment="0" applyProtection="0">
      <alignment vertical="center"/>
    </xf>
    <xf numFmtId="10" fontId="224" fillId="50" borderId="244" applyNumberFormat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280" fillId="0" borderId="248" applyNumberFormat="0" applyFill="0" applyAlignment="0" applyProtection="0">
      <alignment vertical="center"/>
    </xf>
    <xf numFmtId="0" fontId="281" fillId="66" borderId="249" applyNumberFormat="0" applyAlignment="0" applyProtection="0">
      <alignment vertical="center"/>
    </xf>
    <xf numFmtId="0" fontId="287" fillId="66" borderId="252" applyNumberFormat="0" applyAlignment="0" applyProtection="0">
      <alignment vertical="center"/>
    </xf>
    <xf numFmtId="0" fontId="288" fillId="57" borderId="249" applyNumberFormat="0" applyAlignment="0" applyProtection="0">
      <alignment vertical="center"/>
    </xf>
    <xf numFmtId="0" fontId="2" fillId="0" borderId="0"/>
    <xf numFmtId="4" fontId="234" fillId="46" borderId="243" applyNumberFormat="0" applyProtection="0">
      <alignment horizontal="left" vertical="center" indent="1"/>
    </xf>
    <xf numFmtId="255" fontId="225" fillId="0" borderId="6">
      <alignment horizontal="left" vertical="center"/>
    </xf>
    <xf numFmtId="179" fontId="2" fillId="0" borderId="0" applyFont="0" applyFill="0" applyBorder="0" applyAlignment="0" applyProtection="0"/>
    <xf numFmtId="248" fontId="225" fillId="0" borderId="6">
      <alignment horizontal="left" vertical="center"/>
    </xf>
    <xf numFmtId="0" fontId="280" fillId="0" borderId="248" applyNumberFormat="0" applyFill="0" applyAlignment="0" applyProtection="0">
      <alignment vertical="center"/>
    </xf>
    <xf numFmtId="0" fontId="281" fillId="66" borderId="249" applyNumberFormat="0" applyAlignment="0" applyProtection="0">
      <alignment vertical="center"/>
    </xf>
    <xf numFmtId="0" fontId="2" fillId="0" borderId="0"/>
    <xf numFmtId="0" fontId="220" fillId="73" borderId="253" applyNumberFormat="0" applyFont="0" applyAlignment="0" applyProtection="0">
      <alignment vertical="center"/>
    </xf>
    <xf numFmtId="179" fontId="2" fillId="0" borderId="0" applyFont="0" applyFill="0" applyBorder="0" applyAlignment="0" applyProtection="0"/>
    <xf numFmtId="0" fontId="287" fillId="66" borderId="252" applyNumberFormat="0" applyAlignment="0" applyProtection="0">
      <alignment vertical="center"/>
    </xf>
    <xf numFmtId="0" fontId="288" fillId="57" borderId="249" applyNumberFormat="0" applyAlignment="0" applyProtection="0">
      <alignment vertical="center"/>
    </xf>
    <xf numFmtId="256" fontId="295" fillId="0" borderId="254" applyAlignment="0" applyProtection="0"/>
    <xf numFmtId="0" fontId="2" fillId="0" borderId="0"/>
    <xf numFmtId="4" fontId="234" fillId="47" borderId="243" applyNumberFormat="0" applyProtection="0">
      <alignment horizontal="right" vertical="center"/>
    </xf>
    <xf numFmtId="248" fontId="263" fillId="1" borderId="6" applyNumberFormat="0" applyFont="0" applyAlignment="0">
      <alignment horizontal="center"/>
    </xf>
    <xf numFmtId="0" fontId="2" fillId="0" borderId="0"/>
    <xf numFmtId="0" fontId="225" fillId="0" borderId="6">
      <alignment horizontal="left" vertical="center"/>
    </xf>
    <xf numFmtId="0" fontId="225" fillId="0" borderId="6">
      <alignment horizontal="left" vertical="center"/>
    </xf>
    <xf numFmtId="4" fontId="234" fillId="46" borderId="243" applyNumberFormat="0" applyProtection="0">
      <alignment horizontal="left" vertical="center" indent="1"/>
    </xf>
    <xf numFmtId="4" fontId="234" fillId="47" borderId="243" applyNumberFormat="0" applyProtection="0">
      <alignment horizontal="right" vertical="center"/>
    </xf>
    <xf numFmtId="10" fontId="224" fillId="50" borderId="196" applyNumberFormat="0" applyBorder="0" applyAlignment="0" applyProtection="0"/>
    <xf numFmtId="10" fontId="224" fillId="50" borderId="196" applyNumberFormat="0" applyBorder="0" applyAlignment="0" applyProtection="0"/>
    <xf numFmtId="0" fontId="220" fillId="73" borderId="253" applyNumberFormat="0" applyFont="0" applyAlignment="0" applyProtection="0">
      <alignment vertical="center"/>
    </xf>
    <xf numFmtId="10" fontId="224" fillId="50" borderId="244" applyNumberFormat="0" applyBorder="0" applyAlignment="0" applyProtection="0"/>
    <xf numFmtId="10" fontId="224" fillId="50" borderId="244" applyNumberFormat="0" applyBorder="0" applyAlignment="0" applyProtection="0"/>
    <xf numFmtId="43" fontId="211" fillId="0" borderId="0" applyFont="0" applyFill="0" applyBorder="0" applyAlignment="0" applyProtection="0">
      <alignment vertical="center"/>
    </xf>
    <xf numFmtId="179" fontId="211" fillId="0" borderId="0" applyFon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</cellStyleXfs>
  <cellXfs count="7648">
    <xf numFmtId="0" fontId="0" fillId="0" borderId="0" xfId="0">
      <alignment vertical="center"/>
    </xf>
    <xf numFmtId="41" fontId="108" fillId="4" borderId="5" xfId="0" applyNumberFormat="1" applyFont="1" applyFill="1" applyBorder="1">
      <alignment vertical="center"/>
    </xf>
    <xf numFmtId="41" fontId="108" fillId="4" borderId="56" xfId="0" applyNumberFormat="1" applyFont="1" applyFill="1" applyBorder="1">
      <alignment vertical="center"/>
    </xf>
    <xf numFmtId="0" fontId="116" fillId="4" borderId="107" xfId="0" applyFont="1" applyFill="1" applyBorder="1">
      <alignment vertical="center"/>
    </xf>
    <xf numFmtId="41" fontId="84" fillId="3" borderId="0" xfId="0" applyNumberFormat="1" applyFont="1" applyFill="1">
      <alignment vertical="center"/>
    </xf>
    <xf numFmtId="0" fontId="93" fillId="0" borderId="0" xfId="0" applyFont="1">
      <alignment vertical="center"/>
    </xf>
    <xf numFmtId="41" fontId="84" fillId="4" borderId="5" xfId="0" applyNumberFormat="1" applyFont="1" applyFill="1" applyBorder="1">
      <alignment vertical="center"/>
    </xf>
    <xf numFmtId="41" fontId="84" fillId="4" borderId="11" xfId="0" applyNumberFormat="1" applyFont="1" applyFill="1" applyBorder="1">
      <alignment vertical="center"/>
    </xf>
    <xf numFmtId="41" fontId="84" fillId="4" borderId="8" xfId="0" applyNumberFormat="1" applyFont="1" applyFill="1" applyBorder="1">
      <alignment vertical="center"/>
    </xf>
    <xf numFmtId="41" fontId="84" fillId="4" borderId="119" xfId="0" applyNumberFormat="1" applyFont="1" applyFill="1" applyBorder="1">
      <alignment vertical="center"/>
    </xf>
    <xf numFmtId="41" fontId="84" fillId="4" borderId="1" xfId="0" applyNumberFormat="1" applyFont="1" applyFill="1" applyBorder="1">
      <alignment vertical="center"/>
    </xf>
    <xf numFmtId="41" fontId="84" fillId="4" borderId="27" xfId="0" applyNumberFormat="1" applyFont="1" applyFill="1" applyBorder="1">
      <alignment vertical="center"/>
    </xf>
    <xf numFmtId="41" fontId="84" fillId="4" borderId="27" xfId="0" applyNumberFormat="1" applyFont="1" applyFill="1" applyBorder="1" applyAlignment="1">
      <alignment vertical="top"/>
    </xf>
    <xf numFmtId="0" fontId="9" fillId="14" borderId="47" xfId="0" applyFont="1" applyFill="1" applyBorder="1" applyAlignment="1">
      <alignment horizontal="center"/>
    </xf>
    <xf numFmtId="0" fontId="9" fillId="14" borderId="35" xfId="0" applyFont="1" applyFill="1" applyBorder="1" applyAlignment="1">
      <alignment horizontal="center"/>
    </xf>
    <xf numFmtId="41" fontId="116" fillId="4" borderId="34" xfId="0" applyNumberFormat="1" applyFont="1" applyFill="1" applyBorder="1" applyAlignment="1">
      <alignment horizontal="center" vertical="center"/>
    </xf>
    <xf numFmtId="41" fontId="116" fillId="4" borderId="33" xfId="0" applyNumberFormat="1" applyFont="1" applyFill="1" applyBorder="1" applyAlignment="1">
      <alignment horizontal="center" vertical="center"/>
    </xf>
    <xf numFmtId="41" fontId="116" fillId="4" borderId="19" xfId="0" applyNumberFormat="1" applyFont="1" applyFill="1" applyBorder="1" applyAlignment="1">
      <alignment horizontal="center" vertical="center"/>
    </xf>
    <xf numFmtId="41" fontId="116" fillId="4" borderId="17" xfId="0" applyNumberFormat="1" applyFont="1" applyFill="1" applyBorder="1" applyAlignment="1">
      <alignment horizontal="center" vertical="center"/>
    </xf>
    <xf numFmtId="182" fontId="108" fillId="4" borderId="1" xfId="0" applyNumberFormat="1" applyFont="1" applyFill="1" applyBorder="1" applyAlignment="1">
      <alignment horizontal="center" vertical="center"/>
    </xf>
    <xf numFmtId="182" fontId="108" fillId="4" borderId="27" xfId="0" applyNumberFormat="1" applyFont="1" applyFill="1" applyBorder="1" applyAlignment="1">
      <alignment horizontal="center" vertical="center"/>
    </xf>
    <xf numFmtId="41" fontId="93" fillId="4" borderId="63" xfId="0" applyNumberFormat="1" applyFont="1" applyFill="1" applyBorder="1" applyAlignment="1">
      <alignment horizontal="left" vertical="center"/>
    </xf>
    <xf numFmtId="41" fontId="93" fillId="4" borderId="118" xfId="0" applyNumberFormat="1" applyFont="1" applyFill="1" applyBorder="1" applyAlignment="1">
      <alignment horizontal="left" vertical="center"/>
    </xf>
    <xf numFmtId="41" fontId="93" fillId="4" borderId="65" xfId="0" applyNumberFormat="1" applyFont="1" applyFill="1" applyBorder="1" applyAlignment="1">
      <alignment horizontal="left" vertical="center"/>
    </xf>
    <xf numFmtId="41" fontId="93" fillId="4" borderId="10" xfId="0" applyNumberFormat="1" applyFont="1" applyFill="1" applyBorder="1" applyAlignment="1">
      <alignment horizontal="left" vertical="center"/>
    </xf>
    <xf numFmtId="41" fontId="93" fillId="4" borderId="8" xfId="0" applyNumberFormat="1" applyFont="1" applyFill="1" applyBorder="1" applyAlignment="1">
      <alignment horizontal="left" vertical="center"/>
    </xf>
    <xf numFmtId="41" fontId="93" fillId="4" borderId="119" xfId="0" applyNumberFormat="1" applyFont="1" applyFill="1" applyBorder="1" applyAlignment="1">
      <alignment horizontal="left" vertical="center"/>
    </xf>
    <xf numFmtId="0" fontId="108" fillId="4" borderId="20" xfId="0" applyFont="1" applyFill="1" applyBorder="1" applyAlignment="1">
      <alignment horizontal="center" vertical="center"/>
    </xf>
    <xf numFmtId="41" fontId="93" fillId="4" borderId="56" xfId="0" applyNumberFormat="1" applyFont="1" applyFill="1" applyBorder="1" applyAlignment="1">
      <alignment horizontal="left" vertical="center"/>
    </xf>
    <xf numFmtId="180" fontId="112" fillId="12" borderId="28" xfId="0" applyNumberFormat="1" applyFont="1" applyFill="1" applyBorder="1" applyAlignment="1">
      <alignment horizontal="center" vertical="center"/>
    </xf>
    <xf numFmtId="182" fontId="114" fillId="4" borderId="20" xfId="0" applyNumberFormat="1" applyFont="1" applyFill="1" applyBorder="1" applyAlignment="1">
      <alignment horizontal="center" vertical="center"/>
    </xf>
    <xf numFmtId="182" fontId="112" fillId="4" borderId="45" xfId="0" applyNumberFormat="1" applyFont="1" applyFill="1" applyBorder="1" applyAlignment="1">
      <alignment horizontal="left" vertical="center"/>
    </xf>
    <xf numFmtId="0" fontId="108" fillId="4" borderId="80" xfId="0" applyFont="1" applyFill="1" applyBorder="1" applyAlignment="1">
      <alignment horizontal="center" vertical="top"/>
    </xf>
    <xf numFmtId="182" fontId="116" fillId="4" borderId="45" xfId="0" applyNumberFormat="1" applyFont="1" applyFill="1" applyBorder="1" applyAlignment="1">
      <alignment horizontal="left" vertical="center"/>
    </xf>
    <xf numFmtId="0" fontId="116" fillId="4" borderId="80" xfId="0" applyFont="1" applyFill="1" applyBorder="1" applyAlignment="1">
      <alignment horizontal="center" vertical="center"/>
    </xf>
    <xf numFmtId="0" fontId="93" fillId="4" borderId="17" xfId="0" applyFont="1" applyFill="1" applyBorder="1" applyAlignment="1">
      <alignment horizontal="center" vertical="center"/>
    </xf>
    <xf numFmtId="0" fontId="84" fillId="4" borderId="10" xfId="0" applyFont="1" applyFill="1" applyBorder="1" applyAlignment="1">
      <alignment horizontal="left" vertical="center"/>
    </xf>
    <xf numFmtId="182" fontId="108" fillId="4" borderId="45" xfId="0" applyNumberFormat="1" applyFont="1" applyFill="1" applyBorder="1" applyAlignment="1">
      <alignment horizontal="center" vertical="center"/>
    </xf>
    <xf numFmtId="41" fontId="116" fillId="4" borderId="15" xfId="0" applyNumberFormat="1" applyFont="1" applyFill="1" applyBorder="1" applyAlignment="1">
      <alignment horizontal="center" vertical="center"/>
    </xf>
    <xf numFmtId="0" fontId="112" fillId="4" borderId="15" xfId="0" applyFont="1" applyFill="1" applyBorder="1" applyAlignment="1">
      <alignment horizontal="center" vertical="center"/>
    </xf>
    <xf numFmtId="0" fontId="93" fillId="4" borderId="35" xfId="0" applyFont="1" applyFill="1" applyBorder="1" applyAlignment="1">
      <alignment horizontal="center" vertical="center"/>
    </xf>
    <xf numFmtId="41" fontId="12" fillId="4" borderId="68" xfId="0" applyNumberFormat="1" applyFont="1" applyFill="1" applyBorder="1" applyAlignment="1">
      <alignment horizontal="center" vertical="top"/>
    </xf>
    <xf numFmtId="41" fontId="12" fillId="4" borderId="8" xfId="0" applyNumberFormat="1" applyFont="1" applyFill="1" applyBorder="1" applyAlignment="1">
      <alignment horizontal="center" vertical="top"/>
    </xf>
    <xf numFmtId="41" fontId="12" fillId="4" borderId="65" xfId="0" applyNumberFormat="1" applyFont="1" applyFill="1" applyBorder="1" applyAlignment="1">
      <alignment horizontal="center" vertical="top"/>
    </xf>
    <xf numFmtId="0" fontId="13" fillId="4" borderId="67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left" vertical="center"/>
    </xf>
    <xf numFmtId="41" fontId="13" fillId="4" borderId="67" xfId="0" applyNumberFormat="1" applyFont="1" applyFill="1" applyBorder="1" applyAlignment="1">
      <alignment horizontal="center" vertical="center"/>
    </xf>
    <xf numFmtId="41" fontId="13" fillId="4" borderId="15" xfId="0" applyNumberFormat="1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41" fontId="93" fillId="4" borderId="65" xfId="0" applyNumberFormat="1" applyFont="1" applyFill="1" applyBorder="1" applyAlignment="1">
      <alignment horizontal="center" vertical="center"/>
    </xf>
    <xf numFmtId="0" fontId="116" fillId="4" borderId="61" xfId="0" applyFont="1" applyFill="1" applyBorder="1" applyAlignment="1">
      <alignment horizontal="center" vertical="center"/>
    </xf>
    <xf numFmtId="0" fontId="116" fillId="4" borderId="63" xfId="0" applyFont="1" applyFill="1" applyBorder="1" applyAlignment="1">
      <alignment horizontal="center" vertical="center"/>
    </xf>
    <xf numFmtId="0" fontId="116" fillId="4" borderId="64" xfId="0" applyFont="1" applyFill="1" applyBorder="1" applyAlignment="1">
      <alignment horizontal="center" vertical="center"/>
    </xf>
    <xf numFmtId="41" fontId="93" fillId="4" borderId="5" xfId="0" applyNumberFormat="1" applyFont="1" applyFill="1" applyBorder="1" applyAlignment="1">
      <alignment horizontal="left" vertical="center"/>
    </xf>
    <xf numFmtId="41" fontId="93" fillId="4" borderId="1" xfId="0" applyNumberFormat="1" applyFont="1" applyFill="1" applyBorder="1" applyAlignment="1">
      <alignment horizontal="left" vertical="center"/>
    </xf>
    <xf numFmtId="41" fontId="93" fillId="4" borderId="27" xfId="0" applyNumberFormat="1" applyFont="1" applyFill="1" applyBorder="1" applyAlignment="1">
      <alignment horizontal="left" vertical="center"/>
    </xf>
    <xf numFmtId="0" fontId="116" fillId="4" borderId="8" xfId="0" applyFont="1" applyFill="1" applyBorder="1" applyAlignment="1">
      <alignment horizontal="center" vertical="center"/>
    </xf>
    <xf numFmtId="0" fontId="116" fillId="4" borderId="65" xfId="0" applyFont="1" applyFill="1" applyBorder="1" applyAlignment="1">
      <alignment horizontal="center" vertical="center"/>
    </xf>
    <xf numFmtId="0" fontId="116" fillId="4" borderId="35" xfId="0" applyFont="1" applyFill="1" applyBorder="1" applyAlignment="1">
      <alignment horizontal="center" vertical="center"/>
    </xf>
    <xf numFmtId="41" fontId="93" fillId="4" borderId="63" xfId="0" applyNumberFormat="1" applyFont="1" applyFill="1" applyBorder="1" applyAlignment="1">
      <alignment horizontal="center" vertical="center"/>
    </xf>
    <xf numFmtId="41" fontId="93" fillId="4" borderId="8" xfId="0" applyNumberFormat="1" applyFont="1" applyFill="1" applyBorder="1" applyAlignment="1">
      <alignment horizontal="center" vertical="center"/>
    </xf>
    <xf numFmtId="0" fontId="93" fillId="4" borderId="42" xfId="0" applyFont="1" applyFill="1" applyBorder="1" applyAlignment="1">
      <alignment horizontal="center" vertical="center"/>
    </xf>
    <xf numFmtId="0" fontId="93" fillId="4" borderId="8" xfId="0" applyFont="1" applyFill="1" applyBorder="1" applyAlignment="1">
      <alignment horizontal="center" vertical="center"/>
    </xf>
    <xf numFmtId="0" fontId="93" fillId="4" borderId="65" xfId="0" applyFont="1" applyFill="1" applyBorder="1" applyAlignment="1">
      <alignment horizontal="center" vertical="center"/>
    </xf>
    <xf numFmtId="0" fontId="116" fillId="4" borderId="16" xfId="0" applyFont="1" applyFill="1" applyBorder="1" applyAlignment="1">
      <alignment horizontal="center" vertical="center"/>
    </xf>
    <xf numFmtId="0" fontId="116" fillId="4" borderId="20" xfId="0" applyFont="1" applyFill="1" applyBorder="1" applyAlignment="1">
      <alignment horizontal="center" vertical="center"/>
    </xf>
    <xf numFmtId="0" fontId="93" fillId="4" borderId="5" xfId="0" applyFont="1" applyFill="1" applyBorder="1" applyAlignment="1">
      <alignment horizontal="center" vertical="center"/>
    </xf>
    <xf numFmtId="0" fontId="93" fillId="4" borderId="1" xfId="0" applyFont="1" applyFill="1" applyBorder="1" applyAlignment="1">
      <alignment horizontal="center" vertical="center"/>
    </xf>
    <xf numFmtId="0" fontId="116" fillId="4" borderId="112" xfId="0" applyFont="1" applyFill="1" applyBorder="1" applyAlignment="1">
      <alignment horizontal="center" vertical="center"/>
    </xf>
    <xf numFmtId="0" fontId="116" fillId="4" borderId="13" xfId="0" applyFont="1" applyFill="1" applyBorder="1" applyAlignment="1">
      <alignment horizontal="center" vertical="center"/>
    </xf>
    <xf numFmtId="0" fontId="116" fillId="4" borderId="55" xfId="0" applyFont="1" applyFill="1" applyBorder="1" applyAlignment="1">
      <alignment horizontal="center" vertical="center"/>
    </xf>
    <xf numFmtId="0" fontId="116" fillId="4" borderId="58" xfId="0" applyFont="1" applyFill="1" applyBorder="1" applyAlignment="1">
      <alignment horizontal="center" vertical="center"/>
    </xf>
    <xf numFmtId="0" fontId="116" fillId="4" borderId="27" xfId="0" applyFont="1" applyFill="1" applyBorder="1" applyAlignment="1">
      <alignment horizontal="center" vertical="center"/>
    </xf>
    <xf numFmtId="0" fontId="116" fillId="4" borderId="1" xfId="0" applyFont="1" applyFill="1" applyBorder="1" applyAlignment="1">
      <alignment horizontal="center" vertical="center"/>
    </xf>
    <xf numFmtId="0" fontId="116" fillId="4" borderId="18" xfId="0" applyFont="1" applyFill="1" applyBorder="1" applyAlignment="1">
      <alignment horizontal="center" vertical="center"/>
    </xf>
    <xf numFmtId="0" fontId="108" fillId="4" borderId="73" xfId="0" applyFont="1" applyFill="1" applyBorder="1" applyAlignment="1">
      <alignment horizontal="center" vertical="center"/>
    </xf>
    <xf numFmtId="41" fontId="84" fillId="4" borderId="5" xfId="0" applyNumberFormat="1" applyFont="1" applyFill="1" applyBorder="1" applyAlignment="1">
      <alignment horizontal="left" vertical="center"/>
    </xf>
    <xf numFmtId="41" fontId="84" fillId="4" borderId="1" xfId="0" applyNumberFormat="1" applyFont="1" applyFill="1" applyBorder="1" applyAlignment="1">
      <alignment horizontal="left" vertical="center"/>
    </xf>
    <xf numFmtId="41" fontId="84" fillId="4" borderId="8" xfId="0" applyNumberFormat="1" applyFont="1" applyFill="1" applyBorder="1" applyAlignment="1">
      <alignment horizontal="center" vertical="center"/>
    </xf>
    <xf numFmtId="0" fontId="116" fillId="4" borderId="67" xfId="0" applyFont="1" applyFill="1" applyBorder="1" applyAlignment="1">
      <alignment horizontal="center" vertical="center"/>
    </xf>
    <xf numFmtId="0" fontId="116" fillId="4" borderId="45" xfId="0" applyFont="1" applyFill="1" applyBorder="1" applyAlignment="1">
      <alignment horizontal="center" vertical="center"/>
    </xf>
    <xf numFmtId="0" fontId="116" fillId="4" borderId="15" xfId="0" applyFont="1" applyFill="1" applyBorder="1" applyAlignment="1">
      <alignment horizontal="center" vertical="center"/>
    </xf>
    <xf numFmtId="0" fontId="108" fillId="4" borderId="15" xfId="0" applyFont="1" applyFill="1" applyBorder="1" applyAlignment="1">
      <alignment horizontal="center" vertical="center"/>
    </xf>
    <xf numFmtId="41" fontId="84" fillId="4" borderId="5" xfId="0" applyNumberFormat="1" applyFont="1" applyFill="1" applyBorder="1" applyAlignment="1">
      <alignment horizontal="left" vertical="top"/>
    </xf>
    <xf numFmtId="41" fontId="84" fillId="4" borderId="1" xfId="0" applyNumberFormat="1" applyFont="1" applyFill="1" applyBorder="1" applyAlignment="1">
      <alignment horizontal="left" vertical="top"/>
    </xf>
    <xf numFmtId="0" fontId="108" fillId="4" borderId="55" xfId="0" applyFont="1" applyFill="1" applyBorder="1" applyAlignment="1">
      <alignment horizontal="center" vertical="center"/>
    </xf>
    <xf numFmtId="0" fontId="19" fillId="3" borderId="61" xfId="0" applyFont="1" applyFill="1" applyBorder="1" applyAlignment="1">
      <alignment horizontal="center" vertical="center"/>
    </xf>
    <xf numFmtId="0" fontId="19" fillId="3" borderId="61" xfId="0" applyFont="1" applyFill="1" applyBorder="1" applyAlignment="1">
      <alignment horizontal="center" vertical="center" wrapText="1"/>
    </xf>
    <xf numFmtId="0" fontId="11" fillId="3" borderId="61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 wrapText="1"/>
    </xf>
    <xf numFmtId="0" fontId="109" fillId="3" borderId="0" xfId="0" applyFont="1" applyFill="1" applyAlignment="1">
      <alignment horizontal="center" vertical="center"/>
    </xf>
    <xf numFmtId="0" fontId="112" fillId="13" borderId="28" xfId="0" applyFont="1" applyFill="1" applyBorder="1" applyAlignment="1">
      <alignment horizontal="center" vertical="center"/>
    </xf>
    <xf numFmtId="0" fontId="19" fillId="3" borderId="48" xfId="0" quotePrefix="1" applyFont="1" applyFill="1" applyBorder="1" applyAlignment="1">
      <alignment horizontal="left" vertical="center" wrapText="1"/>
    </xf>
    <xf numFmtId="41" fontId="24" fillId="0" borderId="0" xfId="0" applyNumberFormat="1" applyFont="1">
      <alignment vertical="center"/>
    </xf>
    <xf numFmtId="0" fontId="13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41" fontId="12" fillId="0" borderId="0" xfId="0" applyNumberFormat="1" applyFont="1">
      <alignment vertical="center"/>
    </xf>
    <xf numFmtId="0" fontId="14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22" fillId="0" borderId="0" xfId="0" applyFont="1">
      <alignment vertical="center"/>
    </xf>
    <xf numFmtId="0" fontId="31" fillId="0" borderId="0" xfId="0" applyFont="1" applyAlignment="1">
      <alignment horizontal="left" vertical="center"/>
    </xf>
    <xf numFmtId="0" fontId="36" fillId="0" borderId="0" xfId="0" applyFont="1">
      <alignment vertical="center"/>
    </xf>
    <xf numFmtId="0" fontId="36" fillId="3" borderId="0" xfId="0" applyFont="1" applyFill="1">
      <alignment vertical="center"/>
    </xf>
    <xf numFmtId="0" fontId="36" fillId="6" borderId="0" xfId="0" applyFont="1" applyFill="1">
      <alignment vertical="center"/>
    </xf>
    <xf numFmtId="0" fontId="43" fillId="3" borderId="0" xfId="0" quotePrefix="1" applyFont="1" applyFill="1">
      <alignment vertical="center"/>
    </xf>
    <xf numFmtId="0" fontId="43" fillId="3" borderId="0" xfId="0" applyFont="1" applyFill="1">
      <alignment vertical="center"/>
    </xf>
    <xf numFmtId="0" fontId="21" fillId="3" borderId="0" xfId="0" applyFont="1" applyFill="1">
      <alignment vertical="center"/>
    </xf>
    <xf numFmtId="0" fontId="43" fillId="3" borderId="0" xfId="0" applyFont="1" applyFill="1" applyAlignment="1">
      <alignment horizontal="left" vertical="center"/>
    </xf>
    <xf numFmtId="0" fontId="43" fillId="3" borderId="0" xfId="0" quotePrefix="1" applyFont="1" applyFill="1" applyAlignment="1">
      <alignment horizontal="left" vertical="center"/>
    </xf>
    <xf numFmtId="0" fontId="21" fillId="3" borderId="0" xfId="0" applyFont="1" applyFill="1" applyAlignment="1">
      <alignment horizontal="left" vertical="center"/>
    </xf>
    <xf numFmtId="41" fontId="14" fillId="0" borderId="0" xfId="0" applyNumberFormat="1" applyFont="1">
      <alignment vertical="center"/>
    </xf>
    <xf numFmtId="41" fontId="14" fillId="3" borderId="0" xfId="0" applyNumberFormat="1" applyFont="1" applyFill="1">
      <alignment vertic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center"/>
    </xf>
    <xf numFmtId="41" fontId="14" fillId="3" borderId="9" xfId="0" applyNumberFormat="1" applyFont="1" applyFill="1" applyBorder="1">
      <alignment vertical="center"/>
    </xf>
    <xf numFmtId="41" fontId="14" fillId="3" borderId="89" xfId="0" applyNumberFormat="1" applyFont="1" applyFill="1" applyBorder="1">
      <alignment vertical="center"/>
    </xf>
    <xf numFmtId="183" fontId="13" fillId="3" borderId="0" xfId="0" applyNumberFormat="1" applyFont="1" applyFill="1">
      <alignment vertical="center"/>
    </xf>
    <xf numFmtId="183" fontId="12" fillId="3" borderId="0" xfId="0" applyNumberFormat="1" applyFont="1" applyFill="1" applyAlignment="1">
      <alignment vertical="center" shrinkToFit="1"/>
    </xf>
    <xf numFmtId="41" fontId="12" fillId="3" borderId="0" xfId="0" applyNumberFormat="1" applyFont="1" applyFill="1">
      <alignment vertical="center"/>
    </xf>
    <xf numFmtId="183" fontId="12" fillId="3" borderId="0" xfId="0" applyNumberFormat="1" applyFont="1" applyFill="1" applyAlignment="1">
      <alignment horizontal="left" vertical="center" shrinkToFit="1"/>
    </xf>
    <xf numFmtId="43" fontId="12" fillId="3" borderId="0" xfId="0" applyNumberFormat="1" applyFont="1" applyFill="1">
      <alignment vertical="center"/>
    </xf>
    <xf numFmtId="183" fontId="12" fillId="3" borderId="0" xfId="0" applyNumberFormat="1" applyFont="1" applyFill="1">
      <alignment vertical="center"/>
    </xf>
    <xf numFmtId="41" fontId="13" fillId="4" borderId="20" xfId="0" applyNumberFormat="1" applyFont="1" applyFill="1" applyBorder="1" applyAlignment="1">
      <alignment horizontal="center" vertical="center"/>
    </xf>
    <xf numFmtId="41" fontId="13" fillId="4" borderId="19" xfId="0" applyNumberFormat="1" applyFont="1" applyFill="1" applyBorder="1" applyAlignment="1">
      <alignment horizontal="center" vertical="center"/>
    </xf>
    <xf numFmtId="38" fontId="13" fillId="4" borderId="27" xfId="0" applyNumberFormat="1" applyFont="1" applyFill="1" applyBorder="1" applyAlignment="1">
      <alignment horizontal="center" vertical="center"/>
    </xf>
    <xf numFmtId="38" fontId="13" fillId="4" borderId="60" xfId="0" applyNumberFormat="1" applyFont="1" applyFill="1" applyBorder="1" applyAlignment="1">
      <alignment horizontal="center" vertical="center"/>
    </xf>
    <xf numFmtId="38" fontId="13" fillId="4" borderId="25" xfId="0" applyNumberFormat="1" applyFont="1" applyFill="1" applyBorder="1" applyAlignment="1">
      <alignment horizontal="center" vertical="center"/>
    </xf>
    <xf numFmtId="38" fontId="12" fillId="3" borderId="0" xfId="0" applyNumberFormat="1" applyFont="1" applyFill="1" applyAlignment="1">
      <alignment horizontal="left" vertical="center" shrinkToFit="1"/>
    </xf>
    <xf numFmtId="38" fontId="12" fillId="3" borderId="0" xfId="0" applyNumberFormat="1" applyFont="1" applyFill="1">
      <alignment vertical="center"/>
    </xf>
    <xf numFmtId="38" fontId="45" fillId="4" borderId="80" xfId="0" applyNumberFormat="1" applyFont="1" applyFill="1" applyBorder="1">
      <alignment vertical="center"/>
    </xf>
    <xf numFmtId="41" fontId="46" fillId="4" borderId="50" xfId="0" applyNumberFormat="1" applyFont="1" applyFill="1" applyBorder="1" applyAlignment="1">
      <alignment vertical="center" shrinkToFit="1"/>
    </xf>
    <xf numFmtId="38" fontId="47" fillId="3" borderId="27" xfId="0" applyNumberFormat="1" applyFont="1" applyFill="1" applyBorder="1">
      <alignment vertical="center"/>
    </xf>
    <xf numFmtId="38" fontId="47" fillId="3" borderId="60" xfId="0" applyNumberFormat="1" applyFont="1" applyFill="1" applyBorder="1">
      <alignment vertical="center"/>
    </xf>
    <xf numFmtId="38" fontId="47" fillId="4" borderId="25" xfId="0" applyNumberFormat="1" applyFont="1" applyFill="1" applyBorder="1">
      <alignment vertical="center"/>
    </xf>
    <xf numFmtId="38" fontId="48" fillId="3" borderId="0" xfId="0" applyNumberFormat="1" applyFont="1" applyFill="1" applyAlignment="1">
      <alignment horizontal="left" vertical="center" shrinkToFit="1"/>
    </xf>
    <xf numFmtId="38" fontId="48" fillId="3" borderId="0" xfId="0" applyNumberFormat="1" applyFont="1" applyFill="1">
      <alignment vertical="center"/>
    </xf>
    <xf numFmtId="38" fontId="49" fillId="4" borderId="38" xfId="0" applyNumberFormat="1" applyFont="1" applyFill="1" applyBorder="1">
      <alignment vertical="center"/>
    </xf>
    <xf numFmtId="41" fontId="14" fillId="4" borderId="107" xfId="0" applyNumberFormat="1" applyFont="1" applyFill="1" applyBorder="1" applyAlignment="1">
      <alignment vertical="center" shrinkToFit="1"/>
    </xf>
    <xf numFmtId="38" fontId="12" fillId="3" borderId="5" xfId="0" applyNumberFormat="1" applyFont="1" applyFill="1" applyBorder="1">
      <alignment vertical="center"/>
    </xf>
    <xf numFmtId="38" fontId="12" fillId="3" borderId="47" xfId="0" applyNumberFormat="1" applyFont="1" applyFill="1" applyBorder="1">
      <alignment vertical="center"/>
    </xf>
    <xf numFmtId="38" fontId="12" fillId="4" borderId="110" xfId="0" applyNumberFormat="1" applyFont="1" applyFill="1" applyBorder="1">
      <alignment vertical="center"/>
    </xf>
    <xf numFmtId="38" fontId="50" fillId="3" borderId="0" xfId="0" applyNumberFormat="1" applyFont="1" applyFill="1" applyAlignment="1">
      <alignment horizontal="left" vertical="center" shrinkToFit="1"/>
    </xf>
    <xf numFmtId="38" fontId="50" fillId="3" borderId="0" xfId="0" applyNumberFormat="1" applyFont="1" applyFill="1">
      <alignment vertical="center"/>
    </xf>
    <xf numFmtId="38" fontId="14" fillId="4" borderId="55" xfId="0" applyNumberFormat="1" applyFont="1" applyFill="1" applyBorder="1" applyAlignment="1">
      <alignment vertical="center" shrinkToFit="1"/>
    </xf>
    <xf numFmtId="41" fontId="14" fillId="4" borderId="8" xfId="0" applyNumberFormat="1" applyFont="1" applyFill="1" applyBorder="1" applyAlignment="1">
      <alignment vertical="center" shrinkToFit="1"/>
    </xf>
    <xf numFmtId="38" fontId="12" fillId="3" borderId="61" xfId="0" applyNumberFormat="1" applyFont="1" applyFill="1" applyBorder="1">
      <alignment vertical="center"/>
    </xf>
    <xf numFmtId="38" fontId="12" fillId="3" borderId="34" xfId="0" applyNumberFormat="1" applyFont="1" applyFill="1" applyBorder="1">
      <alignment vertical="center"/>
    </xf>
    <xf numFmtId="38" fontId="12" fillId="4" borderId="71" xfId="0" applyNumberFormat="1" applyFont="1" applyFill="1" applyBorder="1">
      <alignment vertical="center"/>
    </xf>
    <xf numFmtId="38" fontId="14" fillId="4" borderId="55" xfId="0" applyNumberFormat="1" applyFont="1" applyFill="1" applyBorder="1">
      <alignment vertical="center"/>
    </xf>
    <xf numFmtId="41" fontId="14" fillId="4" borderId="42" xfId="0" applyNumberFormat="1" applyFont="1" applyFill="1" applyBorder="1" applyAlignment="1">
      <alignment vertical="center" shrinkToFit="1"/>
    </xf>
    <xf numFmtId="38" fontId="16" fillId="4" borderId="21" xfId="0" applyNumberFormat="1" applyFont="1" applyFill="1" applyBorder="1">
      <alignment vertical="center"/>
    </xf>
    <xf numFmtId="41" fontId="13" fillId="4" borderId="71" xfId="0" applyNumberFormat="1" applyFont="1" applyFill="1" applyBorder="1" applyAlignment="1">
      <alignment horizontal="center" vertical="center" shrinkToFit="1"/>
    </xf>
    <xf numFmtId="38" fontId="13" fillId="3" borderId="1" xfId="0" applyNumberFormat="1" applyFont="1" applyFill="1" applyBorder="1">
      <alignment vertical="center"/>
    </xf>
    <xf numFmtId="38" fontId="13" fillId="3" borderId="69" xfId="0" applyNumberFormat="1" applyFont="1" applyFill="1" applyBorder="1">
      <alignment vertical="center"/>
    </xf>
    <xf numFmtId="38" fontId="13" fillId="4" borderId="24" xfId="0" applyNumberFormat="1" applyFont="1" applyFill="1" applyBorder="1">
      <alignment vertical="center"/>
    </xf>
    <xf numFmtId="38" fontId="13" fillId="3" borderId="0" xfId="0" applyNumberFormat="1" applyFont="1" applyFill="1" applyAlignment="1">
      <alignment horizontal="left" vertical="center" shrinkToFit="1"/>
    </xf>
    <xf numFmtId="38" fontId="13" fillId="3" borderId="0" xfId="0" applyNumberFormat="1" applyFont="1" applyFill="1">
      <alignment vertical="center"/>
    </xf>
    <xf numFmtId="38" fontId="14" fillId="4" borderId="64" xfId="0" applyNumberFormat="1" applyFont="1" applyFill="1" applyBorder="1">
      <alignment vertical="center"/>
    </xf>
    <xf numFmtId="41" fontId="14" fillId="4" borderId="34" xfId="0" applyNumberFormat="1" applyFont="1" applyFill="1" applyBorder="1" applyAlignment="1">
      <alignment vertical="center" shrinkToFit="1"/>
    </xf>
    <xf numFmtId="41" fontId="14" fillId="4" borderId="69" xfId="0" applyNumberFormat="1" applyFont="1" applyFill="1" applyBorder="1" applyAlignment="1">
      <alignment vertical="center" shrinkToFit="1"/>
    </xf>
    <xf numFmtId="183" fontId="13" fillId="4" borderId="71" xfId="0" applyNumberFormat="1" applyFont="1" applyFill="1" applyBorder="1" applyAlignment="1">
      <alignment horizontal="center" vertical="center" shrinkToFit="1"/>
    </xf>
    <xf numFmtId="38" fontId="13" fillId="3" borderId="61" xfId="0" applyNumberFormat="1" applyFont="1" applyFill="1" applyBorder="1">
      <alignment vertical="center"/>
    </xf>
    <xf numFmtId="38" fontId="13" fillId="3" borderId="34" xfId="0" applyNumberFormat="1" applyFont="1" applyFill="1" applyBorder="1">
      <alignment vertical="center"/>
    </xf>
    <xf numFmtId="38" fontId="13" fillId="4" borderId="71" xfId="0" applyNumberFormat="1" applyFont="1" applyFill="1" applyBorder="1">
      <alignment vertical="center"/>
    </xf>
    <xf numFmtId="41" fontId="12" fillId="4" borderId="19" xfId="0" applyNumberFormat="1" applyFont="1" applyFill="1" applyBorder="1">
      <alignment vertical="center"/>
    </xf>
    <xf numFmtId="38" fontId="16" fillId="4" borderId="18" xfId="0" applyNumberFormat="1" applyFont="1" applyFill="1" applyBorder="1">
      <alignment vertical="center"/>
    </xf>
    <xf numFmtId="38" fontId="16" fillId="4" borderId="19" xfId="0" applyNumberFormat="1" applyFont="1" applyFill="1" applyBorder="1">
      <alignment vertical="center"/>
    </xf>
    <xf numFmtId="38" fontId="52" fillId="3" borderId="0" xfId="0" applyNumberFormat="1" applyFont="1" applyFill="1" applyAlignment="1">
      <alignment horizontal="left" vertical="center" shrinkToFit="1"/>
    </xf>
    <xf numFmtId="38" fontId="52" fillId="3" borderId="0" xfId="0" applyNumberFormat="1" applyFont="1" applyFill="1">
      <alignment vertical="center"/>
    </xf>
    <xf numFmtId="183" fontId="53" fillId="3" borderId="0" xfId="0" applyNumberFormat="1" applyFont="1" applyFill="1">
      <alignment vertical="center"/>
    </xf>
    <xf numFmtId="183" fontId="54" fillId="3" borderId="0" xfId="0" applyNumberFormat="1" applyFont="1" applyFill="1" applyAlignment="1">
      <alignment vertical="center" shrinkToFit="1"/>
    </xf>
    <xf numFmtId="41" fontId="55" fillId="3" borderId="0" xfId="0" applyNumberFormat="1" applyFont="1" applyFill="1">
      <alignment vertical="center"/>
    </xf>
    <xf numFmtId="183" fontId="52" fillId="3" borderId="0" xfId="0" applyNumberFormat="1" applyFont="1" applyFill="1" applyAlignment="1">
      <alignment horizontal="left" vertical="center" shrinkToFit="1"/>
    </xf>
    <xf numFmtId="43" fontId="52" fillId="3" borderId="0" xfId="0" applyNumberFormat="1" applyFont="1" applyFill="1">
      <alignment vertical="center"/>
    </xf>
    <xf numFmtId="183" fontId="52" fillId="3" borderId="0" xfId="0" applyNumberFormat="1" applyFont="1" applyFill="1">
      <alignment vertical="center"/>
    </xf>
    <xf numFmtId="41" fontId="23" fillId="3" borderId="0" xfId="0" applyNumberFormat="1" applyFont="1" applyFill="1">
      <alignment vertical="center"/>
    </xf>
    <xf numFmtId="183" fontId="12" fillId="3" borderId="0" xfId="0" applyNumberFormat="1" applyFont="1" applyFill="1" applyAlignment="1">
      <alignment horizontal="right" vertical="center" shrinkToFit="1"/>
    </xf>
    <xf numFmtId="3" fontId="13" fillId="3" borderId="0" xfId="0" applyNumberFormat="1" applyFont="1" applyFill="1">
      <alignment vertical="center"/>
    </xf>
    <xf numFmtId="43" fontId="13" fillId="3" borderId="0" xfId="0" applyNumberFormat="1" applyFont="1" applyFill="1">
      <alignment vertical="center"/>
    </xf>
    <xf numFmtId="41" fontId="12" fillId="4" borderId="20" xfId="0" applyNumberFormat="1" applyFont="1" applyFill="1" applyBorder="1">
      <alignment vertical="center"/>
    </xf>
    <xf numFmtId="41" fontId="12" fillId="10" borderId="18" xfId="0" applyNumberFormat="1" applyFont="1" applyFill="1" applyBorder="1">
      <alignment vertical="center"/>
    </xf>
    <xf numFmtId="41" fontId="12" fillId="10" borderId="19" xfId="0" applyNumberFormat="1" applyFont="1" applyFill="1" applyBorder="1">
      <alignment vertical="center"/>
    </xf>
    <xf numFmtId="41" fontId="12" fillId="4" borderId="29" xfId="0" applyNumberFormat="1" applyFont="1" applyFill="1" applyBorder="1" applyAlignment="1">
      <alignment vertical="center" shrinkToFit="1"/>
    </xf>
    <xf numFmtId="3" fontId="12" fillId="3" borderId="0" xfId="0" applyNumberFormat="1" applyFont="1" applyFill="1">
      <alignment vertical="center"/>
    </xf>
    <xf numFmtId="41" fontId="14" fillId="4" borderId="26" xfId="0" applyNumberFormat="1" applyFont="1" applyFill="1" applyBorder="1">
      <alignment vertical="center"/>
    </xf>
    <xf numFmtId="41" fontId="14" fillId="4" borderId="89" xfId="0" applyNumberFormat="1" applyFont="1" applyFill="1" applyBorder="1">
      <alignment vertical="center"/>
    </xf>
    <xf numFmtId="41" fontId="14" fillId="0" borderId="9" xfId="0" applyNumberFormat="1" applyFont="1" applyBorder="1">
      <alignment vertical="center"/>
    </xf>
    <xf numFmtId="41" fontId="14" fillId="0" borderId="89" xfId="0" applyNumberFormat="1" applyFont="1" applyBorder="1">
      <alignment vertical="center"/>
    </xf>
    <xf numFmtId="41" fontId="14" fillId="4" borderId="106" xfId="0" applyNumberFormat="1" applyFont="1" applyFill="1" applyBorder="1" applyAlignment="1">
      <alignment vertical="center" shrinkToFit="1"/>
    </xf>
    <xf numFmtId="41" fontId="14" fillId="4" borderId="10" xfId="0" applyNumberFormat="1" applyFont="1" applyFill="1" applyBorder="1">
      <alignment vertical="center"/>
    </xf>
    <xf numFmtId="41" fontId="12" fillId="4" borderId="22" xfId="0" applyNumberFormat="1" applyFont="1" applyFill="1" applyBorder="1">
      <alignment vertical="center"/>
    </xf>
    <xf numFmtId="41" fontId="12" fillId="0" borderId="3" xfId="0" applyNumberFormat="1" applyFont="1" applyBorder="1">
      <alignment vertical="center"/>
    </xf>
    <xf numFmtId="41" fontId="12" fillId="0" borderId="22" xfId="0" applyNumberFormat="1" applyFont="1" applyBorder="1">
      <alignment vertical="center"/>
    </xf>
    <xf numFmtId="43" fontId="23" fillId="3" borderId="0" xfId="0" applyNumberFormat="1" applyFont="1" applyFill="1">
      <alignment vertical="center"/>
    </xf>
    <xf numFmtId="41" fontId="12" fillId="4" borderId="54" xfId="0" applyNumberFormat="1" applyFont="1" applyFill="1" applyBorder="1">
      <alignment vertical="center"/>
    </xf>
    <xf numFmtId="41" fontId="12" fillId="0" borderId="54" xfId="0" applyNumberFormat="1" applyFont="1" applyBorder="1">
      <alignment vertical="center"/>
    </xf>
    <xf numFmtId="41" fontId="14" fillId="4" borderId="31" xfId="0" applyNumberFormat="1" applyFont="1" applyFill="1" applyBorder="1" applyAlignment="1">
      <alignment vertical="center" shrinkToFit="1"/>
    </xf>
    <xf numFmtId="41" fontId="14" fillId="4" borderId="91" xfId="0" applyNumberFormat="1" applyFont="1" applyFill="1" applyBorder="1">
      <alignment vertical="center"/>
    </xf>
    <xf numFmtId="183" fontId="13" fillId="4" borderId="70" xfId="0" applyNumberFormat="1" applyFont="1" applyFill="1" applyBorder="1" applyAlignment="1">
      <alignment horizontal="center" vertical="center" shrinkToFit="1"/>
    </xf>
    <xf numFmtId="41" fontId="13" fillId="0" borderId="77" xfId="0" applyNumberFormat="1" applyFont="1" applyBorder="1">
      <alignment vertical="center"/>
    </xf>
    <xf numFmtId="41" fontId="13" fillId="0" borderId="49" xfId="0" applyNumberFormat="1" applyFont="1" applyBorder="1">
      <alignment vertical="center"/>
    </xf>
    <xf numFmtId="41" fontId="13" fillId="4" borderId="75" xfId="0" applyNumberFormat="1" applyFont="1" applyFill="1" applyBorder="1" applyAlignment="1">
      <alignment vertical="center" shrinkToFit="1"/>
    </xf>
    <xf numFmtId="41" fontId="12" fillId="4" borderId="27" xfId="0" applyNumberFormat="1" applyFont="1" applyFill="1" applyBorder="1">
      <alignment vertical="center"/>
    </xf>
    <xf numFmtId="41" fontId="14" fillId="4" borderId="1" xfId="0" applyNumberFormat="1" applyFont="1" applyFill="1" applyBorder="1">
      <alignment vertical="center"/>
    </xf>
    <xf numFmtId="183" fontId="52" fillId="4" borderId="21" xfId="0" applyNumberFormat="1" applyFont="1" applyFill="1" applyBorder="1">
      <alignment vertical="center"/>
    </xf>
    <xf numFmtId="41" fontId="12" fillId="4" borderId="22" xfId="0" applyNumberFormat="1" applyFont="1" applyFill="1" applyBorder="1" applyAlignment="1">
      <alignment vertical="center" shrinkToFit="1"/>
    </xf>
    <xf numFmtId="183" fontId="56" fillId="4" borderId="21" xfId="0" applyNumberFormat="1" applyFont="1" applyFill="1" applyBorder="1">
      <alignment vertical="center"/>
    </xf>
    <xf numFmtId="41" fontId="12" fillId="0" borderId="27" xfId="0" applyNumberFormat="1" applyFont="1" applyBorder="1">
      <alignment vertical="center"/>
    </xf>
    <xf numFmtId="41" fontId="12" fillId="0" borderId="60" xfId="0" applyNumberFormat="1" applyFont="1" applyBorder="1">
      <alignment vertical="center"/>
    </xf>
    <xf numFmtId="41" fontId="12" fillId="4" borderId="14" xfId="0" applyNumberFormat="1" applyFont="1" applyFill="1" applyBorder="1" applyAlignment="1">
      <alignment vertical="center" shrinkToFit="1"/>
    </xf>
    <xf numFmtId="41" fontId="13" fillId="4" borderId="17" xfId="0" applyNumberFormat="1" applyFont="1" applyFill="1" applyBorder="1">
      <alignment vertical="center"/>
    </xf>
    <xf numFmtId="41" fontId="13" fillId="4" borderId="18" xfId="0" applyNumberFormat="1" applyFont="1" applyFill="1" applyBorder="1">
      <alignment vertical="center"/>
    </xf>
    <xf numFmtId="41" fontId="13" fillId="4" borderId="19" xfId="0" applyNumberFormat="1" applyFont="1" applyFill="1" applyBorder="1">
      <alignment vertical="center"/>
    </xf>
    <xf numFmtId="41" fontId="13" fillId="4" borderId="29" xfId="0" applyNumberFormat="1" applyFont="1" applyFill="1" applyBorder="1" applyAlignment="1">
      <alignment vertical="center" shrinkToFit="1"/>
    </xf>
    <xf numFmtId="41" fontId="16" fillId="3" borderId="0" xfId="0" applyNumberFormat="1" applyFont="1" applyFill="1">
      <alignment vertical="center"/>
    </xf>
    <xf numFmtId="41" fontId="13" fillId="3" borderId="0" xfId="0" applyNumberFormat="1" applyFont="1" applyFill="1" applyAlignment="1">
      <alignment vertical="center" shrinkToFit="1"/>
    </xf>
    <xf numFmtId="185" fontId="14" fillId="3" borderId="0" xfId="0" applyNumberFormat="1" applyFont="1" applyFill="1">
      <alignment vertical="center"/>
    </xf>
    <xf numFmtId="183" fontId="22" fillId="3" borderId="0" xfId="0" applyNumberFormat="1" applyFont="1" applyFill="1">
      <alignment vertical="center"/>
    </xf>
    <xf numFmtId="187" fontId="12" fillId="0" borderId="0" xfId="0" applyNumberFormat="1" applyFont="1">
      <alignment vertical="center"/>
    </xf>
    <xf numFmtId="0" fontId="12" fillId="3" borderId="0" xfId="0" applyFont="1" applyFill="1">
      <alignment vertical="center"/>
    </xf>
    <xf numFmtId="0" fontId="14" fillId="3" borderId="0" xfId="0" applyFont="1" applyFill="1">
      <alignment vertical="center"/>
    </xf>
    <xf numFmtId="9" fontId="16" fillId="3" borderId="0" xfId="0" applyNumberFormat="1" applyFont="1" applyFill="1">
      <alignment vertical="center"/>
    </xf>
    <xf numFmtId="41" fontId="16" fillId="4" borderId="28" xfId="0" applyNumberFormat="1" applyFont="1" applyFill="1" applyBorder="1">
      <alignment vertical="center"/>
    </xf>
    <xf numFmtId="0" fontId="58" fillId="0" borderId="0" xfId="0" applyFont="1">
      <alignment vertical="center"/>
    </xf>
    <xf numFmtId="0" fontId="36" fillId="11" borderId="0" xfId="0" applyFont="1" applyFill="1">
      <alignment vertical="center"/>
    </xf>
    <xf numFmtId="41" fontId="59" fillId="3" borderId="0" xfId="0" applyNumberFormat="1" applyFont="1" applyFill="1">
      <alignment vertical="center"/>
    </xf>
    <xf numFmtId="0" fontId="24" fillId="0" borderId="0" xfId="0" applyFont="1">
      <alignment vertical="center"/>
    </xf>
    <xf numFmtId="41" fontId="16" fillId="4" borderId="19" xfId="0" applyNumberFormat="1" applyFont="1" applyFill="1" applyBorder="1">
      <alignment vertical="center"/>
    </xf>
    <xf numFmtId="41" fontId="14" fillId="3" borderId="22" xfId="0" applyNumberFormat="1" applyFont="1" applyFill="1" applyBorder="1">
      <alignment vertical="center"/>
    </xf>
    <xf numFmtId="3" fontId="23" fillId="3" borderId="0" xfId="0" applyNumberFormat="1" applyFont="1" applyFill="1">
      <alignment vertical="center"/>
    </xf>
    <xf numFmtId="41" fontId="60" fillId="3" borderId="0" xfId="0" applyNumberFormat="1" applyFont="1" applyFill="1" applyAlignment="1">
      <alignment horizontal="center" vertical="center"/>
    </xf>
    <xf numFmtId="41" fontId="60" fillId="3" borderId="0" xfId="0" applyNumberFormat="1" applyFont="1" applyFill="1">
      <alignment vertical="center"/>
    </xf>
    <xf numFmtId="183" fontId="24" fillId="3" borderId="0" xfId="0" applyNumberFormat="1" applyFont="1" applyFill="1">
      <alignment vertical="center"/>
    </xf>
    <xf numFmtId="41" fontId="24" fillId="3" borderId="0" xfId="0" applyNumberFormat="1" applyFont="1" applyFill="1">
      <alignment vertical="center"/>
    </xf>
    <xf numFmtId="41" fontId="14" fillId="3" borderId="3" xfId="0" applyNumberFormat="1" applyFont="1" applyFill="1" applyBorder="1">
      <alignment vertical="center"/>
    </xf>
    <xf numFmtId="41" fontId="16" fillId="4" borderId="67" xfId="0" applyNumberFormat="1" applyFont="1" applyFill="1" applyBorder="1">
      <alignment vertical="center"/>
    </xf>
    <xf numFmtId="41" fontId="12" fillId="4" borderId="129" xfId="0" applyNumberFormat="1" applyFont="1" applyFill="1" applyBorder="1" applyAlignment="1">
      <alignment vertical="center" shrinkToFit="1"/>
    </xf>
    <xf numFmtId="41" fontId="59" fillId="0" borderId="58" xfId="0" applyNumberFormat="1" applyFont="1" applyBorder="1">
      <alignment vertical="center"/>
    </xf>
    <xf numFmtId="41" fontId="14" fillId="4" borderId="130" xfId="0" applyNumberFormat="1" applyFont="1" applyFill="1" applyBorder="1" applyAlignment="1">
      <alignment vertical="center" shrinkToFit="1"/>
    </xf>
    <xf numFmtId="0" fontId="60" fillId="3" borderId="0" xfId="0" applyFont="1" applyFill="1" applyAlignment="1">
      <alignment horizontal="center" vertical="center"/>
    </xf>
    <xf numFmtId="43" fontId="60" fillId="3" borderId="0" xfId="0" applyNumberFormat="1" applyFont="1" applyFill="1" applyAlignment="1">
      <alignment horizontal="center" vertical="center"/>
    </xf>
    <xf numFmtId="38" fontId="60" fillId="3" borderId="0" xfId="0" applyNumberFormat="1" applyFont="1" applyFill="1" applyAlignment="1">
      <alignment horizontal="left" vertical="center" shrinkToFit="1"/>
    </xf>
    <xf numFmtId="43" fontId="24" fillId="3" borderId="0" xfId="0" applyNumberFormat="1" applyFont="1" applyFill="1">
      <alignment vertical="center"/>
    </xf>
    <xf numFmtId="0" fontId="14" fillId="3" borderId="0" xfId="0" applyFont="1" applyFill="1" applyAlignment="1">
      <alignment horizontal="left" vertical="center"/>
    </xf>
    <xf numFmtId="43" fontId="51" fillId="3" borderId="0" xfId="0" applyNumberFormat="1" applyFont="1" applyFill="1" applyAlignment="1">
      <alignment horizontal="center" vertical="center"/>
    </xf>
    <xf numFmtId="41" fontId="13" fillId="3" borderId="49" xfId="0" applyNumberFormat="1" applyFont="1" applyFill="1" applyBorder="1">
      <alignment vertical="center"/>
    </xf>
    <xf numFmtId="178" fontId="14" fillId="7" borderId="3" xfId="0" applyNumberFormat="1" applyFont="1" applyFill="1" applyBorder="1" applyAlignment="1">
      <alignment horizontal="center" vertical="center"/>
    </xf>
    <xf numFmtId="188" fontId="14" fillId="8" borderId="3" xfId="0" applyNumberFormat="1" applyFont="1" applyFill="1" applyBorder="1" applyAlignment="1">
      <alignment horizontal="center" vertical="center"/>
    </xf>
    <xf numFmtId="178" fontId="14" fillId="7" borderId="11" xfId="0" applyNumberFormat="1" applyFont="1" applyFill="1" applyBorder="1" applyAlignment="1">
      <alignment horizontal="center" vertical="center"/>
    </xf>
    <xf numFmtId="41" fontId="57" fillId="3" borderId="129" xfId="0" applyNumberFormat="1" applyFont="1" applyFill="1" applyBorder="1">
      <alignment vertical="center"/>
    </xf>
    <xf numFmtId="41" fontId="57" fillId="3" borderId="4" xfId="0" applyNumberFormat="1" applyFont="1" applyFill="1" applyBorder="1">
      <alignment vertical="center"/>
    </xf>
    <xf numFmtId="0" fontId="13" fillId="4" borderId="16" xfId="0" applyFont="1" applyFill="1" applyBorder="1" applyAlignment="1">
      <alignment horizontal="center" vertical="center"/>
    </xf>
    <xf numFmtId="183" fontId="13" fillId="4" borderId="15" xfId="0" applyNumberFormat="1" applyFont="1" applyFill="1" applyBorder="1" applyAlignment="1">
      <alignment horizontal="center" vertical="center"/>
    </xf>
    <xf numFmtId="183" fontId="13" fillId="4" borderId="16" xfId="0" applyNumberFormat="1" applyFont="1" applyFill="1" applyBorder="1" applyAlignment="1">
      <alignment horizontal="center" vertical="center"/>
    </xf>
    <xf numFmtId="38" fontId="46" fillId="4" borderId="15" xfId="0" applyNumberFormat="1" applyFont="1" applyFill="1" applyBorder="1" applyAlignment="1">
      <alignment horizontal="center" vertical="center"/>
    </xf>
    <xf numFmtId="38" fontId="46" fillId="4" borderId="45" xfId="0" applyNumberFormat="1" applyFont="1" applyFill="1" applyBorder="1" applyAlignment="1">
      <alignment horizontal="center" vertical="center" shrinkToFit="1"/>
    </xf>
    <xf numFmtId="41" fontId="16" fillId="4" borderId="17" xfId="0" applyNumberFormat="1" applyFont="1" applyFill="1" applyBorder="1">
      <alignment vertical="center"/>
    </xf>
    <xf numFmtId="41" fontId="16" fillId="4" borderId="18" xfId="0" applyNumberFormat="1" applyFont="1" applyFill="1" applyBorder="1">
      <alignment vertical="center"/>
    </xf>
    <xf numFmtId="188" fontId="63" fillId="8" borderId="3" xfId="0" applyNumberFormat="1" applyFont="1" applyFill="1" applyBorder="1" applyAlignment="1">
      <alignment horizontal="center" vertical="center"/>
    </xf>
    <xf numFmtId="178" fontId="63" fillId="7" borderId="3" xfId="0" applyNumberFormat="1" applyFont="1" applyFill="1" applyBorder="1" applyAlignment="1">
      <alignment horizontal="center" vertical="center"/>
    </xf>
    <xf numFmtId="178" fontId="63" fillId="7" borderId="11" xfId="0" applyNumberFormat="1" applyFont="1" applyFill="1" applyBorder="1" applyAlignment="1">
      <alignment horizontal="center" vertical="center"/>
    </xf>
    <xf numFmtId="178" fontId="63" fillId="7" borderId="9" xfId="0" applyNumberFormat="1" applyFont="1" applyFill="1" applyBorder="1" applyAlignment="1">
      <alignment horizontal="center" vertical="center"/>
    </xf>
    <xf numFmtId="38" fontId="16" fillId="4" borderId="16" xfId="0" applyNumberFormat="1" applyFont="1" applyFill="1" applyBorder="1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quotePrefix="1" applyFont="1">
      <alignment vertical="center"/>
    </xf>
    <xf numFmtId="0" fontId="11" fillId="11" borderId="0" xfId="0" applyFont="1" applyFill="1">
      <alignment vertical="center"/>
    </xf>
    <xf numFmtId="0" fontId="21" fillId="11" borderId="0" xfId="0" applyFont="1" applyFill="1">
      <alignment vertical="center"/>
    </xf>
    <xf numFmtId="0" fontId="0" fillId="0" borderId="5" xfId="0" applyBorder="1">
      <alignment vertical="center"/>
    </xf>
    <xf numFmtId="38" fontId="51" fillId="4" borderId="58" xfId="0" applyNumberFormat="1" applyFont="1" applyFill="1" applyBorder="1" applyAlignment="1">
      <alignment horizontal="center" vertical="center"/>
    </xf>
    <xf numFmtId="38" fontId="51" fillId="4" borderId="27" xfId="0" applyNumberFormat="1" applyFont="1" applyFill="1" applyBorder="1" applyAlignment="1">
      <alignment horizontal="center" vertical="center"/>
    </xf>
    <xf numFmtId="38" fontId="51" fillId="4" borderId="60" xfId="0" applyNumberFormat="1" applyFont="1" applyFill="1" applyBorder="1" applyAlignment="1">
      <alignment horizontal="center" vertical="center"/>
    </xf>
    <xf numFmtId="38" fontId="65" fillId="3" borderId="58" xfId="0" applyNumberFormat="1" applyFont="1" applyFill="1" applyBorder="1">
      <alignment vertical="center"/>
    </xf>
    <xf numFmtId="38" fontId="65" fillId="3" borderId="27" xfId="0" applyNumberFormat="1" applyFont="1" applyFill="1" applyBorder="1">
      <alignment vertical="center"/>
    </xf>
    <xf numFmtId="38" fontId="65" fillId="3" borderId="60" xfId="0" applyNumberFormat="1" applyFont="1" applyFill="1" applyBorder="1">
      <alignment vertical="center"/>
    </xf>
    <xf numFmtId="38" fontId="65" fillId="3" borderId="26" xfId="0" applyNumberFormat="1" applyFont="1" applyFill="1" applyBorder="1">
      <alignment vertical="center"/>
    </xf>
    <xf numFmtId="38" fontId="59" fillId="3" borderId="35" xfId="0" applyNumberFormat="1" applyFont="1" applyFill="1" applyBorder="1">
      <alignment vertical="center"/>
    </xf>
    <xf numFmtId="38" fontId="59" fillId="3" borderId="5" xfId="0" applyNumberFormat="1" applyFont="1" applyFill="1" applyBorder="1">
      <alignment vertical="center"/>
    </xf>
    <xf numFmtId="38" fontId="59" fillId="3" borderId="47" xfId="0" applyNumberFormat="1" applyFont="1" applyFill="1" applyBorder="1">
      <alignment vertical="center"/>
    </xf>
    <xf numFmtId="41" fontId="59" fillId="3" borderId="38" xfId="0" applyNumberFormat="1" applyFont="1" applyFill="1" applyBorder="1">
      <alignment vertical="center"/>
    </xf>
    <xf numFmtId="41" fontId="59" fillId="3" borderId="5" xfId="0" applyNumberFormat="1" applyFont="1" applyFill="1" applyBorder="1">
      <alignment vertical="center"/>
    </xf>
    <xf numFmtId="41" fontId="59" fillId="3" borderId="56" xfId="0" applyNumberFormat="1" applyFont="1" applyFill="1" applyBorder="1">
      <alignment vertical="center"/>
    </xf>
    <xf numFmtId="41" fontId="59" fillId="3" borderId="35" xfId="0" applyNumberFormat="1" applyFont="1" applyFill="1" applyBorder="1">
      <alignment vertical="center"/>
    </xf>
    <xf numFmtId="38" fontId="59" fillId="3" borderId="64" xfId="0" applyNumberFormat="1" applyFont="1" applyFill="1" applyBorder="1">
      <alignment vertical="center"/>
    </xf>
    <xf numFmtId="38" fontId="59" fillId="3" borderId="61" xfId="0" applyNumberFormat="1" applyFont="1" applyFill="1" applyBorder="1">
      <alignment vertical="center"/>
    </xf>
    <xf numFmtId="38" fontId="59" fillId="3" borderId="34" xfId="0" applyNumberFormat="1" applyFont="1" applyFill="1" applyBorder="1">
      <alignment vertical="center"/>
    </xf>
    <xf numFmtId="38" fontId="59" fillId="3" borderId="72" xfId="0" applyNumberFormat="1" applyFont="1" applyFill="1" applyBorder="1">
      <alignment vertical="center"/>
    </xf>
    <xf numFmtId="38" fontId="59" fillId="3" borderId="56" xfId="0" applyNumberFormat="1" applyFont="1" applyFill="1" applyBorder="1">
      <alignment vertical="center"/>
    </xf>
    <xf numFmtId="38" fontId="51" fillId="3" borderId="55" xfId="0" applyNumberFormat="1" applyFont="1" applyFill="1" applyBorder="1">
      <alignment vertical="center"/>
    </xf>
    <xf numFmtId="38" fontId="51" fillId="3" borderId="1" xfId="0" applyNumberFormat="1" applyFont="1" applyFill="1" applyBorder="1">
      <alignment vertical="center"/>
    </xf>
    <xf numFmtId="38" fontId="51" fillId="3" borderId="69" xfId="0" applyNumberFormat="1" applyFont="1" applyFill="1" applyBorder="1">
      <alignment vertical="center"/>
    </xf>
    <xf numFmtId="38" fontId="51" fillId="3" borderId="10" xfId="0" applyNumberFormat="1" applyFont="1" applyFill="1" applyBorder="1">
      <alignment vertical="center"/>
    </xf>
    <xf numFmtId="38" fontId="51" fillId="3" borderId="64" xfId="0" applyNumberFormat="1" applyFont="1" applyFill="1" applyBorder="1">
      <alignment vertical="center"/>
    </xf>
    <xf numFmtId="38" fontId="51" fillId="3" borderId="61" xfId="0" applyNumberFormat="1" applyFont="1" applyFill="1" applyBorder="1">
      <alignment vertical="center"/>
    </xf>
    <xf numFmtId="38" fontId="51" fillId="3" borderId="34" xfId="0" applyNumberFormat="1" applyFont="1" applyFill="1" applyBorder="1">
      <alignment vertical="center"/>
    </xf>
    <xf numFmtId="38" fontId="51" fillId="3" borderId="72" xfId="0" applyNumberFormat="1" applyFont="1" applyFill="1" applyBorder="1">
      <alignment vertical="center"/>
    </xf>
    <xf numFmtId="38" fontId="51" fillId="4" borderId="17" xfId="0" applyNumberFormat="1" applyFont="1" applyFill="1" applyBorder="1">
      <alignment vertical="center"/>
    </xf>
    <xf numFmtId="38" fontId="51" fillId="4" borderId="20" xfId="0" applyNumberFormat="1" applyFont="1" applyFill="1" applyBorder="1">
      <alignment vertical="center"/>
    </xf>
    <xf numFmtId="41" fontId="51" fillId="4" borderId="19" xfId="0" applyNumberFormat="1" applyFont="1" applyFill="1" applyBorder="1">
      <alignment vertical="center"/>
    </xf>
    <xf numFmtId="41" fontId="51" fillId="4" borderId="17" xfId="0" applyNumberFormat="1" applyFont="1" applyFill="1" applyBorder="1">
      <alignment vertical="center"/>
    </xf>
    <xf numFmtId="41" fontId="51" fillId="4" borderId="18" xfId="0" applyNumberFormat="1" applyFont="1" applyFill="1" applyBorder="1">
      <alignment vertical="center"/>
    </xf>
    <xf numFmtId="38" fontId="51" fillId="4" borderId="67" xfId="0" applyNumberFormat="1" applyFont="1" applyFill="1" applyBorder="1">
      <alignment vertical="center"/>
    </xf>
    <xf numFmtId="0" fontId="51" fillId="4" borderId="19" xfId="0" applyFont="1" applyFill="1" applyBorder="1" applyAlignment="1">
      <alignment horizontal="center" vertical="center"/>
    </xf>
    <xf numFmtId="0" fontId="51" fillId="4" borderId="17" xfId="0" applyFont="1" applyFill="1" applyBorder="1" applyAlignment="1">
      <alignment horizontal="center" vertical="center"/>
    </xf>
    <xf numFmtId="0" fontId="51" fillId="4" borderId="18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41" fontId="13" fillId="4" borderId="16" xfId="0" applyNumberFormat="1" applyFont="1" applyFill="1" applyBorder="1" applyAlignment="1">
      <alignment horizontal="center" vertical="center" wrapText="1" shrinkToFit="1"/>
    </xf>
    <xf numFmtId="41" fontId="59" fillId="10" borderId="17" xfId="0" applyNumberFormat="1" applyFont="1" applyFill="1" applyBorder="1">
      <alignment vertical="center"/>
    </xf>
    <xf numFmtId="41" fontId="59" fillId="10" borderId="67" xfId="0" applyNumberFormat="1" applyFont="1" applyFill="1" applyBorder="1">
      <alignment vertical="center"/>
    </xf>
    <xf numFmtId="41" fontId="59" fillId="10" borderId="19" xfId="0" applyNumberFormat="1" applyFont="1" applyFill="1" applyBorder="1">
      <alignment vertical="center"/>
    </xf>
    <xf numFmtId="41" fontId="59" fillId="10" borderId="18" xfId="0" applyNumberFormat="1" applyFont="1" applyFill="1" applyBorder="1">
      <alignment vertical="center"/>
    </xf>
    <xf numFmtId="41" fontId="59" fillId="0" borderId="88" xfId="0" applyNumberFormat="1" applyFont="1" applyBorder="1">
      <alignment vertical="center"/>
    </xf>
    <xf numFmtId="41" fontId="59" fillId="0" borderId="90" xfId="0" applyNumberFormat="1" applyFont="1" applyBorder="1">
      <alignment vertical="center"/>
    </xf>
    <xf numFmtId="41" fontId="59" fillId="0" borderId="89" xfId="0" applyNumberFormat="1" applyFont="1" applyBorder="1">
      <alignment vertical="center"/>
    </xf>
    <xf numFmtId="41" fontId="59" fillId="0" borderId="9" xfId="0" applyNumberFormat="1" applyFont="1" applyBorder="1">
      <alignment vertical="center"/>
    </xf>
    <xf numFmtId="41" fontId="59" fillId="0" borderId="79" xfId="0" applyNumberFormat="1" applyFont="1" applyBorder="1">
      <alignment vertical="center"/>
    </xf>
    <xf numFmtId="41" fontId="59" fillId="0" borderId="22" xfId="0" applyNumberFormat="1" applyFont="1" applyBorder="1">
      <alignment vertical="center"/>
    </xf>
    <xf numFmtId="41" fontId="59" fillId="0" borderId="23" xfId="0" applyNumberFormat="1" applyFont="1" applyBorder="1">
      <alignment vertical="center"/>
    </xf>
    <xf numFmtId="41" fontId="59" fillId="0" borderId="3" xfId="0" applyNumberFormat="1" applyFont="1" applyBorder="1">
      <alignment vertical="center"/>
    </xf>
    <xf numFmtId="41" fontId="59" fillId="3" borderId="22" xfId="0" applyNumberFormat="1" applyFont="1" applyFill="1" applyBorder="1">
      <alignment vertical="center"/>
    </xf>
    <xf numFmtId="41" fontId="12" fillId="0" borderId="7" xfId="0" applyNumberFormat="1" applyFont="1" applyBorder="1">
      <alignment vertical="center"/>
    </xf>
    <xf numFmtId="41" fontId="59" fillId="0" borderId="121" xfId="0" applyNumberFormat="1" applyFont="1" applyBorder="1">
      <alignment vertical="center"/>
    </xf>
    <xf numFmtId="41" fontId="59" fillId="0" borderId="86" xfId="0" applyNumberFormat="1" applyFont="1" applyBorder="1">
      <alignment vertical="center"/>
    </xf>
    <xf numFmtId="41" fontId="59" fillId="0" borderId="87" xfId="0" applyNumberFormat="1" applyFont="1" applyBorder="1">
      <alignment vertical="center"/>
    </xf>
    <xf numFmtId="41" fontId="59" fillId="0" borderId="54" xfId="0" applyNumberFormat="1" applyFont="1" applyBorder="1">
      <alignment vertical="center"/>
    </xf>
    <xf numFmtId="41" fontId="12" fillId="0" borderId="119" xfId="0" applyNumberFormat="1" applyFont="1" applyBorder="1">
      <alignment vertical="center"/>
    </xf>
    <xf numFmtId="41" fontId="59" fillId="0" borderId="123" xfId="0" applyNumberFormat="1" applyFont="1" applyBorder="1">
      <alignment vertical="center"/>
    </xf>
    <xf numFmtId="41" fontId="12" fillId="0" borderId="132" xfId="0" applyNumberFormat="1" applyFont="1" applyBorder="1">
      <alignment vertical="center"/>
    </xf>
    <xf numFmtId="41" fontId="51" fillId="0" borderId="78" xfId="0" applyNumberFormat="1" applyFont="1" applyBorder="1">
      <alignment vertical="center"/>
    </xf>
    <xf numFmtId="41" fontId="51" fillId="0" borderId="76" xfId="0" applyNumberFormat="1" applyFont="1" applyBorder="1">
      <alignment vertical="center"/>
    </xf>
    <xf numFmtId="41" fontId="51" fillId="0" borderId="49" xfId="0" applyNumberFormat="1" applyFont="1" applyBorder="1">
      <alignment vertical="center"/>
    </xf>
    <xf numFmtId="41" fontId="51" fillId="0" borderId="77" xfId="0" applyNumberFormat="1" applyFont="1" applyBorder="1">
      <alignment vertical="center"/>
    </xf>
    <xf numFmtId="41" fontId="51" fillId="0" borderId="40" xfId="0" applyNumberFormat="1" applyFont="1" applyBorder="1">
      <alignment vertical="center"/>
    </xf>
    <xf numFmtId="41" fontId="13" fillId="0" borderId="43" xfId="0" applyNumberFormat="1" applyFont="1" applyBorder="1">
      <alignment vertical="center"/>
    </xf>
    <xf numFmtId="41" fontId="12" fillId="4" borderId="89" xfId="0" applyNumberFormat="1" applyFont="1" applyFill="1" applyBorder="1" applyAlignment="1">
      <alignment horizontal="left" vertical="center"/>
    </xf>
    <xf numFmtId="41" fontId="59" fillId="0" borderId="51" xfId="0" applyNumberFormat="1" applyFont="1" applyBorder="1">
      <alignment vertical="center"/>
    </xf>
    <xf numFmtId="41" fontId="59" fillId="0" borderId="52" xfId="0" applyNumberFormat="1" applyFont="1" applyBorder="1">
      <alignment vertical="center"/>
    </xf>
    <xf numFmtId="41" fontId="59" fillId="0" borderId="53" xfId="0" applyNumberFormat="1" applyFont="1" applyBorder="1">
      <alignment vertical="center"/>
    </xf>
    <xf numFmtId="41" fontId="59" fillId="0" borderId="122" xfId="0" applyNumberFormat="1" applyFont="1" applyBorder="1">
      <alignment vertical="center"/>
    </xf>
    <xf numFmtId="41" fontId="14" fillId="3" borderId="118" xfId="0" applyNumberFormat="1" applyFont="1" applyFill="1" applyBorder="1">
      <alignment vertical="center"/>
    </xf>
    <xf numFmtId="41" fontId="14" fillId="4" borderId="89" xfId="0" applyNumberFormat="1" applyFont="1" applyFill="1" applyBorder="1" applyAlignment="1">
      <alignment horizontal="left" vertical="center"/>
    </xf>
    <xf numFmtId="41" fontId="59" fillId="3" borderId="88" xfId="0" applyNumberFormat="1" applyFont="1" applyFill="1" applyBorder="1">
      <alignment vertical="center"/>
    </xf>
    <xf numFmtId="41" fontId="59" fillId="3" borderId="9" xfId="0" applyNumberFormat="1" applyFont="1" applyFill="1" applyBorder="1">
      <alignment vertical="center"/>
    </xf>
    <xf numFmtId="41" fontId="59" fillId="3" borderId="89" xfId="0" applyNumberFormat="1" applyFont="1" applyFill="1" applyBorder="1">
      <alignment vertical="center"/>
    </xf>
    <xf numFmtId="41" fontId="59" fillId="3" borderId="122" xfId="0" applyNumberFormat="1" applyFont="1" applyFill="1" applyBorder="1">
      <alignment vertical="center"/>
    </xf>
    <xf numFmtId="41" fontId="12" fillId="4" borderId="22" xfId="0" applyNumberFormat="1" applyFont="1" applyFill="1" applyBorder="1" applyAlignment="1">
      <alignment horizontal="left" vertical="center" shrinkToFit="1"/>
    </xf>
    <xf numFmtId="41" fontId="59" fillId="3" borderId="23" xfId="0" applyNumberFormat="1" applyFont="1" applyFill="1" applyBorder="1">
      <alignment vertical="center"/>
    </xf>
    <xf numFmtId="41" fontId="59" fillId="3" borderId="3" xfId="0" applyNumberFormat="1" applyFont="1" applyFill="1" applyBorder="1">
      <alignment vertical="center"/>
    </xf>
    <xf numFmtId="41" fontId="14" fillId="3" borderId="7" xfId="0" applyNumberFormat="1" applyFont="1" applyFill="1" applyBorder="1">
      <alignment vertical="center"/>
    </xf>
    <xf numFmtId="187" fontId="14" fillId="3" borderId="89" xfId="0" applyNumberFormat="1" applyFont="1" applyFill="1" applyBorder="1">
      <alignment vertical="center"/>
    </xf>
    <xf numFmtId="185" fontId="59" fillId="3" borderId="23" xfId="0" applyNumberFormat="1" applyFont="1" applyFill="1" applyBorder="1">
      <alignment vertical="center"/>
    </xf>
    <xf numFmtId="185" fontId="59" fillId="3" borderId="3" xfId="0" applyNumberFormat="1" applyFont="1" applyFill="1" applyBorder="1">
      <alignment vertical="center"/>
    </xf>
    <xf numFmtId="185" fontId="59" fillId="3" borderId="22" xfId="0" applyNumberFormat="1" applyFont="1" applyFill="1" applyBorder="1">
      <alignment vertical="center"/>
    </xf>
    <xf numFmtId="41" fontId="59" fillId="0" borderId="27" xfId="0" applyNumberFormat="1" applyFont="1" applyBorder="1">
      <alignment vertical="center"/>
    </xf>
    <xf numFmtId="41" fontId="59" fillId="0" borderId="60" xfId="0" applyNumberFormat="1" applyFont="1" applyBorder="1">
      <alignment vertical="center"/>
    </xf>
    <xf numFmtId="41" fontId="51" fillId="4" borderId="20" xfId="0" applyNumberFormat="1" applyFont="1" applyFill="1" applyBorder="1">
      <alignment vertical="center"/>
    </xf>
    <xf numFmtId="41" fontId="14" fillId="3" borderId="11" xfId="0" applyNumberFormat="1" applyFont="1" applyFill="1" applyBorder="1">
      <alignment vertical="center"/>
    </xf>
    <xf numFmtId="41" fontId="14" fillId="3" borderId="54" xfId="0" applyNumberFormat="1" applyFont="1" applyFill="1" applyBorder="1">
      <alignment vertical="center"/>
    </xf>
    <xf numFmtId="41" fontId="59" fillId="3" borderId="86" xfId="0" applyNumberFormat="1" applyFont="1" applyFill="1" applyBorder="1">
      <alignment vertical="center"/>
    </xf>
    <xf numFmtId="41" fontId="59" fillId="3" borderId="11" xfId="0" applyNumberFormat="1" applyFont="1" applyFill="1" applyBorder="1">
      <alignment vertical="center"/>
    </xf>
    <xf numFmtId="41" fontId="59" fillId="3" borderId="54" xfId="0" applyNumberFormat="1" applyFont="1" applyFill="1" applyBorder="1">
      <alignment vertical="center"/>
    </xf>
    <xf numFmtId="41" fontId="59" fillId="3" borderId="128" xfId="0" applyNumberFormat="1" applyFont="1" applyFill="1" applyBorder="1">
      <alignment vertical="center"/>
    </xf>
    <xf numFmtId="41" fontId="59" fillId="3" borderId="4" xfId="0" applyNumberFormat="1" applyFont="1" applyFill="1" applyBorder="1">
      <alignment vertical="center"/>
    </xf>
    <xf numFmtId="41" fontId="59" fillId="3" borderId="129" xfId="0" applyNumberFormat="1" applyFont="1" applyFill="1" applyBorder="1">
      <alignment vertical="center"/>
    </xf>
    <xf numFmtId="41" fontId="59" fillId="3" borderId="132" xfId="0" applyNumberFormat="1" applyFont="1" applyFill="1" applyBorder="1">
      <alignment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38" fontId="51" fillId="4" borderId="18" xfId="0" applyNumberFormat="1" applyFont="1" applyFill="1" applyBorder="1">
      <alignment vertical="center"/>
    </xf>
    <xf numFmtId="41" fontId="59" fillId="0" borderId="11" xfId="0" applyNumberFormat="1" applyFont="1" applyBorder="1">
      <alignment vertical="center"/>
    </xf>
    <xf numFmtId="38" fontId="51" fillId="4" borderId="65" xfId="0" applyNumberFormat="1" applyFont="1" applyFill="1" applyBorder="1" applyAlignment="1">
      <alignment horizontal="center" vertical="center"/>
    </xf>
    <xf numFmtId="38" fontId="65" fillId="3" borderId="65" xfId="0" applyNumberFormat="1" applyFont="1" applyFill="1" applyBorder="1">
      <alignment vertical="center"/>
    </xf>
    <xf numFmtId="38" fontId="59" fillId="3" borderId="42" xfId="0" applyNumberFormat="1" applyFont="1" applyFill="1" applyBorder="1">
      <alignment vertical="center"/>
    </xf>
    <xf numFmtId="38" fontId="59" fillId="3" borderId="63" xfId="0" applyNumberFormat="1" applyFont="1" applyFill="1" applyBorder="1">
      <alignment vertical="center"/>
    </xf>
    <xf numFmtId="38" fontId="51" fillId="3" borderId="8" xfId="0" applyNumberFormat="1" applyFont="1" applyFill="1" applyBorder="1">
      <alignment vertical="center"/>
    </xf>
    <xf numFmtId="38" fontId="51" fillId="3" borderId="63" xfId="0" applyNumberFormat="1" applyFont="1" applyFill="1" applyBorder="1">
      <alignment vertical="center"/>
    </xf>
    <xf numFmtId="41" fontId="59" fillId="0" borderId="129" xfId="0" applyNumberFormat="1" applyFont="1" applyBorder="1">
      <alignment vertical="center"/>
    </xf>
    <xf numFmtId="41" fontId="51" fillId="3" borderId="49" xfId="0" applyNumberFormat="1" applyFont="1" applyFill="1" applyBorder="1">
      <alignment vertical="center"/>
    </xf>
    <xf numFmtId="38" fontId="51" fillId="4" borderId="26" xfId="0" applyNumberFormat="1" applyFont="1" applyFill="1" applyBorder="1" applyAlignment="1">
      <alignment horizontal="center" vertical="center"/>
    </xf>
    <xf numFmtId="0" fontId="32" fillId="0" borderId="0" xfId="0" applyFont="1">
      <alignment vertical="center"/>
    </xf>
    <xf numFmtId="9" fontId="67" fillId="3" borderId="0" xfId="0" applyNumberFormat="1" applyFont="1" applyFill="1">
      <alignment vertical="center"/>
    </xf>
    <xf numFmtId="0" fontId="13" fillId="4" borderId="20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 wrapText="1"/>
    </xf>
    <xf numFmtId="0" fontId="13" fillId="4" borderId="17" xfId="0" applyFont="1" applyFill="1" applyBorder="1" applyAlignment="1">
      <alignment horizontal="center" vertical="center"/>
    </xf>
    <xf numFmtId="0" fontId="13" fillId="4" borderId="29" xfId="0" applyFont="1" applyFill="1" applyBorder="1" applyAlignment="1">
      <alignment horizontal="center" vertical="center" wrapText="1"/>
    </xf>
    <xf numFmtId="41" fontId="14" fillId="4" borderId="65" xfId="0" applyNumberFormat="1" applyFont="1" applyFill="1" applyBorder="1">
      <alignment vertical="center"/>
    </xf>
    <xf numFmtId="194" fontId="12" fillId="4" borderId="27" xfId="0" applyNumberFormat="1" applyFont="1" applyFill="1" applyBorder="1">
      <alignment vertical="center"/>
    </xf>
    <xf numFmtId="41" fontId="12" fillId="4" borderId="65" xfId="0" applyNumberFormat="1" applyFont="1" applyFill="1" applyBorder="1">
      <alignment vertical="center"/>
    </xf>
    <xf numFmtId="0" fontId="12" fillId="4" borderId="60" xfId="0" applyFont="1" applyFill="1" applyBorder="1">
      <alignment vertical="center"/>
    </xf>
    <xf numFmtId="41" fontId="14" fillId="3" borderId="58" xfId="0" applyNumberFormat="1" applyFont="1" applyFill="1" applyBorder="1">
      <alignment vertical="center"/>
    </xf>
    <xf numFmtId="41" fontId="14" fillId="3" borderId="27" xfId="0" applyNumberFormat="1" applyFont="1" applyFill="1" applyBorder="1">
      <alignment vertical="center"/>
    </xf>
    <xf numFmtId="41" fontId="14" fillId="3" borderId="60" xfId="0" applyNumberFormat="1" applyFont="1" applyFill="1" applyBorder="1">
      <alignment vertical="center"/>
    </xf>
    <xf numFmtId="41" fontId="13" fillId="4" borderId="14" xfId="0" applyNumberFormat="1" applyFont="1" applyFill="1" applyBorder="1">
      <alignment vertical="center"/>
    </xf>
    <xf numFmtId="38" fontId="23" fillId="3" borderId="0" xfId="0" applyNumberFormat="1" applyFont="1" applyFill="1">
      <alignment vertical="center"/>
    </xf>
    <xf numFmtId="41" fontId="14" fillId="4" borderId="8" xfId="0" applyNumberFormat="1" applyFont="1" applyFill="1" applyBorder="1">
      <alignment vertical="center"/>
    </xf>
    <xf numFmtId="194" fontId="12" fillId="4" borderId="1" xfId="0" applyNumberFormat="1" applyFont="1" applyFill="1" applyBorder="1">
      <alignment vertical="center"/>
    </xf>
    <xf numFmtId="41" fontId="12" fillId="4" borderId="8" xfId="0" applyNumberFormat="1" applyFont="1" applyFill="1" applyBorder="1">
      <alignment vertical="center"/>
    </xf>
    <xf numFmtId="0" fontId="12" fillId="4" borderId="69" xfId="0" applyFont="1" applyFill="1" applyBorder="1">
      <alignment vertical="center"/>
    </xf>
    <xf numFmtId="41" fontId="14" fillId="3" borderId="55" xfId="0" applyNumberFormat="1" applyFont="1" applyFill="1" applyBorder="1">
      <alignment vertical="center"/>
    </xf>
    <xf numFmtId="41" fontId="14" fillId="3" borderId="1" xfId="0" applyNumberFormat="1" applyFont="1" applyFill="1" applyBorder="1">
      <alignment vertical="center"/>
    </xf>
    <xf numFmtId="41" fontId="14" fillId="3" borderId="69" xfId="0" applyNumberFormat="1" applyFont="1" applyFill="1" applyBorder="1">
      <alignment vertical="center"/>
    </xf>
    <xf numFmtId="41" fontId="13" fillId="4" borderId="31" xfId="0" applyNumberFormat="1" applyFont="1" applyFill="1" applyBorder="1">
      <alignment vertical="center"/>
    </xf>
    <xf numFmtId="41" fontId="12" fillId="4" borderId="1" xfId="0" applyNumberFormat="1" applyFont="1" applyFill="1" applyBorder="1">
      <alignment vertical="center"/>
    </xf>
    <xf numFmtId="0" fontId="12" fillId="4" borderId="21" xfId="0" applyFont="1" applyFill="1" applyBorder="1">
      <alignment vertical="center"/>
    </xf>
    <xf numFmtId="0" fontId="13" fillId="4" borderId="6" xfId="0" applyFont="1" applyFill="1" applyBorder="1">
      <alignment vertical="center"/>
    </xf>
    <xf numFmtId="194" fontId="13" fillId="4" borderId="61" xfId="0" applyNumberFormat="1" applyFont="1" applyFill="1" applyBorder="1" applyAlignment="1">
      <alignment horizontal="center" vertical="center"/>
    </xf>
    <xf numFmtId="194" fontId="13" fillId="4" borderId="63" xfId="0" applyNumberFormat="1" applyFont="1" applyFill="1" applyBorder="1" applyAlignment="1">
      <alignment horizontal="center" vertical="center"/>
    </xf>
    <xf numFmtId="0" fontId="13" fillId="4" borderId="34" xfId="0" applyFont="1" applyFill="1" applyBorder="1" applyAlignment="1">
      <alignment horizontal="right" vertical="center"/>
    </xf>
    <xf numFmtId="41" fontId="16" fillId="4" borderId="12" xfId="0" applyNumberFormat="1" applyFont="1" applyFill="1" applyBorder="1">
      <alignment vertical="center"/>
    </xf>
    <xf numFmtId="41" fontId="16" fillId="4" borderId="33" xfId="0" applyNumberFormat="1" applyFont="1" applyFill="1" applyBorder="1">
      <alignment vertical="center"/>
    </xf>
    <xf numFmtId="41" fontId="13" fillId="4" borderId="30" xfId="0" applyNumberFormat="1" applyFont="1" applyFill="1" applyBorder="1">
      <alignment vertical="center"/>
    </xf>
    <xf numFmtId="41" fontId="14" fillId="4" borderId="63" xfId="0" applyNumberFormat="1" applyFont="1" applyFill="1" applyBorder="1">
      <alignment vertical="center"/>
    </xf>
    <xf numFmtId="194" fontId="12" fillId="4" borderId="61" xfId="0" applyNumberFormat="1" applyFont="1" applyFill="1" applyBorder="1">
      <alignment vertical="center"/>
    </xf>
    <xf numFmtId="194" fontId="12" fillId="4" borderId="63" xfId="0" applyNumberFormat="1" applyFont="1" applyFill="1" applyBorder="1">
      <alignment vertical="center"/>
    </xf>
    <xf numFmtId="0" fontId="12" fillId="4" borderId="34" xfId="0" applyFont="1" applyFill="1" applyBorder="1">
      <alignment vertical="center"/>
    </xf>
    <xf numFmtId="41" fontId="14" fillId="3" borderId="64" xfId="0" applyNumberFormat="1" applyFont="1" applyFill="1" applyBorder="1">
      <alignment vertical="center"/>
    </xf>
    <xf numFmtId="41" fontId="14" fillId="3" borderId="61" xfId="0" applyNumberFormat="1" applyFont="1" applyFill="1" applyBorder="1">
      <alignment vertical="center"/>
    </xf>
    <xf numFmtId="41" fontId="14" fillId="3" borderId="34" xfId="0" applyNumberFormat="1" applyFont="1" applyFill="1" applyBorder="1">
      <alignment vertical="center"/>
    </xf>
    <xf numFmtId="41" fontId="13" fillId="4" borderId="57" xfId="0" applyNumberFormat="1" applyFont="1" applyFill="1" applyBorder="1">
      <alignment vertical="center"/>
    </xf>
    <xf numFmtId="194" fontId="12" fillId="4" borderId="8" xfId="0" applyNumberFormat="1" applyFont="1" applyFill="1" applyBorder="1">
      <alignment vertical="center"/>
    </xf>
    <xf numFmtId="0" fontId="13" fillId="4" borderId="38" xfId="0" applyFont="1" applyFill="1" applyBorder="1" applyAlignment="1">
      <alignment horizontal="center" vertical="center"/>
    </xf>
    <xf numFmtId="41" fontId="16" fillId="4" borderId="76" xfId="0" applyNumberFormat="1" applyFont="1" applyFill="1" applyBorder="1">
      <alignment vertical="center"/>
    </xf>
    <xf numFmtId="194" fontId="12" fillId="4" borderId="77" xfId="0" applyNumberFormat="1" applyFont="1" applyFill="1" applyBorder="1">
      <alignment vertical="center"/>
    </xf>
    <xf numFmtId="194" fontId="12" fillId="4" borderId="43" xfId="0" applyNumberFormat="1" applyFont="1" applyFill="1" applyBorder="1">
      <alignment vertical="center"/>
    </xf>
    <xf numFmtId="0" fontId="12" fillId="4" borderId="49" xfId="0" applyFont="1" applyFill="1" applyBorder="1">
      <alignment vertical="center"/>
    </xf>
    <xf numFmtId="41" fontId="13" fillId="4" borderId="75" xfId="0" applyNumberFormat="1" applyFont="1" applyFill="1" applyBorder="1">
      <alignment vertical="center"/>
    </xf>
    <xf numFmtId="0" fontId="13" fillId="4" borderId="19" xfId="0" applyFont="1" applyFill="1" applyBorder="1" applyAlignment="1">
      <alignment horizontal="right" vertical="center"/>
    </xf>
    <xf numFmtId="41" fontId="13" fillId="4" borderId="29" xfId="0" applyNumberFormat="1" applyFont="1" applyFill="1" applyBorder="1">
      <alignment vertical="center"/>
    </xf>
    <xf numFmtId="195" fontId="12" fillId="4" borderId="65" xfId="0" applyNumberFormat="1" applyFont="1" applyFill="1" applyBorder="1">
      <alignment vertical="center"/>
    </xf>
    <xf numFmtId="195" fontId="12" fillId="4" borderId="8" xfId="0" applyNumberFormat="1" applyFont="1" applyFill="1" applyBorder="1">
      <alignment vertical="center"/>
    </xf>
    <xf numFmtId="195" fontId="12" fillId="4" borderId="1" xfId="0" applyNumberFormat="1" applyFont="1" applyFill="1" applyBorder="1">
      <alignment vertical="center"/>
    </xf>
    <xf numFmtId="0" fontId="13" fillId="4" borderId="37" xfId="0" applyFont="1" applyFill="1" applyBorder="1" applyAlignment="1">
      <alignment horizontal="center" vertical="center"/>
    </xf>
    <xf numFmtId="192" fontId="12" fillId="4" borderId="63" xfId="0" applyNumberFormat="1" applyFont="1" applyFill="1" applyBorder="1">
      <alignment vertical="center"/>
    </xf>
    <xf numFmtId="192" fontId="12" fillId="4" borderId="8" xfId="0" applyNumberFormat="1" applyFont="1" applyFill="1" applyBorder="1">
      <alignment vertical="center"/>
    </xf>
    <xf numFmtId="41" fontId="14" fillId="4" borderId="78" xfId="0" applyNumberFormat="1" applyFont="1" applyFill="1" applyBorder="1">
      <alignment vertical="center"/>
    </xf>
    <xf numFmtId="41" fontId="14" fillId="4" borderId="77" xfId="0" applyNumberFormat="1" applyFont="1" applyFill="1" applyBorder="1">
      <alignment vertical="center"/>
    </xf>
    <xf numFmtId="41" fontId="14" fillId="4" borderId="49" xfId="0" applyNumberFormat="1" applyFont="1" applyFill="1" applyBorder="1">
      <alignment vertical="center"/>
    </xf>
    <xf numFmtId="38" fontId="14" fillId="3" borderId="0" xfId="0" applyNumberFormat="1" applyFont="1" applyFill="1">
      <alignment vertical="center"/>
    </xf>
    <xf numFmtId="0" fontId="68" fillId="4" borderId="16" xfId="0" applyFont="1" applyFill="1" applyBorder="1">
      <alignment vertical="center"/>
    </xf>
    <xf numFmtId="41" fontId="68" fillId="4" borderId="29" xfId="0" applyNumberFormat="1" applyFont="1" applyFill="1" applyBorder="1">
      <alignment vertical="center"/>
    </xf>
    <xf numFmtId="0" fontId="13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right" vertical="center"/>
    </xf>
    <xf numFmtId="41" fontId="13" fillId="3" borderId="0" xfId="0" applyNumberFormat="1" applyFont="1" applyFill="1">
      <alignment vertical="center"/>
    </xf>
    <xf numFmtId="194" fontId="12" fillId="3" borderId="0" xfId="0" applyNumberFormat="1" applyFont="1" applyFill="1">
      <alignment vertical="center"/>
    </xf>
    <xf numFmtId="0" fontId="13" fillId="4" borderId="18" xfId="0" applyFont="1" applyFill="1" applyBorder="1" applyAlignment="1">
      <alignment horizontal="center" vertical="center" wrapText="1"/>
    </xf>
    <xf numFmtId="192" fontId="12" fillId="4" borderId="1" xfId="0" applyNumberFormat="1" applyFont="1" applyFill="1" applyBorder="1">
      <alignment vertical="center"/>
    </xf>
    <xf numFmtId="9" fontId="14" fillId="0" borderId="0" xfId="0" applyNumberFormat="1" applyFont="1">
      <alignment vertical="center"/>
    </xf>
    <xf numFmtId="41" fontId="12" fillId="4" borderId="42" xfId="0" applyNumberFormat="1" applyFont="1" applyFill="1" applyBorder="1">
      <alignment vertical="center"/>
    </xf>
    <xf numFmtId="192" fontId="12" fillId="4" borderId="47" xfId="0" applyNumberFormat="1" applyFont="1" applyFill="1" applyBorder="1">
      <alignment vertical="center"/>
    </xf>
    <xf numFmtId="185" fontId="12" fillId="0" borderId="56" xfId="0" applyNumberFormat="1" applyFont="1" applyBorder="1">
      <alignment vertical="center"/>
    </xf>
    <xf numFmtId="185" fontId="12" fillId="0" borderId="5" xfId="0" applyNumberFormat="1" applyFont="1" applyBorder="1">
      <alignment vertical="center"/>
    </xf>
    <xf numFmtId="185" fontId="12" fillId="0" borderId="47" xfId="0" applyNumberFormat="1" applyFont="1" applyBorder="1">
      <alignment vertical="center"/>
    </xf>
    <xf numFmtId="0" fontId="13" fillId="4" borderId="74" xfId="0" applyFont="1" applyFill="1" applyBorder="1">
      <alignment vertical="center"/>
    </xf>
    <xf numFmtId="41" fontId="12" fillId="4" borderId="77" xfId="0" applyNumberFormat="1" applyFont="1" applyFill="1" applyBorder="1">
      <alignment vertical="center"/>
    </xf>
    <xf numFmtId="1" fontId="12" fillId="4" borderId="70" xfId="0" applyNumberFormat="1" applyFont="1" applyFill="1" applyBorder="1">
      <alignment vertical="center"/>
    </xf>
    <xf numFmtId="41" fontId="16" fillId="4" borderId="78" xfId="0" applyNumberFormat="1" applyFont="1" applyFill="1" applyBorder="1">
      <alignment vertical="center"/>
    </xf>
    <xf numFmtId="41" fontId="16" fillId="4" borderId="77" xfId="0" applyNumberFormat="1" applyFont="1" applyFill="1" applyBorder="1">
      <alignment vertical="center"/>
    </xf>
    <xf numFmtId="41" fontId="16" fillId="4" borderId="49" xfId="0" applyNumberFormat="1" applyFont="1" applyFill="1" applyBorder="1">
      <alignment vertical="center"/>
    </xf>
    <xf numFmtId="0" fontId="32" fillId="0" borderId="0" xfId="0" applyFont="1" applyAlignment="1">
      <alignment horizontal="center" vertical="center"/>
    </xf>
    <xf numFmtId="9" fontId="67" fillId="0" borderId="0" xfId="0" applyNumberFormat="1" applyFont="1">
      <alignment vertical="center"/>
    </xf>
    <xf numFmtId="0" fontId="23" fillId="3" borderId="0" xfId="0" applyFont="1" applyFill="1">
      <alignment vertical="center"/>
    </xf>
    <xf numFmtId="0" fontId="59" fillId="0" borderId="0" xfId="0" applyFont="1">
      <alignment vertical="center"/>
    </xf>
    <xf numFmtId="0" fontId="12" fillId="3" borderId="0" xfId="0" applyFont="1" applyFill="1" applyAlignment="1">
      <alignment horizontal="right" vertical="center"/>
    </xf>
    <xf numFmtId="187" fontId="14" fillId="3" borderId="69" xfId="0" applyNumberFormat="1" applyFont="1" applyFill="1" applyBorder="1">
      <alignment vertical="center"/>
    </xf>
    <xf numFmtId="0" fontId="13" fillId="4" borderId="49" xfId="0" applyFont="1" applyFill="1" applyBorder="1">
      <alignment vertical="center"/>
    </xf>
    <xf numFmtId="38" fontId="29" fillId="3" borderId="0" xfId="0" applyNumberFormat="1" applyFont="1" applyFill="1">
      <alignment vertical="center"/>
    </xf>
    <xf numFmtId="0" fontId="69" fillId="0" borderId="0" xfId="0" applyFont="1">
      <alignment vertical="center"/>
    </xf>
    <xf numFmtId="0" fontId="30" fillId="0" borderId="0" xfId="0" applyFont="1">
      <alignment vertical="center"/>
    </xf>
    <xf numFmtId="41" fontId="32" fillId="0" borderId="0" xfId="0" applyNumberFormat="1" applyFont="1" applyAlignment="1">
      <alignment horizontal="center" vertical="center"/>
    </xf>
    <xf numFmtId="9" fontId="23" fillId="0" borderId="0" xfId="0" applyNumberFormat="1" applyFont="1">
      <alignment vertical="center"/>
    </xf>
    <xf numFmtId="9" fontId="59" fillId="0" borderId="0" xfId="0" applyNumberFormat="1" applyFont="1">
      <alignment vertical="center"/>
    </xf>
    <xf numFmtId="0" fontId="13" fillId="4" borderId="27" xfId="0" applyFont="1" applyFill="1" applyBorder="1" applyAlignment="1">
      <alignment horizontal="center" vertical="center"/>
    </xf>
    <xf numFmtId="0" fontId="13" fillId="4" borderId="65" xfId="0" applyFont="1" applyFill="1" applyBorder="1" applyAlignment="1">
      <alignment horizontal="center" vertical="center"/>
    </xf>
    <xf numFmtId="0" fontId="13" fillId="4" borderId="60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 wrapText="1"/>
    </xf>
    <xf numFmtId="41" fontId="12" fillId="4" borderId="65" xfId="0" applyNumberFormat="1" applyFont="1" applyFill="1" applyBorder="1" applyAlignment="1">
      <alignment horizontal="left" vertical="center"/>
    </xf>
    <xf numFmtId="41" fontId="12" fillId="4" borderId="27" xfId="0" applyNumberFormat="1" applyFont="1" applyFill="1" applyBorder="1" applyAlignment="1">
      <alignment horizontal="center" vertical="center"/>
    </xf>
    <xf numFmtId="41" fontId="12" fillId="4" borderId="65" xfId="0" applyNumberFormat="1" applyFont="1" applyFill="1" applyBorder="1" applyAlignment="1">
      <alignment horizontal="center" vertical="center"/>
    </xf>
    <xf numFmtId="41" fontId="12" fillId="4" borderId="60" xfId="0" applyNumberFormat="1" applyFont="1" applyFill="1" applyBorder="1" applyAlignment="1">
      <alignment horizontal="center" vertical="center"/>
    </xf>
    <xf numFmtId="41" fontId="12" fillId="4" borderId="14" xfId="0" applyNumberFormat="1" applyFont="1" applyFill="1" applyBorder="1">
      <alignment vertical="center"/>
    </xf>
    <xf numFmtId="41" fontId="12" fillId="4" borderId="8" xfId="0" applyNumberFormat="1" applyFont="1" applyFill="1" applyBorder="1" applyAlignment="1">
      <alignment horizontal="left" vertical="center"/>
    </xf>
    <xf numFmtId="41" fontId="12" fillId="4" borderId="1" xfId="0" applyNumberFormat="1" applyFont="1" applyFill="1" applyBorder="1" applyAlignment="1">
      <alignment horizontal="center" vertical="center"/>
    </xf>
    <xf numFmtId="41" fontId="12" fillId="4" borderId="8" xfId="0" applyNumberFormat="1" applyFont="1" applyFill="1" applyBorder="1" applyAlignment="1">
      <alignment horizontal="center" vertical="center"/>
    </xf>
    <xf numFmtId="41" fontId="12" fillId="4" borderId="69" xfId="0" applyNumberFormat="1" applyFont="1" applyFill="1" applyBorder="1" applyAlignment="1">
      <alignment horizontal="center" vertical="center"/>
    </xf>
    <xf numFmtId="41" fontId="14" fillId="3" borderId="10" xfId="0" applyNumberFormat="1" applyFont="1" applyFill="1" applyBorder="1">
      <alignment vertical="center"/>
    </xf>
    <xf numFmtId="41" fontId="14" fillId="3" borderId="24" xfId="0" applyNumberFormat="1" applyFont="1" applyFill="1" applyBorder="1">
      <alignment vertical="center"/>
    </xf>
    <xf numFmtId="185" fontId="12" fillId="4" borderId="31" xfId="0" applyNumberFormat="1" applyFont="1" applyFill="1" applyBorder="1">
      <alignment vertical="center"/>
    </xf>
    <xf numFmtId="41" fontId="13" fillId="4" borderId="85" xfId="0" applyNumberFormat="1" applyFont="1" applyFill="1" applyBorder="1" applyAlignment="1">
      <alignment horizontal="left" vertical="center"/>
    </xf>
    <xf numFmtId="41" fontId="13" fillId="4" borderId="61" xfId="0" applyNumberFormat="1" applyFont="1" applyFill="1" applyBorder="1" applyAlignment="1">
      <alignment horizontal="center" vertical="center"/>
    </xf>
    <xf numFmtId="41" fontId="13" fillId="4" borderId="63" xfId="0" applyNumberFormat="1" applyFont="1" applyFill="1" applyBorder="1" applyAlignment="1">
      <alignment horizontal="center" vertical="center"/>
    </xf>
    <xf numFmtId="41" fontId="13" fillId="4" borderId="34" xfId="0" applyNumberFormat="1" applyFont="1" applyFill="1" applyBorder="1" applyAlignment="1">
      <alignment horizontal="center" vertical="center"/>
    </xf>
    <xf numFmtId="41" fontId="16" fillId="4" borderId="72" xfId="0" applyNumberFormat="1" applyFont="1" applyFill="1" applyBorder="1">
      <alignment vertical="center"/>
    </xf>
    <xf numFmtId="41" fontId="16" fillId="4" borderId="85" xfId="0" applyNumberFormat="1" applyFont="1" applyFill="1" applyBorder="1">
      <alignment vertical="center"/>
    </xf>
    <xf numFmtId="41" fontId="16" fillId="4" borderId="64" xfId="0" applyNumberFormat="1" applyFont="1" applyFill="1" applyBorder="1">
      <alignment vertical="center"/>
    </xf>
    <xf numFmtId="43" fontId="14" fillId="0" borderId="0" xfId="0" applyNumberFormat="1" applyFont="1">
      <alignment vertical="center"/>
    </xf>
    <xf numFmtId="41" fontId="12" fillId="4" borderId="63" xfId="0" applyNumberFormat="1" applyFont="1" applyFill="1" applyBorder="1" applyAlignment="1">
      <alignment horizontal="left" vertical="center"/>
    </xf>
    <xf numFmtId="41" fontId="12" fillId="4" borderId="61" xfId="0" applyNumberFormat="1" applyFont="1" applyFill="1" applyBorder="1" applyAlignment="1">
      <alignment horizontal="center" vertical="center"/>
    </xf>
    <xf numFmtId="41" fontId="12" fillId="4" borderId="63" xfId="0" applyNumberFormat="1" applyFont="1" applyFill="1" applyBorder="1" applyAlignment="1">
      <alignment horizontal="center" vertical="center"/>
    </xf>
    <xf numFmtId="41" fontId="12" fillId="4" borderId="34" xfId="0" applyNumberFormat="1" applyFont="1" applyFill="1" applyBorder="1" applyAlignment="1">
      <alignment horizontal="center" vertical="center"/>
    </xf>
    <xf numFmtId="41" fontId="12" fillId="4" borderId="57" xfId="0" applyNumberFormat="1" applyFont="1" applyFill="1" applyBorder="1">
      <alignment vertical="center"/>
    </xf>
    <xf numFmtId="41" fontId="12" fillId="4" borderId="31" xfId="0" applyNumberFormat="1" applyFont="1" applyFill="1" applyBorder="1">
      <alignment vertical="center"/>
    </xf>
    <xf numFmtId="41" fontId="13" fillId="4" borderId="67" xfId="0" applyNumberFormat="1" applyFont="1" applyFill="1" applyBorder="1">
      <alignment vertical="center"/>
    </xf>
    <xf numFmtId="41" fontId="13" fillId="4" borderId="45" xfId="0" applyNumberFormat="1" applyFont="1" applyFill="1" applyBorder="1">
      <alignment vertical="center"/>
    </xf>
    <xf numFmtId="41" fontId="13" fillId="4" borderId="16" xfId="0" applyNumberFormat="1" applyFont="1" applyFill="1" applyBorder="1">
      <alignment vertical="center"/>
    </xf>
    <xf numFmtId="41" fontId="32" fillId="0" borderId="0" xfId="0" applyNumberFormat="1" applyFont="1">
      <alignment vertical="center"/>
    </xf>
    <xf numFmtId="0" fontId="70" fillId="0" borderId="0" xfId="0" applyFont="1">
      <alignment vertical="center"/>
    </xf>
    <xf numFmtId="41" fontId="13" fillId="4" borderId="18" xfId="0" applyNumberFormat="1" applyFont="1" applyFill="1" applyBorder="1" applyAlignment="1">
      <alignment horizontal="center" vertical="center"/>
    </xf>
    <xf numFmtId="181" fontId="12" fillId="3" borderId="58" xfId="0" applyNumberFormat="1" applyFont="1" applyFill="1" applyBorder="1" applyAlignment="1">
      <alignment horizontal="center" vertical="center"/>
    </xf>
    <xf numFmtId="181" fontId="12" fillId="3" borderId="27" xfId="0" applyNumberFormat="1" applyFont="1" applyFill="1" applyBorder="1" applyAlignment="1">
      <alignment horizontal="center" vertical="center"/>
    </xf>
    <xf numFmtId="181" fontId="12" fillId="3" borderId="60" xfId="0" applyNumberFormat="1" applyFont="1" applyFill="1" applyBorder="1" applyAlignment="1">
      <alignment horizontal="center" vertical="center"/>
    </xf>
    <xf numFmtId="181" fontId="12" fillId="4" borderId="14" xfId="0" applyNumberFormat="1" applyFont="1" applyFill="1" applyBorder="1" applyAlignment="1">
      <alignment horizontal="center" vertical="center"/>
    </xf>
    <xf numFmtId="192" fontId="12" fillId="4" borderId="69" xfId="0" applyNumberFormat="1" applyFont="1" applyFill="1" applyBorder="1" applyAlignment="1">
      <alignment horizontal="center" vertical="center"/>
    </xf>
    <xf numFmtId="41" fontId="12" fillId="3" borderId="55" xfId="0" applyNumberFormat="1" applyFont="1" applyFill="1" applyBorder="1">
      <alignment vertical="center"/>
    </xf>
    <xf numFmtId="41" fontId="12" fillId="3" borderId="1" xfId="0" applyNumberFormat="1" applyFont="1" applyFill="1" applyBorder="1">
      <alignment vertical="center"/>
    </xf>
    <xf numFmtId="41" fontId="12" fillId="3" borderId="69" xfId="0" applyNumberFormat="1" applyFont="1" applyFill="1" applyBorder="1">
      <alignment vertical="center"/>
    </xf>
    <xf numFmtId="41" fontId="32" fillId="3" borderId="0" xfId="0" applyNumberFormat="1" applyFont="1" applyFill="1">
      <alignment vertical="center"/>
    </xf>
    <xf numFmtId="41" fontId="32" fillId="3" borderId="0" xfId="0" applyNumberFormat="1" applyFont="1" applyFill="1" applyAlignment="1">
      <alignment horizontal="center" vertical="center"/>
    </xf>
    <xf numFmtId="180" fontId="12" fillId="0" borderId="0" xfId="0" applyNumberFormat="1" applyFont="1">
      <alignment vertical="center"/>
    </xf>
    <xf numFmtId="180" fontId="59" fillId="0" borderId="0" xfId="0" applyNumberFormat="1" applyFont="1">
      <alignment vertical="center"/>
    </xf>
    <xf numFmtId="41" fontId="14" fillId="0" borderId="55" xfId="0" applyNumberFormat="1" applyFont="1" applyBorder="1">
      <alignment vertical="center"/>
    </xf>
    <xf numFmtId="41" fontId="14" fillId="0" borderId="1" xfId="0" applyNumberFormat="1" applyFont="1" applyBorder="1">
      <alignment vertical="center"/>
    </xf>
    <xf numFmtId="41" fontId="14" fillId="0" borderId="69" xfId="0" applyNumberFormat="1" applyFont="1" applyBorder="1">
      <alignment vertical="center"/>
    </xf>
    <xf numFmtId="41" fontId="12" fillId="4" borderId="33" xfId="0" applyNumberFormat="1" applyFont="1" applyFill="1" applyBorder="1" applyAlignment="1">
      <alignment horizontal="center" vertical="center"/>
    </xf>
    <xf numFmtId="194" fontId="68" fillId="12" borderId="0" xfId="0" applyNumberFormat="1" applyFont="1" applyFill="1">
      <alignment vertical="center"/>
    </xf>
    <xf numFmtId="41" fontId="59" fillId="0" borderId="0" xfId="0" applyNumberFormat="1" applyFont="1">
      <alignment vertical="center"/>
    </xf>
    <xf numFmtId="190" fontId="14" fillId="0" borderId="140" xfId="0" applyNumberFormat="1" applyFont="1" applyBorder="1" applyAlignment="1">
      <alignment horizontal="center"/>
    </xf>
    <xf numFmtId="190" fontId="14" fillId="0" borderId="9" xfId="0" applyNumberFormat="1" applyFont="1" applyBorder="1" applyAlignment="1">
      <alignment horizontal="center"/>
    </xf>
    <xf numFmtId="190" fontId="14" fillId="0" borderId="141" xfId="0" applyNumberFormat="1" applyFont="1" applyBorder="1" applyAlignment="1">
      <alignment horizontal="center"/>
    </xf>
    <xf numFmtId="41" fontId="63" fillId="7" borderId="3" xfId="0" applyNumberFormat="1" applyFont="1" applyFill="1" applyBorder="1" applyAlignment="1">
      <alignment horizontal="center" vertical="center"/>
    </xf>
    <xf numFmtId="178" fontId="16" fillId="9" borderId="11" xfId="0" applyNumberFormat="1" applyFont="1" applyFill="1" applyBorder="1" applyAlignment="1">
      <alignment horizontal="center" vertical="center"/>
    </xf>
    <xf numFmtId="190" fontId="14" fillId="0" borderId="143" xfId="0" applyNumberFormat="1" applyFont="1" applyBorder="1" applyAlignment="1">
      <alignment horizontal="center"/>
    </xf>
    <xf numFmtId="190" fontId="14" fillId="0" borderId="95" xfId="0" applyNumberFormat="1" applyFont="1" applyBorder="1" applyAlignment="1">
      <alignment horizontal="center"/>
    </xf>
    <xf numFmtId="190" fontId="14" fillId="0" borderId="142" xfId="0" applyNumberFormat="1" applyFont="1" applyBorder="1" applyAlignment="1">
      <alignment horizontal="center"/>
    </xf>
    <xf numFmtId="178" fontId="16" fillId="7" borderId="98" xfId="0" applyNumberFormat="1" applyFont="1" applyFill="1" applyBorder="1" applyAlignment="1">
      <alignment horizontal="center" vertical="center"/>
    </xf>
    <xf numFmtId="178" fontId="16" fillId="9" borderId="98" xfId="0" applyNumberFormat="1" applyFont="1" applyFill="1" applyBorder="1" applyAlignment="1">
      <alignment horizontal="center" vertical="center"/>
    </xf>
    <xf numFmtId="188" fontId="16" fillId="8" borderId="98" xfId="0" applyNumberFormat="1" applyFont="1" applyFill="1" applyBorder="1" applyAlignment="1">
      <alignment horizontal="center" vertical="center"/>
    </xf>
    <xf numFmtId="188" fontId="16" fillId="5" borderId="98" xfId="0" applyNumberFormat="1" applyFont="1" applyFill="1" applyBorder="1" applyAlignment="1">
      <alignment horizontal="center" vertical="center"/>
    </xf>
    <xf numFmtId="178" fontId="71" fillId="7" borderId="3" xfId="0" applyNumberFormat="1" applyFont="1" applyFill="1" applyBorder="1" applyAlignment="1">
      <alignment horizontal="center" vertical="center"/>
    </xf>
    <xf numFmtId="189" fontId="14" fillId="0" borderId="140" xfId="0" applyNumberFormat="1" applyFont="1" applyBorder="1" applyAlignment="1">
      <alignment horizontal="center"/>
    </xf>
    <xf numFmtId="188" fontId="16" fillId="8" borderId="101" xfId="0" applyNumberFormat="1" applyFont="1" applyFill="1" applyBorder="1" applyAlignment="1">
      <alignment horizontal="center" vertical="center"/>
    </xf>
    <xf numFmtId="189" fontId="14" fillId="0" borderId="9" xfId="0" applyNumberFormat="1" applyFont="1" applyBorder="1" applyAlignment="1">
      <alignment horizontal="center"/>
    </xf>
    <xf numFmtId="190" fontId="14" fillId="0" borderId="138" xfId="0" applyNumberFormat="1" applyFont="1" applyBorder="1" applyAlignment="1">
      <alignment horizontal="center"/>
    </xf>
    <xf numFmtId="190" fontId="14" fillId="0" borderId="3" xfId="0" applyNumberFormat="1" applyFont="1" applyBorder="1" applyAlignment="1">
      <alignment horizontal="center"/>
    </xf>
    <xf numFmtId="190" fontId="14" fillId="0" borderId="137" xfId="0" applyNumberFormat="1" applyFont="1" applyBorder="1" applyAlignment="1">
      <alignment horizontal="center"/>
    </xf>
    <xf numFmtId="188" fontId="14" fillId="0" borderId="140" xfId="0" applyNumberFormat="1" applyFont="1" applyBorder="1" applyAlignment="1">
      <alignment horizontal="center"/>
    </xf>
    <xf numFmtId="188" fontId="14" fillId="0" borderId="9" xfId="0" applyNumberFormat="1" applyFont="1" applyBorder="1" applyAlignment="1">
      <alignment horizontal="center"/>
    </xf>
    <xf numFmtId="188" fontId="14" fillId="0" borderId="141" xfId="0" applyNumberFormat="1" applyFont="1" applyBorder="1" applyAlignment="1">
      <alignment horizontal="center"/>
    </xf>
    <xf numFmtId="189" fontId="14" fillId="0" borderId="138" xfId="0" applyNumberFormat="1" applyFont="1" applyBorder="1" applyAlignment="1">
      <alignment horizontal="center"/>
    </xf>
    <xf numFmtId="189" fontId="14" fillId="0" borderId="3" xfId="0" applyNumberFormat="1" applyFont="1" applyBorder="1" applyAlignment="1">
      <alignment horizontal="center"/>
    </xf>
    <xf numFmtId="189" fontId="14" fillId="0" borderId="137" xfId="0" applyNumberFormat="1" applyFont="1" applyBorder="1" applyAlignment="1">
      <alignment horizontal="center"/>
    </xf>
    <xf numFmtId="41" fontId="63" fillId="7" borderId="11" xfId="0" applyNumberFormat="1" applyFont="1" applyFill="1" applyBorder="1" applyAlignment="1">
      <alignment horizontal="center" vertical="center"/>
    </xf>
    <xf numFmtId="178" fontId="69" fillId="0" borderId="0" xfId="0" applyNumberFormat="1" applyFont="1" applyAlignment="1">
      <alignment horizontal="center" vertical="center"/>
    </xf>
    <xf numFmtId="41" fontId="63" fillId="7" borderId="87" xfId="0" applyNumberFormat="1" applyFont="1" applyFill="1" applyBorder="1" applyAlignment="1">
      <alignment horizontal="center" vertical="center"/>
    </xf>
    <xf numFmtId="41" fontId="63" fillId="7" borderId="79" xfId="0" applyNumberFormat="1" applyFont="1" applyFill="1" applyBorder="1" applyAlignment="1">
      <alignment horizontal="center" vertical="center"/>
    </xf>
    <xf numFmtId="178" fontId="14" fillId="7" borderId="79" xfId="0" applyNumberFormat="1" applyFont="1" applyFill="1" applyBorder="1" applyAlignment="1">
      <alignment horizontal="center" vertical="center"/>
    </xf>
    <xf numFmtId="189" fontId="14" fillId="0" borderId="125" xfId="0" applyNumberFormat="1" applyFont="1" applyBorder="1" applyAlignment="1">
      <alignment horizontal="center"/>
    </xf>
    <xf numFmtId="189" fontId="14" fillId="0" borderId="136" xfId="0" applyNumberFormat="1" applyFont="1" applyBorder="1" applyAlignment="1">
      <alignment horizontal="center"/>
    </xf>
    <xf numFmtId="190" fontId="14" fillId="0" borderId="135" xfId="0" applyNumberFormat="1" applyFont="1" applyBorder="1" applyAlignment="1">
      <alignment horizontal="center"/>
    </xf>
    <xf numFmtId="190" fontId="14" fillId="0" borderId="11" xfId="0" applyNumberFormat="1" applyFont="1" applyBorder="1" applyAlignment="1">
      <alignment horizontal="center"/>
    </xf>
    <xf numFmtId="190" fontId="14" fillId="0" borderId="134" xfId="0" applyNumberFormat="1" applyFont="1" applyBorder="1" applyAlignment="1">
      <alignment horizontal="center"/>
    </xf>
    <xf numFmtId="189" fontId="14" fillId="0" borderId="141" xfId="0" applyNumberFormat="1" applyFont="1" applyBorder="1" applyAlignment="1">
      <alignment horizontal="center"/>
    </xf>
    <xf numFmtId="190" fontId="14" fillId="0" borderId="144" xfId="0" applyNumberFormat="1" applyFont="1" applyBorder="1" applyAlignment="1">
      <alignment horizontal="center"/>
    </xf>
    <xf numFmtId="190" fontId="14" fillId="0" borderId="103" xfId="0" applyNumberFormat="1" applyFont="1" applyBorder="1" applyAlignment="1">
      <alignment horizontal="center"/>
    </xf>
    <xf numFmtId="190" fontId="14" fillId="0" borderId="139" xfId="0" applyNumberFormat="1" applyFont="1" applyBorder="1" applyAlignment="1">
      <alignment horizontal="center"/>
    </xf>
    <xf numFmtId="178" fontId="14" fillId="7" borderId="9" xfId="0" applyNumberFormat="1" applyFont="1" applyFill="1" applyBorder="1" applyAlignment="1">
      <alignment horizontal="center" vertical="center"/>
    </xf>
    <xf numFmtId="178" fontId="16" fillId="7" borderId="105" xfId="0" applyNumberFormat="1" applyFont="1" applyFill="1" applyBorder="1" applyAlignment="1">
      <alignment horizontal="center" vertical="center"/>
    </xf>
    <xf numFmtId="190" fontId="69" fillId="0" borderId="0" xfId="0" applyNumberFormat="1" applyFont="1" applyAlignment="1">
      <alignment horizontal="center" vertical="center"/>
    </xf>
    <xf numFmtId="188" fontId="26" fillId="0" borderId="0" xfId="0" applyNumberFormat="1" applyFont="1" applyAlignment="1">
      <alignment horizontal="center" vertical="center"/>
    </xf>
    <xf numFmtId="188" fontId="63" fillId="8" borderId="101" xfId="0" applyNumberFormat="1" applyFont="1" applyFill="1" applyBorder="1" applyAlignment="1">
      <alignment horizontal="center" vertical="center"/>
    </xf>
    <xf numFmtId="188" fontId="63" fillId="8" borderId="127" xfId="0" applyNumberFormat="1" applyFont="1" applyFill="1" applyBorder="1" applyAlignment="1">
      <alignment horizontal="center" vertical="center"/>
    </xf>
    <xf numFmtId="188" fontId="63" fillId="8" borderId="100" xfId="0" applyNumberFormat="1" applyFont="1" applyFill="1" applyBorder="1" applyAlignment="1">
      <alignment horizontal="center" vertical="center"/>
    </xf>
    <xf numFmtId="178" fontId="16" fillId="7" borderId="101" xfId="0" applyNumberFormat="1" applyFont="1" applyFill="1" applyBorder="1" applyAlignment="1">
      <alignment horizontal="center" vertical="center"/>
    </xf>
    <xf numFmtId="178" fontId="16" fillId="7" borderId="99" xfId="0" applyNumberFormat="1" applyFont="1" applyFill="1" applyBorder="1" applyAlignment="1">
      <alignment horizontal="center" vertical="center"/>
    </xf>
    <xf numFmtId="178" fontId="16" fillId="7" borderId="96" xfId="0" applyNumberFormat="1" applyFont="1" applyFill="1" applyBorder="1" applyAlignment="1">
      <alignment horizontal="center" vertical="center"/>
    </xf>
    <xf numFmtId="188" fontId="14" fillId="8" borderId="9" xfId="0" applyNumberFormat="1" applyFont="1" applyFill="1" applyBorder="1" applyAlignment="1">
      <alignment horizontal="center" vertical="center"/>
    </xf>
    <xf numFmtId="41" fontId="59" fillId="0" borderId="126" xfId="0" applyNumberFormat="1" applyFont="1" applyBorder="1">
      <alignment vertical="center"/>
    </xf>
    <xf numFmtId="41" fontId="59" fillId="0" borderId="119" xfId="0" applyNumberFormat="1" applyFont="1" applyBorder="1">
      <alignment vertical="center"/>
    </xf>
    <xf numFmtId="41" fontId="59" fillId="0" borderId="132" xfId="0" applyNumberFormat="1" applyFont="1" applyBorder="1">
      <alignment vertical="center"/>
    </xf>
    <xf numFmtId="41" fontId="51" fillId="3" borderId="40" xfId="0" applyNumberFormat="1" applyFont="1" applyFill="1" applyBorder="1">
      <alignment vertical="center"/>
    </xf>
    <xf numFmtId="41" fontId="51" fillId="3" borderId="0" xfId="0" applyNumberFormat="1" applyFont="1" applyFill="1">
      <alignment vertical="center"/>
    </xf>
    <xf numFmtId="41" fontId="70" fillId="0" borderId="0" xfId="0" applyNumberFormat="1" applyFont="1">
      <alignment vertical="center"/>
    </xf>
    <xf numFmtId="185" fontId="59" fillId="0" borderId="0" xfId="0" applyNumberFormat="1" applyFont="1">
      <alignment vertical="center"/>
    </xf>
    <xf numFmtId="41" fontId="13" fillId="3" borderId="0" xfId="0" applyNumberFormat="1" applyFont="1" applyFill="1" applyAlignment="1">
      <alignment horizontal="center" vertical="center"/>
    </xf>
    <xf numFmtId="41" fontId="59" fillId="3" borderId="91" xfId="0" applyNumberFormat="1" applyFont="1" applyFill="1" applyBorder="1">
      <alignment vertical="center"/>
    </xf>
    <xf numFmtId="41" fontId="13" fillId="3" borderId="0" xfId="0" applyNumberFormat="1" applyFont="1" applyFill="1" applyAlignment="1">
      <alignment horizontal="right" vertical="center"/>
    </xf>
    <xf numFmtId="0" fontId="13" fillId="4" borderId="21" xfId="0" applyFont="1" applyFill="1" applyBorder="1" applyAlignment="1">
      <alignment horizontal="center" vertical="center"/>
    </xf>
    <xf numFmtId="0" fontId="13" fillId="4" borderId="73" xfId="0" applyFont="1" applyFill="1" applyBorder="1" applyAlignment="1">
      <alignment horizontal="center" vertical="center"/>
    </xf>
    <xf numFmtId="0" fontId="13" fillId="4" borderId="80" xfId="0" applyFont="1" applyFill="1" applyBorder="1" applyAlignment="1">
      <alignment horizontal="center" vertical="center"/>
    </xf>
    <xf numFmtId="38" fontId="24" fillId="3" borderId="0" xfId="0" applyNumberFormat="1" applyFont="1" applyFill="1">
      <alignment vertical="center"/>
    </xf>
    <xf numFmtId="0" fontId="13" fillId="4" borderId="16" xfId="0" applyFont="1" applyFill="1" applyBorder="1">
      <alignment vertical="center"/>
    </xf>
    <xf numFmtId="43" fontId="59" fillId="0" borderId="0" xfId="0" applyNumberFormat="1" applyFont="1">
      <alignment vertical="center"/>
    </xf>
    <xf numFmtId="0" fontId="12" fillId="3" borderId="50" xfId="0" applyFont="1" applyFill="1" applyBorder="1" applyAlignment="1">
      <alignment horizontal="center" vertical="center"/>
    </xf>
    <xf numFmtId="0" fontId="13" fillId="3" borderId="45" xfId="0" applyFont="1" applyFill="1" applyBorder="1" applyAlignment="1">
      <alignment horizontal="center" vertical="center"/>
    </xf>
    <xf numFmtId="0" fontId="12" fillId="3" borderId="45" xfId="0" applyFont="1" applyFill="1" applyBorder="1" applyAlignment="1">
      <alignment horizontal="center" vertical="center"/>
    </xf>
    <xf numFmtId="0" fontId="13" fillId="3" borderId="45" xfId="0" applyFont="1" applyFill="1" applyBorder="1" applyAlignment="1">
      <alignment horizontal="right" vertical="center"/>
    </xf>
    <xf numFmtId="41" fontId="51" fillId="3" borderId="45" xfId="0" applyNumberFormat="1" applyFont="1" applyFill="1" applyBorder="1">
      <alignment vertical="center"/>
    </xf>
    <xf numFmtId="41" fontId="16" fillId="3" borderId="45" xfId="0" applyNumberFormat="1" applyFont="1" applyFill="1" applyBorder="1">
      <alignment vertical="center"/>
    </xf>
    <xf numFmtId="41" fontId="13" fillId="3" borderId="45" xfId="0" applyNumberFormat="1" applyFont="1" applyFill="1" applyBorder="1">
      <alignment vertical="center"/>
    </xf>
    <xf numFmtId="0" fontId="13" fillId="3" borderId="50" xfId="0" applyFont="1" applyFill="1" applyBorder="1" applyAlignment="1">
      <alignment horizontal="center" vertical="center"/>
    </xf>
    <xf numFmtId="0" fontId="13" fillId="3" borderId="50" xfId="0" applyFont="1" applyFill="1" applyBorder="1" applyAlignment="1">
      <alignment horizontal="right" vertical="center"/>
    </xf>
    <xf numFmtId="41" fontId="51" fillId="3" borderId="50" xfId="0" applyNumberFormat="1" applyFont="1" applyFill="1" applyBorder="1">
      <alignment vertical="center"/>
    </xf>
    <xf numFmtId="41" fontId="16" fillId="3" borderId="50" xfId="0" applyNumberFormat="1" applyFont="1" applyFill="1" applyBorder="1">
      <alignment vertical="center"/>
    </xf>
    <xf numFmtId="41" fontId="13" fillId="3" borderId="50" xfId="0" applyNumberFormat="1" applyFont="1" applyFill="1" applyBorder="1">
      <alignment vertical="center"/>
    </xf>
    <xf numFmtId="0" fontId="13" fillId="3" borderId="0" xfId="0" applyFont="1" applyFill="1">
      <alignment vertical="center"/>
    </xf>
    <xf numFmtId="43" fontId="12" fillId="3" borderId="0" xfId="0" applyNumberFormat="1" applyFont="1" applyFill="1" applyAlignment="1">
      <alignment horizontal="center" vertical="center"/>
    </xf>
    <xf numFmtId="179" fontId="12" fillId="3" borderId="0" xfId="0" applyNumberFormat="1" applyFont="1" applyFill="1" applyAlignment="1">
      <alignment horizontal="center" vertical="center"/>
    </xf>
    <xf numFmtId="187" fontId="14" fillId="0" borderId="0" xfId="0" applyNumberFormat="1" applyFont="1">
      <alignment vertical="center"/>
    </xf>
    <xf numFmtId="0" fontId="13" fillId="4" borderId="19" xfId="0" applyFont="1" applyFill="1" applyBorder="1">
      <alignment vertical="center"/>
    </xf>
    <xf numFmtId="0" fontId="74" fillId="0" borderId="0" xfId="0" applyFont="1" applyAlignment="1"/>
    <xf numFmtId="0" fontId="73" fillId="0" borderId="0" xfId="0" applyFont="1" applyAlignment="1"/>
    <xf numFmtId="9" fontId="75" fillId="0" borderId="28" xfId="0" applyNumberFormat="1" applyFont="1" applyBorder="1" applyAlignment="1">
      <alignment horizontal="center"/>
    </xf>
    <xf numFmtId="0" fontId="73" fillId="14" borderId="2" xfId="0" applyFont="1" applyFill="1" applyBorder="1" applyAlignment="1"/>
    <xf numFmtId="0" fontId="73" fillId="14" borderId="4" xfId="0" applyFont="1" applyFill="1" applyBorder="1" applyAlignment="1"/>
    <xf numFmtId="0" fontId="9" fillId="14" borderId="5" xfId="0" applyFont="1" applyFill="1" applyBorder="1" applyAlignment="1">
      <alignment horizontal="center"/>
    </xf>
    <xf numFmtId="0" fontId="9" fillId="14" borderId="56" xfId="0" applyFont="1" applyFill="1" applyBorder="1" applyAlignment="1">
      <alignment horizontal="center"/>
    </xf>
    <xf numFmtId="0" fontId="9" fillId="14" borderId="42" xfId="0" applyFont="1" applyFill="1" applyBorder="1" applyAlignment="1">
      <alignment horizontal="center"/>
    </xf>
    <xf numFmtId="0" fontId="9" fillId="0" borderId="7" xfId="0" applyFont="1" applyBorder="1" applyAlignment="1">
      <alignment horizontal="left" indent="1"/>
    </xf>
    <xf numFmtId="185" fontId="9" fillId="0" borderId="23" xfId="0" applyNumberFormat="1" applyFont="1" applyBorder="1" applyAlignment="1"/>
    <xf numFmtId="185" fontId="9" fillId="0" borderId="3" xfId="0" applyNumberFormat="1" applyFont="1" applyBorder="1" applyAlignment="1"/>
    <xf numFmtId="185" fontId="9" fillId="0" borderId="22" xfId="0" applyNumberFormat="1" applyFont="1" applyBorder="1" applyAlignment="1"/>
    <xf numFmtId="185" fontId="9" fillId="0" borderId="79" xfId="0" applyNumberFormat="1" applyFont="1" applyBorder="1" applyAlignment="1"/>
    <xf numFmtId="185" fontId="9" fillId="0" borderId="7" xfId="0" applyNumberFormat="1" applyFont="1" applyBorder="1" applyAlignment="1"/>
    <xf numFmtId="38" fontId="0" fillId="14" borderId="79" xfId="0" applyNumberFormat="1" applyFill="1" applyBorder="1" applyAlignment="1"/>
    <xf numFmtId="179" fontId="0" fillId="14" borderId="7" xfId="0" applyNumberFormat="1" applyFill="1" applyBorder="1" applyAlignment="1"/>
    <xf numFmtId="9" fontId="75" fillId="0" borderId="9" xfId="0" applyNumberFormat="1" applyFont="1" applyBorder="1" applyAlignment="1">
      <alignment horizontal="center"/>
    </xf>
    <xf numFmtId="0" fontId="9" fillId="0" borderId="118" xfId="0" applyFont="1" applyBorder="1" applyAlignment="1">
      <alignment horizontal="left" indent="1"/>
    </xf>
    <xf numFmtId="185" fontId="9" fillId="0" borderId="88" xfId="0" applyNumberFormat="1" applyFont="1" applyBorder="1" applyAlignment="1"/>
    <xf numFmtId="185" fontId="9" fillId="0" borderId="9" xfId="0" applyNumberFormat="1" applyFont="1" applyBorder="1" applyAlignment="1"/>
    <xf numFmtId="185" fontId="9" fillId="0" borderId="89" xfId="0" applyNumberFormat="1" applyFont="1" applyBorder="1" applyAlignment="1"/>
    <xf numFmtId="185" fontId="9" fillId="0" borderId="90" xfId="0" applyNumberFormat="1" applyFont="1" applyBorder="1" applyAlignment="1"/>
    <xf numFmtId="185" fontId="9" fillId="0" borderId="118" xfId="0" applyNumberFormat="1" applyFont="1" applyBorder="1" applyAlignment="1"/>
    <xf numFmtId="38" fontId="0" fillId="14" borderId="90" xfId="0" applyNumberFormat="1" applyFill="1" applyBorder="1" applyAlignment="1"/>
    <xf numFmtId="179" fontId="0" fillId="14" borderId="118" xfId="0" applyNumberFormat="1" applyFill="1" applyBorder="1" applyAlignment="1"/>
    <xf numFmtId="9" fontId="75" fillId="0" borderId="3" xfId="0" applyNumberFormat="1" applyFont="1" applyBorder="1" applyAlignment="1">
      <alignment horizontal="center"/>
    </xf>
    <xf numFmtId="0" fontId="9" fillId="0" borderId="132" xfId="0" applyFont="1" applyBorder="1" applyAlignment="1">
      <alignment horizontal="left" indent="1"/>
    </xf>
    <xf numFmtId="185" fontId="9" fillId="0" borderId="128" xfId="0" applyNumberFormat="1" applyFont="1" applyBorder="1" applyAlignment="1"/>
    <xf numFmtId="185" fontId="9" fillId="0" borderId="4" xfId="0" applyNumberFormat="1" applyFont="1" applyBorder="1" applyAlignment="1"/>
    <xf numFmtId="185" fontId="9" fillId="0" borderId="129" xfId="0" applyNumberFormat="1" applyFont="1" applyBorder="1" applyAlignment="1"/>
    <xf numFmtId="185" fontId="9" fillId="0" borderId="149" xfId="0" applyNumberFormat="1" applyFont="1" applyBorder="1" applyAlignment="1"/>
    <xf numFmtId="185" fontId="9" fillId="0" borderId="132" xfId="0" applyNumberFormat="1" applyFont="1" applyBorder="1" applyAlignment="1"/>
    <xf numFmtId="38" fontId="0" fillId="14" borderId="149" xfId="0" applyNumberFormat="1" applyFill="1" applyBorder="1" applyAlignment="1"/>
    <xf numFmtId="179" fontId="0" fillId="14" borderId="132" xfId="0" applyNumberFormat="1" applyFill="1" applyBorder="1" applyAlignment="1"/>
    <xf numFmtId="9" fontId="75" fillId="0" borderId="4" xfId="0" applyNumberFormat="1" applyFont="1" applyBorder="1" applyAlignment="1">
      <alignment horizontal="center"/>
    </xf>
    <xf numFmtId="0" fontId="73" fillId="14" borderId="5" xfId="0" applyFont="1" applyFill="1" applyBorder="1" applyAlignment="1"/>
    <xf numFmtId="0" fontId="9" fillId="14" borderId="42" xfId="0" applyFont="1" applyFill="1" applyBorder="1" applyAlignment="1">
      <alignment horizontal="left"/>
    </xf>
    <xf numFmtId="185" fontId="9" fillId="14" borderId="35" xfId="0" applyNumberFormat="1" applyFont="1" applyFill="1" applyBorder="1" applyAlignment="1"/>
    <xf numFmtId="185" fontId="9" fillId="14" borderId="5" xfId="0" applyNumberFormat="1" applyFont="1" applyFill="1" applyBorder="1" applyAlignment="1"/>
    <xf numFmtId="185" fontId="9" fillId="14" borderId="47" xfId="0" applyNumberFormat="1" applyFont="1" applyFill="1" applyBorder="1" applyAlignment="1"/>
    <xf numFmtId="185" fontId="9" fillId="14" borderId="56" xfId="0" applyNumberFormat="1" applyFont="1" applyFill="1" applyBorder="1" applyAlignment="1"/>
    <xf numFmtId="185" fontId="9" fillId="14" borderId="42" xfId="0" applyNumberFormat="1" applyFont="1" applyFill="1" applyBorder="1" applyAlignment="1"/>
    <xf numFmtId="9" fontId="75" fillId="14" borderId="5" xfId="0" applyNumberFormat="1" applyFont="1" applyFill="1" applyBorder="1" applyAlignment="1">
      <alignment horizontal="center"/>
    </xf>
    <xf numFmtId="0" fontId="9" fillId="0" borderId="0" xfId="0" applyFont="1" applyAlignment="1"/>
    <xf numFmtId="9" fontId="75" fillId="0" borderId="0" xfId="0" applyNumberFormat="1" applyFont="1" applyAlignment="1">
      <alignment horizontal="center"/>
    </xf>
    <xf numFmtId="0" fontId="76" fillId="15" borderId="28" xfId="0" applyFont="1" applyFill="1" applyBorder="1" applyAlignment="1"/>
    <xf numFmtId="0" fontId="76" fillId="13" borderId="28" xfId="0" applyFont="1" applyFill="1" applyBorder="1" applyAlignment="1"/>
    <xf numFmtId="188" fontId="76" fillId="16" borderId="28" xfId="0" applyNumberFormat="1" applyFont="1" applyFill="1" applyBorder="1" applyAlignment="1">
      <alignment wrapText="1"/>
    </xf>
    <xf numFmtId="188" fontId="76" fillId="15" borderId="28" xfId="0" applyNumberFormat="1" applyFont="1" applyFill="1" applyBorder="1" applyAlignment="1"/>
    <xf numFmtId="0" fontId="76" fillId="0" borderId="3" xfId="0" applyFont="1" applyBorder="1" applyAlignment="1"/>
    <xf numFmtId="0" fontId="73" fillId="0" borderId="3" xfId="0" applyFont="1" applyBorder="1" applyAlignment="1"/>
    <xf numFmtId="38" fontId="73" fillId="0" borderId="3" xfId="0" applyNumberFormat="1" applyFont="1" applyBorder="1" applyAlignment="1"/>
    <xf numFmtId="38" fontId="0" fillId="0" borderId="3" xfId="0" applyNumberFormat="1" applyBorder="1" applyAlignment="1"/>
    <xf numFmtId="38" fontId="0" fillId="0" borderId="9" xfId="0" applyNumberFormat="1" applyBorder="1" applyAlignment="1"/>
    <xf numFmtId="188" fontId="0" fillId="17" borderId="2" xfId="0" applyNumberFormat="1" applyFill="1" applyBorder="1" applyAlignment="1"/>
    <xf numFmtId="187" fontId="73" fillId="0" borderId="0" xfId="0" applyNumberFormat="1" applyFont="1" applyAlignment="1"/>
    <xf numFmtId="0" fontId="76" fillId="0" borderId="9" xfId="0" applyFont="1" applyBorder="1" applyAlignment="1"/>
    <xf numFmtId="0" fontId="73" fillId="0" borderId="9" xfId="0" applyFont="1" applyBorder="1" applyAlignment="1"/>
    <xf numFmtId="38" fontId="73" fillId="0" borderId="9" xfId="0" applyNumberFormat="1" applyFont="1" applyBorder="1" applyAlignment="1"/>
    <xf numFmtId="188" fontId="0" fillId="17" borderId="3" xfId="0" applyNumberFormat="1" applyFill="1" applyBorder="1" applyAlignment="1"/>
    <xf numFmtId="0" fontId="76" fillId="0" borderId="4" xfId="0" applyFont="1" applyBorder="1" applyAlignment="1"/>
    <xf numFmtId="0" fontId="73" fillId="0" borderId="4" xfId="0" applyFont="1" applyBorder="1" applyAlignment="1"/>
    <xf numFmtId="38" fontId="73" fillId="0" borderId="4" xfId="0" applyNumberFormat="1" applyFont="1" applyBorder="1" applyAlignment="1"/>
    <xf numFmtId="38" fontId="0" fillId="0" borderId="4" xfId="0" applyNumberFormat="1" applyBorder="1" applyAlignment="1"/>
    <xf numFmtId="188" fontId="0" fillId="17" borderId="4" xfId="0" applyNumberFormat="1" applyFill="1" applyBorder="1" applyAlignment="1"/>
    <xf numFmtId="0" fontId="76" fillId="15" borderId="5" xfId="0" applyFont="1" applyFill="1" applyBorder="1" applyAlignment="1"/>
    <xf numFmtId="38" fontId="77" fillId="15" borderId="5" xfId="0" applyNumberFormat="1" applyFont="1" applyFill="1" applyBorder="1" applyAlignment="1"/>
    <xf numFmtId="188" fontId="77" fillId="16" borderId="5" xfId="0" applyNumberFormat="1" applyFont="1" applyFill="1" applyBorder="1" applyAlignment="1"/>
    <xf numFmtId="43" fontId="73" fillId="0" borderId="0" xfId="0" applyNumberFormat="1" applyFont="1" applyAlignment="1"/>
    <xf numFmtId="38" fontId="8" fillId="0" borderId="0" xfId="0" applyNumberFormat="1" applyFont="1" applyAlignment="1"/>
    <xf numFmtId="0" fontId="78" fillId="3" borderId="3" xfId="0" applyFont="1" applyFill="1" applyBorder="1" applyAlignment="1">
      <alignment horizontal="left" vertical="center"/>
    </xf>
    <xf numFmtId="43" fontId="24" fillId="3" borderId="3" xfId="0" applyNumberFormat="1" applyFont="1" applyFill="1" applyBorder="1">
      <alignment vertical="center"/>
    </xf>
    <xf numFmtId="0" fontId="79" fillId="3" borderId="3" xfId="0" applyFont="1" applyFill="1" applyBorder="1" applyAlignment="1">
      <alignment horizontal="left" vertical="center"/>
    </xf>
    <xf numFmtId="188" fontId="79" fillId="3" borderId="3" xfId="0" applyNumberFormat="1" applyFont="1" applyFill="1" applyBorder="1" applyAlignment="1">
      <alignment horizontal="left" vertical="center"/>
    </xf>
    <xf numFmtId="0" fontId="0" fillId="18" borderId="28" xfId="0" applyFill="1" applyBorder="1">
      <alignment vertical="center"/>
    </xf>
    <xf numFmtId="0" fontId="73" fillId="18" borderId="28" xfId="0" applyFont="1" applyFill="1" applyBorder="1" applyAlignment="1"/>
    <xf numFmtId="0" fontId="0" fillId="0" borderId="9" xfId="0" applyBorder="1">
      <alignment vertical="center"/>
    </xf>
    <xf numFmtId="187" fontId="0" fillId="0" borderId="9" xfId="0" applyNumberFormat="1" applyBorder="1">
      <alignment vertical="center"/>
    </xf>
    <xf numFmtId="188" fontId="73" fillId="0" borderId="9" xfId="0" applyNumberFormat="1" applyFont="1" applyBorder="1" applyAlignment="1"/>
    <xf numFmtId="0" fontId="0" fillId="0" borderId="3" xfId="0" applyBorder="1">
      <alignment vertical="center"/>
    </xf>
    <xf numFmtId="187" fontId="0" fillId="0" borderId="3" xfId="0" applyNumberFormat="1" applyBorder="1">
      <alignment vertical="center"/>
    </xf>
    <xf numFmtId="43" fontId="78" fillId="3" borderId="3" xfId="0" applyNumberFormat="1" applyFont="1" applyFill="1" applyBorder="1" applyAlignment="1">
      <alignment horizontal="left" vertical="center"/>
    </xf>
    <xf numFmtId="0" fontId="0" fillId="0" borderId="4" xfId="0" applyBorder="1">
      <alignment vertical="center"/>
    </xf>
    <xf numFmtId="187" fontId="0" fillId="0" borderId="4" xfId="0" applyNumberFormat="1" applyBorder="1">
      <alignment vertical="center"/>
    </xf>
    <xf numFmtId="0" fontId="78" fillId="3" borderId="4" xfId="0" applyFont="1" applyFill="1" applyBorder="1" applyAlignment="1">
      <alignment horizontal="left" vertical="center"/>
    </xf>
    <xf numFmtId="43" fontId="24" fillId="3" borderId="4" xfId="0" applyNumberFormat="1" applyFont="1" applyFill="1" applyBorder="1">
      <alignment vertical="center"/>
    </xf>
    <xf numFmtId="0" fontId="79" fillId="3" borderId="4" xfId="0" applyFont="1" applyFill="1" applyBorder="1" applyAlignment="1">
      <alignment horizontal="left" vertical="center"/>
    </xf>
    <xf numFmtId="188" fontId="79" fillId="3" borderId="4" xfId="0" applyNumberFormat="1" applyFont="1" applyFill="1" applyBorder="1" applyAlignment="1">
      <alignment horizontal="left" vertical="center"/>
    </xf>
    <xf numFmtId="41" fontId="14" fillId="3" borderId="26" xfId="0" applyNumberFormat="1" applyFont="1" applyFill="1" applyBorder="1">
      <alignment vertical="center"/>
    </xf>
    <xf numFmtId="41" fontId="14" fillId="3" borderId="25" xfId="0" applyNumberFormat="1" applyFont="1" applyFill="1" applyBorder="1">
      <alignment vertical="center"/>
    </xf>
    <xf numFmtId="41" fontId="14" fillId="3" borderId="50" xfId="0" applyNumberFormat="1" applyFont="1" applyFill="1" applyBorder="1">
      <alignment vertical="center"/>
    </xf>
    <xf numFmtId="41" fontId="14" fillId="3" borderId="72" xfId="0" applyNumberFormat="1" applyFont="1" applyFill="1" applyBorder="1">
      <alignment vertical="center"/>
    </xf>
    <xf numFmtId="41" fontId="14" fillId="3" borderId="71" xfId="0" applyNumberFormat="1" applyFont="1" applyFill="1" applyBorder="1">
      <alignment vertical="center"/>
    </xf>
    <xf numFmtId="41" fontId="14" fillId="3" borderId="85" xfId="0" applyNumberFormat="1" applyFont="1" applyFill="1" applyBorder="1">
      <alignment vertical="center"/>
    </xf>
    <xf numFmtId="187" fontId="59" fillId="0" borderId="0" xfId="0" applyNumberFormat="1" applyFont="1">
      <alignment vertical="center"/>
    </xf>
    <xf numFmtId="179" fontId="73" fillId="0" borderId="0" xfId="0" applyNumberFormat="1" applyFont="1" applyAlignment="1"/>
    <xf numFmtId="38" fontId="69" fillId="3" borderId="0" xfId="0" applyNumberFormat="1" applyFont="1" applyFill="1">
      <alignment vertical="center"/>
    </xf>
    <xf numFmtId="0" fontId="16" fillId="4" borderId="55" xfId="0" applyFont="1" applyFill="1" applyBorder="1">
      <alignment vertical="center"/>
    </xf>
    <xf numFmtId="41" fontId="13" fillId="4" borderId="6" xfId="0" applyNumberFormat="1" applyFont="1" applyFill="1" applyBorder="1" applyAlignment="1">
      <alignment horizontal="left" vertical="center"/>
    </xf>
    <xf numFmtId="41" fontId="12" fillId="4" borderId="28" xfId="0" applyNumberFormat="1" applyFont="1" applyFill="1" applyBorder="1" applyAlignment="1">
      <alignment horizontal="center" vertical="center"/>
    </xf>
    <xf numFmtId="41" fontId="12" fillId="4" borderId="48" xfId="0" applyNumberFormat="1" applyFont="1" applyFill="1" applyBorder="1" applyAlignment="1">
      <alignment horizontal="center" vertical="center"/>
    </xf>
    <xf numFmtId="41" fontId="16" fillId="4" borderId="62" xfId="0" applyNumberFormat="1" applyFont="1" applyFill="1" applyBorder="1">
      <alignment vertical="center"/>
    </xf>
    <xf numFmtId="41" fontId="16" fillId="4" borderId="83" xfId="0" applyNumberFormat="1" applyFont="1" applyFill="1" applyBorder="1">
      <alignment vertical="center"/>
    </xf>
    <xf numFmtId="41" fontId="16" fillId="4" borderId="6" xfId="0" applyNumberFormat="1" applyFont="1" applyFill="1" applyBorder="1">
      <alignment vertical="center"/>
    </xf>
    <xf numFmtId="41" fontId="14" fillId="4" borderId="69" xfId="0" applyNumberFormat="1" applyFont="1" applyFill="1" applyBorder="1">
      <alignment vertical="center"/>
    </xf>
    <xf numFmtId="0" fontId="16" fillId="4" borderId="19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188" fontId="73" fillId="0" borderId="4" xfId="0" applyNumberFormat="1" applyFont="1" applyBorder="1" applyAlignment="1"/>
    <xf numFmtId="188" fontId="0" fillId="19" borderId="9" xfId="0" applyNumberFormat="1" applyFill="1" applyBorder="1" applyAlignment="1"/>
    <xf numFmtId="188" fontId="0" fillId="19" borderId="3" xfId="0" applyNumberFormat="1" applyFill="1" applyBorder="1" applyAlignment="1"/>
    <xf numFmtId="188" fontId="0" fillId="19" borderId="4" xfId="0" applyNumberFormat="1" applyFill="1" applyBorder="1" applyAlignment="1"/>
    <xf numFmtId="0" fontId="73" fillId="19" borderId="28" xfId="0" applyFont="1" applyFill="1" applyBorder="1" applyAlignment="1">
      <alignment horizontal="center" vertical="center" wrapText="1"/>
    </xf>
    <xf numFmtId="0" fontId="73" fillId="19" borderId="28" xfId="0" applyFont="1" applyFill="1" applyBorder="1">
      <alignment vertical="center"/>
    </xf>
    <xf numFmtId="188" fontId="73" fillId="19" borderId="9" xfId="0" applyNumberFormat="1" applyFont="1" applyFill="1" applyBorder="1" applyAlignment="1"/>
    <xf numFmtId="188" fontId="73" fillId="19" borderId="3" xfId="0" applyNumberFormat="1" applyFont="1" applyFill="1" applyBorder="1" applyAlignment="1"/>
    <xf numFmtId="188" fontId="73" fillId="19" borderId="4" xfId="0" applyNumberFormat="1" applyFont="1" applyFill="1" applyBorder="1" applyAlignment="1"/>
    <xf numFmtId="0" fontId="73" fillId="19" borderId="153" xfId="0" applyFont="1" applyFill="1" applyBorder="1" applyAlignment="1">
      <alignment horizontal="centerContinuous" vertical="center" wrapText="1"/>
    </xf>
    <xf numFmtId="0" fontId="73" fillId="19" borderId="102" xfId="0" applyFont="1" applyFill="1" applyBorder="1" applyAlignment="1">
      <alignment horizontal="centerContinuous" vertical="center"/>
    </xf>
    <xf numFmtId="0" fontId="73" fillId="19" borderId="154" xfId="0" applyFont="1" applyFill="1" applyBorder="1" applyAlignment="1">
      <alignment horizontal="centerContinuous"/>
    </xf>
    <xf numFmtId="9" fontId="75" fillId="19" borderId="104" xfId="0" applyNumberFormat="1" applyFont="1" applyFill="1" applyBorder="1" applyAlignment="1">
      <alignment horizontal="centerContinuous"/>
    </xf>
    <xf numFmtId="0" fontId="73" fillId="19" borderId="155" xfId="0" applyFont="1" applyFill="1" applyBorder="1" applyAlignment="1">
      <alignment horizontal="centerContinuous"/>
    </xf>
    <xf numFmtId="0" fontId="73" fillId="19" borderId="145" xfId="0" applyFont="1" applyFill="1" applyBorder="1" applyAlignment="1">
      <alignment horizontal="center" vertical="center" wrapText="1"/>
    </xf>
    <xf numFmtId="38" fontId="0" fillId="19" borderId="140" xfId="0" applyNumberFormat="1" applyFill="1" applyBorder="1" applyAlignment="1"/>
    <xf numFmtId="38" fontId="0" fillId="19" borderId="138" xfId="0" applyNumberFormat="1" applyFill="1" applyBorder="1" applyAlignment="1"/>
    <xf numFmtId="38" fontId="0" fillId="19" borderId="157" xfId="0" applyNumberFormat="1" applyFill="1" applyBorder="1" applyAlignment="1"/>
    <xf numFmtId="43" fontId="77" fillId="20" borderId="143" xfId="0" applyNumberFormat="1" applyFont="1" applyFill="1" applyBorder="1" applyAlignment="1"/>
    <xf numFmtId="188" fontId="77" fillId="20" borderId="95" xfId="0" applyNumberFormat="1" applyFont="1" applyFill="1" applyBorder="1" applyAlignment="1"/>
    <xf numFmtId="0" fontId="77" fillId="17" borderId="28" xfId="0" applyFont="1" applyFill="1" applyBorder="1" applyAlignment="1">
      <alignment vertical="center" wrapText="1"/>
    </xf>
    <xf numFmtId="0" fontId="77" fillId="17" borderId="146" xfId="0" applyFont="1" applyFill="1" applyBorder="1" applyAlignment="1">
      <alignment vertical="center" wrapText="1"/>
    </xf>
    <xf numFmtId="188" fontId="73" fillId="17" borderId="2" xfId="0" applyNumberFormat="1" applyFont="1" applyFill="1" applyBorder="1" applyAlignment="1"/>
    <xf numFmtId="188" fontId="75" fillId="17" borderId="2" xfId="0" applyNumberFormat="1" applyFont="1" applyFill="1" applyBorder="1" applyAlignment="1">
      <alignment horizontal="center"/>
    </xf>
    <xf numFmtId="188" fontId="73" fillId="17" borderId="156" xfId="0" applyNumberFormat="1" applyFont="1" applyFill="1" applyBorder="1" applyAlignment="1"/>
    <xf numFmtId="188" fontId="73" fillId="17" borderId="3" xfId="0" applyNumberFormat="1" applyFont="1" applyFill="1" applyBorder="1" applyAlignment="1"/>
    <xf numFmtId="188" fontId="75" fillId="17" borderId="3" xfId="0" applyNumberFormat="1" applyFont="1" applyFill="1" applyBorder="1" applyAlignment="1">
      <alignment horizontal="center"/>
    </xf>
    <xf numFmtId="188" fontId="73" fillId="17" borderId="137" xfId="0" applyNumberFormat="1" applyFont="1" applyFill="1" applyBorder="1" applyAlignment="1"/>
    <xf numFmtId="188" fontId="73" fillId="17" borderId="4" xfId="0" applyNumberFormat="1" applyFont="1" applyFill="1" applyBorder="1" applyAlignment="1"/>
    <xf numFmtId="188" fontId="73" fillId="17" borderId="158" xfId="0" applyNumberFormat="1" applyFont="1" applyFill="1" applyBorder="1" applyAlignment="1"/>
    <xf numFmtId="188" fontId="77" fillId="16" borderId="95" xfId="0" applyNumberFormat="1" applyFont="1" applyFill="1" applyBorder="1" applyAlignment="1"/>
    <xf numFmtId="188" fontId="77" fillId="16" borderId="142" xfId="0" applyNumberFormat="1" applyFont="1" applyFill="1" applyBorder="1" applyAlignment="1"/>
    <xf numFmtId="195" fontId="13" fillId="4" borderId="63" xfId="0" applyNumberFormat="1" applyFont="1" applyFill="1" applyBorder="1" applyAlignment="1">
      <alignment horizontal="center" vertical="center"/>
    </xf>
    <xf numFmtId="195" fontId="12" fillId="4" borderId="63" xfId="0" applyNumberFormat="1" applyFont="1" applyFill="1" applyBorder="1">
      <alignment vertical="center"/>
    </xf>
    <xf numFmtId="41" fontId="16" fillId="13" borderId="12" xfId="0" applyNumberFormat="1" applyFont="1" applyFill="1" applyBorder="1">
      <alignment vertical="center"/>
    </xf>
    <xf numFmtId="41" fontId="16" fillId="13" borderId="28" xfId="0" applyNumberFormat="1" applyFont="1" applyFill="1" applyBorder="1">
      <alignment vertical="center"/>
    </xf>
    <xf numFmtId="41" fontId="16" fillId="13" borderId="33" xfId="0" applyNumberFormat="1" applyFont="1" applyFill="1" applyBorder="1">
      <alignment vertical="center"/>
    </xf>
    <xf numFmtId="0" fontId="81" fillId="0" borderId="0" xfId="0" applyFont="1" applyAlignment="1"/>
    <xf numFmtId="38" fontId="25" fillId="0" borderId="9" xfId="0" applyNumberFormat="1" applyFont="1" applyBorder="1" applyAlignment="1"/>
    <xf numFmtId="38" fontId="25" fillId="0" borderId="4" xfId="0" applyNumberFormat="1" applyFont="1" applyBorder="1" applyAlignment="1"/>
    <xf numFmtId="38" fontId="25" fillId="0" borderId="3" xfId="0" applyNumberFormat="1" applyFont="1" applyBorder="1" applyAlignment="1"/>
    <xf numFmtId="38" fontId="76" fillId="15" borderId="5" xfId="0" applyNumberFormat="1" applyFont="1" applyFill="1" applyBorder="1" applyAlignment="1"/>
    <xf numFmtId="179" fontId="82" fillId="0" borderId="0" xfId="0" applyNumberFormat="1" applyFont="1" applyAlignment="1"/>
    <xf numFmtId="9" fontId="82" fillId="0" borderId="48" xfId="0" applyNumberFormat="1" applyFont="1" applyBorder="1" applyAlignment="1">
      <alignment horizontal="center" wrapText="1"/>
    </xf>
    <xf numFmtId="188" fontId="25" fillId="0" borderId="2" xfId="0" applyNumberFormat="1" applyFont="1" applyBorder="1" applyAlignment="1"/>
    <xf numFmtId="9" fontId="82" fillId="0" borderId="152" xfId="0" applyNumberFormat="1" applyFont="1" applyBorder="1" applyAlignment="1"/>
    <xf numFmtId="188" fontId="25" fillId="0" borderId="3" xfId="0" applyNumberFormat="1" applyFont="1" applyBorder="1" applyAlignment="1"/>
    <xf numFmtId="9" fontId="82" fillId="0" borderId="7" xfId="0" applyNumberFormat="1" applyFont="1" applyBorder="1" applyAlignment="1"/>
    <xf numFmtId="188" fontId="25" fillId="0" borderId="4" xfId="0" applyNumberFormat="1" applyFont="1" applyBorder="1" applyAlignment="1"/>
    <xf numFmtId="9" fontId="82" fillId="0" borderId="132" xfId="0" applyNumberFormat="1" applyFont="1" applyBorder="1" applyAlignment="1"/>
    <xf numFmtId="188" fontId="76" fillId="15" borderId="5" xfId="0" applyNumberFormat="1" applyFont="1" applyFill="1" applyBorder="1" applyAlignment="1"/>
    <xf numFmtId="38" fontId="76" fillId="15" borderId="42" xfId="0" applyNumberFormat="1" applyFont="1" applyFill="1" applyBorder="1" applyAlignment="1"/>
    <xf numFmtId="0" fontId="82" fillId="0" borderId="0" xfId="0" applyFont="1" applyAlignment="1"/>
    <xf numFmtId="0" fontId="83" fillId="0" borderId="0" xfId="0" applyFont="1" applyAlignment="1"/>
    <xf numFmtId="185" fontId="14" fillId="3" borderId="1" xfId="0" applyNumberFormat="1" applyFont="1" applyFill="1" applyBorder="1">
      <alignment vertical="center"/>
    </xf>
    <xf numFmtId="185" fontId="14" fillId="3" borderId="69" xfId="0" applyNumberFormat="1" applyFont="1" applyFill="1" applyBorder="1">
      <alignment vertical="center"/>
    </xf>
    <xf numFmtId="185" fontId="14" fillId="3" borderId="55" xfId="0" applyNumberFormat="1" applyFont="1" applyFill="1" applyBorder="1">
      <alignment vertical="center"/>
    </xf>
    <xf numFmtId="0" fontId="20" fillId="4" borderId="77" xfId="0" applyFont="1" applyFill="1" applyBorder="1" applyAlignment="1">
      <alignment horizontal="center" vertical="center"/>
    </xf>
    <xf numFmtId="0" fontId="20" fillId="4" borderId="4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41" fontId="12" fillId="3" borderId="0" xfId="0" applyNumberFormat="1" applyFont="1" applyFill="1" applyAlignment="1">
      <alignment horizontal="center" vertical="center"/>
    </xf>
    <xf numFmtId="41" fontId="12" fillId="3" borderId="58" xfId="0" applyNumberFormat="1" applyFont="1" applyFill="1" applyBorder="1">
      <alignment vertical="center"/>
    </xf>
    <xf numFmtId="41" fontId="12" fillId="3" borderId="27" xfId="0" applyNumberFormat="1" applyFont="1" applyFill="1" applyBorder="1">
      <alignment vertical="center"/>
    </xf>
    <xf numFmtId="41" fontId="12" fillId="3" borderId="60" xfId="0" applyNumberFormat="1" applyFont="1" applyFill="1" applyBorder="1">
      <alignment vertical="center"/>
    </xf>
    <xf numFmtId="41" fontId="12" fillId="4" borderId="60" xfId="0" applyNumberFormat="1" applyFont="1" applyFill="1" applyBorder="1">
      <alignment vertical="center"/>
    </xf>
    <xf numFmtId="41" fontId="12" fillId="4" borderId="69" xfId="0" applyNumberFormat="1" applyFont="1" applyFill="1" applyBorder="1">
      <alignment vertical="center"/>
    </xf>
    <xf numFmtId="41" fontId="12" fillId="3" borderId="10" xfId="0" applyNumberFormat="1" applyFont="1" applyFill="1" applyBorder="1">
      <alignment vertical="center"/>
    </xf>
    <xf numFmtId="187" fontId="12" fillId="3" borderId="55" xfId="0" applyNumberFormat="1" applyFont="1" applyFill="1" applyBorder="1">
      <alignment vertical="center"/>
    </xf>
    <xf numFmtId="0" fontId="13" fillId="4" borderId="112" xfId="0" applyFont="1" applyFill="1" applyBorder="1" applyAlignment="1">
      <alignment horizontal="center" vertical="center" wrapText="1"/>
    </xf>
    <xf numFmtId="41" fontId="12" fillId="4" borderId="1" xfId="0" applyNumberFormat="1" applyFont="1" applyFill="1" applyBorder="1" applyAlignment="1">
      <alignment horizontal="left" vertical="center"/>
    </xf>
    <xf numFmtId="41" fontId="12" fillId="4" borderId="61" xfId="0" applyNumberFormat="1" applyFont="1" applyFill="1" applyBorder="1" applyAlignment="1">
      <alignment horizontal="left" vertical="center"/>
    </xf>
    <xf numFmtId="41" fontId="13" fillId="4" borderId="15" xfId="0" applyNumberFormat="1" applyFont="1" applyFill="1" applyBorder="1">
      <alignment vertical="center"/>
    </xf>
    <xf numFmtId="41" fontId="12" fillId="4" borderId="27" xfId="0" applyNumberFormat="1" applyFont="1" applyFill="1" applyBorder="1" applyAlignment="1">
      <alignment horizontal="left" vertical="center"/>
    </xf>
    <xf numFmtId="187" fontId="0" fillId="0" borderId="5" xfId="0" applyNumberFormat="1" applyBorder="1">
      <alignment vertical="center"/>
    </xf>
    <xf numFmtId="0" fontId="73" fillId="0" borderId="5" xfId="0" applyFont="1" applyBorder="1" applyAlignment="1"/>
    <xf numFmtId="43" fontId="0" fillId="0" borderId="5" xfId="0" applyNumberFormat="1" applyBorder="1">
      <alignment vertical="center"/>
    </xf>
    <xf numFmtId="188" fontId="0" fillId="0" borderId="9" xfId="0" applyNumberFormat="1" applyBorder="1">
      <alignment vertical="center"/>
    </xf>
    <xf numFmtId="188" fontId="0" fillId="0" borderId="3" xfId="0" applyNumberFormat="1" applyBorder="1">
      <alignment vertical="center"/>
    </xf>
    <xf numFmtId="188" fontId="0" fillId="0" borderId="4" xfId="0" applyNumberFormat="1" applyBorder="1">
      <alignment vertical="center"/>
    </xf>
    <xf numFmtId="188" fontId="0" fillId="0" borderId="5" xfId="0" applyNumberFormat="1" applyBorder="1">
      <alignment vertical="center"/>
    </xf>
    <xf numFmtId="206" fontId="17" fillId="3" borderId="28" xfId="0" applyNumberFormat="1" applyFont="1" applyFill="1" applyBorder="1" applyAlignment="1">
      <alignment horizontal="left" vertical="center" shrinkToFit="1"/>
    </xf>
    <xf numFmtId="205" fontId="17" fillId="3" borderId="28" xfId="0" applyNumberFormat="1" applyFont="1" applyFill="1" applyBorder="1" applyAlignment="1">
      <alignment horizontal="left" vertical="center" shrinkToFit="1"/>
    </xf>
    <xf numFmtId="202" fontId="17" fillId="3" borderId="28" xfId="0" applyNumberFormat="1" applyFont="1" applyFill="1" applyBorder="1" applyAlignment="1">
      <alignment horizontal="left" vertical="center" shrinkToFit="1"/>
    </xf>
    <xf numFmtId="204" fontId="17" fillId="3" borderId="28" xfId="0" applyNumberFormat="1" applyFont="1" applyFill="1" applyBorder="1" applyAlignment="1">
      <alignment horizontal="left" vertical="center" shrinkToFit="1"/>
    </xf>
    <xf numFmtId="203" fontId="17" fillId="3" borderId="28" xfId="0" applyNumberFormat="1" applyFont="1" applyFill="1" applyBorder="1" applyAlignment="1">
      <alignment horizontal="left" vertical="center" shrinkToFit="1"/>
    </xf>
    <xf numFmtId="194" fontId="14" fillId="4" borderId="27" xfId="0" applyNumberFormat="1" applyFont="1" applyFill="1" applyBorder="1">
      <alignment vertical="center"/>
    </xf>
    <xf numFmtId="194" fontId="14" fillId="4" borderId="1" xfId="0" applyNumberFormat="1" applyFont="1" applyFill="1" applyBorder="1">
      <alignment vertical="center"/>
    </xf>
    <xf numFmtId="194" fontId="16" fillId="4" borderId="28" xfId="0" applyNumberFormat="1" applyFont="1" applyFill="1" applyBorder="1" applyAlignment="1">
      <alignment horizontal="center" vertical="center"/>
    </xf>
    <xf numFmtId="194" fontId="16" fillId="4" borderId="63" xfId="0" applyNumberFormat="1" applyFont="1" applyFill="1" applyBorder="1" applyAlignment="1">
      <alignment horizontal="center" vertical="center"/>
    </xf>
    <xf numFmtId="194" fontId="14" fillId="4" borderId="63" xfId="0" applyNumberFormat="1" applyFont="1" applyFill="1" applyBorder="1">
      <alignment vertical="center"/>
    </xf>
    <xf numFmtId="194" fontId="14" fillId="4" borderId="8" xfId="0" applyNumberFormat="1" applyFont="1" applyFill="1" applyBorder="1">
      <alignment vertical="center"/>
    </xf>
    <xf numFmtId="41" fontId="13" fillId="3" borderId="78" xfId="0" applyNumberFormat="1" applyFont="1" applyFill="1" applyBorder="1">
      <alignment vertical="center"/>
    </xf>
    <xf numFmtId="41" fontId="12" fillId="3" borderId="26" xfId="0" applyNumberFormat="1" applyFont="1" applyFill="1" applyBorder="1">
      <alignment vertical="center"/>
    </xf>
    <xf numFmtId="187" fontId="12" fillId="3" borderId="69" xfId="0" applyNumberFormat="1" applyFont="1" applyFill="1" applyBorder="1">
      <alignment vertical="center"/>
    </xf>
    <xf numFmtId="41" fontId="13" fillId="4" borderId="12" xfId="0" applyNumberFormat="1" applyFont="1" applyFill="1" applyBorder="1">
      <alignment vertical="center"/>
    </xf>
    <xf numFmtId="41" fontId="13" fillId="4" borderId="28" xfId="0" applyNumberFormat="1" applyFont="1" applyFill="1" applyBorder="1">
      <alignment vertical="center"/>
    </xf>
    <xf numFmtId="41" fontId="13" fillId="4" borderId="33" xfId="0" applyNumberFormat="1" applyFont="1" applyFill="1" applyBorder="1">
      <alignment vertical="center"/>
    </xf>
    <xf numFmtId="41" fontId="12" fillId="3" borderId="61" xfId="0" applyNumberFormat="1" applyFont="1" applyFill="1" applyBorder="1">
      <alignment vertical="center"/>
    </xf>
    <xf numFmtId="41" fontId="12" fillId="3" borderId="34" xfId="0" applyNumberFormat="1" applyFont="1" applyFill="1" applyBorder="1">
      <alignment vertical="center"/>
    </xf>
    <xf numFmtId="41" fontId="12" fillId="3" borderId="64" xfId="0" applyNumberFormat="1" applyFont="1" applyFill="1" applyBorder="1">
      <alignment vertical="center"/>
    </xf>
    <xf numFmtId="41" fontId="12" fillId="4" borderId="78" xfId="0" applyNumberFormat="1" applyFont="1" applyFill="1" applyBorder="1">
      <alignment vertical="center"/>
    </xf>
    <xf numFmtId="41" fontId="12" fillId="4" borderId="49" xfId="0" applyNumberFormat="1" applyFont="1" applyFill="1" applyBorder="1">
      <alignment vertical="center"/>
    </xf>
    <xf numFmtId="41" fontId="68" fillId="4" borderId="17" xfId="0" applyNumberFormat="1" applyFont="1" applyFill="1" applyBorder="1">
      <alignment vertical="center"/>
    </xf>
    <xf numFmtId="41" fontId="68" fillId="4" borderId="18" xfId="0" applyNumberFormat="1" applyFont="1" applyFill="1" applyBorder="1">
      <alignment vertical="center"/>
    </xf>
    <xf numFmtId="41" fontId="68" fillId="4" borderId="19" xfId="0" applyNumberFormat="1" applyFont="1" applyFill="1" applyBorder="1">
      <alignment vertical="center"/>
    </xf>
    <xf numFmtId="41" fontId="12" fillId="3" borderId="21" xfId="0" applyNumberFormat="1" applyFont="1" applyFill="1" applyBorder="1">
      <alignment vertical="center"/>
    </xf>
    <xf numFmtId="41" fontId="13" fillId="4" borderId="78" xfId="0" applyNumberFormat="1" applyFont="1" applyFill="1" applyBorder="1">
      <alignment vertical="center"/>
    </xf>
    <xf numFmtId="41" fontId="13" fillId="4" borderId="77" xfId="0" applyNumberFormat="1" applyFont="1" applyFill="1" applyBorder="1">
      <alignment vertical="center"/>
    </xf>
    <xf numFmtId="41" fontId="13" fillId="4" borderId="49" xfId="0" applyNumberFormat="1" applyFont="1" applyFill="1" applyBorder="1">
      <alignment vertical="center"/>
    </xf>
    <xf numFmtId="41" fontId="13" fillId="13" borderId="12" xfId="0" applyNumberFormat="1" applyFont="1" applyFill="1" applyBorder="1">
      <alignment vertical="center"/>
    </xf>
    <xf numFmtId="41" fontId="13" fillId="13" borderId="28" xfId="0" applyNumberFormat="1" applyFont="1" applyFill="1" applyBorder="1">
      <alignment vertical="center"/>
    </xf>
    <xf numFmtId="41" fontId="13" fillId="13" borderId="33" xfId="0" applyNumberFormat="1" applyFont="1" applyFill="1" applyBorder="1">
      <alignment vertical="center"/>
    </xf>
    <xf numFmtId="185" fontId="12" fillId="3" borderId="69" xfId="0" applyNumberFormat="1" applyFont="1" applyFill="1" applyBorder="1">
      <alignment vertical="center"/>
    </xf>
    <xf numFmtId="41" fontId="13" fillId="4" borderId="40" xfId="0" applyNumberFormat="1" applyFont="1" applyFill="1" applyBorder="1">
      <alignment vertical="center"/>
    </xf>
    <xf numFmtId="41" fontId="13" fillId="4" borderId="76" xfId="0" applyNumberFormat="1" applyFont="1" applyFill="1" applyBorder="1">
      <alignment vertical="center"/>
    </xf>
    <xf numFmtId="41" fontId="12" fillId="3" borderId="50" xfId="0" applyNumberFormat="1" applyFont="1" applyFill="1" applyBorder="1">
      <alignment vertical="center"/>
    </xf>
    <xf numFmtId="41" fontId="12" fillId="3" borderId="25" xfId="0" applyNumberFormat="1" applyFont="1" applyFill="1" applyBorder="1">
      <alignment vertical="center"/>
    </xf>
    <xf numFmtId="41" fontId="12" fillId="0" borderId="1" xfId="0" applyNumberFormat="1" applyFont="1" applyBorder="1">
      <alignment vertical="center"/>
    </xf>
    <xf numFmtId="41" fontId="12" fillId="3" borderId="24" xfId="0" applyNumberFormat="1" applyFont="1" applyFill="1" applyBorder="1">
      <alignment vertical="center"/>
    </xf>
    <xf numFmtId="41" fontId="13" fillId="4" borderId="72" xfId="0" applyNumberFormat="1" applyFont="1" applyFill="1" applyBorder="1">
      <alignment vertical="center"/>
    </xf>
    <xf numFmtId="41" fontId="13" fillId="4" borderId="64" xfId="0" applyNumberFormat="1" applyFont="1" applyFill="1" applyBorder="1">
      <alignment vertical="center"/>
    </xf>
    <xf numFmtId="41" fontId="13" fillId="4" borderId="71" xfId="0" applyNumberFormat="1" applyFont="1" applyFill="1" applyBorder="1">
      <alignment vertical="center"/>
    </xf>
    <xf numFmtId="41" fontId="12" fillId="0" borderId="85" xfId="0" applyNumberFormat="1" applyFont="1" applyBorder="1">
      <alignment vertical="center"/>
    </xf>
    <xf numFmtId="41" fontId="12" fillId="0" borderId="61" xfId="0" applyNumberFormat="1" applyFont="1" applyBorder="1">
      <alignment vertical="center"/>
    </xf>
    <xf numFmtId="41" fontId="12" fillId="3" borderId="72" xfId="0" applyNumberFormat="1" applyFont="1" applyFill="1" applyBorder="1">
      <alignment vertical="center"/>
    </xf>
    <xf numFmtId="41" fontId="12" fillId="3" borderId="71" xfId="0" applyNumberFormat="1" applyFont="1" applyFill="1" applyBorder="1">
      <alignment vertical="center"/>
    </xf>
    <xf numFmtId="185" fontId="12" fillId="0" borderId="38" xfId="0" applyNumberFormat="1" applyFont="1" applyBorder="1">
      <alignment vertical="center"/>
    </xf>
    <xf numFmtId="185" fontId="12" fillId="0" borderId="110" xfId="0" applyNumberFormat="1" applyFont="1" applyBorder="1">
      <alignment vertical="center"/>
    </xf>
    <xf numFmtId="41" fontId="13" fillId="4" borderId="56" xfId="0" applyNumberFormat="1" applyFont="1" applyFill="1" applyBorder="1">
      <alignment vertical="center"/>
    </xf>
    <xf numFmtId="41" fontId="13" fillId="4" borderId="107" xfId="0" applyNumberFormat="1" applyFont="1" applyFill="1" applyBorder="1">
      <alignment vertical="center"/>
    </xf>
    <xf numFmtId="41" fontId="13" fillId="4" borderId="62" xfId="0" applyNumberFormat="1" applyFont="1" applyFill="1" applyBorder="1">
      <alignment vertical="center"/>
    </xf>
    <xf numFmtId="41" fontId="13" fillId="4" borderId="83" xfId="0" applyNumberFormat="1" applyFont="1" applyFill="1" applyBorder="1">
      <alignment vertical="center"/>
    </xf>
    <xf numFmtId="181" fontId="12" fillId="3" borderId="65" xfId="0" applyNumberFormat="1" applyFont="1" applyFill="1" applyBorder="1" applyAlignment="1">
      <alignment horizontal="center" vertical="center"/>
    </xf>
    <xf numFmtId="41" fontId="12" fillId="3" borderId="8" xfId="0" applyNumberFormat="1" applyFont="1" applyFill="1" applyBorder="1">
      <alignment vertical="center"/>
    </xf>
    <xf numFmtId="41" fontId="13" fillId="4" borderId="20" xfId="0" applyNumberFormat="1" applyFont="1" applyFill="1" applyBorder="1">
      <alignment vertical="center"/>
    </xf>
    <xf numFmtId="41" fontId="12" fillId="0" borderId="55" xfId="0" applyNumberFormat="1" applyFont="1" applyBorder="1">
      <alignment vertical="center"/>
    </xf>
    <xf numFmtId="41" fontId="12" fillId="0" borderId="69" xfId="0" applyNumberFormat="1" applyFont="1" applyBorder="1">
      <alignment vertical="center"/>
    </xf>
    <xf numFmtId="187" fontId="12" fillId="0" borderId="69" xfId="0" applyNumberFormat="1" applyFont="1" applyBorder="1">
      <alignment vertical="center"/>
    </xf>
    <xf numFmtId="41" fontId="13" fillId="3" borderId="77" xfId="0" applyNumberFormat="1" applyFont="1" applyFill="1" applyBorder="1">
      <alignment vertical="center"/>
    </xf>
    <xf numFmtId="41" fontId="16" fillId="3" borderId="78" xfId="0" applyNumberFormat="1" applyFont="1" applyFill="1" applyBorder="1">
      <alignment vertical="center"/>
    </xf>
    <xf numFmtId="41" fontId="16" fillId="3" borderId="77" xfId="0" applyNumberFormat="1" applyFont="1" applyFill="1" applyBorder="1">
      <alignment vertical="center"/>
    </xf>
    <xf numFmtId="41" fontId="16" fillId="3" borderId="49" xfId="0" applyNumberFormat="1" applyFont="1" applyFill="1" applyBorder="1">
      <alignment vertical="center"/>
    </xf>
    <xf numFmtId="190" fontId="16" fillId="7" borderId="154" xfId="0" applyNumberFormat="1" applyFont="1" applyFill="1" applyBorder="1" applyAlignment="1">
      <alignment horizontal="center" vertical="center" wrapText="1"/>
    </xf>
    <xf numFmtId="0" fontId="69" fillId="0" borderId="0" xfId="0" applyFont="1" applyAlignment="1">
      <alignment horizontal="center" vertical="center"/>
    </xf>
    <xf numFmtId="190" fontId="16" fillId="7" borderId="170" xfId="0" applyNumberFormat="1" applyFont="1" applyFill="1" applyBorder="1" applyAlignment="1">
      <alignment horizontal="center" vertical="center"/>
    </xf>
    <xf numFmtId="17" fontId="16" fillId="7" borderId="62" xfId="0" applyNumberFormat="1" applyFont="1" applyFill="1" applyBorder="1" applyAlignment="1">
      <alignment horizontal="center" vertical="center"/>
    </xf>
    <xf numFmtId="17" fontId="16" fillId="7" borderId="28" xfId="0" applyNumberFormat="1" applyFont="1" applyFill="1" applyBorder="1" applyAlignment="1">
      <alignment horizontal="center" vertical="center"/>
    </xf>
    <xf numFmtId="188" fontId="16" fillId="9" borderId="146" xfId="0" applyNumberFormat="1" applyFont="1" applyFill="1" applyBorder="1" applyAlignment="1">
      <alignment horizontal="center" vertical="center"/>
    </xf>
    <xf numFmtId="17" fontId="16" fillId="8" borderId="145" xfId="0" applyNumberFormat="1" applyFont="1" applyFill="1" applyBorder="1" applyAlignment="1">
      <alignment horizontal="center" vertical="center"/>
    </xf>
    <xf numFmtId="17" fontId="16" fillId="8" borderId="28" xfId="0" applyNumberFormat="1" applyFont="1" applyFill="1" applyBorder="1" applyAlignment="1">
      <alignment horizontal="center" vertical="center"/>
    </xf>
    <xf numFmtId="188" fontId="16" fillId="5" borderId="146" xfId="0" applyNumberFormat="1" applyFont="1" applyFill="1" applyBorder="1" applyAlignment="1">
      <alignment horizontal="center" vertical="center"/>
    </xf>
    <xf numFmtId="17" fontId="16" fillId="7" borderId="145" xfId="0" applyNumberFormat="1" applyFont="1" applyFill="1" applyBorder="1" applyAlignment="1">
      <alignment horizontal="center" vertical="center"/>
    </xf>
    <xf numFmtId="17" fontId="16" fillId="8" borderId="62" xfId="0" applyNumberFormat="1" applyFont="1" applyFill="1" applyBorder="1" applyAlignment="1">
      <alignment horizontal="center" vertical="center"/>
    </xf>
    <xf numFmtId="188" fontId="16" fillId="5" borderId="48" xfId="0" applyNumberFormat="1" applyFont="1" applyFill="1" applyBorder="1" applyAlignment="1">
      <alignment horizontal="center" vertical="center"/>
    </xf>
    <xf numFmtId="0" fontId="16" fillId="0" borderId="171" xfId="0" applyFont="1" applyBorder="1" applyAlignment="1">
      <alignment horizontal="center" vertical="center" wrapText="1"/>
    </xf>
    <xf numFmtId="0" fontId="14" fillId="0" borderId="2" xfId="0" applyFont="1" applyBorder="1">
      <alignment vertical="center"/>
    </xf>
    <xf numFmtId="191" fontId="14" fillId="0" borderId="156" xfId="0" applyNumberFormat="1" applyFont="1" applyBorder="1" applyAlignment="1"/>
    <xf numFmtId="190" fontId="14" fillId="0" borderId="118" xfId="0" applyNumberFormat="1" applyFont="1" applyBorder="1" applyAlignment="1">
      <alignment horizontal="center"/>
    </xf>
    <xf numFmtId="190" fontId="14" fillId="0" borderId="172" xfId="0" applyNumberFormat="1" applyFont="1" applyBorder="1" applyAlignment="1">
      <alignment horizontal="center"/>
    </xf>
    <xf numFmtId="178" fontId="16" fillId="9" borderId="134" xfId="0" applyNumberFormat="1" applyFont="1" applyFill="1" applyBorder="1" applyAlignment="1">
      <alignment horizontal="center" vertical="center"/>
    </xf>
    <xf numFmtId="188" fontId="14" fillId="8" borderId="138" xfId="0" applyNumberFormat="1" applyFont="1" applyFill="1" applyBorder="1" applyAlignment="1">
      <alignment horizontal="center" vertical="center"/>
    </xf>
    <xf numFmtId="188" fontId="16" fillId="5" borderId="134" xfId="0" applyNumberFormat="1" applyFont="1" applyFill="1" applyBorder="1" applyAlignment="1">
      <alignment horizontal="center" vertical="center"/>
    </xf>
    <xf numFmtId="41" fontId="63" fillId="7" borderId="173" xfId="0" applyNumberFormat="1" applyFont="1" applyFill="1" applyBorder="1" applyAlignment="1">
      <alignment horizontal="center" vertical="center"/>
    </xf>
    <xf numFmtId="41" fontId="63" fillId="7" borderId="2" xfId="0" applyNumberFormat="1" applyFont="1" applyFill="1" applyBorder="1" applyAlignment="1">
      <alignment horizontal="center" vertical="center"/>
    </xf>
    <xf numFmtId="41" fontId="63" fillId="7" borderId="138" xfId="0" applyNumberFormat="1" applyFont="1" applyFill="1" applyBorder="1" applyAlignment="1">
      <alignment horizontal="center" vertical="center"/>
    </xf>
    <xf numFmtId="188" fontId="14" fillId="8" borderId="79" xfId="0" applyNumberFormat="1" applyFont="1" applyFill="1" applyBorder="1" applyAlignment="1">
      <alignment horizontal="center" vertical="center"/>
    </xf>
    <xf numFmtId="188" fontId="16" fillId="5" borderId="119" xfId="0" applyNumberFormat="1" applyFont="1" applyFill="1" applyBorder="1" applyAlignment="1">
      <alignment horizontal="center" vertical="center"/>
    </xf>
    <xf numFmtId="0" fontId="16" fillId="0" borderId="174" xfId="0" applyFont="1" applyBorder="1" applyAlignment="1">
      <alignment horizontal="center" vertical="center" wrapText="1"/>
    </xf>
    <xf numFmtId="0" fontId="14" fillId="0" borderId="95" xfId="0" applyFont="1" applyBorder="1">
      <alignment vertical="center"/>
    </xf>
    <xf numFmtId="191" fontId="14" fillId="0" borderId="142" xfId="0" applyNumberFormat="1" applyFont="1" applyBorder="1" applyAlignment="1"/>
    <xf numFmtId="190" fontId="14" fillId="0" borderId="124" xfId="0" applyNumberFormat="1" applyFont="1" applyBorder="1" applyAlignment="1">
      <alignment horizontal="center"/>
    </xf>
    <xf numFmtId="178" fontId="14" fillId="7" borderId="138" xfId="0" applyNumberFormat="1" applyFont="1" applyFill="1" applyBorder="1" applyAlignment="1">
      <alignment horizontal="center" vertical="center"/>
    </xf>
    <xf numFmtId="190" fontId="26" fillId="0" borderId="98" xfId="0" applyNumberFormat="1" applyFont="1" applyBorder="1" applyAlignment="1">
      <alignment horizontal="center" vertical="center"/>
    </xf>
    <xf numFmtId="190" fontId="26" fillId="0" borderId="175" xfId="0" applyNumberFormat="1" applyFont="1" applyBorder="1" applyAlignment="1">
      <alignment horizontal="center" vertical="center"/>
    </xf>
    <xf numFmtId="190" fontId="26" fillId="0" borderId="172" xfId="0" applyNumberFormat="1" applyFont="1" applyBorder="1" applyAlignment="1">
      <alignment horizontal="center" vertical="center"/>
    </xf>
    <xf numFmtId="178" fontId="16" fillId="7" borderId="100" xfId="0" applyNumberFormat="1" applyFont="1" applyFill="1" applyBorder="1" applyAlignment="1">
      <alignment horizontal="center" vertical="center"/>
    </xf>
    <xf numFmtId="188" fontId="16" fillId="8" borderId="100" xfId="0" applyNumberFormat="1" applyFont="1" applyFill="1" applyBorder="1" applyAlignment="1">
      <alignment horizontal="center" vertical="center"/>
    </xf>
    <xf numFmtId="188" fontId="16" fillId="5" borderId="175" xfId="0" applyNumberFormat="1" applyFont="1" applyFill="1" applyBorder="1" applyAlignment="1">
      <alignment horizontal="center" vertical="center"/>
    </xf>
    <xf numFmtId="0" fontId="16" fillId="0" borderId="151" xfId="0" applyFont="1" applyBorder="1" applyAlignment="1">
      <alignment horizontal="center" vertical="center" wrapText="1"/>
    </xf>
    <xf numFmtId="0" fontId="14" fillId="0" borderId="3" xfId="0" applyFont="1" applyBorder="1">
      <alignment vertical="center"/>
    </xf>
    <xf numFmtId="191" fontId="14" fillId="0" borderId="134" xfId="0" applyNumberFormat="1" applyFont="1" applyBorder="1" applyAlignment="1"/>
    <xf numFmtId="190" fontId="14" fillId="3" borderId="9" xfId="0" applyNumberFormat="1" applyFont="1" applyFill="1" applyBorder="1" applyAlignment="1">
      <alignment horizontal="center"/>
    </xf>
    <xf numFmtId="178" fontId="63" fillId="7" borderId="79" xfId="0" applyNumberFormat="1" applyFont="1" applyFill="1" applyBorder="1" applyAlignment="1">
      <alignment horizontal="center" vertical="center"/>
    </xf>
    <xf numFmtId="178" fontId="16" fillId="9" borderId="137" xfId="0" applyNumberFormat="1" applyFont="1" applyFill="1" applyBorder="1" applyAlignment="1">
      <alignment horizontal="center" vertical="center"/>
    </xf>
    <xf numFmtId="188" fontId="16" fillId="5" borderId="137" xfId="0" applyNumberFormat="1" applyFont="1" applyFill="1" applyBorder="1" applyAlignment="1">
      <alignment horizontal="center" vertical="center"/>
    </xf>
    <xf numFmtId="178" fontId="63" fillId="7" borderId="138" xfId="0" applyNumberFormat="1" applyFont="1" applyFill="1" applyBorder="1" applyAlignment="1">
      <alignment horizontal="center" vertical="center"/>
    </xf>
    <xf numFmtId="188" fontId="16" fillId="5" borderId="7" xfId="0" applyNumberFormat="1" applyFont="1" applyFill="1" applyBorder="1" applyAlignment="1">
      <alignment horizontal="center" vertical="center"/>
    </xf>
    <xf numFmtId="0" fontId="14" fillId="3" borderId="3" xfId="0" applyFont="1" applyFill="1" applyBorder="1">
      <alignment vertical="center"/>
    </xf>
    <xf numFmtId="190" fontId="14" fillId="3" borderId="3" xfId="0" applyNumberFormat="1" applyFont="1" applyFill="1" applyBorder="1" applyAlignment="1">
      <alignment horizontal="center"/>
    </xf>
    <xf numFmtId="190" fontId="14" fillId="0" borderId="7" xfId="0" applyNumberFormat="1" applyFont="1" applyBorder="1" applyAlignment="1">
      <alignment horizontal="center"/>
    </xf>
    <xf numFmtId="0" fontId="16" fillId="0" borderId="140" xfId="0" applyFont="1" applyBorder="1" applyAlignment="1">
      <alignment horizontal="center" vertical="center" wrapText="1"/>
    </xf>
    <xf numFmtId="191" fontId="14" fillId="0" borderId="137" xfId="0" applyNumberFormat="1" applyFont="1" applyBorder="1" applyAlignment="1"/>
    <xf numFmtId="190" fontId="14" fillId="0" borderId="176" xfId="0" applyNumberFormat="1" applyFont="1" applyBorder="1" applyAlignment="1">
      <alignment horizontal="center"/>
    </xf>
    <xf numFmtId="0" fontId="60" fillId="2" borderId="138" xfId="0" applyFont="1" applyFill="1" applyBorder="1" applyAlignment="1">
      <alignment horizontal="center" vertical="center" wrapText="1"/>
    </xf>
    <xf numFmtId="0" fontId="24" fillId="2" borderId="3" xfId="0" applyFont="1" applyFill="1" applyBorder="1">
      <alignment vertical="center"/>
    </xf>
    <xf numFmtId="191" fontId="24" fillId="2" borderId="137" xfId="0" applyNumberFormat="1" applyFont="1" applyFill="1" applyBorder="1" applyAlignment="1"/>
    <xf numFmtId="189" fontId="24" fillId="2" borderId="138" xfId="0" applyNumberFormat="1" applyFont="1" applyFill="1" applyBorder="1" applyAlignment="1">
      <alignment horizontal="center"/>
    </xf>
    <xf numFmtId="190" fontId="24" fillId="2" borderId="3" xfId="0" applyNumberFormat="1" applyFont="1" applyFill="1" applyBorder="1" applyAlignment="1">
      <alignment horizontal="center"/>
    </xf>
    <xf numFmtId="190" fontId="24" fillId="2" borderId="137" xfId="0" applyNumberFormat="1" applyFont="1" applyFill="1" applyBorder="1" applyAlignment="1">
      <alignment horizontal="center"/>
    </xf>
    <xf numFmtId="190" fontId="24" fillId="2" borderId="7" xfId="0" applyNumberFormat="1" applyFont="1" applyFill="1" applyBorder="1" applyAlignment="1">
      <alignment horizontal="center"/>
    </xf>
    <xf numFmtId="190" fontId="24" fillId="2" borderId="177" xfId="0" applyNumberFormat="1" applyFont="1" applyFill="1" applyBorder="1" applyAlignment="1">
      <alignment horizontal="center"/>
    </xf>
    <xf numFmtId="178" fontId="24" fillId="2" borderId="79" xfId="0" applyNumberFormat="1" applyFont="1" applyFill="1" applyBorder="1" applyAlignment="1">
      <alignment horizontal="center" vertical="center"/>
    </xf>
    <xf numFmtId="178" fontId="24" fillId="2" borderId="3" xfId="0" applyNumberFormat="1" applyFont="1" applyFill="1" applyBorder="1" applyAlignment="1">
      <alignment horizontal="center" vertical="center"/>
    </xf>
    <xf numFmtId="178" fontId="60" fillId="2" borderId="137" xfId="0" applyNumberFormat="1" applyFont="1" applyFill="1" applyBorder="1" applyAlignment="1">
      <alignment horizontal="center" vertical="center"/>
    </xf>
    <xf numFmtId="188" fontId="24" fillId="2" borderId="138" xfId="0" applyNumberFormat="1" applyFont="1" applyFill="1" applyBorder="1" applyAlignment="1">
      <alignment horizontal="center" vertical="center"/>
    </xf>
    <xf numFmtId="188" fontId="24" fillId="2" borderId="3" xfId="0" applyNumberFormat="1" applyFont="1" applyFill="1" applyBorder="1" applyAlignment="1">
      <alignment horizontal="center" vertical="center"/>
    </xf>
    <xf numFmtId="188" fontId="60" fillId="2" borderId="137" xfId="0" applyNumberFormat="1" applyFont="1" applyFill="1" applyBorder="1" applyAlignment="1">
      <alignment horizontal="center" vertical="center"/>
    </xf>
    <xf numFmtId="178" fontId="24" fillId="2" borderId="138" xfId="0" applyNumberFormat="1" applyFont="1" applyFill="1" applyBorder="1" applyAlignment="1">
      <alignment horizontal="center" vertical="center"/>
    </xf>
    <xf numFmtId="188" fontId="24" fillId="2" borderId="79" xfId="0" applyNumberFormat="1" applyFont="1" applyFill="1" applyBorder="1" applyAlignment="1">
      <alignment horizontal="center" vertical="center"/>
    </xf>
    <xf numFmtId="188" fontId="60" fillId="2" borderId="7" xfId="0" applyNumberFormat="1" applyFont="1" applyFill="1" applyBorder="1" applyAlignment="1">
      <alignment horizontal="center" vertical="center"/>
    </xf>
    <xf numFmtId="0" fontId="72" fillId="2" borderId="0" xfId="0" applyFont="1" applyFill="1" applyAlignment="1">
      <alignment horizontal="center" vertical="center"/>
    </xf>
    <xf numFmtId="0" fontId="60" fillId="2" borderId="135" xfId="0" applyFont="1" applyFill="1" applyBorder="1" applyAlignment="1">
      <alignment horizontal="center" vertical="center" wrapText="1"/>
    </xf>
    <xf numFmtId="191" fontId="24" fillId="2" borderId="134" xfId="0" applyNumberFormat="1" applyFont="1" applyFill="1" applyBorder="1" applyAlignment="1"/>
    <xf numFmtId="190" fontId="24" fillId="2" borderId="125" xfId="0" applyNumberFormat="1" applyFont="1" applyFill="1" applyBorder="1" applyAlignment="1">
      <alignment horizontal="center"/>
    </xf>
    <xf numFmtId="190" fontId="24" fillId="2" borderId="136" xfId="0" applyNumberFormat="1" applyFont="1" applyFill="1" applyBorder="1" applyAlignment="1">
      <alignment horizontal="center"/>
    </xf>
    <xf numFmtId="190" fontId="24" fillId="2" borderId="178" xfId="0" applyNumberFormat="1" applyFont="1" applyFill="1" applyBorder="1" applyAlignment="1">
      <alignment horizontal="center"/>
    </xf>
    <xf numFmtId="190" fontId="24" fillId="2" borderId="179" xfId="0" applyNumberFormat="1" applyFont="1" applyFill="1" applyBorder="1" applyAlignment="1">
      <alignment horizontal="center"/>
    </xf>
    <xf numFmtId="178" fontId="24" fillId="2" borderId="180" xfId="0" applyNumberFormat="1" applyFont="1" applyFill="1" applyBorder="1" applyAlignment="1">
      <alignment horizontal="center" vertical="center"/>
    </xf>
    <xf numFmtId="178" fontId="24" fillId="2" borderId="125" xfId="0" applyNumberFormat="1" applyFont="1" applyFill="1" applyBorder="1" applyAlignment="1">
      <alignment horizontal="center" vertical="center"/>
    </xf>
    <xf numFmtId="178" fontId="60" fillId="2" borderId="134" xfId="0" applyNumberFormat="1" applyFont="1" applyFill="1" applyBorder="1" applyAlignment="1">
      <alignment horizontal="center" vertical="center"/>
    </xf>
    <xf numFmtId="188" fontId="16" fillId="8" borderId="127" xfId="0" applyNumberFormat="1" applyFont="1" applyFill="1" applyBorder="1" applyAlignment="1">
      <alignment horizontal="center" vertical="center"/>
    </xf>
    <xf numFmtId="191" fontId="14" fillId="0" borderId="139" xfId="0" applyNumberFormat="1" applyFont="1" applyBorder="1" applyAlignment="1"/>
    <xf numFmtId="189" fontId="14" fillId="0" borderId="118" xfId="0" applyNumberFormat="1" applyFont="1" applyBorder="1" applyAlignment="1">
      <alignment horizontal="center"/>
    </xf>
    <xf numFmtId="178" fontId="14" fillId="7" borderId="90" xfId="0" applyNumberFormat="1" applyFont="1" applyFill="1" applyBorder="1" applyAlignment="1">
      <alignment horizontal="center" vertical="center"/>
    </xf>
    <xf numFmtId="178" fontId="16" fillId="9" borderId="139" xfId="0" applyNumberFormat="1" applyFont="1" applyFill="1" applyBorder="1" applyAlignment="1">
      <alignment horizontal="center" vertical="center"/>
    </xf>
    <xf numFmtId="178" fontId="14" fillId="7" borderId="140" xfId="0" applyNumberFormat="1" applyFont="1" applyFill="1" applyBorder="1" applyAlignment="1">
      <alignment horizontal="center" vertical="center"/>
    </xf>
    <xf numFmtId="189" fontId="14" fillId="3" borderId="140" xfId="0" applyNumberFormat="1" applyFont="1" applyFill="1" applyBorder="1" applyAlignment="1">
      <alignment horizontal="center"/>
    </xf>
    <xf numFmtId="189" fontId="14" fillId="3" borderId="90" xfId="0" applyNumberFormat="1" applyFont="1" applyFill="1" applyBorder="1" applyAlignment="1">
      <alignment horizontal="center"/>
    </xf>
    <xf numFmtId="189" fontId="14" fillId="3" borderId="7" xfId="0" applyNumberFormat="1" applyFont="1" applyFill="1" applyBorder="1" applyAlignment="1">
      <alignment horizontal="center"/>
    </xf>
    <xf numFmtId="190" fontId="14" fillId="3" borderId="172" xfId="0" applyNumberFormat="1" applyFont="1" applyFill="1" applyBorder="1" applyAlignment="1">
      <alignment horizontal="center"/>
    </xf>
    <xf numFmtId="0" fontId="14" fillId="0" borderId="11" xfId="0" applyFont="1" applyBorder="1">
      <alignment vertical="center"/>
    </xf>
    <xf numFmtId="191" fontId="14" fillId="0" borderId="141" xfId="0" applyNumberFormat="1" applyFont="1" applyBorder="1" applyAlignment="1"/>
    <xf numFmtId="189" fontId="14" fillId="3" borderId="3" xfId="0" applyNumberFormat="1" applyFont="1" applyFill="1" applyBorder="1" applyAlignment="1">
      <alignment horizontal="center"/>
    </xf>
    <xf numFmtId="188" fontId="14" fillId="8" borderId="151" xfId="0" applyNumberFormat="1" applyFont="1" applyFill="1" applyBorder="1" applyAlignment="1">
      <alignment horizontal="center" vertical="center"/>
    </xf>
    <xf numFmtId="188" fontId="14" fillId="8" borderId="10" xfId="0" applyNumberFormat="1" applyFont="1" applyFill="1" applyBorder="1" applyAlignment="1">
      <alignment horizontal="center" vertical="center"/>
    </xf>
    <xf numFmtId="178" fontId="14" fillId="7" borderId="151" xfId="0" applyNumberFormat="1" applyFont="1" applyFill="1" applyBorder="1" applyAlignment="1">
      <alignment horizontal="center" vertical="center"/>
    </xf>
    <xf numFmtId="178" fontId="14" fillId="7" borderId="1" xfId="0" applyNumberFormat="1" applyFont="1" applyFill="1" applyBorder="1" applyAlignment="1">
      <alignment horizontal="center" vertical="center"/>
    </xf>
    <xf numFmtId="178" fontId="14" fillId="7" borderId="10" xfId="0" applyNumberFormat="1" applyFont="1" applyFill="1" applyBorder="1" applyAlignment="1">
      <alignment horizontal="center" vertical="center"/>
    </xf>
    <xf numFmtId="178" fontId="14" fillId="7" borderId="181" xfId="0" applyNumberFormat="1" applyFont="1" applyFill="1" applyBorder="1" applyAlignment="1">
      <alignment horizontal="center" vertical="center"/>
    </xf>
    <xf numFmtId="178" fontId="14" fillId="7" borderId="95" xfId="0" applyNumberFormat="1" applyFont="1" applyFill="1" applyBorder="1" applyAlignment="1">
      <alignment horizontal="center" vertical="center"/>
    </xf>
    <xf numFmtId="178" fontId="63" fillId="7" borderId="125" xfId="0" applyNumberFormat="1" applyFont="1" applyFill="1" applyBorder="1" applyAlignment="1">
      <alignment horizontal="center" vertical="center"/>
    </xf>
    <xf numFmtId="178" fontId="14" fillId="7" borderId="147" xfId="0" applyNumberFormat="1" applyFont="1" applyFill="1" applyBorder="1" applyAlignment="1">
      <alignment horizontal="center" vertical="center"/>
    </xf>
    <xf numFmtId="178" fontId="14" fillId="7" borderId="125" xfId="0" applyNumberFormat="1" applyFont="1" applyFill="1" applyBorder="1" applyAlignment="1">
      <alignment horizontal="center" vertical="center"/>
    </xf>
    <xf numFmtId="178" fontId="14" fillId="7" borderId="180" xfId="0" applyNumberFormat="1" applyFont="1" applyFill="1" applyBorder="1" applyAlignment="1">
      <alignment horizontal="center" vertical="center"/>
    </xf>
    <xf numFmtId="0" fontId="16" fillId="0" borderId="144" xfId="0" applyFont="1" applyBorder="1" applyAlignment="1">
      <alignment horizontal="center" vertical="center" wrapText="1"/>
    </xf>
    <xf numFmtId="188" fontId="63" fillId="8" borderId="138" xfId="0" applyNumberFormat="1" applyFont="1" applyFill="1" applyBorder="1" applyAlignment="1">
      <alignment horizontal="center" vertical="center"/>
    </xf>
    <xf numFmtId="188" fontId="63" fillId="8" borderId="79" xfId="0" applyNumberFormat="1" applyFont="1" applyFill="1" applyBorder="1" applyAlignment="1">
      <alignment horizontal="center" vertical="center"/>
    </xf>
    <xf numFmtId="0" fontId="16" fillId="0" borderId="138" xfId="0" applyFont="1" applyBorder="1" applyAlignment="1">
      <alignment horizontal="center" vertical="center" wrapText="1"/>
    </xf>
    <xf numFmtId="0" fontId="16" fillId="0" borderId="147" xfId="0" applyFont="1" applyBorder="1" applyAlignment="1">
      <alignment horizontal="center" vertical="center" wrapText="1"/>
    </xf>
    <xf numFmtId="0" fontId="14" fillId="3" borderId="4" xfId="0" applyFont="1" applyFill="1" applyBorder="1">
      <alignment vertical="center"/>
    </xf>
    <xf numFmtId="191" fontId="14" fillId="0" borderId="158" xfId="0" applyNumberFormat="1" applyFont="1" applyBorder="1" applyAlignment="1"/>
    <xf numFmtId="188" fontId="14" fillId="0" borderId="118" xfId="0" applyNumberFormat="1" applyFont="1" applyBorder="1" applyAlignment="1">
      <alignment horizontal="center"/>
    </xf>
    <xf numFmtId="188" fontId="14" fillId="0" borderId="172" xfId="0" applyNumberFormat="1" applyFont="1" applyBorder="1" applyAlignment="1">
      <alignment horizontal="center"/>
    </xf>
    <xf numFmtId="178" fontId="63" fillId="7" borderId="87" xfId="0" applyNumberFormat="1" applyFont="1" applyFill="1" applyBorder="1" applyAlignment="1">
      <alignment horizontal="center" vertical="center"/>
    </xf>
    <xf numFmtId="178" fontId="63" fillId="7" borderId="135" xfId="0" applyNumberFormat="1" applyFont="1" applyFill="1" applyBorder="1" applyAlignment="1">
      <alignment horizontal="center" vertical="center"/>
    </xf>
    <xf numFmtId="191" fontId="14" fillId="3" borderId="137" xfId="0" applyNumberFormat="1" applyFont="1" applyFill="1" applyBorder="1" applyAlignment="1"/>
    <xf numFmtId="189" fontId="14" fillId="0" borderId="7" xfId="0" applyNumberFormat="1" applyFont="1" applyBorder="1" applyAlignment="1">
      <alignment horizontal="center"/>
    </xf>
    <xf numFmtId="189" fontId="14" fillId="0" borderId="172" xfId="0" applyNumberFormat="1" applyFont="1" applyBorder="1" applyAlignment="1">
      <alignment horizontal="center"/>
    </xf>
    <xf numFmtId="41" fontId="14" fillId="7" borderId="79" xfId="0" applyNumberFormat="1" applyFont="1" applyFill="1" applyBorder="1" applyAlignment="1">
      <alignment horizontal="center" vertical="center"/>
    </xf>
    <xf numFmtId="41" fontId="14" fillId="7" borderId="3" xfId="0" applyNumberFormat="1" applyFont="1" applyFill="1" applyBorder="1" applyAlignment="1">
      <alignment horizontal="center" vertical="center"/>
    </xf>
    <xf numFmtId="178" fontId="16" fillId="9" borderId="119" xfId="0" applyNumberFormat="1" applyFont="1" applyFill="1" applyBorder="1" applyAlignment="1">
      <alignment horizontal="center" vertical="center"/>
    </xf>
    <xf numFmtId="0" fontId="16" fillId="3" borderId="138" xfId="0" applyFont="1" applyFill="1" applyBorder="1" applyAlignment="1">
      <alignment horizontal="center" vertical="center" wrapText="1"/>
    </xf>
    <xf numFmtId="191" fontId="14" fillId="2" borderId="137" xfId="0" applyNumberFormat="1" applyFont="1" applyFill="1" applyBorder="1" applyAlignment="1"/>
    <xf numFmtId="189" fontId="14" fillId="2" borderId="138" xfId="0" applyNumberFormat="1" applyFont="1" applyFill="1" applyBorder="1" applyAlignment="1">
      <alignment horizontal="center"/>
    </xf>
    <xf numFmtId="189" fontId="14" fillId="2" borderId="3" xfId="0" applyNumberFormat="1" applyFont="1" applyFill="1" applyBorder="1" applyAlignment="1">
      <alignment horizontal="center"/>
    </xf>
    <xf numFmtId="189" fontId="14" fillId="2" borderId="137" xfId="0" applyNumberFormat="1" applyFont="1" applyFill="1" applyBorder="1" applyAlignment="1">
      <alignment horizontal="center"/>
    </xf>
    <xf numFmtId="189" fontId="14" fillId="2" borderId="7" xfId="0" applyNumberFormat="1" applyFont="1" applyFill="1" applyBorder="1" applyAlignment="1">
      <alignment horizontal="center"/>
    </xf>
    <xf numFmtId="189" fontId="24" fillId="2" borderId="172" xfId="0" applyNumberFormat="1" applyFont="1" applyFill="1" applyBorder="1" applyAlignment="1">
      <alignment horizontal="center"/>
    </xf>
    <xf numFmtId="41" fontId="24" fillId="2" borderId="79" xfId="0" applyNumberFormat="1" applyFont="1" applyFill="1" applyBorder="1" applyAlignment="1">
      <alignment horizontal="center" vertical="center"/>
    </xf>
    <xf numFmtId="41" fontId="24" fillId="2" borderId="3" xfId="0" applyNumberFormat="1" applyFont="1" applyFill="1" applyBorder="1" applyAlignment="1">
      <alignment horizontal="center" vertical="center"/>
    </xf>
    <xf numFmtId="188" fontId="60" fillId="2" borderId="134" xfId="0" applyNumberFormat="1" applyFont="1" applyFill="1" applyBorder="1" applyAlignment="1">
      <alignment horizontal="center" vertical="center"/>
    </xf>
    <xf numFmtId="41" fontId="14" fillId="2" borderId="79" xfId="0" applyNumberFormat="1" applyFont="1" applyFill="1" applyBorder="1" applyAlignment="1">
      <alignment horizontal="center" vertical="center"/>
    </xf>
    <xf numFmtId="41" fontId="14" fillId="2" borderId="3" xfId="0" applyNumberFormat="1" applyFont="1" applyFill="1" applyBorder="1" applyAlignment="1">
      <alignment horizontal="center" vertical="center"/>
    </xf>
    <xf numFmtId="178" fontId="16" fillId="2" borderId="119" xfId="0" applyNumberFormat="1" applyFont="1" applyFill="1" applyBorder="1" applyAlignment="1">
      <alignment horizontal="center" vertical="center"/>
    </xf>
    <xf numFmtId="188" fontId="14" fillId="2" borderId="138" xfId="0" applyNumberFormat="1" applyFont="1" applyFill="1" applyBorder="1" applyAlignment="1">
      <alignment horizontal="center" vertical="center"/>
    </xf>
    <xf numFmtId="188" fontId="14" fillId="2" borderId="3" xfId="0" applyNumberFormat="1" applyFont="1" applyFill="1" applyBorder="1" applyAlignment="1">
      <alignment horizontal="center" vertical="center"/>
    </xf>
    <xf numFmtId="188" fontId="16" fillId="2" borderId="134" xfId="0" applyNumberFormat="1" applyFont="1" applyFill="1" applyBorder="1" applyAlignment="1">
      <alignment horizontal="center" vertical="center"/>
    </xf>
    <xf numFmtId="41" fontId="14" fillId="7" borderId="11" xfId="0" applyNumberFormat="1" applyFont="1" applyFill="1" applyBorder="1" applyAlignment="1">
      <alignment horizontal="center" vertical="center"/>
    </xf>
    <xf numFmtId="191" fontId="14" fillId="3" borderId="137" xfId="0" quotePrefix="1" applyNumberFormat="1" applyFont="1" applyFill="1" applyBorder="1" applyAlignment="1"/>
    <xf numFmtId="41" fontId="14" fillId="7" borderId="87" xfId="0" applyNumberFormat="1" applyFont="1" applyFill="1" applyBorder="1" applyAlignment="1">
      <alignment horizontal="center" vertical="center"/>
    </xf>
    <xf numFmtId="0" fontId="16" fillId="3" borderId="138" xfId="0" applyFont="1" applyFill="1" applyBorder="1" applyAlignment="1">
      <alignment horizontal="center" vertical="center"/>
    </xf>
    <xf numFmtId="191" fontId="14" fillId="2" borderId="137" xfId="0" quotePrefix="1" applyNumberFormat="1" applyFont="1" applyFill="1" applyBorder="1" applyAlignment="1"/>
    <xf numFmtId="190" fontId="14" fillId="2" borderId="3" xfId="0" applyNumberFormat="1" applyFont="1" applyFill="1" applyBorder="1" applyAlignment="1">
      <alignment horizontal="center"/>
    </xf>
    <xf numFmtId="190" fontId="14" fillId="2" borderId="137" xfId="0" applyNumberFormat="1" applyFont="1" applyFill="1" applyBorder="1" applyAlignment="1">
      <alignment horizontal="center"/>
    </xf>
    <xf numFmtId="190" fontId="14" fillId="2" borderId="7" xfId="0" applyNumberFormat="1" applyFont="1" applyFill="1" applyBorder="1" applyAlignment="1">
      <alignment horizontal="center"/>
    </xf>
    <xf numFmtId="190" fontId="14" fillId="2" borderId="172" xfId="0" applyNumberFormat="1" applyFont="1" applyFill="1" applyBorder="1" applyAlignment="1">
      <alignment horizontal="center"/>
    </xf>
    <xf numFmtId="41" fontId="63" fillId="2" borderId="87" xfId="0" applyNumberFormat="1" applyFont="1" applyFill="1" applyBorder="1" applyAlignment="1">
      <alignment horizontal="center" vertical="center"/>
    </xf>
    <xf numFmtId="41" fontId="63" fillId="2" borderId="11" xfId="0" applyNumberFormat="1" applyFont="1" applyFill="1" applyBorder="1" applyAlignment="1">
      <alignment horizontal="center" vertical="center"/>
    </xf>
    <xf numFmtId="178" fontId="16" fillId="2" borderId="134" xfId="0" applyNumberFormat="1" applyFont="1" applyFill="1" applyBorder="1" applyAlignment="1">
      <alignment horizontal="center" vertical="center"/>
    </xf>
    <xf numFmtId="41" fontId="14" fillId="2" borderId="87" xfId="0" applyNumberFormat="1" applyFont="1" applyFill="1" applyBorder="1" applyAlignment="1">
      <alignment horizontal="center" vertical="center"/>
    </xf>
    <xf numFmtId="41" fontId="14" fillId="2" borderId="11" xfId="0" applyNumberFormat="1" applyFont="1" applyFill="1" applyBorder="1" applyAlignment="1">
      <alignment horizontal="center" vertical="center"/>
    </xf>
    <xf numFmtId="188" fontId="14" fillId="2" borderId="7" xfId="0" applyNumberFormat="1" applyFont="1" applyFill="1" applyBorder="1" applyAlignment="1">
      <alignment horizontal="center" vertical="center"/>
    </xf>
    <xf numFmtId="188" fontId="16" fillId="2" borderId="179" xfId="0" applyNumberFormat="1" applyFont="1" applyFill="1" applyBorder="1" applyAlignment="1">
      <alignment horizontal="center" vertical="center"/>
    </xf>
    <xf numFmtId="0" fontId="69" fillId="2" borderId="0" xfId="0" applyFont="1" applyFill="1" applyAlignment="1">
      <alignment horizontal="center" vertical="center"/>
    </xf>
    <xf numFmtId="188" fontId="16" fillId="2" borderId="177" xfId="0" applyNumberFormat="1" applyFont="1" applyFill="1" applyBorder="1" applyAlignment="1">
      <alignment horizontal="center" vertical="center"/>
    </xf>
    <xf numFmtId="189" fontId="14" fillId="2" borderId="172" xfId="0" applyNumberFormat="1" applyFont="1" applyFill="1" applyBorder="1" applyAlignment="1">
      <alignment horizontal="center"/>
    </xf>
    <xf numFmtId="41" fontId="63" fillId="2" borderId="3" xfId="0" applyNumberFormat="1" applyFont="1" applyFill="1" applyBorder="1" applyAlignment="1">
      <alignment horizontal="center" vertical="center"/>
    </xf>
    <xf numFmtId="189" fontId="14" fillId="2" borderId="135" xfId="0" applyNumberFormat="1" applyFont="1" applyFill="1" applyBorder="1" applyAlignment="1">
      <alignment horizontal="center"/>
    </xf>
    <xf numFmtId="190" fontId="14" fillId="2" borderId="11" xfId="0" applyNumberFormat="1" applyFont="1" applyFill="1" applyBorder="1" applyAlignment="1">
      <alignment horizontal="center"/>
    </xf>
    <xf numFmtId="190" fontId="14" fillId="2" borderId="134" xfId="0" applyNumberFormat="1" applyFont="1" applyFill="1" applyBorder="1" applyAlignment="1">
      <alignment horizontal="center"/>
    </xf>
    <xf numFmtId="189" fontId="14" fillId="0" borderId="79" xfId="0" applyNumberFormat="1" applyFont="1" applyBorder="1" applyAlignment="1">
      <alignment horizontal="center"/>
    </xf>
    <xf numFmtId="41" fontId="87" fillId="7" borderId="3" xfId="0" applyNumberFormat="1" applyFont="1" applyFill="1" applyBorder="1" applyAlignment="1">
      <alignment horizontal="center" vertical="center"/>
    </xf>
    <xf numFmtId="190" fontId="14" fillId="0" borderId="79" xfId="0" applyNumberFormat="1" applyFont="1" applyBorder="1" applyAlignment="1">
      <alignment horizontal="center"/>
    </xf>
    <xf numFmtId="191" fontId="14" fillId="3" borderId="136" xfId="0" quotePrefix="1" applyNumberFormat="1" applyFont="1" applyFill="1" applyBorder="1" applyAlignment="1"/>
    <xf numFmtId="188" fontId="14" fillId="0" borderId="180" xfId="0" applyNumberFormat="1" applyFont="1" applyBorder="1" applyAlignment="1">
      <alignment horizontal="center"/>
    </xf>
    <xf numFmtId="188" fontId="14" fillId="0" borderId="125" xfId="0" applyNumberFormat="1" applyFont="1" applyBorder="1" applyAlignment="1">
      <alignment horizontal="center"/>
    </xf>
    <xf numFmtId="188" fontId="14" fillId="0" borderId="136" xfId="0" applyNumberFormat="1" applyFont="1" applyBorder="1" applyAlignment="1">
      <alignment horizontal="center"/>
    </xf>
    <xf numFmtId="188" fontId="14" fillId="0" borderId="147" xfId="0" applyNumberFormat="1" applyFont="1" applyBorder="1" applyAlignment="1">
      <alignment horizontal="center"/>
    </xf>
    <xf numFmtId="188" fontId="14" fillId="0" borderId="178" xfId="0" applyNumberFormat="1" applyFont="1" applyBorder="1" applyAlignment="1">
      <alignment horizontal="center"/>
    </xf>
    <xf numFmtId="179" fontId="14" fillId="8" borderId="3" xfId="0" applyNumberFormat="1" applyFont="1" applyFill="1" applyBorder="1" applyAlignment="1">
      <alignment horizontal="center" vertical="center"/>
    </xf>
    <xf numFmtId="178" fontId="16" fillId="9" borderId="175" xfId="0" applyNumberFormat="1" applyFont="1" applyFill="1" applyBorder="1" applyAlignment="1">
      <alignment horizontal="center" vertical="center"/>
    </xf>
    <xf numFmtId="41" fontId="63" fillId="7" borderId="135" xfId="0" applyNumberFormat="1" applyFont="1" applyFill="1" applyBorder="1" applyAlignment="1">
      <alignment horizontal="center" vertical="center"/>
    </xf>
    <xf numFmtId="190" fontId="14" fillId="0" borderId="119" xfId="0" applyNumberFormat="1" applyFont="1" applyBorder="1" applyAlignment="1">
      <alignment horizontal="center"/>
    </xf>
    <xf numFmtId="191" fontId="14" fillId="3" borderId="3" xfId="0" applyNumberFormat="1" applyFont="1" applyFill="1" applyBorder="1">
      <alignment vertical="center"/>
    </xf>
    <xf numFmtId="0" fontId="14" fillId="3" borderId="3" xfId="0" quotePrefix="1" applyFont="1" applyFill="1" applyBorder="1">
      <alignment vertical="center"/>
    </xf>
    <xf numFmtId="191" fontId="14" fillId="0" borderId="137" xfId="0" quotePrefix="1" applyNumberFormat="1" applyFont="1" applyBorder="1" applyAlignment="1"/>
    <xf numFmtId="0" fontId="14" fillId="0" borderId="3" xfId="0" quotePrefix="1" applyFont="1" applyBorder="1">
      <alignment vertical="center"/>
    </xf>
    <xf numFmtId="190" fontId="14" fillId="2" borderId="135" xfId="0" applyNumberFormat="1" applyFont="1" applyFill="1" applyBorder="1" applyAlignment="1">
      <alignment horizontal="center"/>
    </xf>
    <xf numFmtId="2" fontId="14" fillId="2" borderId="138" xfId="0" quotePrefix="1" applyNumberFormat="1" applyFont="1" applyFill="1" applyBorder="1">
      <alignment vertical="center"/>
    </xf>
    <xf numFmtId="2" fontId="14" fillId="2" borderId="3" xfId="0" quotePrefix="1" applyNumberFormat="1" applyFont="1" applyFill="1" applyBorder="1">
      <alignment vertical="center"/>
    </xf>
    <xf numFmtId="2" fontId="14" fillId="2" borderId="7" xfId="0" quotePrefix="1" applyNumberFormat="1" applyFont="1" applyFill="1" applyBorder="1">
      <alignment vertical="center"/>
    </xf>
    <xf numFmtId="41" fontId="63" fillId="2" borderId="135" xfId="0" applyNumberFormat="1" applyFont="1" applyFill="1" applyBorder="1" applyAlignment="1">
      <alignment horizontal="center" vertical="center"/>
    </xf>
    <xf numFmtId="188" fontId="14" fillId="2" borderId="79" xfId="0" applyNumberFormat="1" applyFont="1" applyFill="1" applyBorder="1" applyAlignment="1">
      <alignment horizontal="center" vertical="center"/>
    </xf>
    <xf numFmtId="188" fontId="16" fillId="2" borderId="119" xfId="0" applyNumberFormat="1" applyFont="1" applyFill="1" applyBorder="1" applyAlignment="1">
      <alignment horizontal="center" vertical="center"/>
    </xf>
    <xf numFmtId="190" fontId="14" fillId="2" borderId="87" xfId="0" applyNumberFormat="1" applyFont="1" applyFill="1" applyBorder="1" applyAlignment="1">
      <alignment horizontal="center"/>
    </xf>
    <xf numFmtId="41" fontId="14" fillId="2" borderId="135" xfId="0" applyNumberFormat="1" applyFont="1" applyFill="1" applyBorder="1" applyAlignment="1">
      <alignment horizontal="center" vertical="center"/>
    </xf>
    <xf numFmtId="190" fontId="14" fillId="0" borderId="87" xfId="0" applyNumberFormat="1" applyFont="1" applyBorder="1" applyAlignment="1">
      <alignment horizontal="center"/>
    </xf>
    <xf numFmtId="188" fontId="14" fillId="8" borderId="7" xfId="0" applyNumberFormat="1" applyFont="1" applyFill="1" applyBorder="1" applyAlignment="1">
      <alignment horizontal="center" vertical="center"/>
    </xf>
    <xf numFmtId="188" fontId="16" fillId="5" borderId="179" xfId="0" applyNumberFormat="1" applyFont="1" applyFill="1" applyBorder="1" applyAlignment="1">
      <alignment horizontal="center" vertical="center"/>
    </xf>
    <xf numFmtId="191" fontId="14" fillId="0" borderId="137" xfId="0" applyNumberFormat="1" applyFont="1" applyBorder="1">
      <alignment vertical="center"/>
    </xf>
    <xf numFmtId="190" fontId="14" fillId="0" borderId="135" xfId="0" applyNumberFormat="1" applyFont="1" applyBorder="1" applyAlignment="1">
      <alignment horizontal="center" vertical="center"/>
    </xf>
    <xf numFmtId="190" fontId="14" fillId="0" borderId="11" xfId="0" applyNumberFormat="1" applyFont="1" applyBorder="1" applyAlignment="1">
      <alignment horizontal="center" vertical="center"/>
    </xf>
    <xf numFmtId="190" fontId="14" fillId="0" borderId="134" xfId="0" applyNumberFormat="1" applyFont="1" applyBorder="1" applyAlignment="1">
      <alignment horizontal="center" vertical="center"/>
    </xf>
    <xf numFmtId="190" fontId="14" fillId="0" borderId="119" xfId="0" applyNumberFormat="1" applyFont="1" applyBorder="1" applyAlignment="1">
      <alignment horizontal="center" vertical="center"/>
    </xf>
    <xf numFmtId="191" fontId="14" fillId="2" borderId="137" xfId="0" applyNumberFormat="1" applyFont="1" applyFill="1" applyBorder="1">
      <alignment vertical="center"/>
    </xf>
    <xf numFmtId="190" fontId="14" fillId="2" borderId="135" xfId="0" applyNumberFormat="1" applyFont="1" applyFill="1" applyBorder="1" applyAlignment="1">
      <alignment horizontal="center" vertical="center"/>
    </xf>
    <xf numFmtId="190" fontId="14" fillId="2" borderId="11" xfId="0" applyNumberFormat="1" applyFont="1" applyFill="1" applyBorder="1" applyAlignment="1">
      <alignment horizontal="center" vertical="center"/>
    </xf>
    <xf numFmtId="190" fontId="14" fillId="2" borderId="134" xfId="0" applyNumberFormat="1" applyFont="1" applyFill="1" applyBorder="1" applyAlignment="1">
      <alignment horizontal="center" vertical="center"/>
    </xf>
    <xf numFmtId="190" fontId="14" fillId="2" borderId="119" xfId="0" applyNumberFormat="1" applyFont="1" applyFill="1" applyBorder="1" applyAlignment="1">
      <alignment horizontal="center" vertical="center"/>
    </xf>
    <xf numFmtId="191" fontId="14" fillId="0" borderId="3" xfId="0" applyNumberFormat="1" applyFont="1" applyBorder="1">
      <alignment vertical="center"/>
    </xf>
    <xf numFmtId="178" fontId="14" fillId="7" borderId="87" xfId="0" applyNumberFormat="1" applyFont="1" applyFill="1" applyBorder="1" applyAlignment="1">
      <alignment horizontal="center" vertical="center"/>
    </xf>
    <xf numFmtId="178" fontId="14" fillId="7" borderId="135" xfId="0" applyNumberFormat="1" applyFont="1" applyFill="1" applyBorder="1" applyAlignment="1">
      <alignment horizontal="center" vertical="center"/>
    </xf>
    <xf numFmtId="0" fontId="88" fillId="0" borderId="3" xfId="0" applyFont="1" applyBorder="1">
      <alignment vertical="center"/>
    </xf>
    <xf numFmtId="191" fontId="88" fillId="0" borderId="137" xfId="0" applyNumberFormat="1" applyFont="1" applyBorder="1" applyAlignment="1"/>
    <xf numFmtId="189" fontId="88" fillId="0" borderId="144" xfId="0" applyNumberFormat="1" applyFont="1" applyBorder="1" applyAlignment="1">
      <alignment horizontal="center"/>
    </xf>
    <xf numFmtId="189" fontId="88" fillId="0" borderId="103" xfId="0" applyNumberFormat="1" applyFont="1" applyBorder="1" applyAlignment="1">
      <alignment horizontal="center"/>
    </xf>
    <xf numFmtId="189" fontId="80" fillId="0" borderId="103" xfId="0" applyNumberFormat="1" applyFont="1" applyBorder="1" applyAlignment="1">
      <alignment horizontal="center"/>
    </xf>
    <xf numFmtId="189" fontId="88" fillId="0" borderId="139" xfId="0" applyNumberFormat="1" applyFont="1" applyBorder="1" applyAlignment="1">
      <alignment horizontal="center"/>
    </xf>
    <xf numFmtId="189" fontId="88" fillId="0" borderId="182" xfId="0" applyNumberFormat="1" applyFont="1" applyBorder="1" applyAlignment="1">
      <alignment horizontal="center"/>
    </xf>
    <xf numFmtId="189" fontId="88" fillId="0" borderId="172" xfId="0" applyNumberFormat="1" applyFont="1" applyBorder="1" applyAlignment="1">
      <alignment horizontal="center"/>
    </xf>
    <xf numFmtId="178" fontId="88" fillId="7" borderId="79" xfId="0" applyNumberFormat="1" applyFont="1" applyFill="1" applyBorder="1" applyAlignment="1">
      <alignment horizontal="center" vertical="center"/>
    </xf>
    <xf numFmtId="178" fontId="88" fillId="7" borderId="3" xfId="0" applyNumberFormat="1" applyFont="1" applyFill="1" applyBorder="1" applyAlignment="1">
      <alignment horizontal="center" vertical="center"/>
    </xf>
    <xf numFmtId="178" fontId="88" fillId="9" borderId="134" xfId="0" applyNumberFormat="1" applyFont="1" applyFill="1" applyBorder="1" applyAlignment="1">
      <alignment horizontal="center" vertical="center"/>
    </xf>
    <xf numFmtId="188" fontId="88" fillId="8" borderId="138" xfId="0" applyNumberFormat="1" applyFont="1" applyFill="1" applyBorder="1" applyAlignment="1">
      <alignment horizontal="center" vertical="center"/>
    </xf>
    <xf numFmtId="188" fontId="88" fillId="8" borderId="3" xfId="0" applyNumberFormat="1" applyFont="1" applyFill="1" applyBorder="1" applyAlignment="1">
      <alignment horizontal="center" vertical="center"/>
    </xf>
    <xf numFmtId="188" fontId="88" fillId="5" borderId="134" xfId="0" applyNumberFormat="1" applyFont="1" applyFill="1" applyBorder="1" applyAlignment="1">
      <alignment horizontal="center" vertical="center"/>
    </xf>
    <xf numFmtId="178" fontId="88" fillId="7" borderId="138" xfId="0" applyNumberFormat="1" applyFont="1" applyFill="1" applyBorder="1" applyAlignment="1">
      <alignment horizontal="center" vertical="center"/>
    </xf>
    <xf numFmtId="188" fontId="88" fillId="8" borderId="79" xfId="0" applyNumberFormat="1" applyFont="1" applyFill="1" applyBorder="1" applyAlignment="1">
      <alignment horizontal="center" vertical="center"/>
    </xf>
    <xf numFmtId="188" fontId="88" fillId="5" borderId="119" xfId="0" applyNumberFormat="1" applyFont="1" applyFill="1" applyBorder="1" applyAlignment="1">
      <alignment horizontal="center" vertical="center"/>
    </xf>
    <xf numFmtId="0" fontId="89" fillId="0" borderId="0" xfId="0" applyFont="1" applyAlignment="1">
      <alignment horizontal="center" vertical="center"/>
    </xf>
    <xf numFmtId="189" fontId="88" fillId="0" borderId="140" xfId="0" applyNumberFormat="1" applyFont="1" applyBorder="1" applyAlignment="1">
      <alignment horizontal="center"/>
    </xf>
    <xf numFmtId="189" fontId="88" fillId="0" borderId="3" xfId="0" applyNumberFormat="1" applyFont="1" applyBorder="1" applyAlignment="1">
      <alignment horizontal="center"/>
    </xf>
    <xf numFmtId="189" fontId="80" fillId="0" borderId="3" xfId="0" applyNumberFormat="1" applyFont="1" applyBorder="1" applyAlignment="1">
      <alignment horizontal="center"/>
    </xf>
    <xf numFmtId="189" fontId="88" fillId="0" borderId="137" xfId="0" applyNumberFormat="1" applyFont="1" applyBorder="1" applyAlignment="1">
      <alignment horizontal="center"/>
    </xf>
    <xf numFmtId="189" fontId="88" fillId="0" borderId="9" xfId="0" applyNumberFormat="1" applyFont="1" applyBorder="1" applyAlignment="1">
      <alignment horizontal="center"/>
    </xf>
    <xf numFmtId="189" fontId="88" fillId="0" borderId="118" xfId="0" applyNumberFormat="1" applyFont="1" applyBorder="1" applyAlignment="1">
      <alignment horizontal="center"/>
    </xf>
    <xf numFmtId="178" fontId="90" fillId="7" borderId="79" xfId="0" applyNumberFormat="1" applyFont="1" applyFill="1" applyBorder="1" applyAlignment="1">
      <alignment horizontal="center" vertical="center"/>
    </xf>
    <xf numFmtId="189" fontId="88" fillId="0" borderId="138" xfId="0" applyNumberFormat="1" applyFont="1" applyBorder="1" applyAlignment="1">
      <alignment horizontal="center"/>
    </xf>
    <xf numFmtId="189" fontId="88" fillId="0" borderId="7" xfId="0" applyNumberFormat="1" applyFont="1" applyBorder="1" applyAlignment="1">
      <alignment horizontal="center"/>
    </xf>
    <xf numFmtId="178" fontId="90" fillId="7" borderId="3" xfId="0" applyNumberFormat="1" applyFont="1" applyFill="1" applyBorder="1" applyAlignment="1">
      <alignment horizontal="center" vertical="center"/>
    </xf>
    <xf numFmtId="0" fontId="16" fillId="3" borderId="135" xfId="0" applyFont="1" applyFill="1" applyBorder="1" applyAlignment="1">
      <alignment horizontal="center" vertical="center" wrapText="1"/>
    </xf>
    <xf numFmtId="189" fontId="24" fillId="2" borderId="11" xfId="0" applyNumberFormat="1" applyFont="1" applyFill="1" applyBorder="1" applyAlignment="1">
      <alignment horizontal="center"/>
    </xf>
    <xf numFmtId="189" fontId="24" fillId="2" borderId="134" xfId="0" applyNumberFormat="1" applyFont="1" applyFill="1" applyBorder="1" applyAlignment="1">
      <alignment horizontal="center"/>
    </xf>
    <xf numFmtId="189" fontId="24" fillId="2" borderId="3" xfId="0" applyNumberFormat="1" applyFont="1" applyFill="1" applyBorder="1" applyAlignment="1">
      <alignment horizontal="center"/>
    </xf>
    <xf numFmtId="189" fontId="24" fillId="2" borderId="7" xfId="0" applyNumberFormat="1" applyFont="1" applyFill="1" applyBorder="1" applyAlignment="1">
      <alignment horizontal="center"/>
    </xf>
    <xf numFmtId="178" fontId="60" fillId="2" borderId="119" xfId="0" applyNumberFormat="1" applyFont="1" applyFill="1" applyBorder="1" applyAlignment="1">
      <alignment horizontal="center" vertical="center"/>
    </xf>
    <xf numFmtId="0" fontId="16" fillId="0" borderId="151" xfId="0" applyFont="1" applyBorder="1" applyAlignment="1">
      <alignment horizontal="center" vertical="center"/>
    </xf>
    <xf numFmtId="0" fontId="14" fillId="3" borderId="9" xfId="0" applyFont="1" applyFill="1" applyBorder="1">
      <alignment vertical="center"/>
    </xf>
    <xf numFmtId="190" fontId="14" fillId="0" borderId="182" xfId="0" applyNumberFormat="1" applyFont="1" applyBorder="1" applyAlignment="1">
      <alignment horizontal="center"/>
    </xf>
    <xf numFmtId="0" fontId="16" fillId="2" borderId="151" xfId="0" applyFont="1" applyFill="1" applyBorder="1" applyAlignment="1">
      <alignment horizontal="center" vertical="center"/>
    </xf>
    <xf numFmtId="0" fontId="14" fillId="2" borderId="3" xfId="0" applyFont="1" applyFill="1" applyBorder="1">
      <alignment vertical="center"/>
    </xf>
    <xf numFmtId="190" fontId="14" fillId="2" borderId="140" xfId="0" applyNumberFormat="1" applyFont="1" applyFill="1" applyBorder="1" applyAlignment="1">
      <alignment horizontal="center"/>
    </xf>
    <xf numFmtId="190" fontId="14" fillId="2" borderId="9" xfId="0" applyNumberFormat="1" applyFont="1" applyFill="1" applyBorder="1" applyAlignment="1">
      <alignment horizontal="center"/>
    </xf>
    <xf numFmtId="190" fontId="14" fillId="2" borderId="141" xfId="0" applyNumberFormat="1" applyFont="1" applyFill="1" applyBorder="1" applyAlignment="1">
      <alignment horizontal="center"/>
    </xf>
    <xf numFmtId="190" fontId="14" fillId="2" borderId="118" xfId="0" applyNumberFormat="1" applyFont="1" applyFill="1" applyBorder="1" applyAlignment="1">
      <alignment horizontal="center"/>
    </xf>
    <xf numFmtId="178" fontId="14" fillId="2" borderId="79" xfId="0" applyNumberFormat="1" applyFont="1" applyFill="1" applyBorder="1" applyAlignment="1">
      <alignment horizontal="center" vertical="center"/>
    </xf>
    <xf numFmtId="178" fontId="14" fillId="2" borderId="3" xfId="0" applyNumberFormat="1" applyFont="1" applyFill="1" applyBorder="1" applyAlignment="1">
      <alignment horizontal="center" vertical="center"/>
    </xf>
    <xf numFmtId="178" fontId="14" fillId="2" borderId="87" xfId="0" applyNumberFormat="1" applyFont="1" applyFill="1" applyBorder="1" applyAlignment="1">
      <alignment horizontal="center" vertical="center"/>
    </xf>
    <xf numFmtId="178" fontId="14" fillId="2" borderId="11" xfId="0" applyNumberFormat="1" applyFont="1" applyFill="1" applyBorder="1" applyAlignment="1">
      <alignment horizontal="center" vertical="center"/>
    </xf>
    <xf numFmtId="209" fontId="16" fillId="7" borderId="105" xfId="0" applyNumberFormat="1" applyFont="1" applyFill="1" applyBorder="1" applyAlignment="1">
      <alignment horizontal="center" vertical="center"/>
    </xf>
    <xf numFmtId="0" fontId="16" fillId="0" borderId="101" xfId="0" applyFont="1" applyBorder="1" applyAlignment="1">
      <alignment horizontal="center" vertical="center"/>
    </xf>
    <xf numFmtId="0" fontId="63" fillId="0" borderId="99" xfId="0" applyFont="1" applyBorder="1">
      <alignment vertical="center"/>
    </xf>
    <xf numFmtId="0" fontId="63" fillId="0" borderId="100" xfId="0" applyFont="1" applyBorder="1">
      <alignment vertical="center"/>
    </xf>
    <xf numFmtId="190" fontId="14" fillId="0" borderId="183" xfId="0" applyNumberFormat="1" applyFont="1" applyBorder="1" applyAlignment="1">
      <alignment horizontal="center"/>
    </xf>
    <xf numFmtId="178" fontId="16" fillId="7" borderId="79" xfId="0" applyNumberFormat="1" applyFont="1" applyFill="1" applyBorder="1" applyAlignment="1">
      <alignment horizontal="center" vertical="center"/>
    </xf>
    <xf numFmtId="178" fontId="16" fillId="7" borderId="3" xfId="0" applyNumberFormat="1" applyFont="1" applyFill="1" applyBorder="1" applyAlignment="1">
      <alignment horizontal="center" vertical="center"/>
    </xf>
    <xf numFmtId="178" fontId="16" fillId="7" borderId="138" xfId="0" applyNumberFormat="1" applyFont="1" applyFill="1" applyBorder="1" applyAlignment="1">
      <alignment horizontal="center" vertical="center"/>
    </xf>
    <xf numFmtId="188" fontId="14" fillId="8" borderId="101" xfId="0" applyNumberFormat="1" applyFont="1" applyFill="1" applyBorder="1" applyAlignment="1">
      <alignment horizontal="center" vertical="center"/>
    </xf>
    <xf numFmtId="188" fontId="14" fillId="8" borderId="99" xfId="0" applyNumberFormat="1" applyFont="1" applyFill="1" applyBorder="1" applyAlignment="1">
      <alignment horizontal="center" vertical="center"/>
    </xf>
    <xf numFmtId="0" fontId="16" fillId="0" borderId="175" xfId="0" applyFont="1" applyBorder="1" applyAlignment="1">
      <alignment horizontal="center" vertical="center"/>
    </xf>
    <xf numFmtId="0" fontId="14" fillId="0" borderId="99" xfId="0" applyFont="1" applyBorder="1">
      <alignment vertical="center"/>
    </xf>
    <xf numFmtId="0" fontId="26" fillId="0" borderId="100" xfId="0" applyFont="1" applyBorder="1">
      <alignment vertical="center"/>
    </xf>
    <xf numFmtId="178" fontId="16" fillId="7" borderId="127" xfId="0" applyNumberFormat="1" applyFont="1" applyFill="1" applyBorder="1" applyAlignment="1">
      <alignment horizontal="center" vertical="center"/>
    </xf>
    <xf numFmtId="188" fontId="14" fillId="8" borderId="140" xfId="0" applyNumberFormat="1" applyFont="1" applyFill="1" applyBorder="1" applyAlignment="1">
      <alignment horizontal="center" vertical="center"/>
    </xf>
    <xf numFmtId="188" fontId="14" fillId="8" borderId="127" xfId="0" applyNumberFormat="1" applyFont="1" applyFill="1" applyBorder="1" applyAlignment="1">
      <alignment horizontal="center" vertical="center"/>
    </xf>
    <xf numFmtId="190" fontId="26" fillId="0" borderId="184" xfId="0" applyNumberFormat="1" applyFont="1" applyBorder="1" applyAlignment="1">
      <alignment horizontal="center" vertical="center"/>
    </xf>
    <xf numFmtId="188" fontId="16" fillId="8" borderId="175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78" fontId="14" fillId="0" borderId="0" xfId="0" applyNumberFormat="1" applyFont="1" applyAlignment="1">
      <alignment horizontal="center" vertical="center"/>
    </xf>
    <xf numFmtId="182" fontId="26" fillId="0" borderId="0" xfId="0" applyNumberFormat="1" applyFont="1" applyAlignment="1">
      <alignment horizontal="right" vertical="center"/>
    </xf>
    <xf numFmtId="182" fontId="69" fillId="0" borderId="0" xfId="0" applyNumberFormat="1" applyFont="1" applyAlignment="1">
      <alignment horizontal="center" vertical="center"/>
    </xf>
    <xf numFmtId="188" fontId="69" fillId="0" borderId="0" xfId="0" applyNumberFormat="1" applyFont="1" applyAlignment="1">
      <alignment horizontal="center" vertical="center"/>
    </xf>
    <xf numFmtId="2" fontId="69" fillId="0" borderId="0" xfId="0" applyNumberFormat="1" applyFont="1" applyAlignment="1">
      <alignment horizontal="center" vertical="center"/>
    </xf>
    <xf numFmtId="0" fontId="19" fillId="3" borderId="28" xfId="0" applyFont="1" applyFill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28" xfId="0" applyFont="1" applyBorder="1" applyAlignment="1">
      <alignment horizontal="left" vertical="center" wrapText="1"/>
    </xf>
    <xf numFmtId="0" fontId="11" fillId="3" borderId="28" xfId="0" quotePrefix="1" applyFont="1" applyFill="1" applyBorder="1">
      <alignment vertical="center"/>
    </xf>
    <xf numFmtId="41" fontId="33" fillId="3" borderId="28" xfId="0" applyNumberFormat="1" applyFont="1" applyFill="1" applyBorder="1" applyAlignment="1">
      <alignment horizontal="center" vertical="center"/>
    </xf>
    <xf numFmtId="0" fontId="19" fillId="3" borderId="28" xfId="0" applyFont="1" applyFill="1" applyBorder="1" applyAlignment="1">
      <alignment horizontal="center" vertical="center" wrapText="1"/>
    </xf>
    <xf numFmtId="0" fontId="19" fillId="3" borderId="48" xfId="0" quotePrefix="1" applyFont="1" applyFill="1" applyBorder="1">
      <alignment vertical="center"/>
    </xf>
    <xf numFmtId="0" fontId="19" fillId="3" borderId="48" xfId="0" quotePrefix="1" applyFont="1" applyFill="1" applyBorder="1" applyAlignment="1">
      <alignment vertical="center" wrapText="1"/>
    </xf>
    <xf numFmtId="41" fontId="92" fillId="3" borderId="28" xfId="0" applyNumberFormat="1" applyFont="1" applyFill="1" applyBorder="1" applyAlignment="1">
      <alignment horizontal="center" vertical="center"/>
    </xf>
    <xf numFmtId="0" fontId="19" fillId="3" borderId="28" xfId="0" quotePrefix="1" applyFont="1" applyFill="1" applyBorder="1" applyAlignment="1">
      <alignment vertical="center" wrapText="1"/>
    </xf>
    <xf numFmtId="206" fontId="92" fillId="3" borderId="28" xfId="0" applyNumberFormat="1" applyFont="1" applyFill="1" applyBorder="1" applyAlignment="1">
      <alignment horizontal="left" vertical="center" shrinkToFit="1"/>
    </xf>
    <xf numFmtId="0" fontId="19" fillId="3" borderId="28" xfId="0" quotePrefix="1" applyFont="1" applyFill="1" applyBorder="1">
      <alignment vertical="center"/>
    </xf>
    <xf numFmtId="0" fontId="13" fillId="4" borderId="8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188" fontId="23" fillId="3" borderId="0" xfId="0" applyNumberFormat="1" applyFont="1" applyFill="1">
      <alignment vertical="center"/>
    </xf>
    <xf numFmtId="41" fontId="12" fillId="4" borderId="5" xfId="0" applyNumberFormat="1" applyFont="1" applyFill="1" applyBorder="1" applyAlignment="1">
      <alignment horizontal="left" vertical="center"/>
    </xf>
    <xf numFmtId="185" fontId="12" fillId="0" borderId="0" xfId="0" applyNumberFormat="1" applyFont="1">
      <alignment vertical="center"/>
    </xf>
    <xf numFmtId="185" fontId="23" fillId="0" borderId="0" xfId="0" applyNumberFormat="1" applyFont="1">
      <alignment vertical="center"/>
    </xf>
    <xf numFmtId="41" fontId="13" fillId="23" borderId="78" xfId="0" applyNumberFormat="1" applyFont="1" applyFill="1" applyBorder="1">
      <alignment vertical="center"/>
    </xf>
    <xf numFmtId="41" fontId="13" fillId="23" borderId="77" xfId="0" applyNumberFormat="1" applyFont="1" applyFill="1" applyBorder="1">
      <alignment vertical="center"/>
    </xf>
    <xf numFmtId="41" fontId="13" fillId="23" borderId="49" xfId="0" applyNumberFormat="1" applyFont="1" applyFill="1" applyBorder="1">
      <alignment vertical="center"/>
    </xf>
    <xf numFmtId="41" fontId="16" fillId="23" borderId="78" xfId="0" applyNumberFormat="1" applyFont="1" applyFill="1" applyBorder="1">
      <alignment vertical="center"/>
    </xf>
    <xf numFmtId="41" fontId="16" fillId="23" borderId="77" xfId="0" applyNumberFormat="1" applyFont="1" applyFill="1" applyBorder="1">
      <alignment vertical="center"/>
    </xf>
    <xf numFmtId="41" fontId="16" fillId="23" borderId="49" xfId="0" applyNumberFormat="1" applyFont="1" applyFill="1" applyBorder="1">
      <alignment vertical="center"/>
    </xf>
    <xf numFmtId="41" fontId="14" fillId="2" borderId="69" xfId="0" applyNumberFormat="1" applyFont="1" applyFill="1" applyBorder="1">
      <alignment vertical="center"/>
    </xf>
    <xf numFmtId="41" fontId="14" fillId="2" borderId="55" xfId="0" applyNumberFormat="1" applyFont="1" applyFill="1" applyBorder="1">
      <alignment vertical="center"/>
    </xf>
    <xf numFmtId="41" fontId="14" fillId="2" borderId="1" xfId="0" applyNumberFormat="1" applyFont="1" applyFill="1" applyBorder="1">
      <alignment vertical="center"/>
    </xf>
    <xf numFmtId="185" fontId="12" fillId="2" borderId="47" xfId="0" applyNumberFormat="1" applyFont="1" applyFill="1" applyBorder="1">
      <alignment vertical="center"/>
    </xf>
    <xf numFmtId="0" fontId="13" fillId="4" borderId="41" xfId="0" applyFont="1" applyFill="1" applyBorder="1" applyAlignment="1">
      <alignment horizontal="center" vertical="center"/>
    </xf>
    <xf numFmtId="0" fontId="13" fillId="4" borderId="112" xfId="0" applyFont="1" applyFill="1" applyBorder="1" applyAlignment="1">
      <alignment horizontal="center" vertical="center"/>
    </xf>
    <xf numFmtId="0" fontId="13" fillId="4" borderId="41" xfId="0" applyFont="1" applyFill="1" applyBorder="1" applyAlignment="1">
      <alignment horizontal="left" vertical="center"/>
    </xf>
    <xf numFmtId="41" fontId="13" fillId="4" borderId="148" xfId="0" applyNumberFormat="1" applyFont="1" applyFill="1" applyBorder="1" applyAlignment="1">
      <alignment horizontal="center" vertical="center" wrapText="1"/>
    </xf>
    <xf numFmtId="41" fontId="12" fillId="2" borderId="55" xfId="0" applyNumberFormat="1" applyFont="1" applyFill="1" applyBorder="1">
      <alignment vertical="center"/>
    </xf>
    <xf numFmtId="41" fontId="12" fillId="2" borderId="1" xfId="0" applyNumberFormat="1" applyFont="1" applyFill="1" applyBorder="1">
      <alignment vertical="center"/>
    </xf>
    <xf numFmtId="41" fontId="12" fillId="2" borderId="69" xfId="0" applyNumberFormat="1" applyFont="1" applyFill="1" applyBorder="1">
      <alignment vertical="center"/>
    </xf>
    <xf numFmtId="41" fontId="12" fillId="2" borderId="21" xfId="0" applyNumberFormat="1" applyFont="1" applyFill="1" applyBorder="1">
      <alignment vertical="center"/>
    </xf>
    <xf numFmtId="185" fontId="12" fillId="2" borderId="56" xfId="0" applyNumberFormat="1" applyFont="1" applyFill="1" applyBorder="1">
      <alignment vertical="center"/>
    </xf>
    <xf numFmtId="185" fontId="12" fillId="2" borderId="5" xfId="0" applyNumberFormat="1" applyFont="1" applyFill="1" applyBorder="1">
      <alignment vertical="center"/>
    </xf>
    <xf numFmtId="41" fontId="12" fillId="3" borderId="109" xfId="0" applyNumberFormat="1" applyFont="1" applyFill="1" applyBorder="1" applyAlignment="1">
      <alignment horizontal="center" vertical="center"/>
    </xf>
    <xf numFmtId="41" fontId="12" fillId="3" borderId="112" xfId="0" applyNumberFormat="1" applyFont="1" applyFill="1" applyBorder="1" applyAlignment="1">
      <alignment horizontal="center" vertical="center"/>
    </xf>
    <xf numFmtId="41" fontId="12" fillId="3" borderId="32" xfId="0" applyNumberFormat="1" applyFont="1" applyFill="1" applyBorder="1" applyAlignment="1">
      <alignment horizontal="center" vertical="center"/>
    </xf>
    <xf numFmtId="41" fontId="12" fillId="3" borderId="36" xfId="0" applyNumberFormat="1" applyFont="1" applyFill="1" applyBorder="1" applyAlignment="1">
      <alignment horizontal="center" vertical="center"/>
    </xf>
    <xf numFmtId="41" fontId="12" fillId="2" borderId="109" xfId="0" applyNumberFormat="1" applyFont="1" applyFill="1" applyBorder="1" applyAlignment="1">
      <alignment horizontal="center" vertical="center"/>
    </xf>
    <xf numFmtId="41" fontId="12" fillId="2" borderId="112" xfId="0" applyNumberFormat="1" applyFont="1" applyFill="1" applyBorder="1" applyAlignment="1">
      <alignment horizontal="center" vertical="center"/>
    </xf>
    <xf numFmtId="41" fontId="12" fillId="2" borderId="32" xfId="0" applyNumberFormat="1" applyFont="1" applyFill="1" applyBorder="1" applyAlignment="1">
      <alignment horizontal="center" vertical="center"/>
    </xf>
    <xf numFmtId="41" fontId="12" fillId="2" borderId="36" xfId="0" applyNumberFormat="1" applyFont="1" applyFill="1" applyBorder="1" applyAlignment="1">
      <alignment horizontal="center" vertical="center"/>
    </xf>
    <xf numFmtId="41" fontId="68" fillId="23" borderId="19" xfId="0" applyNumberFormat="1" applyFont="1" applyFill="1" applyBorder="1">
      <alignment vertical="center"/>
    </xf>
    <xf numFmtId="41" fontId="78" fillId="3" borderId="28" xfId="0" applyNumberFormat="1" applyFont="1" applyFill="1" applyBorder="1">
      <alignment vertical="center"/>
    </xf>
    <xf numFmtId="0" fontId="79" fillId="0" borderId="0" xfId="0" applyFont="1">
      <alignment vertical="center"/>
    </xf>
    <xf numFmtId="0" fontId="94" fillId="4" borderId="17" xfId="0" applyFont="1" applyFill="1" applyBorder="1" applyAlignment="1">
      <alignment horizontal="left" vertical="center"/>
    </xf>
    <xf numFmtId="41" fontId="94" fillId="3" borderId="18" xfId="0" applyNumberFormat="1" applyFont="1" applyFill="1" applyBorder="1">
      <alignment vertical="center"/>
    </xf>
    <xf numFmtId="194" fontId="94" fillId="4" borderId="19" xfId="0" applyNumberFormat="1" applyFont="1" applyFill="1" applyBorder="1">
      <alignment vertical="center"/>
    </xf>
    <xf numFmtId="0" fontId="94" fillId="4" borderId="35" xfId="0" applyFont="1" applyFill="1" applyBorder="1" applyAlignment="1">
      <alignment horizontal="left" vertical="center"/>
    </xf>
    <xf numFmtId="41" fontId="94" fillId="3" borderId="5" xfId="0" applyNumberFormat="1" applyFont="1" applyFill="1" applyBorder="1">
      <alignment vertical="center"/>
    </xf>
    <xf numFmtId="194" fontId="94" fillId="4" borderId="47" xfId="0" applyNumberFormat="1" applyFont="1" applyFill="1" applyBorder="1">
      <alignment vertical="center"/>
    </xf>
    <xf numFmtId="0" fontId="94" fillId="4" borderId="64" xfId="0" applyFont="1" applyFill="1" applyBorder="1" applyAlignment="1">
      <alignment horizontal="left" vertical="center"/>
    </xf>
    <xf numFmtId="41" fontId="78" fillId="3" borderId="61" xfId="0" applyNumberFormat="1" applyFont="1" applyFill="1" applyBorder="1">
      <alignment vertical="center"/>
    </xf>
    <xf numFmtId="194" fontId="94" fillId="4" borderId="34" xfId="0" applyNumberFormat="1" applyFont="1" applyFill="1" applyBorder="1">
      <alignment vertical="center"/>
    </xf>
    <xf numFmtId="41" fontId="78" fillId="3" borderId="18" xfId="0" applyNumberFormat="1" applyFont="1" applyFill="1" applyBorder="1">
      <alignment vertical="center"/>
    </xf>
    <xf numFmtId="194" fontId="94" fillId="18" borderId="51" xfId="0" applyNumberFormat="1" applyFont="1" applyFill="1" applyBorder="1" applyAlignment="1">
      <alignment horizontal="left" vertical="center"/>
    </xf>
    <xf numFmtId="194" fontId="94" fillId="18" borderId="53" xfId="0" applyNumberFormat="1" applyFont="1" applyFill="1" applyBorder="1">
      <alignment vertical="center"/>
    </xf>
    <xf numFmtId="194" fontId="94" fillId="18" borderId="86" xfId="0" applyNumberFormat="1" applyFont="1" applyFill="1" applyBorder="1" applyAlignment="1">
      <alignment horizontal="left" vertical="center"/>
    </xf>
    <xf numFmtId="194" fontId="94" fillId="18" borderId="54" xfId="0" applyNumberFormat="1" applyFont="1" applyFill="1" applyBorder="1">
      <alignment vertical="center"/>
    </xf>
    <xf numFmtId="194" fontId="94" fillId="18" borderId="78" xfId="0" applyNumberFormat="1" applyFont="1" applyFill="1" applyBorder="1" applyAlignment="1">
      <alignment horizontal="left" vertical="center"/>
    </xf>
    <xf numFmtId="194" fontId="94" fillId="18" borderId="49" xfId="0" applyNumberFormat="1" applyFont="1" applyFill="1" applyBorder="1">
      <alignment vertical="center"/>
    </xf>
    <xf numFmtId="0" fontId="94" fillId="4" borderId="5" xfId="0" applyFont="1" applyFill="1" applyBorder="1" applyAlignment="1">
      <alignment horizontal="left" vertical="center"/>
    </xf>
    <xf numFmtId="41" fontId="94" fillId="4" borderId="5" xfId="0" applyNumberFormat="1" applyFont="1" applyFill="1" applyBorder="1">
      <alignment vertical="center"/>
    </xf>
    <xf numFmtId="194" fontId="94" fillId="4" borderId="5" xfId="0" applyNumberFormat="1" applyFont="1" applyFill="1" applyBorder="1">
      <alignment vertical="center"/>
    </xf>
    <xf numFmtId="0" fontId="94" fillId="3" borderId="0" xfId="0" applyFont="1" applyFill="1" applyAlignment="1">
      <alignment horizontal="left" vertical="center"/>
    </xf>
    <xf numFmtId="194" fontId="94" fillId="3" borderId="6" xfId="0" applyNumberFormat="1" applyFont="1" applyFill="1" applyBorder="1">
      <alignment vertical="center"/>
    </xf>
    <xf numFmtId="0" fontId="94" fillId="4" borderId="28" xfId="0" applyFont="1" applyFill="1" applyBorder="1" applyAlignment="1">
      <alignment horizontal="left" vertical="center"/>
    </xf>
    <xf numFmtId="194" fontId="94" fillId="4" borderId="28" xfId="0" applyNumberFormat="1" applyFont="1" applyFill="1" applyBorder="1">
      <alignment vertical="center"/>
    </xf>
    <xf numFmtId="192" fontId="95" fillId="2" borderId="0" xfId="0" applyNumberFormat="1" applyFont="1" applyFill="1">
      <alignment vertical="center"/>
    </xf>
    <xf numFmtId="187" fontId="94" fillId="18" borderId="52" xfId="0" applyNumberFormat="1" applyFont="1" applyFill="1" applyBorder="1">
      <alignment vertical="center"/>
    </xf>
    <xf numFmtId="187" fontId="94" fillId="18" borderId="11" xfId="0" applyNumberFormat="1" applyFont="1" applyFill="1" applyBorder="1">
      <alignment vertical="center"/>
    </xf>
    <xf numFmtId="187" fontId="94" fillId="18" borderId="77" xfId="0" applyNumberFormat="1" applyFont="1" applyFill="1" applyBorder="1">
      <alignment vertical="center"/>
    </xf>
    <xf numFmtId="0" fontId="79" fillId="2" borderId="0" xfId="0" applyFont="1" applyFill="1" applyAlignment="1">
      <alignment horizontal="center" vertical="center"/>
    </xf>
    <xf numFmtId="0" fontId="94" fillId="4" borderId="58" xfId="0" applyFont="1" applyFill="1" applyBorder="1">
      <alignment vertical="center"/>
    </xf>
    <xf numFmtId="199" fontId="94" fillId="4" borderId="27" xfId="0" applyNumberFormat="1" applyFont="1" applyFill="1" applyBorder="1" applyAlignment="1">
      <alignment horizontal="center" vertical="center"/>
    </xf>
    <xf numFmtId="0" fontId="94" fillId="4" borderId="60" xfId="0" applyFont="1" applyFill="1" applyBorder="1" applyAlignment="1">
      <alignment horizontal="center" vertical="center"/>
    </xf>
    <xf numFmtId="0" fontId="94" fillId="4" borderId="13" xfId="0" applyFont="1" applyFill="1" applyBorder="1" applyAlignment="1">
      <alignment horizontal="left" vertical="center"/>
    </xf>
    <xf numFmtId="9" fontId="96" fillId="3" borderId="59" xfId="0" applyNumberFormat="1" applyFont="1" applyFill="1" applyBorder="1">
      <alignment vertical="center"/>
    </xf>
    <xf numFmtId="9" fontId="94" fillId="4" borderId="46" xfId="0" applyNumberFormat="1" applyFont="1" applyFill="1" applyBorder="1">
      <alignment vertical="center"/>
    </xf>
    <xf numFmtId="9" fontId="96" fillId="3" borderId="0" xfId="0" applyNumberFormat="1" applyFont="1" applyFill="1">
      <alignment vertical="center"/>
    </xf>
    <xf numFmtId="9" fontId="94" fillId="3" borderId="0" xfId="0" applyNumberFormat="1" applyFont="1" applyFill="1">
      <alignment vertical="center"/>
    </xf>
    <xf numFmtId="194" fontId="94" fillId="26" borderId="17" xfId="0" applyNumberFormat="1" applyFont="1" applyFill="1" applyBorder="1" applyAlignment="1">
      <alignment horizontal="left" vertical="center"/>
    </xf>
    <xf numFmtId="43" fontId="94" fillId="26" borderId="18" xfId="0" applyNumberFormat="1" applyFont="1" applyFill="1" applyBorder="1">
      <alignment vertical="center"/>
    </xf>
    <xf numFmtId="41" fontId="94" fillId="26" borderId="18" xfId="0" applyNumberFormat="1" applyFont="1" applyFill="1" applyBorder="1">
      <alignment vertical="center"/>
    </xf>
    <xf numFmtId="194" fontId="94" fillId="26" borderId="19" xfId="0" applyNumberFormat="1" applyFont="1" applyFill="1" applyBorder="1">
      <alignment vertical="center"/>
    </xf>
    <xf numFmtId="194" fontId="94" fillId="3" borderId="50" xfId="0" applyNumberFormat="1" applyFont="1" applyFill="1" applyBorder="1" applyAlignment="1">
      <alignment horizontal="left" vertical="center"/>
    </xf>
    <xf numFmtId="187" fontId="94" fillId="3" borderId="50" xfId="0" applyNumberFormat="1" applyFont="1" applyFill="1" applyBorder="1">
      <alignment vertical="center"/>
    </xf>
    <xf numFmtId="194" fontId="94" fillId="3" borderId="50" xfId="0" applyNumberFormat="1" applyFont="1" applyFill="1" applyBorder="1">
      <alignment vertical="center"/>
    </xf>
    <xf numFmtId="9" fontId="97" fillId="3" borderId="0" xfId="0" applyNumberFormat="1" applyFont="1" applyFill="1">
      <alignment vertical="center"/>
    </xf>
    <xf numFmtId="185" fontId="24" fillId="0" borderId="0" xfId="0" applyNumberFormat="1" applyFont="1">
      <alignment vertical="center"/>
    </xf>
    <xf numFmtId="185" fontId="24" fillId="0" borderId="0" xfId="0" applyNumberFormat="1" applyFont="1" applyAlignment="1">
      <alignment horizontal="right" vertical="center"/>
    </xf>
    <xf numFmtId="0" fontId="22" fillId="3" borderId="0" xfId="0" applyFont="1" applyFill="1" applyAlignment="1">
      <alignment horizontal="left" vertical="center"/>
    </xf>
    <xf numFmtId="0" fontId="32" fillId="3" borderId="0" xfId="0" applyFont="1" applyFill="1" applyAlignment="1">
      <alignment horizontal="center" vertical="center"/>
    </xf>
    <xf numFmtId="185" fontId="12" fillId="3" borderId="56" xfId="0" applyNumberFormat="1" applyFont="1" applyFill="1" applyBorder="1">
      <alignment vertical="center"/>
    </xf>
    <xf numFmtId="185" fontId="12" fillId="3" borderId="5" xfId="0" applyNumberFormat="1" applyFont="1" applyFill="1" applyBorder="1">
      <alignment vertical="center"/>
    </xf>
    <xf numFmtId="185" fontId="12" fillId="3" borderId="47" xfId="0" applyNumberFormat="1" applyFont="1" applyFill="1" applyBorder="1">
      <alignment vertical="center"/>
    </xf>
    <xf numFmtId="0" fontId="14" fillId="4" borderId="0" xfId="0" applyFont="1" applyFill="1" applyAlignment="1">
      <alignment horizontal="left" vertical="center"/>
    </xf>
    <xf numFmtId="41" fontId="12" fillId="0" borderId="10" xfId="0" applyNumberFormat="1" applyFont="1" applyBorder="1">
      <alignment vertical="center"/>
    </xf>
    <xf numFmtId="187" fontId="13" fillId="4" borderId="29" xfId="0" applyNumberFormat="1" applyFont="1" applyFill="1" applyBorder="1">
      <alignment vertical="center"/>
    </xf>
    <xf numFmtId="187" fontId="16" fillId="4" borderId="29" xfId="0" applyNumberFormat="1" applyFont="1" applyFill="1" applyBorder="1">
      <alignment vertical="center"/>
    </xf>
    <xf numFmtId="0" fontId="16" fillId="4" borderId="13" xfId="0" applyFont="1" applyFill="1" applyBorder="1">
      <alignment vertical="center"/>
    </xf>
    <xf numFmtId="192" fontId="12" fillId="4" borderId="27" xfId="0" applyNumberFormat="1" applyFont="1" applyFill="1" applyBorder="1">
      <alignment vertical="center"/>
    </xf>
    <xf numFmtId="41" fontId="13" fillId="4" borderId="108" xfId="0" applyNumberFormat="1" applyFont="1" applyFill="1" applyBorder="1">
      <alignment vertical="center"/>
    </xf>
    <xf numFmtId="41" fontId="13" fillId="0" borderId="0" xfId="0" applyNumberFormat="1" applyFont="1">
      <alignment vertical="center"/>
    </xf>
    <xf numFmtId="41" fontId="16" fillId="0" borderId="0" xfId="0" applyNumberFormat="1" applyFont="1">
      <alignment vertical="center"/>
    </xf>
    <xf numFmtId="0" fontId="98" fillId="0" borderId="0" xfId="0" applyFont="1">
      <alignment vertical="center"/>
    </xf>
    <xf numFmtId="41" fontId="99" fillId="0" borderId="0" xfId="0" applyNumberFormat="1" applyFont="1">
      <alignment vertical="center"/>
    </xf>
    <xf numFmtId="41" fontId="98" fillId="0" borderId="0" xfId="0" applyNumberFormat="1" applyFont="1">
      <alignment vertical="center"/>
    </xf>
    <xf numFmtId="0" fontId="100" fillId="0" borderId="0" xfId="0" applyFont="1">
      <alignment vertical="center"/>
    </xf>
    <xf numFmtId="0" fontId="101" fillId="0" borderId="0" xfId="0" applyFont="1">
      <alignment vertical="center"/>
    </xf>
    <xf numFmtId="0" fontId="98" fillId="0" borderId="0" xfId="0" applyFont="1" applyAlignment="1">
      <alignment horizontal="left" vertical="center"/>
    </xf>
    <xf numFmtId="0" fontId="98" fillId="0" borderId="0" xfId="0" applyFont="1" applyAlignment="1">
      <alignment horizontal="left" vertical="center" indent="1"/>
    </xf>
    <xf numFmtId="181" fontId="12" fillId="3" borderId="55" xfId="0" applyNumberFormat="1" applyFont="1" applyFill="1" applyBorder="1" applyAlignment="1">
      <alignment horizontal="center" vertical="center"/>
    </xf>
    <xf numFmtId="181" fontId="12" fillId="3" borderId="1" xfId="0" applyNumberFormat="1" applyFont="1" applyFill="1" applyBorder="1" applyAlignment="1">
      <alignment horizontal="center" vertical="center"/>
    </xf>
    <xf numFmtId="181" fontId="12" fillId="3" borderId="8" xfId="0" applyNumberFormat="1" applyFont="1" applyFill="1" applyBorder="1" applyAlignment="1">
      <alignment horizontal="center" vertical="center"/>
    </xf>
    <xf numFmtId="181" fontId="12" fillId="3" borderId="69" xfId="0" applyNumberFormat="1" applyFont="1" applyFill="1" applyBorder="1" applyAlignment="1">
      <alignment horizontal="center" vertical="center"/>
    </xf>
    <xf numFmtId="181" fontId="12" fillId="4" borderId="31" xfId="0" applyNumberFormat="1" applyFont="1" applyFill="1" applyBorder="1" applyAlignment="1">
      <alignment horizontal="center" vertical="center"/>
    </xf>
    <xf numFmtId="41" fontId="13" fillId="4" borderId="50" xfId="0" applyNumberFormat="1" applyFont="1" applyFill="1" applyBorder="1" applyAlignment="1">
      <alignment horizontal="center" vertical="center"/>
    </xf>
    <xf numFmtId="41" fontId="13" fillId="4" borderId="26" xfId="0" applyNumberFormat="1" applyFont="1" applyFill="1" applyBorder="1" applyAlignment="1">
      <alignment horizontal="center" vertical="center"/>
    </xf>
    <xf numFmtId="41" fontId="13" fillId="4" borderId="27" xfId="0" applyNumberFormat="1" applyFont="1" applyFill="1" applyBorder="1" applyAlignment="1">
      <alignment horizontal="center" vertical="center"/>
    </xf>
    <xf numFmtId="0" fontId="13" fillId="10" borderId="58" xfId="0" applyFont="1" applyFill="1" applyBorder="1" applyAlignment="1">
      <alignment horizontal="center" vertical="center"/>
    </xf>
    <xf numFmtId="0" fontId="13" fillId="10" borderId="27" xfId="0" applyFont="1" applyFill="1" applyBorder="1" applyAlignment="1">
      <alignment horizontal="center" vertical="center"/>
    </xf>
    <xf numFmtId="0" fontId="13" fillId="10" borderId="65" xfId="0" applyFont="1" applyFill="1" applyBorder="1" applyAlignment="1">
      <alignment horizontal="center" vertical="center"/>
    </xf>
    <xf numFmtId="0" fontId="13" fillId="10" borderId="60" xfId="0" applyFont="1" applyFill="1" applyBorder="1" applyAlignment="1">
      <alignment horizontal="center" vertical="center"/>
    </xf>
    <xf numFmtId="0" fontId="13" fillId="10" borderId="17" xfId="0" applyFont="1" applyFill="1" applyBorder="1" applyAlignment="1">
      <alignment horizontal="center" vertical="center"/>
    </xf>
    <xf numFmtId="0" fontId="13" fillId="10" borderId="18" xfId="0" applyFont="1" applyFill="1" applyBorder="1" applyAlignment="1">
      <alignment horizontal="center" vertical="center"/>
    </xf>
    <xf numFmtId="0" fontId="13" fillId="10" borderId="20" xfId="0" applyFont="1" applyFill="1" applyBorder="1" applyAlignment="1">
      <alignment horizontal="center" vertical="center"/>
    </xf>
    <xf numFmtId="0" fontId="13" fillId="10" borderId="19" xfId="0" applyFont="1" applyFill="1" applyBorder="1" applyAlignment="1">
      <alignment horizontal="center" vertical="center"/>
    </xf>
    <xf numFmtId="41" fontId="12" fillId="4" borderId="5" xfId="0" applyNumberFormat="1" applyFont="1" applyFill="1" applyBorder="1" applyAlignment="1">
      <alignment horizontal="center" vertical="center"/>
    </xf>
    <xf numFmtId="181" fontId="12" fillId="3" borderId="35" xfId="0" applyNumberFormat="1" applyFont="1" applyFill="1" applyBorder="1" applyAlignment="1">
      <alignment horizontal="center" vertical="center"/>
    </xf>
    <xf numFmtId="181" fontId="12" fillId="3" borderId="5" xfId="0" applyNumberFormat="1" applyFont="1" applyFill="1" applyBorder="1" applyAlignment="1">
      <alignment horizontal="center" vertical="center"/>
    </xf>
    <xf numFmtId="181" fontId="12" fillId="3" borderId="42" xfId="0" applyNumberFormat="1" applyFont="1" applyFill="1" applyBorder="1" applyAlignment="1">
      <alignment horizontal="center" vertical="center"/>
    </xf>
    <xf numFmtId="181" fontId="12" fillId="3" borderId="47" xfId="0" applyNumberFormat="1" applyFont="1" applyFill="1" applyBorder="1" applyAlignment="1">
      <alignment horizontal="center" vertical="center"/>
    </xf>
    <xf numFmtId="181" fontId="12" fillId="4" borderId="44" xfId="0" applyNumberFormat="1" applyFont="1" applyFill="1" applyBorder="1" applyAlignment="1">
      <alignment horizontal="center" vertical="center"/>
    </xf>
    <xf numFmtId="181" fontId="12" fillId="3" borderId="64" xfId="0" applyNumberFormat="1" applyFont="1" applyFill="1" applyBorder="1" applyAlignment="1">
      <alignment horizontal="center" vertical="center"/>
    </xf>
    <xf numFmtId="181" fontId="12" fillId="3" borderId="61" xfId="0" applyNumberFormat="1" applyFont="1" applyFill="1" applyBorder="1" applyAlignment="1">
      <alignment horizontal="center" vertical="center"/>
    </xf>
    <xf numFmtId="181" fontId="12" fillId="3" borderId="63" xfId="0" applyNumberFormat="1" applyFont="1" applyFill="1" applyBorder="1" applyAlignment="1">
      <alignment horizontal="center" vertical="center"/>
    </xf>
    <xf numFmtId="181" fontId="12" fillId="3" borderId="34" xfId="0" applyNumberFormat="1" applyFont="1" applyFill="1" applyBorder="1" applyAlignment="1">
      <alignment horizontal="center" vertical="center"/>
    </xf>
    <xf numFmtId="181" fontId="12" fillId="4" borderId="57" xfId="0" applyNumberFormat="1" applyFont="1" applyFill="1" applyBorder="1" applyAlignment="1">
      <alignment horizontal="center" vertical="center"/>
    </xf>
    <xf numFmtId="41" fontId="12" fillId="4" borderId="61" xfId="0" applyNumberFormat="1" applyFont="1" applyFill="1" applyBorder="1">
      <alignment vertical="center"/>
    </xf>
    <xf numFmtId="41" fontId="12" fillId="4" borderId="59" xfId="0" applyNumberFormat="1" applyFont="1" applyFill="1" applyBorder="1">
      <alignment vertical="center"/>
    </xf>
    <xf numFmtId="41" fontId="12" fillId="10" borderId="1" xfId="0" applyNumberFormat="1" applyFont="1" applyFill="1" applyBorder="1">
      <alignment vertical="center"/>
    </xf>
    <xf numFmtId="41" fontId="12" fillId="10" borderId="69" xfId="0" applyNumberFormat="1" applyFont="1" applyFill="1" applyBorder="1">
      <alignment vertical="center"/>
    </xf>
    <xf numFmtId="41" fontId="12" fillId="10" borderId="21" xfId="0" applyNumberFormat="1" applyFont="1" applyFill="1" applyBorder="1">
      <alignment vertical="center"/>
    </xf>
    <xf numFmtId="41" fontId="14" fillId="10" borderId="55" xfId="0" applyNumberFormat="1" applyFont="1" applyFill="1" applyBorder="1">
      <alignment vertical="center"/>
    </xf>
    <xf numFmtId="41" fontId="14" fillId="10" borderId="1" xfId="0" applyNumberFormat="1" applyFont="1" applyFill="1" applyBorder="1">
      <alignment vertical="center"/>
    </xf>
    <xf numFmtId="41" fontId="14" fillId="10" borderId="69" xfId="0" applyNumberFormat="1" applyFont="1" applyFill="1" applyBorder="1">
      <alignment vertical="center"/>
    </xf>
    <xf numFmtId="185" fontId="12" fillId="10" borderId="56" xfId="0" applyNumberFormat="1" applyFont="1" applyFill="1" applyBorder="1">
      <alignment vertical="center"/>
    </xf>
    <xf numFmtId="0" fontId="98" fillId="3" borderId="0" xfId="0" applyFont="1" applyFill="1">
      <alignment vertical="center"/>
    </xf>
    <xf numFmtId="0" fontId="102" fillId="0" borderId="0" xfId="0" applyFont="1" applyAlignment="1">
      <alignment horizontal="left" vertical="center"/>
    </xf>
    <xf numFmtId="0" fontId="12" fillId="4" borderId="17" xfId="0" applyFont="1" applyFill="1" applyBorder="1" applyAlignment="1">
      <alignment horizontal="center" vertical="center"/>
    </xf>
    <xf numFmtId="0" fontId="12" fillId="4" borderId="15" xfId="0" applyFont="1" applyFill="1" applyBorder="1" applyAlignment="1">
      <alignment horizontal="centerContinuous" vertical="center"/>
    </xf>
    <xf numFmtId="0" fontId="12" fillId="4" borderId="19" xfId="0" applyFont="1" applyFill="1" applyBorder="1" applyAlignment="1">
      <alignment horizontal="center" vertical="center"/>
    </xf>
    <xf numFmtId="41" fontId="12" fillId="10" borderId="10" xfId="0" applyNumberFormat="1" applyFont="1" applyFill="1" applyBorder="1">
      <alignment vertical="center"/>
    </xf>
    <xf numFmtId="41" fontId="12" fillId="4" borderId="21" xfId="0" applyNumberFormat="1" applyFont="1" applyFill="1" applyBorder="1">
      <alignment vertical="center"/>
    </xf>
    <xf numFmtId="41" fontId="12" fillId="4" borderId="38" xfId="0" applyNumberFormat="1" applyFont="1" applyFill="1" applyBorder="1">
      <alignment vertical="center"/>
    </xf>
    <xf numFmtId="0" fontId="13" fillId="4" borderId="40" xfId="0" applyFont="1" applyFill="1" applyBorder="1">
      <alignment vertical="center"/>
    </xf>
    <xf numFmtId="41" fontId="13" fillId="0" borderId="0" xfId="0" applyNumberFormat="1" applyFont="1" applyAlignment="1">
      <alignment horizontal="center" vertical="center" wrapText="1"/>
    </xf>
    <xf numFmtId="41" fontId="12" fillId="2" borderId="10" xfId="0" applyNumberFormat="1" applyFont="1" applyFill="1" applyBorder="1">
      <alignment vertical="center"/>
    </xf>
    <xf numFmtId="194" fontId="12" fillId="4" borderId="69" xfId="0" applyNumberFormat="1" applyFont="1" applyFill="1" applyBorder="1">
      <alignment vertical="center"/>
    </xf>
    <xf numFmtId="41" fontId="102" fillId="4" borderId="15" xfId="0" applyNumberFormat="1" applyFont="1" applyFill="1" applyBorder="1" applyAlignment="1">
      <alignment horizontal="left" vertical="center"/>
    </xf>
    <xf numFmtId="0" fontId="103" fillId="4" borderId="19" xfId="0" applyFont="1" applyFill="1" applyBorder="1" applyAlignment="1">
      <alignment horizontal="center" vertical="center"/>
    </xf>
    <xf numFmtId="41" fontId="105" fillId="4" borderId="67" xfId="0" applyNumberFormat="1" applyFont="1" applyFill="1" applyBorder="1">
      <alignment vertical="center"/>
    </xf>
    <xf numFmtId="41" fontId="105" fillId="4" borderId="18" xfId="0" applyNumberFormat="1" applyFont="1" applyFill="1" applyBorder="1">
      <alignment vertical="center"/>
    </xf>
    <xf numFmtId="41" fontId="105" fillId="4" borderId="20" xfId="0" applyNumberFormat="1" applyFont="1" applyFill="1" applyBorder="1">
      <alignment vertical="center"/>
    </xf>
    <xf numFmtId="41" fontId="105" fillId="4" borderId="17" xfId="0" applyNumberFormat="1" applyFont="1" applyFill="1" applyBorder="1">
      <alignment vertical="center"/>
    </xf>
    <xf numFmtId="41" fontId="105" fillId="4" borderId="19" xfId="0" applyNumberFormat="1" applyFont="1" applyFill="1" applyBorder="1">
      <alignment vertical="center"/>
    </xf>
    <xf numFmtId="0" fontId="0" fillId="0" borderId="0" xfId="0" applyAlignment="1">
      <alignment horizontal="center" vertical="center"/>
    </xf>
    <xf numFmtId="0" fontId="98" fillId="0" borderId="28" xfId="0" applyFont="1" applyBorder="1" applyAlignment="1">
      <alignment horizontal="center" vertical="center"/>
    </xf>
    <xf numFmtId="0" fontId="98" fillId="4" borderId="28" xfId="0" applyFont="1" applyFill="1" applyBorder="1" applyAlignment="1">
      <alignment horizontal="center" vertical="center"/>
    </xf>
    <xf numFmtId="0" fontId="106" fillId="4" borderId="28" xfId="0" applyFont="1" applyFill="1" applyBorder="1" applyAlignment="1">
      <alignment horizontal="left" vertical="center" shrinkToFit="1"/>
    </xf>
    <xf numFmtId="184" fontId="98" fillId="0" borderId="28" xfId="0" applyNumberFormat="1" applyFont="1" applyBorder="1" applyAlignment="1">
      <alignment horizontal="center" vertical="center"/>
    </xf>
    <xf numFmtId="184" fontId="106" fillId="4" borderId="28" xfId="0" applyNumberFormat="1" applyFont="1" applyFill="1" applyBorder="1" applyAlignment="1">
      <alignment horizontal="center" vertical="center"/>
    </xf>
    <xf numFmtId="0" fontId="106" fillId="0" borderId="0" xfId="0" applyFont="1" applyAlignment="1">
      <alignment horizontal="center" vertical="center"/>
    </xf>
    <xf numFmtId="184" fontId="106" fillId="0" borderId="0" xfId="0" applyNumberFormat="1" applyFont="1" applyAlignment="1">
      <alignment horizontal="center" vertical="center"/>
    </xf>
    <xf numFmtId="182" fontId="106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42" xfId="0" applyBorder="1" applyAlignment="1">
      <alignment horizontal="left" vertical="center"/>
    </xf>
    <xf numFmtId="0" fontId="98" fillId="4" borderId="109" xfId="0" applyFont="1" applyFill="1" applyBorder="1" applyAlignment="1">
      <alignment horizontal="center" vertical="center"/>
    </xf>
    <xf numFmtId="0" fontId="98" fillId="4" borderId="112" xfId="0" applyFont="1" applyFill="1" applyBorder="1" applyAlignment="1">
      <alignment horizontal="center" vertical="center"/>
    </xf>
    <xf numFmtId="0" fontId="106" fillId="4" borderId="112" xfId="0" applyFont="1" applyFill="1" applyBorder="1" applyAlignment="1">
      <alignment horizontal="center" vertical="center"/>
    </xf>
    <xf numFmtId="0" fontId="106" fillId="4" borderId="32" xfId="0" applyFont="1" applyFill="1" applyBorder="1" applyAlignment="1">
      <alignment horizontal="center" vertical="center"/>
    </xf>
    <xf numFmtId="184" fontId="106" fillId="4" borderId="33" xfId="0" applyNumberFormat="1" applyFont="1" applyFill="1" applyBorder="1" applyAlignment="1">
      <alignment horizontal="center" vertical="center"/>
    </xf>
    <xf numFmtId="0" fontId="102" fillId="4" borderId="13" xfId="0" applyFont="1" applyFill="1" applyBorder="1" applyAlignment="1">
      <alignment horizontal="center" vertical="center"/>
    </xf>
    <xf numFmtId="0" fontId="102" fillId="4" borderId="77" xfId="0" applyFont="1" applyFill="1" applyBorder="1" applyAlignment="1">
      <alignment horizontal="center" vertical="center"/>
    </xf>
    <xf numFmtId="182" fontId="103" fillId="4" borderId="77" xfId="0" applyNumberFormat="1" applyFont="1" applyFill="1" applyBorder="1" applyAlignment="1">
      <alignment horizontal="center" vertical="center"/>
    </xf>
    <xf numFmtId="182" fontId="103" fillId="4" borderId="49" xfId="0" applyNumberFormat="1" applyFont="1" applyFill="1" applyBorder="1" applyAlignment="1">
      <alignment horizontal="center" vertical="center"/>
    </xf>
    <xf numFmtId="182" fontId="103" fillId="27" borderId="77" xfId="0" applyNumberFormat="1" applyFont="1" applyFill="1" applyBorder="1" applyAlignment="1">
      <alignment horizontal="center" vertical="center"/>
    </xf>
    <xf numFmtId="0" fontId="102" fillId="3" borderId="0" xfId="0" applyFont="1" applyFill="1" applyAlignment="1">
      <alignment horizontal="left" vertical="center"/>
    </xf>
    <xf numFmtId="0" fontId="102" fillId="4" borderId="17" xfId="0" applyFont="1" applyFill="1" applyBorder="1" applyAlignment="1">
      <alignment horizontal="center" vertical="center"/>
    </xf>
    <xf numFmtId="0" fontId="102" fillId="4" borderId="18" xfId="0" applyFont="1" applyFill="1" applyBorder="1">
      <alignment vertical="center"/>
    </xf>
    <xf numFmtId="0" fontId="102" fillId="2" borderId="0" xfId="0" applyFont="1" applyFill="1" applyAlignment="1">
      <alignment horizontal="left" vertical="center"/>
    </xf>
    <xf numFmtId="0" fontId="12" fillId="0" borderId="78" xfId="0" applyFont="1" applyBorder="1">
      <alignment vertical="center"/>
    </xf>
    <xf numFmtId="195" fontId="14" fillId="0" borderId="77" xfId="0" applyNumberFormat="1" applyFont="1" applyBorder="1">
      <alignment vertical="center"/>
    </xf>
    <xf numFmtId="195" fontId="88" fillId="0" borderId="77" xfId="0" applyNumberFormat="1" applyFont="1" applyBorder="1">
      <alignment vertical="center"/>
    </xf>
    <xf numFmtId="195" fontId="88" fillId="0" borderId="49" xfId="0" applyNumberFormat="1" applyFont="1" applyBorder="1">
      <alignment vertical="center"/>
    </xf>
    <xf numFmtId="0" fontId="12" fillId="4" borderId="78" xfId="0" applyFont="1" applyFill="1" applyBorder="1">
      <alignment vertical="center"/>
    </xf>
    <xf numFmtId="0" fontId="12" fillId="4" borderId="35" xfId="0" applyFont="1" applyFill="1" applyBorder="1">
      <alignment vertical="center"/>
    </xf>
    <xf numFmtId="41" fontId="14" fillId="0" borderId="5" xfId="0" applyNumberFormat="1" applyFont="1" applyBorder="1">
      <alignment vertical="center"/>
    </xf>
    <xf numFmtId="41" fontId="88" fillId="0" borderId="5" xfId="0" applyNumberFormat="1" applyFont="1" applyBorder="1">
      <alignment vertical="center"/>
    </xf>
    <xf numFmtId="41" fontId="88" fillId="0" borderId="47" xfId="0" applyNumberFormat="1" applyFont="1" applyBorder="1">
      <alignment vertical="center"/>
    </xf>
    <xf numFmtId="0" fontId="102" fillId="4" borderId="17" xfId="0" applyFont="1" applyFill="1" applyBorder="1">
      <alignment vertical="center"/>
    </xf>
    <xf numFmtId="41" fontId="88" fillId="26" borderId="18" xfId="0" applyNumberFormat="1" applyFont="1" applyFill="1" applyBorder="1">
      <alignment vertical="center"/>
    </xf>
    <xf numFmtId="0" fontId="88" fillId="26" borderId="18" xfId="0" applyFont="1" applyFill="1" applyBorder="1">
      <alignment vertical="center"/>
    </xf>
    <xf numFmtId="0" fontId="88" fillId="26" borderId="19" xfId="0" applyFont="1" applyFill="1" applyBorder="1">
      <alignment vertical="center"/>
    </xf>
    <xf numFmtId="0" fontId="12" fillId="4" borderId="55" xfId="0" applyFont="1" applyFill="1" applyBorder="1">
      <alignment vertical="center"/>
    </xf>
    <xf numFmtId="41" fontId="88" fillId="0" borderId="1" xfId="0" applyNumberFormat="1" applyFont="1" applyBorder="1">
      <alignment vertical="center"/>
    </xf>
    <xf numFmtId="41" fontId="88" fillId="0" borderId="69" xfId="0" applyNumberFormat="1" applyFont="1" applyBorder="1">
      <alignment vertical="center"/>
    </xf>
    <xf numFmtId="0" fontId="80" fillId="4" borderId="18" xfId="0" applyFont="1" applyFill="1" applyBorder="1" applyAlignment="1">
      <alignment horizontal="center" vertical="center" wrapText="1"/>
    </xf>
    <xf numFmtId="0" fontId="88" fillId="4" borderId="19" xfId="0" applyFont="1" applyFill="1" applyBorder="1" applyAlignment="1">
      <alignment horizontal="center" vertical="center"/>
    </xf>
    <xf numFmtId="0" fontId="16" fillId="4" borderId="20" xfId="0" applyFont="1" applyFill="1" applyBorder="1" applyAlignment="1">
      <alignment horizontal="center" vertical="center"/>
    </xf>
    <xf numFmtId="41" fontId="88" fillId="0" borderId="8" xfId="0" applyNumberFormat="1" applyFont="1" applyBorder="1">
      <alignment vertical="center"/>
    </xf>
    <xf numFmtId="41" fontId="88" fillId="26" borderId="20" xfId="0" applyNumberFormat="1" applyFont="1" applyFill="1" applyBorder="1">
      <alignment vertical="center"/>
    </xf>
    <xf numFmtId="41" fontId="14" fillId="0" borderId="42" xfId="0" applyNumberFormat="1" applyFont="1" applyBorder="1">
      <alignment vertical="center"/>
    </xf>
    <xf numFmtId="195" fontId="14" fillId="0" borderId="43" xfId="0" applyNumberFormat="1" applyFont="1" applyBorder="1">
      <alignment vertical="center"/>
    </xf>
    <xf numFmtId="0" fontId="80" fillId="4" borderId="17" xfId="0" applyFont="1" applyFill="1" applyBorder="1" applyAlignment="1">
      <alignment horizontal="center" vertical="center" wrapText="1"/>
    </xf>
    <xf numFmtId="41" fontId="88" fillId="0" borderId="55" xfId="0" applyNumberFormat="1" applyFont="1" applyBorder="1">
      <alignment vertical="center"/>
    </xf>
    <xf numFmtId="41" fontId="88" fillId="26" borderId="17" xfId="0" applyNumberFormat="1" applyFont="1" applyFill="1" applyBorder="1">
      <alignment vertical="center"/>
    </xf>
    <xf numFmtId="41" fontId="12" fillId="0" borderId="35" xfId="0" applyNumberFormat="1" applyFont="1" applyBorder="1">
      <alignment vertical="center"/>
    </xf>
    <xf numFmtId="0" fontId="12" fillId="10" borderId="29" xfId="0" applyFont="1" applyFill="1" applyBorder="1" applyAlignment="1">
      <alignment horizontal="center" vertical="center"/>
    </xf>
    <xf numFmtId="0" fontId="12" fillId="0" borderId="73" xfId="0" applyFont="1" applyBorder="1">
      <alignment vertical="center"/>
    </xf>
    <xf numFmtId="0" fontId="12" fillId="0" borderId="91" xfId="0" applyFont="1" applyBorder="1">
      <alignment vertical="center"/>
    </xf>
    <xf numFmtId="0" fontId="59" fillId="0" borderId="91" xfId="0" applyFont="1" applyBorder="1">
      <alignment vertical="center"/>
    </xf>
    <xf numFmtId="0" fontId="64" fillId="3" borderId="28" xfId="0" applyFont="1" applyFill="1" applyBorder="1" applyAlignment="1">
      <alignment horizontal="center" vertical="center"/>
    </xf>
    <xf numFmtId="9" fontId="98" fillId="0" borderId="28" xfId="0" applyNumberFormat="1" applyFont="1" applyBorder="1">
      <alignment vertical="center"/>
    </xf>
    <xf numFmtId="0" fontId="64" fillId="0" borderId="28" xfId="0" applyFont="1" applyBorder="1" applyAlignment="1">
      <alignment horizontal="center" vertical="center"/>
    </xf>
    <xf numFmtId="185" fontId="64" fillId="0" borderId="28" xfId="0" applyNumberFormat="1" applyFont="1" applyBorder="1" applyAlignment="1">
      <alignment horizontal="center" vertical="center"/>
    </xf>
    <xf numFmtId="9" fontId="0" fillId="0" borderId="0" xfId="0" applyNumberFormat="1">
      <alignment vertical="center"/>
    </xf>
    <xf numFmtId="41" fontId="13" fillId="4" borderId="43" xfId="0" applyNumberFormat="1" applyFont="1" applyFill="1" applyBorder="1">
      <alignment vertical="center"/>
    </xf>
    <xf numFmtId="41" fontId="16" fillId="4" borderId="43" xfId="0" applyNumberFormat="1" applyFont="1" applyFill="1" applyBorder="1">
      <alignment vertical="center"/>
    </xf>
    <xf numFmtId="41" fontId="12" fillId="4" borderId="21" xfId="0" applyNumberFormat="1" applyFont="1" applyFill="1" applyBorder="1" applyAlignment="1">
      <alignment horizontal="left" vertical="center"/>
    </xf>
    <xf numFmtId="41" fontId="101" fillId="26" borderId="8" xfId="0" applyNumberFormat="1" applyFont="1" applyFill="1" applyBorder="1">
      <alignment vertical="center"/>
    </xf>
    <xf numFmtId="41" fontId="101" fillId="26" borderId="55" xfId="0" applyNumberFormat="1" applyFont="1" applyFill="1" applyBorder="1">
      <alignment vertical="center"/>
    </xf>
    <xf numFmtId="41" fontId="101" fillId="26" borderId="1" xfId="0" applyNumberFormat="1" applyFont="1" applyFill="1" applyBorder="1">
      <alignment vertical="center"/>
    </xf>
    <xf numFmtId="41" fontId="101" fillId="26" borderId="69" xfId="0" applyNumberFormat="1" applyFont="1" applyFill="1" applyBorder="1">
      <alignment vertical="center"/>
    </xf>
    <xf numFmtId="41" fontId="101" fillId="26" borderId="10" xfId="0" applyNumberFormat="1" applyFont="1" applyFill="1" applyBorder="1">
      <alignment vertical="center"/>
    </xf>
    <xf numFmtId="41" fontId="101" fillId="0" borderId="109" xfId="0" applyNumberFormat="1" applyFont="1" applyBorder="1">
      <alignment vertical="center"/>
    </xf>
    <xf numFmtId="41" fontId="101" fillId="0" borderId="112" xfId="0" applyNumberFormat="1" applyFont="1" applyBorder="1">
      <alignment vertical="center"/>
    </xf>
    <xf numFmtId="41" fontId="101" fillId="0" borderId="41" xfId="0" applyNumberFormat="1" applyFont="1" applyBorder="1">
      <alignment vertical="center"/>
    </xf>
    <xf numFmtId="41" fontId="101" fillId="0" borderId="32" xfId="0" applyNumberFormat="1" applyFont="1" applyBorder="1">
      <alignment vertical="center"/>
    </xf>
    <xf numFmtId="41" fontId="101" fillId="0" borderId="113" xfId="0" applyNumberFormat="1" applyFont="1" applyBorder="1">
      <alignment vertical="center"/>
    </xf>
    <xf numFmtId="0" fontId="101" fillId="26" borderId="55" xfId="0" applyFont="1" applyFill="1" applyBorder="1">
      <alignment vertical="center"/>
    </xf>
    <xf numFmtId="0" fontId="101" fillId="26" borderId="13" xfId="0" applyFont="1" applyFill="1" applyBorder="1">
      <alignment vertical="center"/>
    </xf>
    <xf numFmtId="41" fontId="101" fillId="26" borderId="68" xfId="0" applyNumberFormat="1" applyFont="1" applyFill="1" applyBorder="1">
      <alignment vertical="center"/>
    </xf>
    <xf numFmtId="41" fontId="101" fillId="26" borderId="13" xfId="0" applyNumberFormat="1" applyFont="1" applyFill="1" applyBorder="1">
      <alignment vertical="center"/>
    </xf>
    <xf numFmtId="41" fontId="101" fillId="26" borderId="59" xfId="0" applyNumberFormat="1" applyFont="1" applyFill="1" applyBorder="1">
      <alignment vertical="center"/>
    </xf>
    <xf numFmtId="41" fontId="101" fillId="26" borderId="46" xfId="0" applyNumberFormat="1" applyFont="1" applyFill="1" applyBorder="1">
      <alignment vertical="center"/>
    </xf>
    <xf numFmtId="41" fontId="101" fillId="26" borderId="66" xfId="0" applyNumberFormat="1" applyFont="1" applyFill="1" applyBorder="1">
      <alignment vertical="center"/>
    </xf>
    <xf numFmtId="41" fontId="12" fillId="4" borderId="36" xfId="0" applyNumberFormat="1" applyFont="1" applyFill="1" applyBorder="1" applyAlignment="1">
      <alignment horizontal="left" vertical="center"/>
    </xf>
    <xf numFmtId="41" fontId="12" fillId="4" borderId="73" xfId="0" applyNumberFormat="1" applyFont="1" applyFill="1" applyBorder="1" applyAlignment="1">
      <alignment horizontal="left" vertical="center"/>
    </xf>
    <xf numFmtId="1" fontId="12" fillId="0" borderId="31" xfId="0" applyNumberFormat="1" applyFont="1" applyBorder="1">
      <alignment vertical="center"/>
    </xf>
    <xf numFmtId="41" fontId="103" fillId="4" borderId="29" xfId="0" applyNumberFormat="1" applyFont="1" applyFill="1" applyBorder="1">
      <alignment vertical="center"/>
    </xf>
    <xf numFmtId="182" fontId="12" fillId="4" borderId="32" xfId="0" applyNumberFormat="1" applyFont="1" applyFill="1" applyBorder="1" applyAlignment="1">
      <alignment horizontal="center" vertical="center"/>
    </xf>
    <xf numFmtId="41" fontId="12" fillId="4" borderId="47" xfId="0" applyNumberFormat="1" applyFont="1" applyFill="1" applyBorder="1">
      <alignment vertical="center"/>
    </xf>
    <xf numFmtId="41" fontId="101" fillId="26" borderId="92" xfId="0" applyNumberFormat="1" applyFont="1" applyFill="1" applyBorder="1">
      <alignment vertical="center"/>
    </xf>
    <xf numFmtId="41" fontId="12" fillId="4" borderId="80" xfId="0" applyNumberFormat="1" applyFont="1" applyFill="1" applyBorder="1" applyAlignment="1">
      <alignment horizontal="left" vertical="center"/>
    </xf>
    <xf numFmtId="41" fontId="101" fillId="26" borderId="65" xfId="0" applyNumberFormat="1" applyFont="1" applyFill="1" applyBorder="1">
      <alignment vertical="center"/>
    </xf>
    <xf numFmtId="41" fontId="101" fillId="26" borderId="58" xfId="0" applyNumberFormat="1" applyFont="1" applyFill="1" applyBorder="1">
      <alignment vertical="center"/>
    </xf>
    <xf numFmtId="41" fontId="101" fillId="26" borderId="27" xfId="0" applyNumberFormat="1" applyFont="1" applyFill="1" applyBorder="1">
      <alignment vertical="center"/>
    </xf>
    <xf numFmtId="41" fontId="101" fillId="26" borderId="60" xfId="0" applyNumberFormat="1" applyFont="1" applyFill="1" applyBorder="1">
      <alignment vertical="center"/>
    </xf>
    <xf numFmtId="41" fontId="101" fillId="26" borderId="26" xfId="0" applyNumberFormat="1" applyFont="1" applyFill="1" applyBorder="1">
      <alignment vertical="center"/>
    </xf>
    <xf numFmtId="1" fontId="12" fillId="0" borderId="14" xfId="0" applyNumberFormat="1" applyFont="1" applyBorder="1">
      <alignment vertical="center"/>
    </xf>
    <xf numFmtId="41" fontId="12" fillId="4" borderId="46" xfId="0" applyNumberFormat="1" applyFont="1" applyFill="1" applyBorder="1">
      <alignment vertical="center"/>
    </xf>
    <xf numFmtId="0" fontId="101" fillId="26" borderId="58" xfId="0" applyFont="1" applyFill="1" applyBorder="1">
      <alignment vertical="center"/>
    </xf>
    <xf numFmtId="1" fontId="12" fillId="0" borderId="29" xfId="0" applyNumberFormat="1" applyFont="1" applyBorder="1">
      <alignment vertical="center"/>
    </xf>
    <xf numFmtId="41" fontId="12" fillId="0" borderId="148" xfId="0" applyNumberFormat="1" applyFont="1" applyBorder="1">
      <alignment vertical="center"/>
    </xf>
    <xf numFmtId="41" fontId="12" fillId="10" borderId="8" xfId="0" applyNumberFormat="1" applyFont="1" applyFill="1" applyBorder="1">
      <alignment vertical="center"/>
    </xf>
    <xf numFmtId="41" fontId="14" fillId="10" borderId="10" xfId="0" applyNumberFormat="1" applyFont="1" applyFill="1" applyBorder="1">
      <alignment vertical="center"/>
    </xf>
    <xf numFmtId="41" fontId="12" fillId="10" borderId="55" xfId="0" applyNumberFormat="1" applyFont="1" applyFill="1" applyBorder="1">
      <alignment vertical="center"/>
    </xf>
    <xf numFmtId="41" fontId="14" fillId="10" borderId="8" xfId="0" applyNumberFormat="1" applyFont="1" applyFill="1" applyBorder="1">
      <alignment vertical="center"/>
    </xf>
    <xf numFmtId="182" fontId="12" fillId="0" borderId="0" xfId="0" applyNumberFormat="1" applyFont="1" applyAlignment="1">
      <alignment horizontal="left" vertical="center"/>
    </xf>
    <xf numFmtId="188" fontId="107" fillId="0" borderId="4" xfId="0" applyNumberFormat="1" applyFont="1" applyBorder="1" applyAlignment="1"/>
    <xf numFmtId="0" fontId="12" fillId="0" borderId="28" xfId="0" applyFont="1" applyBorder="1" applyAlignment="1">
      <alignment horizontal="center" vertical="center"/>
    </xf>
    <xf numFmtId="0" fontId="12" fillId="0" borderId="28" xfId="0" applyFont="1" applyBorder="1">
      <alignment vertical="center"/>
    </xf>
    <xf numFmtId="184" fontId="12" fillId="0" borderId="55" xfId="0" applyNumberFormat="1" applyFont="1" applyBorder="1">
      <alignment vertical="center"/>
    </xf>
    <xf numFmtId="184" fontId="12" fillId="0" borderId="1" xfId="0" applyNumberFormat="1" applyFont="1" applyBorder="1">
      <alignment vertical="center"/>
    </xf>
    <xf numFmtId="184" fontId="12" fillId="0" borderId="69" xfId="0" applyNumberFormat="1" applyFont="1" applyBorder="1">
      <alignment vertical="center"/>
    </xf>
    <xf numFmtId="184" fontId="12" fillId="0" borderId="21" xfId="0" applyNumberFormat="1" applyFont="1" applyBorder="1">
      <alignment vertical="center"/>
    </xf>
    <xf numFmtId="184" fontId="14" fillId="0" borderId="55" xfId="0" applyNumberFormat="1" applyFont="1" applyBorder="1">
      <alignment vertical="center"/>
    </xf>
    <xf numFmtId="184" fontId="14" fillId="0" borderId="1" xfId="0" applyNumberFormat="1" applyFont="1" applyBorder="1">
      <alignment vertical="center"/>
    </xf>
    <xf numFmtId="184" fontId="14" fillId="0" borderId="69" xfId="0" applyNumberFormat="1" applyFont="1" applyBorder="1">
      <alignment vertical="center"/>
    </xf>
    <xf numFmtId="184" fontId="13" fillId="4" borderId="31" xfId="0" applyNumberFormat="1" applyFont="1" applyFill="1" applyBorder="1">
      <alignment vertical="center"/>
    </xf>
    <xf numFmtId="184" fontId="12" fillId="0" borderId="5" xfId="0" applyNumberFormat="1" applyFont="1" applyBorder="1">
      <alignment vertical="center"/>
    </xf>
    <xf numFmtId="184" fontId="12" fillId="0" borderId="47" xfId="0" applyNumberFormat="1" applyFont="1" applyBorder="1">
      <alignment vertical="center"/>
    </xf>
    <xf numFmtId="184" fontId="12" fillId="0" borderId="56" xfId="0" applyNumberFormat="1" applyFont="1" applyBorder="1">
      <alignment vertical="center"/>
    </xf>
    <xf numFmtId="184" fontId="13" fillId="4" borderId="78" xfId="0" applyNumberFormat="1" applyFont="1" applyFill="1" applyBorder="1">
      <alignment vertical="center"/>
    </xf>
    <xf numFmtId="184" fontId="13" fillId="4" borderId="77" xfId="0" applyNumberFormat="1" applyFont="1" applyFill="1" applyBorder="1">
      <alignment vertical="center"/>
    </xf>
    <xf numFmtId="184" fontId="13" fillId="4" borderId="49" xfId="0" applyNumberFormat="1" applyFont="1" applyFill="1" applyBorder="1">
      <alignment vertical="center"/>
    </xf>
    <xf numFmtId="184" fontId="16" fillId="4" borderId="78" xfId="0" applyNumberFormat="1" applyFont="1" applyFill="1" applyBorder="1">
      <alignment vertical="center"/>
    </xf>
    <xf numFmtId="184" fontId="16" fillId="4" borderId="77" xfId="0" applyNumberFormat="1" applyFont="1" applyFill="1" applyBorder="1">
      <alignment vertical="center"/>
    </xf>
    <xf numFmtId="184" fontId="16" fillId="4" borderId="49" xfId="0" applyNumberFormat="1" applyFont="1" applyFill="1" applyBorder="1">
      <alignment vertical="center"/>
    </xf>
    <xf numFmtId="184" fontId="13" fillId="4" borderId="75" xfId="0" applyNumberFormat="1" applyFont="1" applyFill="1" applyBorder="1">
      <alignment vertical="center"/>
    </xf>
    <xf numFmtId="184" fontId="12" fillId="0" borderId="58" xfId="0" applyNumberFormat="1" applyFont="1" applyBorder="1">
      <alignment vertical="center"/>
    </xf>
    <xf numFmtId="184" fontId="12" fillId="0" borderId="27" xfId="0" applyNumberFormat="1" applyFont="1" applyBorder="1">
      <alignment vertical="center"/>
    </xf>
    <xf numFmtId="184" fontId="12" fillId="0" borderId="60" xfId="0" applyNumberFormat="1" applyFont="1" applyBorder="1">
      <alignment vertical="center"/>
    </xf>
    <xf numFmtId="184" fontId="12" fillId="0" borderId="80" xfId="0" applyNumberFormat="1" applyFont="1" applyBorder="1">
      <alignment vertical="center"/>
    </xf>
    <xf numFmtId="184" fontId="14" fillId="0" borderId="58" xfId="0" applyNumberFormat="1" applyFont="1" applyBorder="1">
      <alignment vertical="center"/>
    </xf>
    <xf numFmtId="184" fontId="14" fillId="0" borderId="27" xfId="0" applyNumberFormat="1" applyFont="1" applyBorder="1">
      <alignment vertical="center"/>
    </xf>
    <xf numFmtId="184" fontId="14" fillId="0" borderId="60" xfId="0" applyNumberFormat="1" applyFont="1" applyBorder="1">
      <alignment vertical="center"/>
    </xf>
    <xf numFmtId="184" fontId="12" fillId="0" borderId="13" xfId="0" applyNumberFormat="1" applyFont="1" applyBorder="1">
      <alignment vertical="center"/>
    </xf>
    <xf numFmtId="184" fontId="12" fillId="0" borderId="59" xfId="0" applyNumberFormat="1" applyFont="1" applyBorder="1">
      <alignment vertical="center"/>
    </xf>
    <xf numFmtId="184" fontId="12" fillId="0" borderId="46" xfId="0" applyNumberFormat="1" applyFont="1" applyBorder="1">
      <alignment vertical="center"/>
    </xf>
    <xf numFmtId="184" fontId="12" fillId="0" borderId="66" xfId="0" applyNumberFormat="1" applyFont="1" applyBorder="1">
      <alignment vertical="center"/>
    </xf>
    <xf numFmtId="184" fontId="13" fillId="4" borderId="59" xfId="0" applyNumberFormat="1" applyFont="1" applyFill="1" applyBorder="1">
      <alignment vertical="center"/>
    </xf>
    <xf numFmtId="184" fontId="13" fillId="4" borderId="46" xfId="0" applyNumberFormat="1" applyFont="1" applyFill="1" applyBorder="1">
      <alignment vertical="center"/>
    </xf>
    <xf numFmtId="184" fontId="13" fillId="4" borderId="13" xfId="0" applyNumberFormat="1" applyFont="1" applyFill="1" applyBorder="1">
      <alignment vertical="center"/>
    </xf>
    <xf numFmtId="184" fontId="16" fillId="4" borderId="13" xfId="0" applyNumberFormat="1" applyFont="1" applyFill="1" applyBorder="1">
      <alignment vertical="center"/>
    </xf>
    <xf numFmtId="184" fontId="16" fillId="4" borderId="59" xfId="0" applyNumberFormat="1" applyFont="1" applyFill="1" applyBorder="1">
      <alignment vertical="center"/>
    </xf>
    <xf numFmtId="184" fontId="16" fillId="4" borderId="46" xfId="0" applyNumberFormat="1" applyFont="1" applyFill="1" applyBorder="1">
      <alignment vertical="center"/>
    </xf>
    <xf numFmtId="215" fontId="12" fillId="0" borderId="1" xfId="0" applyNumberFormat="1" applyFont="1" applyBorder="1">
      <alignment vertical="center"/>
    </xf>
    <xf numFmtId="215" fontId="12" fillId="0" borderId="69" xfId="0" applyNumberFormat="1" applyFont="1" applyBorder="1">
      <alignment vertical="center"/>
    </xf>
    <xf numFmtId="215" fontId="12" fillId="0" borderId="21" xfId="0" applyNumberFormat="1" applyFont="1" applyBorder="1">
      <alignment vertical="center"/>
    </xf>
    <xf numFmtId="215" fontId="14" fillId="0" borderId="55" xfId="0" applyNumberFormat="1" applyFont="1" applyBorder="1">
      <alignment vertical="center"/>
    </xf>
    <xf numFmtId="215" fontId="14" fillId="0" borderId="1" xfId="0" applyNumberFormat="1" applyFont="1" applyBorder="1">
      <alignment vertical="center"/>
    </xf>
    <xf numFmtId="215" fontId="14" fillId="0" borderId="69" xfId="0" applyNumberFormat="1" applyFont="1" applyBorder="1">
      <alignment vertical="center"/>
    </xf>
    <xf numFmtId="215" fontId="13" fillId="4" borderId="31" xfId="0" applyNumberFormat="1" applyFont="1" applyFill="1" applyBorder="1">
      <alignment vertical="center"/>
    </xf>
    <xf numFmtId="215" fontId="12" fillId="0" borderId="47" xfId="0" applyNumberFormat="1" applyFont="1" applyBorder="1">
      <alignment vertical="center"/>
    </xf>
    <xf numFmtId="215" fontId="12" fillId="0" borderId="56" xfId="0" applyNumberFormat="1" applyFont="1" applyBorder="1">
      <alignment vertical="center"/>
    </xf>
    <xf numFmtId="215" fontId="12" fillId="0" borderId="5" xfId="0" applyNumberFormat="1" applyFont="1" applyBorder="1">
      <alignment vertical="center"/>
    </xf>
    <xf numFmtId="215" fontId="104" fillId="4" borderId="18" xfId="0" applyNumberFormat="1" applyFont="1" applyFill="1" applyBorder="1">
      <alignment vertical="center"/>
    </xf>
    <xf numFmtId="215" fontId="104" fillId="4" borderId="19" xfId="0" applyNumberFormat="1" applyFont="1" applyFill="1" applyBorder="1">
      <alignment vertical="center"/>
    </xf>
    <xf numFmtId="215" fontId="104" fillId="4" borderId="67" xfId="0" applyNumberFormat="1" applyFont="1" applyFill="1" applyBorder="1">
      <alignment vertical="center"/>
    </xf>
    <xf numFmtId="215" fontId="104" fillId="4" borderId="20" xfId="0" applyNumberFormat="1" applyFont="1" applyFill="1" applyBorder="1">
      <alignment vertical="center"/>
    </xf>
    <xf numFmtId="215" fontId="104" fillId="4" borderId="17" xfId="0" applyNumberFormat="1" applyFont="1" applyFill="1" applyBorder="1">
      <alignment vertical="center"/>
    </xf>
    <xf numFmtId="215" fontId="103" fillId="4" borderId="29" xfId="0" applyNumberFormat="1" applyFont="1" applyFill="1" applyBorder="1">
      <alignment vertical="center"/>
    </xf>
    <xf numFmtId="184" fontId="12" fillId="0" borderId="0" xfId="0" applyNumberFormat="1" applyFont="1">
      <alignment vertical="center"/>
    </xf>
    <xf numFmtId="184" fontId="12" fillId="0" borderId="8" xfId="0" applyNumberFormat="1" applyFont="1" applyBorder="1">
      <alignment vertical="center"/>
    </xf>
    <xf numFmtId="184" fontId="14" fillId="0" borderId="10" xfId="0" applyNumberFormat="1" applyFont="1" applyBorder="1">
      <alignment vertical="center"/>
    </xf>
    <xf numFmtId="184" fontId="12" fillId="0" borderId="10" xfId="0" applyNumberFormat="1" applyFont="1" applyBorder="1">
      <alignment vertical="center"/>
    </xf>
    <xf numFmtId="184" fontId="12" fillId="0" borderId="24" xfId="0" applyNumberFormat="1" applyFont="1" applyBorder="1">
      <alignment vertical="center"/>
    </xf>
    <xf numFmtId="184" fontId="13" fillId="4" borderId="76" xfId="0" applyNumberFormat="1" applyFont="1" applyFill="1" applyBorder="1">
      <alignment vertical="center"/>
    </xf>
    <xf numFmtId="184" fontId="13" fillId="4" borderId="43" xfId="0" applyNumberFormat="1" applyFont="1" applyFill="1" applyBorder="1">
      <alignment vertical="center"/>
    </xf>
    <xf numFmtId="184" fontId="16" fillId="4" borderId="76" xfId="0" applyNumberFormat="1" applyFont="1" applyFill="1" applyBorder="1">
      <alignment vertical="center"/>
    </xf>
    <xf numFmtId="184" fontId="12" fillId="3" borderId="58" xfId="0" applyNumberFormat="1" applyFont="1" applyFill="1" applyBorder="1" applyAlignment="1">
      <alignment horizontal="right" vertical="center"/>
    </xf>
    <xf numFmtId="184" fontId="12" fillId="3" borderId="27" xfId="0" applyNumberFormat="1" applyFont="1" applyFill="1" applyBorder="1" applyAlignment="1">
      <alignment horizontal="right" vertical="center"/>
    </xf>
    <xf numFmtId="184" fontId="12" fillId="3" borderId="65" xfId="0" applyNumberFormat="1" applyFont="1" applyFill="1" applyBorder="1" applyAlignment="1">
      <alignment horizontal="right" vertical="center"/>
    </xf>
    <xf numFmtId="184" fontId="12" fillId="3" borderId="60" xfId="0" applyNumberFormat="1" applyFont="1" applyFill="1" applyBorder="1" applyAlignment="1">
      <alignment horizontal="right" vertical="center"/>
    </xf>
    <xf numFmtId="184" fontId="12" fillId="4" borderId="14" xfId="0" applyNumberFormat="1" applyFont="1" applyFill="1" applyBorder="1" applyAlignment="1">
      <alignment horizontal="right" vertical="center"/>
    </xf>
    <xf numFmtId="184" fontId="13" fillId="4" borderId="17" xfId="0" applyNumberFormat="1" applyFont="1" applyFill="1" applyBorder="1" applyAlignment="1">
      <alignment horizontal="right" vertical="center"/>
    </xf>
    <xf numFmtId="184" fontId="13" fillId="4" borderId="18" xfId="0" applyNumberFormat="1" applyFont="1" applyFill="1" applyBorder="1" applyAlignment="1">
      <alignment horizontal="right" vertical="center"/>
    </xf>
    <xf numFmtId="184" fontId="13" fillId="4" borderId="20" xfId="0" applyNumberFormat="1" applyFont="1" applyFill="1" applyBorder="1" applyAlignment="1">
      <alignment horizontal="right" vertical="center"/>
    </xf>
    <xf numFmtId="184" fontId="13" fillId="4" borderId="19" xfId="0" applyNumberFormat="1" applyFont="1" applyFill="1" applyBorder="1" applyAlignment="1">
      <alignment horizontal="right" vertical="center"/>
    </xf>
    <xf numFmtId="184" fontId="13" fillId="4" borderId="29" xfId="0" applyNumberFormat="1" applyFont="1" applyFill="1" applyBorder="1" applyAlignment="1">
      <alignment horizontal="right" vertical="center"/>
    </xf>
    <xf numFmtId="215" fontId="12" fillId="26" borderId="55" xfId="0" applyNumberFormat="1" applyFont="1" applyFill="1" applyBorder="1" applyAlignment="1">
      <alignment horizontal="right" vertical="center"/>
    </xf>
    <xf numFmtId="215" fontId="12" fillId="26" borderId="1" xfId="0" applyNumberFormat="1" applyFont="1" applyFill="1" applyBorder="1" applyAlignment="1">
      <alignment horizontal="right" vertical="center"/>
    </xf>
    <xf numFmtId="215" fontId="12" fillId="26" borderId="8" xfId="0" applyNumberFormat="1" applyFont="1" applyFill="1" applyBorder="1" applyAlignment="1">
      <alignment horizontal="right" vertical="center"/>
    </xf>
    <xf numFmtId="215" fontId="12" fillId="26" borderId="69" xfId="0" applyNumberFormat="1" applyFont="1" applyFill="1" applyBorder="1" applyAlignment="1">
      <alignment horizontal="right" vertical="center"/>
    </xf>
    <xf numFmtId="215" fontId="12" fillId="4" borderId="31" xfId="0" applyNumberFormat="1" applyFont="1" applyFill="1" applyBorder="1" applyAlignment="1">
      <alignment horizontal="right" vertical="center"/>
    </xf>
    <xf numFmtId="41" fontId="59" fillId="0" borderId="28" xfId="0" applyNumberFormat="1" applyFont="1" applyBorder="1">
      <alignment vertical="center"/>
    </xf>
    <xf numFmtId="41" fontId="32" fillId="3" borderId="5" xfId="0" applyNumberFormat="1" applyFont="1" applyFill="1" applyBorder="1" applyAlignment="1">
      <alignment horizontal="center" vertical="center"/>
    </xf>
    <xf numFmtId="187" fontId="59" fillId="0" borderId="5" xfId="0" applyNumberFormat="1" applyFont="1" applyBorder="1">
      <alignment vertical="center"/>
    </xf>
    <xf numFmtId="0" fontId="17" fillId="3" borderId="28" xfId="0" applyFont="1" applyFill="1" applyBorder="1" applyAlignment="1">
      <alignment horizontal="center" vertical="center"/>
    </xf>
    <xf numFmtId="43" fontId="94" fillId="3" borderId="18" xfId="0" applyNumberFormat="1" applyFont="1" applyFill="1" applyBorder="1">
      <alignment vertical="center"/>
    </xf>
    <xf numFmtId="0" fontId="94" fillId="3" borderId="28" xfId="0" applyFont="1" applyFill="1" applyBorder="1">
      <alignment vertical="center"/>
    </xf>
    <xf numFmtId="41" fontId="95" fillId="3" borderId="28" xfId="0" applyNumberFormat="1" applyFont="1" applyFill="1" applyBorder="1">
      <alignment vertical="center"/>
    </xf>
    <xf numFmtId="194" fontId="95" fillId="3" borderId="28" xfId="0" applyNumberFormat="1" applyFont="1" applyFill="1" applyBorder="1">
      <alignment vertical="center"/>
    </xf>
    <xf numFmtId="0" fontId="110" fillId="3" borderId="0" xfId="0" applyFont="1" applyFill="1">
      <alignment vertical="center"/>
    </xf>
    <xf numFmtId="0" fontId="111" fillId="3" borderId="0" xfId="0" applyFont="1" applyFill="1">
      <alignment vertical="center"/>
    </xf>
    <xf numFmtId="41" fontId="110" fillId="3" borderId="0" xfId="0" applyNumberFormat="1" applyFont="1" applyFill="1">
      <alignment vertical="center"/>
    </xf>
    <xf numFmtId="0" fontId="112" fillId="3" borderId="0" xfId="0" applyFont="1" applyFill="1">
      <alignment vertical="center"/>
    </xf>
    <xf numFmtId="0" fontId="113" fillId="3" borderId="0" xfId="0" applyFont="1" applyFill="1">
      <alignment vertical="center"/>
    </xf>
    <xf numFmtId="0" fontId="113" fillId="3" borderId="28" xfId="0" applyFont="1" applyFill="1" applyBorder="1" applyAlignment="1">
      <alignment horizontal="center" vertical="center"/>
    </xf>
    <xf numFmtId="0" fontId="113" fillId="3" borderId="28" xfId="0" applyFont="1" applyFill="1" applyBorder="1" applyAlignment="1">
      <alignment vertical="center" wrapText="1"/>
    </xf>
    <xf numFmtId="0" fontId="113" fillId="3" borderId="28" xfId="0" quotePrefix="1" applyFont="1" applyFill="1" applyBorder="1">
      <alignment vertical="center"/>
    </xf>
    <xf numFmtId="194" fontId="113" fillId="3" borderId="28" xfId="0" applyNumberFormat="1" applyFont="1" applyFill="1" applyBorder="1">
      <alignment vertical="center"/>
    </xf>
    <xf numFmtId="0" fontId="113" fillId="3" borderId="5" xfId="0" applyFont="1" applyFill="1" applyBorder="1" applyAlignment="1">
      <alignment vertical="center" wrapText="1"/>
    </xf>
    <xf numFmtId="0" fontId="113" fillId="3" borderId="28" xfId="0" applyFont="1" applyFill="1" applyBorder="1" applyAlignment="1">
      <alignment horizontal="left" vertical="center"/>
    </xf>
    <xf numFmtId="0" fontId="113" fillId="3" borderId="5" xfId="0" applyFont="1" applyFill="1" applyBorder="1" applyAlignment="1">
      <alignment horizontal="left" vertical="center"/>
    </xf>
    <xf numFmtId="194" fontId="113" fillId="3" borderId="28" xfId="0" quotePrefix="1" applyNumberFormat="1" applyFont="1" applyFill="1" applyBorder="1">
      <alignment vertical="center"/>
    </xf>
    <xf numFmtId="194" fontId="112" fillId="13" borderId="28" xfId="0" applyNumberFormat="1" applyFont="1" applyFill="1" applyBorder="1">
      <alignment vertical="center"/>
    </xf>
    <xf numFmtId="194" fontId="115" fillId="3" borderId="0" xfId="0" applyNumberFormat="1" applyFont="1" applyFill="1">
      <alignment vertical="center"/>
    </xf>
    <xf numFmtId="0" fontId="110" fillId="3" borderId="0" xfId="0" applyFont="1" applyFill="1" applyAlignment="1">
      <alignment horizontal="center" vertical="center"/>
    </xf>
    <xf numFmtId="0" fontId="110" fillId="3" borderId="0" xfId="0" applyFont="1" applyFill="1" applyAlignment="1">
      <alignment horizontal="left" vertical="center"/>
    </xf>
    <xf numFmtId="0" fontId="110" fillId="3" borderId="0" xfId="0" quotePrefix="1" applyFont="1" applyFill="1" applyAlignment="1">
      <alignment horizontal="left" vertical="center"/>
    </xf>
    <xf numFmtId="194" fontId="110" fillId="3" borderId="0" xfId="0" applyNumberFormat="1" applyFont="1" applyFill="1" applyAlignment="1">
      <alignment horizontal="left" vertical="center"/>
    </xf>
    <xf numFmtId="0" fontId="110" fillId="0" borderId="0" xfId="0" applyFont="1">
      <alignment vertical="center"/>
    </xf>
    <xf numFmtId="0" fontId="110" fillId="0" borderId="0" xfId="0" applyFont="1" applyAlignment="1">
      <alignment horizontal="center" vertical="center"/>
    </xf>
    <xf numFmtId="0" fontId="112" fillId="4" borderId="77" xfId="0" applyFont="1" applyFill="1" applyBorder="1" applyAlignment="1">
      <alignment horizontal="center" vertical="center"/>
    </xf>
    <xf numFmtId="0" fontId="112" fillId="4" borderId="43" xfId="0" applyFont="1" applyFill="1" applyBorder="1" applyAlignment="1">
      <alignment horizontal="center" vertical="center"/>
    </xf>
    <xf numFmtId="0" fontId="93" fillId="3" borderId="42" xfId="0" quotePrefix="1" applyFont="1" applyFill="1" applyBorder="1">
      <alignment vertical="center"/>
    </xf>
    <xf numFmtId="0" fontId="93" fillId="3" borderId="42" xfId="0" quotePrefix="1" applyFont="1" applyFill="1" applyBorder="1" applyAlignment="1">
      <alignment horizontal="left" vertical="center" wrapText="1"/>
    </xf>
    <xf numFmtId="0" fontId="93" fillId="3" borderId="5" xfId="0" applyFont="1" applyFill="1" applyBorder="1" applyAlignment="1">
      <alignment horizontal="center" vertical="center" wrapText="1"/>
    </xf>
    <xf numFmtId="0" fontId="93" fillId="3" borderId="48" xfId="0" quotePrefix="1" applyFont="1" applyFill="1" applyBorder="1">
      <alignment vertical="center"/>
    </xf>
    <xf numFmtId="0" fontId="93" fillId="3" borderId="28" xfId="0" applyFont="1" applyFill="1" applyBorder="1" applyAlignment="1">
      <alignment horizontal="center" vertical="center" wrapText="1"/>
    </xf>
    <xf numFmtId="0" fontId="93" fillId="3" borderId="8" xfId="0" applyFont="1" applyFill="1" applyBorder="1" applyAlignment="1">
      <alignment vertical="center" wrapText="1"/>
    </xf>
    <xf numFmtId="0" fontId="93" fillId="3" borderId="61" xfId="0" applyFont="1" applyFill="1" applyBorder="1" applyAlignment="1">
      <alignment vertical="center" wrapText="1"/>
    </xf>
    <xf numFmtId="0" fontId="93" fillId="3" borderId="1" xfId="0" applyFont="1" applyFill="1" applyBorder="1" applyAlignment="1">
      <alignment vertical="center" wrapText="1"/>
    </xf>
    <xf numFmtId="0" fontId="84" fillId="3" borderId="48" xfId="0" quotePrefix="1" applyFont="1" applyFill="1" applyBorder="1">
      <alignment vertical="center"/>
    </xf>
    <xf numFmtId="0" fontId="93" fillId="3" borderId="1" xfId="0" applyFont="1" applyFill="1" applyBorder="1">
      <alignment vertical="center"/>
    </xf>
    <xf numFmtId="0" fontId="93" fillId="3" borderId="63" xfId="0" applyFont="1" applyFill="1" applyBorder="1" applyAlignment="1">
      <alignment horizontal="left" vertical="center"/>
    </xf>
    <xf numFmtId="0" fontId="93" fillId="3" borderId="8" xfId="0" applyFont="1" applyFill="1" applyBorder="1" applyAlignment="1">
      <alignment horizontal="left" vertical="center"/>
    </xf>
    <xf numFmtId="41" fontId="108" fillId="3" borderId="28" xfId="0" applyNumberFormat="1" applyFont="1" applyFill="1" applyBorder="1">
      <alignment vertical="center"/>
    </xf>
    <xf numFmtId="0" fontId="93" fillId="0" borderId="0" xfId="0" applyFont="1" applyAlignment="1">
      <alignment horizontal="center" vertical="center"/>
    </xf>
    <xf numFmtId="0" fontId="117" fillId="0" borderId="0" xfId="0" applyFont="1" applyAlignment="1">
      <alignment horizontal="left" vertical="center"/>
    </xf>
    <xf numFmtId="0" fontId="116" fillId="0" borderId="0" xfId="0" applyFont="1">
      <alignment vertical="center"/>
    </xf>
    <xf numFmtId="0" fontId="116" fillId="0" borderId="0" xfId="0" applyFont="1" applyAlignment="1">
      <alignment horizontal="center" vertical="center"/>
    </xf>
    <xf numFmtId="41" fontId="93" fillId="0" borderId="0" xfId="0" applyNumberFormat="1" applyFont="1">
      <alignment vertical="center"/>
    </xf>
    <xf numFmtId="41" fontId="84" fillId="0" borderId="0" xfId="0" applyNumberFormat="1" applyFont="1">
      <alignment vertical="center"/>
    </xf>
    <xf numFmtId="41" fontId="118" fillId="0" borderId="0" xfId="0" applyNumberFormat="1" applyFont="1">
      <alignment vertical="center"/>
    </xf>
    <xf numFmtId="0" fontId="84" fillId="0" borderId="0" xfId="0" applyFont="1">
      <alignment vertical="center"/>
    </xf>
    <xf numFmtId="0" fontId="118" fillId="0" borderId="0" xfId="0" applyFont="1">
      <alignment vertical="center"/>
    </xf>
    <xf numFmtId="0" fontId="93" fillId="0" borderId="0" xfId="0" applyFont="1" applyAlignment="1">
      <alignment horizontal="right" vertical="center"/>
    </xf>
    <xf numFmtId="0" fontId="111" fillId="0" borderId="0" xfId="0" applyFont="1">
      <alignment vertical="center"/>
    </xf>
    <xf numFmtId="0" fontId="116" fillId="4" borderId="17" xfId="0" applyFont="1" applyFill="1" applyBorder="1" applyAlignment="1">
      <alignment horizontal="center" vertical="center"/>
    </xf>
    <xf numFmtId="0" fontId="116" fillId="4" borderId="19" xfId="0" applyFont="1" applyFill="1" applyBorder="1" applyAlignment="1">
      <alignment horizontal="center" vertical="center"/>
    </xf>
    <xf numFmtId="0" fontId="116" fillId="4" borderId="29" xfId="0" applyFont="1" applyFill="1" applyBorder="1" applyAlignment="1">
      <alignment horizontal="center" vertical="center" wrapText="1"/>
    </xf>
    <xf numFmtId="41" fontId="93" fillId="3" borderId="58" xfId="0" applyNumberFormat="1" applyFont="1" applyFill="1" applyBorder="1">
      <alignment vertical="center"/>
    </xf>
    <xf numFmtId="41" fontId="93" fillId="3" borderId="27" xfId="0" applyNumberFormat="1" applyFont="1" applyFill="1" applyBorder="1">
      <alignment vertical="center"/>
    </xf>
    <xf numFmtId="41" fontId="93" fillId="3" borderId="60" xfId="0" applyNumberFormat="1" applyFont="1" applyFill="1" applyBorder="1">
      <alignment vertical="center"/>
    </xf>
    <xf numFmtId="41" fontId="116" fillId="4" borderId="14" xfId="0" applyNumberFormat="1" applyFont="1" applyFill="1" applyBorder="1">
      <alignment vertical="center"/>
    </xf>
    <xf numFmtId="41" fontId="116" fillId="3" borderId="0" xfId="0" applyNumberFormat="1" applyFont="1" applyFill="1">
      <alignment vertical="center"/>
    </xf>
    <xf numFmtId="192" fontId="84" fillId="4" borderId="47" xfId="0" applyNumberFormat="1" applyFont="1" applyFill="1" applyBorder="1" applyAlignment="1">
      <alignment horizontal="center" vertical="center"/>
    </xf>
    <xf numFmtId="41" fontId="93" fillId="3" borderId="35" xfId="0" applyNumberFormat="1" applyFont="1" applyFill="1" applyBorder="1">
      <alignment vertical="center"/>
    </xf>
    <xf numFmtId="41" fontId="93" fillId="3" borderId="5" xfId="0" applyNumberFormat="1" applyFont="1" applyFill="1" applyBorder="1">
      <alignment vertical="center"/>
    </xf>
    <xf numFmtId="41" fontId="93" fillId="3" borderId="47" xfId="0" applyNumberFormat="1" applyFont="1" applyFill="1" applyBorder="1">
      <alignment vertical="center"/>
    </xf>
    <xf numFmtId="41" fontId="116" fillId="4" borderId="44" xfId="0" applyNumberFormat="1" applyFont="1" applyFill="1" applyBorder="1">
      <alignment vertical="center"/>
    </xf>
    <xf numFmtId="192" fontId="84" fillId="4" borderId="69" xfId="0" applyNumberFormat="1" applyFont="1" applyFill="1" applyBorder="1" applyAlignment="1">
      <alignment horizontal="center" vertical="center"/>
    </xf>
    <xf numFmtId="41" fontId="93" fillId="3" borderId="55" xfId="0" applyNumberFormat="1" applyFont="1" applyFill="1" applyBorder="1">
      <alignment vertical="center"/>
    </xf>
    <xf numFmtId="41" fontId="93" fillId="3" borderId="1" xfId="0" applyNumberFormat="1" applyFont="1" applyFill="1" applyBorder="1">
      <alignment vertical="center"/>
    </xf>
    <xf numFmtId="41" fontId="93" fillId="3" borderId="69" xfId="0" applyNumberFormat="1" applyFont="1" applyFill="1" applyBorder="1">
      <alignment vertical="center"/>
    </xf>
    <xf numFmtId="41" fontId="93" fillId="3" borderId="8" xfId="0" applyNumberFormat="1" applyFont="1" applyFill="1" applyBorder="1">
      <alignment vertical="center"/>
    </xf>
    <xf numFmtId="41" fontId="116" fillId="4" borderId="31" xfId="0" applyNumberFormat="1" applyFont="1" applyFill="1" applyBorder="1">
      <alignment vertical="center"/>
    </xf>
    <xf numFmtId="41" fontId="93" fillId="3" borderId="42" xfId="0" applyNumberFormat="1" applyFont="1" applyFill="1" applyBorder="1">
      <alignment vertical="center"/>
    </xf>
    <xf numFmtId="0" fontId="108" fillId="4" borderId="42" xfId="0" applyFont="1" applyFill="1" applyBorder="1">
      <alignment vertical="center"/>
    </xf>
    <xf numFmtId="0" fontId="108" fillId="4" borderId="6" xfId="0" applyFont="1" applyFill="1" applyBorder="1">
      <alignment vertical="center"/>
    </xf>
    <xf numFmtId="0" fontId="108" fillId="4" borderId="62" xfId="0" applyFont="1" applyFill="1" applyBorder="1">
      <alignment vertical="center"/>
    </xf>
    <xf numFmtId="192" fontId="108" fillId="4" borderId="33" xfId="0" applyNumberFormat="1" applyFont="1" applyFill="1" applyBorder="1" applyAlignment="1">
      <alignment horizontal="center" vertical="center"/>
    </xf>
    <xf numFmtId="41" fontId="116" fillId="3" borderId="12" xfId="0" applyNumberFormat="1" applyFont="1" applyFill="1" applyBorder="1">
      <alignment vertical="center"/>
    </xf>
    <xf numFmtId="41" fontId="116" fillId="3" borderId="28" xfId="0" applyNumberFormat="1" applyFont="1" applyFill="1" applyBorder="1">
      <alignment vertical="center"/>
    </xf>
    <xf numFmtId="41" fontId="116" fillId="3" borderId="33" xfId="0" applyNumberFormat="1" applyFont="1" applyFill="1" applyBorder="1">
      <alignment vertical="center"/>
    </xf>
    <xf numFmtId="41" fontId="116" fillId="4" borderId="30" xfId="0" applyNumberFormat="1" applyFont="1" applyFill="1" applyBorder="1">
      <alignment vertical="center"/>
    </xf>
    <xf numFmtId="41" fontId="108" fillId="0" borderId="0" xfId="0" applyNumberFormat="1" applyFont="1">
      <alignment vertical="center"/>
    </xf>
    <xf numFmtId="180" fontId="93" fillId="0" borderId="0" xfId="0" applyNumberFormat="1" applyFont="1">
      <alignment vertical="center"/>
    </xf>
    <xf numFmtId="0" fontId="120" fillId="0" borderId="0" xfId="0" applyFont="1">
      <alignment vertical="center"/>
    </xf>
    <xf numFmtId="192" fontId="84" fillId="4" borderId="54" xfId="0" applyNumberFormat="1" applyFont="1" applyFill="1" applyBorder="1" applyAlignment="1">
      <alignment horizontal="center" vertical="center"/>
    </xf>
    <xf numFmtId="41" fontId="93" fillId="3" borderId="86" xfId="0" applyNumberFormat="1" applyFont="1" applyFill="1" applyBorder="1">
      <alignment vertical="center"/>
    </xf>
    <xf numFmtId="41" fontId="93" fillId="3" borderId="11" xfId="0" applyNumberFormat="1" applyFont="1" applyFill="1" applyBorder="1">
      <alignment vertical="center"/>
    </xf>
    <xf numFmtId="41" fontId="93" fillId="3" borderId="54" xfId="0" applyNumberFormat="1" applyFont="1" applyFill="1" applyBorder="1">
      <alignment vertical="center"/>
    </xf>
    <xf numFmtId="41" fontId="93" fillId="3" borderId="119" xfId="0" applyNumberFormat="1" applyFont="1" applyFill="1" applyBorder="1">
      <alignment vertical="center"/>
    </xf>
    <xf numFmtId="41" fontId="116" fillId="4" borderId="94" xfId="0" applyNumberFormat="1" applyFont="1" applyFill="1" applyBorder="1">
      <alignment vertical="center"/>
    </xf>
    <xf numFmtId="41" fontId="84" fillId="4" borderId="9" xfId="0" applyNumberFormat="1" applyFont="1" applyFill="1" applyBorder="1">
      <alignment vertical="center"/>
    </xf>
    <xf numFmtId="192" fontId="84" fillId="4" borderId="89" xfId="0" applyNumberFormat="1" applyFont="1" applyFill="1" applyBorder="1" applyAlignment="1">
      <alignment horizontal="center" vertical="center"/>
    </xf>
    <xf numFmtId="41" fontId="93" fillId="3" borderId="9" xfId="0" applyNumberFormat="1" applyFont="1" applyFill="1" applyBorder="1">
      <alignment vertical="center"/>
    </xf>
    <xf numFmtId="41" fontId="93" fillId="3" borderId="89" xfId="0" applyNumberFormat="1" applyFont="1" applyFill="1" applyBorder="1">
      <alignment vertical="center"/>
    </xf>
    <xf numFmtId="41" fontId="93" fillId="3" borderId="118" xfId="0" applyNumberFormat="1" applyFont="1" applyFill="1" applyBorder="1">
      <alignment vertical="center"/>
    </xf>
    <xf numFmtId="41" fontId="116" fillId="4" borderId="106" xfId="0" applyNumberFormat="1" applyFont="1" applyFill="1" applyBorder="1">
      <alignment vertical="center"/>
    </xf>
    <xf numFmtId="41" fontId="84" fillId="4" borderId="61" xfId="0" applyNumberFormat="1" applyFont="1" applyFill="1" applyBorder="1">
      <alignment vertical="center"/>
    </xf>
    <xf numFmtId="41" fontId="84" fillId="4" borderId="61" xfId="0" applyNumberFormat="1" applyFont="1" applyFill="1" applyBorder="1" applyAlignment="1">
      <alignment vertical="top"/>
    </xf>
    <xf numFmtId="41" fontId="93" fillId="3" borderId="61" xfId="0" applyNumberFormat="1" applyFont="1" applyFill="1" applyBorder="1">
      <alignment vertical="center"/>
    </xf>
    <xf numFmtId="41" fontId="93" fillId="3" borderId="34" xfId="0" applyNumberFormat="1" applyFont="1" applyFill="1" applyBorder="1">
      <alignment vertical="center"/>
    </xf>
    <xf numFmtId="41" fontId="93" fillId="3" borderId="63" xfId="0" applyNumberFormat="1" applyFont="1" applyFill="1" applyBorder="1">
      <alignment vertical="center"/>
    </xf>
    <xf numFmtId="41" fontId="116" fillId="4" borderId="57" xfId="0" applyNumberFormat="1" applyFont="1" applyFill="1" applyBorder="1">
      <alignment vertical="center"/>
    </xf>
    <xf numFmtId="41" fontId="84" fillId="4" borderId="1" xfId="0" applyNumberFormat="1" applyFont="1" applyFill="1" applyBorder="1" applyAlignment="1">
      <alignment vertical="top"/>
    </xf>
    <xf numFmtId="41" fontId="84" fillId="4" borderId="11" xfId="0" applyNumberFormat="1" applyFont="1" applyFill="1" applyBorder="1" applyAlignment="1">
      <alignment vertical="top"/>
    </xf>
    <xf numFmtId="41" fontId="84" fillId="4" borderId="132" xfId="0" applyNumberFormat="1" applyFont="1" applyFill="1" applyBorder="1">
      <alignment vertical="center"/>
    </xf>
    <xf numFmtId="192" fontId="84" fillId="4" borderId="129" xfId="0" applyNumberFormat="1" applyFont="1" applyFill="1" applyBorder="1" applyAlignment="1">
      <alignment horizontal="center" vertical="center"/>
    </xf>
    <xf numFmtId="41" fontId="93" fillId="3" borderId="128" xfId="0" applyNumberFormat="1" applyFont="1" applyFill="1" applyBorder="1">
      <alignment vertical="center"/>
    </xf>
    <xf numFmtId="41" fontId="93" fillId="3" borderId="4" xfId="0" applyNumberFormat="1" applyFont="1" applyFill="1" applyBorder="1">
      <alignment vertical="center"/>
    </xf>
    <xf numFmtId="41" fontId="93" fillId="3" borderId="129" xfId="0" applyNumberFormat="1" applyFont="1" applyFill="1" applyBorder="1">
      <alignment vertical="center"/>
    </xf>
    <xf numFmtId="41" fontId="116" fillId="4" borderId="133" xfId="0" applyNumberFormat="1" applyFont="1" applyFill="1" applyBorder="1">
      <alignment vertical="center"/>
    </xf>
    <xf numFmtId="41" fontId="84" fillId="4" borderId="42" xfId="0" applyNumberFormat="1" applyFont="1" applyFill="1" applyBorder="1">
      <alignment vertical="center"/>
    </xf>
    <xf numFmtId="41" fontId="93" fillId="3" borderId="56" xfId="0" applyNumberFormat="1" applyFont="1" applyFill="1" applyBorder="1">
      <alignment vertical="center"/>
    </xf>
    <xf numFmtId="41" fontId="84" fillId="4" borderId="0" xfId="0" applyNumberFormat="1" applyFont="1" applyFill="1">
      <alignment vertical="center"/>
    </xf>
    <xf numFmtId="41" fontId="93" fillId="3" borderId="10" xfId="0" applyNumberFormat="1" applyFont="1" applyFill="1" applyBorder="1">
      <alignment vertical="center"/>
    </xf>
    <xf numFmtId="41" fontId="84" fillId="4" borderId="5" xfId="0" applyNumberFormat="1" applyFont="1" applyFill="1" applyBorder="1" applyAlignment="1">
      <alignment vertical="top"/>
    </xf>
    <xf numFmtId="192" fontId="84" fillId="4" borderId="48" xfId="0" applyNumberFormat="1" applyFont="1" applyFill="1" applyBorder="1" applyAlignment="1">
      <alignment horizontal="center" vertical="center"/>
    </xf>
    <xf numFmtId="41" fontId="84" fillId="4" borderId="28" xfId="0" applyNumberFormat="1" applyFont="1" applyFill="1" applyBorder="1">
      <alignment vertical="center"/>
    </xf>
    <xf numFmtId="192" fontId="116" fillId="4" borderId="19" xfId="0" applyNumberFormat="1" applyFont="1" applyFill="1" applyBorder="1" applyAlignment="1">
      <alignment horizontal="center" vertical="center"/>
    </xf>
    <xf numFmtId="41" fontId="116" fillId="4" borderId="17" xfId="0" applyNumberFormat="1" applyFont="1" applyFill="1" applyBorder="1">
      <alignment vertical="center"/>
    </xf>
    <xf numFmtId="41" fontId="116" fillId="4" borderId="18" xfId="0" applyNumberFormat="1" applyFont="1" applyFill="1" applyBorder="1">
      <alignment vertical="center"/>
    </xf>
    <xf numFmtId="41" fontId="116" fillId="4" borderId="19" xfId="0" applyNumberFormat="1" applyFont="1" applyFill="1" applyBorder="1">
      <alignment vertical="center"/>
    </xf>
    <xf numFmtId="41" fontId="116" fillId="4" borderId="20" xfId="0" applyNumberFormat="1" applyFont="1" applyFill="1" applyBorder="1">
      <alignment vertical="center"/>
    </xf>
    <xf numFmtId="41" fontId="116" fillId="4" borderId="67" xfId="0" applyNumberFormat="1" applyFont="1" applyFill="1" applyBorder="1">
      <alignment vertical="center"/>
    </xf>
    <xf numFmtId="41" fontId="112" fillId="4" borderId="29" xfId="0" applyNumberFormat="1" applyFont="1" applyFill="1" applyBorder="1">
      <alignment vertical="center"/>
    </xf>
    <xf numFmtId="0" fontId="121" fillId="0" borderId="0" xfId="0" applyFont="1">
      <alignment vertical="center"/>
    </xf>
    <xf numFmtId="0" fontId="121" fillId="0" borderId="0" xfId="0" applyFont="1" applyAlignment="1">
      <alignment horizontal="center" vertical="center"/>
    </xf>
    <xf numFmtId="41" fontId="120" fillId="0" borderId="0" xfId="0" applyNumberFormat="1" applyFont="1">
      <alignment vertical="center"/>
    </xf>
    <xf numFmtId="41" fontId="93" fillId="3" borderId="0" xfId="0" applyNumberFormat="1" applyFont="1" applyFill="1">
      <alignment vertical="center"/>
    </xf>
    <xf numFmtId="9" fontId="93" fillId="0" borderId="0" xfId="0" applyNumberFormat="1" applyFont="1" applyAlignment="1">
      <alignment horizontal="right" vertical="center"/>
    </xf>
    <xf numFmtId="41" fontId="84" fillId="4" borderId="27" xfId="0" applyNumberFormat="1" applyFont="1" applyFill="1" applyBorder="1" applyAlignment="1">
      <alignment horizontal="left" vertical="center"/>
    </xf>
    <xf numFmtId="41" fontId="84" fillId="4" borderId="8" xfId="0" applyNumberFormat="1" applyFont="1" applyFill="1" applyBorder="1" applyAlignment="1">
      <alignment horizontal="left" vertical="center"/>
    </xf>
    <xf numFmtId="194" fontId="84" fillId="4" borderId="69" xfId="0" applyNumberFormat="1" applyFont="1" applyFill="1" applyBorder="1" applyAlignment="1">
      <alignment horizontal="center" vertical="center"/>
    </xf>
    <xf numFmtId="0" fontId="93" fillId="3" borderId="0" xfId="0" applyFont="1" applyFill="1">
      <alignment vertical="center"/>
    </xf>
    <xf numFmtId="41" fontId="116" fillId="4" borderId="12" xfId="0" applyNumberFormat="1" applyFont="1" applyFill="1" applyBorder="1">
      <alignment vertical="center"/>
    </xf>
    <xf numFmtId="41" fontId="116" fillId="4" borderId="28" xfId="0" applyNumberFormat="1" applyFont="1" applyFill="1" applyBorder="1">
      <alignment vertical="center"/>
    </xf>
    <xf numFmtId="41" fontId="116" fillId="4" borderId="33" xfId="0" applyNumberFormat="1" applyFont="1" applyFill="1" applyBorder="1">
      <alignment vertical="center"/>
    </xf>
    <xf numFmtId="41" fontId="84" fillId="4" borderId="4" xfId="0" applyNumberFormat="1" applyFont="1" applyFill="1" applyBorder="1">
      <alignment vertical="center"/>
    </xf>
    <xf numFmtId="41" fontId="84" fillId="4" borderId="8" xfId="0" applyNumberFormat="1" applyFont="1" applyFill="1" applyBorder="1" applyAlignment="1">
      <alignment vertical="top"/>
    </xf>
    <xf numFmtId="192" fontId="84" fillId="4" borderId="33" xfId="0" applyNumberFormat="1" applyFont="1" applyFill="1" applyBorder="1" applyAlignment="1">
      <alignment horizontal="center" vertical="center"/>
    </xf>
    <xf numFmtId="41" fontId="116" fillId="4" borderId="48" xfId="0" applyNumberFormat="1" applyFont="1" applyFill="1" applyBorder="1">
      <alignment vertical="center"/>
    </xf>
    <xf numFmtId="191" fontId="108" fillId="4" borderId="39" xfId="0" applyNumberFormat="1" applyFont="1" applyFill="1" applyBorder="1" applyAlignment="1">
      <alignment horizontal="center" vertical="center"/>
    </xf>
    <xf numFmtId="194" fontId="84" fillId="4" borderId="33" xfId="0" applyNumberFormat="1" applyFont="1" applyFill="1" applyBorder="1" applyAlignment="1">
      <alignment horizontal="center" vertical="center"/>
    </xf>
    <xf numFmtId="41" fontId="116" fillId="4" borderId="62" xfId="0" applyNumberFormat="1" applyFont="1" applyFill="1" applyBorder="1">
      <alignment vertical="center"/>
    </xf>
    <xf numFmtId="191" fontId="108" fillId="4" borderId="40" xfId="0" applyNumberFormat="1" applyFont="1" applyFill="1" applyBorder="1" applyAlignment="1">
      <alignment horizontal="center" vertical="center"/>
    </xf>
    <xf numFmtId="192" fontId="84" fillId="4" borderId="8" xfId="0" applyNumberFormat="1" applyFont="1" applyFill="1" applyBorder="1" applyAlignment="1">
      <alignment horizontal="center" vertical="center"/>
    </xf>
    <xf numFmtId="41" fontId="116" fillId="4" borderId="49" xfId="0" applyNumberFormat="1" applyFont="1" applyFill="1" applyBorder="1">
      <alignment vertical="center"/>
    </xf>
    <xf numFmtId="41" fontId="116" fillId="4" borderId="59" xfId="0" applyNumberFormat="1" applyFont="1" applyFill="1" applyBorder="1">
      <alignment vertical="center"/>
    </xf>
    <xf numFmtId="41" fontId="116" fillId="4" borderId="66" xfId="0" applyNumberFormat="1" applyFont="1" applyFill="1" applyBorder="1">
      <alignment vertical="center"/>
    </xf>
    <xf numFmtId="41" fontId="116" fillId="4" borderId="108" xfId="0" applyNumberFormat="1" applyFont="1" applyFill="1" applyBorder="1">
      <alignment vertical="center"/>
    </xf>
    <xf numFmtId="192" fontId="108" fillId="4" borderId="20" xfId="0" applyNumberFormat="1" applyFont="1" applyFill="1" applyBorder="1" applyAlignment="1">
      <alignment horizontal="center" vertical="center"/>
    </xf>
    <xf numFmtId="0" fontId="84" fillId="3" borderId="0" xfId="0" applyFont="1" applyFill="1">
      <alignment vertical="center"/>
    </xf>
    <xf numFmtId="41" fontId="108" fillId="3" borderId="0" xfId="0" applyNumberFormat="1" applyFont="1" applyFill="1">
      <alignment vertical="center"/>
    </xf>
    <xf numFmtId="0" fontId="111" fillId="0" borderId="0" xfId="0" applyFont="1" applyAlignment="1">
      <alignment horizontal="left" vertical="center"/>
    </xf>
    <xf numFmtId="187" fontId="84" fillId="4" borderId="60" xfId="0" applyNumberFormat="1" applyFont="1" applyFill="1" applyBorder="1" applyAlignment="1">
      <alignment horizontal="center" vertical="center"/>
    </xf>
    <xf numFmtId="41" fontId="93" fillId="3" borderId="80" xfId="0" applyNumberFormat="1" applyFont="1" applyFill="1" applyBorder="1">
      <alignment vertical="center"/>
    </xf>
    <xf numFmtId="41" fontId="93" fillId="4" borderId="60" xfId="0" applyNumberFormat="1" applyFont="1" applyFill="1" applyBorder="1">
      <alignment vertical="center"/>
    </xf>
    <xf numFmtId="41" fontId="84" fillId="3" borderId="1" xfId="0" applyNumberFormat="1" applyFont="1" applyFill="1" applyBorder="1">
      <alignment vertical="center"/>
    </xf>
    <xf numFmtId="41" fontId="84" fillId="3" borderId="69" xfId="0" applyNumberFormat="1" applyFont="1" applyFill="1" applyBorder="1">
      <alignment vertical="center"/>
    </xf>
    <xf numFmtId="41" fontId="84" fillId="3" borderId="21" xfId="0" applyNumberFormat="1" applyFont="1" applyFill="1" applyBorder="1">
      <alignment vertical="center"/>
    </xf>
    <xf numFmtId="41" fontId="93" fillId="3" borderId="24" xfId="0" applyNumberFormat="1" applyFont="1" applyFill="1" applyBorder="1">
      <alignment vertical="center"/>
    </xf>
    <xf numFmtId="41" fontId="93" fillId="3" borderId="123" xfId="0" applyNumberFormat="1" applyFont="1" applyFill="1" applyBorder="1">
      <alignment vertical="center"/>
    </xf>
    <xf numFmtId="41" fontId="93" fillId="4" borderId="69" xfId="0" applyNumberFormat="1" applyFont="1" applyFill="1" applyBorder="1">
      <alignment vertical="center"/>
    </xf>
    <xf numFmtId="41" fontId="93" fillId="3" borderId="38" xfId="0" applyNumberFormat="1" applyFont="1" applyFill="1" applyBorder="1">
      <alignment vertical="center"/>
    </xf>
    <xf numFmtId="41" fontId="93" fillId="3" borderId="110" xfId="0" applyNumberFormat="1" applyFont="1" applyFill="1" applyBorder="1">
      <alignment vertical="center"/>
    </xf>
    <xf numFmtId="41" fontId="116" fillId="4" borderId="6" xfId="0" applyNumberFormat="1" applyFont="1" applyFill="1" applyBorder="1">
      <alignment vertical="center"/>
    </xf>
    <xf numFmtId="41" fontId="116" fillId="4" borderId="83" xfId="0" applyNumberFormat="1" applyFont="1" applyFill="1" applyBorder="1">
      <alignment vertical="center"/>
    </xf>
    <xf numFmtId="41" fontId="93" fillId="0" borderId="1" xfId="0" applyNumberFormat="1" applyFont="1" applyBorder="1">
      <alignment vertical="center"/>
    </xf>
    <xf numFmtId="41" fontId="93" fillId="0" borderId="69" xfId="0" applyNumberFormat="1" applyFont="1" applyBorder="1">
      <alignment vertical="center"/>
    </xf>
    <xf numFmtId="41" fontId="93" fillId="4" borderId="31" xfId="0" applyNumberFormat="1" applyFont="1" applyFill="1" applyBorder="1">
      <alignment vertical="center"/>
    </xf>
    <xf numFmtId="41" fontId="116" fillId="4" borderId="69" xfId="0" applyNumberFormat="1" applyFont="1" applyFill="1" applyBorder="1">
      <alignment vertical="center"/>
    </xf>
    <xf numFmtId="41" fontId="93" fillId="0" borderId="23" xfId="0" applyNumberFormat="1" applyFont="1" applyBorder="1">
      <alignment vertical="center"/>
    </xf>
    <xf numFmtId="41" fontId="93" fillId="0" borderId="3" xfId="0" applyNumberFormat="1" applyFont="1" applyBorder="1">
      <alignment vertical="center"/>
    </xf>
    <xf numFmtId="41" fontId="93" fillId="4" borderId="1" xfId="0" applyNumberFormat="1" applyFont="1" applyFill="1" applyBorder="1">
      <alignment vertical="center"/>
    </xf>
    <xf numFmtId="41" fontId="116" fillId="4" borderId="34" xfId="0" applyNumberFormat="1" applyFont="1" applyFill="1" applyBorder="1">
      <alignment vertical="center"/>
    </xf>
    <xf numFmtId="41" fontId="93" fillId="3" borderId="28" xfId="0" applyNumberFormat="1" applyFont="1" applyFill="1" applyBorder="1">
      <alignment vertical="center"/>
    </xf>
    <xf numFmtId="41" fontId="93" fillId="3" borderId="107" xfId="0" applyNumberFormat="1" applyFont="1" applyFill="1" applyBorder="1">
      <alignment vertical="center"/>
    </xf>
    <xf numFmtId="0" fontId="108" fillId="4" borderId="39" xfId="0" applyFont="1" applyFill="1" applyBorder="1" applyAlignment="1">
      <alignment horizontal="center" vertical="center"/>
    </xf>
    <xf numFmtId="9" fontId="108" fillId="4" borderId="91" xfId="0" applyNumberFormat="1" applyFont="1" applyFill="1" applyBorder="1" applyAlignment="1">
      <alignment vertical="center" wrapText="1"/>
    </xf>
    <xf numFmtId="41" fontId="112" fillId="4" borderId="17" xfId="0" applyNumberFormat="1" applyFont="1" applyFill="1" applyBorder="1">
      <alignment vertical="center"/>
    </xf>
    <xf numFmtId="41" fontId="112" fillId="4" borderId="18" xfId="0" applyNumberFormat="1" applyFont="1" applyFill="1" applyBorder="1">
      <alignment vertical="center"/>
    </xf>
    <xf numFmtId="41" fontId="112" fillId="4" borderId="19" xfId="0" applyNumberFormat="1" applyFont="1" applyFill="1" applyBorder="1">
      <alignment vertical="center"/>
    </xf>
    <xf numFmtId="0" fontId="84" fillId="4" borderId="80" xfId="0" applyFont="1" applyFill="1" applyBorder="1" applyAlignment="1">
      <alignment horizontal="center" vertical="center"/>
    </xf>
    <xf numFmtId="0" fontId="84" fillId="4" borderId="50" xfId="0" applyFont="1" applyFill="1" applyBorder="1">
      <alignment vertical="center"/>
    </xf>
    <xf numFmtId="0" fontId="84" fillId="4" borderId="26" xfId="0" applyFont="1" applyFill="1" applyBorder="1">
      <alignment vertical="center"/>
    </xf>
    <xf numFmtId="41" fontId="93" fillId="4" borderId="27" xfId="0" applyNumberFormat="1" applyFont="1" applyFill="1" applyBorder="1">
      <alignment vertical="center"/>
    </xf>
    <xf numFmtId="41" fontId="93" fillId="4" borderId="80" xfId="0" applyNumberFormat="1" applyFont="1" applyFill="1" applyBorder="1">
      <alignment vertical="center"/>
    </xf>
    <xf numFmtId="41" fontId="93" fillId="4" borderId="65" xfId="0" applyNumberFormat="1" applyFont="1" applyFill="1" applyBorder="1">
      <alignment vertical="center"/>
    </xf>
    <xf numFmtId="41" fontId="116" fillId="4" borderId="45" xfId="0" applyNumberFormat="1" applyFont="1" applyFill="1" applyBorder="1">
      <alignment vertical="center"/>
    </xf>
    <xf numFmtId="41" fontId="116" fillId="4" borderId="29" xfId="0" applyNumberFormat="1" applyFont="1" applyFill="1" applyBorder="1">
      <alignment vertical="center"/>
    </xf>
    <xf numFmtId="41" fontId="93" fillId="4" borderId="18" xfId="0" applyNumberFormat="1" applyFont="1" applyFill="1" applyBorder="1">
      <alignment vertical="center"/>
    </xf>
    <xf numFmtId="41" fontId="93" fillId="4" borderId="19" xfId="0" applyNumberFormat="1" applyFont="1" applyFill="1" applyBorder="1">
      <alignment vertical="center"/>
    </xf>
    <xf numFmtId="41" fontId="93" fillId="4" borderId="20" xfId="0" applyNumberFormat="1" applyFont="1" applyFill="1" applyBorder="1">
      <alignment vertical="center"/>
    </xf>
    <xf numFmtId="0" fontId="93" fillId="4" borderId="29" xfId="0" applyFont="1" applyFill="1" applyBorder="1">
      <alignment vertical="center"/>
    </xf>
    <xf numFmtId="0" fontId="93" fillId="4" borderId="18" xfId="0" applyFont="1" applyFill="1" applyBorder="1" applyAlignment="1">
      <alignment horizontal="center" vertical="center"/>
    </xf>
    <xf numFmtId="0" fontId="116" fillId="4" borderId="19" xfId="0" applyFont="1" applyFill="1" applyBorder="1" applyAlignment="1">
      <alignment horizontal="center" vertical="center" wrapText="1"/>
    </xf>
    <xf numFmtId="9" fontId="93" fillId="4" borderId="27" xfId="0" applyNumberFormat="1" applyFont="1" applyFill="1" applyBorder="1" applyAlignment="1">
      <alignment horizontal="center" vertical="center"/>
    </xf>
    <xf numFmtId="41" fontId="93" fillId="0" borderId="27" xfId="0" applyNumberFormat="1" applyFont="1" applyBorder="1">
      <alignment vertical="center"/>
    </xf>
    <xf numFmtId="41" fontId="93" fillId="0" borderId="60" xfId="0" applyNumberFormat="1" applyFont="1" applyBorder="1">
      <alignment vertical="center"/>
    </xf>
    <xf numFmtId="9" fontId="93" fillId="4" borderId="5" xfId="0" applyNumberFormat="1" applyFont="1" applyFill="1" applyBorder="1" applyAlignment="1">
      <alignment horizontal="center" vertical="center"/>
    </xf>
    <xf numFmtId="9" fontId="93" fillId="4" borderId="59" xfId="0" applyNumberFormat="1" applyFont="1" applyFill="1" applyBorder="1" applyAlignment="1">
      <alignment horizontal="center" vertical="center"/>
    </xf>
    <xf numFmtId="9" fontId="93" fillId="4" borderId="1" xfId="0" applyNumberFormat="1" applyFont="1" applyFill="1" applyBorder="1" applyAlignment="1">
      <alignment horizontal="center" vertical="center"/>
    </xf>
    <xf numFmtId="9" fontId="93" fillId="4" borderId="18" xfId="0" applyNumberFormat="1" applyFont="1" applyFill="1" applyBorder="1" applyAlignment="1">
      <alignment horizontal="center" vertical="center"/>
    </xf>
    <xf numFmtId="0" fontId="93" fillId="0" borderId="28" xfId="0" applyFont="1" applyBorder="1" applyAlignment="1">
      <alignment horizontal="center" vertical="center"/>
    </xf>
    <xf numFmtId="9" fontId="93" fillId="4" borderId="112" xfId="0" applyNumberFormat="1" applyFont="1" applyFill="1" applyBorder="1" applyAlignment="1">
      <alignment horizontal="center" vertical="center"/>
    </xf>
    <xf numFmtId="0" fontId="93" fillId="4" borderId="59" xfId="0" applyFont="1" applyFill="1" applyBorder="1" applyAlignment="1">
      <alignment horizontal="center" vertical="center"/>
    </xf>
    <xf numFmtId="9" fontId="93" fillId="4" borderId="190" xfId="0" applyNumberFormat="1" applyFont="1" applyFill="1" applyBorder="1" applyAlignment="1">
      <alignment horizontal="center" vertical="center"/>
    </xf>
    <xf numFmtId="9" fontId="93" fillId="4" borderId="191" xfId="0" applyNumberFormat="1" applyFont="1" applyFill="1" applyBorder="1" applyAlignment="1">
      <alignment horizontal="center" vertical="center"/>
    </xf>
    <xf numFmtId="0" fontId="116" fillId="4" borderId="13" xfId="0" applyFont="1" applyFill="1" applyBorder="1">
      <alignment vertical="center"/>
    </xf>
    <xf numFmtId="0" fontId="116" fillId="4" borderId="17" xfId="0" applyFont="1" applyFill="1" applyBorder="1">
      <alignment vertical="center"/>
    </xf>
    <xf numFmtId="195" fontId="93" fillId="0" borderId="0" xfId="0" applyNumberFormat="1" applyFont="1">
      <alignment vertical="center"/>
    </xf>
    <xf numFmtId="187" fontId="93" fillId="0" borderId="0" xfId="0" applyNumberFormat="1" applyFont="1">
      <alignment vertical="center"/>
    </xf>
    <xf numFmtId="0" fontId="122" fillId="0" borderId="0" xfId="0" applyFont="1" applyAlignment="1">
      <alignment horizontal="center" vertical="center"/>
    </xf>
    <xf numFmtId="191" fontId="93" fillId="0" borderId="0" xfId="0" applyNumberFormat="1" applyFont="1" applyAlignment="1">
      <alignment horizontal="center" vertical="center"/>
    </xf>
    <xf numFmtId="41" fontId="121" fillId="0" borderId="0" xfId="0" applyNumberFormat="1" applyFont="1">
      <alignment vertical="center"/>
    </xf>
    <xf numFmtId="0" fontId="116" fillId="4" borderId="20" xfId="0" applyFont="1" applyFill="1" applyBorder="1" applyAlignment="1">
      <alignment horizontal="center" vertical="center" wrapText="1"/>
    </xf>
    <xf numFmtId="195" fontId="116" fillId="4" borderId="18" xfId="0" applyNumberFormat="1" applyFont="1" applyFill="1" applyBorder="1" applyAlignment="1">
      <alignment horizontal="center" vertical="center"/>
    </xf>
    <xf numFmtId="187" fontId="116" fillId="4" borderId="19" xfId="0" applyNumberFormat="1" applyFont="1" applyFill="1" applyBorder="1" applyAlignment="1">
      <alignment horizontal="center" vertical="center"/>
    </xf>
    <xf numFmtId="9" fontId="93" fillId="4" borderId="65" xfId="0" applyNumberFormat="1" applyFont="1" applyFill="1" applyBorder="1">
      <alignment vertical="center"/>
    </xf>
    <xf numFmtId="195" fontId="93" fillId="4" borderId="60" xfId="0" applyNumberFormat="1" applyFont="1" applyFill="1" applyBorder="1">
      <alignment vertical="center"/>
    </xf>
    <xf numFmtId="41" fontId="84" fillId="3" borderId="50" xfId="0" applyNumberFormat="1" applyFont="1" applyFill="1" applyBorder="1">
      <alignment vertical="center"/>
    </xf>
    <xf numFmtId="41" fontId="84" fillId="3" borderId="27" xfId="0" applyNumberFormat="1" applyFont="1" applyFill="1" applyBorder="1">
      <alignment vertical="center"/>
    </xf>
    <xf numFmtId="41" fontId="84" fillId="3" borderId="60" xfId="0" applyNumberFormat="1" applyFont="1" applyFill="1" applyBorder="1">
      <alignment vertical="center"/>
    </xf>
    <xf numFmtId="187" fontId="93" fillId="3" borderId="65" xfId="0" applyNumberFormat="1" applyFont="1" applyFill="1" applyBorder="1">
      <alignment vertical="center"/>
    </xf>
    <xf numFmtId="41" fontId="93" fillId="3" borderId="26" xfId="0" applyNumberFormat="1" applyFont="1" applyFill="1" applyBorder="1">
      <alignment vertical="center"/>
    </xf>
    <xf numFmtId="38" fontId="84" fillId="0" borderId="0" xfId="0" applyNumberFormat="1" applyFont="1">
      <alignment vertical="center"/>
    </xf>
    <xf numFmtId="0" fontId="84" fillId="0" borderId="0" xfId="0" applyFont="1" applyAlignment="1">
      <alignment horizontal="center" vertical="center"/>
    </xf>
    <xf numFmtId="198" fontId="93" fillId="4" borderId="27" xfId="0" applyNumberFormat="1" applyFont="1" applyFill="1" applyBorder="1">
      <alignment vertical="center"/>
    </xf>
    <xf numFmtId="41" fontId="93" fillId="4" borderId="5" xfId="0" applyNumberFormat="1" applyFont="1" applyFill="1" applyBorder="1">
      <alignment vertical="center"/>
    </xf>
    <xf numFmtId="9" fontId="93" fillId="4" borderId="42" xfId="0" applyNumberFormat="1" applyFont="1" applyFill="1" applyBorder="1">
      <alignment vertical="center"/>
    </xf>
    <xf numFmtId="198" fontId="93" fillId="4" borderId="5" xfId="0" applyNumberFormat="1" applyFont="1" applyFill="1" applyBorder="1">
      <alignment vertical="center"/>
    </xf>
    <xf numFmtId="187" fontId="93" fillId="4" borderId="47" xfId="0" applyNumberFormat="1" applyFont="1" applyFill="1" applyBorder="1">
      <alignment vertical="center"/>
    </xf>
    <xf numFmtId="41" fontId="84" fillId="3" borderId="5" xfId="0" applyNumberFormat="1" applyFont="1" applyFill="1" applyBorder="1">
      <alignment vertical="center"/>
    </xf>
    <xf numFmtId="41" fontId="84" fillId="3" borderId="47" xfId="0" applyNumberFormat="1" applyFont="1" applyFill="1" applyBorder="1">
      <alignment vertical="center"/>
    </xf>
    <xf numFmtId="9" fontId="93" fillId="4" borderId="8" xfId="0" applyNumberFormat="1" applyFont="1" applyFill="1" applyBorder="1">
      <alignment vertical="center"/>
    </xf>
    <xf numFmtId="198" fontId="93" fillId="4" borderId="1" xfId="0" applyNumberFormat="1" applyFont="1" applyFill="1" applyBorder="1">
      <alignment vertical="center"/>
    </xf>
    <xf numFmtId="195" fontId="93" fillId="4" borderId="34" xfId="0" applyNumberFormat="1" applyFont="1" applyFill="1" applyBorder="1">
      <alignment vertical="center"/>
    </xf>
    <xf numFmtId="41" fontId="93" fillId="3" borderId="21" xfId="0" applyNumberFormat="1" applyFont="1" applyFill="1" applyBorder="1">
      <alignment vertical="center"/>
    </xf>
    <xf numFmtId="9" fontId="93" fillId="4" borderId="1" xfId="0" applyNumberFormat="1" applyFont="1" applyFill="1" applyBorder="1">
      <alignment vertical="center"/>
    </xf>
    <xf numFmtId="187" fontId="93" fillId="4" borderId="69" xfId="0" applyNumberFormat="1" applyFont="1" applyFill="1" applyBorder="1">
      <alignment vertical="center"/>
    </xf>
    <xf numFmtId="9" fontId="93" fillId="4" borderId="5" xfId="0" applyNumberFormat="1" applyFont="1" applyFill="1" applyBorder="1">
      <alignment vertical="center"/>
    </xf>
    <xf numFmtId="0" fontId="116" fillId="4" borderId="6" xfId="0" applyFont="1" applyFill="1" applyBorder="1">
      <alignment vertical="center"/>
    </xf>
    <xf numFmtId="0" fontId="116" fillId="4" borderId="62" xfId="0" applyFont="1" applyFill="1" applyBorder="1">
      <alignment vertical="center"/>
    </xf>
    <xf numFmtId="9" fontId="116" fillId="4" borderId="28" xfId="0" applyNumberFormat="1" applyFont="1" applyFill="1" applyBorder="1">
      <alignment vertical="center"/>
    </xf>
    <xf numFmtId="198" fontId="116" fillId="4" borderId="28" xfId="0" applyNumberFormat="1" applyFont="1" applyFill="1" applyBorder="1">
      <alignment vertical="center"/>
    </xf>
    <xf numFmtId="187" fontId="116" fillId="4" borderId="33" xfId="0" applyNumberFormat="1" applyFont="1" applyFill="1" applyBorder="1">
      <alignment vertical="center"/>
    </xf>
    <xf numFmtId="41" fontId="108" fillId="4" borderId="6" xfId="0" applyNumberFormat="1" applyFont="1" applyFill="1" applyBorder="1">
      <alignment vertical="center"/>
    </xf>
    <xf numFmtId="41" fontId="108" fillId="4" borderId="28" xfId="0" applyNumberFormat="1" applyFont="1" applyFill="1" applyBorder="1">
      <alignment vertical="center"/>
    </xf>
    <xf numFmtId="41" fontId="108" fillId="4" borderId="33" xfId="0" applyNumberFormat="1" applyFont="1" applyFill="1" applyBorder="1">
      <alignment vertical="center"/>
    </xf>
    <xf numFmtId="41" fontId="116" fillId="4" borderId="39" xfId="0" applyNumberFormat="1" applyFont="1" applyFill="1" applyBorder="1">
      <alignment vertical="center"/>
    </xf>
    <xf numFmtId="41" fontId="93" fillId="4" borderId="61" xfId="0" applyNumberFormat="1" applyFont="1" applyFill="1" applyBorder="1">
      <alignment vertical="center"/>
    </xf>
    <xf numFmtId="9" fontId="93" fillId="4" borderId="61" xfId="0" applyNumberFormat="1" applyFont="1" applyFill="1" applyBorder="1">
      <alignment vertical="center"/>
    </xf>
    <xf numFmtId="198" fontId="93" fillId="4" borderId="61" xfId="0" applyNumberFormat="1" applyFont="1" applyFill="1" applyBorder="1">
      <alignment vertical="center"/>
    </xf>
    <xf numFmtId="187" fontId="93" fillId="4" borderId="34" xfId="0" applyNumberFormat="1" applyFont="1" applyFill="1" applyBorder="1">
      <alignment vertical="center"/>
    </xf>
    <xf numFmtId="41" fontId="84" fillId="3" borderId="85" xfId="0" applyNumberFormat="1" applyFont="1" applyFill="1" applyBorder="1">
      <alignment vertical="center"/>
    </xf>
    <xf numFmtId="41" fontId="84" fillId="3" borderId="61" xfId="0" applyNumberFormat="1" applyFont="1" applyFill="1" applyBorder="1">
      <alignment vertical="center"/>
    </xf>
    <xf numFmtId="41" fontId="84" fillId="3" borderId="34" xfId="0" applyNumberFormat="1" applyFont="1" applyFill="1" applyBorder="1">
      <alignment vertical="center"/>
    </xf>
    <xf numFmtId="41" fontId="93" fillId="3" borderId="37" xfId="0" applyNumberFormat="1" applyFont="1" applyFill="1" applyBorder="1">
      <alignment vertical="center"/>
    </xf>
    <xf numFmtId="41" fontId="93" fillId="3" borderId="85" xfId="0" applyNumberFormat="1" applyFont="1" applyFill="1" applyBorder="1">
      <alignment vertical="center"/>
    </xf>
    <xf numFmtId="41" fontId="93" fillId="3" borderId="71" xfId="0" applyNumberFormat="1" applyFont="1" applyFill="1" applyBorder="1">
      <alignment vertical="center"/>
    </xf>
    <xf numFmtId="38" fontId="120" fillId="0" borderId="0" xfId="0" applyNumberFormat="1" applyFont="1">
      <alignment vertical="center"/>
    </xf>
    <xf numFmtId="41" fontId="93" fillId="4" borderId="11" xfId="0" applyNumberFormat="1" applyFont="1" applyFill="1" applyBorder="1">
      <alignment vertical="center"/>
    </xf>
    <xf numFmtId="9" fontId="93" fillId="4" borderId="11" xfId="0" applyNumberFormat="1" applyFont="1" applyFill="1" applyBorder="1">
      <alignment vertical="center"/>
    </xf>
    <xf numFmtId="41" fontId="84" fillId="3" borderId="115" xfId="0" applyNumberFormat="1" applyFont="1" applyFill="1" applyBorder="1">
      <alignment vertical="center"/>
    </xf>
    <xf numFmtId="41" fontId="84" fillId="3" borderId="11" xfId="0" applyNumberFormat="1" applyFont="1" applyFill="1" applyBorder="1">
      <alignment vertical="center"/>
    </xf>
    <xf numFmtId="41" fontId="84" fillId="3" borderId="54" xfId="0" applyNumberFormat="1" applyFont="1" applyFill="1" applyBorder="1">
      <alignment vertical="center"/>
    </xf>
    <xf numFmtId="41" fontId="93" fillId="3" borderId="87" xfId="0" applyNumberFormat="1" applyFont="1" applyFill="1" applyBorder="1">
      <alignment vertical="center"/>
    </xf>
    <xf numFmtId="41" fontId="124" fillId="4" borderId="1" xfId="0" applyNumberFormat="1" applyFont="1" applyFill="1" applyBorder="1">
      <alignment vertical="center"/>
    </xf>
    <xf numFmtId="41" fontId="93" fillId="4" borderId="9" xfId="0" applyNumberFormat="1" applyFont="1" applyFill="1" applyBorder="1">
      <alignment vertical="center"/>
    </xf>
    <xf numFmtId="9" fontId="93" fillId="4" borderId="9" xfId="0" applyNumberFormat="1" applyFont="1" applyFill="1" applyBorder="1">
      <alignment vertical="center"/>
    </xf>
    <xf numFmtId="41" fontId="84" fillId="3" borderId="9" xfId="0" applyNumberFormat="1" applyFont="1" applyFill="1" applyBorder="1">
      <alignment vertical="center"/>
    </xf>
    <xf numFmtId="41" fontId="84" fillId="3" borderId="89" xfId="0" applyNumberFormat="1" applyFont="1" applyFill="1" applyBorder="1">
      <alignment vertical="center"/>
    </xf>
    <xf numFmtId="41" fontId="93" fillId="3" borderId="122" xfId="0" applyNumberFormat="1" applyFont="1" applyFill="1" applyBorder="1">
      <alignment vertical="center"/>
    </xf>
    <xf numFmtId="41" fontId="93" fillId="3" borderId="90" xfId="0" applyNumberFormat="1" applyFont="1" applyFill="1" applyBorder="1">
      <alignment vertical="center"/>
    </xf>
    <xf numFmtId="41" fontId="84" fillId="3" borderId="55" xfId="0" applyNumberFormat="1" applyFont="1" applyFill="1" applyBorder="1">
      <alignment vertical="center"/>
    </xf>
    <xf numFmtId="41" fontId="84" fillId="3" borderId="6" xfId="0" applyNumberFormat="1" applyFont="1" applyFill="1" applyBorder="1">
      <alignment vertical="center"/>
    </xf>
    <xf numFmtId="41" fontId="84" fillId="3" borderId="28" xfId="0" applyNumberFormat="1" applyFont="1" applyFill="1" applyBorder="1">
      <alignment vertical="center"/>
    </xf>
    <xf numFmtId="41" fontId="84" fillId="3" borderId="33" xfId="0" applyNumberFormat="1" applyFont="1" applyFill="1" applyBorder="1">
      <alignment vertical="center"/>
    </xf>
    <xf numFmtId="0" fontId="116" fillId="4" borderId="1" xfId="0" applyFont="1" applyFill="1" applyBorder="1">
      <alignment vertical="center"/>
    </xf>
    <xf numFmtId="41" fontId="93" fillId="4" borderId="1" xfId="0" applyNumberFormat="1" applyFont="1" applyFill="1" applyBorder="1" applyAlignment="1">
      <alignment horizontal="center" vertical="center"/>
    </xf>
    <xf numFmtId="9" fontId="93" fillId="4" borderId="1" xfId="0" applyNumberFormat="1" applyFont="1" applyFill="1" applyBorder="1" applyAlignment="1">
      <alignment horizontal="right" vertical="center"/>
    </xf>
    <xf numFmtId="187" fontId="93" fillId="4" borderId="69" xfId="0" applyNumberFormat="1" applyFont="1" applyFill="1" applyBorder="1" applyAlignment="1">
      <alignment horizontal="right" vertical="center"/>
    </xf>
    <xf numFmtId="41" fontId="84" fillId="3" borderId="10" xfId="0" applyNumberFormat="1" applyFont="1" applyFill="1" applyBorder="1">
      <alignment vertical="center"/>
    </xf>
    <xf numFmtId="0" fontId="116" fillId="4" borderId="78" xfId="0" applyFont="1" applyFill="1" applyBorder="1" applyAlignment="1">
      <alignment horizontal="center" vertical="center"/>
    </xf>
    <xf numFmtId="41" fontId="93" fillId="4" borderId="77" xfId="0" applyNumberFormat="1" applyFont="1" applyFill="1" applyBorder="1">
      <alignment vertical="center"/>
    </xf>
    <xf numFmtId="41" fontId="84" fillId="3" borderId="77" xfId="0" applyNumberFormat="1" applyFont="1" applyFill="1" applyBorder="1">
      <alignment vertical="center"/>
    </xf>
    <xf numFmtId="41" fontId="84" fillId="3" borderId="49" xfId="0" applyNumberFormat="1" applyFont="1" applyFill="1" applyBorder="1">
      <alignment vertical="center"/>
    </xf>
    <xf numFmtId="41" fontId="93" fillId="3" borderId="77" xfId="0" applyNumberFormat="1" applyFont="1" applyFill="1" applyBorder="1">
      <alignment vertical="center"/>
    </xf>
    <xf numFmtId="41" fontId="93" fillId="3" borderId="49" xfId="0" applyNumberFormat="1" applyFont="1" applyFill="1" applyBorder="1">
      <alignment vertical="center"/>
    </xf>
    <xf numFmtId="41" fontId="116" fillId="4" borderId="75" xfId="0" applyNumberFormat="1" applyFont="1" applyFill="1" applyBorder="1">
      <alignment vertical="center"/>
    </xf>
    <xf numFmtId="41" fontId="108" fillId="4" borderId="15" xfId="0" applyNumberFormat="1" applyFont="1" applyFill="1" applyBorder="1">
      <alignment vertical="center"/>
    </xf>
    <xf numFmtId="41" fontId="108" fillId="4" borderId="18" xfId="0" applyNumberFormat="1" applyFont="1" applyFill="1" applyBorder="1">
      <alignment vertical="center"/>
    </xf>
    <xf numFmtId="41" fontId="108" fillId="4" borderId="19" xfId="0" applyNumberFormat="1" applyFont="1" applyFill="1" applyBorder="1">
      <alignment vertical="center"/>
    </xf>
    <xf numFmtId="41" fontId="108" fillId="4" borderId="67" xfId="0" applyNumberFormat="1" applyFont="1" applyFill="1" applyBorder="1">
      <alignment vertical="center"/>
    </xf>
    <xf numFmtId="41" fontId="116" fillId="4" borderId="15" xfId="0" applyNumberFormat="1" applyFont="1" applyFill="1" applyBorder="1">
      <alignment vertical="center"/>
    </xf>
    <xf numFmtId="195" fontId="121" fillId="0" borderId="0" xfId="0" applyNumberFormat="1" applyFont="1">
      <alignment vertical="center"/>
    </xf>
    <xf numFmtId="187" fontId="121" fillId="0" borderId="0" xfId="0" applyNumberFormat="1" applyFont="1">
      <alignment vertical="center"/>
    </xf>
    <xf numFmtId="195" fontId="120" fillId="0" borderId="0" xfId="0" applyNumberFormat="1" applyFont="1">
      <alignment vertical="center"/>
    </xf>
    <xf numFmtId="9" fontId="120" fillId="0" borderId="0" xfId="0" applyNumberFormat="1" applyFont="1">
      <alignment vertical="center"/>
    </xf>
    <xf numFmtId="180" fontId="84" fillId="0" borderId="0" xfId="0" applyNumberFormat="1" applyFont="1">
      <alignment vertical="center"/>
    </xf>
    <xf numFmtId="0" fontId="84" fillId="0" borderId="0" xfId="0" applyFont="1" applyAlignment="1">
      <alignment horizontal="right" vertical="center"/>
    </xf>
    <xf numFmtId="9" fontId="84" fillId="2" borderId="0" xfId="0" applyNumberFormat="1" applyFont="1" applyFill="1" applyAlignment="1">
      <alignment horizontal="center" vertical="center"/>
    </xf>
    <xf numFmtId="195" fontId="121" fillId="0" borderId="0" xfId="0" applyNumberFormat="1" applyFont="1" applyAlignment="1">
      <alignment horizontal="center" vertical="center"/>
    </xf>
    <xf numFmtId="187" fontId="121" fillId="0" borderId="0" xfId="0" applyNumberFormat="1" applyFont="1" applyAlignment="1">
      <alignment horizontal="center" vertical="center"/>
    </xf>
    <xf numFmtId="195" fontId="125" fillId="0" borderId="0" xfId="0" applyNumberFormat="1" applyFont="1" applyAlignment="1">
      <alignment horizontal="center" vertical="center"/>
    </xf>
    <xf numFmtId="187" fontId="125" fillId="0" borderId="0" xfId="0" applyNumberFormat="1" applyFont="1" applyAlignment="1">
      <alignment horizontal="center" vertical="center"/>
    </xf>
    <xf numFmtId="187" fontId="116" fillId="4" borderId="20" xfId="0" applyNumberFormat="1" applyFont="1" applyFill="1" applyBorder="1" applyAlignment="1">
      <alignment horizontal="center" vertical="center"/>
    </xf>
    <xf numFmtId="195" fontId="93" fillId="4" borderId="27" xfId="0" applyNumberFormat="1" applyFont="1" applyFill="1" applyBorder="1">
      <alignment vertical="center"/>
    </xf>
    <xf numFmtId="195" fontId="93" fillId="4" borderId="65" xfId="0" applyNumberFormat="1" applyFont="1" applyFill="1" applyBorder="1">
      <alignment vertical="center"/>
    </xf>
    <xf numFmtId="41" fontId="84" fillId="3" borderId="26" xfId="0" applyNumberFormat="1" applyFont="1" applyFill="1" applyBorder="1">
      <alignment vertical="center"/>
    </xf>
    <xf numFmtId="195" fontId="93" fillId="4" borderId="5" xfId="0" applyNumberFormat="1" applyFont="1" applyFill="1" applyBorder="1">
      <alignment vertical="center"/>
    </xf>
    <xf numFmtId="41" fontId="84" fillId="3" borderId="38" xfId="0" applyNumberFormat="1" applyFont="1" applyFill="1" applyBorder="1">
      <alignment vertical="center"/>
    </xf>
    <xf numFmtId="195" fontId="93" fillId="4" borderId="1" xfId="0" applyNumberFormat="1" applyFont="1" applyFill="1" applyBorder="1">
      <alignment vertical="center"/>
    </xf>
    <xf numFmtId="195" fontId="93" fillId="4" borderId="8" xfId="0" applyNumberFormat="1" applyFont="1" applyFill="1" applyBorder="1">
      <alignment vertical="center"/>
    </xf>
    <xf numFmtId="9" fontId="93" fillId="4" borderId="42" xfId="0" applyNumberFormat="1" applyFont="1" applyFill="1" applyBorder="1" applyAlignment="1">
      <alignment horizontal="right" vertical="center"/>
    </xf>
    <xf numFmtId="195" fontId="93" fillId="4" borderId="5" xfId="0" applyNumberFormat="1" applyFont="1" applyFill="1" applyBorder="1" applyAlignment="1">
      <alignment horizontal="right" vertical="center"/>
    </xf>
    <xf numFmtId="41" fontId="84" fillId="3" borderId="35" xfId="0" applyNumberFormat="1" applyFont="1" applyFill="1" applyBorder="1">
      <alignment vertical="center"/>
    </xf>
    <xf numFmtId="41" fontId="84" fillId="3" borderId="56" xfId="0" applyNumberFormat="1" applyFont="1" applyFill="1" applyBorder="1">
      <alignment vertical="center"/>
    </xf>
    <xf numFmtId="9" fontId="116" fillId="4" borderId="48" xfId="0" applyNumberFormat="1" applyFont="1" applyFill="1" applyBorder="1" applyAlignment="1">
      <alignment horizontal="right" vertical="center"/>
    </xf>
    <xf numFmtId="195" fontId="116" fillId="4" borderId="28" xfId="0" applyNumberFormat="1" applyFont="1" applyFill="1" applyBorder="1" applyAlignment="1">
      <alignment horizontal="right" vertical="center"/>
    </xf>
    <xf numFmtId="41" fontId="108" fillId="4" borderId="12" xfId="0" applyNumberFormat="1" applyFont="1" applyFill="1" applyBorder="1">
      <alignment vertical="center"/>
    </xf>
    <xf numFmtId="41" fontId="108" fillId="4" borderId="62" xfId="0" applyNumberFormat="1" applyFont="1" applyFill="1" applyBorder="1">
      <alignment vertical="center"/>
    </xf>
    <xf numFmtId="195" fontId="93" fillId="4" borderId="61" xfId="0" applyNumberFormat="1" applyFont="1" applyFill="1" applyBorder="1">
      <alignment vertical="center"/>
    </xf>
    <xf numFmtId="41" fontId="84" fillId="3" borderId="37" xfId="0" applyNumberFormat="1" applyFont="1" applyFill="1" applyBorder="1">
      <alignment vertical="center"/>
    </xf>
    <xf numFmtId="195" fontId="93" fillId="4" borderId="11" xfId="0" applyNumberFormat="1" applyFont="1" applyFill="1" applyBorder="1">
      <alignment vertical="center"/>
    </xf>
    <xf numFmtId="195" fontId="93" fillId="4" borderId="9" xfId="0" applyNumberFormat="1" applyFont="1" applyFill="1" applyBorder="1">
      <alignment vertical="center"/>
    </xf>
    <xf numFmtId="41" fontId="84" fillId="4" borderId="118" xfId="0" applyNumberFormat="1" applyFont="1" applyFill="1" applyBorder="1">
      <alignment vertical="center"/>
    </xf>
    <xf numFmtId="41" fontId="93" fillId="3" borderId="72" xfId="0" applyNumberFormat="1" applyFont="1" applyFill="1" applyBorder="1">
      <alignment vertical="center"/>
    </xf>
    <xf numFmtId="41" fontId="84" fillId="3" borderId="39" xfId="0" applyNumberFormat="1" applyFont="1" applyFill="1" applyBorder="1">
      <alignment vertical="center"/>
    </xf>
    <xf numFmtId="41" fontId="108" fillId="4" borderId="78" xfId="0" applyNumberFormat="1" applyFont="1" applyFill="1" applyBorder="1">
      <alignment vertical="center"/>
    </xf>
    <xf numFmtId="41" fontId="108" fillId="4" borderId="77" xfId="0" applyNumberFormat="1" applyFont="1" applyFill="1" applyBorder="1">
      <alignment vertical="center"/>
    </xf>
    <xf numFmtId="41" fontId="108" fillId="4" borderId="49" xfId="0" applyNumberFormat="1" applyFont="1" applyFill="1" applyBorder="1">
      <alignment vertical="center"/>
    </xf>
    <xf numFmtId="0" fontId="108" fillId="3" borderId="0" xfId="0" applyFont="1" applyFill="1">
      <alignment vertical="center"/>
    </xf>
    <xf numFmtId="41" fontId="84" fillId="3" borderId="8" xfId="0" applyNumberFormat="1" applyFont="1" applyFill="1" applyBorder="1">
      <alignment vertical="center"/>
    </xf>
    <xf numFmtId="187" fontId="93" fillId="3" borderId="69" xfId="0" applyNumberFormat="1" applyFont="1" applyFill="1" applyBorder="1">
      <alignment vertical="center"/>
    </xf>
    <xf numFmtId="195" fontId="108" fillId="3" borderId="0" xfId="0" applyNumberFormat="1" applyFont="1" applyFill="1">
      <alignment vertical="center"/>
    </xf>
    <xf numFmtId="41" fontId="84" fillId="3" borderId="78" xfId="0" applyNumberFormat="1" applyFont="1" applyFill="1" applyBorder="1">
      <alignment vertical="center"/>
    </xf>
    <xf numFmtId="41" fontId="84" fillId="3" borderId="43" xfId="0" applyNumberFormat="1" applyFont="1" applyFill="1" applyBorder="1">
      <alignment vertical="center"/>
    </xf>
    <xf numFmtId="41" fontId="93" fillId="3" borderId="78" xfId="0" applyNumberFormat="1" applyFont="1" applyFill="1" applyBorder="1">
      <alignment vertical="center"/>
    </xf>
    <xf numFmtId="41" fontId="108" fillId="4" borderId="17" xfId="0" applyNumberFormat="1" applyFont="1" applyFill="1" applyBorder="1">
      <alignment vertical="center"/>
    </xf>
    <xf numFmtId="41" fontId="108" fillId="4" borderId="20" xfId="0" applyNumberFormat="1" applyFont="1" applyFill="1" applyBorder="1">
      <alignment vertical="center"/>
    </xf>
    <xf numFmtId="9" fontId="108" fillId="3" borderId="0" xfId="0" applyNumberFormat="1" applyFont="1" applyFill="1">
      <alignment vertical="center"/>
    </xf>
    <xf numFmtId="182" fontId="116" fillId="8" borderId="41" xfId="0" applyNumberFormat="1" applyFont="1" applyFill="1" applyBorder="1">
      <alignment vertical="center"/>
    </xf>
    <xf numFmtId="182" fontId="116" fillId="8" borderId="109" xfId="0" applyNumberFormat="1" applyFont="1" applyFill="1" applyBorder="1">
      <alignment vertical="center"/>
    </xf>
    <xf numFmtId="182" fontId="116" fillId="8" borderId="112" xfId="0" applyNumberFormat="1" applyFont="1" applyFill="1" applyBorder="1">
      <alignment vertical="center"/>
    </xf>
    <xf numFmtId="182" fontId="116" fillId="8" borderId="32" xfId="0" applyNumberFormat="1" applyFont="1" applyFill="1" applyBorder="1">
      <alignment vertical="center"/>
    </xf>
    <xf numFmtId="182" fontId="116" fillId="8" borderId="84" xfId="0" applyNumberFormat="1" applyFont="1" applyFill="1" applyBorder="1">
      <alignment vertical="center"/>
    </xf>
    <xf numFmtId="182" fontId="116" fillId="8" borderId="43" xfId="0" applyNumberFormat="1" applyFont="1" applyFill="1" applyBorder="1">
      <alignment vertical="center"/>
    </xf>
    <xf numFmtId="182" fontId="116" fillId="8" borderId="78" xfId="0" applyNumberFormat="1" applyFont="1" applyFill="1" applyBorder="1">
      <alignment vertical="center"/>
    </xf>
    <xf numFmtId="182" fontId="116" fillId="8" borderId="77" xfId="0" applyNumberFormat="1" applyFont="1" applyFill="1" applyBorder="1">
      <alignment vertical="center"/>
    </xf>
    <xf numFmtId="182" fontId="116" fillId="8" borderId="49" xfId="0" applyNumberFormat="1" applyFont="1" applyFill="1" applyBorder="1">
      <alignment vertical="center"/>
    </xf>
    <xf numFmtId="182" fontId="116" fillId="8" borderId="70" xfId="0" applyNumberFormat="1" applyFont="1" applyFill="1" applyBorder="1">
      <alignment vertical="center"/>
    </xf>
    <xf numFmtId="41" fontId="121" fillId="3" borderId="0" xfId="0" applyNumberFormat="1" applyFont="1" applyFill="1">
      <alignment vertical="center"/>
    </xf>
    <xf numFmtId="9" fontId="121" fillId="0" borderId="0" xfId="0" applyNumberFormat="1" applyFont="1" applyAlignment="1">
      <alignment horizontal="center" vertical="center"/>
    </xf>
    <xf numFmtId="195" fontId="120" fillId="3" borderId="0" xfId="0" applyNumberFormat="1" applyFont="1" applyFill="1">
      <alignment vertical="center"/>
    </xf>
    <xf numFmtId="0" fontId="93" fillId="3" borderId="0" xfId="0" applyFont="1" applyFill="1" applyAlignment="1">
      <alignment horizontal="right" vertical="center"/>
    </xf>
    <xf numFmtId="0" fontId="108" fillId="4" borderId="17" xfId="0" applyFont="1" applyFill="1" applyBorder="1" applyAlignment="1">
      <alignment horizontal="center" vertical="center"/>
    </xf>
    <xf numFmtId="0" fontId="108" fillId="4" borderId="18" xfId="0" applyFont="1" applyFill="1" applyBorder="1" applyAlignment="1">
      <alignment horizontal="center" vertical="center"/>
    </xf>
    <xf numFmtId="0" fontId="108" fillId="4" borderId="19" xfId="0" applyFont="1" applyFill="1" applyBorder="1" applyAlignment="1">
      <alignment horizontal="center" vertical="center"/>
    </xf>
    <xf numFmtId="187" fontId="93" fillId="4" borderId="27" xfId="0" applyNumberFormat="1" applyFont="1" applyFill="1" applyBorder="1">
      <alignment vertical="center"/>
    </xf>
    <xf numFmtId="187" fontId="93" fillId="4" borderId="60" xfId="0" applyNumberFormat="1" applyFont="1" applyFill="1" applyBorder="1">
      <alignment vertical="center"/>
    </xf>
    <xf numFmtId="193" fontId="93" fillId="3" borderId="60" xfId="0" applyNumberFormat="1" applyFont="1" applyFill="1" applyBorder="1">
      <alignment vertical="center"/>
    </xf>
    <xf numFmtId="193" fontId="93" fillId="3" borderId="58" xfId="0" applyNumberFormat="1" applyFont="1" applyFill="1" applyBorder="1">
      <alignment vertical="center"/>
    </xf>
    <xf numFmtId="193" fontId="93" fillId="3" borderId="27" xfId="0" applyNumberFormat="1" applyFont="1" applyFill="1" applyBorder="1">
      <alignment vertical="center"/>
    </xf>
    <xf numFmtId="195" fontId="116" fillId="4" borderId="14" xfId="0" applyNumberFormat="1" applyFont="1" applyFill="1" applyBorder="1">
      <alignment vertical="center"/>
    </xf>
    <xf numFmtId="187" fontId="93" fillId="4" borderId="5" xfId="0" applyNumberFormat="1" applyFont="1" applyFill="1" applyBorder="1">
      <alignment vertical="center"/>
    </xf>
    <xf numFmtId="193" fontId="93" fillId="3" borderId="47" xfId="0" applyNumberFormat="1" applyFont="1" applyFill="1" applyBorder="1">
      <alignment vertical="center"/>
    </xf>
    <xf numFmtId="193" fontId="93" fillId="3" borderId="5" xfId="0" applyNumberFormat="1" applyFont="1" applyFill="1" applyBorder="1">
      <alignment vertical="center"/>
    </xf>
    <xf numFmtId="195" fontId="116" fillId="4" borderId="44" xfId="0" applyNumberFormat="1" applyFont="1" applyFill="1" applyBorder="1">
      <alignment vertical="center"/>
    </xf>
    <xf numFmtId="187" fontId="93" fillId="4" borderId="1" xfId="0" applyNumberFormat="1" applyFont="1" applyFill="1" applyBorder="1">
      <alignment vertical="center"/>
    </xf>
    <xf numFmtId="193" fontId="93" fillId="3" borderId="69" xfId="0" applyNumberFormat="1" applyFont="1" applyFill="1" applyBorder="1">
      <alignment vertical="center"/>
    </xf>
    <xf numFmtId="193" fontId="93" fillId="3" borderId="55" xfId="0" applyNumberFormat="1" applyFont="1" applyFill="1" applyBorder="1">
      <alignment vertical="center"/>
    </xf>
    <xf numFmtId="193" fontId="93" fillId="3" borderId="1" xfId="0" applyNumberFormat="1" applyFont="1" applyFill="1" applyBorder="1">
      <alignment vertical="center"/>
    </xf>
    <xf numFmtId="193" fontId="116" fillId="4" borderId="31" xfId="0" applyNumberFormat="1" applyFont="1" applyFill="1" applyBorder="1">
      <alignment vertical="center"/>
    </xf>
    <xf numFmtId="195" fontId="93" fillId="3" borderId="69" xfId="0" applyNumberFormat="1" applyFont="1" applyFill="1" applyBorder="1">
      <alignment vertical="center"/>
    </xf>
    <xf numFmtId="195" fontId="93" fillId="3" borderId="55" xfId="0" applyNumberFormat="1" applyFont="1" applyFill="1" applyBorder="1">
      <alignment vertical="center"/>
    </xf>
    <xf numFmtId="195" fontId="93" fillId="3" borderId="1" xfId="0" applyNumberFormat="1" applyFont="1" applyFill="1" applyBorder="1">
      <alignment vertical="center"/>
    </xf>
    <xf numFmtId="195" fontId="116" fillId="4" borderId="31" xfId="0" applyNumberFormat="1" applyFont="1" applyFill="1" applyBorder="1">
      <alignment vertical="center"/>
    </xf>
    <xf numFmtId="187" fontId="93" fillId="4" borderId="1" xfId="0" applyNumberFormat="1" applyFont="1" applyFill="1" applyBorder="1" applyAlignment="1">
      <alignment horizontal="right" vertical="center"/>
    </xf>
    <xf numFmtId="0" fontId="116" fillId="4" borderId="85" xfId="0" applyFont="1" applyFill="1" applyBorder="1">
      <alignment vertical="center"/>
    </xf>
    <xf numFmtId="41" fontId="116" fillId="4" borderId="28" xfId="0" applyNumberFormat="1" applyFont="1" applyFill="1" applyBorder="1" applyAlignment="1">
      <alignment horizontal="right" vertical="center"/>
    </xf>
    <xf numFmtId="187" fontId="116" fillId="4" borderId="28" xfId="0" applyNumberFormat="1" applyFont="1" applyFill="1" applyBorder="1" applyAlignment="1">
      <alignment horizontal="right" vertical="center"/>
    </xf>
    <xf numFmtId="193" fontId="116" fillId="4" borderId="33" xfId="0" applyNumberFormat="1" applyFont="1" applyFill="1" applyBorder="1">
      <alignment vertical="center"/>
    </xf>
    <xf numFmtId="193" fontId="116" fillId="4" borderId="12" xfId="0" applyNumberFormat="1" applyFont="1" applyFill="1" applyBorder="1">
      <alignment vertical="center"/>
    </xf>
    <xf numFmtId="193" fontId="116" fillId="4" borderId="28" xfId="0" applyNumberFormat="1" applyFont="1" applyFill="1" applyBorder="1">
      <alignment vertical="center"/>
    </xf>
    <xf numFmtId="195" fontId="116" fillId="4" borderId="30" xfId="0" applyNumberFormat="1" applyFont="1" applyFill="1" applyBorder="1">
      <alignment vertical="center"/>
    </xf>
    <xf numFmtId="193" fontId="93" fillId="3" borderId="63" xfId="0" applyNumberFormat="1" applyFont="1" applyFill="1" applyBorder="1">
      <alignment vertical="center"/>
    </xf>
    <xf numFmtId="193" fontId="93" fillId="3" borderId="37" xfId="0" applyNumberFormat="1" applyFont="1" applyFill="1" applyBorder="1">
      <alignment vertical="center"/>
    </xf>
    <xf numFmtId="193" fontId="93" fillId="3" borderId="61" xfId="0" applyNumberFormat="1" applyFont="1" applyFill="1" applyBorder="1">
      <alignment vertical="center"/>
    </xf>
    <xf numFmtId="193" fontId="93" fillId="3" borderId="34" xfId="0" applyNumberFormat="1" applyFont="1" applyFill="1" applyBorder="1">
      <alignment vertical="center"/>
    </xf>
    <xf numFmtId="193" fontId="93" fillId="3" borderId="85" xfId="0" applyNumberFormat="1" applyFont="1" applyFill="1" applyBorder="1">
      <alignment vertical="center"/>
    </xf>
    <xf numFmtId="193" fontId="93" fillId="3" borderId="71" xfId="0" applyNumberFormat="1" applyFont="1" applyFill="1" applyBorder="1">
      <alignment vertical="center"/>
    </xf>
    <xf numFmtId="195" fontId="116" fillId="4" borderId="57" xfId="0" applyNumberFormat="1" applyFont="1" applyFill="1" applyBorder="1">
      <alignment vertical="center"/>
    </xf>
    <xf numFmtId="193" fontId="93" fillId="3" borderId="8" xfId="0" applyNumberFormat="1" applyFont="1" applyFill="1" applyBorder="1">
      <alignment vertical="center"/>
    </xf>
    <xf numFmtId="193" fontId="93" fillId="3" borderId="21" xfId="0" applyNumberFormat="1" applyFont="1" applyFill="1" applyBorder="1">
      <alignment vertical="center"/>
    </xf>
    <xf numFmtId="193" fontId="93" fillId="3" borderId="10" xfId="0" applyNumberFormat="1" applyFont="1" applyFill="1" applyBorder="1">
      <alignment vertical="center"/>
    </xf>
    <xf numFmtId="193" fontId="93" fillId="3" borderId="119" xfId="0" applyNumberFormat="1" applyFont="1" applyFill="1" applyBorder="1">
      <alignment vertical="center"/>
    </xf>
    <xf numFmtId="193" fontId="93" fillId="3" borderId="123" xfId="0" applyNumberFormat="1" applyFont="1" applyFill="1" applyBorder="1">
      <alignment vertical="center"/>
    </xf>
    <xf numFmtId="193" fontId="93" fillId="3" borderId="11" xfId="0" applyNumberFormat="1" applyFont="1" applyFill="1" applyBorder="1">
      <alignment vertical="center"/>
    </xf>
    <xf numFmtId="193" fontId="93" fillId="3" borderId="54" xfId="0" applyNumberFormat="1" applyFont="1" applyFill="1" applyBorder="1">
      <alignment vertical="center"/>
    </xf>
    <xf numFmtId="193" fontId="93" fillId="3" borderId="87" xfId="0" applyNumberFormat="1" applyFont="1" applyFill="1" applyBorder="1">
      <alignment vertical="center"/>
    </xf>
    <xf numFmtId="195" fontId="116" fillId="4" borderId="94" xfId="0" applyNumberFormat="1" applyFont="1" applyFill="1" applyBorder="1">
      <alignment vertical="center"/>
    </xf>
    <xf numFmtId="193" fontId="93" fillId="3" borderId="118" xfId="0" applyNumberFormat="1" applyFont="1" applyFill="1" applyBorder="1">
      <alignment vertical="center"/>
    </xf>
    <xf numFmtId="193" fontId="93" fillId="3" borderId="122" xfId="0" applyNumberFormat="1" applyFont="1" applyFill="1" applyBorder="1">
      <alignment vertical="center"/>
    </xf>
    <xf numFmtId="193" fontId="93" fillId="3" borderId="9" xfId="0" applyNumberFormat="1" applyFont="1" applyFill="1" applyBorder="1">
      <alignment vertical="center"/>
    </xf>
    <xf numFmtId="193" fontId="93" fillId="3" borderId="89" xfId="0" applyNumberFormat="1" applyFont="1" applyFill="1" applyBorder="1">
      <alignment vertical="center"/>
    </xf>
    <xf numFmtId="193" fontId="93" fillId="3" borderId="90" xfId="0" applyNumberFormat="1" applyFont="1" applyFill="1" applyBorder="1">
      <alignment vertical="center"/>
    </xf>
    <xf numFmtId="195" fontId="116" fillId="4" borderId="106" xfId="0" applyNumberFormat="1" applyFont="1" applyFill="1" applyBorder="1">
      <alignment vertical="center"/>
    </xf>
    <xf numFmtId="0" fontId="84" fillId="3" borderId="0" xfId="0" applyFont="1" applyFill="1" applyAlignment="1">
      <alignment vertical="center" wrapText="1"/>
    </xf>
    <xf numFmtId="193" fontId="93" fillId="3" borderId="72" xfId="0" applyNumberFormat="1" applyFont="1" applyFill="1" applyBorder="1">
      <alignment vertical="center"/>
    </xf>
    <xf numFmtId="0" fontId="84" fillId="3" borderId="0" xfId="0" applyFont="1" applyFill="1" applyAlignment="1">
      <alignment horizontal="left" vertical="center"/>
    </xf>
    <xf numFmtId="0" fontId="84" fillId="3" borderId="0" xfId="0" applyFont="1" applyFill="1" applyAlignment="1">
      <alignment horizontal="right" vertical="center"/>
    </xf>
    <xf numFmtId="193" fontId="93" fillId="3" borderId="42" xfId="0" applyNumberFormat="1" applyFont="1" applyFill="1" applyBorder="1">
      <alignment vertical="center"/>
    </xf>
    <xf numFmtId="193" fontId="93" fillId="3" borderId="38" xfId="0" applyNumberFormat="1" applyFont="1" applyFill="1" applyBorder="1">
      <alignment vertical="center"/>
    </xf>
    <xf numFmtId="193" fontId="93" fillId="3" borderId="56" xfId="0" applyNumberFormat="1" applyFont="1" applyFill="1" applyBorder="1">
      <alignment vertical="center"/>
    </xf>
    <xf numFmtId="0" fontId="108" fillId="3" borderId="0" xfId="0" applyFont="1" applyFill="1" applyAlignment="1">
      <alignment horizontal="right" vertical="center"/>
    </xf>
    <xf numFmtId="187" fontId="93" fillId="4" borderId="28" xfId="0" applyNumberFormat="1" applyFont="1" applyFill="1" applyBorder="1" applyAlignment="1">
      <alignment horizontal="right" vertical="center"/>
    </xf>
    <xf numFmtId="187" fontId="93" fillId="4" borderId="33" xfId="0" applyNumberFormat="1" applyFont="1" applyFill="1" applyBorder="1" applyAlignment="1">
      <alignment horizontal="right" vertical="center"/>
    </xf>
    <xf numFmtId="193" fontId="116" fillId="4" borderId="48" xfId="0" applyNumberFormat="1" applyFont="1" applyFill="1" applyBorder="1">
      <alignment vertical="center"/>
    </xf>
    <xf numFmtId="193" fontId="116" fillId="4" borderId="62" xfId="0" applyNumberFormat="1" applyFont="1" applyFill="1" applyBorder="1">
      <alignment vertical="center"/>
    </xf>
    <xf numFmtId="193" fontId="116" fillId="4" borderId="30" xfId="0" applyNumberFormat="1" applyFont="1" applyFill="1" applyBorder="1">
      <alignment vertical="center"/>
    </xf>
    <xf numFmtId="0" fontId="116" fillId="4" borderId="37" xfId="0" applyFont="1" applyFill="1" applyBorder="1" applyAlignment="1">
      <alignment horizontal="center" vertical="center"/>
    </xf>
    <xf numFmtId="195" fontId="116" fillId="4" borderId="20" xfId="0" applyNumberFormat="1" applyFont="1" applyFill="1" applyBorder="1">
      <alignment vertical="center"/>
    </xf>
    <xf numFmtId="195" fontId="116" fillId="4" borderId="17" xfId="0" applyNumberFormat="1" applyFont="1" applyFill="1" applyBorder="1">
      <alignment vertical="center"/>
    </xf>
    <xf numFmtId="195" fontId="116" fillId="4" borderId="18" xfId="0" applyNumberFormat="1" applyFont="1" applyFill="1" applyBorder="1">
      <alignment vertical="center"/>
    </xf>
    <xf numFmtId="195" fontId="116" fillId="4" borderId="19" xfId="0" applyNumberFormat="1" applyFont="1" applyFill="1" applyBorder="1">
      <alignment vertical="center"/>
    </xf>
    <xf numFmtId="193" fontId="116" fillId="4" borderId="16" xfId="0" applyNumberFormat="1" applyFont="1" applyFill="1" applyBorder="1">
      <alignment vertical="center"/>
    </xf>
    <xf numFmtId="193" fontId="116" fillId="4" borderId="41" xfId="0" applyNumberFormat="1" applyFont="1" applyFill="1" applyBorder="1">
      <alignment vertical="center"/>
    </xf>
    <xf numFmtId="193" fontId="116" fillId="4" borderId="109" xfId="0" applyNumberFormat="1" applyFont="1" applyFill="1" applyBorder="1">
      <alignment vertical="center"/>
    </xf>
    <xf numFmtId="193" fontId="116" fillId="4" borderId="112" xfId="0" applyNumberFormat="1" applyFont="1" applyFill="1" applyBorder="1">
      <alignment vertical="center"/>
    </xf>
    <xf numFmtId="193" fontId="116" fillId="4" borderId="32" xfId="0" applyNumberFormat="1" applyFont="1" applyFill="1" applyBorder="1">
      <alignment vertical="center"/>
    </xf>
    <xf numFmtId="193" fontId="116" fillId="4" borderId="84" xfId="0" applyNumberFormat="1" applyFont="1" applyFill="1" applyBorder="1">
      <alignment vertical="center"/>
    </xf>
    <xf numFmtId="193" fontId="116" fillId="4" borderId="43" xfId="0" applyNumberFormat="1" applyFont="1" applyFill="1" applyBorder="1">
      <alignment vertical="center"/>
    </xf>
    <xf numFmtId="193" fontId="116" fillId="4" borderId="78" xfId="0" applyNumberFormat="1" applyFont="1" applyFill="1" applyBorder="1">
      <alignment vertical="center"/>
    </xf>
    <xf numFmtId="193" fontId="116" fillId="4" borderId="77" xfId="0" applyNumberFormat="1" applyFont="1" applyFill="1" applyBorder="1">
      <alignment vertical="center"/>
    </xf>
    <xf numFmtId="193" fontId="116" fillId="4" borderId="49" xfId="0" applyNumberFormat="1" applyFont="1" applyFill="1" applyBorder="1">
      <alignment vertical="center"/>
    </xf>
    <xf numFmtId="193" fontId="116" fillId="4" borderId="70" xfId="0" applyNumberFormat="1" applyFont="1" applyFill="1" applyBorder="1">
      <alignment vertical="center"/>
    </xf>
    <xf numFmtId="0" fontId="116" fillId="3" borderId="0" xfId="0" applyFont="1" applyFill="1" applyAlignment="1">
      <alignment horizontal="center" vertical="center"/>
    </xf>
    <xf numFmtId="195" fontId="127" fillId="3" borderId="0" xfId="0" applyNumberFormat="1" applyFont="1" applyFill="1">
      <alignment vertical="center"/>
    </xf>
    <xf numFmtId="195" fontId="116" fillId="3" borderId="0" xfId="0" applyNumberFormat="1" applyFont="1" applyFill="1">
      <alignment vertical="center"/>
    </xf>
    <xf numFmtId="0" fontId="116" fillId="4" borderId="20" xfId="0" applyFont="1" applyFill="1" applyBorder="1" applyAlignment="1">
      <alignment horizontal="centerContinuous" vertical="center"/>
    </xf>
    <xf numFmtId="0" fontId="116" fillId="4" borderId="67" xfId="0" applyFont="1" applyFill="1" applyBorder="1" applyAlignment="1">
      <alignment horizontal="centerContinuous" vertical="center"/>
    </xf>
    <xf numFmtId="187" fontId="116" fillId="4" borderId="19" xfId="0" applyNumberFormat="1" applyFont="1" applyFill="1" applyBorder="1" applyAlignment="1">
      <alignment horizontal="center" vertical="center" wrapText="1"/>
    </xf>
    <xf numFmtId="0" fontId="93" fillId="4" borderId="27" xfId="0" applyFont="1" applyFill="1" applyBorder="1" applyAlignment="1">
      <alignment horizontal="center" vertical="center"/>
    </xf>
    <xf numFmtId="0" fontId="93" fillId="4" borderId="26" xfId="0" applyFont="1" applyFill="1" applyBorder="1" applyAlignment="1">
      <alignment horizontal="center" vertical="center"/>
    </xf>
    <xf numFmtId="187" fontId="93" fillId="4" borderId="60" xfId="0" applyNumberFormat="1" applyFont="1" applyFill="1" applyBorder="1" applyAlignment="1">
      <alignment horizontal="center" vertical="center"/>
    </xf>
    <xf numFmtId="200" fontId="93" fillId="3" borderId="26" xfId="0" applyNumberFormat="1" applyFont="1" applyFill="1" applyBorder="1">
      <alignment vertical="center"/>
    </xf>
    <xf numFmtId="200" fontId="93" fillId="3" borderId="80" xfId="0" applyNumberFormat="1" applyFont="1" applyFill="1" applyBorder="1">
      <alignment vertical="center"/>
    </xf>
    <xf numFmtId="200" fontId="93" fillId="3" borderId="27" xfId="0" applyNumberFormat="1" applyFont="1" applyFill="1" applyBorder="1">
      <alignment vertical="center"/>
    </xf>
    <xf numFmtId="197" fontId="93" fillId="4" borderId="14" xfId="0" applyNumberFormat="1" applyFont="1" applyFill="1" applyBorder="1">
      <alignment vertical="center"/>
    </xf>
    <xf numFmtId="0" fontId="93" fillId="4" borderId="1" xfId="0" applyFont="1" applyFill="1" applyBorder="1">
      <alignment vertical="center"/>
    </xf>
    <xf numFmtId="0" fontId="93" fillId="4" borderId="8" xfId="0" applyFont="1" applyFill="1" applyBorder="1">
      <alignment vertical="center"/>
    </xf>
    <xf numFmtId="0" fontId="93" fillId="4" borderId="10" xfId="0" applyFont="1" applyFill="1" applyBorder="1">
      <alignment vertical="center"/>
    </xf>
    <xf numFmtId="187" fontId="93" fillId="4" borderId="69" xfId="0" applyNumberFormat="1" applyFont="1" applyFill="1" applyBorder="1" applyAlignment="1">
      <alignment horizontal="center" vertical="center"/>
    </xf>
    <xf numFmtId="200" fontId="93" fillId="3" borderId="24" xfId="0" applyNumberFormat="1" applyFont="1" applyFill="1" applyBorder="1">
      <alignment vertical="center"/>
    </xf>
    <xf numFmtId="200" fontId="93" fillId="3" borderId="21" xfId="0" applyNumberFormat="1" applyFont="1" applyFill="1" applyBorder="1">
      <alignment vertical="center"/>
    </xf>
    <xf numFmtId="200" fontId="93" fillId="3" borderId="1" xfId="0" applyNumberFormat="1" applyFont="1" applyFill="1" applyBorder="1">
      <alignment vertical="center"/>
    </xf>
    <xf numFmtId="197" fontId="93" fillId="4" borderId="31" xfId="0" applyNumberFormat="1" applyFont="1" applyFill="1" applyBorder="1">
      <alignment vertical="center"/>
    </xf>
    <xf numFmtId="0" fontId="116" fillId="4" borderId="9" xfId="0" applyFont="1" applyFill="1" applyBorder="1">
      <alignment vertical="center"/>
    </xf>
    <xf numFmtId="0" fontId="116" fillId="4" borderId="118" xfId="0" applyFont="1" applyFill="1" applyBorder="1">
      <alignment vertical="center"/>
    </xf>
    <xf numFmtId="0" fontId="116" fillId="4" borderId="90" xfId="0" applyFont="1" applyFill="1" applyBorder="1">
      <alignment vertical="center"/>
    </xf>
    <xf numFmtId="187" fontId="93" fillId="4" borderId="89" xfId="0" applyNumberFormat="1" applyFont="1" applyFill="1" applyBorder="1" applyAlignment="1">
      <alignment horizontal="center" vertical="center"/>
    </xf>
    <xf numFmtId="200" fontId="116" fillId="3" borderId="116" xfId="0" applyNumberFormat="1" applyFont="1" applyFill="1" applyBorder="1">
      <alignment vertical="center"/>
    </xf>
    <xf numFmtId="200" fontId="116" fillId="3" borderId="122" xfId="0" applyNumberFormat="1" applyFont="1" applyFill="1" applyBorder="1">
      <alignment vertical="center"/>
    </xf>
    <xf numFmtId="200" fontId="116" fillId="3" borderId="9" xfId="0" applyNumberFormat="1" applyFont="1" applyFill="1" applyBorder="1">
      <alignment vertical="center"/>
    </xf>
    <xf numFmtId="197" fontId="116" fillId="4" borderId="106" xfId="0" applyNumberFormat="1" applyFont="1" applyFill="1" applyBorder="1">
      <alignment vertical="center"/>
    </xf>
    <xf numFmtId="0" fontId="93" fillId="4" borderId="11" xfId="0" applyFont="1" applyFill="1" applyBorder="1" applyAlignment="1">
      <alignment horizontal="center" vertical="center"/>
    </xf>
    <xf numFmtId="0" fontId="93" fillId="4" borderId="119" xfId="0" applyFont="1" applyFill="1" applyBorder="1" applyAlignment="1">
      <alignment horizontal="center" vertical="center"/>
    </xf>
    <xf numFmtId="0" fontId="93" fillId="4" borderId="87" xfId="0" applyFont="1" applyFill="1" applyBorder="1" applyAlignment="1">
      <alignment horizontal="center" vertical="center"/>
    </xf>
    <xf numFmtId="187" fontId="93" fillId="4" borderId="54" xfId="0" applyNumberFormat="1" applyFont="1" applyFill="1" applyBorder="1" applyAlignment="1">
      <alignment horizontal="center" vertical="center"/>
    </xf>
    <xf numFmtId="200" fontId="93" fillId="3" borderId="120" xfId="0" applyNumberFormat="1" applyFont="1" applyFill="1" applyBorder="1">
      <alignment vertical="center"/>
    </xf>
    <xf numFmtId="200" fontId="93" fillId="3" borderId="123" xfId="0" applyNumberFormat="1" applyFont="1" applyFill="1" applyBorder="1">
      <alignment vertical="center"/>
    </xf>
    <xf numFmtId="200" fontId="93" fillId="3" borderId="11" xfId="0" applyNumberFormat="1" applyFont="1" applyFill="1" applyBorder="1">
      <alignment vertical="center"/>
    </xf>
    <xf numFmtId="197" fontId="93" fillId="4" borderId="94" xfId="0" applyNumberFormat="1" applyFont="1" applyFill="1" applyBorder="1">
      <alignment vertical="center"/>
    </xf>
    <xf numFmtId="41" fontId="116" fillId="4" borderId="1" xfId="0" applyNumberFormat="1" applyFont="1" applyFill="1" applyBorder="1">
      <alignment vertical="center"/>
    </xf>
    <xf numFmtId="41" fontId="116" fillId="4" borderId="42" xfId="0" applyNumberFormat="1" applyFont="1" applyFill="1" applyBorder="1">
      <alignment vertical="center"/>
    </xf>
    <xf numFmtId="41" fontId="116" fillId="4" borderId="56" xfId="0" applyNumberFormat="1" applyFont="1" applyFill="1" applyBorder="1">
      <alignment vertical="center"/>
    </xf>
    <xf numFmtId="200" fontId="116" fillId="3" borderId="24" xfId="0" applyNumberFormat="1" applyFont="1" applyFill="1" applyBorder="1">
      <alignment vertical="center"/>
    </xf>
    <xf numFmtId="200" fontId="116" fillId="3" borderId="21" xfId="0" applyNumberFormat="1" applyFont="1" applyFill="1" applyBorder="1">
      <alignment vertical="center"/>
    </xf>
    <xf numFmtId="200" fontId="116" fillId="3" borderId="1" xfId="0" applyNumberFormat="1" applyFont="1" applyFill="1" applyBorder="1">
      <alignment vertical="center"/>
    </xf>
    <xf numFmtId="197" fontId="116" fillId="4" borderId="31" xfId="0" applyNumberFormat="1" applyFont="1" applyFill="1" applyBorder="1">
      <alignment vertical="center"/>
    </xf>
    <xf numFmtId="0" fontId="116" fillId="4" borderId="42" xfId="0" applyFont="1" applyFill="1" applyBorder="1">
      <alignment vertical="center"/>
    </xf>
    <xf numFmtId="187" fontId="116" fillId="4" borderId="33" xfId="0" applyNumberFormat="1" applyFont="1" applyFill="1" applyBorder="1" applyAlignment="1">
      <alignment horizontal="center" vertical="center"/>
    </xf>
    <xf numFmtId="200" fontId="116" fillId="4" borderId="83" xfId="0" applyNumberFormat="1" applyFont="1" applyFill="1" applyBorder="1">
      <alignment vertical="center"/>
    </xf>
    <xf numFmtId="200" fontId="116" fillId="4" borderId="39" xfId="0" applyNumberFormat="1" applyFont="1" applyFill="1" applyBorder="1">
      <alignment vertical="center"/>
    </xf>
    <xf numFmtId="200" fontId="116" fillId="4" borderId="28" xfId="0" applyNumberFormat="1" applyFont="1" applyFill="1" applyBorder="1">
      <alignment vertical="center"/>
    </xf>
    <xf numFmtId="197" fontId="116" fillId="4" borderId="30" xfId="0" applyNumberFormat="1" applyFont="1" applyFill="1" applyBorder="1">
      <alignment vertical="center"/>
    </xf>
    <xf numFmtId="41" fontId="116" fillId="4" borderId="65" xfId="0" applyNumberFormat="1" applyFont="1" applyFill="1" applyBorder="1">
      <alignment vertical="center"/>
    </xf>
    <xf numFmtId="41" fontId="116" fillId="4" borderId="26" xfId="0" applyNumberFormat="1" applyFont="1" applyFill="1" applyBorder="1">
      <alignment vertical="center"/>
    </xf>
    <xf numFmtId="200" fontId="93" fillId="0" borderId="25" xfId="0" applyNumberFormat="1" applyFont="1" applyBorder="1">
      <alignment vertical="center"/>
    </xf>
    <xf numFmtId="200" fontId="93" fillId="0" borderId="80" xfId="0" applyNumberFormat="1" applyFont="1" applyBorder="1">
      <alignment vertical="center"/>
    </xf>
    <xf numFmtId="200" fontId="93" fillId="0" borderId="27" xfId="0" applyNumberFormat="1" applyFont="1" applyBorder="1">
      <alignment vertical="center"/>
    </xf>
    <xf numFmtId="41" fontId="116" fillId="4" borderId="8" xfId="0" applyNumberFormat="1" applyFont="1" applyFill="1" applyBorder="1">
      <alignment vertical="center"/>
    </xf>
    <xf numFmtId="41" fontId="116" fillId="4" borderId="10" xfId="0" applyNumberFormat="1" applyFont="1" applyFill="1" applyBorder="1">
      <alignment vertical="center"/>
    </xf>
    <xf numFmtId="200" fontId="93" fillId="0" borderId="24" xfId="0" applyNumberFormat="1" applyFont="1" applyBorder="1">
      <alignment vertical="center"/>
    </xf>
    <xf numFmtId="200" fontId="93" fillId="0" borderId="21" xfId="0" applyNumberFormat="1" applyFont="1" applyBorder="1">
      <alignment vertical="center"/>
    </xf>
    <xf numFmtId="200" fontId="93" fillId="0" borderId="1" xfId="0" applyNumberFormat="1" applyFont="1" applyBorder="1">
      <alignment vertical="center"/>
    </xf>
    <xf numFmtId="41" fontId="116" fillId="4" borderId="68" xfId="0" applyNumberFormat="1" applyFont="1" applyFill="1" applyBorder="1">
      <alignment vertical="center"/>
    </xf>
    <xf numFmtId="187" fontId="93" fillId="4" borderId="46" xfId="0" applyNumberFormat="1" applyFont="1" applyFill="1" applyBorder="1" applyAlignment="1">
      <alignment horizontal="center" vertical="center"/>
    </xf>
    <xf numFmtId="200" fontId="116" fillId="0" borderId="92" xfId="0" applyNumberFormat="1" applyFont="1" applyBorder="1">
      <alignment vertical="center"/>
    </xf>
    <xf numFmtId="200" fontId="116" fillId="0" borderId="73" xfId="0" applyNumberFormat="1" applyFont="1" applyBorder="1">
      <alignment vertical="center"/>
    </xf>
    <xf numFmtId="200" fontId="116" fillId="0" borderId="59" xfId="0" applyNumberFormat="1" applyFont="1" applyBorder="1">
      <alignment vertical="center"/>
    </xf>
    <xf numFmtId="197" fontId="116" fillId="4" borderId="108" xfId="0" applyNumberFormat="1" applyFont="1" applyFill="1" applyBorder="1">
      <alignment vertical="center"/>
    </xf>
    <xf numFmtId="0" fontId="108" fillId="0" borderId="0" xfId="0" applyFont="1">
      <alignment vertical="center"/>
    </xf>
    <xf numFmtId="200" fontId="116" fillId="3" borderId="92" xfId="0" applyNumberFormat="1" applyFont="1" applyFill="1" applyBorder="1">
      <alignment vertical="center"/>
    </xf>
    <xf numFmtId="200" fontId="116" fillId="3" borderId="73" xfId="0" applyNumberFormat="1" applyFont="1" applyFill="1" applyBorder="1">
      <alignment vertical="center"/>
    </xf>
    <xf numFmtId="200" fontId="116" fillId="3" borderId="59" xfId="0" applyNumberFormat="1" applyFont="1" applyFill="1" applyBorder="1">
      <alignment vertical="center"/>
    </xf>
    <xf numFmtId="195" fontId="116" fillId="0" borderId="0" xfId="0" applyNumberFormat="1" applyFont="1">
      <alignment vertical="center"/>
    </xf>
    <xf numFmtId="0" fontId="93" fillId="0" borderId="0" xfId="0" applyFont="1" applyAlignment="1">
      <alignment horizontal="left" vertical="center"/>
    </xf>
    <xf numFmtId="9" fontId="121" fillId="3" borderId="0" xfId="0" applyNumberFormat="1" applyFont="1" applyFill="1" applyAlignment="1">
      <alignment horizontal="center" vertical="center"/>
    </xf>
    <xf numFmtId="0" fontId="116" fillId="4" borderId="18" xfId="0" applyFont="1" applyFill="1" applyBorder="1" applyAlignment="1">
      <alignment horizontal="center" vertical="center" wrapText="1"/>
    </xf>
    <xf numFmtId="9" fontId="93" fillId="4" borderId="27" xfId="0" applyNumberFormat="1" applyFont="1" applyFill="1" applyBorder="1" applyAlignment="1">
      <alignment horizontal="right" vertical="center"/>
    </xf>
    <xf numFmtId="41" fontId="93" fillId="4" borderId="42" xfId="0" applyNumberFormat="1" applyFont="1" applyFill="1" applyBorder="1">
      <alignment vertical="center"/>
    </xf>
    <xf numFmtId="9" fontId="93" fillId="4" borderId="5" xfId="0" applyNumberFormat="1" applyFont="1" applyFill="1" applyBorder="1" applyAlignment="1">
      <alignment horizontal="right" vertical="center"/>
    </xf>
    <xf numFmtId="187" fontId="93" fillId="4" borderId="47" xfId="0" applyNumberFormat="1" applyFont="1" applyFill="1" applyBorder="1" applyAlignment="1">
      <alignment horizontal="center" vertical="center"/>
    </xf>
    <xf numFmtId="41" fontId="93" fillId="4" borderId="8" xfId="0" applyNumberFormat="1" applyFont="1" applyFill="1" applyBorder="1">
      <alignment vertical="center"/>
    </xf>
    <xf numFmtId="196" fontId="93" fillId="3" borderId="55" xfId="0" applyNumberFormat="1" applyFont="1" applyFill="1" applyBorder="1">
      <alignment vertical="center"/>
    </xf>
    <xf numFmtId="196" fontId="93" fillId="3" borderId="1" xfId="0" applyNumberFormat="1" applyFont="1" applyFill="1" applyBorder="1">
      <alignment vertical="center"/>
    </xf>
    <xf numFmtId="196" fontId="93" fillId="3" borderId="69" xfId="0" applyNumberFormat="1" applyFont="1" applyFill="1" applyBorder="1">
      <alignment vertical="center"/>
    </xf>
    <xf numFmtId="193" fontId="93" fillId="0" borderId="55" xfId="0" applyNumberFormat="1" applyFont="1" applyBorder="1">
      <alignment vertical="center"/>
    </xf>
    <xf numFmtId="193" fontId="93" fillId="0" borderId="1" xfId="0" applyNumberFormat="1" applyFont="1" applyBorder="1">
      <alignment vertical="center"/>
    </xf>
    <xf numFmtId="193" fontId="93" fillId="0" borderId="69" xfId="0" applyNumberFormat="1" applyFont="1" applyBorder="1">
      <alignment vertical="center"/>
    </xf>
    <xf numFmtId="0" fontId="116" fillId="4" borderId="56" xfId="0" applyFont="1" applyFill="1" applyBorder="1">
      <alignment vertical="center"/>
    </xf>
    <xf numFmtId="41" fontId="93" fillId="4" borderId="72" xfId="0" applyNumberFormat="1" applyFont="1" applyFill="1" applyBorder="1">
      <alignment vertical="center"/>
    </xf>
    <xf numFmtId="196" fontId="93" fillId="3" borderId="64" xfId="0" applyNumberFormat="1" applyFont="1" applyFill="1" applyBorder="1">
      <alignment vertical="center"/>
    </xf>
    <xf numFmtId="196" fontId="93" fillId="3" borderId="61" xfId="0" applyNumberFormat="1" applyFont="1" applyFill="1" applyBorder="1">
      <alignment vertical="center"/>
    </xf>
    <xf numFmtId="196" fontId="93" fillId="3" borderId="34" xfId="0" applyNumberFormat="1" applyFont="1" applyFill="1" applyBorder="1">
      <alignment vertical="center"/>
    </xf>
    <xf numFmtId="193" fontId="116" fillId="4" borderId="57" xfId="0" applyNumberFormat="1" applyFont="1" applyFill="1" applyBorder="1">
      <alignment vertical="center"/>
    </xf>
    <xf numFmtId="41" fontId="93" fillId="4" borderId="10" xfId="0" applyNumberFormat="1" applyFont="1" applyFill="1" applyBorder="1">
      <alignment vertical="center"/>
    </xf>
    <xf numFmtId="41" fontId="93" fillId="4" borderId="119" xfId="0" applyNumberFormat="1" applyFont="1" applyFill="1" applyBorder="1">
      <alignment vertical="center"/>
    </xf>
    <xf numFmtId="9" fontId="93" fillId="4" borderId="11" xfId="0" applyNumberFormat="1" applyFont="1" applyFill="1" applyBorder="1" applyAlignment="1">
      <alignment horizontal="right" vertical="center"/>
    </xf>
    <xf numFmtId="196" fontId="93" fillId="3" borderId="86" xfId="0" applyNumberFormat="1" applyFont="1" applyFill="1" applyBorder="1">
      <alignment vertical="center"/>
    </xf>
    <xf numFmtId="196" fontId="93" fillId="3" borderId="11" xfId="0" applyNumberFormat="1" applyFont="1" applyFill="1" applyBorder="1">
      <alignment vertical="center"/>
    </xf>
    <xf numFmtId="196" fontId="93" fillId="3" borderId="54" xfId="0" applyNumberFormat="1" applyFont="1" applyFill="1" applyBorder="1">
      <alignment vertical="center"/>
    </xf>
    <xf numFmtId="193" fontId="116" fillId="4" borderId="94" xfId="0" applyNumberFormat="1" applyFont="1" applyFill="1" applyBorder="1">
      <alignment vertical="center"/>
    </xf>
    <xf numFmtId="41" fontId="93" fillId="4" borderId="118" xfId="0" applyNumberFormat="1" applyFont="1" applyFill="1" applyBorder="1">
      <alignment vertical="center"/>
    </xf>
    <xf numFmtId="9" fontId="93" fillId="4" borderId="9" xfId="0" applyNumberFormat="1" applyFont="1" applyFill="1" applyBorder="1" applyAlignment="1">
      <alignment horizontal="right" vertical="center"/>
    </xf>
    <xf numFmtId="196" fontId="93" fillId="3" borderId="88" xfId="0" applyNumberFormat="1" applyFont="1" applyFill="1" applyBorder="1">
      <alignment vertical="center"/>
    </xf>
    <xf numFmtId="196" fontId="93" fillId="3" borderId="9" xfId="0" applyNumberFormat="1" applyFont="1" applyFill="1" applyBorder="1">
      <alignment vertical="center"/>
    </xf>
    <xf numFmtId="196" fontId="93" fillId="3" borderId="89" xfId="0" applyNumberFormat="1" applyFont="1" applyFill="1" applyBorder="1">
      <alignment vertical="center"/>
    </xf>
    <xf numFmtId="193" fontId="116" fillId="4" borderId="106" xfId="0" applyNumberFormat="1" applyFont="1" applyFill="1" applyBorder="1">
      <alignment vertical="center"/>
    </xf>
    <xf numFmtId="41" fontId="93" fillId="4" borderId="9" xfId="0" applyNumberFormat="1" applyFont="1" applyFill="1" applyBorder="1" applyAlignment="1">
      <alignment horizontal="left" vertical="center"/>
    </xf>
    <xf numFmtId="41" fontId="93" fillId="4" borderId="1" xfId="0" applyNumberFormat="1" applyFont="1" applyFill="1" applyBorder="1" applyAlignment="1">
      <alignment horizontal="right" vertical="center"/>
    </xf>
    <xf numFmtId="9" fontId="93" fillId="4" borderId="61" xfId="0" applyNumberFormat="1" applyFont="1" applyFill="1" applyBorder="1" applyAlignment="1">
      <alignment horizontal="right" vertical="center"/>
    </xf>
    <xf numFmtId="41" fontId="93" fillId="4" borderId="87" xfId="0" applyNumberFormat="1" applyFont="1" applyFill="1" applyBorder="1">
      <alignment vertical="center"/>
    </xf>
    <xf numFmtId="41" fontId="93" fillId="4" borderId="48" xfId="0" applyNumberFormat="1" applyFont="1" applyFill="1" applyBorder="1">
      <alignment vertical="center"/>
    </xf>
    <xf numFmtId="193" fontId="108" fillId="4" borderId="94" xfId="0" applyNumberFormat="1" applyFont="1" applyFill="1" applyBorder="1">
      <alignment vertical="center"/>
    </xf>
    <xf numFmtId="196" fontId="93" fillId="3" borderId="1" xfId="0" applyNumberFormat="1" applyFont="1" applyFill="1" applyBorder="1" applyAlignment="1">
      <alignment horizontal="right" vertical="center"/>
    </xf>
    <xf numFmtId="196" fontId="93" fillId="3" borderId="69" xfId="0" applyNumberFormat="1" applyFont="1" applyFill="1" applyBorder="1" applyAlignment="1">
      <alignment horizontal="right" vertical="center"/>
    </xf>
    <xf numFmtId="196" fontId="93" fillId="3" borderId="55" xfId="0" applyNumberFormat="1" applyFont="1" applyFill="1" applyBorder="1" applyAlignment="1">
      <alignment horizontal="right" vertical="center"/>
    </xf>
    <xf numFmtId="193" fontId="108" fillId="4" borderId="31" xfId="0" applyNumberFormat="1" applyFont="1" applyFill="1" applyBorder="1">
      <alignment vertical="center"/>
    </xf>
    <xf numFmtId="9" fontId="93" fillId="4" borderId="28" xfId="0" applyNumberFormat="1" applyFont="1" applyFill="1" applyBorder="1" applyAlignment="1">
      <alignment horizontal="right" vertical="center"/>
    </xf>
    <xf numFmtId="196" fontId="93" fillId="3" borderId="12" xfId="0" applyNumberFormat="1" applyFont="1" applyFill="1" applyBorder="1">
      <alignment vertical="center"/>
    </xf>
    <xf numFmtId="196" fontId="93" fillId="3" borderId="33" xfId="0" applyNumberFormat="1" applyFont="1" applyFill="1" applyBorder="1">
      <alignment vertical="center"/>
    </xf>
    <xf numFmtId="0" fontId="116" fillId="4" borderId="55" xfId="0" applyFont="1" applyFill="1" applyBorder="1">
      <alignment vertical="center"/>
    </xf>
    <xf numFmtId="0" fontId="116" fillId="4" borderId="35" xfId="0" applyFont="1" applyFill="1" applyBorder="1">
      <alignment vertical="center"/>
    </xf>
    <xf numFmtId="187" fontId="93" fillId="4" borderId="59" xfId="0" applyNumberFormat="1" applyFont="1" applyFill="1" applyBorder="1" applyAlignment="1">
      <alignment horizontal="right" vertical="center"/>
    </xf>
    <xf numFmtId="9" fontId="93" fillId="4" borderId="59" xfId="0" applyNumberFormat="1" applyFont="1" applyFill="1" applyBorder="1" applyAlignment="1">
      <alignment horizontal="right" vertical="center"/>
    </xf>
    <xf numFmtId="187" fontId="93" fillId="4" borderId="46" xfId="0" applyNumberFormat="1" applyFont="1" applyFill="1" applyBorder="1" applyAlignment="1">
      <alignment horizontal="right" vertical="center"/>
    </xf>
    <xf numFmtId="41" fontId="116" fillId="3" borderId="35" xfId="0" applyNumberFormat="1" applyFont="1" applyFill="1" applyBorder="1">
      <alignment vertical="center"/>
    </xf>
    <xf numFmtId="41" fontId="116" fillId="3" borderId="5" xfId="0" applyNumberFormat="1" applyFont="1" applyFill="1" applyBorder="1">
      <alignment vertical="center"/>
    </xf>
    <xf numFmtId="41" fontId="116" fillId="3" borderId="47" xfId="0" applyNumberFormat="1" applyFont="1" applyFill="1" applyBorder="1">
      <alignment vertical="center"/>
    </xf>
    <xf numFmtId="0" fontId="112" fillId="0" borderId="0" xfId="0" applyFont="1">
      <alignment vertical="center"/>
    </xf>
    <xf numFmtId="0" fontId="93" fillId="4" borderId="58" xfId="0" applyFont="1" applyFill="1" applyBorder="1" applyAlignment="1">
      <alignment horizontal="center" vertical="center"/>
    </xf>
    <xf numFmtId="187" fontId="93" fillId="3" borderId="27" xfId="0" applyNumberFormat="1" applyFont="1" applyFill="1" applyBorder="1">
      <alignment vertical="center"/>
    </xf>
    <xf numFmtId="187" fontId="93" fillId="3" borderId="60" xfId="0" applyNumberFormat="1" applyFont="1" applyFill="1" applyBorder="1">
      <alignment vertical="center"/>
    </xf>
    <xf numFmtId="187" fontId="93" fillId="3" borderId="58" xfId="0" applyNumberFormat="1" applyFont="1" applyFill="1" applyBorder="1">
      <alignment vertical="center"/>
    </xf>
    <xf numFmtId="187" fontId="116" fillId="4" borderId="14" xfId="0" applyNumberFormat="1" applyFont="1" applyFill="1" applyBorder="1">
      <alignment vertical="center"/>
    </xf>
    <xf numFmtId="0" fontId="93" fillId="4" borderId="55" xfId="0" applyFont="1" applyFill="1" applyBorder="1" applyAlignment="1">
      <alignment horizontal="center" vertical="center"/>
    </xf>
    <xf numFmtId="187" fontId="93" fillId="3" borderId="1" xfId="0" applyNumberFormat="1" applyFont="1" applyFill="1" applyBorder="1">
      <alignment vertical="center"/>
    </xf>
    <xf numFmtId="187" fontId="93" fillId="3" borderId="55" xfId="0" applyNumberFormat="1" applyFont="1" applyFill="1" applyBorder="1">
      <alignment vertical="center"/>
    </xf>
    <xf numFmtId="187" fontId="116" fillId="4" borderId="31" xfId="0" applyNumberFormat="1" applyFont="1" applyFill="1" applyBorder="1">
      <alignment vertical="center"/>
    </xf>
    <xf numFmtId="187" fontId="116" fillId="4" borderId="78" xfId="0" applyNumberFormat="1" applyFont="1" applyFill="1" applyBorder="1">
      <alignment vertical="center"/>
    </xf>
    <xf numFmtId="187" fontId="116" fillId="4" borderId="77" xfId="0" applyNumberFormat="1" applyFont="1" applyFill="1" applyBorder="1">
      <alignment vertical="center"/>
    </xf>
    <xf numFmtId="187" fontId="116" fillId="4" borderId="49" xfId="0" applyNumberFormat="1" applyFont="1" applyFill="1" applyBorder="1">
      <alignment vertical="center"/>
    </xf>
    <xf numFmtId="187" fontId="116" fillId="4" borderId="75" xfId="0" applyNumberFormat="1" applyFont="1" applyFill="1" applyBorder="1">
      <alignment vertical="center"/>
    </xf>
    <xf numFmtId="9" fontId="93" fillId="3" borderId="0" xfId="0" applyNumberFormat="1" applyFont="1" applyFill="1" applyAlignment="1">
      <alignment horizontal="left" vertical="center"/>
    </xf>
    <xf numFmtId="195" fontId="93" fillId="3" borderId="0" xfId="0" applyNumberFormat="1" applyFont="1" applyFill="1">
      <alignment vertical="center"/>
    </xf>
    <xf numFmtId="0" fontId="112" fillId="0" borderId="0" xfId="0" applyFont="1" applyAlignment="1">
      <alignment horizontal="left" vertical="center"/>
    </xf>
    <xf numFmtId="187" fontId="116" fillId="0" borderId="0" xfId="0" applyNumberFormat="1" applyFont="1">
      <alignment vertical="center"/>
    </xf>
    <xf numFmtId="182" fontId="84" fillId="0" borderId="0" xfId="0" applyNumberFormat="1" applyFont="1">
      <alignment vertical="center"/>
    </xf>
    <xf numFmtId="182" fontId="93" fillId="3" borderId="27" xfId="0" applyNumberFormat="1" applyFont="1" applyFill="1" applyBorder="1">
      <alignment vertical="center"/>
    </xf>
    <xf numFmtId="182" fontId="93" fillId="3" borderId="60" xfId="0" applyNumberFormat="1" applyFont="1" applyFill="1" applyBorder="1">
      <alignment vertical="center"/>
    </xf>
    <xf numFmtId="182" fontId="93" fillId="3" borderId="58" xfId="0" applyNumberFormat="1" applyFont="1" applyFill="1" applyBorder="1">
      <alignment vertical="center"/>
    </xf>
    <xf numFmtId="182" fontId="116" fillId="4" borderId="14" xfId="0" applyNumberFormat="1" applyFont="1" applyFill="1" applyBorder="1">
      <alignment vertical="center"/>
    </xf>
    <xf numFmtId="182" fontId="93" fillId="3" borderId="1" xfId="0" applyNumberFormat="1" applyFont="1" applyFill="1" applyBorder="1">
      <alignment vertical="center"/>
    </xf>
    <xf numFmtId="182" fontId="93" fillId="3" borderId="69" xfId="0" applyNumberFormat="1" applyFont="1" applyFill="1" applyBorder="1">
      <alignment vertical="center"/>
    </xf>
    <xf numFmtId="182" fontId="93" fillId="3" borderId="55" xfId="0" applyNumberFormat="1" applyFont="1" applyFill="1" applyBorder="1">
      <alignment vertical="center"/>
    </xf>
    <xf numFmtId="182" fontId="116" fillId="4" borderId="31" xfId="0" applyNumberFormat="1" applyFont="1" applyFill="1" applyBorder="1">
      <alignment vertical="center"/>
    </xf>
    <xf numFmtId="182" fontId="116" fillId="4" borderId="78" xfId="0" applyNumberFormat="1" applyFont="1" applyFill="1" applyBorder="1">
      <alignment vertical="center"/>
    </xf>
    <xf numFmtId="182" fontId="116" fillId="4" borderId="77" xfId="0" applyNumberFormat="1" applyFont="1" applyFill="1" applyBorder="1">
      <alignment vertical="center"/>
    </xf>
    <xf numFmtId="182" fontId="116" fillId="4" borderId="49" xfId="0" applyNumberFormat="1" applyFont="1" applyFill="1" applyBorder="1">
      <alignment vertical="center"/>
    </xf>
    <xf numFmtId="182" fontId="116" fillId="4" borderId="75" xfId="0" applyNumberFormat="1" applyFont="1" applyFill="1" applyBorder="1">
      <alignment vertical="center"/>
    </xf>
    <xf numFmtId="2" fontId="93" fillId="0" borderId="0" xfId="0" applyNumberFormat="1" applyFont="1">
      <alignment vertical="center"/>
    </xf>
    <xf numFmtId="195" fontId="116" fillId="4" borderId="67" xfId="0" applyNumberFormat="1" applyFont="1" applyFill="1" applyBorder="1" applyAlignment="1">
      <alignment horizontal="center" vertical="center" wrapText="1"/>
    </xf>
    <xf numFmtId="41" fontId="93" fillId="4" borderId="61" xfId="0" applyNumberFormat="1" applyFont="1" applyFill="1" applyBorder="1" applyAlignment="1">
      <alignment horizontal="right" vertical="center"/>
    </xf>
    <xf numFmtId="41" fontId="93" fillId="0" borderId="58" xfId="0" applyNumberFormat="1" applyFont="1" applyBorder="1">
      <alignment vertical="center"/>
    </xf>
    <xf numFmtId="195" fontId="93" fillId="4" borderId="56" xfId="0" applyNumberFormat="1" applyFont="1" applyFill="1" applyBorder="1">
      <alignment vertical="center"/>
    </xf>
    <xf numFmtId="41" fontId="84" fillId="4" borderId="72" xfId="0" applyNumberFormat="1" applyFont="1" applyFill="1" applyBorder="1">
      <alignment vertical="center"/>
    </xf>
    <xf numFmtId="41" fontId="84" fillId="3" borderId="24" xfId="0" applyNumberFormat="1" applyFont="1" applyFill="1" applyBorder="1">
      <alignment vertical="center"/>
    </xf>
    <xf numFmtId="41" fontId="108" fillId="4" borderId="31" xfId="0" applyNumberFormat="1" applyFont="1" applyFill="1" applyBorder="1">
      <alignment vertical="center"/>
    </xf>
    <xf numFmtId="0" fontId="93" fillId="4" borderId="28" xfId="0" applyFont="1" applyFill="1" applyBorder="1">
      <alignment vertical="center"/>
    </xf>
    <xf numFmtId="187" fontId="84" fillId="4" borderId="61" xfId="0" applyNumberFormat="1" applyFont="1" applyFill="1" applyBorder="1">
      <alignment vertical="center"/>
    </xf>
    <xf numFmtId="41" fontId="84" fillId="3" borderId="64" xfId="0" applyNumberFormat="1" applyFont="1" applyFill="1" applyBorder="1">
      <alignment vertical="center"/>
    </xf>
    <xf numFmtId="41" fontId="108" fillId="4" borderId="57" xfId="0" applyNumberFormat="1" applyFont="1" applyFill="1" applyBorder="1">
      <alignment vertical="center"/>
    </xf>
    <xf numFmtId="187" fontId="84" fillId="4" borderId="1" xfId="0" applyNumberFormat="1" applyFont="1" applyFill="1" applyBorder="1">
      <alignment vertical="center"/>
    </xf>
    <xf numFmtId="41" fontId="84" fillId="4" borderId="10" xfId="0" applyNumberFormat="1" applyFont="1" applyFill="1" applyBorder="1">
      <alignment vertical="center"/>
    </xf>
    <xf numFmtId="187" fontId="84" fillId="4" borderId="11" xfId="0" applyNumberFormat="1" applyFont="1" applyFill="1" applyBorder="1">
      <alignment vertical="center"/>
    </xf>
    <xf numFmtId="41" fontId="84" fillId="3" borderId="86" xfId="0" applyNumberFormat="1" applyFont="1" applyFill="1" applyBorder="1">
      <alignment vertical="center"/>
    </xf>
    <xf numFmtId="41" fontId="108" fillId="4" borderId="94" xfId="0" applyNumberFormat="1" applyFont="1" applyFill="1" applyBorder="1">
      <alignment vertical="center"/>
    </xf>
    <xf numFmtId="187" fontId="84" fillId="4" borderId="9" xfId="0" applyNumberFormat="1" applyFont="1" applyFill="1" applyBorder="1">
      <alignment vertical="center"/>
    </xf>
    <xf numFmtId="41" fontId="84" fillId="3" borderId="88" xfId="0" applyNumberFormat="1" applyFont="1" applyFill="1" applyBorder="1">
      <alignment vertical="center"/>
    </xf>
    <xf numFmtId="41" fontId="108" fillId="4" borderId="106" xfId="0" applyNumberFormat="1" applyFont="1" applyFill="1" applyBorder="1">
      <alignment vertical="center"/>
    </xf>
    <xf numFmtId="187" fontId="84" fillId="4" borderId="5" xfId="0" applyNumberFormat="1" applyFont="1" applyFill="1" applyBorder="1">
      <alignment vertical="center"/>
    </xf>
    <xf numFmtId="41" fontId="108" fillId="4" borderId="44" xfId="0" applyNumberFormat="1" applyFont="1" applyFill="1" applyBorder="1">
      <alignment vertical="center"/>
    </xf>
    <xf numFmtId="41" fontId="84" fillId="3" borderId="71" xfId="0" applyNumberFormat="1" applyFont="1" applyFill="1" applyBorder="1">
      <alignment vertical="center"/>
    </xf>
    <xf numFmtId="41" fontId="84" fillId="3" borderId="23" xfId="0" applyNumberFormat="1" applyFont="1" applyFill="1" applyBorder="1">
      <alignment vertical="center"/>
    </xf>
    <xf numFmtId="41" fontId="84" fillId="3" borderId="3" xfId="0" applyNumberFormat="1" applyFont="1" applyFill="1" applyBorder="1">
      <alignment vertical="center"/>
    </xf>
    <xf numFmtId="41" fontId="84" fillId="3" borderId="22" xfId="0" applyNumberFormat="1" applyFont="1" applyFill="1" applyBorder="1">
      <alignment vertical="center"/>
    </xf>
    <xf numFmtId="41" fontId="84" fillId="3" borderId="117" xfId="0" applyNumberFormat="1" applyFont="1" applyFill="1" applyBorder="1">
      <alignment vertical="center"/>
    </xf>
    <xf numFmtId="0" fontId="108" fillId="4" borderId="28" xfId="0" applyFont="1" applyFill="1" applyBorder="1">
      <alignment vertical="center"/>
    </xf>
    <xf numFmtId="41" fontId="108" fillId="4" borderId="39" xfId="0" applyNumberFormat="1" applyFont="1" applyFill="1" applyBorder="1">
      <alignment vertical="center"/>
    </xf>
    <xf numFmtId="41" fontId="108" fillId="4" borderId="83" xfId="0" applyNumberFormat="1" applyFont="1" applyFill="1" applyBorder="1">
      <alignment vertical="center"/>
    </xf>
    <xf numFmtId="41" fontId="108" fillId="4" borderId="30" xfId="0" applyNumberFormat="1" applyFont="1" applyFill="1" applyBorder="1">
      <alignment vertical="center"/>
    </xf>
    <xf numFmtId="41" fontId="116" fillId="4" borderId="5" xfId="0" applyNumberFormat="1" applyFont="1" applyFill="1" applyBorder="1">
      <alignment vertical="center"/>
    </xf>
    <xf numFmtId="41" fontId="116" fillId="4" borderId="16" xfId="0" applyNumberFormat="1" applyFont="1" applyFill="1" applyBorder="1">
      <alignment vertical="center"/>
    </xf>
    <xf numFmtId="0" fontId="84" fillId="0" borderId="0" xfId="0" applyFont="1" applyAlignment="1">
      <alignment horizontal="left" vertical="center"/>
    </xf>
    <xf numFmtId="195" fontId="84" fillId="0" borderId="0" xfId="0" applyNumberFormat="1" applyFont="1">
      <alignment vertical="center"/>
    </xf>
    <xf numFmtId="0" fontId="125" fillId="0" borderId="0" xfId="0" applyFont="1" applyAlignment="1">
      <alignment horizontal="center" vertical="center"/>
    </xf>
    <xf numFmtId="9" fontId="125" fillId="0" borderId="0" xfId="0" applyNumberFormat="1" applyFont="1" applyAlignment="1">
      <alignment horizontal="center" vertical="center"/>
    </xf>
    <xf numFmtId="195" fontId="120" fillId="3" borderId="0" xfId="0" applyNumberFormat="1" applyFont="1" applyFill="1" applyAlignment="1">
      <alignment horizontal="left" vertical="center"/>
    </xf>
    <xf numFmtId="0" fontId="93" fillId="4" borderId="1" xfId="0" applyFont="1" applyFill="1" applyBorder="1" applyAlignment="1">
      <alignment horizontal="left" vertical="center"/>
    </xf>
    <xf numFmtId="41" fontId="93" fillId="4" borderId="5" xfId="0" applyNumberFormat="1" applyFont="1" applyFill="1" applyBorder="1" applyAlignment="1">
      <alignment horizontal="right" vertical="center"/>
    </xf>
    <xf numFmtId="187" fontId="84" fillId="4" borderId="10" xfId="0" applyNumberFormat="1" applyFont="1" applyFill="1" applyBorder="1">
      <alignment vertical="center"/>
    </xf>
    <xf numFmtId="187" fontId="84" fillId="4" borderId="72" xfId="0" applyNumberFormat="1" applyFont="1" applyFill="1" applyBorder="1">
      <alignment vertical="center"/>
    </xf>
    <xf numFmtId="41" fontId="93" fillId="4" borderId="11" xfId="0" applyNumberFormat="1" applyFont="1" applyFill="1" applyBorder="1" applyAlignment="1">
      <alignment horizontal="right" vertical="center"/>
    </xf>
    <xf numFmtId="187" fontId="84" fillId="4" borderId="87" xfId="0" applyNumberFormat="1" applyFont="1" applyFill="1" applyBorder="1">
      <alignment vertical="center"/>
    </xf>
    <xf numFmtId="41" fontId="93" fillId="4" borderId="9" xfId="0" applyNumberFormat="1" applyFont="1" applyFill="1" applyBorder="1" applyAlignment="1">
      <alignment horizontal="right" vertical="center"/>
    </xf>
    <xf numFmtId="187" fontId="84" fillId="4" borderId="90" xfId="0" applyNumberFormat="1" applyFont="1" applyFill="1" applyBorder="1">
      <alignment vertical="center"/>
    </xf>
    <xf numFmtId="187" fontId="84" fillId="4" borderId="56" xfId="0" applyNumberFormat="1" applyFont="1" applyFill="1" applyBorder="1">
      <alignment vertical="center"/>
    </xf>
    <xf numFmtId="41" fontId="84" fillId="3" borderId="119" xfId="0" applyNumberFormat="1" applyFont="1" applyFill="1" applyBorder="1">
      <alignment vertical="center"/>
    </xf>
    <xf numFmtId="41" fontId="84" fillId="3" borderId="42" xfId="0" applyNumberFormat="1" applyFont="1" applyFill="1" applyBorder="1">
      <alignment vertical="center"/>
    </xf>
    <xf numFmtId="0" fontId="116" fillId="4" borderId="8" xfId="0" applyFont="1" applyFill="1" applyBorder="1">
      <alignment vertical="center"/>
    </xf>
    <xf numFmtId="187" fontId="108" fillId="4" borderId="28" xfId="0" applyNumberFormat="1" applyFont="1" applyFill="1" applyBorder="1">
      <alignment vertical="center"/>
    </xf>
    <xf numFmtId="41" fontId="108" fillId="4" borderId="48" xfId="0" applyNumberFormat="1" applyFont="1" applyFill="1" applyBorder="1">
      <alignment vertical="center"/>
    </xf>
    <xf numFmtId="41" fontId="93" fillId="3" borderId="17" xfId="0" applyNumberFormat="1" applyFont="1" applyFill="1" applyBorder="1">
      <alignment vertical="center"/>
    </xf>
    <xf numFmtId="41" fontId="93" fillId="3" borderId="18" xfId="0" applyNumberFormat="1" applyFont="1" applyFill="1" applyBorder="1">
      <alignment vertical="center"/>
    </xf>
    <xf numFmtId="41" fontId="93" fillId="3" borderId="19" xfId="0" applyNumberFormat="1" applyFont="1" applyFill="1" applyBorder="1">
      <alignment vertical="center"/>
    </xf>
    <xf numFmtId="194" fontId="116" fillId="3" borderId="0" xfId="0" applyNumberFormat="1" applyFont="1" applyFill="1" applyAlignment="1">
      <alignment horizontal="center" vertical="center"/>
    </xf>
    <xf numFmtId="0" fontId="111" fillId="0" borderId="91" xfId="0" applyFont="1" applyBorder="1" applyAlignment="1">
      <alignment horizontal="left" vertical="center"/>
    </xf>
    <xf numFmtId="0" fontId="116" fillId="3" borderId="91" xfId="0" applyFont="1" applyFill="1" applyBorder="1" applyAlignment="1">
      <alignment horizontal="center" vertical="center"/>
    </xf>
    <xf numFmtId="41" fontId="116" fillId="3" borderId="91" xfId="0" applyNumberFormat="1" applyFont="1" applyFill="1" applyBorder="1">
      <alignment vertical="center"/>
    </xf>
    <xf numFmtId="194" fontId="116" fillId="3" borderId="91" xfId="0" applyNumberFormat="1" applyFont="1" applyFill="1" applyBorder="1" applyAlignment="1">
      <alignment horizontal="center" vertical="center"/>
    </xf>
    <xf numFmtId="41" fontId="108" fillId="4" borderId="75" xfId="0" applyNumberFormat="1" applyFont="1" applyFill="1" applyBorder="1">
      <alignment vertical="center"/>
    </xf>
    <xf numFmtId="41" fontId="84" fillId="3" borderId="59" xfId="0" applyNumberFormat="1" applyFont="1" applyFill="1" applyBorder="1">
      <alignment vertical="center"/>
    </xf>
    <xf numFmtId="41" fontId="84" fillId="3" borderId="46" xfId="0" applyNumberFormat="1" applyFont="1" applyFill="1" applyBorder="1">
      <alignment vertical="center"/>
    </xf>
    <xf numFmtId="41" fontId="84" fillId="3" borderId="13" xfId="0" applyNumberFormat="1" applyFont="1" applyFill="1" applyBorder="1">
      <alignment vertical="center"/>
    </xf>
    <xf numFmtId="41" fontId="108" fillId="4" borderId="108" xfId="0" applyNumberFormat="1" applyFont="1" applyFill="1" applyBorder="1">
      <alignment vertical="center"/>
    </xf>
    <xf numFmtId="41" fontId="108" fillId="4" borderId="29" xfId="0" applyNumberFormat="1" applyFont="1" applyFill="1" applyBorder="1">
      <alignment vertical="center"/>
    </xf>
    <xf numFmtId="0" fontId="121" fillId="3" borderId="0" xfId="0" applyFont="1" applyFill="1">
      <alignment vertical="center"/>
    </xf>
    <xf numFmtId="43" fontId="121" fillId="3" borderId="0" xfId="0" applyNumberFormat="1" applyFont="1" applyFill="1">
      <alignment vertical="center"/>
    </xf>
    <xf numFmtId="9" fontId="115" fillId="3" borderId="0" xfId="0" applyNumberFormat="1" applyFont="1" applyFill="1">
      <alignment vertical="center"/>
    </xf>
    <xf numFmtId="41" fontId="84" fillId="3" borderId="58" xfId="0" applyNumberFormat="1" applyFont="1" applyFill="1" applyBorder="1">
      <alignment vertical="center"/>
    </xf>
    <xf numFmtId="0" fontId="93" fillId="4" borderId="21" xfId="0" applyFont="1" applyFill="1" applyBorder="1">
      <alignment vertical="center"/>
    </xf>
    <xf numFmtId="194" fontId="116" fillId="4" borderId="61" xfId="0" applyNumberFormat="1" applyFont="1" applyFill="1" applyBorder="1" applyAlignment="1">
      <alignment horizontal="center" vertical="center"/>
    </xf>
    <xf numFmtId="194" fontId="116" fillId="4" borderId="63" xfId="0" applyNumberFormat="1" applyFont="1" applyFill="1" applyBorder="1" applyAlignment="1">
      <alignment horizontal="center" vertical="center"/>
    </xf>
    <xf numFmtId="41" fontId="116" fillId="4" borderId="34" xfId="0" applyNumberFormat="1" applyFont="1" applyFill="1" applyBorder="1" applyAlignment="1">
      <alignment horizontal="right" vertical="center"/>
    </xf>
    <xf numFmtId="41" fontId="84" fillId="4" borderId="63" xfId="0" applyNumberFormat="1" applyFont="1" applyFill="1" applyBorder="1">
      <alignment vertical="center"/>
    </xf>
    <xf numFmtId="194" fontId="93" fillId="4" borderId="61" xfId="0" applyNumberFormat="1" applyFont="1" applyFill="1" applyBorder="1">
      <alignment vertical="center"/>
    </xf>
    <xf numFmtId="194" fontId="93" fillId="4" borderId="63" xfId="0" applyNumberFormat="1" applyFont="1" applyFill="1" applyBorder="1">
      <alignment vertical="center"/>
    </xf>
    <xf numFmtId="41" fontId="93" fillId="4" borderId="34" xfId="0" applyNumberFormat="1" applyFont="1" applyFill="1" applyBorder="1">
      <alignment vertical="center"/>
    </xf>
    <xf numFmtId="194" fontId="93" fillId="4" borderId="1" xfId="0" applyNumberFormat="1" applyFont="1" applyFill="1" applyBorder="1">
      <alignment vertical="center"/>
    </xf>
    <xf numFmtId="194" fontId="93" fillId="4" borderId="8" xfId="0" applyNumberFormat="1" applyFont="1" applyFill="1" applyBorder="1">
      <alignment vertical="center"/>
    </xf>
    <xf numFmtId="0" fontId="116" fillId="4" borderId="38" xfId="0" applyFont="1" applyFill="1" applyBorder="1" applyAlignment="1">
      <alignment horizontal="center" vertical="center"/>
    </xf>
    <xf numFmtId="41" fontId="108" fillId="4" borderId="76" xfId="0" applyNumberFormat="1" applyFont="1" applyFill="1" applyBorder="1">
      <alignment vertical="center"/>
    </xf>
    <xf numFmtId="194" fontId="93" fillId="4" borderId="77" xfId="0" applyNumberFormat="1" applyFont="1" applyFill="1" applyBorder="1">
      <alignment vertical="center"/>
    </xf>
    <xf numFmtId="194" fontId="93" fillId="4" borderId="43" xfId="0" applyNumberFormat="1" applyFont="1" applyFill="1" applyBorder="1">
      <alignment vertical="center"/>
    </xf>
    <xf numFmtId="41" fontId="116" fillId="3" borderId="78" xfId="0" applyNumberFormat="1" applyFont="1" applyFill="1" applyBorder="1">
      <alignment vertical="center"/>
    </xf>
    <xf numFmtId="41" fontId="116" fillId="3" borderId="49" xfId="0" applyNumberFormat="1" applyFont="1" applyFill="1" applyBorder="1">
      <alignment vertical="center"/>
    </xf>
    <xf numFmtId="41" fontId="108" fillId="3" borderId="78" xfId="0" applyNumberFormat="1" applyFont="1" applyFill="1" applyBorder="1">
      <alignment vertical="center"/>
    </xf>
    <xf numFmtId="41" fontId="108" fillId="3" borderId="77" xfId="0" applyNumberFormat="1" applyFont="1" applyFill="1" applyBorder="1">
      <alignment vertical="center"/>
    </xf>
    <xf numFmtId="41" fontId="108" fillId="3" borderId="49" xfId="0" applyNumberFormat="1" applyFont="1" applyFill="1" applyBorder="1">
      <alignment vertical="center"/>
    </xf>
    <xf numFmtId="41" fontId="116" fillId="4" borderId="19" xfId="0" applyNumberFormat="1" applyFont="1" applyFill="1" applyBorder="1" applyAlignment="1">
      <alignment horizontal="right" vertical="center"/>
    </xf>
    <xf numFmtId="0" fontId="116" fillId="3" borderId="50" xfId="0" applyFont="1" applyFill="1" applyBorder="1" applyAlignment="1">
      <alignment horizontal="center" vertical="center"/>
    </xf>
    <xf numFmtId="0" fontId="93" fillId="3" borderId="50" xfId="0" applyFont="1" applyFill="1" applyBorder="1" applyAlignment="1">
      <alignment horizontal="center" vertical="center"/>
    </xf>
    <xf numFmtId="0" fontId="116" fillId="3" borderId="50" xfId="0" applyFont="1" applyFill="1" applyBorder="1" applyAlignment="1">
      <alignment horizontal="right" vertical="center"/>
    </xf>
    <xf numFmtId="41" fontId="108" fillId="3" borderId="50" xfId="0" applyNumberFormat="1" applyFont="1" applyFill="1" applyBorder="1">
      <alignment vertical="center"/>
    </xf>
    <xf numFmtId="41" fontId="116" fillId="3" borderId="50" xfId="0" applyNumberFormat="1" applyFont="1" applyFill="1" applyBorder="1">
      <alignment vertical="center"/>
    </xf>
    <xf numFmtId="41" fontId="84" fillId="4" borderId="65" xfId="0" applyNumberFormat="1" applyFont="1" applyFill="1" applyBorder="1">
      <alignment vertical="center"/>
    </xf>
    <xf numFmtId="0" fontId="116" fillId="4" borderId="21" xfId="0" applyFont="1" applyFill="1" applyBorder="1" applyAlignment="1">
      <alignment horizontal="center" vertical="center"/>
    </xf>
    <xf numFmtId="41" fontId="84" fillId="3" borderId="72" xfId="0" applyNumberFormat="1" applyFont="1" applyFill="1" applyBorder="1">
      <alignment vertical="center"/>
    </xf>
    <xf numFmtId="192" fontId="93" fillId="4" borderId="8" xfId="0" applyNumberFormat="1" applyFont="1" applyFill="1" applyBorder="1">
      <alignment vertical="center"/>
    </xf>
    <xf numFmtId="41" fontId="93" fillId="4" borderId="49" xfId="0" applyNumberFormat="1" applyFont="1" applyFill="1" applyBorder="1">
      <alignment vertical="center"/>
    </xf>
    <xf numFmtId="41" fontId="84" fillId="4" borderId="78" xfId="0" applyNumberFormat="1" applyFont="1" applyFill="1" applyBorder="1">
      <alignment vertical="center"/>
    </xf>
    <xf numFmtId="41" fontId="84" fillId="4" borderId="77" xfId="0" applyNumberFormat="1" applyFont="1" applyFill="1" applyBorder="1">
      <alignment vertical="center"/>
    </xf>
    <xf numFmtId="41" fontId="84" fillId="4" borderId="49" xfId="0" applyNumberFormat="1" applyFont="1" applyFill="1" applyBorder="1">
      <alignment vertical="center"/>
    </xf>
    <xf numFmtId="41" fontId="84" fillId="4" borderId="76" xfId="0" applyNumberFormat="1" applyFont="1" applyFill="1" applyBorder="1">
      <alignment vertical="center"/>
    </xf>
    <xf numFmtId="0" fontId="93" fillId="3" borderId="0" xfId="0" applyFont="1" applyFill="1" applyAlignment="1">
      <alignment horizontal="center" vertical="center"/>
    </xf>
    <xf numFmtId="0" fontId="116" fillId="3" borderId="0" xfId="0" applyFont="1" applyFill="1" applyAlignment="1">
      <alignment horizontal="right" vertical="center"/>
    </xf>
    <xf numFmtId="0" fontId="111" fillId="3" borderId="0" xfId="0" applyFont="1" applyFill="1" applyAlignment="1">
      <alignment horizontal="left" vertical="center"/>
    </xf>
    <xf numFmtId="9" fontId="115" fillId="0" borderId="0" xfId="0" applyNumberFormat="1" applyFont="1">
      <alignment vertical="center"/>
    </xf>
    <xf numFmtId="41" fontId="110" fillId="0" borderId="0" xfId="0" applyNumberFormat="1" applyFont="1">
      <alignment vertical="center"/>
    </xf>
    <xf numFmtId="185" fontId="121" fillId="0" borderId="0" xfId="0" applyNumberFormat="1" applyFont="1">
      <alignment vertical="center"/>
    </xf>
    <xf numFmtId="0" fontId="93" fillId="4" borderId="15" xfId="0" applyFont="1" applyFill="1" applyBorder="1" applyAlignment="1">
      <alignment horizontal="centerContinuous" vertical="center"/>
    </xf>
    <xf numFmtId="41" fontId="116" fillId="3" borderId="18" xfId="0" applyNumberFormat="1" applyFont="1" applyFill="1" applyBorder="1" applyAlignment="1">
      <alignment horizontal="right" vertical="center"/>
    </xf>
    <xf numFmtId="41" fontId="116" fillId="3" borderId="19" xfId="0" applyNumberFormat="1" applyFont="1" applyFill="1" applyBorder="1" applyAlignment="1">
      <alignment horizontal="right" vertical="center"/>
    </xf>
    <xf numFmtId="41" fontId="116" fillId="3" borderId="67" xfId="0" applyNumberFormat="1" applyFont="1" applyFill="1" applyBorder="1" applyAlignment="1">
      <alignment horizontal="right" vertical="center"/>
    </xf>
    <xf numFmtId="41" fontId="116" fillId="3" borderId="20" xfId="0" applyNumberFormat="1" applyFont="1" applyFill="1" applyBorder="1" applyAlignment="1">
      <alignment horizontal="right" vertical="center"/>
    </xf>
    <xf numFmtId="41" fontId="116" fillId="4" borderId="27" xfId="0" applyNumberFormat="1" applyFont="1" applyFill="1" applyBorder="1" applyAlignment="1">
      <alignment horizontal="left" vertical="center"/>
    </xf>
    <xf numFmtId="0" fontId="116" fillId="4" borderId="27" xfId="0" applyFont="1" applyFill="1" applyBorder="1" applyAlignment="1">
      <alignment horizontal="center" vertical="center" wrapText="1"/>
    </xf>
    <xf numFmtId="41" fontId="84" fillId="0" borderId="58" xfId="0" applyNumberFormat="1" applyFont="1" applyBorder="1" applyAlignment="1">
      <alignment horizontal="right" vertical="center"/>
    </xf>
    <xf numFmtId="41" fontId="84" fillId="0" borderId="27" xfId="0" applyNumberFormat="1" applyFont="1" applyBorder="1" applyAlignment="1">
      <alignment horizontal="right" vertical="center"/>
    </xf>
    <xf numFmtId="41" fontId="84" fillId="0" borderId="60" xfId="0" applyNumberFormat="1" applyFont="1" applyBorder="1" applyAlignment="1">
      <alignment horizontal="right" vertical="center"/>
    </xf>
    <xf numFmtId="41" fontId="84" fillId="0" borderId="26" xfId="0" applyNumberFormat="1" applyFont="1" applyBorder="1" applyAlignment="1">
      <alignment horizontal="right" vertical="center"/>
    </xf>
    <xf numFmtId="41" fontId="84" fillId="0" borderId="65" xfId="0" applyNumberFormat="1" applyFont="1" applyBorder="1" applyAlignment="1">
      <alignment horizontal="right" vertical="center"/>
    </xf>
    <xf numFmtId="41" fontId="93" fillId="0" borderId="14" xfId="0" applyNumberFormat="1" applyFont="1" applyBorder="1" applyAlignment="1">
      <alignment horizontal="right" vertical="center"/>
    </xf>
    <xf numFmtId="41" fontId="93" fillId="4" borderId="37" xfId="0" applyNumberFormat="1" applyFont="1" applyFill="1" applyBorder="1">
      <alignment vertical="center"/>
    </xf>
    <xf numFmtId="41" fontId="93" fillId="4" borderId="57" xfId="0" applyNumberFormat="1" applyFont="1" applyFill="1" applyBorder="1">
      <alignment vertical="center"/>
    </xf>
    <xf numFmtId="41" fontId="84" fillId="3" borderId="63" xfId="0" applyNumberFormat="1" applyFont="1" applyFill="1" applyBorder="1" applyAlignment="1">
      <alignment horizontal="right" vertical="center"/>
    </xf>
    <xf numFmtId="41" fontId="93" fillId="0" borderId="57" xfId="0" applyNumberFormat="1" applyFont="1" applyBorder="1" applyAlignment="1">
      <alignment horizontal="right" vertical="center"/>
    </xf>
    <xf numFmtId="41" fontId="93" fillId="4" borderId="21" xfId="0" applyNumberFormat="1" applyFont="1" applyFill="1" applyBorder="1">
      <alignment vertical="center"/>
    </xf>
    <xf numFmtId="41" fontId="84" fillId="3" borderId="8" xfId="0" applyNumberFormat="1" applyFont="1" applyFill="1" applyBorder="1" applyAlignment="1">
      <alignment horizontal="right" vertical="center"/>
    </xf>
    <xf numFmtId="41" fontId="84" fillId="3" borderId="69" xfId="0" applyNumberFormat="1" applyFont="1" applyFill="1" applyBorder="1" applyAlignment="1">
      <alignment horizontal="right" vertical="center"/>
    </xf>
    <xf numFmtId="41" fontId="93" fillId="0" borderId="31" xfId="0" applyNumberFormat="1" applyFont="1" applyBorder="1" applyAlignment="1">
      <alignment horizontal="right" vertical="center"/>
    </xf>
    <xf numFmtId="41" fontId="93" fillId="4" borderId="122" xfId="0" applyNumberFormat="1" applyFont="1" applyFill="1" applyBorder="1">
      <alignment vertical="center"/>
    </xf>
    <xf numFmtId="194" fontId="93" fillId="4" borderId="9" xfId="0" applyNumberFormat="1" applyFont="1" applyFill="1" applyBorder="1">
      <alignment vertical="center"/>
    </xf>
    <xf numFmtId="192" fontId="93" fillId="4" borderId="118" xfId="0" applyNumberFormat="1" applyFont="1" applyFill="1" applyBorder="1">
      <alignment vertical="center"/>
    </xf>
    <xf numFmtId="41" fontId="84" fillId="3" borderId="118" xfId="0" applyNumberFormat="1" applyFont="1" applyFill="1" applyBorder="1" applyAlignment="1">
      <alignment horizontal="right" vertical="center"/>
    </xf>
    <xf numFmtId="41" fontId="84" fillId="3" borderId="89" xfId="0" applyNumberFormat="1" applyFont="1" applyFill="1" applyBorder="1" applyAlignment="1">
      <alignment horizontal="right" vertical="center"/>
    </xf>
    <xf numFmtId="41" fontId="93" fillId="0" borderId="106" xfId="0" applyNumberFormat="1" applyFont="1" applyBorder="1" applyAlignment="1">
      <alignment horizontal="right" vertical="center"/>
    </xf>
    <xf numFmtId="41" fontId="93" fillId="4" borderId="185" xfId="0" applyNumberFormat="1" applyFont="1" applyFill="1" applyBorder="1">
      <alignment vertical="center"/>
    </xf>
    <xf numFmtId="194" fontId="93" fillId="4" borderId="159" xfId="0" applyNumberFormat="1" applyFont="1" applyFill="1" applyBorder="1">
      <alignment vertical="center"/>
    </xf>
    <xf numFmtId="192" fontId="93" fillId="4" borderId="160" xfId="0" applyNumberFormat="1" applyFont="1" applyFill="1" applyBorder="1">
      <alignment vertical="center"/>
    </xf>
    <xf numFmtId="41" fontId="84" fillId="3" borderId="150" xfId="0" applyNumberFormat="1" applyFont="1" applyFill="1" applyBorder="1" applyAlignment="1">
      <alignment horizontal="right" vertical="center"/>
    </xf>
    <xf numFmtId="41" fontId="84" fillId="3" borderId="161" xfId="0" applyNumberFormat="1" applyFont="1" applyFill="1" applyBorder="1" applyAlignment="1">
      <alignment horizontal="right" vertical="center"/>
    </xf>
    <xf numFmtId="41" fontId="84" fillId="3" borderId="188" xfId="0" applyNumberFormat="1" applyFont="1" applyFill="1" applyBorder="1" applyAlignment="1">
      <alignment horizontal="right" vertical="center"/>
    </xf>
    <xf numFmtId="41" fontId="93" fillId="0" borderId="187" xfId="0" applyNumberFormat="1" applyFont="1" applyBorder="1" applyAlignment="1">
      <alignment horizontal="right" vertical="center"/>
    </xf>
    <xf numFmtId="41" fontId="116" fillId="4" borderId="73" xfId="0" applyNumberFormat="1" applyFont="1" applyFill="1" applyBorder="1" applyAlignment="1">
      <alignment horizontal="center" vertical="center"/>
    </xf>
    <xf numFmtId="41" fontId="93" fillId="4" borderId="59" xfId="0" applyNumberFormat="1" applyFont="1" applyFill="1" applyBorder="1">
      <alignment vertical="center"/>
    </xf>
    <xf numFmtId="41" fontId="93" fillId="4" borderId="68" xfId="0" applyNumberFormat="1" applyFont="1" applyFill="1" applyBorder="1">
      <alignment vertical="center"/>
    </xf>
    <xf numFmtId="41" fontId="108" fillId="4" borderId="13" xfId="0" applyNumberFormat="1" applyFont="1" applyFill="1" applyBorder="1">
      <alignment vertical="center"/>
    </xf>
    <xf numFmtId="41" fontId="108" fillId="4" borderId="59" xfId="0" applyNumberFormat="1" applyFont="1" applyFill="1" applyBorder="1">
      <alignment vertical="center"/>
    </xf>
    <xf numFmtId="41" fontId="108" fillId="4" borderId="46" xfId="0" applyNumberFormat="1" applyFont="1" applyFill="1" applyBorder="1">
      <alignment vertical="center"/>
    </xf>
    <xf numFmtId="182" fontId="93" fillId="0" borderId="0" xfId="0" applyNumberFormat="1" applyFont="1" applyAlignment="1">
      <alignment horizontal="left" vertical="center"/>
    </xf>
    <xf numFmtId="0" fontId="93" fillId="3" borderId="91" xfId="0" applyFont="1" applyFill="1" applyBorder="1" applyAlignment="1">
      <alignment horizontal="center" vertical="center"/>
    </xf>
    <xf numFmtId="0" fontId="116" fillId="3" borderId="91" xfId="0" applyFont="1" applyFill="1" applyBorder="1" applyAlignment="1">
      <alignment horizontal="right" vertical="center"/>
    </xf>
    <xf numFmtId="41" fontId="108" fillId="3" borderId="91" xfId="0" applyNumberFormat="1" applyFont="1" applyFill="1" applyBorder="1">
      <alignment vertical="center"/>
    </xf>
    <xf numFmtId="0" fontId="112" fillId="4" borderId="16" xfId="0" applyFont="1" applyFill="1" applyBorder="1">
      <alignment vertical="center"/>
    </xf>
    <xf numFmtId="41" fontId="128" fillId="3" borderId="0" xfId="0" applyNumberFormat="1" applyFont="1" applyFill="1">
      <alignment vertical="center"/>
    </xf>
    <xf numFmtId="185" fontId="93" fillId="0" borderId="0" xfId="0" applyNumberFormat="1" applyFont="1">
      <alignment vertical="center"/>
    </xf>
    <xf numFmtId="187" fontId="84" fillId="3" borderId="69" xfId="0" applyNumberFormat="1" applyFont="1" applyFill="1" applyBorder="1">
      <alignment vertical="center"/>
    </xf>
    <xf numFmtId="185" fontId="84" fillId="3" borderId="1" xfId="0" applyNumberFormat="1" applyFont="1" applyFill="1" applyBorder="1">
      <alignment vertical="center"/>
    </xf>
    <xf numFmtId="185" fontId="84" fillId="3" borderId="69" xfId="0" applyNumberFormat="1" applyFont="1" applyFill="1" applyBorder="1">
      <alignment vertical="center"/>
    </xf>
    <xf numFmtId="185" fontId="84" fillId="3" borderId="55" xfId="0" applyNumberFormat="1" applyFont="1" applyFill="1" applyBorder="1">
      <alignment vertical="center"/>
    </xf>
    <xf numFmtId="0" fontId="116" fillId="4" borderId="73" xfId="0" applyFont="1" applyFill="1" applyBorder="1" applyAlignment="1">
      <alignment horizontal="center" vertical="center"/>
    </xf>
    <xf numFmtId="9" fontId="118" fillId="0" borderId="0" xfId="0" applyNumberFormat="1" applyFont="1">
      <alignment vertical="center"/>
    </xf>
    <xf numFmtId="41" fontId="93" fillId="3" borderId="50" xfId="0" applyNumberFormat="1" applyFont="1" applyFill="1" applyBorder="1">
      <alignment vertical="center"/>
    </xf>
    <xf numFmtId="41" fontId="108" fillId="13" borderId="12" xfId="0" applyNumberFormat="1" applyFont="1" applyFill="1" applyBorder="1">
      <alignment vertical="center"/>
    </xf>
    <xf numFmtId="41" fontId="108" fillId="13" borderId="28" xfId="0" applyNumberFormat="1" applyFont="1" applyFill="1" applyBorder="1">
      <alignment vertical="center"/>
    </xf>
    <xf numFmtId="41" fontId="108" fillId="13" borderId="33" xfId="0" applyNumberFormat="1" applyFont="1" applyFill="1" applyBorder="1">
      <alignment vertical="center"/>
    </xf>
    <xf numFmtId="185" fontId="93" fillId="3" borderId="69" xfId="0" applyNumberFormat="1" applyFont="1" applyFill="1" applyBorder="1">
      <alignment vertical="center"/>
    </xf>
    <xf numFmtId="41" fontId="116" fillId="4" borderId="40" xfId="0" applyNumberFormat="1" applyFont="1" applyFill="1" applyBorder="1">
      <alignment vertical="center"/>
    </xf>
    <xf numFmtId="0" fontId="116" fillId="4" borderId="16" xfId="0" applyFont="1" applyFill="1" applyBorder="1">
      <alignment vertical="center"/>
    </xf>
    <xf numFmtId="0" fontId="122" fillId="0" borderId="0" xfId="0" applyFont="1">
      <alignment vertical="center"/>
    </xf>
    <xf numFmtId="0" fontId="116" fillId="3" borderId="0" xfId="0" applyFont="1" applyFill="1">
      <alignment vertical="center"/>
    </xf>
    <xf numFmtId="0" fontId="122" fillId="3" borderId="0" xfId="0" applyFont="1" applyFill="1">
      <alignment vertical="center"/>
    </xf>
    <xf numFmtId="0" fontId="84" fillId="3" borderId="0" xfId="0" applyFont="1" applyFill="1" applyAlignment="1">
      <alignment horizontal="center" vertical="center"/>
    </xf>
    <xf numFmtId="41" fontId="93" fillId="3" borderId="0" xfId="0" applyNumberFormat="1" applyFont="1" applyFill="1" applyAlignment="1">
      <alignment horizontal="center" vertical="center"/>
    </xf>
    <xf numFmtId="0" fontId="116" fillId="4" borderId="60" xfId="0" applyFont="1" applyFill="1" applyBorder="1" applyAlignment="1">
      <alignment horizontal="center" vertical="center"/>
    </xf>
    <xf numFmtId="0" fontId="116" fillId="4" borderId="14" xfId="0" applyFont="1" applyFill="1" applyBorder="1" applyAlignment="1">
      <alignment horizontal="center" vertical="center" wrapText="1"/>
    </xf>
    <xf numFmtId="192" fontId="93" fillId="4" borderId="27" xfId="0" applyNumberFormat="1" applyFont="1" applyFill="1" applyBorder="1">
      <alignment vertical="center"/>
    </xf>
    <xf numFmtId="192" fontId="93" fillId="4" borderId="1" xfId="0" applyNumberFormat="1" applyFont="1" applyFill="1" applyBorder="1">
      <alignment vertical="center"/>
    </xf>
    <xf numFmtId="192" fontId="93" fillId="4" borderId="69" xfId="0" applyNumberFormat="1" applyFont="1" applyFill="1" applyBorder="1">
      <alignment vertical="center"/>
    </xf>
    <xf numFmtId="185" fontId="93" fillId="3" borderId="10" xfId="0" applyNumberFormat="1" applyFont="1" applyFill="1" applyBorder="1">
      <alignment vertical="center"/>
    </xf>
    <xf numFmtId="185" fontId="93" fillId="3" borderId="1" xfId="0" applyNumberFormat="1" applyFont="1" applyFill="1" applyBorder="1">
      <alignment vertical="center"/>
    </xf>
    <xf numFmtId="192" fontId="93" fillId="4" borderId="19" xfId="0" applyNumberFormat="1" applyFont="1" applyFill="1" applyBorder="1">
      <alignment vertical="center"/>
    </xf>
    <xf numFmtId="185" fontId="93" fillId="3" borderId="18" xfId="0" applyNumberFormat="1" applyFont="1" applyFill="1" applyBorder="1">
      <alignment vertical="center"/>
    </xf>
    <xf numFmtId="185" fontId="93" fillId="3" borderId="19" xfId="0" applyNumberFormat="1" applyFont="1" applyFill="1" applyBorder="1">
      <alignment vertical="center"/>
    </xf>
    <xf numFmtId="185" fontId="93" fillId="3" borderId="67" xfId="0" applyNumberFormat="1" applyFont="1" applyFill="1" applyBorder="1">
      <alignment vertical="center"/>
    </xf>
    <xf numFmtId="0" fontId="116" fillId="4" borderId="19" xfId="0" applyFont="1" applyFill="1" applyBorder="1">
      <alignment vertical="center"/>
    </xf>
    <xf numFmtId="43" fontId="93" fillId="3" borderId="0" xfId="0" applyNumberFormat="1" applyFont="1" applyFill="1" applyAlignment="1">
      <alignment horizontal="center" vertical="center"/>
    </xf>
    <xf numFmtId="179" fontId="93" fillId="3" borderId="0" xfId="0" applyNumberFormat="1" applyFont="1" applyFill="1" applyAlignment="1">
      <alignment horizontal="center" vertical="center"/>
    </xf>
    <xf numFmtId="41" fontId="116" fillId="3" borderId="0" xfId="0" applyNumberFormat="1" applyFont="1" applyFill="1" applyAlignment="1">
      <alignment horizontal="center" vertical="center"/>
    </xf>
    <xf numFmtId="41" fontId="116" fillId="3" borderId="0" xfId="0" applyNumberFormat="1" applyFont="1" applyFill="1" applyAlignment="1">
      <alignment horizontal="right" vertical="center"/>
    </xf>
    <xf numFmtId="0" fontId="114" fillId="3" borderId="0" xfId="0" applyFont="1" applyFill="1" applyAlignment="1">
      <alignment horizontal="center" vertical="center"/>
    </xf>
    <xf numFmtId="41" fontId="114" fillId="3" borderId="0" xfId="0" applyNumberFormat="1" applyFont="1" applyFill="1">
      <alignment vertical="center"/>
    </xf>
    <xf numFmtId="41" fontId="110" fillId="0" borderId="0" xfId="0" applyNumberFormat="1" applyFont="1" applyAlignment="1">
      <alignment horizontal="center" vertical="center"/>
    </xf>
    <xf numFmtId="9" fontId="121" fillId="0" borderId="0" xfId="0" applyNumberFormat="1" applyFont="1">
      <alignment vertical="center"/>
    </xf>
    <xf numFmtId="41" fontId="93" fillId="4" borderId="50" xfId="0" applyNumberFormat="1" applyFont="1" applyFill="1" applyBorder="1" applyAlignment="1">
      <alignment horizontal="left" vertical="center"/>
    </xf>
    <xf numFmtId="41" fontId="93" fillId="4" borderId="27" xfId="0" applyNumberFormat="1" applyFont="1" applyFill="1" applyBorder="1" applyAlignment="1">
      <alignment horizontal="center" vertical="center"/>
    </xf>
    <xf numFmtId="41" fontId="93" fillId="4" borderId="60" xfId="0" applyNumberFormat="1" applyFont="1" applyFill="1" applyBorder="1" applyAlignment="1">
      <alignment horizontal="center" vertical="center"/>
    </xf>
    <xf numFmtId="41" fontId="84" fillId="3" borderId="25" xfId="0" applyNumberFormat="1" applyFont="1" applyFill="1" applyBorder="1">
      <alignment vertical="center"/>
    </xf>
    <xf numFmtId="41" fontId="93" fillId="4" borderId="14" xfId="0" applyNumberFormat="1" applyFont="1" applyFill="1" applyBorder="1">
      <alignment vertical="center"/>
    </xf>
    <xf numFmtId="41" fontId="93" fillId="4" borderId="0" xfId="0" applyNumberFormat="1" applyFont="1" applyFill="1" applyAlignment="1">
      <alignment horizontal="left" vertical="center"/>
    </xf>
    <xf numFmtId="41" fontId="93" fillId="4" borderId="69" xfId="0" applyNumberFormat="1" applyFont="1" applyFill="1" applyBorder="1" applyAlignment="1">
      <alignment horizontal="center" vertical="center"/>
    </xf>
    <xf numFmtId="185" fontId="93" fillId="4" borderId="31" xfId="0" applyNumberFormat="1" applyFont="1" applyFill="1" applyBorder="1">
      <alignment vertical="center"/>
    </xf>
    <xf numFmtId="41" fontId="116" fillId="4" borderId="62" xfId="0" applyNumberFormat="1" applyFont="1" applyFill="1" applyBorder="1" applyAlignment="1">
      <alignment horizontal="left" vertical="center"/>
    </xf>
    <xf numFmtId="41" fontId="116" fillId="4" borderId="61" xfId="0" applyNumberFormat="1" applyFont="1" applyFill="1" applyBorder="1" applyAlignment="1">
      <alignment horizontal="center" vertical="center"/>
    </xf>
    <xf numFmtId="41" fontId="116" fillId="4" borderId="63" xfId="0" applyNumberFormat="1" applyFont="1" applyFill="1" applyBorder="1" applyAlignment="1">
      <alignment horizontal="center" vertical="center"/>
    </xf>
    <xf numFmtId="41" fontId="108" fillId="4" borderId="72" xfId="0" applyNumberFormat="1" applyFont="1" applyFill="1" applyBorder="1">
      <alignment vertical="center"/>
    </xf>
    <xf numFmtId="41" fontId="108" fillId="4" borderId="64" xfId="0" applyNumberFormat="1" applyFont="1" applyFill="1" applyBorder="1">
      <alignment vertical="center"/>
    </xf>
    <xf numFmtId="41" fontId="108" fillId="4" borderId="71" xfId="0" applyNumberFormat="1" applyFont="1" applyFill="1" applyBorder="1">
      <alignment vertical="center"/>
    </xf>
    <xf numFmtId="41" fontId="108" fillId="4" borderId="85" xfId="0" applyNumberFormat="1" applyFont="1" applyFill="1" applyBorder="1">
      <alignment vertical="center"/>
    </xf>
    <xf numFmtId="41" fontId="93" fillId="4" borderId="61" xfId="0" applyNumberFormat="1" applyFont="1" applyFill="1" applyBorder="1" applyAlignment="1">
      <alignment horizontal="center" vertical="center"/>
    </xf>
    <xf numFmtId="41" fontId="93" fillId="4" borderId="34" xfId="0" applyNumberFormat="1" applyFont="1" applyFill="1" applyBorder="1" applyAlignment="1">
      <alignment horizontal="center" vertical="center"/>
    </xf>
    <xf numFmtId="41" fontId="116" fillId="4" borderId="6" xfId="0" applyNumberFormat="1" applyFont="1" applyFill="1" applyBorder="1" applyAlignment="1">
      <alignment horizontal="left" vertical="center"/>
    </xf>
    <xf numFmtId="41" fontId="93" fillId="4" borderId="28" xfId="0" applyNumberFormat="1" applyFont="1" applyFill="1" applyBorder="1" applyAlignment="1">
      <alignment horizontal="center" vertical="center"/>
    </xf>
    <xf numFmtId="41" fontId="93" fillId="4" borderId="48" xfId="0" applyNumberFormat="1" applyFont="1" applyFill="1" applyBorder="1" applyAlignment="1">
      <alignment horizontal="center" vertical="center"/>
    </xf>
    <xf numFmtId="41" fontId="93" fillId="4" borderId="33" xfId="0" applyNumberFormat="1" applyFont="1" applyFill="1" applyBorder="1" applyAlignment="1">
      <alignment horizontal="center" vertical="center"/>
    </xf>
    <xf numFmtId="41" fontId="108" fillId="4" borderId="16" xfId="0" applyNumberFormat="1" applyFont="1" applyFill="1" applyBorder="1">
      <alignment vertical="center"/>
    </xf>
    <xf numFmtId="41" fontId="108" fillId="4" borderId="45" xfId="0" applyNumberFormat="1" applyFont="1" applyFill="1" applyBorder="1">
      <alignment vertical="center"/>
    </xf>
    <xf numFmtId="0" fontId="108" fillId="4" borderId="55" xfId="0" applyFont="1" applyFill="1" applyBorder="1">
      <alignment vertical="center"/>
    </xf>
    <xf numFmtId="0" fontId="84" fillId="4" borderId="8" xfId="0" applyFont="1" applyFill="1" applyBorder="1" applyAlignment="1">
      <alignment horizontal="center" vertical="center"/>
    </xf>
    <xf numFmtId="192" fontId="93" fillId="4" borderId="69" xfId="0" applyNumberFormat="1" applyFont="1" applyFill="1" applyBorder="1" applyAlignment="1">
      <alignment horizontal="center" vertical="center"/>
    </xf>
    <xf numFmtId="41" fontId="84" fillId="0" borderId="1" xfId="0" applyNumberFormat="1" applyFont="1" applyBorder="1">
      <alignment vertical="center"/>
    </xf>
    <xf numFmtId="41" fontId="84" fillId="4" borderId="69" xfId="0" applyNumberFormat="1" applyFont="1" applyFill="1" applyBorder="1">
      <alignment vertical="center"/>
    </xf>
    <xf numFmtId="0" fontId="108" fillId="4" borderId="13" xfId="0" applyFont="1" applyFill="1" applyBorder="1">
      <alignment vertical="center"/>
    </xf>
    <xf numFmtId="0" fontId="84" fillId="4" borderId="0" xfId="0" applyFont="1" applyFill="1" applyAlignment="1">
      <alignment horizontal="left" vertical="center"/>
    </xf>
    <xf numFmtId="187" fontId="108" fillId="4" borderId="29" xfId="0" applyNumberFormat="1" applyFont="1" applyFill="1" applyBorder="1">
      <alignment vertical="center"/>
    </xf>
    <xf numFmtId="0" fontId="112" fillId="26" borderId="186" xfId="0" applyFont="1" applyFill="1" applyBorder="1" applyAlignment="1">
      <alignment horizontal="center" vertical="center"/>
    </xf>
    <xf numFmtId="0" fontId="93" fillId="0" borderId="186" xfId="0" applyFont="1" applyBorder="1">
      <alignment vertical="center"/>
    </xf>
    <xf numFmtId="180" fontId="93" fillId="0" borderId="186" xfId="0" applyNumberFormat="1" applyFont="1" applyBorder="1">
      <alignment vertical="center"/>
    </xf>
    <xf numFmtId="41" fontId="131" fillId="0" borderId="0" xfId="0" applyNumberFormat="1" applyFont="1">
      <alignment vertical="center"/>
    </xf>
    <xf numFmtId="0" fontId="131" fillId="0" borderId="0" xfId="0" applyFont="1">
      <alignment vertical="center"/>
    </xf>
    <xf numFmtId="41" fontId="116" fillId="4" borderId="18" xfId="0" applyNumberFormat="1" applyFont="1" applyFill="1" applyBorder="1" applyAlignment="1">
      <alignment horizontal="center" vertical="center"/>
    </xf>
    <xf numFmtId="41" fontId="116" fillId="4" borderId="20" xfId="0" applyNumberFormat="1" applyFont="1" applyFill="1" applyBorder="1" applyAlignment="1">
      <alignment horizontal="center" vertical="center"/>
    </xf>
    <xf numFmtId="184" fontId="93" fillId="3" borderId="58" xfId="0" applyNumberFormat="1" applyFont="1" applyFill="1" applyBorder="1" applyAlignment="1">
      <alignment horizontal="right" vertical="center"/>
    </xf>
    <xf numFmtId="184" fontId="93" fillId="3" borderId="27" xfId="0" applyNumberFormat="1" applyFont="1" applyFill="1" applyBorder="1" applyAlignment="1">
      <alignment horizontal="right" vertical="center"/>
    </xf>
    <xf numFmtId="184" fontId="93" fillId="3" borderId="60" xfId="0" applyNumberFormat="1" applyFont="1" applyFill="1" applyBorder="1" applyAlignment="1">
      <alignment horizontal="right" vertical="center"/>
    </xf>
    <xf numFmtId="184" fontId="93" fillId="4" borderId="14" xfId="0" applyNumberFormat="1" applyFont="1" applyFill="1" applyBorder="1" applyAlignment="1">
      <alignment horizontal="right" vertical="center"/>
    </xf>
    <xf numFmtId="184" fontId="93" fillId="3" borderId="55" xfId="0" applyNumberFormat="1" applyFont="1" applyFill="1" applyBorder="1" applyAlignment="1">
      <alignment horizontal="right" vertical="center"/>
    </xf>
    <xf numFmtId="184" fontId="93" fillId="3" borderId="1" xfId="0" applyNumberFormat="1" applyFont="1" applyFill="1" applyBorder="1" applyAlignment="1">
      <alignment horizontal="right" vertical="center"/>
    </xf>
    <xf numFmtId="184" fontId="93" fillId="3" borderId="69" xfId="0" applyNumberFormat="1" applyFont="1" applyFill="1" applyBorder="1" applyAlignment="1">
      <alignment horizontal="right" vertical="center"/>
    </xf>
    <xf numFmtId="184" fontId="93" fillId="4" borderId="31" xfId="0" applyNumberFormat="1" applyFont="1" applyFill="1" applyBorder="1" applyAlignment="1">
      <alignment horizontal="right" vertical="center"/>
    </xf>
    <xf numFmtId="194" fontId="93" fillId="3" borderId="0" xfId="0" applyNumberFormat="1" applyFont="1" applyFill="1">
      <alignment vertical="center"/>
    </xf>
    <xf numFmtId="0" fontId="116" fillId="4" borderId="41" xfId="0" applyFont="1" applyFill="1" applyBorder="1" applyAlignment="1">
      <alignment horizontal="left" vertical="center"/>
    </xf>
    <xf numFmtId="0" fontId="116" fillId="4" borderId="112" xfId="0" applyFont="1" applyFill="1" applyBorder="1" applyAlignment="1">
      <alignment horizontal="center" vertical="center" wrapText="1"/>
    </xf>
    <xf numFmtId="0" fontId="116" fillId="4" borderId="41" xfId="0" applyFont="1" applyFill="1" applyBorder="1" applyAlignment="1">
      <alignment horizontal="center" vertical="center"/>
    </xf>
    <xf numFmtId="41" fontId="93" fillId="2" borderId="109" xfId="0" applyNumberFormat="1" applyFont="1" applyFill="1" applyBorder="1" applyAlignment="1">
      <alignment horizontal="center" vertical="center"/>
    </xf>
    <xf numFmtId="41" fontId="93" fillId="2" borderId="112" xfId="0" applyNumberFormat="1" applyFont="1" applyFill="1" applyBorder="1" applyAlignment="1">
      <alignment horizontal="center" vertical="center"/>
    </xf>
    <xf numFmtId="41" fontId="93" fillId="2" borderId="32" xfId="0" applyNumberFormat="1" applyFont="1" applyFill="1" applyBorder="1" applyAlignment="1">
      <alignment horizontal="center" vertical="center"/>
    </xf>
    <xf numFmtId="41" fontId="116" fillId="4" borderId="148" xfId="0" applyNumberFormat="1" applyFont="1" applyFill="1" applyBorder="1" applyAlignment="1">
      <alignment horizontal="center" vertical="center" wrapText="1"/>
    </xf>
    <xf numFmtId="41" fontId="84" fillId="2" borderId="55" xfId="0" applyNumberFormat="1" applyFont="1" applyFill="1" applyBorder="1">
      <alignment vertical="center"/>
    </xf>
    <xf numFmtId="41" fontId="84" fillId="2" borderId="1" xfId="0" applyNumberFormat="1" applyFont="1" applyFill="1" applyBorder="1">
      <alignment vertical="center"/>
    </xf>
    <xf numFmtId="41" fontId="84" fillId="2" borderId="69" xfId="0" applyNumberFormat="1" applyFont="1" applyFill="1" applyBorder="1">
      <alignment vertical="center"/>
    </xf>
    <xf numFmtId="192" fontId="93" fillId="4" borderId="47" xfId="0" applyNumberFormat="1" applyFont="1" applyFill="1" applyBorder="1">
      <alignment vertical="center"/>
    </xf>
    <xf numFmtId="185" fontId="93" fillId="2" borderId="56" xfId="0" applyNumberFormat="1" applyFont="1" applyFill="1" applyBorder="1">
      <alignment vertical="center"/>
    </xf>
    <xf numFmtId="185" fontId="93" fillId="2" borderId="5" xfId="0" applyNumberFormat="1" applyFont="1" applyFill="1" applyBorder="1">
      <alignment vertical="center"/>
    </xf>
    <xf numFmtId="185" fontId="93" fillId="2" borderId="47" xfId="0" applyNumberFormat="1" applyFont="1" applyFill="1" applyBorder="1">
      <alignment vertical="center"/>
    </xf>
    <xf numFmtId="0" fontId="116" fillId="4" borderId="74" xfId="0" applyFont="1" applyFill="1" applyBorder="1">
      <alignment vertical="center"/>
    </xf>
    <xf numFmtId="1" fontId="93" fillId="4" borderId="70" xfId="0" applyNumberFormat="1" applyFont="1" applyFill="1" applyBorder="1">
      <alignment vertical="center"/>
    </xf>
    <xf numFmtId="185" fontId="120" fillId="0" borderId="0" xfId="0" applyNumberFormat="1" applyFont="1">
      <alignment vertical="center"/>
    </xf>
    <xf numFmtId="185" fontId="120" fillId="0" borderId="0" xfId="0" applyNumberFormat="1" applyFont="1" applyAlignment="1">
      <alignment horizontal="right" vertical="center"/>
    </xf>
    <xf numFmtId="41" fontId="129" fillId="3" borderId="0" xfId="0" applyNumberFormat="1" applyFont="1" applyFill="1" applyAlignment="1">
      <alignment horizontal="center" vertical="center"/>
    </xf>
    <xf numFmtId="0" fontId="93" fillId="4" borderId="109" xfId="0" applyFont="1" applyFill="1" applyBorder="1" applyAlignment="1">
      <alignment horizontal="center" vertical="center"/>
    </xf>
    <xf numFmtId="0" fontId="93" fillId="4" borderId="112" xfId="0" applyFont="1" applyFill="1" applyBorder="1" applyAlignment="1">
      <alignment horizontal="center" vertical="center"/>
    </xf>
    <xf numFmtId="0" fontId="93" fillId="4" borderId="32" xfId="0" applyFont="1" applyFill="1" applyBorder="1" applyAlignment="1">
      <alignment horizontal="center" vertical="center"/>
    </xf>
    <xf numFmtId="0" fontId="93" fillId="4" borderId="28" xfId="0" applyFont="1" applyFill="1" applyBorder="1" applyAlignment="1">
      <alignment horizontal="center" vertical="center" shrinkToFit="1"/>
    </xf>
    <xf numFmtId="0" fontId="93" fillId="4" borderId="28" xfId="0" applyFont="1" applyFill="1" applyBorder="1" applyAlignment="1">
      <alignment horizontal="left" vertical="center" shrinkToFit="1"/>
    </xf>
    <xf numFmtId="184" fontId="93" fillId="4" borderId="33" xfId="0" applyNumberFormat="1" applyFont="1" applyFill="1" applyBorder="1" applyAlignment="1">
      <alignment horizontal="center" vertical="center"/>
    </xf>
    <xf numFmtId="184" fontId="93" fillId="0" borderId="28" xfId="0" applyNumberFormat="1" applyFont="1" applyBorder="1" applyAlignment="1">
      <alignment horizontal="right" vertical="center"/>
    </xf>
    <xf numFmtId="184" fontId="93" fillId="28" borderId="28" xfId="0" applyNumberFormat="1" applyFont="1" applyFill="1" applyBorder="1" applyAlignment="1">
      <alignment horizontal="right" vertical="center"/>
    </xf>
    <xf numFmtId="0" fontId="93" fillId="4" borderId="28" xfId="0" applyFont="1" applyFill="1" applyBorder="1" applyAlignment="1">
      <alignment horizontal="center" vertical="center"/>
    </xf>
    <xf numFmtId="0" fontId="116" fillId="4" borderId="77" xfId="0" applyFont="1" applyFill="1" applyBorder="1" applyAlignment="1">
      <alignment horizontal="center" vertical="center"/>
    </xf>
    <xf numFmtId="0" fontId="93" fillId="4" borderId="77" xfId="0" applyFont="1" applyFill="1" applyBorder="1" applyAlignment="1">
      <alignment horizontal="center" vertical="center"/>
    </xf>
    <xf numFmtId="182" fontId="116" fillId="4" borderId="49" xfId="0" applyNumberFormat="1" applyFont="1" applyFill="1" applyBorder="1" applyAlignment="1">
      <alignment horizontal="center" vertical="center"/>
    </xf>
    <xf numFmtId="0" fontId="116" fillId="0" borderId="0" xfId="0" applyFont="1" applyAlignment="1">
      <alignment horizontal="left" vertical="center"/>
    </xf>
    <xf numFmtId="0" fontId="108" fillId="4" borderId="18" xfId="0" applyFont="1" applyFill="1" applyBorder="1" applyAlignment="1">
      <alignment horizontal="center" vertical="center" wrapText="1"/>
    </xf>
    <xf numFmtId="0" fontId="93" fillId="4" borderId="55" xfId="0" applyFont="1" applyFill="1" applyBorder="1">
      <alignment vertical="center"/>
    </xf>
    <xf numFmtId="41" fontId="108" fillId="26" borderId="18" xfId="0" applyNumberFormat="1" applyFont="1" applyFill="1" applyBorder="1">
      <alignment vertical="center"/>
    </xf>
    <xf numFmtId="0" fontId="93" fillId="4" borderId="35" xfId="0" applyFont="1" applyFill="1" applyBorder="1">
      <alignment vertical="center"/>
    </xf>
    <xf numFmtId="41" fontId="84" fillId="0" borderId="5" xfId="0" applyNumberFormat="1" applyFont="1" applyBorder="1">
      <alignment vertical="center"/>
    </xf>
    <xf numFmtId="0" fontId="93" fillId="4" borderId="78" xfId="0" applyFont="1" applyFill="1" applyBorder="1">
      <alignment vertical="center"/>
    </xf>
    <xf numFmtId="195" fontId="84" fillId="4" borderId="77" xfId="0" applyNumberFormat="1" applyFont="1" applyFill="1" applyBorder="1">
      <alignment vertical="center"/>
    </xf>
    <xf numFmtId="195" fontId="84" fillId="0" borderId="77" xfId="0" applyNumberFormat="1" applyFont="1" applyBorder="1">
      <alignment vertical="center"/>
    </xf>
    <xf numFmtId="195" fontId="84" fillId="0" borderId="43" xfId="0" applyNumberFormat="1" applyFont="1" applyBorder="1">
      <alignment vertical="center"/>
    </xf>
    <xf numFmtId="0" fontId="117" fillId="0" borderId="0" xfId="0" applyFont="1">
      <alignment vertical="center"/>
    </xf>
    <xf numFmtId="182" fontId="93" fillId="0" borderId="0" xfId="0" applyNumberFormat="1" applyFont="1" applyAlignment="1">
      <alignment horizontal="center" vertical="center"/>
    </xf>
    <xf numFmtId="182" fontId="132" fillId="0" borderId="0" xfId="0" applyNumberFormat="1" applyFont="1" applyAlignment="1">
      <alignment horizontal="left" vertical="center"/>
    </xf>
    <xf numFmtId="41" fontId="93" fillId="0" borderId="77" xfId="0" applyNumberFormat="1" applyFont="1" applyBorder="1">
      <alignment vertical="center"/>
    </xf>
    <xf numFmtId="41" fontId="93" fillId="0" borderId="43" xfId="0" applyNumberFormat="1" applyFont="1" applyBorder="1">
      <alignment vertical="center"/>
    </xf>
    <xf numFmtId="41" fontId="84" fillId="0" borderId="78" xfId="0" applyNumberFormat="1" applyFont="1" applyBorder="1">
      <alignment vertical="center"/>
    </xf>
    <xf numFmtId="41" fontId="84" fillId="0" borderId="77" xfId="0" applyNumberFormat="1" applyFont="1" applyBorder="1">
      <alignment vertical="center"/>
    </xf>
    <xf numFmtId="41" fontId="84" fillId="0" borderId="49" xfId="0" applyNumberFormat="1" applyFont="1" applyBorder="1">
      <alignment vertical="center"/>
    </xf>
    <xf numFmtId="182" fontId="84" fillId="0" borderId="0" xfId="0" applyNumberFormat="1" applyFont="1" applyAlignment="1">
      <alignment horizontal="center" vertical="center"/>
    </xf>
    <xf numFmtId="9" fontId="84" fillId="0" borderId="0" xfId="0" applyNumberFormat="1" applyFont="1">
      <alignment vertical="center"/>
    </xf>
    <xf numFmtId="41" fontId="84" fillId="0" borderId="109" xfId="0" applyNumberFormat="1" applyFont="1" applyBorder="1">
      <alignment vertical="center"/>
    </xf>
    <xf numFmtId="41" fontId="84" fillId="0" borderId="112" xfId="0" applyNumberFormat="1" applyFont="1" applyBorder="1">
      <alignment vertical="center"/>
    </xf>
    <xf numFmtId="41" fontId="84" fillId="0" borderId="32" xfId="0" applyNumberFormat="1" applyFont="1" applyBorder="1">
      <alignment vertical="center"/>
    </xf>
    <xf numFmtId="41" fontId="84" fillId="0" borderId="41" xfId="0" applyNumberFormat="1" applyFont="1" applyBorder="1">
      <alignment vertical="center"/>
    </xf>
    <xf numFmtId="41" fontId="116" fillId="4" borderId="32" xfId="0" applyNumberFormat="1" applyFont="1" applyFill="1" applyBorder="1">
      <alignment vertical="center"/>
    </xf>
    <xf numFmtId="41" fontId="84" fillId="0" borderId="12" xfId="0" applyNumberFormat="1" applyFont="1" applyBorder="1">
      <alignment vertical="center"/>
    </xf>
    <xf numFmtId="41" fontId="84" fillId="0" borderId="28" xfId="0" applyNumberFormat="1" applyFont="1" applyBorder="1">
      <alignment vertical="center"/>
    </xf>
    <xf numFmtId="41" fontId="84" fillId="0" borderId="33" xfId="0" applyNumberFormat="1" applyFont="1" applyBorder="1">
      <alignment vertical="center"/>
    </xf>
    <xf numFmtId="41" fontId="84" fillId="0" borderId="48" xfId="0" applyNumberFormat="1" applyFont="1" applyBorder="1">
      <alignment vertical="center"/>
    </xf>
    <xf numFmtId="41" fontId="84" fillId="0" borderId="43" xfId="0" applyNumberFormat="1" applyFont="1" applyBorder="1">
      <alignment vertical="center"/>
    </xf>
    <xf numFmtId="0" fontId="129" fillId="3" borderId="0" xfId="0" applyFont="1" applyFill="1" applyAlignment="1">
      <alignment horizontal="center" vertical="center"/>
    </xf>
    <xf numFmtId="0" fontId="133" fillId="0" borderId="0" xfId="0" applyFont="1">
      <alignment vertical="center"/>
    </xf>
    <xf numFmtId="41" fontId="132" fillId="0" borderId="0" xfId="0" applyNumberFormat="1" applyFont="1" applyAlignment="1">
      <alignment horizontal="left" vertical="center"/>
    </xf>
    <xf numFmtId="9" fontId="118" fillId="3" borderId="0" xfId="0" applyNumberFormat="1" applyFont="1" applyFill="1">
      <alignment vertical="center"/>
    </xf>
    <xf numFmtId="182" fontId="116" fillId="4" borderId="18" xfId="0" applyNumberFormat="1" applyFont="1" applyFill="1" applyBorder="1" applyAlignment="1">
      <alignment horizontal="center" vertical="center"/>
    </xf>
    <xf numFmtId="182" fontId="108" fillId="4" borderId="20" xfId="0" applyNumberFormat="1" applyFont="1" applyFill="1" applyBorder="1" applyAlignment="1">
      <alignment horizontal="center" vertical="center"/>
    </xf>
    <xf numFmtId="182" fontId="108" fillId="4" borderId="18" xfId="0" applyNumberFormat="1" applyFont="1" applyFill="1" applyBorder="1" applyAlignment="1">
      <alignment horizontal="center" vertical="center"/>
    </xf>
    <xf numFmtId="0" fontId="116" fillId="4" borderId="32" xfId="0" applyFont="1" applyFill="1" applyBorder="1" applyAlignment="1">
      <alignment horizontal="center" vertical="center"/>
    </xf>
    <xf numFmtId="192" fontId="93" fillId="4" borderId="50" xfId="0" applyNumberFormat="1" applyFont="1" applyFill="1" applyBorder="1" applyAlignment="1">
      <alignment horizontal="center" vertical="center"/>
    </xf>
    <xf numFmtId="187" fontId="84" fillId="3" borderId="27" xfId="0" applyNumberFormat="1" applyFont="1" applyFill="1" applyBorder="1">
      <alignment vertical="center"/>
    </xf>
    <xf numFmtId="187" fontId="84" fillId="3" borderId="60" xfId="0" applyNumberFormat="1" applyFont="1" applyFill="1" applyBorder="1">
      <alignment vertical="center"/>
    </xf>
    <xf numFmtId="187" fontId="84" fillId="3" borderId="58" xfId="0" applyNumberFormat="1" applyFont="1" applyFill="1" applyBorder="1">
      <alignment vertical="center"/>
    </xf>
    <xf numFmtId="41" fontId="84" fillId="4" borderId="26" xfId="0" applyNumberFormat="1" applyFont="1" applyFill="1" applyBorder="1">
      <alignment vertical="center"/>
    </xf>
    <xf numFmtId="41" fontId="116" fillId="4" borderId="60" xfId="0" applyNumberFormat="1" applyFont="1" applyFill="1" applyBorder="1">
      <alignment vertical="center"/>
    </xf>
    <xf numFmtId="192" fontId="93" fillId="4" borderId="107" xfId="0" applyNumberFormat="1" applyFont="1" applyFill="1" applyBorder="1" applyAlignment="1">
      <alignment horizontal="center" vertical="center"/>
    </xf>
    <xf numFmtId="41" fontId="116" fillId="4" borderId="47" xfId="0" applyNumberFormat="1" applyFont="1" applyFill="1" applyBorder="1">
      <alignment vertical="center"/>
    </xf>
    <xf numFmtId="0" fontId="84" fillId="4" borderId="42" xfId="0" applyFont="1" applyFill="1" applyBorder="1">
      <alignment vertical="center"/>
    </xf>
    <xf numFmtId="182" fontId="84" fillId="4" borderId="6" xfId="0" applyNumberFormat="1" applyFont="1" applyFill="1" applyBorder="1" applyAlignment="1">
      <alignment horizontal="center" vertical="center"/>
    </xf>
    <xf numFmtId="9" fontId="84" fillId="4" borderId="28" xfId="0" applyNumberFormat="1" applyFont="1" applyFill="1" applyBorder="1" applyAlignment="1">
      <alignment horizontal="center" vertical="center"/>
    </xf>
    <xf numFmtId="192" fontId="84" fillId="4" borderId="6" xfId="0" applyNumberFormat="1" applyFont="1" applyFill="1" applyBorder="1" applyAlignment="1">
      <alignment horizontal="center" vertical="center"/>
    </xf>
    <xf numFmtId="41" fontId="108" fillId="3" borderId="33" xfId="0" applyNumberFormat="1" applyFont="1" applyFill="1" applyBorder="1">
      <alignment vertical="center"/>
    </xf>
    <xf numFmtId="41" fontId="108" fillId="3" borderId="12" xfId="0" applyNumberFormat="1" applyFont="1" applyFill="1" applyBorder="1">
      <alignment vertical="center"/>
    </xf>
    <xf numFmtId="192" fontId="93" fillId="4" borderId="0" xfId="0" applyNumberFormat="1" applyFont="1" applyFill="1" applyAlignment="1">
      <alignment horizontal="center" vertical="center"/>
    </xf>
    <xf numFmtId="41" fontId="93" fillId="3" borderId="55" xfId="0" applyNumberFormat="1" applyFont="1" applyFill="1" applyBorder="1" applyAlignment="1">
      <alignment horizontal="left" vertical="center" indent="1"/>
    </xf>
    <xf numFmtId="41" fontId="93" fillId="3" borderId="69" xfId="0" applyNumberFormat="1" applyFont="1" applyFill="1" applyBorder="1" applyAlignment="1">
      <alignment horizontal="left" vertical="center" indent="1"/>
    </xf>
    <xf numFmtId="41" fontId="93" fillId="3" borderId="1" xfId="0" applyNumberFormat="1" applyFont="1" applyFill="1" applyBorder="1" applyAlignment="1">
      <alignment horizontal="left" vertical="center" indent="1"/>
    </xf>
    <xf numFmtId="41" fontId="93" fillId="3" borderId="8" xfId="0" applyNumberFormat="1" applyFont="1" applyFill="1" applyBorder="1" applyAlignment="1">
      <alignment horizontal="left" vertical="center" indent="1"/>
    </xf>
    <xf numFmtId="41" fontId="84" fillId="3" borderId="38" xfId="0" applyNumberFormat="1" applyFont="1" applyFill="1" applyBorder="1" applyAlignment="1">
      <alignment horizontal="left" vertical="center" indent="1"/>
    </xf>
    <xf numFmtId="41" fontId="84" fillId="3" borderId="1" xfId="0" applyNumberFormat="1" applyFont="1" applyFill="1" applyBorder="1" applyAlignment="1">
      <alignment horizontal="left" vertical="center" indent="1"/>
    </xf>
    <xf numFmtId="41" fontId="84" fillId="3" borderId="69" xfId="0" applyNumberFormat="1" applyFont="1" applyFill="1" applyBorder="1" applyAlignment="1">
      <alignment horizontal="left" vertical="center" indent="1"/>
    </xf>
    <xf numFmtId="41" fontId="84" fillId="3" borderId="55" xfId="0" applyNumberFormat="1" applyFont="1" applyFill="1" applyBorder="1" applyAlignment="1">
      <alignment horizontal="left" vertical="center" indent="1"/>
    </xf>
    <xf numFmtId="182" fontId="84" fillId="4" borderId="0" xfId="0" applyNumberFormat="1" applyFont="1" applyFill="1" applyAlignment="1">
      <alignment horizontal="center" vertical="center"/>
    </xf>
    <xf numFmtId="9" fontId="84" fillId="4" borderId="77" xfId="0" applyNumberFormat="1" applyFont="1" applyFill="1" applyBorder="1" applyAlignment="1">
      <alignment horizontal="center" vertical="center"/>
    </xf>
    <xf numFmtId="192" fontId="84" fillId="4" borderId="74" xfId="0" applyNumberFormat="1" applyFont="1" applyFill="1" applyBorder="1" applyAlignment="1">
      <alignment horizontal="center" vertical="center"/>
    </xf>
    <xf numFmtId="185" fontId="116" fillId="3" borderId="76" xfId="0" applyNumberFormat="1" applyFont="1" applyFill="1" applyBorder="1">
      <alignment vertical="center"/>
    </xf>
    <xf numFmtId="185" fontId="116" fillId="3" borderId="77" xfId="0" applyNumberFormat="1" applyFont="1" applyFill="1" applyBorder="1">
      <alignment vertical="center"/>
    </xf>
    <xf numFmtId="185" fontId="108" fillId="3" borderId="40" xfId="0" applyNumberFormat="1" applyFont="1" applyFill="1" applyBorder="1">
      <alignment vertical="center"/>
    </xf>
    <xf numFmtId="185" fontId="108" fillId="3" borderId="77" xfId="0" applyNumberFormat="1" applyFont="1" applyFill="1" applyBorder="1">
      <alignment vertical="center"/>
    </xf>
    <xf numFmtId="185" fontId="108" fillId="3" borderId="49" xfId="0" applyNumberFormat="1" applyFont="1" applyFill="1" applyBorder="1">
      <alignment vertical="center"/>
    </xf>
    <xf numFmtId="185" fontId="108" fillId="3" borderId="78" xfId="0" applyNumberFormat="1" applyFont="1" applyFill="1" applyBorder="1">
      <alignment vertical="center"/>
    </xf>
    <xf numFmtId="0" fontId="116" fillId="4" borderId="73" xfId="0" applyFont="1" applyFill="1" applyBorder="1" applyAlignment="1">
      <alignment horizontal="left" vertical="center" indent="1"/>
    </xf>
    <xf numFmtId="182" fontId="84" fillId="3" borderId="0" xfId="0" applyNumberFormat="1" applyFont="1" applyFill="1" applyAlignment="1">
      <alignment horizontal="center" vertical="center"/>
    </xf>
    <xf numFmtId="182" fontId="119" fillId="3" borderId="0" xfId="0" applyNumberFormat="1" applyFont="1" applyFill="1" applyAlignment="1">
      <alignment horizontal="left" vertical="center"/>
    </xf>
    <xf numFmtId="187" fontId="119" fillId="3" borderId="0" xfId="0" applyNumberFormat="1" applyFont="1" applyFill="1" applyAlignment="1">
      <alignment horizontal="left" vertical="center"/>
    </xf>
    <xf numFmtId="187" fontId="93" fillId="3" borderId="0" xfId="0" applyNumberFormat="1" applyFont="1" applyFill="1">
      <alignment vertical="center"/>
    </xf>
    <xf numFmtId="3" fontId="93" fillId="3" borderId="0" xfId="0" applyNumberFormat="1" applyFont="1" applyFill="1">
      <alignment vertical="center"/>
    </xf>
    <xf numFmtId="43" fontId="84" fillId="3" borderId="0" xfId="0" applyNumberFormat="1" applyFont="1" applyFill="1">
      <alignment vertical="center"/>
    </xf>
    <xf numFmtId="211" fontId="84" fillId="3" borderId="0" xfId="0" applyNumberFormat="1" applyFont="1" applyFill="1">
      <alignment vertical="center"/>
    </xf>
    <xf numFmtId="201" fontId="93" fillId="0" borderId="0" xfId="0" applyNumberFormat="1" applyFont="1">
      <alignment vertical="center"/>
    </xf>
    <xf numFmtId="182" fontId="108" fillId="0" borderId="0" xfId="0" applyNumberFormat="1" applyFont="1" applyAlignment="1">
      <alignment horizontal="center" vertical="center"/>
    </xf>
    <xf numFmtId="182" fontId="134" fillId="0" borderId="0" xfId="0" applyNumberFormat="1" applyFont="1" applyAlignment="1">
      <alignment horizontal="left" vertical="center"/>
    </xf>
    <xf numFmtId="187" fontId="84" fillId="0" borderId="0" xfId="0" applyNumberFormat="1" applyFont="1">
      <alignment vertical="center"/>
    </xf>
    <xf numFmtId="0" fontId="93" fillId="4" borderId="61" xfId="0" applyFont="1" applyFill="1" applyBorder="1" applyAlignment="1">
      <alignment horizontal="center" vertical="center"/>
    </xf>
    <xf numFmtId="192" fontId="84" fillId="4" borderId="49" xfId="0" applyNumberFormat="1" applyFont="1" applyFill="1" applyBorder="1" applyAlignment="1">
      <alignment horizontal="center" vertical="center"/>
    </xf>
    <xf numFmtId="3" fontId="93" fillId="0" borderId="0" xfId="0" applyNumberFormat="1" applyFont="1">
      <alignment vertical="center"/>
    </xf>
    <xf numFmtId="9" fontId="93" fillId="0" borderId="0" xfId="0" applyNumberFormat="1" applyFont="1">
      <alignment vertical="center"/>
    </xf>
    <xf numFmtId="182" fontId="116" fillId="4" borderId="27" xfId="0" applyNumberFormat="1" applyFont="1" applyFill="1" applyBorder="1" applyAlignment="1">
      <alignment horizontal="center" vertical="center"/>
    </xf>
    <xf numFmtId="182" fontId="116" fillId="4" borderId="65" xfId="0" applyNumberFormat="1" applyFont="1" applyFill="1" applyBorder="1" applyAlignment="1">
      <alignment horizontal="center" vertical="center"/>
    </xf>
    <xf numFmtId="0" fontId="84" fillId="4" borderId="112" xfId="0" applyFont="1" applyFill="1" applyBorder="1" applyAlignment="1">
      <alignment horizontal="center" vertical="center"/>
    </xf>
    <xf numFmtId="0" fontId="84" fillId="4" borderId="41" xfId="0" applyFont="1" applyFill="1" applyBorder="1" applyAlignment="1">
      <alignment horizontal="left" vertical="center"/>
    </xf>
    <xf numFmtId="9" fontId="108" fillId="4" borderId="112" xfId="0" applyNumberFormat="1" applyFont="1" applyFill="1" applyBorder="1" applyAlignment="1">
      <alignment horizontal="center" vertical="center"/>
    </xf>
    <xf numFmtId="41" fontId="116" fillId="4" borderId="32" xfId="0" applyNumberFormat="1" applyFont="1" applyFill="1" applyBorder="1" applyAlignment="1">
      <alignment horizontal="center" vertical="center"/>
    </xf>
    <xf numFmtId="0" fontId="84" fillId="4" borderId="61" xfId="0" applyFont="1" applyFill="1" applyBorder="1" applyAlignment="1">
      <alignment horizontal="center" vertical="center"/>
    </xf>
    <xf numFmtId="41" fontId="93" fillId="3" borderId="61" xfId="0" applyNumberFormat="1" applyFont="1" applyFill="1" applyBorder="1" applyAlignment="1">
      <alignment horizontal="center" vertical="center"/>
    </xf>
    <xf numFmtId="41" fontId="93" fillId="3" borderId="71" xfId="0" applyNumberFormat="1" applyFont="1" applyFill="1" applyBorder="1" applyAlignment="1">
      <alignment horizontal="center" vertical="center"/>
    </xf>
    <xf numFmtId="41" fontId="93" fillId="3" borderId="85" xfId="0" applyNumberFormat="1" applyFont="1" applyFill="1" applyBorder="1" applyAlignment="1">
      <alignment horizontal="center" vertical="center"/>
    </xf>
    <xf numFmtId="0" fontId="84" fillId="4" borderId="50" xfId="0" applyFont="1" applyFill="1" applyBorder="1" applyAlignment="1">
      <alignment horizontal="center" vertical="center"/>
    </xf>
    <xf numFmtId="182" fontId="108" fillId="4" borderId="50" xfId="0" applyNumberFormat="1" applyFont="1" applyFill="1" applyBorder="1" applyAlignment="1">
      <alignment horizontal="center" vertical="center"/>
    </xf>
    <xf numFmtId="41" fontId="116" fillId="3" borderId="27" xfId="0" applyNumberFormat="1" applyFont="1" applyFill="1" applyBorder="1" applyAlignment="1">
      <alignment horizontal="center" vertical="center"/>
    </xf>
    <xf numFmtId="41" fontId="116" fillId="3" borderId="25" xfId="0" applyNumberFormat="1" applyFont="1" applyFill="1" applyBorder="1" applyAlignment="1">
      <alignment horizontal="center" vertical="center"/>
    </xf>
    <xf numFmtId="41" fontId="116" fillId="3" borderId="50" xfId="0" applyNumberFormat="1" applyFont="1" applyFill="1" applyBorder="1" applyAlignment="1">
      <alignment horizontal="center" vertical="center"/>
    </xf>
    <xf numFmtId="41" fontId="116" fillId="4" borderId="60" xfId="0" applyNumberFormat="1" applyFont="1" applyFill="1" applyBorder="1" applyAlignment="1">
      <alignment horizontal="center" vertical="center"/>
    </xf>
    <xf numFmtId="182" fontId="116" fillId="4" borderId="18" xfId="0" applyNumberFormat="1" applyFont="1" applyFill="1" applyBorder="1" applyAlignment="1">
      <alignment horizontal="left" vertical="center"/>
    </xf>
    <xf numFmtId="41" fontId="116" fillId="0" borderId="0" xfId="0" applyNumberFormat="1" applyFont="1">
      <alignment vertical="center"/>
    </xf>
    <xf numFmtId="0" fontId="116" fillId="4" borderId="15" xfId="0" applyFont="1" applyFill="1" applyBorder="1" applyAlignment="1">
      <alignment horizontal="left" vertical="center" indent="1"/>
    </xf>
    <xf numFmtId="182" fontId="116" fillId="4" borderId="19" xfId="0" applyNumberFormat="1" applyFont="1" applyFill="1" applyBorder="1" applyAlignment="1">
      <alignment horizontal="left" vertical="center"/>
    </xf>
    <xf numFmtId="182" fontId="116" fillId="4" borderId="45" xfId="0" applyNumberFormat="1" applyFont="1" applyFill="1" applyBorder="1">
      <alignment vertical="center"/>
    </xf>
    <xf numFmtId="41" fontId="84" fillId="4" borderId="17" xfId="0" applyNumberFormat="1" applyFont="1" applyFill="1" applyBorder="1">
      <alignment vertical="center"/>
    </xf>
    <xf numFmtId="41" fontId="84" fillId="4" borderId="18" xfId="0" applyNumberFormat="1" applyFont="1" applyFill="1" applyBorder="1">
      <alignment vertical="center"/>
    </xf>
    <xf numFmtId="41" fontId="84" fillId="4" borderId="19" xfId="0" applyNumberFormat="1" applyFont="1" applyFill="1" applyBorder="1">
      <alignment vertical="center"/>
    </xf>
    <xf numFmtId="182" fontId="93" fillId="0" borderId="0" xfId="0" applyNumberFormat="1" applyFont="1">
      <alignment vertical="center"/>
    </xf>
    <xf numFmtId="182" fontId="135" fillId="0" borderId="0" xfId="0" applyNumberFormat="1" applyFont="1" applyAlignment="1">
      <alignment horizontal="left" vertical="center"/>
    </xf>
    <xf numFmtId="9" fontId="120" fillId="3" borderId="0" xfId="0" applyNumberFormat="1" applyFont="1" applyFill="1">
      <alignment vertical="center"/>
    </xf>
    <xf numFmtId="10" fontId="93" fillId="0" borderId="0" xfId="0" applyNumberFormat="1" applyFont="1">
      <alignment vertical="center"/>
    </xf>
    <xf numFmtId="10" fontId="120" fillId="0" borderId="0" xfId="0" applyNumberFormat="1" applyFont="1">
      <alignment vertical="center"/>
    </xf>
    <xf numFmtId="43" fontId="93" fillId="3" borderId="0" xfId="0" applyNumberFormat="1" applyFont="1" applyFill="1">
      <alignment vertical="center"/>
    </xf>
    <xf numFmtId="43" fontId="93" fillId="0" borderId="0" xfId="0" applyNumberFormat="1" applyFont="1">
      <alignment vertical="center"/>
    </xf>
    <xf numFmtId="41" fontId="84" fillId="3" borderId="12" xfId="0" applyNumberFormat="1" applyFont="1" applyFill="1" applyBorder="1">
      <alignment vertical="center"/>
    </xf>
    <xf numFmtId="41" fontId="116" fillId="4" borderId="35" xfId="0" applyNumberFormat="1" applyFont="1" applyFill="1" applyBorder="1">
      <alignment vertical="center"/>
    </xf>
    <xf numFmtId="0" fontId="108" fillId="4" borderId="20" xfId="0" applyFont="1" applyFill="1" applyBorder="1">
      <alignment vertical="center"/>
    </xf>
    <xf numFmtId="0" fontId="108" fillId="4" borderId="67" xfId="0" applyFont="1" applyFill="1" applyBorder="1">
      <alignment vertical="center"/>
    </xf>
    <xf numFmtId="0" fontId="108" fillId="4" borderId="29" xfId="0" applyFont="1" applyFill="1" applyBorder="1" applyAlignment="1">
      <alignment horizontal="center" vertical="center" wrapText="1"/>
    </xf>
    <xf numFmtId="9" fontId="84" fillId="4" borderId="47" xfId="0" applyNumberFormat="1" applyFont="1" applyFill="1" applyBorder="1">
      <alignment vertical="center"/>
    </xf>
    <xf numFmtId="9" fontId="84" fillId="4" borderId="33" xfId="0" applyNumberFormat="1" applyFont="1" applyFill="1" applyBorder="1">
      <alignment vertical="center"/>
    </xf>
    <xf numFmtId="9" fontId="84" fillId="4" borderId="34" xfId="0" applyNumberFormat="1" applyFont="1" applyFill="1" applyBorder="1">
      <alignment vertical="center"/>
    </xf>
    <xf numFmtId="0" fontId="116" fillId="4" borderId="18" xfId="0" applyFont="1" applyFill="1" applyBorder="1">
      <alignment vertical="center"/>
    </xf>
    <xf numFmtId="9" fontId="116" fillId="4" borderId="20" xfId="0" applyNumberFormat="1" applyFont="1" applyFill="1" applyBorder="1">
      <alignment vertical="center"/>
    </xf>
    <xf numFmtId="9" fontId="84" fillId="4" borderId="34" xfId="0" applyNumberFormat="1" applyFont="1" applyFill="1" applyBorder="1" applyAlignment="1">
      <alignment horizontal="right" vertical="center"/>
    </xf>
    <xf numFmtId="0" fontId="93" fillId="4" borderId="18" xfId="0" applyFont="1" applyFill="1" applyBorder="1">
      <alignment vertical="center"/>
    </xf>
    <xf numFmtId="41" fontId="108" fillId="4" borderId="14" xfId="0" applyNumberFormat="1" applyFont="1" applyFill="1" applyBorder="1">
      <alignment vertical="center"/>
    </xf>
    <xf numFmtId="9" fontId="84" fillId="0" borderId="0" xfId="0" applyNumberFormat="1" applyFont="1" applyAlignment="1">
      <alignment horizontal="center" vertical="center"/>
    </xf>
    <xf numFmtId="192" fontId="84" fillId="4" borderId="47" xfId="0" applyNumberFormat="1" applyFont="1" applyFill="1" applyBorder="1">
      <alignment vertical="center"/>
    </xf>
    <xf numFmtId="192" fontId="84" fillId="4" borderId="33" xfId="0" applyNumberFormat="1" applyFont="1" applyFill="1" applyBorder="1">
      <alignment vertical="center"/>
    </xf>
    <xf numFmtId="192" fontId="84" fillId="4" borderId="34" xfId="0" applyNumberFormat="1" applyFont="1" applyFill="1" applyBorder="1">
      <alignment vertical="center"/>
    </xf>
    <xf numFmtId="192" fontId="108" fillId="4" borderId="20" xfId="0" applyNumberFormat="1" applyFont="1" applyFill="1" applyBorder="1">
      <alignment vertical="center"/>
    </xf>
    <xf numFmtId="192" fontId="84" fillId="4" borderId="34" xfId="0" applyNumberFormat="1" applyFont="1" applyFill="1" applyBorder="1" applyAlignment="1">
      <alignment horizontal="right" vertical="center"/>
    </xf>
    <xf numFmtId="198" fontId="93" fillId="0" borderId="0" xfId="0" applyNumberFormat="1" applyFont="1">
      <alignment vertical="center"/>
    </xf>
    <xf numFmtId="182" fontId="133" fillId="0" borderId="0" xfId="0" applyNumberFormat="1" applyFont="1" applyAlignment="1">
      <alignment horizontal="center" vertical="center"/>
    </xf>
    <xf numFmtId="10" fontId="93" fillId="3" borderId="0" xfId="0" applyNumberFormat="1" applyFont="1" applyFill="1">
      <alignment vertical="center"/>
    </xf>
    <xf numFmtId="10" fontId="118" fillId="3" borderId="0" xfId="0" applyNumberFormat="1" applyFont="1" applyFill="1">
      <alignment vertical="center"/>
    </xf>
    <xf numFmtId="187" fontId="93" fillId="0" borderId="0" xfId="0" applyNumberFormat="1" applyFont="1" applyAlignment="1">
      <alignment horizontal="center" vertical="center"/>
    </xf>
    <xf numFmtId="187" fontId="93" fillId="3" borderId="55" xfId="0" applyNumberFormat="1" applyFont="1" applyFill="1" applyBorder="1" applyAlignment="1">
      <alignment horizontal="left" vertical="center" indent="1"/>
    </xf>
    <xf numFmtId="187" fontId="93" fillId="3" borderId="1" xfId="0" applyNumberFormat="1" applyFont="1" applyFill="1" applyBorder="1" applyAlignment="1">
      <alignment horizontal="left" vertical="center" indent="1"/>
    </xf>
    <xf numFmtId="187" fontId="93" fillId="3" borderId="69" xfId="0" applyNumberFormat="1" applyFont="1" applyFill="1" applyBorder="1" applyAlignment="1">
      <alignment horizontal="left" vertical="center" indent="1"/>
    </xf>
    <xf numFmtId="187" fontId="116" fillId="3" borderId="10" xfId="0" applyNumberFormat="1" applyFont="1" applyFill="1" applyBorder="1">
      <alignment vertical="center"/>
    </xf>
    <xf numFmtId="187" fontId="108" fillId="3" borderId="55" xfId="0" applyNumberFormat="1" applyFont="1" applyFill="1" applyBorder="1">
      <alignment vertical="center"/>
    </xf>
    <xf numFmtId="187" fontId="108" fillId="3" borderId="1" xfId="0" applyNumberFormat="1" applyFont="1" applyFill="1" applyBorder="1">
      <alignment vertical="center"/>
    </xf>
    <xf numFmtId="187" fontId="108" fillId="3" borderId="69" xfId="0" applyNumberFormat="1" applyFont="1" applyFill="1" applyBorder="1">
      <alignment vertical="center"/>
    </xf>
    <xf numFmtId="9" fontId="93" fillId="4" borderId="18" xfId="0" applyNumberFormat="1" applyFont="1" applyFill="1" applyBorder="1" applyAlignment="1">
      <alignment horizontal="right" vertical="center"/>
    </xf>
    <xf numFmtId="9" fontId="84" fillId="4" borderId="17" xfId="0" applyNumberFormat="1" applyFont="1" applyFill="1" applyBorder="1" applyAlignment="1">
      <alignment horizontal="right" vertical="center"/>
    </xf>
    <xf numFmtId="9" fontId="84" fillId="4" borderId="18" xfId="0" applyNumberFormat="1" applyFont="1" applyFill="1" applyBorder="1" applyAlignment="1">
      <alignment horizontal="right" vertical="center"/>
    </xf>
    <xf numFmtId="9" fontId="84" fillId="4" borderId="19" xfId="0" applyNumberFormat="1" applyFont="1" applyFill="1" applyBorder="1" applyAlignment="1">
      <alignment horizontal="right" vertical="center"/>
    </xf>
    <xf numFmtId="182" fontId="108" fillId="4" borderId="60" xfId="0" applyNumberFormat="1" applyFont="1" applyFill="1" applyBorder="1" applyAlignment="1">
      <alignment horizontal="center" vertical="center"/>
    </xf>
    <xf numFmtId="41" fontId="84" fillId="3" borderId="51" xfId="0" applyNumberFormat="1" applyFont="1" applyFill="1" applyBorder="1" applyAlignment="1">
      <alignment vertical="center" shrinkToFit="1"/>
    </xf>
    <xf numFmtId="41" fontId="84" fillId="3" borderId="52" xfId="0" applyNumberFormat="1" applyFont="1" applyFill="1" applyBorder="1" applyAlignment="1">
      <alignment vertical="center" shrinkToFit="1"/>
    </xf>
    <xf numFmtId="41" fontId="84" fillId="3" borderId="53" xfId="0" applyNumberFormat="1" applyFont="1" applyFill="1" applyBorder="1" applyAlignment="1">
      <alignment vertical="center" shrinkToFit="1"/>
    </xf>
    <xf numFmtId="41" fontId="84" fillId="3" borderId="82" xfId="0" applyNumberFormat="1" applyFont="1" applyFill="1" applyBorder="1" applyAlignment="1">
      <alignment vertical="center" shrinkToFit="1"/>
    </xf>
    <xf numFmtId="41" fontId="108" fillId="4" borderId="53" xfId="0" applyNumberFormat="1" applyFont="1" applyFill="1" applyBorder="1">
      <alignment vertical="center"/>
    </xf>
    <xf numFmtId="0" fontId="110" fillId="3" borderId="0" xfId="0" applyFont="1" applyFill="1" applyAlignment="1"/>
    <xf numFmtId="49" fontId="137" fillId="4" borderId="1" xfId="0" applyNumberFormat="1" applyFont="1" applyFill="1" applyBorder="1" applyAlignment="1"/>
    <xf numFmtId="41" fontId="93" fillId="3" borderId="22" xfId="0" applyNumberFormat="1" applyFont="1" applyFill="1" applyBorder="1" applyAlignment="1">
      <alignment vertical="center" shrinkToFit="1"/>
    </xf>
    <xf numFmtId="41" fontId="84" fillId="3" borderId="23" xfId="0" applyNumberFormat="1" applyFont="1" applyFill="1" applyBorder="1" applyAlignment="1">
      <alignment vertical="center" shrinkToFit="1"/>
    </xf>
    <xf numFmtId="41" fontId="84" fillId="3" borderId="3" xfId="0" applyNumberFormat="1" applyFont="1" applyFill="1" applyBorder="1" applyAlignment="1">
      <alignment vertical="center" shrinkToFit="1"/>
    </xf>
    <xf numFmtId="41" fontId="84" fillId="3" borderId="22" xfId="0" applyNumberFormat="1" applyFont="1" applyFill="1" applyBorder="1" applyAlignment="1">
      <alignment vertical="center" shrinkToFit="1"/>
    </xf>
    <xf numFmtId="41" fontId="84" fillId="3" borderId="7" xfId="0" applyNumberFormat="1" applyFont="1" applyFill="1" applyBorder="1" applyAlignment="1">
      <alignment vertical="center" shrinkToFit="1"/>
    </xf>
    <xf numFmtId="41" fontId="108" fillId="4" borderId="22" xfId="0" applyNumberFormat="1" applyFont="1" applyFill="1" applyBorder="1">
      <alignment vertical="center"/>
    </xf>
    <xf numFmtId="41" fontId="93" fillId="3" borderId="7" xfId="0" applyNumberFormat="1" applyFont="1" applyFill="1" applyBorder="1" applyAlignment="1">
      <alignment vertical="center" shrinkToFit="1"/>
    </xf>
    <xf numFmtId="41" fontId="84" fillId="3" borderId="79" xfId="0" applyNumberFormat="1" applyFont="1" applyFill="1" applyBorder="1" applyAlignment="1">
      <alignment vertical="center" shrinkToFit="1"/>
    </xf>
    <xf numFmtId="43" fontId="121" fillId="0" borderId="0" xfId="0" applyNumberFormat="1" applyFont="1">
      <alignment vertical="center"/>
    </xf>
    <xf numFmtId="49" fontId="137" fillId="4" borderId="59" xfId="0" applyNumberFormat="1" applyFont="1" applyFill="1" applyBorder="1" applyAlignment="1"/>
    <xf numFmtId="41" fontId="84" fillId="3" borderId="93" xfId="0" applyNumberFormat="1" applyFont="1" applyFill="1" applyBorder="1" applyAlignment="1">
      <alignment vertical="center" shrinkToFit="1"/>
    </xf>
    <xf numFmtId="41" fontId="84" fillId="3" borderId="160" xfId="0" applyNumberFormat="1" applyFont="1" applyFill="1" applyBorder="1" applyAlignment="1">
      <alignment vertical="center" shrinkToFit="1"/>
    </xf>
    <xf numFmtId="41" fontId="108" fillId="4" borderId="93" xfId="0" applyNumberFormat="1" applyFont="1" applyFill="1" applyBorder="1">
      <alignment vertical="center"/>
    </xf>
    <xf numFmtId="0" fontId="108" fillId="4" borderId="73" xfId="0" applyFont="1" applyFill="1" applyBorder="1">
      <alignment vertical="center"/>
    </xf>
    <xf numFmtId="41" fontId="116" fillId="4" borderId="18" xfId="0" applyNumberFormat="1" applyFont="1" applyFill="1" applyBorder="1" applyAlignment="1">
      <alignment vertical="center" shrinkToFit="1"/>
    </xf>
    <xf numFmtId="41" fontId="116" fillId="4" borderId="19" xfId="0" applyNumberFormat="1" applyFont="1" applyFill="1" applyBorder="1" applyAlignment="1">
      <alignment vertical="center" shrinkToFit="1"/>
    </xf>
    <xf numFmtId="41" fontId="108" fillId="4" borderId="17" xfId="0" applyNumberFormat="1" applyFont="1" applyFill="1" applyBorder="1" applyAlignment="1">
      <alignment vertical="center" shrinkToFit="1"/>
    </xf>
    <xf numFmtId="41" fontId="108" fillId="4" borderId="18" xfId="0" applyNumberFormat="1" applyFont="1" applyFill="1" applyBorder="1" applyAlignment="1">
      <alignment vertical="center" shrinkToFit="1"/>
    </xf>
    <xf numFmtId="41" fontId="108" fillId="4" borderId="19" xfId="0" applyNumberFormat="1" applyFont="1" applyFill="1" applyBorder="1" applyAlignment="1">
      <alignment vertical="center" shrinkToFit="1"/>
    </xf>
    <xf numFmtId="41" fontId="108" fillId="4" borderId="20" xfId="0" applyNumberFormat="1" applyFont="1" applyFill="1" applyBorder="1" applyAlignment="1">
      <alignment vertical="center" shrinkToFit="1"/>
    </xf>
    <xf numFmtId="180" fontId="84" fillId="0" borderId="0" xfId="0" applyNumberFormat="1" applyFont="1" applyAlignment="1">
      <alignment horizontal="left" vertical="center" indent="1"/>
    </xf>
    <xf numFmtId="187" fontId="118" fillId="0" borderId="0" xfId="0" applyNumberFormat="1" applyFont="1" applyAlignment="1">
      <alignment vertical="center" shrinkToFit="1"/>
    </xf>
    <xf numFmtId="187" fontId="120" fillId="0" borderId="0" xfId="0" applyNumberFormat="1" applyFont="1" applyAlignment="1">
      <alignment vertical="center" shrinkToFit="1"/>
    </xf>
    <xf numFmtId="0" fontId="108" fillId="4" borderId="32" xfId="0" applyFont="1" applyFill="1" applyBorder="1" applyAlignment="1">
      <alignment horizontal="center" vertical="center"/>
    </xf>
    <xf numFmtId="41" fontId="84" fillId="4" borderId="82" xfId="0" applyNumberFormat="1" applyFont="1" applyFill="1" applyBorder="1" applyAlignment="1">
      <alignment horizontal="left" vertical="center"/>
    </xf>
    <xf numFmtId="41" fontId="93" fillId="3" borderId="51" xfId="0" applyNumberFormat="1" applyFont="1" applyFill="1" applyBorder="1">
      <alignment vertical="center"/>
    </xf>
    <xf numFmtId="41" fontId="93" fillId="3" borderId="52" xfId="0" applyNumberFormat="1" applyFont="1" applyFill="1" applyBorder="1">
      <alignment vertical="center"/>
    </xf>
    <xf numFmtId="41" fontId="93" fillId="3" borderId="53" xfId="0" applyNumberFormat="1" applyFont="1" applyFill="1" applyBorder="1">
      <alignment vertical="center"/>
    </xf>
    <xf numFmtId="41" fontId="108" fillId="4" borderId="54" xfId="0" applyNumberFormat="1" applyFont="1" applyFill="1" applyBorder="1">
      <alignment vertical="center"/>
    </xf>
    <xf numFmtId="0" fontId="108" fillId="4" borderId="15" xfId="0" applyFont="1" applyFill="1" applyBorder="1">
      <alignment vertical="center"/>
    </xf>
    <xf numFmtId="41" fontId="86" fillId="21" borderId="31" xfId="0" applyNumberFormat="1" applyFont="1" applyFill="1" applyBorder="1">
      <alignment vertical="center"/>
    </xf>
    <xf numFmtId="187" fontId="116" fillId="3" borderId="0" xfId="0" applyNumberFormat="1" applyFont="1" applyFill="1">
      <alignment vertical="center"/>
    </xf>
    <xf numFmtId="187" fontId="93" fillId="3" borderId="27" xfId="0" applyNumberFormat="1" applyFont="1" applyFill="1" applyBorder="1" applyAlignment="1">
      <alignment horizontal="center" vertical="center"/>
    </xf>
    <xf numFmtId="187" fontId="93" fillId="3" borderId="60" xfId="0" applyNumberFormat="1" applyFont="1" applyFill="1" applyBorder="1" applyAlignment="1">
      <alignment horizontal="center" vertical="center"/>
    </xf>
    <xf numFmtId="187" fontId="84" fillId="3" borderId="58" xfId="0" applyNumberFormat="1" applyFont="1" applyFill="1" applyBorder="1" applyAlignment="1">
      <alignment horizontal="center" vertical="center"/>
    </xf>
    <xf numFmtId="187" fontId="93" fillId="3" borderId="65" xfId="0" applyNumberFormat="1" applyFont="1" applyFill="1" applyBorder="1" applyAlignment="1">
      <alignment horizontal="center" vertical="center"/>
    </xf>
    <xf numFmtId="187" fontId="118" fillId="3" borderId="60" xfId="0" applyNumberFormat="1" applyFont="1" applyFill="1" applyBorder="1" applyAlignment="1">
      <alignment horizontal="center" vertical="center"/>
    </xf>
    <xf numFmtId="0" fontId="93" fillId="4" borderId="14" xfId="0" applyFont="1" applyFill="1" applyBorder="1">
      <alignment vertical="center"/>
    </xf>
    <xf numFmtId="0" fontId="93" fillId="4" borderId="31" xfId="0" applyFont="1" applyFill="1" applyBorder="1">
      <alignment vertical="center"/>
    </xf>
    <xf numFmtId="0" fontId="93" fillId="4" borderId="16" xfId="0" applyFont="1" applyFill="1" applyBorder="1">
      <alignment vertical="center"/>
    </xf>
    <xf numFmtId="185" fontId="116" fillId="4" borderId="17" xfId="0" applyNumberFormat="1" applyFont="1" applyFill="1" applyBorder="1">
      <alignment vertical="center"/>
    </xf>
    <xf numFmtId="185" fontId="116" fillId="4" borderId="18" xfId="0" applyNumberFormat="1" applyFont="1" applyFill="1" applyBorder="1">
      <alignment vertical="center"/>
    </xf>
    <xf numFmtId="185" fontId="116" fillId="4" borderId="19" xfId="0" applyNumberFormat="1" applyFont="1" applyFill="1" applyBorder="1">
      <alignment vertical="center"/>
    </xf>
    <xf numFmtId="41" fontId="116" fillId="0" borderId="0" xfId="0" applyNumberFormat="1" applyFont="1" applyAlignment="1">
      <alignment horizontal="center" vertical="center"/>
    </xf>
    <xf numFmtId="185" fontId="116" fillId="0" borderId="0" xfId="0" applyNumberFormat="1" applyFont="1">
      <alignment vertical="center"/>
    </xf>
    <xf numFmtId="0" fontId="116" fillId="0" borderId="0" xfId="0" applyFont="1" applyAlignment="1">
      <alignment horizontal="right" vertical="center"/>
    </xf>
    <xf numFmtId="41" fontId="116" fillId="4" borderId="80" xfId="0" applyNumberFormat="1" applyFont="1" applyFill="1" applyBorder="1" applyAlignment="1">
      <alignment horizontal="left" vertical="center"/>
    </xf>
    <xf numFmtId="0" fontId="138" fillId="4" borderId="1" xfId="0" applyFont="1" applyFill="1" applyBorder="1">
      <alignment vertical="center"/>
    </xf>
    <xf numFmtId="0" fontId="138" fillId="4" borderId="24" xfId="0" applyFont="1" applyFill="1" applyBorder="1">
      <alignment vertical="center"/>
    </xf>
    <xf numFmtId="0" fontId="93" fillId="4" borderId="31" xfId="0" applyFont="1" applyFill="1" applyBorder="1" applyAlignment="1">
      <alignment horizontal="center" vertical="center"/>
    </xf>
    <xf numFmtId="0" fontId="93" fillId="4" borderId="24" xfId="0" applyFont="1" applyFill="1" applyBorder="1">
      <alignment vertical="center"/>
    </xf>
    <xf numFmtId="41" fontId="116" fillId="4" borderId="21" xfId="0" applyNumberFormat="1" applyFont="1" applyFill="1" applyBorder="1" applyAlignment="1">
      <alignment horizontal="left" vertical="center"/>
    </xf>
    <xf numFmtId="187" fontId="108" fillId="4" borderId="18" xfId="0" applyNumberFormat="1" applyFont="1" applyFill="1" applyBorder="1">
      <alignment vertical="center"/>
    </xf>
    <xf numFmtId="187" fontId="139" fillId="0" borderId="0" xfId="0" applyNumberFormat="1" applyFont="1">
      <alignment vertical="center"/>
    </xf>
    <xf numFmtId="186" fontId="121" fillId="0" borderId="0" xfId="0" applyNumberFormat="1" applyFont="1" applyAlignment="1"/>
    <xf numFmtId="41" fontId="108" fillId="4" borderId="45" xfId="0" applyNumberFormat="1" applyFont="1" applyFill="1" applyBorder="1" applyAlignment="1">
      <alignment horizontal="center" vertical="center"/>
    </xf>
    <xf numFmtId="41" fontId="108" fillId="4" borderId="32" xfId="0" applyNumberFormat="1" applyFont="1" applyFill="1" applyBorder="1" applyAlignment="1">
      <alignment horizontal="center" vertical="center"/>
    </xf>
    <xf numFmtId="41" fontId="116" fillId="3" borderId="0" xfId="0" applyNumberFormat="1" applyFont="1" applyFill="1" applyAlignment="1">
      <alignment horizontal="left" vertical="center"/>
    </xf>
    <xf numFmtId="41" fontId="108" fillId="3" borderId="0" xfId="0" applyNumberFormat="1" applyFont="1" applyFill="1" applyAlignment="1">
      <alignment vertical="center" shrinkToFit="1"/>
    </xf>
    <xf numFmtId="41" fontId="111" fillId="0" borderId="0" xfId="0" applyNumberFormat="1" applyFont="1">
      <alignment vertical="center"/>
    </xf>
    <xf numFmtId="41" fontId="84" fillId="0" borderId="0" xfId="0" applyNumberFormat="1" applyFont="1" applyAlignment="1">
      <alignment horizontal="right" vertical="center"/>
    </xf>
    <xf numFmtId="41" fontId="108" fillId="4" borderId="19" xfId="0" applyNumberFormat="1" applyFont="1" applyFill="1" applyBorder="1" applyAlignment="1">
      <alignment horizontal="center" vertical="center"/>
    </xf>
    <xf numFmtId="41" fontId="108" fillId="4" borderId="60" xfId="0" applyNumberFormat="1" applyFont="1" applyFill="1" applyBorder="1" applyAlignment="1">
      <alignment horizontal="center" vertical="center"/>
    </xf>
    <xf numFmtId="41" fontId="84" fillId="4" borderId="53" xfId="0" applyNumberFormat="1" applyFont="1" applyFill="1" applyBorder="1" applyAlignment="1">
      <alignment horizontal="center" vertical="center"/>
    </xf>
    <xf numFmtId="41" fontId="84" fillId="4" borderId="54" xfId="0" applyNumberFormat="1" applyFont="1" applyFill="1" applyBorder="1" applyAlignment="1">
      <alignment horizontal="center" vertical="center"/>
    </xf>
    <xf numFmtId="41" fontId="116" fillId="4" borderId="17" xfId="0" applyNumberFormat="1" applyFont="1" applyFill="1" applyBorder="1" applyAlignment="1">
      <alignment vertical="center" shrinkToFit="1"/>
    </xf>
    <xf numFmtId="41" fontId="108" fillId="0" borderId="17" xfId="0" applyNumberFormat="1" applyFont="1" applyBorder="1" applyAlignment="1">
      <alignment vertical="center" shrinkToFit="1"/>
    </xf>
    <xf numFmtId="41" fontId="108" fillId="0" borderId="18" xfId="0" applyNumberFormat="1" applyFont="1" applyBorder="1" applyAlignment="1">
      <alignment vertical="center" shrinkToFit="1"/>
    </xf>
    <xf numFmtId="41" fontId="108" fillId="0" borderId="19" xfId="0" applyNumberFormat="1" applyFont="1" applyBorder="1" applyAlignment="1">
      <alignment vertical="center" shrinkToFit="1"/>
    </xf>
    <xf numFmtId="41" fontId="93" fillId="0" borderId="0" xfId="0" applyNumberFormat="1" applyFont="1" applyAlignment="1">
      <alignment horizontal="right" vertical="center"/>
    </xf>
    <xf numFmtId="193" fontId="84" fillId="4" borderId="28" xfId="0" applyNumberFormat="1" applyFont="1" applyFill="1" applyBorder="1" applyAlignment="1">
      <alignment vertical="center" shrinkToFit="1"/>
    </xf>
    <xf numFmtId="41" fontId="93" fillId="3" borderId="60" xfId="0" applyNumberFormat="1" applyFont="1" applyFill="1" applyBorder="1" applyAlignment="1">
      <alignment horizontal="right" vertical="center"/>
    </xf>
    <xf numFmtId="41" fontId="93" fillId="0" borderId="50" xfId="0" applyNumberFormat="1" applyFont="1" applyBorder="1" applyAlignment="1">
      <alignment horizontal="right" vertical="center"/>
    </xf>
    <xf numFmtId="41" fontId="93" fillId="0" borderId="65" xfId="0" applyNumberFormat="1" applyFont="1" applyBorder="1" applyAlignment="1">
      <alignment horizontal="right" vertical="center"/>
    </xf>
    <xf numFmtId="41" fontId="93" fillId="0" borderId="60" xfId="0" applyNumberFormat="1" applyFont="1" applyBorder="1" applyAlignment="1">
      <alignment horizontal="right" vertical="center"/>
    </xf>
    <xf numFmtId="41" fontId="93" fillId="0" borderId="80" xfId="0" applyNumberFormat="1" applyFont="1" applyBorder="1" applyAlignment="1">
      <alignment horizontal="right" vertical="center"/>
    </xf>
    <xf numFmtId="41" fontId="93" fillId="4" borderId="21" xfId="0" applyNumberFormat="1" applyFont="1" applyFill="1" applyBorder="1" applyAlignment="1">
      <alignment horizontal="left" vertical="center" indent="1"/>
    </xf>
    <xf numFmtId="41" fontId="93" fillId="3" borderId="69" xfId="0" applyNumberFormat="1" applyFont="1" applyFill="1" applyBorder="1" applyAlignment="1">
      <alignment horizontal="right" vertical="center"/>
    </xf>
    <xf numFmtId="9" fontId="140" fillId="0" borderId="0" xfId="0" applyNumberFormat="1" applyFont="1">
      <alignment vertical="center"/>
    </xf>
    <xf numFmtId="41" fontId="93" fillId="4" borderId="38" xfId="0" applyNumberFormat="1" applyFont="1" applyFill="1" applyBorder="1" applyAlignment="1">
      <alignment horizontal="left" vertical="center" indent="1"/>
    </xf>
    <xf numFmtId="9" fontId="93" fillId="3" borderId="42" xfId="0" applyNumberFormat="1" applyFont="1" applyFill="1" applyBorder="1">
      <alignment vertical="center"/>
    </xf>
    <xf numFmtId="9" fontId="93" fillId="3" borderId="47" xfId="0" applyNumberFormat="1" applyFont="1" applyFill="1" applyBorder="1">
      <alignment vertical="center"/>
    </xf>
    <xf numFmtId="184" fontId="93" fillId="3" borderId="63" xfId="0" applyNumberFormat="1" applyFont="1" applyFill="1" applyBorder="1">
      <alignment vertical="center"/>
    </xf>
    <xf numFmtId="184" fontId="93" fillId="3" borderId="34" xfId="0" applyNumberFormat="1" applyFont="1" applyFill="1" applyBorder="1">
      <alignment vertical="center"/>
    </xf>
    <xf numFmtId="184" fontId="93" fillId="0" borderId="0" xfId="0" applyNumberFormat="1" applyFont="1">
      <alignment vertical="center"/>
    </xf>
    <xf numFmtId="184" fontId="93" fillId="3" borderId="8" xfId="0" applyNumberFormat="1" applyFont="1" applyFill="1" applyBorder="1">
      <alignment vertical="center"/>
    </xf>
    <xf numFmtId="184" fontId="93" fillId="3" borderId="69" xfId="0" applyNumberFormat="1" applyFont="1" applyFill="1" applyBorder="1">
      <alignment vertical="center"/>
    </xf>
    <xf numFmtId="41" fontId="93" fillId="4" borderId="39" xfId="0" applyNumberFormat="1" applyFont="1" applyFill="1" applyBorder="1" applyAlignment="1">
      <alignment vertical="center" wrapText="1"/>
    </xf>
    <xf numFmtId="184" fontId="93" fillId="3" borderId="39" xfId="0" applyNumberFormat="1" applyFont="1" applyFill="1" applyBorder="1">
      <alignment vertical="center"/>
    </xf>
    <xf numFmtId="184" fontId="93" fillId="3" borderId="6" xfId="0" applyNumberFormat="1" applyFont="1" applyFill="1" applyBorder="1">
      <alignment vertical="center"/>
    </xf>
    <xf numFmtId="184" fontId="93" fillId="3" borderId="48" xfId="0" applyNumberFormat="1" applyFont="1" applyFill="1" applyBorder="1">
      <alignment vertical="center"/>
    </xf>
    <xf numFmtId="184" fontId="93" fillId="3" borderId="33" xfId="0" applyNumberFormat="1" applyFont="1" applyFill="1" applyBorder="1">
      <alignment vertical="center"/>
    </xf>
    <xf numFmtId="41" fontId="116" fillId="4" borderId="30" xfId="0" applyNumberFormat="1" applyFont="1" applyFill="1" applyBorder="1" applyAlignment="1">
      <alignment horizontal="right" vertical="center"/>
    </xf>
    <xf numFmtId="184" fontId="93" fillId="3" borderId="37" xfId="0" applyNumberFormat="1" applyFont="1" applyFill="1" applyBorder="1">
      <alignment vertical="center"/>
    </xf>
    <xf numFmtId="184" fontId="93" fillId="3" borderId="85" xfId="0" applyNumberFormat="1" applyFont="1" applyFill="1" applyBorder="1">
      <alignment vertical="center"/>
    </xf>
    <xf numFmtId="184" fontId="116" fillId="4" borderId="110" xfId="0" applyNumberFormat="1" applyFont="1" applyFill="1" applyBorder="1">
      <alignment vertical="center"/>
    </xf>
    <xf numFmtId="184" fontId="116" fillId="3" borderId="40" xfId="0" applyNumberFormat="1" applyFont="1" applyFill="1" applyBorder="1">
      <alignment vertical="center"/>
    </xf>
    <xf numFmtId="184" fontId="116" fillId="3" borderId="74" xfId="0" applyNumberFormat="1" applyFont="1" applyFill="1" applyBorder="1">
      <alignment vertical="center"/>
    </xf>
    <xf numFmtId="184" fontId="116" fillId="3" borderId="43" xfId="0" applyNumberFormat="1" applyFont="1" applyFill="1" applyBorder="1">
      <alignment vertical="center"/>
    </xf>
    <xf numFmtId="184" fontId="116" fillId="3" borderId="49" xfId="0" applyNumberFormat="1" applyFont="1" applyFill="1" applyBorder="1">
      <alignment vertical="center"/>
    </xf>
    <xf numFmtId="41" fontId="93" fillId="4" borderId="80" xfId="0" applyNumberFormat="1" applyFont="1" applyFill="1" applyBorder="1" applyAlignment="1">
      <alignment horizontal="left" vertical="center" shrinkToFit="1"/>
    </xf>
    <xf numFmtId="184" fontId="93" fillId="3" borderId="65" xfId="0" applyNumberFormat="1" applyFont="1" applyFill="1" applyBorder="1">
      <alignment vertical="center"/>
    </xf>
    <xf numFmtId="184" fontId="93" fillId="3" borderId="60" xfId="0" applyNumberFormat="1" applyFont="1" applyFill="1" applyBorder="1">
      <alignment vertical="center"/>
    </xf>
    <xf numFmtId="184" fontId="93" fillId="3" borderId="50" xfId="0" applyNumberFormat="1" applyFont="1" applyFill="1" applyBorder="1">
      <alignment vertical="center"/>
    </xf>
    <xf numFmtId="184" fontId="84" fillId="3" borderId="60" xfId="0" applyNumberFormat="1" applyFont="1" applyFill="1" applyBorder="1">
      <alignment vertical="center"/>
    </xf>
    <xf numFmtId="184" fontId="84" fillId="3" borderId="80" xfId="0" applyNumberFormat="1" applyFont="1" applyFill="1" applyBorder="1">
      <alignment vertical="center"/>
    </xf>
    <xf numFmtId="184" fontId="84" fillId="3" borderId="65" xfId="0" applyNumberFormat="1" applyFont="1" applyFill="1" applyBorder="1">
      <alignment vertical="center"/>
    </xf>
    <xf numFmtId="184" fontId="108" fillId="4" borderId="25" xfId="0" applyNumberFormat="1" applyFont="1" applyFill="1" applyBorder="1">
      <alignment vertical="center"/>
    </xf>
    <xf numFmtId="41" fontId="93" fillId="4" borderId="38" xfId="0" applyNumberFormat="1" applyFont="1" applyFill="1" applyBorder="1" applyAlignment="1">
      <alignment horizontal="left" vertical="center" shrinkToFit="1"/>
    </xf>
    <xf numFmtId="184" fontId="93" fillId="3" borderId="38" xfId="0" applyNumberFormat="1" applyFont="1" applyFill="1" applyBorder="1">
      <alignment vertical="center"/>
    </xf>
    <xf numFmtId="184" fontId="93" fillId="3" borderId="42" xfId="0" applyNumberFormat="1" applyFont="1" applyFill="1" applyBorder="1">
      <alignment vertical="center"/>
    </xf>
    <xf numFmtId="184" fontId="93" fillId="3" borderId="47" xfId="0" applyNumberFormat="1" applyFont="1" applyFill="1" applyBorder="1">
      <alignment vertical="center"/>
    </xf>
    <xf numFmtId="184" fontId="93" fillId="3" borderId="107" xfId="0" applyNumberFormat="1" applyFont="1" applyFill="1" applyBorder="1">
      <alignment vertical="center"/>
    </xf>
    <xf numFmtId="41" fontId="93" fillId="4" borderId="73" xfId="0" applyNumberFormat="1" applyFont="1" applyFill="1" applyBorder="1" applyAlignment="1">
      <alignment horizontal="left" vertical="center" shrinkToFit="1"/>
    </xf>
    <xf numFmtId="184" fontId="116" fillId="3" borderId="73" xfId="0" applyNumberFormat="1" applyFont="1" applyFill="1" applyBorder="1">
      <alignment vertical="center"/>
    </xf>
    <xf numFmtId="184" fontId="116" fillId="3" borderId="68" xfId="0" applyNumberFormat="1" applyFont="1" applyFill="1" applyBorder="1">
      <alignment vertical="center"/>
    </xf>
    <xf numFmtId="184" fontId="116" fillId="3" borderId="46" xfId="0" applyNumberFormat="1" applyFont="1" applyFill="1" applyBorder="1">
      <alignment vertical="center"/>
    </xf>
    <xf numFmtId="184" fontId="116" fillId="3" borderId="91" xfId="0" applyNumberFormat="1" applyFont="1" applyFill="1" applyBorder="1">
      <alignment vertical="center"/>
    </xf>
    <xf numFmtId="184" fontId="116" fillId="4" borderId="92" xfId="0" applyNumberFormat="1" applyFont="1" applyFill="1" applyBorder="1">
      <alignment vertical="center"/>
    </xf>
    <xf numFmtId="187" fontId="93" fillId="3" borderId="24" xfId="0" applyNumberFormat="1" applyFont="1" applyFill="1" applyBorder="1">
      <alignment vertical="center"/>
    </xf>
    <xf numFmtId="9" fontId="93" fillId="0" borderId="80" xfId="0" applyNumberFormat="1" applyFont="1" applyBorder="1">
      <alignment vertical="center"/>
    </xf>
    <xf numFmtId="9" fontId="93" fillId="0" borderId="65" xfId="0" applyNumberFormat="1" applyFont="1" applyBorder="1">
      <alignment vertical="center"/>
    </xf>
    <xf numFmtId="9" fontId="93" fillId="0" borderId="60" xfId="0" applyNumberFormat="1" applyFont="1" applyBorder="1">
      <alignment vertical="center"/>
    </xf>
    <xf numFmtId="9" fontId="93" fillId="0" borderId="50" xfId="0" applyNumberFormat="1" applyFont="1" applyBorder="1">
      <alignment vertical="center"/>
    </xf>
    <xf numFmtId="9" fontId="116" fillId="4" borderId="25" xfId="0" applyNumberFormat="1" applyFont="1" applyFill="1" applyBorder="1">
      <alignment vertical="center"/>
    </xf>
    <xf numFmtId="9" fontId="93" fillId="0" borderId="21" xfId="0" applyNumberFormat="1" applyFont="1" applyBorder="1">
      <alignment vertical="center"/>
    </xf>
    <xf numFmtId="9" fontId="93" fillId="0" borderId="8" xfId="0" applyNumberFormat="1" applyFont="1" applyBorder="1">
      <alignment vertical="center"/>
    </xf>
    <xf numFmtId="9" fontId="93" fillId="0" borderId="69" xfId="0" applyNumberFormat="1" applyFont="1" applyBorder="1">
      <alignment vertical="center"/>
    </xf>
    <xf numFmtId="9" fontId="116" fillId="4" borderId="24" xfId="0" applyNumberFormat="1" applyFont="1" applyFill="1" applyBorder="1">
      <alignment vertical="center"/>
    </xf>
    <xf numFmtId="0" fontId="93" fillId="4" borderId="38" xfId="0" applyFont="1" applyFill="1" applyBorder="1" applyAlignment="1">
      <alignment horizontal="center" vertical="center"/>
    </xf>
    <xf numFmtId="9" fontId="84" fillId="0" borderId="35" xfId="0" applyNumberFormat="1" applyFont="1" applyBorder="1">
      <alignment vertical="center"/>
    </xf>
    <xf numFmtId="9" fontId="84" fillId="0" borderId="5" xfId="0" applyNumberFormat="1" applyFont="1" applyBorder="1">
      <alignment vertical="center"/>
    </xf>
    <xf numFmtId="9" fontId="84" fillId="0" borderId="47" xfId="0" applyNumberFormat="1" applyFont="1" applyBorder="1">
      <alignment vertical="center"/>
    </xf>
    <xf numFmtId="9" fontId="84" fillId="0" borderId="56" xfId="0" applyNumberFormat="1" applyFont="1" applyBorder="1">
      <alignment vertical="center"/>
    </xf>
    <xf numFmtId="9" fontId="84" fillId="0" borderId="42" xfId="0" applyNumberFormat="1" applyFont="1" applyBorder="1">
      <alignment vertical="center"/>
    </xf>
    <xf numFmtId="9" fontId="93" fillId="0" borderId="44" xfId="0" applyNumberFormat="1" applyFont="1" applyBorder="1">
      <alignment vertical="center"/>
    </xf>
    <xf numFmtId="183" fontId="111" fillId="3" borderId="0" xfId="0" applyNumberFormat="1" applyFont="1" applyFill="1">
      <alignment vertical="center"/>
    </xf>
    <xf numFmtId="183" fontId="93" fillId="3" borderId="0" xfId="0" applyNumberFormat="1" applyFont="1" applyFill="1" applyAlignment="1">
      <alignment vertical="center" shrinkToFit="1"/>
    </xf>
    <xf numFmtId="41" fontId="118" fillId="3" borderId="0" xfId="0" applyNumberFormat="1" applyFont="1" applyFill="1">
      <alignment vertical="center"/>
    </xf>
    <xf numFmtId="183" fontId="93" fillId="3" borderId="0" xfId="0" applyNumberFormat="1" applyFont="1" applyFill="1" applyAlignment="1">
      <alignment horizontal="left" vertical="center" shrinkToFit="1"/>
    </xf>
    <xf numFmtId="183" fontId="93" fillId="3" borderId="0" xfId="0" applyNumberFormat="1" applyFont="1" applyFill="1">
      <alignment vertical="center"/>
    </xf>
    <xf numFmtId="38" fontId="108" fillId="4" borderId="60" xfId="0" applyNumberFormat="1" applyFont="1" applyFill="1" applyBorder="1" applyAlignment="1">
      <alignment horizontal="center" vertical="center"/>
    </xf>
    <xf numFmtId="38" fontId="108" fillId="4" borderId="26" xfId="0" applyNumberFormat="1" applyFont="1" applyFill="1" applyBorder="1" applyAlignment="1">
      <alignment horizontal="center" vertical="center"/>
    </xf>
    <xf numFmtId="38" fontId="116" fillId="4" borderId="27" xfId="0" applyNumberFormat="1" applyFont="1" applyFill="1" applyBorder="1" applyAlignment="1">
      <alignment horizontal="center" vertical="center"/>
    </xf>
    <xf numFmtId="38" fontId="116" fillId="4" borderId="65" xfId="0" applyNumberFormat="1" applyFont="1" applyFill="1" applyBorder="1" applyAlignment="1">
      <alignment horizontal="center" vertical="center"/>
    </xf>
    <xf numFmtId="38" fontId="116" fillId="4" borderId="58" xfId="0" applyNumberFormat="1" applyFont="1" applyFill="1" applyBorder="1" applyAlignment="1">
      <alignment horizontal="center" vertical="center"/>
    </xf>
    <xf numFmtId="38" fontId="116" fillId="4" borderId="60" xfId="0" applyNumberFormat="1" applyFont="1" applyFill="1" applyBorder="1" applyAlignment="1">
      <alignment horizontal="center" vertical="center"/>
    </xf>
    <xf numFmtId="38" fontId="116" fillId="4" borderId="25" xfId="0" applyNumberFormat="1" applyFont="1" applyFill="1" applyBorder="1" applyAlignment="1">
      <alignment horizontal="center" vertical="center"/>
    </xf>
    <xf numFmtId="38" fontId="93" fillId="3" borderId="0" xfId="0" applyNumberFormat="1" applyFont="1" applyFill="1" applyAlignment="1">
      <alignment horizontal="left" vertical="center" shrinkToFit="1"/>
    </xf>
    <xf numFmtId="38" fontId="93" fillId="3" borderId="0" xfId="0" applyNumberFormat="1" applyFont="1" applyFill="1">
      <alignment vertical="center"/>
    </xf>
    <xf numFmtId="38" fontId="126" fillId="3" borderId="0" xfId="0" applyNumberFormat="1" applyFont="1" applyFill="1" applyAlignment="1">
      <alignment horizontal="left" vertical="center" shrinkToFit="1"/>
    </xf>
    <xf numFmtId="38" fontId="126" fillId="3" borderId="0" xfId="0" applyNumberFormat="1" applyFont="1" applyFill="1">
      <alignment vertical="center"/>
    </xf>
    <xf numFmtId="38" fontId="84" fillId="4" borderId="38" xfId="0" applyNumberFormat="1" applyFont="1" applyFill="1" applyBorder="1">
      <alignment vertical="center"/>
    </xf>
    <xf numFmtId="41" fontId="84" fillId="4" borderId="107" xfId="0" applyNumberFormat="1" applyFont="1" applyFill="1" applyBorder="1" applyAlignment="1">
      <alignment vertical="center" shrinkToFit="1"/>
    </xf>
    <xf numFmtId="38" fontId="84" fillId="3" borderId="47" xfId="0" applyNumberFormat="1" applyFont="1" applyFill="1" applyBorder="1">
      <alignment vertical="center"/>
    </xf>
    <xf numFmtId="38" fontId="93" fillId="3" borderId="5" xfId="0" applyNumberFormat="1" applyFont="1" applyFill="1" applyBorder="1">
      <alignment vertical="center"/>
    </xf>
    <xf numFmtId="38" fontId="93" fillId="3" borderId="42" xfId="0" applyNumberFormat="1" applyFont="1" applyFill="1" applyBorder="1">
      <alignment vertical="center"/>
    </xf>
    <xf numFmtId="38" fontId="93" fillId="3" borderId="35" xfId="0" applyNumberFormat="1" applyFont="1" applyFill="1" applyBorder="1">
      <alignment vertical="center"/>
    </xf>
    <xf numFmtId="38" fontId="93" fillId="3" borderId="47" xfId="0" applyNumberFormat="1" applyFont="1" applyFill="1" applyBorder="1">
      <alignment vertical="center"/>
    </xf>
    <xf numFmtId="38" fontId="93" fillId="4" borderId="110" xfId="0" applyNumberFormat="1" applyFont="1" applyFill="1" applyBorder="1">
      <alignment vertical="center"/>
    </xf>
    <xf numFmtId="38" fontId="84" fillId="4" borderId="55" xfId="0" applyNumberFormat="1" applyFont="1" applyFill="1" applyBorder="1" applyAlignment="1">
      <alignment vertical="center" shrinkToFit="1"/>
    </xf>
    <xf numFmtId="41" fontId="84" fillId="4" borderId="8" xfId="0" applyNumberFormat="1" applyFont="1" applyFill="1" applyBorder="1" applyAlignment="1">
      <alignment vertical="center" shrinkToFit="1"/>
    </xf>
    <xf numFmtId="38" fontId="84" fillId="3" borderId="34" xfId="0" applyNumberFormat="1" applyFont="1" applyFill="1" applyBorder="1">
      <alignment vertical="center"/>
    </xf>
    <xf numFmtId="38" fontId="84" fillId="3" borderId="72" xfId="0" applyNumberFormat="1" applyFont="1" applyFill="1" applyBorder="1">
      <alignment vertical="center"/>
    </xf>
    <xf numFmtId="38" fontId="93" fillId="3" borderId="61" xfId="0" applyNumberFormat="1" applyFont="1" applyFill="1" applyBorder="1">
      <alignment vertical="center"/>
    </xf>
    <xf numFmtId="38" fontId="93" fillId="3" borderId="63" xfId="0" applyNumberFormat="1" applyFont="1" applyFill="1" applyBorder="1">
      <alignment vertical="center"/>
    </xf>
    <xf numFmtId="38" fontId="93" fillId="3" borderId="64" xfId="0" applyNumberFormat="1" applyFont="1" applyFill="1" applyBorder="1">
      <alignment vertical="center"/>
    </xf>
    <xf numFmtId="38" fontId="93" fillId="3" borderId="34" xfId="0" applyNumberFormat="1" applyFont="1" applyFill="1" applyBorder="1">
      <alignment vertical="center"/>
    </xf>
    <xf numFmtId="38" fontId="93" fillId="4" borderId="71" xfId="0" applyNumberFormat="1" applyFont="1" applyFill="1" applyBorder="1">
      <alignment vertical="center"/>
    </xf>
    <xf numFmtId="38" fontId="84" fillId="4" borderId="55" xfId="0" applyNumberFormat="1" applyFont="1" applyFill="1" applyBorder="1">
      <alignment vertical="center"/>
    </xf>
    <xf numFmtId="41" fontId="84" fillId="4" borderId="42" xfId="0" applyNumberFormat="1" applyFont="1" applyFill="1" applyBorder="1" applyAlignment="1">
      <alignment vertical="center" shrinkToFit="1"/>
    </xf>
    <xf numFmtId="38" fontId="84" fillId="3" borderId="56" xfId="0" applyNumberFormat="1" applyFont="1" applyFill="1" applyBorder="1">
      <alignment vertical="center"/>
    </xf>
    <xf numFmtId="38" fontId="108" fillId="4" borderId="21" xfId="0" applyNumberFormat="1" applyFont="1" applyFill="1" applyBorder="1">
      <alignment vertical="center"/>
    </xf>
    <xf numFmtId="41" fontId="116" fillId="4" borderId="71" xfId="0" applyNumberFormat="1" applyFont="1" applyFill="1" applyBorder="1" applyAlignment="1">
      <alignment horizontal="center" vertical="center" shrinkToFit="1"/>
    </xf>
    <xf numFmtId="38" fontId="108" fillId="3" borderId="69" xfId="0" applyNumberFormat="1" applyFont="1" applyFill="1" applyBorder="1">
      <alignment vertical="center"/>
    </xf>
    <xf numFmtId="38" fontId="108" fillId="3" borderId="10" xfId="0" applyNumberFormat="1" applyFont="1" applyFill="1" applyBorder="1">
      <alignment vertical="center"/>
    </xf>
    <xf numFmtId="38" fontId="116" fillId="3" borderId="1" xfId="0" applyNumberFormat="1" applyFont="1" applyFill="1" applyBorder="1">
      <alignment vertical="center"/>
    </xf>
    <xf numFmtId="38" fontId="116" fillId="3" borderId="8" xfId="0" applyNumberFormat="1" applyFont="1" applyFill="1" applyBorder="1">
      <alignment vertical="center"/>
    </xf>
    <xf numFmtId="38" fontId="116" fillId="3" borderId="55" xfId="0" applyNumberFormat="1" applyFont="1" applyFill="1" applyBorder="1">
      <alignment vertical="center"/>
    </xf>
    <xf numFmtId="38" fontId="116" fillId="3" borderId="69" xfId="0" applyNumberFormat="1" applyFont="1" applyFill="1" applyBorder="1">
      <alignment vertical="center"/>
    </xf>
    <xf numFmtId="38" fontId="116" fillId="4" borderId="24" xfId="0" applyNumberFormat="1" applyFont="1" applyFill="1" applyBorder="1">
      <alignment vertical="center"/>
    </xf>
    <xf numFmtId="38" fontId="116" fillId="3" borderId="0" xfId="0" applyNumberFormat="1" applyFont="1" applyFill="1" applyAlignment="1">
      <alignment horizontal="left" vertical="center" shrinkToFit="1"/>
    </xf>
    <xf numFmtId="38" fontId="116" fillId="3" borderId="0" xfId="0" applyNumberFormat="1" applyFont="1" applyFill="1">
      <alignment vertical="center"/>
    </xf>
    <xf numFmtId="38" fontId="84" fillId="4" borderId="64" xfId="0" applyNumberFormat="1" applyFont="1" applyFill="1" applyBorder="1">
      <alignment vertical="center"/>
    </xf>
    <xf numFmtId="41" fontId="84" fillId="4" borderId="34" xfId="0" applyNumberFormat="1" applyFont="1" applyFill="1" applyBorder="1" applyAlignment="1">
      <alignment vertical="center" shrinkToFit="1"/>
    </xf>
    <xf numFmtId="41" fontId="84" fillId="4" borderId="69" xfId="0" applyNumberFormat="1" applyFont="1" applyFill="1" applyBorder="1" applyAlignment="1">
      <alignment vertical="center" shrinkToFit="1"/>
    </xf>
    <xf numFmtId="183" fontId="116" fillId="4" borderId="71" xfId="0" applyNumberFormat="1" applyFont="1" applyFill="1" applyBorder="1" applyAlignment="1">
      <alignment horizontal="center" vertical="center" shrinkToFit="1"/>
    </xf>
    <xf numFmtId="38" fontId="108" fillId="3" borderId="34" xfId="0" applyNumberFormat="1" applyFont="1" applyFill="1" applyBorder="1">
      <alignment vertical="center"/>
    </xf>
    <xf numFmtId="38" fontId="108" fillId="3" borderId="72" xfId="0" applyNumberFormat="1" applyFont="1" applyFill="1" applyBorder="1">
      <alignment vertical="center"/>
    </xf>
    <xf numFmtId="38" fontId="116" fillId="3" borderId="61" xfId="0" applyNumberFormat="1" applyFont="1" applyFill="1" applyBorder="1">
      <alignment vertical="center"/>
    </xf>
    <xf numFmtId="38" fontId="116" fillId="3" borderId="63" xfId="0" applyNumberFormat="1" applyFont="1" applyFill="1" applyBorder="1">
      <alignment vertical="center"/>
    </xf>
    <xf numFmtId="38" fontId="116" fillId="3" borderId="64" xfId="0" applyNumberFormat="1" applyFont="1" applyFill="1" applyBorder="1">
      <alignment vertical="center"/>
    </xf>
    <xf numFmtId="38" fontId="116" fillId="3" borderId="34" xfId="0" applyNumberFormat="1" applyFont="1" applyFill="1" applyBorder="1">
      <alignment vertical="center"/>
    </xf>
    <xf numFmtId="38" fontId="116" fillId="4" borderId="71" xfId="0" applyNumberFormat="1" applyFont="1" applyFill="1" applyBorder="1">
      <alignment vertical="center"/>
    </xf>
    <xf numFmtId="38" fontId="108" fillId="4" borderId="15" xfId="0" applyNumberFormat="1" applyFont="1" applyFill="1" applyBorder="1" applyAlignment="1">
      <alignment horizontal="center" vertical="center"/>
    </xf>
    <xf numFmtId="38" fontId="108" fillId="4" borderId="45" xfId="0" applyNumberFormat="1" applyFont="1" applyFill="1" applyBorder="1" applyAlignment="1">
      <alignment horizontal="center" vertical="center" shrinkToFit="1"/>
    </xf>
    <xf numFmtId="38" fontId="108" fillId="4" borderId="17" xfId="0" applyNumberFormat="1" applyFont="1" applyFill="1" applyBorder="1">
      <alignment vertical="center"/>
    </xf>
    <xf numFmtId="38" fontId="108" fillId="4" borderId="20" xfId="0" applyNumberFormat="1" applyFont="1" applyFill="1" applyBorder="1">
      <alignment vertical="center"/>
    </xf>
    <xf numFmtId="38" fontId="108" fillId="4" borderId="67" xfId="0" applyNumberFormat="1" applyFont="1" applyFill="1" applyBorder="1">
      <alignment vertical="center"/>
    </xf>
    <xf numFmtId="38" fontId="108" fillId="4" borderId="18" xfId="0" applyNumberFormat="1" applyFont="1" applyFill="1" applyBorder="1">
      <alignment vertical="center"/>
    </xf>
    <xf numFmtId="38" fontId="108" fillId="4" borderId="19" xfId="0" applyNumberFormat="1" applyFont="1" applyFill="1" applyBorder="1">
      <alignment vertical="center"/>
    </xf>
    <xf numFmtId="38" fontId="108" fillId="4" borderId="16" xfId="0" applyNumberFormat="1" applyFont="1" applyFill="1" applyBorder="1">
      <alignment vertical="center"/>
    </xf>
    <xf numFmtId="183" fontId="134" fillId="3" borderId="0" xfId="0" applyNumberFormat="1" applyFont="1" applyFill="1">
      <alignment vertical="center"/>
    </xf>
    <xf numFmtId="183" fontId="134" fillId="3" borderId="0" xfId="0" applyNumberFormat="1" applyFont="1" applyFill="1" applyAlignment="1">
      <alignment vertical="center" shrinkToFit="1"/>
    </xf>
    <xf numFmtId="41" fontId="124" fillId="3" borderId="0" xfId="0" applyNumberFormat="1" applyFont="1" applyFill="1">
      <alignment vertical="center"/>
    </xf>
    <xf numFmtId="41" fontId="134" fillId="3" borderId="0" xfId="0" applyNumberFormat="1" applyFont="1" applyFill="1">
      <alignment vertical="center"/>
    </xf>
    <xf numFmtId="183" fontId="126" fillId="3" borderId="0" xfId="0" applyNumberFormat="1" applyFont="1" applyFill="1" applyAlignment="1">
      <alignment horizontal="left" vertical="center" shrinkToFit="1"/>
    </xf>
    <xf numFmtId="183" fontId="126" fillId="3" borderId="0" xfId="0" applyNumberFormat="1" applyFont="1" applyFill="1">
      <alignment vertical="center"/>
    </xf>
    <xf numFmtId="183" fontId="93" fillId="3" borderId="0" xfId="0" applyNumberFormat="1" applyFont="1" applyFill="1" applyAlignment="1">
      <alignment horizontal="right" vertical="center" shrinkToFit="1"/>
    </xf>
    <xf numFmtId="3" fontId="116" fillId="3" borderId="0" xfId="0" applyNumberFormat="1" applyFont="1" applyFill="1">
      <alignment vertical="center"/>
    </xf>
    <xf numFmtId="183" fontId="116" fillId="3" borderId="0" xfId="0" applyNumberFormat="1" applyFont="1" applyFill="1">
      <alignment vertical="center"/>
    </xf>
    <xf numFmtId="41" fontId="84" fillId="10" borderId="19" xfId="0" applyNumberFormat="1" applyFont="1" applyFill="1" applyBorder="1">
      <alignment vertical="center"/>
    </xf>
    <xf numFmtId="41" fontId="84" fillId="10" borderId="17" xfId="0" applyNumberFormat="1" applyFont="1" applyFill="1" applyBorder="1">
      <alignment vertical="center"/>
    </xf>
    <xf numFmtId="41" fontId="93" fillId="10" borderId="18" xfId="0" applyNumberFormat="1" applyFont="1" applyFill="1" applyBorder="1">
      <alignment vertical="center"/>
    </xf>
    <xf numFmtId="41" fontId="93" fillId="10" borderId="19" xfId="0" applyNumberFormat="1" applyFont="1" applyFill="1" applyBorder="1">
      <alignment vertical="center"/>
    </xf>
    <xf numFmtId="41" fontId="93" fillId="10" borderId="17" xfId="0" applyNumberFormat="1" applyFont="1" applyFill="1" applyBorder="1">
      <alignment vertical="center"/>
    </xf>
    <xf numFmtId="41" fontId="93" fillId="4" borderId="29" xfId="0" applyNumberFormat="1" applyFont="1" applyFill="1" applyBorder="1" applyAlignment="1">
      <alignment vertical="center" shrinkToFit="1"/>
    </xf>
    <xf numFmtId="41" fontId="84" fillId="4" borderId="89" xfId="0" applyNumberFormat="1" applyFont="1" applyFill="1" applyBorder="1">
      <alignment vertical="center"/>
    </xf>
    <xf numFmtId="41" fontId="84" fillId="0" borderId="88" xfId="0" applyNumberFormat="1" applyFont="1" applyBorder="1">
      <alignment vertical="center"/>
    </xf>
    <xf numFmtId="41" fontId="84" fillId="0" borderId="89" xfId="0" applyNumberFormat="1" applyFont="1" applyBorder="1">
      <alignment vertical="center"/>
    </xf>
    <xf numFmtId="41" fontId="84" fillId="0" borderId="9" xfId="0" applyNumberFormat="1" applyFont="1" applyBorder="1">
      <alignment vertical="center"/>
    </xf>
    <xf numFmtId="41" fontId="84" fillId="4" borderId="106" xfId="0" applyNumberFormat="1" applyFont="1" applyFill="1" applyBorder="1" applyAlignment="1">
      <alignment vertical="center" shrinkToFit="1"/>
    </xf>
    <xf numFmtId="3" fontId="121" fillId="3" borderId="0" xfId="0" applyNumberFormat="1" applyFont="1" applyFill="1">
      <alignment vertical="center"/>
    </xf>
    <xf numFmtId="41" fontId="93" fillId="4" borderId="22" xfId="0" applyNumberFormat="1" applyFont="1" applyFill="1" applyBorder="1">
      <alignment vertical="center"/>
    </xf>
    <xf numFmtId="41" fontId="93" fillId="3" borderId="3" xfId="0" applyNumberFormat="1" applyFont="1" applyFill="1" applyBorder="1">
      <alignment vertical="center"/>
    </xf>
    <xf numFmtId="41" fontId="93" fillId="3" borderId="22" xfId="0" applyNumberFormat="1" applyFont="1" applyFill="1" applyBorder="1">
      <alignment vertical="center"/>
    </xf>
    <xf numFmtId="41" fontId="93" fillId="3" borderId="23" xfId="0" applyNumberFormat="1" applyFont="1" applyFill="1" applyBorder="1">
      <alignment vertical="center"/>
    </xf>
    <xf numFmtId="41" fontId="84" fillId="0" borderId="22" xfId="0" applyNumberFormat="1" applyFont="1" applyBorder="1">
      <alignment vertical="center"/>
    </xf>
    <xf numFmtId="41" fontId="93" fillId="0" borderId="22" xfId="0" applyNumberFormat="1" applyFont="1" applyBorder="1">
      <alignment vertical="center"/>
    </xf>
    <xf numFmtId="41" fontId="93" fillId="3" borderId="121" xfId="0" applyNumberFormat="1" applyFont="1" applyFill="1" applyBorder="1">
      <alignment vertical="center"/>
    </xf>
    <xf numFmtId="41" fontId="84" fillId="0" borderId="23" xfId="0" applyNumberFormat="1" applyFont="1" applyBorder="1">
      <alignment vertical="center"/>
    </xf>
    <xf numFmtId="41" fontId="84" fillId="0" borderId="121" xfId="0" applyNumberFormat="1" applyFont="1" applyBorder="1">
      <alignment vertical="center"/>
    </xf>
    <xf numFmtId="41" fontId="93" fillId="0" borderId="126" xfId="0" applyNumberFormat="1" applyFont="1" applyBorder="1">
      <alignment vertical="center"/>
    </xf>
    <xf numFmtId="41" fontId="93" fillId="0" borderId="79" xfId="0" applyNumberFormat="1" applyFont="1" applyBorder="1">
      <alignment vertical="center"/>
    </xf>
    <xf numFmtId="41" fontId="84" fillId="0" borderId="86" xfId="0" applyNumberFormat="1" applyFont="1" applyBorder="1">
      <alignment vertical="center"/>
    </xf>
    <xf numFmtId="41" fontId="84" fillId="0" borderId="54" xfId="0" applyNumberFormat="1" applyFont="1" applyBorder="1">
      <alignment vertical="center"/>
    </xf>
    <xf numFmtId="41" fontId="84" fillId="4" borderId="91" xfId="0" applyNumberFormat="1" applyFont="1" applyFill="1" applyBorder="1">
      <alignment vertical="center"/>
    </xf>
    <xf numFmtId="183" fontId="116" fillId="4" borderId="70" xfId="0" applyNumberFormat="1" applyFont="1" applyFill="1" applyBorder="1" applyAlignment="1">
      <alignment horizontal="center" vertical="center" shrinkToFit="1"/>
    </xf>
    <xf numFmtId="41" fontId="108" fillId="0" borderId="78" xfId="0" applyNumberFormat="1" applyFont="1" applyBorder="1">
      <alignment vertical="center"/>
    </xf>
    <xf numFmtId="41" fontId="108" fillId="0" borderId="49" xfId="0" applyNumberFormat="1" applyFont="1" applyBorder="1">
      <alignment vertical="center"/>
    </xf>
    <xf numFmtId="41" fontId="108" fillId="0" borderId="40" xfId="0" applyNumberFormat="1" applyFont="1" applyBorder="1">
      <alignment vertical="center"/>
    </xf>
    <xf numFmtId="41" fontId="116" fillId="0" borderId="77" xfId="0" applyNumberFormat="1" applyFont="1" applyBorder="1">
      <alignment vertical="center"/>
    </xf>
    <xf numFmtId="41" fontId="116" fillId="0" borderId="76" xfId="0" applyNumberFormat="1" applyFont="1" applyBorder="1">
      <alignment vertical="center"/>
    </xf>
    <xf numFmtId="41" fontId="116" fillId="0" borderId="49" xfId="0" applyNumberFormat="1" applyFont="1" applyBorder="1">
      <alignment vertical="center"/>
    </xf>
    <xf numFmtId="41" fontId="116" fillId="4" borderId="75" xfId="0" applyNumberFormat="1" applyFont="1" applyFill="1" applyBorder="1" applyAlignment="1">
      <alignment vertical="center" shrinkToFit="1"/>
    </xf>
    <xf numFmtId="183" fontId="126" fillId="4" borderId="21" xfId="0" applyNumberFormat="1" applyFont="1" applyFill="1" applyBorder="1">
      <alignment vertical="center"/>
    </xf>
    <xf numFmtId="41" fontId="93" fillId="4" borderId="22" xfId="0" applyNumberFormat="1" applyFont="1" applyFill="1" applyBorder="1" applyAlignment="1">
      <alignment vertical="center" shrinkToFit="1"/>
    </xf>
    <xf numFmtId="183" fontId="138" fillId="4" borderId="21" xfId="0" applyNumberFormat="1" applyFont="1" applyFill="1" applyBorder="1">
      <alignment vertical="center"/>
    </xf>
    <xf numFmtId="41" fontId="84" fillId="4" borderId="130" xfId="0" applyNumberFormat="1" applyFont="1" applyFill="1" applyBorder="1" applyAlignment="1">
      <alignment vertical="center" shrinkToFit="1"/>
    </xf>
    <xf numFmtId="41" fontId="84" fillId="0" borderId="11" xfId="0" applyNumberFormat="1" applyFont="1" applyBorder="1">
      <alignment vertical="center"/>
    </xf>
    <xf numFmtId="41" fontId="84" fillId="0" borderId="120" xfId="0" applyNumberFormat="1" applyFont="1" applyBorder="1">
      <alignment vertical="center"/>
    </xf>
    <xf numFmtId="41" fontId="93" fillId="4" borderId="129" xfId="0" applyNumberFormat="1" applyFont="1" applyFill="1" applyBorder="1" applyAlignment="1">
      <alignment vertical="center" shrinkToFit="1"/>
    </xf>
    <xf numFmtId="41" fontId="116" fillId="0" borderId="78" xfId="0" applyNumberFormat="1" applyFont="1" applyBorder="1">
      <alignment vertical="center"/>
    </xf>
    <xf numFmtId="183" fontId="116" fillId="4" borderId="15" xfId="0" applyNumberFormat="1" applyFont="1" applyFill="1" applyBorder="1" applyAlignment="1">
      <alignment horizontal="center" vertical="center"/>
    </xf>
    <xf numFmtId="183" fontId="116" fillId="4" borderId="16" xfId="0" applyNumberFormat="1" applyFont="1" applyFill="1" applyBorder="1" applyAlignment="1">
      <alignment horizontal="center" vertical="center"/>
    </xf>
    <xf numFmtId="41" fontId="84" fillId="0" borderId="60" xfId="0" applyNumberFormat="1" applyFont="1" applyBorder="1">
      <alignment vertical="center"/>
    </xf>
    <xf numFmtId="0" fontId="140" fillId="3" borderId="0" xfId="0" applyFont="1" applyFill="1">
      <alignment vertical="center"/>
    </xf>
    <xf numFmtId="0" fontId="140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horizontal="left" vertical="top"/>
    </xf>
    <xf numFmtId="188" fontId="143" fillId="3" borderId="0" xfId="0" applyNumberFormat="1" applyFont="1" applyFill="1">
      <alignment vertical="center"/>
    </xf>
    <xf numFmtId="188" fontId="143" fillId="3" borderId="0" xfId="0" applyNumberFormat="1" applyFont="1" applyFill="1" applyAlignment="1">
      <alignment horizontal="center" vertical="center"/>
    </xf>
    <xf numFmtId="41" fontId="93" fillId="4" borderId="55" xfId="0" applyNumberFormat="1" applyFont="1" applyFill="1" applyBorder="1" applyAlignment="1">
      <alignment horizontal="center" vertical="center"/>
    </xf>
    <xf numFmtId="182" fontId="93" fillId="4" borderId="1" xfId="0" applyNumberFormat="1" applyFont="1" applyFill="1" applyBorder="1" applyAlignment="1">
      <alignment horizontal="center" vertical="center"/>
    </xf>
    <xf numFmtId="41" fontId="84" fillId="4" borderId="0" xfId="0" applyNumberFormat="1" applyFont="1" applyFill="1" applyAlignment="1">
      <alignment horizontal="center" vertical="center"/>
    </xf>
    <xf numFmtId="41" fontId="116" fillId="13" borderId="19" xfId="0" applyNumberFormat="1" applyFont="1" applyFill="1" applyBorder="1">
      <alignment vertical="center"/>
    </xf>
    <xf numFmtId="41" fontId="116" fillId="13" borderId="15" xfId="0" applyNumberFormat="1" applyFont="1" applyFill="1" applyBorder="1">
      <alignment vertical="center"/>
    </xf>
    <xf numFmtId="41" fontId="116" fillId="13" borderId="45" xfId="0" applyNumberFormat="1" applyFont="1" applyFill="1" applyBorder="1">
      <alignment vertical="center"/>
    </xf>
    <xf numFmtId="41" fontId="116" fillId="13" borderId="18" xfId="0" applyNumberFormat="1" applyFont="1" applyFill="1" applyBorder="1">
      <alignment vertical="center"/>
    </xf>
    <xf numFmtId="41" fontId="116" fillId="13" borderId="19" xfId="0" applyNumberFormat="1" applyFont="1" applyFill="1" applyBorder="1" applyAlignment="1">
      <alignment horizontal="center" vertical="center"/>
    </xf>
    <xf numFmtId="41" fontId="116" fillId="13" borderId="17" xfId="0" applyNumberFormat="1" applyFont="1" applyFill="1" applyBorder="1">
      <alignment vertical="center"/>
    </xf>
    <xf numFmtId="41" fontId="116" fillId="13" borderId="29" xfId="0" applyNumberFormat="1" applyFont="1" applyFill="1" applyBorder="1">
      <alignment vertical="center"/>
    </xf>
    <xf numFmtId="41" fontId="144" fillId="3" borderId="0" xfId="0" applyNumberFormat="1" applyFont="1" applyFill="1" applyAlignment="1">
      <alignment horizontal="center" vertical="center"/>
    </xf>
    <xf numFmtId="41" fontId="144" fillId="3" borderId="0" xfId="0" applyNumberFormat="1" applyFont="1" applyFill="1">
      <alignment vertical="center"/>
    </xf>
    <xf numFmtId="0" fontId="136" fillId="3" borderId="0" xfId="0" applyFont="1" applyFill="1">
      <alignment vertical="center"/>
    </xf>
    <xf numFmtId="188" fontId="140" fillId="3" borderId="0" xfId="0" applyNumberFormat="1" applyFont="1" applyFill="1">
      <alignment vertical="center"/>
    </xf>
    <xf numFmtId="187" fontId="93" fillId="4" borderId="34" xfId="0" applyNumberFormat="1" applyFont="1" applyFill="1" applyBorder="1" applyAlignment="1">
      <alignment horizontal="center" vertical="center"/>
    </xf>
    <xf numFmtId="187" fontId="93" fillId="4" borderId="33" xfId="0" applyNumberFormat="1" applyFont="1" applyFill="1" applyBorder="1" applyAlignment="1">
      <alignment horizontal="center" vertical="center"/>
    </xf>
    <xf numFmtId="187" fontId="84" fillId="4" borderId="69" xfId="0" applyNumberFormat="1" applyFont="1" applyFill="1" applyBorder="1" applyAlignment="1">
      <alignment horizontal="center" vertical="center"/>
    </xf>
    <xf numFmtId="41" fontId="108" fillId="13" borderId="19" xfId="0" applyNumberFormat="1" applyFont="1" applyFill="1" applyBorder="1">
      <alignment vertical="center"/>
    </xf>
    <xf numFmtId="41" fontId="108" fillId="13" borderId="15" xfId="0" applyNumberFormat="1" applyFont="1" applyFill="1" applyBorder="1">
      <alignment vertical="center"/>
    </xf>
    <xf numFmtId="41" fontId="108" fillId="13" borderId="45" xfId="0" applyNumberFormat="1" applyFont="1" applyFill="1" applyBorder="1">
      <alignment vertical="center"/>
    </xf>
    <xf numFmtId="41" fontId="108" fillId="13" borderId="18" xfId="0" applyNumberFormat="1" applyFont="1" applyFill="1" applyBorder="1">
      <alignment vertical="center"/>
    </xf>
    <xf numFmtId="41" fontId="108" fillId="13" borderId="19" xfId="0" applyNumberFormat="1" applyFont="1" applyFill="1" applyBorder="1" applyAlignment="1">
      <alignment horizontal="center" vertical="center"/>
    </xf>
    <xf numFmtId="41" fontId="108" fillId="13" borderId="17" xfId="0" applyNumberFormat="1" applyFont="1" applyFill="1" applyBorder="1">
      <alignment vertical="center"/>
    </xf>
    <xf numFmtId="41" fontId="123" fillId="13" borderId="29" xfId="0" applyNumberFormat="1" applyFont="1" applyFill="1" applyBorder="1">
      <alignment vertical="center"/>
    </xf>
    <xf numFmtId="41" fontId="108" fillId="3" borderId="45" xfId="0" applyNumberFormat="1" applyFont="1" applyFill="1" applyBorder="1" applyAlignment="1">
      <alignment horizontal="center" vertical="center"/>
    </xf>
    <xf numFmtId="41" fontId="108" fillId="3" borderId="45" xfId="0" applyNumberFormat="1" applyFont="1" applyFill="1" applyBorder="1">
      <alignment vertical="center"/>
    </xf>
    <xf numFmtId="41" fontId="123" fillId="3" borderId="45" xfId="0" applyNumberFormat="1" applyFont="1" applyFill="1" applyBorder="1">
      <alignment vertical="center"/>
    </xf>
    <xf numFmtId="41" fontId="116" fillId="10" borderId="19" xfId="0" applyNumberFormat="1" applyFont="1" applyFill="1" applyBorder="1">
      <alignment vertical="center"/>
    </xf>
    <xf numFmtId="41" fontId="116" fillId="10" borderId="15" xfId="0" applyNumberFormat="1" applyFont="1" applyFill="1" applyBorder="1">
      <alignment vertical="center"/>
    </xf>
    <xf numFmtId="41" fontId="116" fillId="10" borderId="45" xfId="0" applyNumberFormat="1" applyFont="1" applyFill="1" applyBorder="1">
      <alignment vertical="center"/>
    </xf>
    <xf numFmtId="41" fontId="116" fillId="10" borderId="18" xfId="0" applyNumberFormat="1" applyFont="1" applyFill="1" applyBorder="1">
      <alignment vertical="center"/>
    </xf>
    <xf numFmtId="41" fontId="116" fillId="10" borderId="19" xfId="0" applyNumberFormat="1" applyFont="1" applyFill="1" applyBorder="1" applyAlignment="1">
      <alignment horizontal="center" vertical="center"/>
    </xf>
    <xf numFmtId="41" fontId="116" fillId="10" borderId="17" xfId="0" applyNumberFormat="1" applyFont="1" applyFill="1" applyBorder="1">
      <alignment vertical="center"/>
    </xf>
    <xf numFmtId="41" fontId="116" fillId="10" borderId="29" xfId="0" applyNumberFormat="1" applyFont="1" applyFill="1" applyBorder="1">
      <alignment vertical="center"/>
    </xf>
    <xf numFmtId="0" fontId="112" fillId="3" borderId="0" xfId="0" applyFont="1" applyFill="1" applyAlignment="1">
      <alignment horizontal="left" vertical="center"/>
    </xf>
    <xf numFmtId="9" fontId="93" fillId="0" borderId="0" xfId="0" applyNumberFormat="1" applyFont="1" applyAlignment="1">
      <alignment horizontal="center" vertical="center"/>
    </xf>
    <xf numFmtId="0" fontId="136" fillId="0" borderId="0" xfId="0" applyFont="1">
      <alignment vertical="center"/>
    </xf>
    <xf numFmtId="41" fontId="108" fillId="4" borderId="46" xfId="0" applyNumberFormat="1" applyFont="1" applyFill="1" applyBorder="1" applyAlignment="1">
      <alignment horizontal="center" vertical="center"/>
    </xf>
    <xf numFmtId="41" fontId="108" fillId="4" borderId="15" xfId="0" applyNumberFormat="1" applyFont="1" applyFill="1" applyBorder="1" applyAlignment="1">
      <alignment horizontal="center" vertical="center"/>
    </xf>
    <xf numFmtId="10" fontId="147" fillId="3" borderId="50" xfId="0" applyNumberFormat="1" applyFont="1" applyFill="1" applyBorder="1" applyAlignment="1">
      <alignment horizontal="right" vertical="center"/>
    </xf>
    <xf numFmtId="192" fontId="116" fillId="4" borderId="63" xfId="0" applyNumberFormat="1" applyFont="1" applyFill="1" applyBorder="1">
      <alignment vertical="center"/>
    </xf>
    <xf numFmtId="192" fontId="116" fillId="4" borderId="8" xfId="0" applyNumberFormat="1" applyFont="1" applyFill="1" applyBorder="1">
      <alignment vertical="center"/>
    </xf>
    <xf numFmtId="41" fontId="108" fillId="2" borderId="67" xfId="0" applyNumberFormat="1" applyFont="1" applyFill="1" applyBorder="1">
      <alignment vertical="center"/>
    </xf>
    <xf numFmtId="41" fontId="108" fillId="2" borderId="18" xfId="0" applyNumberFormat="1" applyFont="1" applyFill="1" applyBorder="1">
      <alignment vertical="center"/>
    </xf>
    <xf numFmtId="41" fontId="108" fillId="2" borderId="19" xfId="0" applyNumberFormat="1" applyFont="1" applyFill="1" applyBorder="1">
      <alignment vertical="center"/>
    </xf>
    <xf numFmtId="41" fontId="108" fillId="2" borderId="17" xfId="0" applyNumberFormat="1" applyFont="1" applyFill="1" applyBorder="1">
      <alignment vertical="center"/>
    </xf>
    <xf numFmtId="41" fontId="108" fillId="2" borderId="20" xfId="0" applyNumberFormat="1" applyFont="1" applyFill="1" applyBorder="1">
      <alignment vertical="center"/>
    </xf>
    <xf numFmtId="0" fontId="130" fillId="0" borderId="0" xfId="0" applyFont="1">
      <alignment vertical="center"/>
    </xf>
    <xf numFmtId="180" fontId="112" fillId="12" borderId="28" xfId="0" applyNumberFormat="1" applyFont="1" applyFill="1" applyBorder="1">
      <alignment vertical="center"/>
    </xf>
    <xf numFmtId="194" fontId="112" fillId="12" borderId="28" xfId="0" applyNumberFormat="1" applyFont="1" applyFill="1" applyBorder="1">
      <alignment vertical="center"/>
    </xf>
    <xf numFmtId="9" fontId="148" fillId="12" borderId="28" xfId="0" applyNumberFormat="1" applyFont="1" applyFill="1" applyBorder="1">
      <alignment vertical="center"/>
    </xf>
    <xf numFmtId="41" fontId="116" fillId="4" borderId="29" xfId="0" applyNumberFormat="1" applyFont="1" applyFill="1" applyBorder="1" applyAlignment="1">
      <alignment horizontal="center" vertical="center" wrapText="1"/>
    </xf>
    <xf numFmtId="216" fontId="112" fillId="4" borderId="29" xfId="0" applyNumberFormat="1" applyFont="1" applyFill="1" applyBorder="1">
      <alignment vertical="center"/>
    </xf>
    <xf numFmtId="41" fontId="108" fillId="3" borderId="0" xfId="0" applyNumberFormat="1" applyFont="1" applyFill="1" applyAlignment="1">
      <alignment horizontal="right" vertical="center"/>
    </xf>
    <xf numFmtId="184" fontId="116" fillId="12" borderId="12" xfId="0" applyNumberFormat="1" applyFont="1" applyFill="1" applyBorder="1">
      <alignment vertical="center"/>
    </xf>
    <xf numFmtId="184" fontId="116" fillId="12" borderId="78" xfId="0" applyNumberFormat="1" applyFont="1" applyFill="1" applyBorder="1">
      <alignment vertical="center"/>
    </xf>
    <xf numFmtId="9" fontId="108" fillId="12" borderId="84" xfId="0" applyNumberFormat="1" applyFont="1" applyFill="1" applyBorder="1" applyAlignment="1">
      <alignment horizontal="center" vertical="center"/>
    </xf>
    <xf numFmtId="9" fontId="108" fillId="12" borderId="14" xfId="0" applyNumberFormat="1" applyFont="1" applyFill="1" applyBorder="1">
      <alignment vertical="center"/>
    </xf>
    <xf numFmtId="9" fontId="108" fillId="12" borderId="31" xfId="0" applyNumberFormat="1" applyFont="1" applyFill="1" applyBorder="1">
      <alignment vertical="center"/>
    </xf>
    <xf numFmtId="182" fontId="108" fillId="12" borderId="108" xfId="0" applyNumberFormat="1" applyFont="1" applyFill="1" applyBorder="1">
      <alignment vertical="center"/>
    </xf>
    <xf numFmtId="9" fontId="84" fillId="0" borderId="0" xfId="0" applyNumberFormat="1" applyFont="1" applyAlignment="1">
      <alignment horizontal="right" vertical="center"/>
    </xf>
    <xf numFmtId="41" fontId="84" fillId="0" borderId="31" xfId="0" applyNumberFormat="1" applyFont="1" applyBorder="1">
      <alignment vertical="center"/>
    </xf>
    <xf numFmtId="41" fontId="108" fillId="26" borderId="19" xfId="0" applyNumberFormat="1" applyFont="1" applyFill="1" applyBorder="1">
      <alignment vertical="center"/>
    </xf>
    <xf numFmtId="41" fontId="93" fillId="0" borderId="44" xfId="0" applyNumberFormat="1" applyFont="1" applyBorder="1">
      <alignment vertical="center"/>
    </xf>
    <xf numFmtId="0" fontId="93" fillId="0" borderId="75" xfId="0" applyFont="1" applyBorder="1">
      <alignment vertical="center"/>
    </xf>
    <xf numFmtId="0" fontId="149" fillId="0" borderId="0" xfId="0" applyFont="1">
      <alignment vertical="center"/>
    </xf>
    <xf numFmtId="182" fontId="149" fillId="0" borderId="0" xfId="0" applyNumberFormat="1" applyFont="1" applyAlignment="1">
      <alignment horizontal="center" vertical="center"/>
    </xf>
    <xf numFmtId="182" fontId="150" fillId="0" borderId="0" xfId="0" applyNumberFormat="1" applyFont="1" applyAlignment="1">
      <alignment horizontal="left" vertical="center"/>
    </xf>
    <xf numFmtId="41" fontId="151" fillId="0" borderId="0" xfId="0" applyNumberFormat="1" applyFont="1">
      <alignment vertical="center"/>
    </xf>
    <xf numFmtId="41" fontId="149" fillId="0" borderId="0" xfId="0" applyNumberFormat="1" applyFont="1">
      <alignment vertical="center"/>
    </xf>
    <xf numFmtId="0" fontId="152" fillId="0" borderId="0" xfId="0" applyFont="1">
      <alignment vertical="center"/>
    </xf>
    <xf numFmtId="0" fontId="153" fillId="0" borderId="0" xfId="0" applyFont="1">
      <alignment vertical="center"/>
    </xf>
    <xf numFmtId="182" fontId="154" fillId="0" borderId="0" xfId="0" applyNumberFormat="1" applyFont="1" applyAlignment="1">
      <alignment horizontal="center" vertical="center"/>
    </xf>
    <xf numFmtId="182" fontId="155" fillId="0" borderId="0" xfId="0" applyNumberFormat="1" applyFont="1" applyAlignment="1">
      <alignment horizontal="left" vertical="center"/>
    </xf>
    <xf numFmtId="41" fontId="155" fillId="0" borderId="0" xfId="0" applyNumberFormat="1" applyFont="1" applyAlignment="1">
      <alignment horizontal="left" vertical="center"/>
    </xf>
    <xf numFmtId="9" fontId="156" fillId="3" borderId="0" xfId="0" applyNumberFormat="1" applyFont="1" applyFill="1">
      <alignment vertical="center"/>
    </xf>
    <xf numFmtId="0" fontId="157" fillId="0" borderId="0" xfId="0" applyFont="1">
      <alignment vertical="center"/>
    </xf>
    <xf numFmtId="9" fontId="122" fillId="0" borderId="0" xfId="0" applyNumberFormat="1" applyFont="1" applyAlignment="1">
      <alignment horizontal="right" vertical="center"/>
    </xf>
    <xf numFmtId="182" fontId="113" fillId="0" borderId="0" xfId="0" applyNumberFormat="1" applyFont="1" applyAlignment="1">
      <alignment horizontal="center" vertical="center"/>
    </xf>
    <xf numFmtId="182" fontId="158" fillId="0" borderId="0" xfId="0" applyNumberFormat="1" applyFont="1" applyAlignment="1">
      <alignment horizontal="left" vertical="center"/>
    </xf>
    <xf numFmtId="41" fontId="158" fillId="0" borderId="0" xfId="0" applyNumberFormat="1" applyFont="1" applyAlignment="1">
      <alignment horizontal="left" vertical="center"/>
    </xf>
    <xf numFmtId="9" fontId="131" fillId="3" borderId="0" xfId="0" applyNumberFormat="1" applyFont="1" applyFill="1">
      <alignment vertical="center"/>
    </xf>
    <xf numFmtId="9" fontId="110" fillId="0" borderId="0" xfId="0" applyNumberFormat="1" applyFont="1" applyAlignment="1">
      <alignment horizontal="right" vertical="center"/>
    </xf>
    <xf numFmtId="0" fontId="115" fillId="0" borderId="0" xfId="0" applyFont="1">
      <alignment vertical="center"/>
    </xf>
    <xf numFmtId="0" fontId="159" fillId="0" borderId="0" xfId="0" applyFont="1">
      <alignment vertical="center"/>
    </xf>
    <xf numFmtId="0" fontId="114" fillId="0" borderId="0" xfId="0" applyFont="1">
      <alignment vertical="center"/>
    </xf>
    <xf numFmtId="182" fontId="112" fillId="4" borderId="18" xfId="0" applyNumberFormat="1" applyFont="1" applyFill="1" applyBorder="1" applyAlignment="1">
      <alignment horizontal="center" vertical="center"/>
    </xf>
    <xf numFmtId="182" fontId="114" fillId="4" borderId="18" xfId="0" applyNumberFormat="1" applyFont="1" applyFill="1" applyBorder="1" applyAlignment="1">
      <alignment horizontal="center" vertical="center"/>
    </xf>
    <xf numFmtId="182" fontId="114" fillId="4" borderId="45" xfId="0" applyNumberFormat="1" applyFont="1" applyFill="1" applyBorder="1" applyAlignment="1">
      <alignment horizontal="center" vertical="center"/>
    </xf>
    <xf numFmtId="0" fontId="112" fillId="4" borderId="17" xfId="0" applyFont="1" applyFill="1" applyBorder="1" applyAlignment="1">
      <alignment horizontal="center" vertical="center"/>
    </xf>
    <xf numFmtId="0" fontId="112" fillId="4" borderId="67" xfId="0" applyFont="1" applyFill="1" applyBorder="1" applyAlignment="1">
      <alignment horizontal="center" vertical="center"/>
    </xf>
    <xf numFmtId="0" fontId="112" fillId="4" borderId="19" xfId="0" applyFont="1" applyFill="1" applyBorder="1" applyAlignment="1">
      <alignment horizontal="center" vertical="center"/>
    </xf>
    <xf numFmtId="0" fontId="112" fillId="4" borderId="18" xfId="0" applyFont="1" applyFill="1" applyBorder="1" applyAlignment="1">
      <alignment horizontal="center" vertical="center"/>
    </xf>
    <xf numFmtId="0" fontId="112" fillId="4" borderId="113" xfId="0" applyFont="1" applyFill="1" applyBorder="1" applyAlignment="1">
      <alignment horizontal="center" vertical="center"/>
    </xf>
    <xf numFmtId="0" fontId="112" fillId="4" borderId="32" xfId="0" applyFont="1" applyFill="1" applyBorder="1" applyAlignment="1">
      <alignment horizontal="center" vertical="center"/>
    </xf>
    <xf numFmtId="0" fontId="114" fillId="4" borderId="15" xfId="0" applyFont="1" applyFill="1" applyBorder="1">
      <alignment vertical="center"/>
    </xf>
    <xf numFmtId="182" fontId="114" fillId="4" borderId="18" xfId="0" applyNumberFormat="1" applyFont="1" applyFill="1" applyBorder="1" applyAlignment="1">
      <alignment vertical="top"/>
    </xf>
    <xf numFmtId="182" fontId="113" fillId="4" borderId="45" xfId="0" applyNumberFormat="1" applyFont="1" applyFill="1" applyBorder="1" applyAlignment="1">
      <alignment horizontal="center" vertical="center"/>
    </xf>
    <xf numFmtId="9" fontId="110" fillId="4" borderId="18" xfId="0" applyNumberFormat="1" applyFont="1" applyFill="1" applyBorder="1" applyAlignment="1">
      <alignment horizontal="center" vertical="center"/>
    </xf>
    <xf numFmtId="192" fontId="110" fillId="4" borderId="45" xfId="0" applyNumberFormat="1" applyFont="1" applyFill="1" applyBorder="1" applyAlignment="1">
      <alignment horizontal="center" vertical="center"/>
    </xf>
    <xf numFmtId="187" fontId="110" fillId="3" borderId="17" xfId="0" applyNumberFormat="1" applyFont="1" applyFill="1" applyBorder="1">
      <alignment vertical="center"/>
    </xf>
    <xf numFmtId="187" fontId="110" fillId="3" borderId="18" xfId="0" applyNumberFormat="1" applyFont="1" applyFill="1" applyBorder="1">
      <alignment vertical="center"/>
    </xf>
    <xf numFmtId="187" fontId="110" fillId="0" borderId="19" xfId="0" applyNumberFormat="1" applyFont="1" applyBorder="1">
      <alignment vertical="center"/>
    </xf>
    <xf numFmtId="187" fontId="110" fillId="3" borderId="67" xfId="0" applyNumberFormat="1" applyFont="1" applyFill="1" applyBorder="1">
      <alignment vertical="center"/>
    </xf>
    <xf numFmtId="187" fontId="110" fillId="3" borderId="20" xfId="0" applyNumberFormat="1" applyFont="1" applyFill="1" applyBorder="1">
      <alignment vertical="center"/>
    </xf>
    <xf numFmtId="187" fontId="113" fillId="3" borderId="17" xfId="0" applyNumberFormat="1" applyFont="1" applyFill="1" applyBorder="1">
      <alignment vertical="center"/>
    </xf>
    <xf numFmtId="187" fontId="113" fillId="3" borderId="18" xfId="0" applyNumberFormat="1" applyFont="1" applyFill="1" applyBorder="1">
      <alignment vertical="center"/>
    </xf>
    <xf numFmtId="187" fontId="113" fillId="3" borderId="19" xfId="0" applyNumberFormat="1" applyFont="1" applyFill="1" applyBorder="1">
      <alignment vertical="center"/>
    </xf>
    <xf numFmtId="41" fontId="113" fillId="4" borderId="67" xfId="0" applyNumberFormat="1" applyFont="1" applyFill="1" applyBorder="1">
      <alignment vertical="center"/>
    </xf>
    <xf numFmtId="0" fontId="114" fillId="0" borderId="50" xfId="0" applyFont="1" applyBorder="1">
      <alignment vertical="center"/>
    </xf>
    <xf numFmtId="182" fontId="113" fillId="0" borderId="50" xfId="0" applyNumberFormat="1" applyFont="1" applyBorder="1" applyAlignment="1">
      <alignment vertical="top"/>
    </xf>
    <xf numFmtId="182" fontId="158" fillId="0" borderId="50" xfId="0" applyNumberFormat="1" applyFont="1" applyBorder="1" applyAlignment="1">
      <alignment horizontal="left" vertical="center"/>
    </xf>
    <xf numFmtId="41" fontId="158" fillId="0" borderId="50" xfId="0" applyNumberFormat="1" applyFont="1" applyBorder="1" applyAlignment="1">
      <alignment horizontal="left" vertical="center"/>
    </xf>
    <xf numFmtId="9" fontId="131" fillId="0" borderId="50" xfId="0" applyNumberFormat="1" applyFont="1" applyBorder="1">
      <alignment vertical="center"/>
    </xf>
    <xf numFmtId="9" fontId="110" fillId="0" borderId="50" xfId="0" applyNumberFormat="1" applyFont="1" applyBorder="1" applyAlignment="1">
      <alignment horizontal="right" vertical="center"/>
    </xf>
    <xf numFmtId="182" fontId="113" fillId="0" borderId="0" xfId="0" applyNumberFormat="1" applyFont="1" applyAlignment="1">
      <alignment vertical="top"/>
    </xf>
    <xf numFmtId="9" fontId="131" fillId="0" borderId="0" xfId="0" applyNumberFormat="1" applyFont="1">
      <alignment vertical="center"/>
    </xf>
    <xf numFmtId="182" fontId="114" fillId="4" borderId="65" xfId="0" applyNumberFormat="1" applyFont="1" applyFill="1" applyBorder="1" applyAlignment="1">
      <alignment horizontal="center" vertical="center"/>
    </xf>
    <xf numFmtId="182" fontId="114" fillId="4" borderId="27" xfId="0" applyNumberFormat="1" applyFont="1" applyFill="1" applyBorder="1" applyAlignment="1">
      <alignment horizontal="center" vertical="center"/>
    </xf>
    <xf numFmtId="182" fontId="114" fillId="4" borderId="50" xfId="0" applyNumberFormat="1" applyFont="1" applyFill="1" applyBorder="1" applyAlignment="1">
      <alignment horizontal="center" vertical="center"/>
    </xf>
    <xf numFmtId="0" fontId="112" fillId="4" borderId="58" xfId="0" applyFont="1" applyFill="1" applyBorder="1" applyAlignment="1">
      <alignment horizontal="center" vertical="center"/>
    </xf>
    <xf numFmtId="0" fontId="112" fillId="4" borderId="26" xfId="0" applyFont="1" applyFill="1" applyBorder="1" applyAlignment="1">
      <alignment horizontal="center" vertical="center"/>
    </xf>
    <xf numFmtId="0" fontId="112" fillId="4" borderId="60" xfId="0" applyFont="1" applyFill="1" applyBorder="1" applyAlignment="1">
      <alignment horizontal="center" vertical="center"/>
    </xf>
    <xf numFmtId="0" fontId="112" fillId="4" borderId="27" xfId="0" applyFont="1" applyFill="1" applyBorder="1" applyAlignment="1">
      <alignment horizontal="center" vertical="center"/>
    </xf>
    <xf numFmtId="0" fontId="112" fillId="4" borderId="80" xfId="0" applyFont="1" applyFill="1" applyBorder="1" applyAlignment="1">
      <alignment horizontal="center" vertical="center"/>
    </xf>
    <xf numFmtId="0" fontId="115" fillId="0" borderId="0" xfId="0" applyFont="1" applyAlignment="1">
      <alignment horizontal="center" vertical="center"/>
    </xf>
    <xf numFmtId="0" fontId="159" fillId="0" borderId="0" xfId="0" applyFont="1" applyAlignment="1">
      <alignment horizontal="center" vertical="center"/>
    </xf>
    <xf numFmtId="0" fontId="110" fillId="4" borderId="80" xfId="0" applyFont="1" applyFill="1" applyBorder="1" applyAlignment="1">
      <alignment horizontal="center" vertical="center"/>
    </xf>
    <xf numFmtId="9" fontId="110" fillId="4" borderId="27" xfId="0" applyNumberFormat="1" applyFont="1" applyFill="1" applyBorder="1" applyAlignment="1">
      <alignment horizontal="center" vertical="center"/>
    </xf>
    <xf numFmtId="192" fontId="110" fillId="4" borderId="50" xfId="0" applyNumberFormat="1" applyFont="1" applyFill="1" applyBorder="1" applyAlignment="1">
      <alignment horizontal="center" vertical="center"/>
    </xf>
    <xf numFmtId="187" fontId="110" fillId="3" borderId="58" xfId="0" applyNumberFormat="1" applyFont="1" applyFill="1" applyBorder="1">
      <alignment vertical="center"/>
    </xf>
    <xf numFmtId="187" fontId="110" fillId="3" borderId="26" xfId="0" applyNumberFormat="1" applyFont="1" applyFill="1" applyBorder="1">
      <alignment vertical="center"/>
    </xf>
    <xf numFmtId="187" fontId="110" fillId="3" borderId="60" xfId="0" applyNumberFormat="1" applyFont="1" applyFill="1" applyBorder="1">
      <alignment vertical="center"/>
    </xf>
    <xf numFmtId="187" fontId="110" fillId="3" borderId="27" xfId="0" applyNumberFormat="1" applyFont="1" applyFill="1" applyBorder="1">
      <alignment vertical="center"/>
    </xf>
    <xf numFmtId="187" fontId="110" fillId="3" borderId="65" xfId="0" applyNumberFormat="1" applyFont="1" applyFill="1" applyBorder="1">
      <alignment vertical="center"/>
    </xf>
    <xf numFmtId="187" fontId="113" fillId="3" borderId="80" xfId="0" applyNumberFormat="1" applyFont="1" applyFill="1" applyBorder="1">
      <alignment vertical="center"/>
    </xf>
    <xf numFmtId="187" fontId="113" fillId="3" borderId="27" xfId="0" applyNumberFormat="1" applyFont="1" applyFill="1" applyBorder="1">
      <alignment vertical="center"/>
    </xf>
    <xf numFmtId="187" fontId="113" fillId="3" borderId="60" xfId="0" applyNumberFormat="1" applyFont="1" applyFill="1" applyBorder="1">
      <alignment vertical="center"/>
    </xf>
    <xf numFmtId="187" fontId="113" fillId="3" borderId="58" xfId="0" applyNumberFormat="1" applyFont="1" applyFill="1" applyBorder="1">
      <alignment vertical="center"/>
    </xf>
    <xf numFmtId="41" fontId="113" fillId="4" borderId="26" xfId="0" applyNumberFormat="1" applyFont="1" applyFill="1" applyBorder="1">
      <alignment vertical="center"/>
    </xf>
    <xf numFmtId="41" fontId="112" fillId="4" borderId="60" xfId="0" applyNumberFormat="1" applyFont="1" applyFill="1" applyBorder="1">
      <alignment vertical="center"/>
    </xf>
    <xf numFmtId="9" fontId="159" fillId="0" borderId="0" xfId="0" applyNumberFormat="1" applyFont="1">
      <alignment vertical="center"/>
    </xf>
    <xf numFmtId="41" fontId="159" fillId="0" borderId="0" xfId="0" applyNumberFormat="1" applyFont="1">
      <alignment vertical="center"/>
    </xf>
    <xf numFmtId="0" fontId="110" fillId="4" borderId="73" xfId="0" applyFont="1" applyFill="1" applyBorder="1" applyAlignment="1">
      <alignment horizontal="center" vertical="center"/>
    </xf>
    <xf numFmtId="9" fontId="110" fillId="4" borderId="59" xfId="0" applyNumberFormat="1" applyFont="1" applyFill="1" applyBorder="1" applyAlignment="1">
      <alignment horizontal="center" vertical="center"/>
    </xf>
    <xf numFmtId="192" fontId="110" fillId="4" borderId="91" xfId="0" applyNumberFormat="1" applyFont="1" applyFill="1" applyBorder="1" applyAlignment="1">
      <alignment horizontal="center" vertical="center"/>
    </xf>
    <xf numFmtId="187" fontId="110" fillId="3" borderId="13" xfId="0" applyNumberFormat="1" applyFont="1" applyFill="1" applyBorder="1">
      <alignment vertical="center"/>
    </xf>
    <xf numFmtId="187" fontId="110" fillId="3" borderId="66" xfId="0" applyNumberFormat="1" applyFont="1" applyFill="1" applyBorder="1">
      <alignment vertical="center"/>
    </xf>
    <xf numFmtId="187" fontId="110" fillId="3" borderId="46" xfId="0" applyNumberFormat="1" applyFont="1" applyFill="1" applyBorder="1">
      <alignment vertical="center"/>
    </xf>
    <xf numFmtId="187" fontId="110" fillId="3" borderId="59" xfId="0" applyNumberFormat="1" applyFont="1" applyFill="1" applyBorder="1">
      <alignment vertical="center"/>
    </xf>
    <xf numFmtId="187" fontId="110" fillId="3" borderId="68" xfId="0" applyNumberFormat="1" applyFont="1" applyFill="1" applyBorder="1">
      <alignment vertical="center"/>
    </xf>
    <xf numFmtId="187" fontId="113" fillId="3" borderId="73" xfId="0" applyNumberFormat="1" applyFont="1" applyFill="1" applyBorder="1">
      <alignment vertical="center"/>
    </xf>
    <xf numFmtId="187" fontId="113" fillId="3" borderId="59" xfId="0" applyNumberFormat="1" applyFont="1" applyFill="1" applyBorder="1">
      <alignment vertical="center"/>
    </xf>
    <xf numFmtId="187" fontId="113" fillId="3" borderId="46" xfId="0" applyNumberFormat="1" applyFont="1" applyFill="1" applyBorder="1">
      <alignment vertical="center"/>
    </xf>
    <xf numFmtId="187" fontId="113" fillId="3" borderId="13" xfId="0" applyNumberFormat="1" applyFont="1" applyFill="1" applyBorder="1">
      <alignment vertical="center"/>
    </xf>
    <xf numFmtId="41" fontId="113" fillId="4" borderId="66" xfId="0" applyNumberFormat="1" applyFont="1" applyFill="1" applyBorder="1">
      <alignment vertical="center"/>
    </xf>
    <xf numFmtId="41" fontId="112" fillId="4" borderId="46" xfId="0" applyNumberFormat="1" applyFont="1" applyFill="1" applyBorder="1">
      <alignment vertical="center"/>
    </xf>
    <xf numFmtId="0" fontId="112" fillId="4" borderId="73" xfId="0" applyFont="1" applyFill="1" applyBorder="1" applyAlignment="1">
      <alignment horizontal="left" vertical="center" indent="1"/>
    </xf>
    <xf numFmtId="41" fontId="112" fillId="4" borderId="67" xfId="0" applyNumberFormat="1" applyFont="1" applyFill="1" applyBorder="1">
      <alignment vertical="center"/>
    </xf>
    <xf numFmtId="41" fontId="112" fillId="4" borderId="20" xfId="0" applyNumberFormat="1" applyFont="1" applyFill="1" applyBorder="1">
      <alignment vertical="center"/>
    </xf>
    <xf numFmtId="41" fontId="114" fillId="4" borderId="17" xfId="0" applyNumberFormat="1" applyFont="1" applyFill="1" applyBorder="1">
      <alignment vertical="center"/>
    </xf>
    <xf numFmtId="41" fontId="114" fillId="4" borderId="18" xfId="0" applyNumberFormat="1" applyFont="1" applyFill="1" applyBorder="1">
      <alignment vertical="center"/>
    </xf>
    <xf numFmtId="41" fontId="114" fillId="4" borderId="19" xfId="0" applyNumberFormat="1" applyFont="1" applyFill="1" applyBorder="1">
      <alignment vertical="center"/>
    </xf>
    <xf numFmtId="41" fontId="114" fillId="4" borderId="67" xfId="0" applyNumberFormat="1" applyFont="1" applyFill="1" applyBorder="1">
      <alignment vertical="center"/>
    </xf>
    <xf numFmtId="41" fontId="115" fillId="0" borderId="0" xfId="0" applyNumberFormat="1" applyFont="1">
      <alignment vertical="center"/>
    </xf>
    <xf numFmtId="182" fontId="113" fillId="3" borderId="0" xfId="0" applyNumberFormat="1" applyFont="1" applyFill="1" applyAlignment="1">
      <alignment horizontal="center" vertical="center"/>
    </xf>
    <xf numFmtId="182" fontId="160" fillId="3" borderId="0" xfId="0" applyNumberFormat="1" applyFont="1" applyFill="1" applyAlignment="1">
      <alignment horizontal="left" vertical="center"/>
    </xf>
    <xf numFmtId="179" fontId="132" fillId="0" borderId="0" xfId="0" applyNumberFormat="1" applyFont="1" applyAlignment="1">
      <alignment horizontal="right" vertical="center"/>
    </xf>
    <xf numFmtId="9" fontId="110" fillId="3" borderId="0" xfId="0" applyNumberFormat="1" applyFont="1" applyFill="1">
      <alignment vertical="center"/>
    </xf>
    <xf numFmtId="187" fontId="110" fillId="3" borderId="0" xfId="0" applyNumberFormat="1" applyFont="1" applyFill="1">
      <alignment vertical="center"/>
    </xf>
    <xf numFmtId="3" fontId="110" fillId="3" borderId="0" xfId="0" applyNumberFormat="1" applyFont="1" applyFill="1">
      <alignment vertical="center"/>
    </xf>
    <xf numFmtId="43" fontId="113" fillId="3" borderId="0" xfId="0" applyNumberFormat="1" applyFont="1" applyFill="1">
      <alignment vertical="center"/>
    </xf>
    <xf numFmtId="211" fontId="113" fillId="3" borderId="0" xfId="0" applyNumberFormat="1" applyFont="1" applyFill="1">
      <alignment vertical="center"/>
    </xf>
    <xf numFmtId="201" fontId="110" fillId="0" borderId="0" xfId="0" applyNumberFormat="1" applyFont="1">
      <alignment vertical="center"/>
    </xf>
    <xf numFmtId="182" fontId="114" fillId="0" borderId="0" xfId="0" applyNumberFormat="1" applyFont="1" applyAlignment="1">
      <alignment horizontal="center" vertical="center"/>
    </xf>
    <xf numFmtId="182" fontId="161" fillId="0" borderId="0" xfId="0" applyNumberFormat="1" applyFont="1" applyAlignment="1">
      <alignment horizontal="left" vertical="center"/>
    </xf>
    <xf numFmtId="9" fontId="132" fillId="0" borderId="0" xfId="0" applyNumberFormat="1" applyFont="1" applyAlignment="1">
      <alignment horizontal="right" vertical="center"/>
    </xf>
    <xf numFmtId="180" fontId="110" fillId="0" borderId="0" xfId="0" applyNumberFormat="1" applyFont="1">
      <alignment vertical="center"/>
    </xf>
    <xf numFmtId="187" fontId="110" fillId="0" borderId="0" xfId="0" applyNumberFormat="1" applyFont="1">
      <alignment vertical="center"/>
    </xf>
    <xf numFmtId="187" fontId="113" fillId="0" borderId="0" xfId="0" applyNumberFormat="1" applyFont="1">
      <alignment vertical="center"/>
    </xf>
    <xf numFmtId="187" fontId="115" fillId="0" borderId="0" xfId="0" applyNumberFormat="1" applyFont="1">
      <alignment vertical="center"/>
    </xf>
    <xf numFmtId="182" fontId="112" fillId="4" borderId="17" xfId="0" applyNumberFormat="1" applyFont="1" applyFill="1" applyBorder="1" applyAlignment="1">
      <alignment horizontal="center" vertical="center"/>
    </xf>
    <xf numFmtId="182" fontId="114" fillId="4" borderId="19" xfId="0" applyNumberFormat="1" applyFont="1" applyFill="1" applyBorder="1" applyAlignment="1">
      <alignment horizontal="center" vertical="center"/>
    </xf>
    <xf numFmtId="0" fontId="112" fillId="4" borderId="20" xfId="0" applyFont="1" applyFill="1" applyBorder="1" applyAlignment="1">
      <alignment horizontal="center" vertical="center"/>
    </xf>
    <xf numFmtId="0" fontId="110" fillId="4" borderId="1" xfId="0" applyFont="1" applyFill="1" applyBorder="1" applyAlignment="1">
      <alignment horizontal="center" vertical="center"/>
    </xf>
    <xf numFmtId="9" fontId="110" fillId="4" borderId="1" xfId="0" applyNumberFormat="1" applyFont="1" applyFill="1" applyBorder="1" applyAlignment="1">
      <alignment horizontal="center" vertical="center"/>
    </xf>
    <xf numFmtId="192" fontId="110" fillId="4" borderId="69" xfId="0" applyNumberFormat="1" applyFont="1" applyFill="1" applyBorder="1" applyAlignment="1">
      <alignment horizontal="center" vertical="center"/>
    </xf>
    <xf numFmtId="187" fontId="110" fillId="3" borderId="10" xfId="0" applyNumberFormat="1" applyFont="1" applyFill="1" applyBorder="1">
      <alignment vertical="center"/>
    </xf>
    <xf numFmtId="187" fontId="110" fillId="3" borderId="1" xfId="0" applyNumberFormat="1" applyFont="1" applyFill="1" applyBorder="1">
      <alignment vertical="center"/>
    </xf>
    <xf numFmtId="187" fontId="110" fillId="3" borderId="8" xfId="0" applyNumberFormat="1" applyFont="1" applyFill="1" applyBorder="1">
      <alignment vertical="center"/>
    </xf>
    <xf numFmtId="187" fontId="110" fillId="3" borderId="55" xfId="0" applyNumberFormat="1" applyFont="1" applyFill="1" applyBorder="1">
      <alignment vertical="center"/>
    </xf>
    <xf numFmtId="187" fontId="110" fillId="3" borderId="69" xfId="0" applyNumberFormat="1" applyFont="1" applyFill="1" applyBorder="1">
      <alignment vertical="center"/>
    </xf>
    <xf numFmtId="187" fontId="113" fillId="3" borderId="10" xfId="0" applyNumberFormat="1" applyFont="1" applyFill="1" applyBorder="1">
      <alignment vertical="center"/>
    </xf>
    <xf numFmtId="187" fontId="113" fillId="3" borderId="1" xfId="0" applyNumberFormat="1" applyFont="1" applyFill="1" applyBorder="1">
      <alignment vertical="center"/>
    </xf>
    <xf numFmtId="187" fontId="113" fillId="3" borderId="8" xfId="0" applyNumberFormat="1" applyFont="1" applyFill="1" applyBorder="1">
      <alignment vertical="center"/>
    </xf>
    <xf numFmtId="187" fontId="113" fillId="3" borderId="55" xfId="0" applyNumberFormat="1" applyFont="1" applyFill="1" applyBorder="1">
      <alignment vertical="center"/>
    </xf>
    <xf numFmtId="187" fontId="113" fillId="3" borderId="69" xfId="0" applyNumberFormat="1" applyFont="1" applyFill="1" applyBorder="1">
      <alignment vertical="center"/>
    </xf>
    <xf numFmtId="41" fontId="113" fillId="4" borderId="10" xfId="0" applyNumberFormat="1" applyFont="1" applyFill="1" applyBorder="1">
      <alignment vertical="center"/>
    </xf>
    <xf numFmtId="41" fontId="112" fillId="4" borderId="69" xfId="0" applyNumberFormat="1" applyFont="1" applyFill="1" applyBorder="1">
      <alignment vertical="center"/>
    </xf>
    <xf numFmtId="0" fontId="110" fillId="4" borderId="5" xfId="0" applyFont="1" applyFill="1" applyBorder="1" applyAlignment="1">
      <alignment horizontal="center" vertical="center"/>
    </xf>
    <xf numFmtId="9" fontId="110" fillId="4" borderId="5" xfId="0" applyNumberFormat="1" applyFont="1" applyFill="1" applyBorder="1" applyAlignment="1">
      <alignment horizontal="center" vertical="center"/>
    </xf>
    <xf numFmtId="192" fontId="110" fillId="4" borderId="47" xfId="0" applyNumberFormat="1" applyFont="1" applyFill="1" applyBorder="1" applyAlignment="1">
      <alignment horizontal="center" vertical="center"/>
    </xf>
    <xf numFmtId="187" fontId="110" fillId="3" borderId="56" xfId="0" applyNumberFormat="1" applyFont="1" applyFill="1" applyBorder="1">
      <alignment vertical="center"/>
    </xf>
    <xf numFmtId="187" fontId="110" fillId="3" borderId="5" xfId="0" applyNumberFormat="1" applyFont="1" applyFill="1" applyBorder="1">
      <alignment vertical="center"/>
    </xf>
    <xf numFmtId="187" fontId="110" fillId="3" borderId="42" xfId="0" applyNumberFormat="1" applyFont="1" applyFill="1" applyBorder="1">
      <alignment vertical="center"/>
    </xf>
    <xf numFmtId="187" fontId="110" fillId="3" borderId="35" xfId="0" applyNumberFormat="1" applyFont="1" applyFill="1" applyBorder="1">
      <alignment vertical="center"/>
    </xf>
    <xf numFmtId="187" fontId="110" fillId="3" borderId="47" xfId="0" applyNumberFormat="1" applyFont="1" applyFill="1" applyBorder="1">
      <alignment vertical="center"/>
    </xf>
    <xf numFmtId="187" fontId="113" fillId="3" borderId="56" xfId="0" applyNumberFormat="1" applyFont="1" applyFill="1" applyBorder="1">
      <alignment vertical="center"/>
    </xf>
    <xf numFmtId="187" fontId="113" fillId="3" borderId="5" xfId="0" applyNumberFormat="1" applyFont="1" applyFill="1" applyBorder="1">
      <alignment vertical="center"/>
    </xf>
    <xf numFmtId="187" fontId="113" fillId="3" borderId="42" xfId="0" applyNumberFormat="1" applyFont="1" applyFill="1" applyBorder="1">
      <alignment vertical="center"/>
    </xf>
    <xf numFmtId="187" fontId="113" fillId="3" borderId="35" xfId="0" applyNumberFormat="1" applyFont="1" applyFill="1" applyBorder="1">
      <alignment vertical="center"/>
    </xf>
    <xf numFmtId="187" fontId="113" fillId="3" borderId="47" xfId="0" applyNumberFormat="1" applyFont="1" applyFill="1" applyBorder="1">
      <alignment vertical="center"/>
    </xf>
    <xf numFmtId="41" fontId="113" fillId="4" borderId="56" xfId="0" applyNumberFormat="1" applyFont="1" applyFill="1" applyBorder="1">
      <alignment vertical="center"/>
    </xf>
    <xf numFmtId="41" fontId="112" fillId="4" borderId="47" xfId="0" applyNumberFormat="1" applyFont="1" applyFill="1" applyBorder="1">
      <alignment vertical="center"/>
    </xf>
    <xf numFmtId="0" fontId="112" fillId="4" borderId="28" xfId="0" applyFont="1" applyFill="1" applyBorder="1" applyAlignment="1">
      <alignment horizontal="center" vertical="center"/>
    </xf>
    <xf numFmtId="9" fontId="112" fillId="4" borderId="28" xfId="0" applyNumberFormat="1" applyFont="1" applyFill="1" applyBorder="1" applyAlignment="1">
      <alignment horizontal="center" vertical="center"/>
    </xf>
    <xf numFmtId="192" fontId="112" fillId="4" borderId="33" xfId="0" applyNumberFormat="1" applyFont="1" applyFill="1" applyBorder="1" applyAlignment="1">
      <alignment horizontal="center" vertical="center"/>
    </xf>
    <xf numFmtId="187" fontId="112" fillId="3" borderId="62" xfId="0" applyNumberFormat="1" applyFont="1" applyFill="1" applyBorder="1">
      <alignment vertical="center"/>
    </xf>
    <xf numFmtId="187" fontId="112" fillId="3" borderId="28" xfId="0" applyNumberFormat="1" applyFont="1" applyFill="1" applyBorder="1">
      <alignment vertical="center"/>
    </xf>
    <xf numFmtId="187" fontId="112" fillId="3" borderId="48" xfId="0" applyNumberFormat="1" applyFont="1" applyFill="1" applyBorder="1">
      <alignment vertical="center"/>
    </xf>
    <xf numFmtId="187" fontId="112" fillId="3" borderId="12" xfId="0" applyNumberFormat="1" applyFont="1" applyFill="1" applyBorder="1">
      <alignment vertical="center"/>
    </xf>
    <xf numFmtId="187" fontId="112" fillId="3" borderId="33" xfId="0" applyNumberFormat="1" applyFont="1" applyFill="1" applyBorder="1">
      <alignment vertical="center"/>
    </xf>
    <xf numFmtId="187" fontId="114" fillId="3" borderId="62" xfId="0" applyNumberFormat="1" applyFont="1" applyFill="1" applyBorder="1">
      <alignment vertical="center"/>
    </xf>
    <xf numFmtId="187" fontId="114" fillId="3" borderId="28" xfId="0" applyNumberFormat="1" applyFont="1" applyFill="1" applyBorder="1">
      <alignment vertical="center"/>
    </xf>
    <xf numFmtId="187" fontId="114" fillId="3" borderId="48" xfId="0" applyNumberFormat="1" applyFont="1" applyFill="1" applyBorder="1">
      <alignment vertical="center"/>
    </xf>
    <xf numFmtId="187" fontId="114" fillId="3" borderId="12" xfId="0" applyNumberFormat="1" applyFont="1" applyFill="1" applyBorder="1">
      <alignment vertical="center"/>
    </xf>
    <xf numFmtId="187" fontId="114" fillId="3" borderId="33" xfId="0" applyNumberFormat="1" applyFont="1" applyFill="1" applyBorder="1">
      <alignment vertical="center"/>
    </xf>
    <xf numFmtId="41" fontId="114" fillId="4" borderId="62" xfId="0" applyNumberFormat="1" applyFont="1" applyFill="1" applyBorder="1">
      <alignment vertical="center"/>
    </xf>
    <xf numFmtId="41" fontId="112" fillId="4" borderId="33" xfId="0" applyNumberFormat="1" applyFont="1" applyFill="1" applyBorder="1">
      <alignment vertical="center"/>
    </xf>
    <xf numFmtId="182" fontId="113" fillId="4" borderId="64" xfId="0" applyNumberFormat="1" applyFont="1" applyFill="1" applyBorder="1" applyAlignment="1">
      <alignment horizontal="center" vertical="top"/>
    </xf>
    <xf numFmtId="0" fontId="112" fillId="4" borderId="61" xfId="0" applyFont="1" applyFill="1" applyBorder="1" applyAlignment="1">
      <alignment horizontal="center" vertical="center"/>
    </xf>
    <xf numFmtId="9" fontId="112" fillId="4" borderId="61" xfId="0" applyNumberFormat="1" applyFont="1" applyFill="1" applyBorder="1" applyAlignment="1">
      <alignment horizontal="center" vertical="center"/>
    </xf>
    <xf numFmtId="192" fontId="112" fillId="4" borderId="34" xfId="0" applyNumberFormat="1" applyFont="1" applyFill="1" applyBorder="1" applyAlignment="1">
      <alignment horizontal="center" vertical="center"/>
    </xf>
    <xf numFmtId="187" fontId="112" fillId="3" borderId="72" xfId="0" applyNumberFormat="1" applyFont="1" applyFill="1" applyBorder="1">
      <alignment vertical="center"/>
    </xf>
    <xf numFmtId="187" fontId="112" fillId="3" borderId="61" xfId="0" applyNumberFormat="1" applyFont="1" applyFill="1" applyBorder="1">
      <alignment vertical="center"/>
    </xf>
    <xf numFmtId="187" fontId="112" fillId="0" borderId="63" xfId="0" applyNumberFormat="1" applyFont="1" applyBorder="1">
      <alignment vertical="center"/>
    </xf>
    <xf numFmtId="187" fontId="112" fillId="3" borderId="64" xfId="0" applyNumberFormat="1" applyFont="1" applyFill="1" applyBorder="1">
      <alignment vertical="center"/>
    </xf>
    <xf numFmtId="187" fontId="112" fillId="3" borderId="34" xfId="0" applyNumberFormat="1" applyFont="1" applyFill="1" applyBorder="1">
      <alignment vertical="center"/>
    </xf>
    <xf numFmtId="187" fontId="114" fillId="3" borderId="72" xfId="0" applyNumberFormat="1" applyFont="1" applyFill="1" applyBorder="1">
      <alignment vertical="center"/>
    </xf>
    <xf numFmtId="187" fontId="114" fillId="3" borderId="61" xfId="0" applyNumberFormat="1" applyFont="1" applyFill="1" applyBorder="1">
      <alignment vertical="center"/>
    </xf>
    <xf numFmtId="187" fontId="114" fillId="3" borderId="63" xfId="0" applyNumberFormat="1" applyFont="1" applyFill="1" applyBorder="1">
      <alignment vertical="center"/>
    </xf>
    <xf numFmtId="187" fontId="114" fillId="3" borderId="64" xfId="0" applyNumberFormat="1" applyFont="1" applyFill="1" applyBorder="1">
      <alignment vertical="center"/>
    </xf>
    <xf numFmtId="187" fontId="114" fillId="3" borderId="34" xfId="0" applyNumberFormat="1" applyFont="1" applyFill="1" applyBorder="1">
      <alignment vertical="center"/>
    </xf>
    <xf numFmtId="41" fontId="114" fillId="4" borderId="72" xfId="0" applyNumberFormat="1" applyFont="1" applyFill="1" applyBorder="1">
      <alignment vertical="center"/>
    </xf>
    <xf numFmtId="41" fontId="112" fillId="4" borderId="34" xfId="0" applyNumberFormat="1" applyFont="1" applyFill="1" applyBorder="1">
      <alignment vertical="center"/>
    </xf>
    <xf numFmtId="182" fontId="113" fillId="4" borderId="17" xfId="0" applyNumberFormat="1" applyFont="1" applyFill="1" applyBorder="1" applyAlignment="1">
      <alignment vertical="top"/>
    </xf>
    <xf numFmtId="9" fontId="112" fillId="4" borderId="18" xfId="0" applyNumberFormat="1" applyFont="1" applyFill="1" applyBorder="1" applyAlignment="1">
      <alignment horizontal="center" vertical="center"/>
    </xf>
    <xf numFmtId="192" fontId="112" fillId="4" borderId="19" xfId="0" applyNumberFormat="1" applyFont="1" applyFill="1" applyBorder="1" applyAlignment="1">
      <alignment horizontal="center" vertical="center"/>
    </xf>
    <xf numFmtId="187" fontId="112" fillId="2" borderId="67" xfId="0" applyNumberFormat="1" applyFont="1" applyFill="1" applyBorder="1">
      <alignment vertical="center"/>
    </xf>
    <xf numFmtId="187" fontId="112" fillId="2" borderId="18" xfId="0" applyNumberFormat="1" applyFont="1" applyFill="1" applyBorder="1">
      <alignment vertical="center"/>
    </xf>
    <xf numFmtId="41" fontId="112" fillId="2" borderId="20" xfId="0" applyNumberFormat="1" applyFont="1" applyFill="1" applyBorder="1">
      <alignment vertical="center"/>
    </xf>
    <xf numFmtId="41" fontId="112" fillId="2" borderId="17" xfId="0" applyNumberFormat="1" applyFont="1" applyFill="1" applyBorder="1">
      <alignment vertical="center"/>
    </xf>
    <xf numFmtId="41" fontId="112" fillId="2" borderId="18" xfId="0" applyNumberFormat="1" applyFont="1" applyFill="1" applyBorder="1">
      <alignment vertical="center"/>
    </xf>
    <xf numFmtId="41" fontId="112" fillId="2" borderId="19" xfId="0" applyNumberFormat="1" applyFont="1" applyFill="1" applyBorder="1">
      <alignment vertical="center"/>
    </xf>
    <xf numFmtId="41" fontId="114" fillId="2" borderId="67" xfId="0" applyNumberFormat="1" applyFont="1" applyFill="1" applyBorder="1">
      <alignment vertical="center"/>
    </xf>
    <xf numFmtId="41" fontId="114" fillId="2" borderId="18" xfId="0" applyNumberFormat="1" applyFont="1" applyFill="1" applyBorder="1">
      <alignment vertical="center"/>
    </xf>
    <xf numFmtId="41" fontId="114" fillId="2" borderId="20" xfId="0" applyNumberFormat="1" applyFont="1" applyFill="1" applyBorder="1">
      <alignment vertical="center"/>
    </xf>
    <xf numFmtId="41" fontId="114" fillId="2" borderId="17" xfId="0" applyNumberFormat="1" applyFont="1" applyFill="1" applyBorder="1">
      <alignment vertical="center"/>
    </xf>
    <xf numFmtId="41" fontId="114" fillId="2" borderId="19" xfId="0" applyNumberFormat="1" applyFont="1" applyFill="1" applyBorder="1">
      <alignment vertical="center"/>
    </xf>
    <xf numFmtId="0" fontId="114" fillId="0" borderId="0" xfId="0" applyFont="1" applyAlignment="1">
      <alignment horizontal="center" vertical="top"/>
    </xf>
    <xf numFmtId="0" fontId="112" fillId="0" borderId="0" xfId="0" applyFont="1" applyAlignment="1">
      <alignment horizontal="center" vertical="center"/>
    </xf>
    <xf numFmtId="9" fontId="112" fillId="0" borderId="0" xfId="0" applyNumberFormat="1" applyFont="1" applyAlignment="1">
      <alignment horizontal="center" vertical="center"/>
    </xf>
    <xf numFmtId="192" fontId="112" fillId="0" borderId="0" xfId="0" applyNumberFormat="1" applyFont="1" applyAlignment="1">
      <alignment horizontal="center" vertical="center"/>
    </xf>
    <xf numFmtId="187" fontId="112" fillId="0" borderId="0" xfId="0" applyNumberFormat="1" applyFont="1">
      <alignment vertical="center"/>
    </xf>
    <xf numFmtId="41" fontId="112" fillId="0" borderId="0" xfId="0" applyNumberFormat="1" applyFont="1">
      <alignment vertical="center"/>
    </xf>
    <xf numFmtId="41" fontId="114" fillId="0" borderId="0" xfId="0" applyNumberFormat="1" applyFont="1">
      <alignment vertical="center"/>
    </xf>
    <xf numFmtId="0" fontId="133" fillId="0" borderId="0" xfId="0" applyFont="1" applyAlignment="1">
      <alignment horizontal="left" vertical="top"/>
    </xf>
    <xf numFmtId="0" fontId="133" fillId="0" borderId="107" xfId="0" applyFont="1" applyBorder="1" applyAlignment="1">
      <alignment horizontal="left" vertical="top"/>
    </xf>
    <xf numFmtId="182" fontId="113" fillId="0" borderId="107" xfId="0" applyNumberFormat="1" applyFont="1" applyBorder="1" applyAlignment="1">
      <alignment vertical="top"/>
    </xf>
    <xf numFmtId="0" fontId="112" fillId="0" borderId="107" xfId="0" applyFont="1" applyBorder="1" applyAlignment="1">
      <alignment horizontal="center" vertical="center"/>
    </xf>
    <xf numFmtId="9" fontId="112" fillId="0" borderId="107" xfId="0" applyNumberFormat="1" applyFont="1" applyBorder="1" applyAlignment="1">
      <alignment horizontal="center" vertical="center"/>
    </xf>
    <xf numFmtId="192" fontId="112" fillId="0" borderId="107" xfId="0" applyNumberFormat="1" applyFont="1" applyBorder="1" applyAlignment="1">
      <alignment horizontal="center" vertical="center"/>
    </xf>
    <xf numFmtId="187" fontId="112" fillId="0" borderId="107" xfId="0" applyNumberFormat="1" applyFont="1" applyBorder="1">
      <alignment vertical="center"/>
    </xf>
    <xf numFmtId="41" fontId="112" fillId="0" borderId="107" xfId="0" applyNumberFormat="1" applyFont="1" applyBorder="1">
      <alignment vertical="center"/>
    </xf>
    <xf numFmtId="41" fontId="114" fillId="0" borderId="107" xfId="0" applyNumberFormat="1" applyFont="1" applyBorder="1">
      <alignment vertical="center"/>
    </xf>
    <xf numFmtId="0" fontId="154" fillId="0" borderId="0" xfId="0" applyFont="1" applyAlignment="1">
      <alignment horizontal="left" vertical="center" indent="1"/>
    </xf>
    <xf numFmtId="182" fontId="110" fillId="0" borderId="0" xfId="0" applyNumberFormat="1" applyFont="1" applyAlignment="1">
      <alignment horizontal="center" vertical="center"/>
    </xf>
    <xf numFmtId="185" fontId="154" fillId="0" borderId="0" xfId="0" applyNumberFormat="1" applyFont="1" applyAlignment="1">
      <alignment horizontal="left" vertical="center" indent="1"/>
    </xf>
    <xf numFmtId="185" fontId="156" fillId="0" borderId="0" xfId="0" applyNumberFormat="1" applyFont="1" applyAlignment="1">
      <alignment horizontal="left" vertical="center" indent="1"/>
    </xf>
    <xf numFmtId="3" fontId="110" fillId="0" borderId="0" xfId="0" applyNumberFormat="1" applyFont="1">
      <alignment vertical="center"/>
    </xf>
    <xf numFmtId="9" fontId="110" fillId="0" borderId="0" xfId="0" applyNumberFormat="1" applyFont="1">
      <alignment vertical="center"/>
    </xf>
    <xf numFmtId="0" fontId="114" fillId="4" borderId="13" xfId="0" applyFont="1" applyFill="1" applyBorder="1" applyAlignment="1">
      <alignment vertical="top"/>
    </xf>
    <xf numFmtId="0" fontId="110" fillId="4" borderId="68" xfId="0" applyFont="1" applyFill="1" applyBorder="1" applyAlignment="1">
      <alignment horizontal="center" vertical="center"/>
    </xf>
    <xf numFmtId="0" fontId="114" fillId="0" borderId="50" xfId="0" applyFont="1" applyBorder="1" applyAlignment="1">
      <alignment vertical="top"/>
    </xf>
    <xf numFmtId="0" fontId="110" fillId="0" borderId="50" xfId="0" applyFont="1" applyBorder="1" applyAlignment="1">
      <alignment horizontal="center" vertical="center"/>
    </xf>
    <xf numFmtId="9" fontId="110" fillId="0" borderId="50" xfId="0" applyNumberFormat="1" applyFont="1" applyBorder="1" applyAlignment="1">
      <alignment horizontal="center" vertical="center"/>
    </xf>
    <xf numFmtId="192" fontId="110" fillId="0" borderId="50" xfId="0" applyNumberFormat="1" applyFont="1" applyBorder="1" applyAlignment="1">
      <alignment horizontal="center" vertical="center"/>
    </xf>
    <xf numFmtId="187" fontId="110" fillId="0" borderId="50" xfId="0" applyNumberFormat="1" applyFont="1" applyBorder="1">
      <alignment vertical="center"/>
    </xf>
    <xf numFmtId="187" fontId="113" fillId="0" borderId="50" xfId="0" applyNumberFormat="1" applyFont="1" applyBorder="1">
      <alignment vertical="center"/>
    </xf>
    <xf numFmtId="41" fontId="113" fillId="0" borderId="50" xfId="0" applyNumberFormat="1" applyFont="1" applyBorder="1">
      <alignment vertical="center"/>
    </xf>
    <xf numFmtId="41" fontId="112" fillId="0" borderId="50" xfId="0" applyNumberFormat="1" applyFont="1" applyBorder="1">
      <alignment vertical="center"/>
    </xf>
    <xf numFmtId="0" fontId="133" fillId="0" borderId="0" xfId="0" applyFont="1" applyAlignment="1">
      <alignment vertical="top"/>
    </xf>
    <xf numFmtId="9" fontId="110" fillId="0" borderId="0" xfId="0" applyNumberFormat="1" applyFont="1" applyAlignment="1">
      <alignment horizontal="center" vertical="center"/>
    </xf>
    <xf numFmtId="192" fontId="110" fillId="0" borderId="0" xfId="0" applyNumberFormat="1" applyFont="1" applyAlignment="1">
      <alignment horizontal="center" vertical="center"/>
    </xf>
    <xf numFmtId="41" fontId="113" fillId="0" borderId="0" xfId="0" applyNumberFormat="1" applyFont="1">
      <alignment vertical="center"/>
    </xf>
    <xf numFmtId="182" fontId="112" fillId="4" borderId="67" xfId="0" applyNumberFormat="1" applyFont="1" applyFill="1" applyBorder="1" applyAlignment="1">
      <alignment horizontal="center" vertical="center"/>
    </xf>
    <xf numFmtId="0" fontId="110" fillId="4" borderId="20" xfId="0" applyFont="1" applyFill="1" applyBorder="1" applyAlignment="1">
      <alignment horizontal="center" vertical="center"/>
    </xf>
    <xf numFmtId="41" fontId="113" fillId="4" borderId="17" xfId="0" applyNumberFormat="1" applyFont="1" applyFill="1" applyBorder="1">
      <alignment vertical="center"/>
    </xf>
    <xf numFmtId="0" fontId="114" fillId="4" borderId="14" xfId="0" applyFont="1" applyFill="1" applyBorder="1" applyAlignment="1">
      <alignment horizontal="center" vertical="top"/>
    </xf>
    <xf numFmtId="182" fontId="113" fillId="4" borderId="26" xfId="0" applyNumberFormat="1" applyFont="1" applyFill="1" applyBorder="1" applyAlignment="1">
      <alignment horizontal="center" vertical="top"/>
    </xf>
    <xf numFmtId="0" fontId="110" fillId="4" borderId="65" xfId="0" applyFont="1" applyFill="1" applyBorder="1" applyAlignment="1">
      <alignment horizontal="center" vertical="center"/>
    </xf>
    <xf numFmtId="187" fontId="110" fillId="0" borderId="60" xfId="0" applyNumberFormat="1" applyFont="1" applyBorder="1">
      <alignment vertical="center"/>
    </xf>
    <xf numFmtId="0" fontId="114" fillId="4" borderId="108" xfId="0" applyFont="1" applyFill="1" applyBorder="1" applyAlignment="1">
      <alignment vertical="top"/>
    </xf>
    <xf numFmtId="182" fontId="113" fillId="4" borderId="10" xfId="0" applyNumberFormat="1" applyFont="1" applyFill="1" applyBorder="1" applyAlignment="1">
      <alignment vertical="top"/>
    </xf>
    <xf numFmtId="0" fontId="110" fillId="4" borderId="8" xfId="0" applyFont="1" applyFill="1" applyBorder="1" applyAlignment="1">
      <alignment horizontal="center" vertical="center"/>
    </xf>
    <xf numFmtId="192" fontId="110" fillId="4" borderId="24" xfId="0" applyNumberFormat="1" applyFont="1" applyFill="1" applyBorder="1" applyAlignment="1">
      <alignment horizontal="center" vertical="center"/>
    </xf>
    <xf numFmtId="187" fontId="110" fillId="0" borderId="69" xfId="0" applyNumberFormat="1" applyFont="1" applyBorder="1">
      <alignment vertical="center"/>
    </xf>
    <xf numFmtId="0" fontId="114" fillId="4" borderId="73" xfId="0" applyFont="1" applyFill="1" applyBorder="1" applyAlignment="1">
      <alignment horizontal="center" vertical="top"/>
    </xf>
    <xf numFmtId="182" fontId="113" fillId="4" borderId="15" xfId="0" applyNumberFormat="1" applyFont="1" applyFill="1" applyBorder="1" applyAlignment="1">
      <alignment horizontal="center" vertical="top"/>
    </xf>
    <xf numFmtId="0" fontId="110" fillId="4" borderId="45" xfId="0" applyFont="1" applyFill="1" applyBorder="1" applyAlignment="1">
      <alignment horizontal="center" vertical="center"/>
    </xf>
    <xf numFmtId="9" fontId="110" fillId="4" borderId="45" xfId="0" applyNumberFormat="1" applyFont="1" applyFill="1" applyBorder="1" applyAlignment="1">
      <alignment horizontal="center" vertical="center"/>
    </xf>
    <xf numFmtId="192" fontId="110" fillId="4" borderId="16" xfId="0" applyNumberFormat="1" applyFont="1" applyFill="1" applyBorder="1" applyAlignment="1">
      <alignment horizontal="center" vertical="center"/>
    </xf>
    <xf numFmtId="187" fontId="110" fillId="2" borderId="17" xfId="0" applyNumberFormat="1" applyFont="1" applyFill="1" applyBorder="1">
      <alignment vertical="center"/>
    </xf>
    <xf numFmtId="187" fontId="110" fillId="2" borderId="18" xfId="0" applyNumberFormat="1" applyFont="1" applyFill="1" applyBorder="1">
      <alignment vertical="center"/>
    </xf>
    <xf numFmtId="187" fontId="110" fillId="2" borderId="19" xfId="0" applyNumberFormat="1" applyFont="1" applyFill="1" applyBorder="1">
      <alignment vertical="center"/>
    </xf>
    <xf numFmtId="187" fontId="110" fillId="2" borderId="67" xfId="0" applyNumberFormat="1" applyFont="1" applyFill="1" applyBorder="1">
      <alignment vertical="center"/>
    </xf>
    <xf numFmtId="187" fontId="110" fillId="2" borderId="20" xfId="0" applyNumberFormat="1" applyFont="1" applyFill="1" applyBorder="1">
      <alignment vertical="center"/>
    </xf>
    <xf numFmtId="187" fontId="113" fillId="2" borderId="17" xfId="0" applyNumberFormat="1" applyFont="1" applyFill="1" applyBorder="1">
      <alignment vertical="center"/>
    </xf>
    <xf numFmtId="187" fontId="113" fillId="2" borderId="18" xfId="0" applyNumberFormat="1" applyFont="1" applyFill="1" applyBorder="1">
      <alignment vertical="center"/>
    </xf>
    <xf numFmtId="187" fontId="113" fillId="2" borderId="19" xfId="0" applyNumberFormat="1" applyFont="1" applyFill="1" applyBorder="1">
      <alignment vertical="center"/>
    </xf>
    <xf numFmtId="0" fontId="158" fillId="0" borderId="0" xfId="0" applyFont="1" applyAlignment="1">
      <alignment horizontal="left" vertical="center"/>
    </xf>
    <xf numFmtId="195" fontId="110" fillId="3" borderId="0" xfId="0" applyNumberFormat="1" applyFont="1" applyFill="1">
      <alignment vertical="center"/>
    </xf>
    <xf numFmtId="185" fontId="131" fillId="0" borderId="0" xfId="0" applyNumberFormat="1" applyFont="1">
      <alignment vertical="center"/>
    </xf>
    <xf numFmtId="185" fontId="110" fillId="0" borderId="0" xfId="0" applyNumberFormat="1" applyFont="1">
      <alignment vertical="center"/>
    </xf>
    <xf numFmtId="185" fontId="110" fillId="3" borderId="0" xfId="0" applyNumberFormat="1" applyFont="1" applyFill="1">
      <alignment vertical="center"/>
    </xf>
    <xf numFmtId="43" fontId="159" fillId="0" borderId="0" xfId="0" applyNumberFormat="1" applyFont="1">
      <alignment vertical="center"/>
    </xf>
    <xf numFmtId="41" fontId="112" fillId="4" borderId="58" xfId="0" applyNumberFormat="1" applyFont="1" applyFill="1" applyBorder="1">
      <alignment vertical="center"/>
    </xf>
    <xf numFmtId="41" fontId="113" fillId="4" borderId="58" xfId="0" applyNumberFormat="1" applyFont="1" applyFill="1" applyBorder="1">
      <alignment vertical="center"/>
    </xf>
    <xf numFmtId="41" fontId="112" fillId="4" borderId="13" xfId="0" applyNumberFormat="1" applyFont="1" applyFill="1" applyBorder="1">
      <alignment vertical="center"/>
    </xf>
    <xf numFmtId="41" fontId="113" fillId="4" borderId="13" xfId="0" applyNumberFormat="1" applyFont="1" applyFill="1" applyBorder="1">
      <alignment vertical="center"/>
    </xf>
    <xf numFmtId="0" fontId="111" fillId="0" borderId="0" xfId="0" applyFont="1" applyAlignment="1">
      <alignment horizontal="left" vertical="center" indent="1"/>
    </xf>
    <xf numFmtId="0" fontId="114" fillId="4" borderId="12" xfId="0" applyFont="1" applyFill="1" applyBorder="1" applyAlignment="1">
      <alignment horizontal="center" vertical="top"/>
    </xf>
    <xf numFmtId="182" fontId="113" fillId="4" borderId="28" xfId="0" applyNumberFormat="1" applyFont="1" applyFill="1" applyBorder="1" applyAlignment="1">
      <alignment horizontal="center" vertical="top"/>
    </xf>
    <xf numFmtId="185" fontId="110" fillId="4" borderId="32" xfId="0" applyNumberFormat="1" applyFont="1" applyFill="1" applyBorder="1" applyAlignment="1">
      <alignment horizontal="center" vertical="center"/>
    </xf>
    <xf numFmtId="187" fontId="110" fillId="3" borderId="62" xfId="0" applyNumberFormat="1" applyFont="1" applyFill="1" applyBorder="1">
      <alignment vertical="center"/>
    </xf>
    <xf numFmtId="187" fontId="110" fillId="3" borderId="28" xfId="0" applyNumberFormat="1" applyFont="1" applyFill="1" applyBorder="1">
      <alignment vertical="center"/>
    </xf>
    <xf numFmtId="41" fontId="110" fillId="0" borderId="32" xfId="0" applyNumberFormat="1" applyFont="1" applyBorder="1">
      <alignment vertical="center"/>
    </xf>
    <xf numFmtId="41" fontId="110" fillId="3" borderId="62" xfId="0" applyNumberFormat="1" applyFont="1" applyFill="1" applyBorder="1">
      <alignment vertical="center"/>
    </xf>
    <xf numFmtId="41" fontId="110" fillId="3" borderId="28" xfId="0" applyNumberFormat="1" applyFont="1" applyFill="1" applyBorder="1">
      <alignment vertical="center"/>
    </xf>
    <xf numFmtId="41" fontId="110" fillId="3" borderId="32" xfId="0" applyNumberFormat="1" applyFont="1" applyFill="1" applyBorder="1">
      <alignment vertical="center"/>
    </xf>
    <xf numFmtId="41" fontId="113" fillId="3" borderId="62" xfId="0" applyNumberFormat="1" applyFont="1" applyFill="1" applyBorder="1">
      <alignment vertical="center"/>
    </xf>
    <xf numFmtId="41" fontId="113" fillId="3" borderId="28" xfId="0" applyNumberFormat="1" applyFont="1" applyFill="1" applyBorder="1">
      <alignment vertical="center"/>
    </xf>
    <xf numFmtId="41" fontId="113" fillId="3" borderId="32" xfId="0" applyNumberFormat="1" applyFont="1" applyFill="1" applyBorder="1">
      <alignment vertical="center"/>
    </xf>
    <xf numFmtId="192" fontId="110" fillId="4" borderId="33" xfId="0" applyNumberFormat="1" applyFont="1" applyFill="1" applyBorder="1" applyAlignment="1">
      <alignment horizontal="center" vertical="center"/>
    </xf>
    <xf numFmtId="41" fontId="110" fillId="0" borderId="33" xfId="0" applyNumberFormat="1" applyFont="1" applyBorder="1">
      <alignment vertical="center"/>
    </xf>
    <xf numFmtId="41" fontId="110" fillId="3" borderId="33" xfId="0" applyNumberFormat="1" applyFont="1" applyFill="1" applyBorder="1">
      <alignment vertical="center"/>
    </xf>
    <xf numFmtId="41" fontId="113" fillId="3" borderId="33" xfId="0" applyNumberFormat="1" applyFont="1" applyFill="1" applyBorder="1">
      <alignment vertical="center"/>
    </xf>
    <xf numFmtId="41" fontId="112" fillId="4" borderId="59" xfId="0" applyNumberFormat="1" applyFont="1" applyFill="1" applyBorder="1">
      <alignment vertical="center"/>
    </xf>
    <xf numFmtId="41" fontId="112" fillId="4" borderId="66" xfId="0" applyNumberFormat="1" applyFont="1" applyFill="1" applyBorder="1">
      <alignment vertical="center"/>
    </xf>
    <xf numFmtId="41" fontId="112" fillId="4" borderId="68" xfId="0" applyNumberFormat="1" applyFont="1" applyFill="1" applyBorder="1">
      <alignment vertical="center"/>
    </xf>
    <xf numFmtId="41" fontId="114" fillId="4" borderId="13" xfId="0" applyNumberFormat="1" applyFont="1" applyFill="1" applyBorder="1">
      <alignment vertical="center"/>
    </xf>
    <xf numFmtId="41" fontId="114" fillId="4" borderId="59" xfId="0" applyNumberFormat="1" applyFont="1" applyFill="1" applyBorder="1">
      <alignment vertical="center"/>
    </xf>
    <xf numFmtId="41" fontId="114" fillId="4" borderId="46" xfId="0" applyNumberFormat="1" applyFont="1" applyFill="1" applyBorder="1">
      <alignment vertical="center"/>
    </xf>
    <xf numFmtId="184" fontId="116" fillId="12" borderId="64" xfId="0" applyNumberFormat="1" applyFont="1" applyFill="1" applyBorder="1">
      <alignment vertical="center"/>
    </xf>
    <xf numFmtId="184" fontId="116" fillId="12" borderId="55" xfId="0" applyNumberFormat="1" applyFont="1" applyFill="1" applyBorder="1">
      <alignment vertical="center"/>
    </xf>
    <xf numFmtId="9" fontId="116" fillId="12" borderId="35" xfId="0" applyNumberFormat="1" applyFont="1" applyFill="1" applyBorder="1">
      <alignment vertical="center"/>
    </xf>
    <xf numFmtId="184" fontId="116" fillId="12" borderId="35" xfId="0" applyNumberFormat="1" applyFont="1" applyFill="1" applyBorder="1">
      <alignment vertical="center"/>
    </xf>
    <xf numFmtId="184" fontId="93" fillId="3" borderId="28" xfId="0" applyNumberFormat="1" applyFont="1" applyFill="1" applyBorder="1" applyAlignment="1">
      <alignment horizontal="right" vertical="center"/>
    </xf>
    <xf numFmtId="184" fontId="93" fillId="10" borderId="28" xfId="0" applyNumberFormat="1" applyFont="1" applyFill="1" applyBorder="1" applyAlignment="1">
      <alignment horizontal="right" vertical="center"/>
    </xf>
    <xf numFmtId="43" fontId="116" fillId="3" borderId="0" xfId="0" applyNumberFormat="1" applyFont="1" applyFill="1" applyAlignment="1">
      <alignment horizontal="center" vertical="center"/>
    </xf>
    <xf numFmtId="41" fontId="93" fillId="3" borderId="0" xfId="0" applyNumberFormat="1" applyFont="1" applyFill="1" applyAlignment="1">
      <alignment horizontal="right" vertical="center"/>
    </xf>
    <xf numFmtId="183" fontId="93" fillId="3" borderId="0" xfId="0" applyNumberFormat="1" applyFont="1" applyFill="1" applyAlignment="1">
      <alignment horizontal="left" vertical="center" indent="2" shrinkToFit="1"/>
    </xf>
    <xf numFmtId="41" fontId="93" fillId="4" borderId="5" xfId="0" applyNumberFormat="1" applyFont="1" applyFill="1" applyBorder="1" applyAlignment="1">
      <alignment horizontal="center" vertical="center"/>
    </xf>
    <xf numFmtId="180" fontId="93" fillId="3" borderId="0" xfId="0" applyNumberFormat="1" applyFont="1" applyFill="1">
      <alignment vertical="center"/>
    </xf>
    <xf numFmtId="185" fontId="93" fillId="3" borderId="0" xfId="0" applyNumberFormat="1" applyFont="1" applyFill="1">
      <alignment vertical="center"/>
    </xf>
    <xf numFmtId="41" fontId="127" fillId="3" borderId="50" xfId="0" applyNumberFormat="1" applyFont="1" applyFill="1" applyBorder="1" applyAlignment="1">
      <alignment horizontal="center" vertical="center"/>
    </xf>
    <xf numFmtId="41" fontId="17" fillId="4" borderId="1" xfId="0" applyNumberFormat="1" applyFont="1" applyFill="1" applyBorder="1">
      <alignment vertical="center"/>
    </xf>
    <xf numFmtId="9" fontId="108" fillId="12" borderId="109" xfId="0" applyNumberFormat="1" applyFont="1" applyFill="1" applyBorder="1" applyAlignment="1">
      <alignment horizontal="center" vertical="center" wrapText="1"/>
    </xf>
    <xf numFmtId="41" fontId="16" fillId="0" borderId="0" xfId="0" applyNumberFormat="1" applyFont="1" applyAlignment="1">
      <alignment horizontal="center" vertical="center"/>
    </xf>
    <xf numFmtId="10" fontId="108" fillId="12" borderId="71" xfId="0" applyNumberFormat="1" applyFont="1" applyFill="1" applyBorder="1" applyAlignment="1">
      <alignment horizontal="right" vertical="center"/>
    </xf>
    <xf numFmtId="10" fontId="108" fillId="12" borderId="24" xfId="0" applyNumberFormat="1" applyFont="1" applyFill="1" applyBorder="1" applyAlignment="1">
      <alignment horizontal="right" vertical="center"/>
    </xf>
    <xf numFmtId="10" fontId="108" fillId="12" borderId="110" xfId="0" applyNumberFormat="1" applyFont="1" applyFill="1" applyBorder="1" applyAlignment="1">
      <alignment horizontal="right" vertical="center"/>
    </xf>
    <xf numFmtId="10" fontId="108" fillId="12" borderId="83" xfId="0" applyNumberFormat="1" applyFont="1" applyFill="1" applyBorder="1" applyAlignment="1">
      <alignment horizontal="right" vertical="center"/>
    </xf>
    <xf numFmtId="10" fontId="108" fillId="12" borderId="70" xfId="0" applyNumberFormat="1" applyFont="1" applyFill="1" applyBorder="1" applyAlignment="1">
      <alignment horizontal="right" vertical="center"/>
    </xf>
    <xf numFmtId="10" fontId="108" fillId="12" borderId="25" xfId="0" applyNumberFormat="1" applyFont="1" applyFill="1" applyBorder="1">
      <alignment vertical="center"/>
    </xf>
    <xf numFmtId="10" fontId="108" fillId="12" borderId="24" xfId="0" applyNumberFormat="1" applyFont="1" applyFill="1" applyBorder="1">
      <alignment vertical="center"/>
    </xf>
    <xf numFmtId="10" fontId="108" fillId="12" borderId="92" xfId="0" applyNumberFormat="1" applyFont="1" applyFill="1" applyBorder="1">
      <alignment vertical="center"/>
    </xf>
    <xf numFmtId="193" fontId="84" fillId="0" borderId="0" xfId="0" applyNumberFormat="1" applyFont="1">
      <alignment vertical="center"/>
    </xf>
    <xf numFmtId="196" fontId="93" fillId="0" borderId="55" xfId="0" applyNumberFormat="1" applyFont="1" applyBorder="1">
      <alignment vertical="center"/>
    </xf>
    <xf numFmtId="196" fontId="93" fillId="0" borderId="1" xfId="0" applyNumberFormat="1" applyFont="1" applyBorder="1">
      <alignment vertical="center"/>
    </xf>
    <xf numFmtId="196" fontId="93" fillId="0" borderId="69" xfId="0" applyNumberFormat="1" applyFont="1" applyBorder="1">
      <alignment vertical="center"/>
    </xf>
    <xf numFmtId="187" fontId="116" fillId="4" borderId="14" xfId="0" applyNumberFormat="1" applyFont="1" applyFill="1" applyBorder="1" applyAlignment="1">
      <alignment horizontal="center" vertical="center" wrapText="1"/>
    </xf>
    <xf numFmtId="187" fontId="116" fillId="4" borderId="14" xfId="0" applyNumberFormat="1" applyFont="1" applyFill="1" applyBorder="1" applyAlignment="1">
      <alignment horizontal="center" vertical="center"/>
    </xf>
    <xf numFmtId="41" fontId="116" fillId="4" borderId="14" xfId="0" applyNumberFormat="1" applyFont="1" applyFill="1" applyBorder="1" applyAlignment="1">
      <alignment horizontal="right" vertical="center"/>
    </xf>
    <xf numFmtId="41" fontId="116" fillId="4" borderId="31" xfId="0" applyNumberFormat="1" applyFont="1" applyFill="1" applyBorder="1" applyAlignment="1">
      <alignment horizontal="right" vertical="center"/>
    </xf>
    <xf numFmtId="9" fontId="116" fillId="4" borderId="44" xfId="0" applyNumberFormat="1" applyFont="1" applyFill="1" applyBorder="1">
      <alignment vertical="center"/>
    </xf>
    <xf numFmtId="184" fontId="116" fillId="4" borderId="57" xfId="0" applyNumberFormat="1" applyFont="1" applyFill="1" applyBorder="1">
      <alignment vertical="center"/>
    </xf>
    <xf numFmtId="184" fontId="116" fillId="4" borderId="31" xfId="0" applyNumberFormat="1" applyFont="1" applyFill="1" applyBorder="1">
      <alignment vertical="center"/>
    </xf>
    <xf numFmtId="184" fontId="116" fillId="4" borderId="75" xfId="0" applyNumberFormat="1" applyFont="1" applyFill="1" applyBorder="1">
      <alignment vertical="center"/>
    </xf>
    <xf numFmtId="41" fontId="93" fillId="3" borderId="159" xfId="0" applyNumberFormat="1" applyFont="1" applyFill="1" applyBorder="1">
      <alignment vertical="center"/>
    </xf>
    <xf numFmtId="41" fontId="93" fillId="3" borderId="93" xfId="0" applyNumberFormat="1" applyFont="1" applyFill="1" applyBorder="1">
      <alignment vertical="center"/>
    </xf>
    <xf numFmtId="41" fontId="93" fillId="3" borderId="150" xfId="0" applyNumberFormat="1" applyFont="1" applyFill="1" applyBorder="1">
      <alignment vertical="center"/>
    </xf>
    <xf numFmtId="184" fontId="93" fillId="3" borderId="48" xfId="0" applyNumberFormat="1" applyFont="1" applyFill="1" applyBorder="1" applyAlignment="1">
      <alignment horizontal="right" vertical="center"/>
    </xf>
    <xf numFmtId="184" fontId="93" fillId="10" borderId="48" xfId="0" applyNumberFormat="1" applyFont="1" applyFill="1" applyBorder="1" applyAlignment="1">
      <alignment horizontal="right" vertical="center"/>
    </xf>
    <xf numFmtId="38" fontId="116" fillId="4" borderId="29" xfId="0" applyNumberFormat="1" applyFont="1" applyFill="1" applyBorder="1" applyAlignment="1">
      <alignment horizontal="center" vertical="center"/>
    </xf>
    <xf numFmtId="38" fontId="116" fillId="4" borderId="30" xfId="0" applyNumberFormat="1" applyFont="1" applyFill="1" applyBorder="1" applyAlignment="1">
      <alignment horizontal="center" vertical="center"/>
    </xf>
    <xf numFmtId="187" fontId="116" fillId="4" borderId="18" xfId="0" applyNumberFormat="1" applyFont="1" applyFill="1" applyBorder="1" applyAlignment="1">
      <alignment horizontal="center" vertical="center"/>
    </xf>
    <xf numFmtId="184" fontId="93" fillId="3" borderId="5" xfId="0" applyNumberFormat="1" applyFont="1" applyFill="1" applyBorder="1" applyAlignment="1">
      <alignment horizontal="right" vertical="center"/>
    </xf>
    <xf numFmtId="184" fontId="93" fillId="3" borderId="42" xfId="0" applyNumberFormat="1" applyFont="1" applyFill="1" applyBorder="1" applyAlignment="1">
      <alignment horizontal="right" vertical="center"/>
    </xf>
    <xf numFmtId="38" fontId="116" fillId="4" borderId="44" xfId="0" applyNumberFormat="1" applyFont="1" applyFill="1" applyBorder="1" applyAlignment="1">
      <alignment horizontal="center" vertical="center"/>
    </xf>
    <xf numFmtId="43" fontId="116" fillId="4" borderId="18" xfId="0" applyNumberFormat="1" applyFont="1" applyFill="1" applyBorder="1" applyAlignment="1">
      <alignment horizontal="center" vertical="center"/>
    </xf>
    <xf numFmtId="43" fontId="116" fillId="4" borderId="20" xfId="0" applyNumberFormat="1" applyFont="1" applyFill="1" applyBorder="1" applyAlignment="1">
      <alignment horizontal="center" vertical="center"/>
    </xf>
    <xf numFmtId="9" fontId="93" fillId="3" borderId="112" xfId="0" applyNumberFormat="1" applyFont="1" applyFill="1" applyBorder="1" applyAlignment="1">
      <alignment horizontal="center" vertical="center"/>
    </xf>
    <xf numFmtId="9" fontId="116" fillId="3" borderId="77" xfId="0" applyNumberFormat="1" applyFont="1" applyFill="1" applyBorder="1" applyAlignment="1">
      <alignment horizontal="center" vertical="center"/>
    </xf>
    <xf numFmtId="9" fontId="93" fillId="3" borderId="41" xfId="0" applyNumberFormat="1" applyFont="1" applyFill="1" applyBorder="1" applyAlignment="1">
      <alignment horizontal="center" vertical="center"/>
    </xf>
    <xf numFmtId="9" fontId="116" fillId="3" borderId="43" xfId="0" applyNumberFormat="1" applyFont="1" applyFill="1" applyBorder="1" applyAlignment="1">
      <alignment horizontal="center" vertical="center"/>
    </xf>
    <xf numFmtId="3" fontId="136" fillId="3" borderId="0" xfId="0" applyNumberFormat="1" applyFont="1" applyFill="1">
      <alignment vertical="center"/>
    </xf>
    <xf numFmtId="195" fontId="93" fillId="4" borderId="69" xfId="0" applyNumberFormat="1" applyFont="1" applyFill="1" applyBorder="1">
      <alignment vertical="center"/>
    </xf>
    <xf numFmtId="187" fontId="93" fillId="3" borderId="8" xfId="0" applyNumberFormat="1" applyFont="1" applyFill="1" applyBorder="1">
      <alignment vertical="center"/>
    </xf>
    <xf numFmtId="192" fontId="84" fillId="4" borderId="19" xfId="0" applyNumberFormat="1" applyFont="1" applyFill="1" applyBorder="1">
      <alignment vertical="center"/>
    </xf>
    <xf numFmtId="0" fontId="84" fillId="4" borderId="67" xfId="0" applyFont="1" applyFill="1" applyBorder="1" applyAlignment="1">
      <alignment horizontal="center" vertical="center"/>
    </xf>
    <xf numFmtId="217" fontId="93" fillId="3" borderId="55" xfId="0" applyNumberFormat="1" applyFont="1" applyFill="1" applyBorder="1">
      <alignment vertical="center"/>
    </xf>
    <xf numFmtId="217" fontId="93" fillId="3" borderId="1" xfId="0" applyNumberFormat="1" applyFont="1" applyFill="1" applyBorder="1">
      <alignment vertical="center"/>
    </xf>
    <xf numFmtId="217" fontId="93" fillId="3" borderId="69" xfId="0" applyNumberFormat="1" applyFont="1" applyFill="1" applyBorder="1">
      <alignment vertical="center"/>
    </xf>
    <xf numFmtId="217" fontId="93" fillId="3" borderId="8" xfId="0" applyNumberFormat="1" applyFont="1" applyFill="1" applyBorder="1">
      <alignment vertical="center"/>
    </xf>
    <xf numFmtId="41" fontId="84" fillId="4" borderId="68" xfId="0" applyNumberFormat="1" applyFont="1" applyFill="1" applyBorder="1" applyAlignment="1">
      <alignment vertical="center" wrapText="1"/>
    </xf>
    <xf numFmtId="41" fontId="84" fillId="4" borderId="91" xfId="0" applyNumberFormat="1" applyFont="1" applyFill="1" applyBorder="1" applyAlignment="1">
      <alignment vertical="center" wrapText="1"/>
    </xf>
    <xf numFmtId="9" fontId="84" fillId="4" borderId="19" xfId="0" applyNumberFormat="1" applyFont="1" applyFill="1" applyBorder="1">
      <alignment vertical="center"/>
    </xf>
    <xf numFmtId="9" fontId="84" fillId="4" borderId="46" xfId="0" applyNumberFormat="1" applyFont="1" applyFill="1" applyBorder="1">
      <alignment vertical="center"/>
    </xf>
    <xf numFmtId="41" fontId="84" fillId="4" borderId="18" xfId="0" applyNumberFormat="1" applyFont="1" applyFill="1" applyBorder="1" applyAlignment="1">
      <alignment horizontal="center" vertical="center"/>
    </xf>
    <xf numFmtId="41" fontId="93" fillId="4" borderId="26" xfId="0" applyNumberFormat="1" applyFont="1" applyFill="1" applyBorder="1">
      <alignment vertical="center"/>
    </xf>
    <xf numFmtId="192" fontId="84" fillId="4" borderId="107" xfId="0" applyNumberFormat="1" applyFont="1" applyFill="1" applyBorder="1" applyAlignment="1">
      <alignment horizontal="center" vertical="center"/>
    </xf>
    <xf numFmtId="192" fontId="84" fillId="4" borderId="0" xfId="0" applyNumberFormat="1" applyFont="1" applyFill="1" applyAlignment="1">
      <alignment horizontal="center" vertical="center"/>
    </xf>
    <xf numFmtId="192" fontId="17" fillId="4" borderId="0" xfId="0" applyNumberFormat="1" applyFont="1" applyFill="1">
      <alignment vertical="center"/>
    </xf>
    <xf numFmtId="192" fontId="108" fillId="4" borderId="6" xfId="0" applyNumberFormat="1" applyFont="1" applyFill="1" applyBorder="1" applyAlignment="1">
      <alignment horizontal="center" vertical="center"/>
    </xf>
    <xf numFmtId="192" fontId="84" fillId="4" borderId="115" xfId="0" applyNumberFormat="1" applyFont="1" applyFill="1" applyBorder="1" applyAlignment="1">
      <alignment horizontal="center" vertical="center"/>
    </xf>
    <xf numFmtId="192" fontId="84" fillId="4" borderId="114" xfId="0" applyNumberFormat="1" applyFont="1" applyFill="1" applyBorder="1" applyAlignment="1">
      <alignment horizontal="center" vertical="center"/>
    </xf>
    <xf numFmtId="192" fontId="84" fillId="4" borderId="85" xfId="0" applyNumberFormat="1" applyFont="1" applyFill="1" applyBorder="1" applyAlignment="1">
      <alignment horizontal="center" vertical="center"/>
    </xf>
    <xf numFmtId="192" fontId="84" fillId="4" borderId="131" xfId="0" applyNumberFormat="1" applyFont="1" applyFill="1" applyBorder="1" applyAlignment="1">
      <alignment horizontal="center" vertical="center"/>
    </xf>
    <xf numFmtId="192" fontId="116" fillId="4" borderId="45" xfId="0" applyNumberFormat="1" applyFont="1" applyFill="1" applyBorder="1" applyAlignment="1">
      <alignment horizontal="center" vertical="center"/>
    </xf>
    <xf numFmtId="192" fontId="84" fillId="4" borderId="50" xfId="0" applyNumberFormat="1" applyFont="1" applyFill="1" applyBorder="1" applyAlignment="1">
      <alignment horizontal="center" vertical="center"/>
    </xf>
    <xf numFmtId="194" fontId="84" fillId="4" borderId="0" xfId="0" applyNumberFormat="1" applyFont="1" applyFill="1" applyAlignment="1">
      <alignment horizontal="center" vertical="center"/>
    </xf>
    <xf numFmtId="194" fontId="84" fillId="4" borderId="6" xfId="0" applyNumberFormat="1" applyFont="1" applyFill="1" applyBorder="1" applyAlignment="1">
      <alignment horizontal="center" vertical="center"/>
    </xf>
    <xf numFmtId="192" fontId="108" fillId="4" borderId="45" xfId="0" applyNumberFormat="1" applyFont="1" applyFill="1" applyBorder="1" applyAlignment="1">
      <alignment horizontal="center" vertical="center"/>
    </xf>
    <xf numFmtId="187" fontId="84" fillId="4" borderId="0" xfId="0" applyNumberFormat="1" applyFont="1" applyFill="1" applyAlignment="1">
      <alignment horizontal="center" vertical="center"/>
    </xf>
    <xf numFmtId="0" fontId="84" fillId="4" borderId="45" xfId="0" applyFont="1" applyFill="1" applyBorder="1" applyAlignment="1">
      <alignment horizontal="center" vertical="center"/>
    </xf>
    <xf numFmtId="192" fontId="84" fillId="4" borderId="58" xfId="0" applyNumberFormat="1" applyFont="1" applyFill="1" applyBorder="1" applyAlignment="1">
      <alignment horizontal="center" vertical="center"/>
    </xf>
    <xf numFmtId="192" fontId="17" fillId="4" borderId="55" xfId="0" applyNumberFormat="1" applyFont="1" applyFill="1" applyBorder="1">
      <alignment vertical="center"/>
    </xf>
    <xf numFmtId="192" fontId="84" fillId="4" borderId="26" xfId="0" applyNumberFormat="1" applyFont="1" applyFill="1" applyBorder="1" applyAlignment="1">
      <alignment horizontal="center" vertical="center"/>
    </xf>
    <xf numFmtId="192" fontId="17" fillId="4" borderId="10" xfId="0" applyNumberFormat="1" applyFont="1" applyFill="1" applyBorder="1">
      <alignment vertical="center"/>
    </xf>
    <xf numFmtId="41" fontId="116" fillId="4" borderId="71" xfId="0" applyNumberFormat="1" applyFont="1" applyFill="1" applyBorder="1" applyAlignment="1">
      <alignment horizontal="right" vertical="center"/>
    </xf>
    <xf numFmtId="192" fontId="17" fillId="4" borderId="1" xfId="0" applyNumberFormat="1" applyFont="1" applyFill="1" applyBorder="1">
      <alignment vertical="center"/>
    </xf>
    <xf numFmtId="192" fontId="84" fillId="4" borderId="64" xfId="0" applyNumberFormat="1" applyFont="1" applyFill="1" applyBorder="1" applyAlignment="1">
      <alignment horizontal="center" vertical="center"/>
    </xf>
    <xf numFmtId="192" fontId="84" fillId="4" borderId="35" xfId="0" applyNumberFormat="1" applyFont="1" applyFill="1" applyBorder="1" applyAlignment="1">
      <alignment horizontal="center" vertical="center"/>
    </xf>
    <xf numFmtId="192" fontId="108" fillId="4" borderId="12" xfId="0" applyNumberFormat="1" applyFont="1" applyFill="1" applyBorder="1" applyAlignment="1">
      <alignment horizontal="center" vertical="center"/>
    </xf>
    <xf numFmtId="192" fontId="84" fillId="4" borderId="55" xfId="0" applyNumberFormat="1" applyFont="1" applyFill="1" applyBorder="1" applyAlignment="1">
      <alignment horizontal="center" vertical="center"/>
    </xf>
    <xf numFmtId="192" fontId="84" fillId="4" borderId="86" xfId="0" applyNumberFormat="1" applyFont="1" applyFill="1" applyBorder="1" applyAlignment="1">
      <alignment horizontal="center" vertical="center"/>
    </xf>
    <xf numFmtId="192" fontId="84" fillId="4" borderId="128" xfId="0" applyNumberFormat="1" applyFont="1" applyFill="1" applyBorder="1" applyAlignment="1">
      <alignment horizontal="center" vertical="center"/>
    </xf>
    <xf numFmtId="192" fontId="84" fillId="4" borderId="72" xfId="0" applyNumberFormat="1" applyFont="1" applyFill="1" applyBorder="1" applyAlignment="1">
      <alignment horizontal="center" vertical="center"/>
    </xf>
    <xf numFmtId="192" fontId="84" fillId="4" borderId="56" xfId="0" applyNumberFormat="1" applyFont="1" applyFill="1" applyBorder="1" applyAlignment="1">
      <alignment horizontal="center" vertical="center"/>
    </xf>
    <xf numFmtId="192" fontId="108" fillId="4" borderId="62" xfId="0" applyNumberFormat="1" applyFont="1" applyFill="1" applyBorder="1" applyAlignment="1">
      <alignment horizontal="center" vertical="center"/>
    </xf>
    <xf numFmtId="192" fontId="84" fillId="4" borderId="10" xfId="0" applyNumberFormat="1" applyFont="1" applyFill="1" applyBorder="1" applyAlignment="1">
      <alignment horizontal="center" vertical="center"/>
    </xf>
    <xf numFmtId="192" fontId="84" fillId="4" borderId="87" xfId="0" applyNumberFormat="1" applyFont="1" applyFill="1" applyBorder="1" applyAlignment="1">
      <alignment horizontal="center" vertical="center"/>
    </xf>
    <xf numFmtId="192" fontId="84" fillId="4" borderId="149" xfId="0" applyNumberFormat="1" applyFont="1" applyFill="1" applyBorder="1" applyAlignment="1">
      <alignment horizontal="center" vertical="center"/>
    </xf>
    <xf numFmtId="192" fontId="84" fillId="4" borderId="27" xfId="0" applyNumberFormat="1" applyFont="1" applyFill="1" applyBorder="1" applyAlignment="1">
      <alignment horizontal="center" vertical="center"/>
    </xf>
    <xf numFmtId="192" fontId="84" fillId="4" borderId="61" xfId="0" applyNumberFormat="1" applyFont="1" applyFill="1" applyBorder="1" applyAlignment="1">
      <alignment horizontal="center" vertical="center"/>
    </xf>
    <xf numFmtId="192" fontId="84" fillId="4" borderId="5" xfId="0" applyNumberFormat="1" applyFont="1" applyFill="1" applyBorder="1" applyAlignment="1">
      <alignment horizontal="center" vertical="center"/>
    </xf>
    <xf numFmtId="192" fontId="108" fillId="4" borderId="28" xfId="0" applyNumberFormat="1" applyFont="1" applyFill="1" applyBorder="1" applyAlignment="1">
      <alignment horizontal="center" vertical="center"/>
    </xf>
    <xf numFmtId="192" fontId="84" fillId="4" borderId="1" xfId="0" applyNumberFormat="1" applyFont="1" applyFill="1" applyBorder="1" applyAlignment="1">
      <alignment horizontal="center" vertical="center"/>
    </xf>
    <xf numFmtId="192" fontId="84" fillId="4" borderId="11" xfId="0" applyNumberFormat="1" applyFont="1" applyFill="1" applyBorder="1" applyAlignment="1">
      <alignment horizontal="center" vertical="center"/>
    </xf>
    <xf numFmtId="192" fontId="84" fillId="4" borderId="4" xfId="0" applyNumberFormat="1" applyFont="1" applyFill="1" applyBorder="1" applyAlignment="1">
      <alignment horizontal="center" vertical="center"/>
    </xf>
    <xf numFmtId="0" fontId="33" fillId="4" borderId="18" xfId="0" applyFont="1" applyFill="1" applyBorder="1" applyAlignment="1">
      <alignment horizontal="center" vertical="center"/>
    </xf>
    <xf numFmtId="41" fontId="84" fillId="0" borderId="24" xfId="0" applyNumberFormat="1" applyFont="1" applyBorder="1">
      <alignment vertical="center"/>
    </xf>
    <xf numFmtId="187" fontId="108" fillId="4" borderId="16" xfId="0" applyNumberFormat="1" applyFont="1" applyFill="1" applyBorder="1">
      <alignment vertical="center"/>
    </xf>
    <xf numFmtId="41" fontId="84" fillId="0" borderId="21" xfId="0" applyNumberFormat="1" applyFont="1" applyBorder="1">
      <alignment vertical="center"/>
    </xf>
    <xf numFmtId="187" fontId="108" fillId="4" borderId="15" xfId="0" applyNumberFormat="1" applyFont="1" applyFill="1" applyBorder="1">
      <alignment vertical="center"/>
    </xf>
    <xf numFmtId="41" fontId="93" fillId="4" borderId="59" xfId="0" applyNumberFormat="1" applyFont="1" applyFill="1" applyBorder="1" applyAlignment="1">
      <alignment horizontal="left" vertical="center"/>
    </xf>
    <xf numFmtId="41" fontId="108" fillId="4" borderId="73" xfId="0" applyNumberFormat="1" applyFont="1" applyFill="1" applyBorder="1">
      <alignment vertical="center"/>
    </xf>
    <xf numFmtId="41" fontId="116" fillId="4" borderId="92" xfId="0" applyNumberFormat="1" applyFont="1" applyFill="1" applyBorder="1">
      <alignment vertical="center"/>
    </xf>
    <xf numFmtId="41" fontId="108" fillId="4" borderId="66" xfId="0" applyNumberFormat="1" applyFont="1" applyFill="1" applyBorder="1">
      <alignment vertical="center"/>
    </xf>
    <xf numFmtId="41" fontId="93" fillId="4" borderId="129" xfId="0" applyNumberFormat="1" applyFont="1" applyFill="1" applyBorder="1">
      <alignment vertical="center"/>
    </xf>
    <xf numFmtId="41" fontId="84" fillId="4" borderId="133" xfId="0" applyNumberFormat="1" applyFont="1" applyFill="1" applyBorder="1" applyAlignment="1">
      <alignment vertical="center" shrinkToFit="1"/>
    </xf>
    <xf numFmtId="0" fontId="116" fillId="4" borderId="0" xfId="0" applyFont="1" applyFill="1" applyAlignment="1">
      <alignment horizontal="center" vertical="center"/>
    </xf>
    <xf numFmtId="41" fontId="129" fillId="4" borderId="18" xfId="0" applyNumberFormat="1" applyFont="1" applyFill="1" applyBorder="1">
      <alignment vertical="center"/>
    </xf>
    <xf numFmtId="41" fontId="129" fillId="4" borderId="19" xfId="0" applyNumberFormat="1" applyFont="1" applyFill="1" applyBorder="1">
      <alignment vertical="center"/>
    </xf>
    <xf numFmtId="41" fontId="129" fillId="4" borderId="67" xfId="0" applyNumberFormat="1" applyFont="1" applyFill="1" applyBorder="1">
      <alignment vertical="center"/>
    </xf>
    <xf numFmtId="41" fontId="129" fillId="4" borderId="17" xfId="0" applyNumberFormat="1" applyFont="1" applyFill="1" applyBorder="1">
      <alignment vertical="center"/>
    </xf>
    <xf numFmtId="0" fontId="116" fillId="2" borderId="0" xfId="0" applyFont="1" applyFill="1" applyAlignment="1">
      <alignment horizontal="center" vertical="center"/>
    </xf>
    <xf numFmtId="41" fontId="118" fillId="2" borderId="0" xfId="0" applyNumberFormat="1" applyFont="1" applyFill="1" applyAlignment="1">
      <alignment horizontal="right" vertical="center"/>
    </xf>
    <xf numFmtId="9" fontId="118" fillId="2" borderId="0" xfId="0" applyNumberFormat="1" applyFont="1" applyFill="1" applyAlignment="1">
      <alignment horizontal="right" vertical="center"/>
    </xf>
    <xf numFmtId="0" fontId="108" fillId="3" borderId="91" xfId="0" applyFont="1" applyFill="1" applyBorder="1">
      <alignment vertical="center"/>
    </xf>
    <xf numFmtId="182" fontId="116" fillId="3" borderId="91" xfId="0" applyNumberFormat="1" applyFont="1" applyFill="1" applyBorder="1" applyAlignment="1">
      <alignment horizontal="center" vertical="center"/>
    </xf>
    <xf numFmtId="0" fontId="111" fillId="4" borderId="15" xfId="0" applyFont="1" applyFill="1" applyBorder="1">
      <alignment vertical="center"/>
    </xf>
    <xf numFmtId="182" fontId="93" fillId="4" borderId="45" xfId="0" applyNumberFormat="1" applyFont="1" applyFill="1" applyBorder="1" applyAlignment="1">
      <alignment horizontal="center" vertical="center"/>
    </xf>
    <xf numFmtId="41" fontId="84" fillId="4" borderId="20" xfId="0" applyNumberFormat="1" applyFont="1" applyFill="1" applyBorder="1" applyAlignment="1">
      <alignment horizontal="left" vertical="center"/>
    </xf>
    <xf numFmtId="41" fontId="93" fillId="3" borderId="16" xfId="0" applyNumberFormat="1" applyFont="1" applyFill="1" applyBorder="1">
      <alignment vertical="center"/>
    </xf>
    <xf numFmtId="41" fontId="84" fillId="3" borderId="17" xfId="0" applyNumberFormat="1" applyFont="1" applyFill="1" applyBorder="1">
      <alignment vertical="center"/>
    </xf>
    <xf numFmtId="41" fontId="84" fillId="3" borderId="18" xfId="0" applyNumberFormat="1" applyFont="1" applyFill="1" applyBorder="1">
      <alignment vertical="center"/>
    </xf>
    <xf numFmtId="41" fontId="84" fillId="3" borderId="19" xfId="0" applyNumberFormat="1" applyFont="1" applyFill="1" applyBorder="1">
      <alignment vertical="center"/>
    </xf>
    <xf numFmtId="41" fontId="108" fillId="3" borderId="29" xfId="0" applyNumberFormat="1" applyFont="1" applyFill="1" applyBorder="1">
      <alignment vertical="center"/>
    </xf>
    <xf numFmtId="41" fontId="93" fillId="3" borderId="79" xfId="0" applyNumberFormat="1" applyFont="1" applyFill="1" applyBorder="1">
      <alignment vertical="center"/>
    </xf>
    <xf numFmtId="41" fontId="84" fillId="3" borderId="129" xfId="0" applyNumberFormat="1" applyFont="1" applyFill="1" applyBorder="1">
      <alignment vertical="center"/>
    </xf>
    <xf numFmtId="184" fontId="120" fillId="2" borderId="40" xfId="0" applyNumberFormat="1" applyFont="1" applyFill="1" applyBorder="1" applyAlignment="1">
      <alignment horizontal="right" vertical="center"/>
    </xf>
    <xf numFmtId="41" fontId="84" fillId="3" borderId="193" xfId="0" applyNumberFormat="1" applyFont="1" applyFill="1" applyBorder="1">
      <alignment vertical="center"/>
    </xf>
    <xf numFmtId="41" fontId="93" fillId="3" borderId="149" xfId="0" applyNumberFormat="1" applyFont="1" applyFill="1" applyBorder="1">
      <alignment vertical="center"/>
    </xf>
    <xf numFmtId="9" fontId="116" fillId="4" borderId="16" xfId="0" applyNumberFormat="1" applyFont="1" applyFill="1" applyBorder="1">
      <alignment vertical="center"/>
    </xf>
    <xf numFmtId="0" fontId="93" fillId="4" borderId="29" xfId="0" applyFont="1" applyFill="1" applyBorder="1" applyAlignment="1">
      <alignment horizontal="left" vertical="center" indent="1"/>
    </xf>
    <xf numFmtId="9" fontId="93" fillId="4" borderId="3" xfId="0" applyNumberFormat="1" applyFont="1" applyFill="1" applyBorder="1">
      <alignment vertical="center"/>
    </xf>
    <xf numFmtId="195" fontId="93" fillId="4" borderId="3" xfId="0" applyNumberFormat="1" applyFont="1" applyFill="1" applyBorder="1">
      <alignment vertical="center"/>
    </xf>
    <xf numFmtId="41" fontId="93" fillId="4" borderId="63" xfId="0" applyNumberFormat="1" applyFont="1" applyFill="1" applyBorder="1">
      <alignment vertical="center"/>
    </xf>
    <xf numFmtId="182" fontId="118" fillId="0" borderId="0" xfId="0" applyNumberFormat="1" applyFont="1">
      <alignment vertical="center"/>
    </xf>
    <xf numFmtId="194" fontId="110" fillId="0" borderId="0" xfId="0" applyNumberFormat="1" applyFont="1">
      <alignment vertical="center"/>
    </xf>
    <xf numFmtId="41" fontId="93" fillId="3" borderId="84" xfId="0" applyNumberFormat="1" applyFont="1" applyFill="1" applyBorder="1" applyAlignment="1">
      <alignment horizontal="center" vertical="center"/>
    </xf>
    <xf numFmtId="41" fontId="93" fillId="3" borderId="111" xfId="0" applyNumberFormat="1" applyFont="1" applyFill="1" applyBorder="1" applyAlignment="1">
      <alignment horizontal="center" vertical="center"/>
    </xf>
    <xf numFmtId="41" fontId="93" fillId="3" borderId="112" xfId="0" applyNumberFormat="1" applyFont="1" applyFill="1" applyBorder="1" applyAlignment="1">
      <alignment horizontal="center" vertical="center"/>
    </xf>
    <xf numFmtId="9" fontId="118" fillId="3" borderId="0" xfId="0" applyNumberFormat="1" applyFont="1" applyFill="1" applyAlignment="1">
      <alignment horizontal="right" vertical="center"/>
    </xf>
    <xf numFmtId="41" fontId="108" fillId="4" borderId="16" xfId="0" applyNumberFormat="1" applyFont="1" applyFill="1" applyBorder="1" applyAlignment="1">
      <alignment horizontal="center" vertical="center"/>
    </xf>
    <xf numFmtId="41" fontId="84" fillId="4" borderId="194" xfId="0" applyNumberFormat="1" applyFont="1" applyFill="1" applyBorder="1">
      <alignment vertical="center"/>
    </xf>
    <xf numFmtId="41" fontId="84" fillId="4" borderId="123" xfId="0" applyNumberFormat="1" applyFont="1" applyFill="1" applyBorder="1">
      <alignment vertical="center"/>
    </xf>
    <xf numFmtId="184" fontId="120" fillId="0" borderId="0" xfId="0" applyNumberFormat="1" applyFont="1" applyAlignment="1">
      <alignment horizontal="right" vertical="center"/>
    </xf>
    <xf numFmtId="184" fontId="120" fillId="0" borderId="0" xfId="0" applyNumberFormat="1" applyFont="1">
      <alignment vertical="center"/>
    </xf>
    <xf numFmtId="0" fontId="93" fillId="4" borderId="37" xfId="0" applyFont="1" applyFill="1" applyBorder="1" applyAlignment="1">
      <alignment horizontal="center" vertical="center"/>
    </xf>
    <xf numFmtId="184" fontId="84" fillId="0" borderId="34" xfId="0" applyNumberFormat="1" applyFont="1" applyBorder="1">
      <alignment vertical="center"/>
    </xf>
    <xf numFmtId="184" fontId="84" fillId="0" borderId="72" xfId="0" applyNumberFormat="1" applyFont="1" applyBorder="1">
      <alignment vertical="center"/>
    </xf>
    <xf numFmtId="184" fontId="84" fillId="0" borderId="61" xfId="0" applyNumberFormat="1" applyFont="1" applyBorder="1">
      <alignment vertical="center"/>
    </xf>
    <xf numFmtId="184" fontId="84" fillId="0" borderId="63" xfId="0" applyNumberFormat="1" applyFont="1" applyBorder="1">
      <alignment vertical="center"/>
    </xf>
    <xf numFmtId="184" fontId="84" fillId="0" borderId="64" xfId="0" applyNumberFormat="1" applyFont="1" applyBorder="1">
      <alignment vertical="center"/>
    </xf>
    <xf numFmtId="184" fontId="93" fillId="0" borderId="57" xfId="0" applyNumberFormat="1" applyFont="1" applyBorder="1">
      <alignment vertical="center"/>
    </xf>
    <xf numFmtId="0" fontId="129" fillId="2" borderId="36" xfId="0" applyFont="1" applyFill="1" applyBorder="1" applyAlignment="1">
      <alignment horizontal="center" vertical="center"/>
    </xf>
    <xf numFmtId="41" fontId="13" fillId="26" borderId="18" xfId="0" applyNumberFormat="1" applyFont="1" applyFill="1" applyBorder="1" applyAlignment="1"/>
    <xf numFmtId="41" fontId="13" fillId="26" borderId="20" xfId="0" applyNumberFormat="1" applyFont="1" applyFill="1" applyBorder="1" applyAlignment="1"/>
    <xf numFmtId="182" fontId="116" fillId="3" borderId="19" xfId="0" applyNumberFormat="1" applyFont="1" applyFill="1" applyBorder="1">
      <alignment vertical="center"/>
    </xf>
    <xf numFmtId="182" fontId="116" fillId="3" borderId="45" xfId="0" applyNumberFormat="1" applyFont="1" applyFill="1" applyBorder="1">
      <alignment vertical="center"/>
    </xf>
    <xf numFmtId="182" fontId="116" fillId="3" borderId="20" xfId="0" applyNumberFormat="1" applyFont="1" applyFill="1" applyBorder="1">
      <alignment vertical="center"/>
    </xf>
    <xf numFmtId="182" fontId="116" fillId="3" borderId="15" xfId="0" applyNumberFormat="1" applyFont="1" applyFill="1" applyBorder="1">
      <alignment vertical="center"/>
    </xf>
    <xf numFmtId="0" fontId="127" fillId="3" borderId="0" xfId="0" applyFont="1" applyFill="1" applyAlignment="1">
      <alignment horizontal="center" vertical="center"/>
    </xf>
    <xf numFmtId="207" fontId="121" fillId="0" borderId="0" xfId="0" applyNumberFormat="1" applyFont="1" applyAlignment="1">
      <alignment horizontal="center" vertical="center"/>
    </xf>
    <xf numFmtId="41" fontId="84" fillId="4" borderId="194" xfId="0" applyNumberFormat="1" applyFont="1" applyFill="1" applyBorder="1" applyAlignment="1">
      <alignment horizontal="left" vertical="center"/>
    </xf>
    <xf numFmtId="41" fontId="84" fillId="4" borderId="195" xfId="0" applyNumberFormat="1" applyFont="1" applyFill="1" applyBorder="1" applyAlignment="1">
      <alignment horizontal="left" vertical="center"/>
    </xf>
    <xf numFmtId="41" fontId="84" fillId="4" borderId="121" xfId="0" applyNumberFormat="1" applyFont="1" applyFill="1" applyBorder="1" applyAlignment="1">
      <alignment horizontal="left" vertical="center"/>
    </xf>
    <xf numFmtId="41" fontId="84" fillId="4" borderId="117" xfId="0" applyNumberFormat="1" applyFont="1" applyFill="1" applyBorder="1" applyAlignment="1">
      <alignment horizontal="left" vertical="center"/>
    </xf>
    <xf numFmtId="192" fontId="84" fillId="4" borderId="60" xfId="0" applyNumberFormat="1" applyFont="1" applyFill="1" applyBorder="1" applyAlignment="1">
      <alignment horizontal="center" vertical="center"/>
    </xf>
    <xf numFmtId="0" fontId="162" fillId="3" borderId="0" xfId="0" applyFont="1" applyFill="1">
      <alignment vertical="center"/>
    </xf>
    <xf numFmtId="0" fontId="129" fillId="3" borderId="0" xfId="0" applyFont="1" applyFill="1">
      <alignment vertical="center"/>
    </xf>
    <xf numFmtId="41" fontId="129" fillId="4" borderId="38" xfId="0" applyNumberFormat="1" applyFont="1" applyFill="1" applyBorder="1" applyAlignment="1">
      <alignment horizontal="left" vertical="center" indent="1"/>
    </xf>
    <xf numFmtId="41" fontId="93" fillId="3" borderId="8" xfId="0" applyNumberFormat="1" applyFont="1" applyFill="1" applyBorder="1" applyAlignment="1">
      <alignment horizontal="right" vertical="center"/>
    </xf>
    <xf numFmtId="41" fontId="93" fillId="3" borderId="21" xfId="0" applyNumberFormat="1" applyFont="1" applyFill="1" applyBorder="1" applyAlignment="1">
      <alignment horizontal="right" vertical="center"/>
    </xf>
    <xf numFmtId="9" fontId="93" fillId="3" borderId="107" xfId="0" applyNumberFormat="1" applyFont="1" applyFill="1" applyBorder="1">
      <alignment vertical="center"/>
    </xf>
    <xf numFmtId="9" fontId="93" fillId="3" borderId="38" xfId="0" applyNumberFormat="1" applyFont="1" applyFill="1" applyBorder="1">
      <alignment vertical="center"/>
    </xf>
    <xf numFmtId="184" fontId="93" fillId="3" borderId="0" xfId="0" applyNumberFormat="1" applyFont="1" applyFill="1">
      <alignment vertical="center"/>
    </xf>
    <xf numFmtId="184" fontId="93" fillId="3" borderId="21" xfId="0" applyNumberFormat="1" applyFont="1" applyFill="1" applyBorder="1">
      <alignment vertical="center"/>
    </xf>
    <xf numFmtId="184" fontId="108" fillId="3" borderId="39" xfId="0" applyNumberFormat="1" applyFont="1" applyFill="1" applyBorder="1">
      <alignment vertical="center"/>
    </xf>
    <xf numFmtId="184" fontId="108" fillId="3" borderId="6" xfId="0" applyNumberFormat="1" applyFont="1" applyFill="1" applyBorder="1">
      <alignment vertical="center"/>
    </xf>
    <xf numFmtId="184" fontId="108" fillId="3" borderId="48" xfId="0" applyNumberFormat="1" applyFont="1" applyFill="1" applyBorder="1">
      <alignment vertical="center"/>
    </xf>
    <xf numFmtId="184" fontId="108" fillId="3" borderId="33" xfId="0" applyNumberFormat="1" applyFont="1" applyFill="1" applyBorder="1">
      <alignment vertical="center"/>
    </xf>
    <xf numFmtId="184" fontId="108" fillId="4" borderId="30" xfId="0" applyNumberFormat="1" applyFont="1" applyFill="1" applyBorder="1">
      <alignment vertical="center"/>
    </xf>
    <xf numFmtId="41" fontId="84" fillId="3" borderId="81" xfId="0" applyNumberFormat="1" applyFont="1" applyFill="1" applyBorder="1" applyAlignment="1">
      <alignment vertical="center" shrinkToFit="1"/>
    </xf>
    <xf numFmtId="194" fontId="84" fillId="2" borderId="0" xfId="0" applyNumberFormat="1" applyFont="1" applyFill="1" applyAlignment="1">
      <alignment horizontal="center" vertical="center"/>
    </xf>
    <xf numFmtId="194" fontId="84" fillId="4" borderId="47" xfId="0" applyNumberFormat="1" applyFont="1" applyFill="1" applyBorder="1" applyAlignment="1">
      <alignment horizontal="center" vertical="center"/>
    </xf>
    <xf numFmtId="194" fontId="84" fillId="2" borderId="107" xfId="0" applyNumberFormat="1" applyFont="1" applyFill="1" applyBorder="1" applyAlignment="1">
      <alignment horizontal="center" vertical="center"/>
    </xf>
    <xf numFmtId="43" fontId="127" fillId="3" borderId="0" xfId="0" applyNumberFormat="1" applyFont="1" applyFill="1" applyAlignment="1">
      <alignment horizontal="center" vertical="center"/>
    </xf>
    <xf numFmtId="41" fontId="127" fillId="3" borderId="0" xfId="0" applyNumberFormat="1" applyFont="1" applyFill="1" applyAlignment="1">
      <alignment horizontal="center" vertical="center"/>
    </xf>
    <xf numFmtId="183" fontId="121" fillId="3" borderId="0" xfId="0" applyNumberFormat="1" applyFont="1" applyFill="1" applyAlignment="1">
      <alignment horizontal="left" vertical="center" shrinkToFit="1"/>
    </xf>
    <xf numFmtId="183" fontId="121" fillId="3" borderId="0" xfId="0" applyNumberFormat="1" applyFont="1" applyFill="1">
      <alignment vertical="center"/>
    </xf>
    <xf numFmtId="183" fontId="141" fillId="3" borderId="0" xfId="0" applyNumberFormat="1" applyFont="1" applyFill="1">
      <alignment vertical="center"/>
    </xf>
    <xf numFmtId="41" fontId="84" fillId="0" borderId="10" xfId="0" applyNumberFormat="1" applyFont="1" applyBorder="1">
      <alignment vertical="center"/>
    </xf>
    <xf numFmtId="41" fontId="84" fillId="3" borderId="91" xfId="0" applyNumberFormat="1" applyFont="1" applyFill="1" applyBorder="1">
      <alignment vertical="center"/>
    </xf>
    <xf numFmtId="41" fontId="17" fillId="3" borderId="27" xfId="0" applyNumberFormat="1" applyFont="1" applyFill="1" applyBorder="1">
      <alignment vertical="center"/>
    </xf>
    <xf numFmtId="41" fontId="17" fillId="3" borderId="60" xfId="0" applyNumberFormat="1" applyFont="1" applyFill="1" applyBorder="1">
      <alignment vertical="center"/>
    </xf>
    <xf numFmtId="41" fontId="17" fillId="3" borderId="26" xfId="0" applyNumberFormat="1" applyFont="1" applyFill="1" applyBorder="1">
      <alignment vertical="center"/>
    </xf>
    <xf numFmtId="41" fontId="17" fillId="3" borderId="55" xfId="0" applyNumberFormat="1" applyFont="1" applyFill="1" applyBorder="1">
      <alignment vertical="center"/>
    </xf>
    <xf numFmtId="41" fontId="17" fillId="3" borderId="1" xfId="0" applyNumberFormat="1" applyFont="1" applyFill="1" applyBorder="1">
      <alignment vertical="center"/>
    </xf>
    <xf numFmtId="41" fontId="17" fillId="3" borderId="69" xfId="0" applyNumberFormat="1" applyFont="1" applyFill="1" applyBorder="1">
      <alignment vertical="center"/>
    </xf>
    <xf numFmtId="41" fontId="17" fillId="3" borderId="10" xfId="0" applyNumberFormat="1" applyFont="1" applyFill="1" applyBorder="1">
      <alignment vertical="center"/>
    </xf>
    <xf numFmtId="41" fontId="17" fillId="3" borderId="8" xfId="0" applyNumberFormat="1" applyFont="1" applyFill="1" applyBorder="1">
      <alignment vertical="center"/>
    </xf>
    <xf numFmtId="41" fontId="17" fillId="3" borderId="86" xfId="0" applyNumberFormat="1" applyFont="1" applyFill="1" applyBorder="1">
      <alignment vertical="center"/>
    </xf>
    <xf numFmtId="41" fontId="17" fillId="3" borderId="11" xfId="0" applyNumberFormat="1" applyFont="1" applyFill="1" applyBorder="1">
      <alignment vertical="center"/>
    </xf>
    <xf numFmtId="41" fontId="17" fillId="3" borderId="54" xfId="0" applyNumberFormat="1" applyFont="1" applyFill="1" applyBorder="1">
      <alignment vertical="center"/>
    </xf>
    <xf numFmtId="41" fontId="108" fillId="3" borderId="48" xfId="0" applyNumberFormat="1" applyFont="1" applyFill="1" applyBorder="1">
      <alignment vertical="center"/>
    </xf>
    <xf numFmtId="41" fontId="108" fillId="4" borderId="133" xfId="0" applyNumberFormat="1" applyFont="1" applyFill="1" applyBorder="1">
      <alignment vertical="center"/>
    </xf>
    <xf numFmtId="41" fontId="84" fillId="3" borderId="48" xfId="0" applyNumberFormat="1" applyFont="1" applyFill="1" applyBorder="1">
      <alignment vertical="center"/>
    </xf>
    <xf numFmtId="41" fontId="84" fillId="3" borderId="62" xfId="0" applyNumberFormat="1" applyFont="1" applyFill="1" applyBorder="1">
      <alignment vertical="center"/>
    </xf>
    <xf numFmtId="41" fontId="108" fillId="3" borderId="62" xfId="0" applyNumberFormat="1" applyFont="1" applyFill="1" applyBorder="1">
      <alignment vertical="center"/>
    </xf>
    <xf numFmtId="41" fontId="114" fillId="4" borderId="29" xfId="0" applyNumberFormat="1" applyFont="1" applyFill="1" applyBorder="1">
      <alignment vertical="center"/>
    </xf>
    <xf numFmtId="41" fontId="84" fillId="3" borderId="196" xfId="0" applyNumberFormat="1" applyFont="1" applyFill="1" applyBorder="1">
      <alignment vertical="center"/>
    </xf>
    <xf numFmtId="41" fontId="84" fillId="4" borderId="58" xfId="0" applyNumberFormat="1" applyFont="1" applyFill="1" applyBorder="1">
      <alignment vertical="center"/>
    </xf>
    <xf numFmtId="41" fontId="84" fillId="4" borderId="60" xfId="0" applyNumberFormat="1" applyFont="1" applyFill="1" applyBorder="1">
      <alignment vertical="center"/>
    </xf>
    <xf numFmtId="41" fontId="84" fillId="4" borderId="20" xfId="0" applyNumberFormat="1" applyFont="1" applyFill="1" applyBorder="1">
      <alignment vertical="center"/>
    </xf>
    <xf numFmtId="0" fontId="84" fillId="4" borderId="29" xfId="0" applyFont="1" applyFill="1" applyBorder="1">
      <alignment vertical="center"/>
    </xf>
    <xf numFmtId="0" fontId="108" fillId="4" borderId="19" xfId="0" applyFont="1" applyFill="1" applyBorder="1" applyAlignment="1">
      <alignment horizontal="center" vertical="center" wrapText="1"/>
    </xf>
    <xf numFmtId="41" fontId="84" fillId="0" borderId="27" xfId="0" applyNumberFormat="1" applyFont="1" applyBorder="1">
      <alignment vertical="center"/>
    </xf>
    <xf numFmtId="41" fontId="84" fillId="0" borderId="18" xfId="0" applyNumberFormat="1" applyFont="1" applyBorder="1">
      <alignment vertical="center"/>
    </xf>
    <xf numFmtId="9" fontId="84" fillId="0" borderId="28" xfId="0" applyNumberFormat="1" applyFont="1" applyBorder="1">
      <alignment vertical="center"/>
    </xf>
    <xf numFmtId="41" fontId="84" fillId="0" borderId="190" xfId="0" applyNumberFormat="1" applyFont="1" applyBorder="1">
      <alignment vertical="center"/>
    </xf>
    <xf numFmtId="41" fontId="84" fillId="0" borderId="191" xfId="0" applyNumberFormat="1" applyFont="1" applyBorder="1">
      <alignment vertical="center"/>
    </xf>
    <xf numFmtId="41" fontId="17" fillId="3" borderId="119" xfId="0" applyNumberFormat="1" applyFont="1" applyFill="1" applyBorder="1">
      <alignment vertical="center"/>
    </xf>
    <xf numFmtId="0" fontId="93" fillId="4" borderId="19" xfId="0" applyFont="1" applyFill="1" applyBorder="1" applyAlignment="1">
      <alignment horizontal="center" vertical="center"/>
    </xf>
    <xf numFmtId="0" fontId="116" fillId="4" borderId="50" xfId="0" applyFont="1" applyFill="1" applyBorder="1" applyAlignment="1">
      <alignment horizontal="center" vertical="center"/>
    </xf>
    <xf numFmtId="41" fontId="84" fillId="3" borderId="197" xfId="0" applyNumberFormat="1" applyFont="1" applyFill="1" applyBorder="1" applyAlignment="1">
      <alignment horizontal="right" vertical="center"/>
    </xf>
    <xf numFmtId="41" fontId="84" fillId="3" borderId="0" xfId="0" applyNumberFormat="1" applyFont="1" applyFill="1" applyAlignment="1">
      <alignment horizontal="right" vertical="center"/>
    </xf>
    <xf numFmtId="41" fontId="84" fillId="3" borderId="114" xfId="0" applyNumberFormat="1" applyFont="1" applyFill="1" applyBorder="1" applyAlignment="1">
      <alignment horizontal="right" vertical="center"/>
    </xf>
    <xf numFmtId="41" fontId="84" fillId="3" borderId="198" xfId="0" applyNumberFormat="1" applyFont="1" applyFill="1" applyBorder="1" applyAlignment="1">
      <alignment horizontal="right" vertical="center"/>
    </xf>
    <xf numFmtId="41" fontId="84" fillId="3" borderId="201" xfId="0" applyNumberFormat="1" applyFont="1" applyFill="1" applyBorder="1" applyAlignment="1">
      <alignment horizontal="right" vertical="center"/>
    </xf>
    <xf numFmtId="41" fontId="84" fillId="3" borderId="203" xfId="0" applyNumberFormat="1" applyFont="1" applyFill="1" applyBorder="1" applyAlignment="1">
      <alignment horizontal="right" vertical="center"/>
    </xf>
    <xf numFmtId="41" fontId="84" fillId="3" borderId="21" xfId="0" applyNumberFormat="1" applyFont="1" applyFill="1" applyBorder="1" applyAlignment="1">
      <alignment horizontal="right" vertical="center"/>
    </xf>
    <xf numFmtId="41" fontId="84" fillId="3" borderId="122" xfId="0" applyNumberFormat="1" applyFont="1" applyFill="1" applyBorder="1" applyAlignment="1">
      <alignment horizontal="right" vertical="center"/>
    </xf>
    <xf numFmtId="0" fontId="116" fillId="4" borderId="29" xfId="0" applyFont="1" applyFill="1" applyBorder="1" applyAlignment="1">
      <alignment horizontal="center" vertical="center"/>
    </xf>
    <xf numFmtId="182" fontId="116" fillId="2" borderId="49" xfId="0" applyNumberFormat="1" applyFont="1" applyFill="1" applyBorder="1" applyAlignment="1">
      <alignment horizontal="center" vertical="center"/>
    </xf>
    <xf numFmtId="182" fontId="116" fillId="2" borderId="77" xfId="0" applyNumberFormat="1" applyFont="1" applyFill="1" applyBorder="1" applyAlignment="1">
      <alignment horizontal="center" vertical="center"/>
    </xf>
    <xf numFmtId="187" fontId="116" fillId="4" borderId="17" xfId="0" applyNumberFormat="1" applyFont="1" applyFill="1" applyBorder="1" applyAlignment="1">
      <alignment horizontal="center" vertical="center"/>
    </xf>
    <xf numFmtId="41" fontId="116" fillId="4" borderId="73" xfId="0" applyNumberFormat="1" applyFont="1" applyFill="1" applyBorder="1">
      <alignment vertical="center"/>
    </xf>
    <xf numFmtId="41" fontId="93" fillId="2" borderId="0" xfId="0" applyNumberFormat="1" applyFont="1" applyFill="1" applyAlignment="1">
      <alignment horizontal="right" vertical="center"/>
    </xf>
    <xf numFmtId="9" fontId="93" fillId="2" borderId="0" xfId="0" applyNumberFormat="1" applyFont="1" applyFill="1" applyAlignment="1">
      <alignment horizontal="right" vertical="center"/>
    </xf>
    <xf numFmtId="9" fontId="93" fillId="3" borderId="0" xfId="0" applyNumberFormat="1" applyFont="1" applyFill="1" applyAlignment="1">
      <alignment horizontal="right" vertical="center"/>
    </xf>
    <xf numFmtId="41" fontId="93" fillId="3" borderId="53" xfId="0" applyNumberFormat="1" applyFont="1" applyFill="1" applyBorder="1" applyAlignment="1">
      <alignment vertical="center" shrinkToFit="1"/>
    </xf>
    <xf numFmtId="187" fontId="93" fillId="0" borderId="0" xfId="0" applyNumberFormat="1" applyFont="1" applyAlignment="1">
      <alignment vertical="center" shrinkToFit="1"/>
    </xf>
    <xf numFmtId="182" fontId="138" fillId="0" borderId="0" xfId="0" applyNumberFormat="1" applyFont="1" applyAlignment="1">
      <alignment horizontal="left" vertical="center"/>
    </xf>
    <xf numFmtId="182" fontId="116" fillId="0" borderId="0" xfId="0" applyNumberFormat="1" applyFont="1" applyAlignment="1">
      <alignment horizontal="center" vertical="center"/>
    </xf>
    <xf numFmtId="182" fontId="126" fillId="0" borderId="0" xfId="0" applyNumberFormat="1" applyFont="1" applyAlignment="1">
      <alignment horizontal="left" vertical="center"/>
    </xf>
    <xf numFmtId="41" fontId="116" fillId="3" borderId="0" xfId="0" applyNumberFormat="1" applyFont="1" applyFill="1" applyAlignment="1">
      <alignment vertical="center" shrinkToFit="1"/>
    </xf>
    <xf numFmtId="41" fontId="93" fillId="0" borderId="0" xfId="0" applyNumberFormat="1" applyFont="1" applyAlignment="1">
      <alignment horizontal="center" vertical="center"/>
    </xf>
    <xf numFmtId="41" fontId="116" fillId="0" borderId="20" xfId="0" applyNumberFormat="1" applyFont="1" applyBorder="1" applyAlignment="1">
      <alignment vertical="center" shrinkToFit="1"/>
    </xf>
    <xf numFmtId="41" fontId="138" fillId="0" borderId="0" xfId="0" applyNumberFormat="1" applyFont="1" applyAlignment="1">
      <alignment horizontal="left" vertical="center"/>
    </xf>
    <xf numFmtId="41" fontId="108" fillId="13" borderId="29" xfId="0" applyNumberFormat="1" applyFont="1" applyFill="1" applyBorder="1">
      <alignment vertical="center"/>
    </xf>
    <xf numFmtId="41" fontId="93" fillId="3" borderId="117" xfId="0" applyNumberFormat="1" applyFont="1" applyFill="1" applyBorder="1" applyAlignment="1">
      <alignment vertical="center" shrinkToFit="1"/>
    </xf>
    <xf numFmtId="41" fontId="84" fillId="4" borderId="62" xfId="0" applyNumberFormat="1" applyFont="1" applyFill="1" applyBorder="1">
      <alignment vertical="center"/>
    </xf>
    <xf numFmtId="41" fontId="93" fillId="4" borderId="196" xfId="0" applyNumberFormat="1" applyFont="1" applyFill="1" applyBorder="1">
      <alignment vertical="center"/>
    </xf>
    <xf numFmtId="41" fontId="93" fillId="4" borderId="202" xfId="0" applyNumberFormat="1" applyFont="1" applyFill="1" applyBorder="1">
      <alignment vertical="center"/>
    </xf>
    <xf numFmtId="41" fontId="84" fillId="3" borderId="202" xfId="0" applyNumberFormat="1" applyFont="1" applyFill="1" applyBorder="1">
      <alignment vertical="center"/>
    </xf>
    <xf numFmtId="41" fontId="84" fillId="3" borderId="203" xfId="0" applyNumberFormat="1" applyFont="1" applyFill="1" applyBorder="1">
      <alignment vertical="center"/>
    </xf>
    <xf numFmtId="41" fontId="93" fillId="4" borderId="56" xfId="0" applyNumberFormat="1" applyFont="1" applyFill="1" applyBorder="1">
      <alignment vertical="center"/>
    </xf>
    <xf numFmtId="41" fontId="108" fillId="4" borderId="40" xfId="0" applyNumberFormat="1" applyFont="1" applyFill="1" applyBorder="1">
      <alignment vertical="center"/>
    </xf>
    <xf numFmtId="0" fontId="108" fillId="4" borderId="67" xfId="0" applyFont="1" applyFill="1" applyBorder="1" applyAlignment="1">
      <alignment horizontal="center" vertical="center"/>
    </xf>
    <xf numFmtId="195" fontId="116" fillId="4" borderId="18" xfId="0" applyNumberFormat="1" applyFont="1" applyFill="1" applyBorder="1" applyAlignment="1">
      <alignment horizontal="center" vertical="center" wrapText="1"/>
    </xf>
    <xf numFmtId="194" fontId="84" fillId="4" borderId="27" xfId="0" applyNumberFormat="1" applyFont="1" applyFill="1" applyBorder="1">
      <alignment vertical="center"/>
    </xf>
    <xf numFmtId="194" fontId="84" fillId="4" borderId="1" xfId="0" applyNumberFormat="1" applyFont="1" applyFill="1" applyBorder="1">
      <alignment vertical="center"/>
    </xf>
    <xf numFmtId="194" fontId="84" fillId="4" borderId="5" xfId="0" applyNumberFormat="1" applyFont="1" applyFill="1" applyBorder="1">
      <alignment vertical="center"/>
    </xf>
    <xf numFmtId="194" fontId="84" fillId="4" borderId="202" xfId="0" applyNumberFormat="1" applyFont="1" applyFill="1" applyBorder="1">
      <alignment vertical="center"/>
    </xf>
    <xf numFmtId="0" fontId="116" fillId="4" borderId="196" xfId="0" applyFont="1" applyFill="1" applyBorder="1">
      <alignment vertical="center"/>
    </xf>
    <xf numFmtId="194" fontId="108" fillId="4" borderId="196" xfId="0" applyNumberFormat="1" applyFont="1" applyFill="1" applyBorder="1" applyAlignment="1">
      <alignment horizontal="center" vertical="center"/>
    </xf>
    <xf numFmtId="194" fontId="116" fillId="4" borderId="18" xfId="0" applyNumberFormat="1" applyFont="1" applyFill="1" applyBorder="1" applyAlignment="1">
      <alignment horizontal="center" vertical="center"/>
    </xf>
    <xf numFmtId="194" fontId="84" fillId="4" borderId="11" xfId="0" applyNumberFormat="1" applyFont="1" applyFill="1" applyBorder="1">
      <alignment vertical="center"/>
    </xf>
    <xf numFmtId="194" fontId="84" fillId="4" borderId="9" xfId="0" applyNumberFormat="1" applyFont="1" applyFill="1" applyBorder="1">
      <alignment vertical="center"/>
    </xf>
    <xf numFmtId="0" fontId="108" fillId="4" borderId="196" xfId="0" applyFont="1" applyFill="1" applyBorder="1" applyAlignment="1">
      <alignment horizontal="center" vertical="center"/>
    </xf>
    <xf numFmtId="194" fontId="93" fillId="4" borderId="1" xfId="0" applyNumberFormat="1" applyFont="1" applyFill="1" applyBorder="1" applyAlignment="1">
      <alignment horizontal="right" vertical="center"/>
    </xf>
    <xf numFmtId="41" fontId="120" fillId="3" borderId="0" xfId="0" applyNumberFormat="1" applyFont="1" applyFill="1" applyAlignment="1">
      <alignment horizontal="left" vertical="center"/>
    </xf>
    <xf numFmtId="41" fontId="116" fillId="0" borderId="55" xfId="0" applyNumberFormat="1" applyFont="1" applyBorder="1" applyAlignment="1">
      <alignment horizontal="center" vertical="center"/>
    </xf>
    <xf numFmtId="41" fontId="116" fillId="0" borderId="1" xfId="0" applyNumberFormat="1" applyFont="1" applyBorder="1" applyAlignment="1">
      <alignment horizontal="center" vertical="center"/>
    </xf>
    <xf numFmtId="41" fontId="116" fillId="0" borderId="69" xfId="0" applyNumberFormat="1" applyFont="1" applyBorder="1" applyAlignment="1">
      <alignment horizontal="center" vertical="center"/>
    </xf>
    <xf numFmtId="41" fontId="116" fillId="4" borderId="67" xfId="0" applyNumberFormat="1" applyFont="1" applyFill="1" applyBorder="1" applyAlignment="1">
      <alignment horizontal="center" vertical="center"/>
    </xf>
    <xf numFmtId="41" fontId="116" fillId="4" borderId="29" xfId="0" applyNumberFormat="1" applyFont="1" applyFill="1" applyBorder="1" applyAlignment="1">
      <alignment horizontal="center" vertical="center"/>
    </xf>
    <xf numFmtId="41" fontId="93" fillId="0" borderId="55" xfId="0" applyNumberFormat="1" applyFont="1" applyBorder="1">
      <alignment vertical="center"/>
    </xf>
    <xf numFmtId="41" fontId="93" fillId="0" borderId="35" xfId="0" applyNumberFormat="1" applyFont="1" applyBorder="1">
      <alignment vertical="center"/>
    </xf>
    <xf numFmtId="41" fontId="93" fillId="0" borderId="5" xfId="0" applyNumberFormat="1" applyFont="1" applyBorder="1">
      <alignment vertical="center"/>
    </xf>
    <xf numFmtId="41" fontId="93" fillId="0" borderId="47" xfId="0" applyNumberFormat="1" applyFont="1" applyBorder="1">
      <alignment vertical="center"/>
    </xf>
    <xf numFmtId="41" fontId="93" fillId="4" borderId="28" xfId="0" applyNumberFormat="1" applyFont="1" applyFill="1" applyBorder="1">
      <alignment vertical="center"/>
    </xf>
    <xf numFmtId="41" fontId="84" fillId="4" borderId="24" xfId="0" applyNumberFormat="1" applyFont="1" applyFill="1" applyBorder="1">
      <alignment vertical="center"/>
    </xf>
    <xf numFmtId="41" fontId="108" fillId="4" borderId="202" xfId="0" applyNumberFormat="1" applyFont="1" applyFill="1" applyBorder="1">
      <alignment vertical="center"/>
    </xf>
    <xf numFmtId="41" fontId="108" fillId="4" borderId="203" xfId="0" applyNumberFormat="1" applyFont="1" applyFill="1" applyBorder="1">
      <alignment vertical="center"/>
    </xf>
    <xf numFmtId="41" fontId="108" fillId="4" borderId="198" xfId="0" applyNumberFormat="1" applyFont="1" applyFill="1" applyBorder="1">
      <alignment vertical="center"/>
    </xf>
    <xf numFmtId="41" fontId="108" fillId="4" borderId="199" xfId="0" applyNumberFormat="1" applyFont="1" applyFill="1" applyBorder="1">
      <alignment vertical="center"/>
    </xf>
    <xf numFmtId="41" fontId="84" fillId="4" borderId="87" xfId="0" applyNumberFormat="1" applyFont="1" applyFill="1" applyBorder="1">
      <alignment vertical="center"/>
    </xf>
    <xf numFmtId="41" fontId="84" fillId="4" borderId="90" xfId="0" applyNumberFormat="1" applyFont="1" applyFill="1" applyBorder="1">
      <alignment vertical="center"/>
    </xf>
    <xf numFmtId="41" fontId="84" fillId="4" borderId="56" xfId="0" applyNumberFormat="1" applyFont="1" applyFill="1" applyBorder="1">
      <alignment vertical="center"/>
    </xf>
    <xf numFmtId="41" fontId="116" fillId="3" borderId="55" xfId="0" applyNumberFormat="1" applyFont="1" applyFill="1" applyBorder="1">
      <alignment vertical="center"/>
    </xf>
    <xf numFmtId="41" fontId="116" fillId="3" borderId="1" xfId="0" applyNumberFormat="1" applyFont="1" applyFill="1" applyBorder="1">
      <alignment vertical="center"/>
    </xf>
    <xf numFmtId="41" fontId="116" fillId="3" borderId="69" xfId="0" applyNumberFormat="1" applyFont="1" applyFill="1" applyBorder="1">
      <alignment vertical="center"/>
    </xf>
    <xf numFmtId="185" fontId="84" fillId="0" borderId="0" xfId="0" applyNumberFormat="1" applyFont="1">
      <alignment vertical="center"/>
    </xf>
    <xf numFmtId="41" fontId="108" fillId="3" borderId="17" xfId="0" applyNumberFormat="1" applyFont="1" applyFill="1" applyBorder="1" applyAlignment="1">
      <alignment horizontal="right" vertical="center"/>
    </xf>
    <xf numFmtId="41" fontId="108" fillId="3" borderId="18" xfId="0" applyNumberFormat="1" applyFont="1" applyFill="1" applyBorder="1" applyAlignment="1">
      <alignment horizontal="right" vertical="center"/>
    </xf>
    <xf numFmtId="41" fontId="108" fillId="3" borderId="19" xfId="0" applyNumberFormat="1" applyFont="1" applyFill="1" applyBorder="1" applyAlignment="1">
      <alignment horizontal="right" vertical="center"/>
    </xf>
    <xf numFmtId="41" fontId="108" fillId="3" borderId="67" xfId="0" applyNumberFormat="1" applyFont="1" applyFill="1" applyBorder="1" applyAlignment="1">
      <alignment horizontal="right" vertical="center"/>
    </xf>
    <xf numFmtId="41" fontId="108" fillId="2" borderId="13" xfId="0" applyNumberFormat="1" applyFont="1" applyFill="1" applyBorder="1">
      <alignment vertical="center"/>
    </xf>
    <xf numFmtId="41" fontId="108" fillId="2" borderId="59" xfId="0" applyNumberFormat="1" applyFont="1" applyFill="1" applyBorder="1">
      <alignment vertical="center"/>
    </xf>
    <xf numFmtId="41" fontId="108" fillId="2" borderId="46" xfId="0" applyNumberFormat="1" applyFont="1" applyFill="1" applyBorder="1">
      <alignment vertical="center"/>
    </xf>
    <xf numFmtId="187" fontId="84" fillId="3" borderId="55" xfId="0" applyNumberFormat="1" applyFont="1" applyFill="1" applyBorder="1">
      <alignment vertical="center"/>
    </xf>
    <xf numFmtId="185" fontId="84" fillId="3" borderId="10" xfId="0" applyNumberFormat="1" applyFont="1" applyFill="1" applyBorder="1">
      <alignment vertical="center"/>
    </xf>
    <xf numFmtId="185" fontId="84" fillId="3" borderId="8" xfId="0" applyNumberFormat="1" applyFont="1" applyFill="1" applyBorder="1">
      <alignment vertical="center"/>
    </xf>
    <xf numFmtId="185" fontId="84" fillId="3" borderId="45" xfId="0" applyNumberFormat="1" applyFont="1" applyFill="1" applyBorder="1">
      <alignment vertical="center"/>
    </xf>
    <xf numFmtId="185" fontId="84" fillId="3" borderId="18" xfId="0" applyNumberFormat="1" applyFont="1" applyFill="1" applyBorder="1">
      <alignment vertical="center"/>
    </xf>
    <xf numFmtId="185" fontId="84" fillId="3" borderId="20" xfId="0" applyNumberFormat="1" applyFont="1" applyFill="1" applyBorder="1">
      <alignment vertical="center"/>
    </xf>
    <xf numFmtId="185" fontId="84" fillId="3" borderId="17" xfId="0" applyNumberFormat="1" applyFont="1" applyFill="1" applyBorder="1">
      <alignment vertical="center"/>
    </xf>
    <xf numFmtId="41" fontId="108" fillId="4" borderId="43" xfId="0" applyNumberFormat="1" applyFont="1" applyFill="1" applyBorder="1">
      <alignment vertical="center"/>
    </xf>
    <xf numFmtId="185" fontId="84" fillId="0" borderId="1" xfId="0" applyNumberFormat="1" applyFont="1" applyBorder="1">
      <alignment vertical="center"/>
    </xf>
    <xf numFmtId="41" fontId="84" fillId="0" borderId="85" xfId="0" applyNumberFormat="1" applyFont="1" applyBorder="1">
      <alignment vertical="center"/>
    </xf>
    <xf numFmtId="41" fontId="84" fillId="0" borderId="61" xfId="0" applyNumberFormat="1" applyFont="1" applyBorder="1">
      <alignment vertical="center"/>
    </xf>
    <xf numFmtId="185" fontId="84" fillId="0" borderId="35" xfId="0" applyNumberFormat="1" applyFont="1" applyBorder="1">
      <alignment vertical="center"/>
    </xf>
    <xf numFmtId="185" fontId="84" fillId="0" borderId="56" xfId="0" applyNumberFormat="1" applyFont="1" applyBorder="1">
      <alignment vertical="center"/>
    </xf>
    <xf numFmtId="185" fontId="84" fillId="0" borderId="110" xfId="0" applyNumberFormat="1" applyFont="1" applyBorder="1">
      <alignment vertical="center"/>
    </xf>
    <xf numFmtId="41" fontId="108" fillId="4" borderId="107" xfId="0" applyNumberFormat="1" applyFont="1" applyFill="1" applyBorder="1">
      <alignment vertical="center"/>
    </xf>
    <xf numFmtId="0" fontId="108" fillId="4" borderId="16" xfId="0" applyFont="1" applyFill="1" applyBorder="1" applyAlignment="1">
      <alignment horizontal="center" vertical="center"/>
    </xf>
    <xf numFmtId="41" fontId="108" fillId="4" borderId="15" xfId="0" applyNumberFormat="1" applyFont="1" applyFill="1" applyBorder="1" applyAlignment="1">
      <alignment vertical="center" shrinkToFit="1"/>
    </xf>
    <xf numFmtId="41" fontId="108" fillId="4" borderId="16" xfId="0" applyNumberFormat="1" applyFont="1" applyFill="1" applyBorder="1" applyAlignment="1">
      <alignment vertical="center" shrinkToFit="1"/>
    </xf>
    <xf numFmtId="0" fontId="84" fillId="0" borderId="186" xfId="0" applyFont="1" applyBorder="1">
      <alignment vertical="center"/>
    </xf>
    <xf numFmtId="184" fontId="84" fillId="3" borderId="58" xfId="0" applyNumberFormat="1" applyFont="1" applyFill="1" applyBorder="1" applyAlignment="1">
      <alignment horizontal="right" vertical="center"/>
    </xf>
    <xf numFmtId="184" fontId="84" fillId="3" borderId="27" xfId="0" applyNumberFormat="1" applyFont="1" applyFill="1" applyBorder="1" applyAlignment="1">
      <alignment horizontal="right" vertical="center"/>
    </xf>
    <xf numFmtId="184" fontId="84" fillId="3" borderId="65" xfId="0" applyNumberFormat="1" applyFont="1" applyFill="1" applyBorder="1" applyAlignment="1">
      <alignment horizontal="right" vertical="center"/>
    </xf>
    <xf numFmtId="184" fontId="84" fillId="3" borderId="55" xfId="0" applyNumberFormat="1" applyFont="1" applyFill="1" applyBorder="1" applyAlignment="1">
      <alignment horizontal="right" vertical="center"/>
    </xf>
    <xf numFmtId="184" fontId="84" fillId="3" borderId="1" xfId="0" applyNumberFormat="1" applyFont="1" applyFill="1" applyBorder="1" applyAlignment="1">
      <alignment horizontal="right" vertical="center"/>
    </xf>
    <xf numFmtId="184" fontId="84" fillId="3" borderId="8" xfId="0" applyNumberFormat="1" applyFont="1" applyFill="1" applyBorder="1" applyAlignment="1">
      <alignment horizontal="right" vertical="center"/>
    </xf>
    <xf numFmtId="41" fontId="84" fillId="2" borderId="109" xfId="0" applyNumberFormat="1" applyFont="1" applyFill="1" applyBorder="1" applyAlignment="1">
      <alignment horizontal="center" vertical="center"/>
    </xf>
    <xf numFmtId="41" fontId="84" fillId="2" borderId="112" xfId="0" applyNumberFormat="1" applyFont="1" applyFill="1" applyBorder="1" applyAlignment="1">
      <alignment horizontal="center" vertical="center"/>
    </xf>
    <xf numFmtId="41" fontId="84" fillId="2" borderId="32" xfId="0" applyNumberFormat="1" applyFont="1" applyFill="1" applyBorder="1" applyAlignment="1">
      <alignment horizontal="center" vertical="center"/>
    </xf>
    <xf numFmtId="41" fontId="84" fillId="2" borderId="36" xfId="0" applyNumberFormat="1" applyFont="1" applyFill="1" applyBorder="1" applyAlignment="1">
      <alignment horizontal="center" vertical="center"/>
    </xf>
    <xf numFmtId="41" fontId="84" fillId="2" borderId="21" xfId="0" applyNumberFormat="1" applyFont="1" applyFill="1" applyBorder="1">
      <alignment vertical="center"/>
    </xf>
    <xf numFmtId="185" fontId="84" fillId="2" borderId="56" xfId="0" applyNumberFormat="1" applyFont="1" applyFill="1" applyBorder="1">
      <alignment vertical="center"/>
    </xf>
    <xf numFmtId="185" fontId="84" fillId="2" borderId="5" xfId="0" applyNumberFormat="1" applyFont="1" applyFill="1" applyBorder="1">
      <alignment vertical="center"/>
    </xf>
    <xf numFmtId="185" fontId="84" fillId="2" borderId="47" xfId="0" applyNumberFormat="1" applyFont="1" applyFill="1" applyBorder="1">
      <alignment vertical="center"/>
    </xf>
    <xf numFmtId="184" fontId="84" fillId="0" borderId="28" xfId="0" applyNumberFormat="1" applyFont="1" applyBorder="1" applyAlignment="1">
      <alignment horizontal="right" vertical="center"/>
    </xf>
    <xf numFmtId="182" fontId="108" fillId="4" borderId="77" xfId="0" applyNumberFormat="1" applyFont="1" applyFill="1" applyBorder="1" applyAlignment="1">
      <alignment horizontal="center" vertical="center"/>
    </xf>
    <xf numFmtId="41" fontId="108" fillId="3" borderId="20" xfId="0" applyNumberFormat="1" applyFont="1" applyFill="1" applyBorder="1" applyAlignment="1">
      <alignment horizontal="right" vertical="center"/>
    </xf>
    <xf numFmtId="41" fontId="108" fillId="4" borderId="29" xfId="0" applyNumberFormat="1" applyFont="1" applyFill="1" applyBorder="1" applyAlignment="1">
      <alignment horizontal="center" vertical="center" wrapText="1"/>
    </xf>
    <xf numFmtId="41" fontId="84" fillId="0" borderId="14" xfId="0" applyNumberFormat="1" applyFont="1" applyBorder="1" applyAlignment="1">
      <alignment horizontal="right" vertical="center"/>
    </xf>
    <xf numFmtId="41" fontId="84" fillId="0" borderId="57" xfId="0" applyNumberFormat="1" applyFont="1" applyBorder="1" applyAlignment="1">
      <alignment horizontal="right" vertical="center"/>
    </xf>
    <xf numFmtId="41" fontId="84" fillId="0" borderId="31" xfId="0" applyNumberFormat="1" applyFont="1" applyBorder="1" applyAlignment="1">
      <alignment horizontal="right" vertical="center"/>
    </xf>
    <xf numFmtId="41" fontId="84" fillId="0" borderId="106" xfId="0" applyNumberFormat="1" applyFont="1" applyBorder="1" applyAlignment="1">
      <alignment horizontal="right" vertical="center"/>
    </xf>
    <xf numFmtId="41" fontId="84" fillId="0" borderId="187" xfId="0" applyNumberFormat="1" applyFont="1" applyBorder="1" applyAlignment="1">
      <alignment horizontal="right" vertical="center"/>
    </xf>
    <xf numFmtId="216" fontId="114" fillId="4" borderId="29" xfId="0" applyNumberFormat="1" applyFont="1" applyFill="1" applyBorder="1">
      <alignment vertical="center"/>
    </xf>
    <xf numFmtId="0" fontId="108" fillId="4" borderId="14" xfId="0" applyFont="1" applyFill="1" applyBorder="1" applyAlignment="1">
      <alignment horizontal="center" vertical="center" wrapText="1"/>
    </xf>
    <xf numFmtId="185" fontId="84" fillId="3" borderId="19" xfId="0" applyNumberFormat="1" applyFont="1" applyFill="1" applyBorder="1">
      <alignment vertical="center"/>
    </xf>
    <xf numFmtId="185" fontId="84" fillId="3" borderId="67" xfId="0" applyNumberFormat="1" applyFont="1" applyFill="1" applyBorder="1">
      <alignment vertical="center"/>
    </xf>
    <xf numFmtId="41" fontId="84" fillId="4" borderId="14" xfId="0" applyNumberFormat="1" applyFont="1" applyFill="1" applyBorder="1">
      <alignment vertical="center"/>
    </xf>
    <xf numFmtId="185" fontId="84" fillId="4" borderId="31" xfId="0" applyNumberFormat="1" applyFont="1" applyFill="1" applyBorder="1">
      <alignment vertical="center"/>
    </xf>
    <xf numFmtId="41" fontId="84" fillId="4" borderId="57" xfId="0" applyNumberFormat="1" applyFont="1" applyFill="1" applyBorder="1">
      <alignment vertical="center"/>
    </xf>
    <xf numFmtId="41" fontId="84" fillId="4" borderId="31" xfId="0" applyNumberFormat="1" applyFont="1" applyFill="1" applyBorder="1">
      <alignment vertical="center"/>
    </xf>
    <xf numFmtId="187" fontId="84" fillId="0" borderId="24" xfId="0" applyNumberFormat="1" applyFont="1" applyBorder="1">
      <alignment vertical="center"/>
    </xf>
    <xf numFmtId="180" fontId="114" fillId="12" borderId="28" xfId="0" applyNumberFormat="1" applyFont="1" applyFill="1" applyBorder="1">
      <alignment vertical="center"/>
    </xf>
    <xf numFmtId="194" fontId="114" fillId="12" borderId="28" xfId="0" applyNumberFormat="1" applyFont="1" applyFill="1" applyBorder="1">
      <alignment vertical="center"/>
    </xf>
    <xf numFmtId="180" fontId="114" fillId="12" borderId="28" xfId="0" applyNumberFormat="1" applyFont="1" applyFill="1" applyBorder="1" applyAlignment="1">
      <alignment horizontal="center" vertical="center"/>
    </xf>
    <xf numFmtId="9" fontId="114" fillId="12" borderId="28" xfId="0" applyNumberFormat="1" applyFont="1" applyFill="1" applyBorder="1">
      <alignment vertical="center"/>
    </xf>
    <xf numFmtId="184" fontId="84" fillId="3" borderId="60" xfId="0" applyNumberFormat="1" applyFont="1" applyFill="1" applyBorder="1" applyAlignment="1">
      <alignment horizontal="right" vertical="center"/>
    </xf>
    <xf numFmtId="184" fontId="84" fillId="4" borderId="14" xfId="0" applyNumberFormat="1" applyFont="1" applyFill="1" applyBorder="1" applyAlignment="1">
      <alignment horizontal="right" vertical="center"/>
    </xf>
    <xf numFmtId="184" fontId="84" fillId="3" borderId="69" xfId="0" applyNumberFormat="1" applyFont="1" applyFill="1" applyBorder="1" applyAlignment="1">
      <alignment horizontal="right" vertical="center"/>
    </xf>
    <xf numFmtId="184" fontId="84" fillId="4" borderId="31" xfId="0" applyNumberFormat="1" applyFont="1" applyFill="1" applyBorder="1" applyAlignment="1">
      <alignment horizontal="right" vertical="center"/>
    </xf>
    <xf numFmtId="41" fontId="108" fillId="4" borderId="148" xfId="0" applyNumberFormat="1" applyFont="1" applyFill="1" applyBorder="1" applyAlignment="1">
      <alignment horizontal="center" vertical="center" wrapText="1"/>
    </xf>
    <xf numFmtId="185" fontId="84" fillId="0" borderId="0" xfId="0" applyNumberFormat="1" applyFont="1" applyAlignment="1">
      <alignment horizontal="right" vertical="center"/>
    </xf>
    <xf numFmtId="41" fontId="108" fillId="3" borderId="0" xfId="0" applyNumberFormat="1" applyFont="1" applyFill="1" applyAlignment="1">
      <alignment horizontal="center" vertical="center"/>
    </xf>
    <xf numFmtId="0" fontId="84" fillId="4" borderId="32" xfId="0" applyFont="1" applyFill="1" applyBorder="1" applyAlignment="1">
      <alignment horizontal="center" vertical="center"/>
    </xf>
    <xf numFmtId="184" fontId="84" fillId="28" borderId="28" xfId="0" applyNumberFormat="1" applyFont="1" applyFill="1" applyBorder="1" applyAlignment="1">
      <alignment horizontal="right" vertical="center"/>
    </xf>
    <xf numFmtId="184" fontId="84" fillId="4" borderId="33" xfId="0" applyNumberFormat="1" applyFont="1" applyFill="1" applyBorder="1" applyAlignment="1">
      <alignment horizontal="center" vertical="center"/>
    </xf>
    <xf numFmtId="182" fontId="108" fillId="2" borderId="49" xfId="0" applyNumberFormat="1" applyFont="1" applyFill="1" applyBorder="1" applyAlignment="1">
      <alignment horizontal="center" vertical="center"/>
    </xf>
    <xf numFmtId="182" fontId="108" fillId="2" borderId="77" xfId="0" applyNumberFormat="1" applyFont="1" applyFill="1" applyBorder="1" applyAlignment="1">
      <alignment horizontal="center" vertical="center"/>
    </xf>
    <xf numFmtId="41" fontId="84" fillId="0" borderId="44" xfId="0" applyNumberFormat="1" applyFont="1" applyBorder="1">
      <alignment vertical="center"/>
    </xf>
    <xf numFmtId="0" fontId="84" fillId="0" borderId="75" xfId="0" applyFont="1" applyBorder="1">
      <alignment vertical="center"/>
    </xf>
    <xf numFmtId="41" fontId="84" fillId="4" borderId="201" xfId="0" applyNumberFormat="1" applyFont="1" applyFill="1" applyBorder="1">
      <alignment vertical="center"/>
    </xf>
    <xf numFmtId="41" fontId="84" fillId="4" borderId="202" xfId="0" applyNumberFormat="1" applyFont="1" applyFill="1" applyBorder="1">
      <alignment vertical="center"/>
    </xf>
    <xf numFmtId="192" fontId="84" fillId="4" borderId="202" xfId="0" applyNumberFormat="1" applyFont="1" applyFill="1" applyBorder="1" applyAlignment="1">
      <alignment horizontal="center" vertical="center"/>
    </xf>
    <xf numFmtId="192" fontId="84" fillId="4" borderId="197" xfId="0" applyNumberFormat="1" applyFont="1" applyFill="1" applyBorder="1" applyAlignment="1">
      <alignment horizontal="center" vertical="center"/>
    </xf>
    <xf numFmtId="41" fontId="93" fillId="3" borderId="201" xfId="0" applyNumberFormat="1" applyFont="1" applyFill="1" applyBorder="1">
      <alignment vertical="center"/>
    </xf>
    <xf numFmtId="41" fontId="93" fillId="3" borderId="202" xfId="0" applyNumberFormat="1" applyFont="1" applyFill="1" applyBorder="1">
      <alignment vertical="center"/>
    </xf>
    <xf numFmtId="41" fontId="93" fillId="3" borderId="203" xfId="0" applyNumberFormat="1" applyFont="1" applyFill="1" applyBorder="1">
      <alignment vertical="center"/>
    </xf>
    <xf numFmtId="0" fontId="93" fillId="0" borderId="196" xfId="0" applyFont="1" applyBorder="1" applyAlignment="1">
      <alignment horizontal="center" vertical="center"/>
    </xf>
    <xf numFmtId="0" fontId="93" fillId="0" borderId="196" xfId="0" applyFont="1" applyBorder="1">
      <alignment vertical="center"/>
    </xf>
    <xf numFmtId="9" fontId="93" fillId="2" borderId="196" xfId="0" applyNumberFormat="1" applyFont="1" applyFill="1" applyBorder="1" applyAlignment="1">
      <alignment horizontal="center" vertical="center"/>
    </xf>
    <xf numFmtId="195" fontId="93" fillId="2" borderId="196" xfId="0" applyNumberFormat="1" applyFont="1" applyFill="1" applyBorder="1">
      <alignment vertical="center"/>
    </xf>
    <xf numFmtId="198" fontId="93" fillId="2" borderId="196" xfId="0" applyNumberFormat="1" applyFont="1" applyFill="1" applyBorder="1">
      <alignment vertical="center"/>
    </xf>
    <xf numFmtId="182" fontId="93" fillId="2" borderId="196" xfId="0" applyNumberFormat="1" applyFont="1" applyFill="1" applyBorder="1">
      <alignment vertical="center"/>
    </xf>
    <xf numFmtId="41" fontId="93" fillId="2" borderId="196" xfId="0" applyNumberFormat="1" applyFont="1" applyFill="1" applyBorder="1">
      <alignment vertical="center"/>
    </xf>
    <xf numFmtId="0" fontId="93" fillId="2" borderId="196" xfId="0" applyFont="1" applyFill="1" applyBorder="1">
      <alignment vertical="center"/>
    </xf>
    <xf numFmtId="9" fontId="84" fillId="0" borderId="196" xfId="0" applyNumberFormat="1" applyFont="1" applyBorder="1">
      <alignment vertical="center"/>
    </xf>
    <xf numFmtId="0" fontId="108" fillId="3" borderId="50" xfId="0" applyFont="1" applyFill="1" applyBorder="1" applyAlignment="1">
      <alignment horizontal="center" vertical="top"/>
    </xf>
    <xf numFmtId="187" fontId="93" fillId="3" borderId="50" xfId="0" applyNumberFormat="1" applyFont="1" applyFill="1" applyBorder="1">
      <alignment vertical="center"/>
    </xf>
    <xf numFmtId="187" fontId="84" fillId="3" borderId="50" xfId="0" applyNumberFormat="1" applyFont="1" applyFill="1" applyBorder="1">
      <alignment vertical="center"/>
    </xf>
    <xf numFmtId="41" fontId="84" fillId="4" borderId="197" xfId="0" applyNumberFormat="1" applyFont="1" applyFill="1" applyBorder="1">
      <alignment vertical="center"/>
    </xf>
    <xf numFmtId="41" fontId="84" fillId="4" borderId="107" xfId="0" applyNumberFormat="1" applyFont="1" applyFill="1" applyBorder="1">
      <alignment vertical="center"/>
    </xf>
    <xf numFmtId="195" fontId="93" fillId="4" borderId="202" xfId="0" applyNumberFormat="1" applyFont="1" applyFill="1" applyBorder="1">
      <alignment vertical="center"/>
    </xf>
    <xf numFmtId="41" fontId="93" fillId="3" borderId="198" xfId="0" applyNumberFormat="1" applyFont="1" applyFill="1" applyBorder="1">
      <alignment vertical="center"/>
    </xf>
    <xf numFmtId="193" fontId="93" fillId="3" borderId="201" xfId="0" applyNumberFormat="1" applyFont="1" applyFill="1" applyBorder="1">
      <alignment vertical="center"/>
    </xf>
    <xf numFmtId="193" fontId="93" fillId="3" borderId="198" xfId="0" applyNumberFormat="1" applyFont="1" applyFill="1" applyBorder="1">
      <alignment vertical="center"/>
    </xf>
    <xf numFmtId="193" fontId="93" fillId="3" borderId="202" xfId="0" applyNumberFormat="1" applyFont="1" applyFill="1" applyBorder="1">
      <alignment vertical="center"/>
    </xf>
    <xf numFmtId="193" fontId="93" fillId="3" borderId="203" xfId="0" applyNumberFormat="1" applyFont="1" applyFill="1" applyBorder="1">
      <alignment vertical="center"/>
    </xf>
    <xf numFmtId="9" fontId="93" fillId="4" borderId="202" xfId="0" applyNumberFormat="1" applyFont="1" applyFill="1" applyBorder="1" applyAlignment="1">
      <alignment horizontal="right" vertical="center"/>
    </xf>
    <xf numFmtId="196" fontId="93" fillId="3" borderId="202" xfId="0" applyNumberFormat="1" applyFont="1" applyFill="1" applyBorder="1" applyAlignment="1">
      <alignment horizontal="right" vertical="center"/>
    </xf>
    <xf numFmtId="196" fontId="93" fillId="3" borderId="203" xfId="0" applyNumberFormat="1" applyFont="1" applyFill="1" applyBorder="1" applyAlignment="1">
      <alignment horizontal="right" vertical="center"/>
    </xf>
    <xf numFmtId="196" fontId="93" fillId="3" borderId="64" xfId="0" applyNumberFormat="1" applyFont="1" applyFill="1" applyBorder="1" applyAlignment="1">
      <alignment horizontal="right" vertical="center"/>
    </xf>
    <xf numFmtId="193" fontId="108" fillId="4" borderId="57" xfId="0" applyNumberFormat="1" applyFont="1" applyFill="1" applyBorder="1">
      <alignment vertical="center"/>
    </xf>
    <xf numFmtId="196" fontId="93" fillId="3" borderId="5" xfId="0" applyNumberFormat="1" applyFont="1" applyFill="1" applyBorder="1" applyAlignment="1">
      <alignment horizontal="right" vertical="center"/>
    </xf>
    <xf numFmtId="196" fontId="93" fillId="3" borderId="47" xfId="0" applyNumberFormat="1" applyFont="1" applyFill="1" applyBorder="1" applyAlignment="1">
      <alignment horizontal="right" vertical="center"/>
    </xf>
    <xf numFmtId="196" fontId="93" fillId="3" borderId="35" xfId="0" applyNumberFormat="1" applyFont="1" applyFill="1" applyBorder="1" applyAlignment="1">
      <alignment horizontal="right" vertical="center"/>
    </xf>
    <xf numFmtId="193" fontId="108" fillId="4" borderId="44" xfId="0" applyNumberFormat="1" applyFont="1" applyFill="1" applyBorder="1">
      <alignment vertical="center"/>
    </xf>
    <xf numFmtId="193" fontId="93" fillId="3" borderId="35" xfId="0" applyNumberFormat="1" applyFont="1" applyFill="1" applyBorder="1">
      <alignment vertical="center"/>
    </xf>
    <xf numFmtId="41" fontId="93" fillId="4" borderId="90" xfId="0" applyNumberFormat="1" applyFont="1" applyFill="1" applyBorder="1">
      <alignment vertical="center"/>
    </xf>
    <xf numFmtId="41" fontId="93" fillId="4" borderId="4" xfId="0" applyNumberFormat="1" applyFont="1" applyFill="1" applyBorder="1">
      <alignment vertical="center"/>
    </xf>
    <xf numFmtId="9" fontId="93" fillId="4" borderId="4" xfId="0" applyNumberFormat="1" applyFont="1" applyFill="1" applyBorder="1" applyAlignment="1">
      <alignment horizontal="right" vertical="center"/>
    </xf>
    <xf numFmtId="182" fontId="108" fillId="4" borderId="32" xfId="0" applyNumberFormat="1" applyFont="1" applyFill="1" applyBorder="1" applyAlignment="1">
      <alignment horizontal="center" vertical="center"/>
    </xf>
    <xf numFmtId="0" fontId="84" fillId="4" borderId="202" xfId="0" applyFont="1" applyFill="1" applyBorder="1" applyAlignment="1">
      <alignment horizontal="center" vertical="center"/>
    </xf>
    <xf numFmtId="0" fontId="84" fillId="4" borderId="201" xfId="0" applyFont="1" applyFill="1" applyBorder="1" applyAlignment="1">
      <alignment horizontal="left" vertical="center"/>
    </xf>
    <xf numFmtId="9" fontId="108" fillId="4" borderId="202" xfId="0" applyNumberFormat="1" applyFont="1" applyFill="1" applyBorder="1" applyAlignment="1">
      <alignment horizontal="center" vertical="center"/>
    </xf>
    <xf numFmtId="182" fontId="108" fillId="4" borderId="203" xfId="0" applyNumberFormat="1" applyFont="1" applyFill="1" applyBorder="1" applyAlignment="1">
      <alignment horizontal="center" vertical="center"/>
    </xf>
    <xf numFmtId="0" fontId="116" fillId="4" borderId="64" xfId="0" applyFont="1" applyFill="1" applyBorder="1">
      <alignment vertical="center"/>
    </xf>
    <xf numFmtId="0" fontId="116" fillId="4" borderId="61" xfId="0" applyFont="1" applyFill="1" applyBorder="1">
      <alignment vertical="center"/>
    </xf>
    <xf numFmtId="41" fontId="84" fillId="4" borderId="68" xfId="0" applyNumberFormat="1" applyFont="1" applyFill="1" applyBorder="1">
      <alignment vertical="center"/>
    </xf>
    <xf numFmtId="200" fontId="116" fillId="0" borderId="24" xfId="0" applyNumberFormat="1" applyFont="1" applyBorder="1">
      <alignment vertical="center"/>
    </xf>
    <xf numFmtId="200" fontId="116" fillId="0" borderId="21" xfId="0" applyNumberFormat="1" applyFont="1" applyBorder="1">
      <alignment vertical="center"/>
    </xf>
    <xf numFmtId="200" fontId="116" fillId="0" borderId="1" xfId="0" applyNumberFormat="1" applyFont="1" applyBorder="1">
      <alignment vertical="center"/>
    </xf>
    <xf numFmtId="0" fontId="111" fillId="27" borderId="0" xfId="0" applyFont="1" applyFill="1">
      <alignment vertical="center"/>
    </xf>
    <xf numFmtId="0" fontId="110" fillId="27" borderId="0" xfId="0" applyFont="1" applyFill="1">
      <alignment vertical="center"/>
    </xf>
    <xf numFmtId="41" fontId="6" fillId="27" borderId="0" xfId="0" applyNumberFormat="1" applyFont="1" applyFill="1">
      <alignment vertical="center"/>
    </xf>
    <xf numFmtId="0" fontId="6" fillId="27" borderId="0" xfId="0" applyFont="1" applyFill="1">
      <alignment vertical="center"/>
    </xf>
    <xf numFmtId="0" fontId="84" fillId="27" borderId="0" xfId="0" applyFont="1" applyFill="1" applyAlignment="1">
      <alignment horizontal="right" vertical="center"/>
    </xf>
    <xf numFmtId="0" fontId="149" fillId="0" borderId="0" xfId="0" applyFont="1" applyAlignment="1">
      <alignment horizontal="left" vertical="center"/>
    </xf>
    <xf numFmtId="41" fontId="84" fillId="4" borderId="91" xfId="0" applyNumberFormat="1" applyFont="1" applyFill="1" applyBorder="1" applyAlignment="1">
      <alignment horizontal="center" vertical="center"/>
    </xf>
    <xf numFmtId="0" fontId="116" fillId="4" borderId="91" xfId="0" applyFont="1" applyFill="1" applyBorder="1">
      <alignment vertical="center"/>
    </xf>
    <xf numFmtId="9" fontId="116" fillId="4" borderId="91" xfId="0" applyNumberFormat="1" applyFont="1" applyFill="1" applyBorder="1">
      <alignment vertical="center"/>
    </xf>
    <xf numFmtId="182" fontId="108" fillId="4" borderId="91" xfId="0" applyNumberFormat="1" applyFont="1" applyFill="1" applyBorder="1" applyAlignment="1">
      <alignment horizontal="center" vertical="center"/>
    </xf>
    <xf numFmtId="0" fontId="93" fillId="4" borderId="0" xfId="0" applyFont="1" applyFill="1">
      <alignment vertical="center"/>
    </xf>
    <xf numFmtId="192" fontId="93" fillId="4" borderId="60" xfId="0" applyNumberFormat="1" applyFont="1" applyFill="1" applyBorder="1">
      <alignment vertical="center"/>
    </xf>
    <xf numFmtId="41" fontId="84" fillId="4" borderId="59" xfId="0" applyNumberFormat="1" applyFont="1" applyFill="1" applyBorder="1">
      <alignment vertical="center"/>
    </xf>
    <xf numFmtId="9" fontId="93" fillId="4" borderId="203" xfId="0" applyNumberFormat="1" applyFont="1" applyFill="1" applyBorder="1">
      <alignment vertical="center"/>
    </xf>
    <xf numFmtId="9" fontId="93" fillId="4" borderId="69" xfId="0" applyNumberFormat="1" applyFont="1" applyFill="1" applyBorder="1">
      <alignment vertical="center"/>
    </xf>
    <xf numFmtId="41" fontId="108" fillId="4" borderId="148" xfId="0" applyNumberFormat="1" applyFont="1" applyFill="1" applyBorder="1">
      <alignment vertical="center"/>
    </xf>
    <xf numFmtId="41" fontId="116" fillId="4" borderId="119" xfId="0" applyNumberFormat="1" applyFont="1" applyFill="1" applyBorder="1">
      <alignment vertical="center"/>
    </xf>
    <xf numFmtId="41" fontId="116" fillId="4" borderId="87" xfId="0" applyNumberFormat="1" applyFont="1" applyFill="1" applyBorder="1">
      <alignment vertical="center"/>
    </xf>
    <xf numFmtId="41" fontId="93" fillId="4" borderId="11" xfId="0" applyNumberFormat="1" applyFont="1" applyFill="1" applyBorder="1" applyAlignment="1">
      <alignment horizontal="center" vertical="center"/>
    </xf>
    <xf numFmtId="200" fontId="116" fillId="0" borderId="40" xfId="0" applyNumberFormat="1" applyFont="1" applyBorder="1">
      <alignment vertical="center"/>
    </xf>
    <xf numFmtId="200" fontId="116" fillId="0" borderId="77" xfId="0" applyNumberFormat="1" applyFont="1" applyBorder="1">
      <alignment vertical="center"/>
    </xf>
    <xf numFmtId="200" fontId="116" fillId="0" borderId="70" xfId="0" applyNumberFormat="1" applyFont="1" applyBorder="1">
      <alignment vertical="center"/>
    </xf>
    <xf numFmtId="197" fontId="116" fillId="4" borderId="75" xfId="0" applyNumberFormat="1" applyFont="1" applyFill="1" applyBorder="1">
      <alignment vertical="center"/>
    </xf>
    <xf numFmtId="0" fontId="116" fillId="4" borderId="26" xfId="0" applyFont="1" applyFill="1" applyBorder="1" applyAlignment="1">
      <alignment horizontal="center" vertical="center"/>
    </xf>
    <xf numFmtId="184" fontId="108" fillId="3" borderId="47" xfId="0" applyNumberFormat="1" applyFont="1" applyFill="1" applyBorder="1">
      <alignment vertical="center"/>
    </xf>
    <xf numFmtId="184" fontId="108" fillId="3" borderId="107" xfId="0" applyNumberFormat="1" applyFont="1" applyFill="1" applyBorder="1">
      <alignment vertical="center"/>
    </xf>
    <xf numFmtId="184" fontId="108" fillId="3" borderId="42" xfId="0" applyNumberFormat="1" applyFont="1" applyFill="1" applyBorder="1">
      <alignment vertical="center"/>
    </xf>
    <xf numFmtId="184" fontId="108" fillId="3" borderId="38" xfId="0" applyNumberFormat="1" applyFont="1" applyFill="1" applyBorder="1">
      <alignment vertical="center"/>
    </xf>
    <xf numFmtId="184" fontId="108" fillId="4" borderId="44" xfId="0" applyNumberFormat="1" applyFont="1" applyFill="1" applyBorder="1">
      <alignment vertical="center"/>
    </xf>
    <xf numFmtId="187" fontId="84" fillId="3" borderId="65" xfId="0" applyNumberFormat="1" applyFont="1" applyFill="1" applyBorder="1">
      <alignment vertical="center"/>
    </xf>
    <xf numFmtId="187" fontId="108" fillId="3" borderId="8" xfId="0" applyNumberFormat="1" applyFont="1" applyFill="1" applyBorder="1">
      <alignment vertical="center"/>
    </xf>
    <xf numFmtId="41" fontId="129" fillId="4" borderId="20" xfId="0" applyNumberFormat="1" applyFont="1" applyFill="1" applyBorder="1">
      <alignment vertical="center"/>
    </xf>
    <xf numFmtId="9" fontId="84" fillId="4" borderId="20" xfId="0" applyNumberFormat="1" applyFont="1" applyFill="1" applyBorder="1" applyAlignment="1">
      <alignment horizontal="right" vertical="center"/>
    </xf>
    <xf numFmtId="0" fontId="108" fillId="4" borderId="29" xfId="0" applyFont="1" applyFill="1" applyBorder="1" applyAlignment="1">
      <alignment horizontal="center" vertical="center"/>
    </xf>
    <xf numFmtId="41" fontId="129" fillId="4" borderId="29" xfId="0" applyNumberFormat="1" applyFont="1" applyFill="1" applyBorder="1">
      <alignment vertical="center"/>
    </xf>
    <xf numFmtId="0" fontId="84" fillId="4" borderId="29" xfId="0" applyFont="1" applyFill="1" applyBorder="1" applyAlignment="1">
      <alignment horizontal="center" vertical="center"/>
    </xf>
    <xf numFmtId="41" fontId="108" fillId="4" borderId="130" xfId="0" applyNumberFormat="1" applyFont="1" applyFill="1" applyBorder="1">
      <alignment vertical="center"/>
    </xf>
    <xf numFmtId="41" fontId="84" fillId="4" borderId="202" xfId="0" applyNumberFormat="1" applyFont="1" applyFill="1" applyBorder="1" applyAlignment="1">
      <alignment vertical="top"/>
    </xf>
    <xf numFmtId="9" fontId="93" fillId="4" borderId="202" xfId="0" applyNumberFormat="1" applyFont="1" applyFill="1" applyBorder="1">
      <alignment vertical="center"/>
    </xf>
    <xf numFmtId="182" fontId="93" fillId="4" borderId="60" xfId="0" applyNumberFormat="1" applyFont="1" applyFill="1" applyBorder="1" applyAlignment="1">
      <alignment horizontal="center" vertical="center"/>
    </xf>
    <xf numFmtId="41" fontId="93" fillId="4" borderId="203" xfId="0" applyNumberFormat="1" applyFont="1" applyFill="1" applyBorder="1">
      <alignment vertical="center"/>
    </xf>
    <xf numFmtId="41" fontId="93" fillId="4" borderId="89" xfId="0" applyNumberFormat="1" applyFont="1" applyFill="1" applyBorder="1">
      <alignment vertical="center"/>
    </xf>
    <xf numFmtId="41" fontId="93" fillId="4" borderId="93" xfId="0" applyNumberFormat="1" applyFont="1" applyFill="1" applyBorder="1">
      <alignment vertical="center"/>
    </xf>
    <xf numFmtId="0" fontId="116" fillId="4" borderId="46" xfId="0" applyFont="1" applyFill="1" applyBorder="1" applyAlignment="1">
      <alignment horizontal="center" vertical="center"/>
    </xf>
    <xf numFmtId="41" fontId="84" fillId="4" borderId="14" xfId="0" applyNumberFormat="1" applyFont="1" applyFill="1" applyBorder="1" applyAlignment="1">
      <alignment horizontal="right" vertical="center"/>
    </xf>
    <xf numFmtId="41" fontId="84" fillId="4" borderId="57" xfId="0" applyNumberFormat="1" applyFont="1" applyFill="1" applyBorder="1" applyAlignment="1">
      <alignment horizontal="right" vertical="center"/>
    </xf>
    <xf numFmtId="41" fontId="84" fillId="4" borderId="31" xfId="0" applyNumberFormat="1" applyFont="1" applyFill="1" applyBorder="1" applyAlignment="1">
      <alignment horizontal="right" vertical="center"/>
    </xf>
    <xf numFmtId="41" fontId="84" fillId="4" borderId="106" xfId="0" applyNumberFormat="1" applyFont="1" applyFill="1" applyBorder="1" applyAlignment="1">
      <alignment horizontal="right" vertical="center"/>
    </xf>
    <xf numFmtId="41" fontId="84" fillId="4" borderId="187" xfId="0" applyNumberFormat="1" applyFont="1" applyFill="1" applyBorder="1" applyAlignment="1">
      <alignment horizontal="right" vertical="center"/>
    </xf>
    <xf numFmtId="187" fontId="93" fillId="4" borderId="65" xfId="0" applyNumberFormat="1" applyFont="1" applyFill="1" applyBorder="1">
      <alignment vertical="center"/>
    </xf>
    <xf numFmtId="187" fontId="84" fillId="4" borderId="58" xfId="0" applyNumberFormat="1" applyFont="1" applyFill="1" applyBorder="1">
      <alignment vertical="center"/>
    </xf>
    <xf numFmtId="187" fontId="84" fillId="4" borderId="27" xfId="0" applyNumberFormat="1" applyFont="1" applyFill="1" applyBorder="1">
      <alignment vertical="center"/>
    </xf>
    <xf numFmtId="187" fontId="84" fillId="4" borderId="60" xfId="0" applyNumberFormat="1" applyFont="1" applyFill="1" applyBorder="1">
      <alignment vertical="center"/>
    </xf>
    <xf numFmtId="182" fontId="93" fillId="0" borderId="0" xfId="0" applyNumberFormat="1" applyFont="1" applyAlignment="1">
      <alignment horizontal="right" vertical="center"/>
    </xf>
    <xf numFmtId="182" fontId="84" fillId="0" borderId="0" xfId="0" applyNumberFormat="1" applyFont="1" applyAlignment="1">
      <alignment horizontal="right" vertical="center"/>
    </xf>
    <xf numFmtId="182" fontId="133" fillId="0" borderId="0" xfId="0" applyNumberFormat="1" applyFont="1" applyAlignment="1">
      <alignment horizontal="right" vertical="center"/>
    </xf>
    <xf numFmtId="0" fontId="84" fillId="4" borderId="112" xfId="0" applyFont="1" applyFill="1" applyBorder="1" applyAlignment="1">
      <alignment horizontal="right" vertical="top"/>
    </xf>
    <xf numFmtId="0" fontId="84" fillId="4" borderId="196" xfId="0" applyFont="1" applyFill="1" applyBorder="1" applyAlignment="1">
      <alignment horizontal="right" vertical="top"/>
    </xf>
    <xf numFmtId="41" fontId="84" fillId="4" borderId="0" xfId="0" applyNumberFormat="1" applyFont="1" applyFill="1" applyAlignment="1">
      <alignment horizontal="right" vertical="top"/>
    </xf>
    <xf numFmtId="0" fontId="116" fillId="4" borderId="0" xfId="0" applyFont="1" applyFill="1" applyAlignment="1">
      <alignment horizontal="right" vertical="center"/>
    </xf>
    <xf numFmtId="0" fontId="84" fillId="4" borderId="52" xfId="0" applyFont="1" applyFill="1" applyBorder="1" applyAlignment="1">
      <alignment horizontal="right" vertical="top"/>
    </xf>
    <xf numFmtId="0" fontId="84" fillId="4" borderId="3" xfId="0" applyFont="1" applyFill="1" applyBorder="1" applyAlignment="1">
      <alignment horizontal="right" vertical="top"/>
    </xf>
    <xf numFmtId="182" fontId="116" fillId="3" borderId="91" xfId="0" applyNumberFormat="1" applyFont="1" applyFill="1" applyBorder="1" applyAlignment="1">
      <alignment horizontal="right" vertical="center"/>
    </xf>
    <xf numFmtId="191" fontId="93" fillId="4" borderId="18" xfId="0" applyNumberFormat="1" applyFont="1" applyFill="1" applyBorder="1" applyAlignment="1">
      <alignment horizontal="right" vertical="center"/>
    </xf>
    <xf numFmtId="41" fontId="84" fillId="3" borderId="207" xfId="0" applyNumberFormat="1" applyFont="1" applyFill="1" applyBorder="1" applyAlignment="1">
      <alignment vertical="center" shrinkToFit="1"/>
    </xf>
    <xf numFmtId="41" fontId="84" fillId="3" borderId="126" xfId="0" applyNumberFormat="1" applyFont="1" applyFill="1" applyBorder="1" applyAlignment="1">
      <alignment vertical="center" shrinkToFit="1"/>
    </xf>
    <xf numFmtId="41" fontId="93" fillId="3" borderId="126" xfId="0" applyNumberFormat="1" applyFont="1" applyFill="1" applyBorder="1" applyAlignment="1">
      <alignment vertical="center" shrinkToFit="1"/>
    </xf>
    <xf numFmtId="41" fontId="84" fillId="3" borderId="208" xfId="0" applyNumberFormat="1" applyFont="1" applyFill="1" applyBorder="1" applyAlignment="1">
      <alignment vertical="center" shrinkToFit="1"/>
    </xf>
    <xf numFmtId="41" fontId="108" fillId="4" borderId="67" xfId="0" applyNumberFormat="1" applyFont="1" applyFill="1" applyBorder="1" applyAlignment="1">
      <alignment vertical="center" shrinkToFit="1"/>
    </xf>
    <xf numFmtId="41" fontId="84" fillId="3" borderId="194" xfId="0" applyNumberFormat="1" applyFont="1" applyFill="1" applyBorder="1" applyAlignment="1">
      <alignment vertical="center" shrinkToFit="1"/>
    </xf>
    <xf numFmtId="41" fontId="84" fillId="3" borderId="121" xfId="0" applyNumberFormat="1" applyFont="1" applyFill="1" applyBorder="1" applyAlignment="1">
      <alignment vertical="center" shrinkToFit="1"/>
    </xf>
    <xf numFmtId="41" fontId="93" fillId="3" borderId="121" xfId="0" applyNumberFormat="1" applyFont="1" applyFill="1" applyBorder="1" applyAlignment="1">
      <alignment vertical="center" shrinkToFit="1"/>
    </xf>
    <xf numFmtId="41" fontId="84" fillId="3" borderId="185" xfId="0" applyNumberFormat="1" applyFont="1" applyFill="1" applyBorder="1" applyAlignment="1">
      <alignment vertical="center" shrinkToFit="1"/>
    </xf>
    <xf numFmtId="0" fontId="108" fillId="4" borderId="25" xfId="0" applyFont="1" applyFill="1" applyBorder="1" applyAlignment="1">
      <alignment horizontal="center" vertical="center"/>
    </xf>
    <xf numFmtId="41" fontId="108" fillId="4" borderId="195" xfId="0" applyNumberFormat="1" applyFont="1" applyFill="1" applyBorder="1">
      <alignment vertical="center"/>
    </xf>
    <xf numFmtId="41" fontId="108" fillId="4" borderId="117" xfId="0" applyNumberFormat="1" applyFont="1" applyFill="1" applyBorder="1">
      <alignment vertical="center"/>
    </xf>
    <xf numFmtId="41" fontId="108" fillId="4" borderId="188" xfId="0" applyNumberFormat="1" applyFont="1" applyFill="1" applyBorder="1">
      <alignment vertical="center"/>
    </xf>
    <xf numFmtId="9" fontId="108" fillId="4" borderId="16" xfId="0" applyNumberFormat="1" applyFont="1" applyFill="1" applyBorder="1">
      <alignment vertical="center"/>
    </xf>
    <xf numFmtId="41" fontId="93" fillId="2" borderId="40" xfId="0" applyNumberFormat="1" applyFont="1" applyFill="1" applyBorder="1">
      <alignment vertical="center"/>
    </xf>
    <xf numFmtId="182" fontId="116" fillId="2" borderId="70" xfId="0" applyNumberFormat="1" applyFont="1" applyFill="1" applyBorder="1">
      <alignment vertical="center"/>
    </xf>
    <xf numFmtId="41" fontId="93" fillId="4" borderId="87" xfId="0" applyNumberFormat="1" applyFont="1" applyFill="1" applyBorder="1" applyAlignment="1">
      <alignment horizontal="left" vertical="center"/>
    </xf>
    <xf numFmtId="9" fontId="93" fillId="4" borderId="119" xfId="0" applyNumberFormat="1" applyFont="1" applyFill="1" applyBorder="1">
      <alignment vertical="center"/>
    </xf>
    <xf numFmtId="41" fontId="84" fillId="10" borderId="18" xfId="0" applyNumberFormat="1" applyFont="1" applyFill="1" applyBorder="1">
      <alignment vertical="center"/>
    </xf>
    <xf numFmtId="41" fontId="84" fillId="0" borderId="3" xfId="0" applyNumberFormat="1" applyFont="1" applyBorder="1">
      <alignment vertical="center"/>
    </xf>
    <xf numFmtId="41" fontId="84" fillId="3" borderId="79" xfId="0" applyNumberFormat="1" applyFont="1" applyFill="1" applyBorder="1">
      <alignment vertical="center"/>
    </xf>
    <xf numFmtId="43" fontId="108" fillId="3" borderId="0" xfId="0" applyNumberFormat="1" applyFont="1" applyFill="1" applyAlignment="1">
      <alignment horizontal="center" vertical="center"/>
    </xf>
    <xf numFmtId="43" fontId="84" fillId="3" borderId="0" xfId="0" applyNumberFormat="1" applyFont="1" applyFill="1" applyAlignment="1">
      <alignment horizontal="center" vertical="center"/>
    </xf>
    <xf numFmtId="41" fontId="84" fillId="4" borderId="67" xfId="0" applyNumberFormat="1" applyFont="1" applyFill="1" applyBorder="1">
      <alignment vertical="center"/>
    </xf>
    <xf numFmtId="41" fontId="84" fillId="0" borderId="80" xfId="0" applyNumberFormat="1" applyFont="1" applyBorder="1">
      <alignment vertical="center"/>
    </xf>
    <xf numFmtId="41" fontId="78" fillId="3" borderId="202" xfId="0" applyNumberFormat="1" applyFont="1" applyFill="1" applyBorder="1">
      <alignment vertical="center"/>
    </xf>
    <xf numFmtId="41" fontId="93" fillId="4" borderId="47" xfId="0" applyNumberFormat="1" applyFont="1" applyFill="1" applyBorder="1" applyAlignment="1">
      <alignment vertical="center" shrinkToFit="1"/>
    </xf>
    <xf numFmtId="41" fontId="166" fillId="0" borderId="0" xfId="0" applyNumberFormat="1" applyFont="1" applyAlignment="1">
      <alignment horizontal="center" vertical="center"/>
    </xf>
    <xf numFmtId="184" fontId="93" fillId="10" borderId="196" xfId="0" applyNumberFormat="1" applyFont="1" applyFill="1" applyBorder="1" applyAlignment="1">
      <alignment horizontal="right" vertical="center"/>
    </xf>
    <xf numFmtId="184" fontId="93" fillId="3" borderId="196" xfId="0" applyNumberFormat="1" applyFont="1" applyFill="1" applyBorder="1" applyAlignment="1">
      <alignment horizontal="right" vertical="center"/>
    </xf>
    <xf numFmtId="41" fontId="108" fillId="21" borderId="18" xfId="0" applyNumberFormat="1" applyFont="1" applyFill="1" applyBorder="1">
      <alignment vertical="center"/>
    </xf>
    <xf numFmtId="41" fontId="108" fillId="21" borderId="20" xfId="0" applyNumberFormat="1" applyFont="1" applyFill="1" applyBorder="1">
      <alignment vertical="center"/>
    </xf>
    <xf numFmtId="41" fontId="108" fillId="21" borderId="19" xfId="0" applyNumberFormat="1" applyFont="1" applyFill="1" applyBorder="1">
      <alignment vertical="center"/>
    </xf>
    <xf numFmtId="41" fontId="142" fillId="3" borderId="120" xfId="0" applyNumberFormat="1" applyFont="1" applyFill="1" applyBorder="1">
      <alignment vertical="center"/>
    </xf>
    <xf numFmtId="41" fontId="142" fillId="3" borderId="11" xfId="0" applyNumberFormat="1" applyFont="1" applyFill="1" applyBorder="1">
      <alignment vertical="center"/>
    </xf>
    <xf numFmtId="41" fontId="84" fillId="4" borderId="30" xfId="0" applyNumberFormat="1" applyFont="1" applyFill="1" applyBorder="1" applyAlignment="1">
      <alignment vertical="center" shrinkToFit="1"/>
    </xf>
    <xf numFmtId="41" fontId="142" fillId="3" borderId="200" xfId="0" applyNumberFormat="1" applyFont="1" applyFill="1" applyBorder="1">
      <alignment vertical="center"/>
    </xf>
    <xf numFmtId="41" fontId="142" fillId="3" borderId="196" xfId="0" applyNumberFormat="1" applyFont="1" applyFill="1" applyBorder="1">
      <alignment vertical="center"/>
    </xf>
    <xf numFmtId="41" fontId="142" fillId="3" borderId="33" xfId="0" applyNumberFormat="1" applyFont="1" applyFill="1" applyBorder="1">
      <alignment vertical="center"/>
    </xf>
    <xf numFmtId="41" fontId="121" fillId="0" borderId="0" xfId="0" applyNumberFormat="1" applyFont="1" applyAlignment="1">
      <alignment horizontal="center" vertical="center"/>
    </xf>
    <xf numFmtId="195" fontId="93" fillId="4" borderId="60" xfId="0" applyNumberFormat="1" applyFont="1" applyFill="1" applyBorder="1" applyAlignment="1">
      <alignment horizontal="center" vertical="center"/>
    </xf>
    <xf numFmtId="195" fontId="93" fillId="4" borderId="69" xfId="0" applyNumberFormat="1" applyFont="1" applyFill="1" applyBorder="1" applyAlignment="1">
      <alignment horizontal="center" vertical="center"/>
    </xf>
    <xf numFmtId="195" fontId="93" fillId="4" borderId="47" xfId="0" applyNumberFormat="1" applyFont="1" applyFill="1" applyBorder="1" applyAlignment="1">
      <alignment horizontal="center" vertical="center"/>
    </xf>
    <xf numFmtId="187" fontId="93" fillId="4" borderId="203" xfId="0" applyNumberFormat="1" applyFont="1" applyFill="1" applyBorder="1" applyAlignment="1">
      <alignment horizontal="center" vertical="center"/>
    </xf>
    <xf numFmtId="9" fontId="120" fillId="0" borderId="0" xfId="0" applyNumberFormat="1" applyFont="1" applyAlignment="1">
      <alignment horizontal="center" vertical="center"/>
    </xf>
    <xf numFmtId="195" fontId="93" fillId="4" borderId="65" xfId="0" applyNumberFormat="1" applyFont="1" applyFill="1" applyBorder="1" applyAlignment="1">
      <alignment horizontal="center" vertical="center"/>
    </xf>
    <xf numFmtId="195" fontId="93" fillId="4" borderId="8" xfId="0" applyNumberFormat="1" applyFont="1" applyFill="1" applyBorder="1" applyAlignment="1">
      <alignment horizontal="center" vertical="center"/>
    </xf>
    <xf numFmtId="195" fontId="93" fillId="4" borderId="42" xfId="0" applyNumberFormat="1" applyFont="1" applyFill="1" applyBorder="1" applyAlignment="1">
      <alignment horizontal="center" vertical="center"/>
    </xf>
    <xf numFmtId="195" fontId="116" fillId="4" borderId="48" xfId="0" applyNumberFormat="1" applyFont="1" applyFill="1" applyBorder="1" applyAlignment="1">
      <alignment horizontal="center" vertical="center"/>
    </xf>
    <xf numFmtId="195" fontId="93" fillId="4" borderId="63" xfId="0" applyNumberFormat="1" applyFont="1" applyFill="1" applyBorder="1" applyAlignment="1">
      <alignment horizontal="center" vertical="center"/>
    </xf>
    <xf numFmtId="195" fontId="93" fillId="4" borderId="119" xfId="0" applyNumberFormat="1" applyFont="1" applyFill="1" applyBorder="1" applyAlignment="1">
      <alignment horizontal="center" vertical="center"/>
    </xf>
    <xf numFmtId="195" fontId="93" fillId="4" borderId="118" xfId="0" applyNumberFormat="1" applyFont="1" applyFill="1" applyBorder="1" applyAlignment="1">
      <alignment horizontal="center" vertical="center"/>
    </xf>
    <xf numFmtId="187" fontId="93" fillId="4" borderId="129" xfId="0" applyNumberFormat="1" applyFont="1" applyFill="1" applyBorder="1" applyAlignment="1">
      <alignment horizontal="center" vertical="center"/>
    </xf>
    <xf numFmtId="187" fontId="120" fillId="4" borderId="69" xfId="0" applyNumberFormat="1" applyFont="1" applyFill="1" applyBorder="1" applyAlignment="1">
      <alignment horizontal="center" vertical="center"/>
    </xf>
    <xf numFmtId="187" fontId="120" fillId="4" borderId="203" xfId="0" applyNumberFormat="1" applyFont="1" applyFill="1" applyBorder="1" applyAlignment="1">
      <alignment horizontal="center" vertical="center"/>
    </xf>
    <xf numFmtId="187" fontId="120" fillId="4" borderId="47" xfId="0" applyNumberFormat="1" applyFont="1" applyFill="1" applyBorder="1" applyAlignment="1">
      <alignment horizontal="center" vertical="center"/>
    </xf>
    <xf numFmtId="43" fontId="116" fillId="4" borderId="67" xfId="0" applyNumberFormat="1" applyFont="1" applyFill="1" applyBorder="1" applyAlignment="1">
      <alignment horizontal="center" vertical="center"/>
    </xf>
    <xf numFmtId="184" fontId="93" fillId="3" borderId="56" xfId="0" applyNumberFormat="1" applyFont="1" applyFill="1" applyBorder="1" applyAlignment="1">
      <alignment horizontal="right" vertical="center"/>
    </xf>
    <xf numFmtId="184" fontId="93" fillId="10" borderId="62" xfId="0" applyNumberFormat="1" applyFont="1" applyFill="1" applyBorder="1" applyAlignment="1">
      <alignment horizontal="right" vertical="center"/>
    </xf>
    <xf numFmtId="184" fontId="93" fillId="3" borderId="62" xfId="0" applyNumberFormat="1" applyFont="1" applyFill="1" applyBorder="1" applyAlignment="1">
      <alignment horizontal="right" vertical="center"/>
    </xf>
    <xf numFmtId="187" fontId="116" fillId="4" borderId="67" xfId="0" applyNumberFormat="1" applyFont="1" applyFill="1" applyBorder="1" applyAlignment="1">
      <alignment horizontal="center" vertical="center"/>
    </xf>
    <xf numFmtId="43" fontId="116" fillId="4" borderId="19" xfId="0" applyNumberFormat="1" applyFont="1" applyFill="1" applyBorder="1" applyAlignment="1">
      <alignment horizontal="center" vertical="center"/>
    </xf>
    <xf numFmtId="184" fontId="93" fillId="3" borderId="47" xfId="0" applyNumberFormat="1" applyFont="1" applyFill="1" applyBorder="1" applyAlignment="1">
      <alignment horizontal="right" vertical="center"/>
    </xf>
    <xf numFmtId="184" fontId="93" fillId="10" borderId="33" xfId="0" applyNumberFormat="1" applyFont="1" applyFill="1" applyBorder="1" applyAlignment="1">
      <alignment horizontal="right" vertical="center"/>
    </xf>
    <xf numFmtId="184" fontId="93" fillId="3" borderId="33" xfId="0" applyNumberFormat="1" applyFont="1" applyFill="1" applyBorder="1" applyAlignment="1">
      <alignment horizontal="right" vertical="center"/>
    </xf>
    <xf numFmtId="43" fontId="116" fillId="4" borderId="17" xfId="0" applyNumberFormat="1" applyFont="1" applyFill="1" applyBorder="1" applyAlignment="1">
      <alignment horizontal="center" vertical="center"/>
    </xf>
    <xf numFmtId="184" fontId="93" fillId="3" borderId="35" xfId="0" applyNumberFormat="1" applyFont="1" applyFill="1" applyBorder="1" applyAlignment="1">
      <alignment horizontal="right" vertical="center"/>
    </xf>
    <xf numFmtId="184" fontId="93" fillId="10" borderId="12" xfId="0" applyNumberFormat="1" applyFont="1" applyFill="1" applyBorder="1" applyAlignment="1">
      <alignment horizontal="right" vertical="center"/>
    </xf>
    <xf numFmtId="184" fontId="93" fillId="3" borderId="12" xfId="0" applyNumberFormat="1" applyFont="1" applyFill="1" applyBorder="1" applyAlignment="1">
      <alignment horizontal="right" vertical="center"/>
    </xf>
    <xf numFmtId="9" fontId="93" fillId="3" borderId="113" xfId="0" applyNumberFormat="1" applyFont="1" applyFill="1" applyBorder="1" applyAlignment="1">
      <alignment horizontal="center" vertical="center"/>
    </xf>
    <xf numFmtId="9" fontId="116" fillId="3" borderId="76" xfId="0" applyNumberFormat="1" applyFont="1" applyFill="1" applyBorder="1" applyAlignment="1">
      <alignment horizontal="center" vertical="center"/>
    </xf>
    <xf numFmtId="9" fontId="93" fillId="3" borderId="32" xfId="0" applyNumberFormat="1" applyFont="1" applyFill="1" applyBorder="1" applyAlignment="1">
      <alignment horizontal="center" vertical="center"/>
    </xf>
    <xf numFmtId="9" fontId="116" fillId="3" borderId="49" xfId="0" applyNumberFormat="1" applyFont="1" applyFill="1" applyBorder="1" applyAlignment="1">
      <alignment horizontal="center" vertical="center"/>
    </xf>
    <xf numFmtId="9" fontId="93" fillId="3" borderId="109" xfId="0" applyNumberFormat="1" applyFont="1" applyFill="1" applyBorder="1" applyAlignment="1">
      <alignment horizontal="center" vertical="center"/>
    </xf>
    <xf numFmtId="9" fontId="116" fillId="3" borderId="78" xfId="0" applyNumberFormat="1" applyFont="1" applyFill="1" applyBorder="1" applyAlignment="1">
      <alignment horizontal="center" vertical="center"/>
    </xf>
    <xf numFmtId="49" fontId="137" fillId="4" borderId="27" xfId="0" applyNumberFormat="1" applyFont="1" applyFill="1" applyBorder="1" applyAlignment="1">
      <alignment horizontal="center" vertical="center"/>
    </xf>
    <xf numFmtId="41" fontId="84" fillId="0" borderId="23" xfId="0" applyNumberFormat="1" applyFont="1" applyBorder="1" applyAlignment="1">
      <alignment vertical="center" shrinkToFit="1"/>
    </xf>
    <xf numFmtId="195" fontId="93" fillId="4" borderId="22" xfId="0" applyNumberFormat="1" applyFont="1" applyFill="1" applyBorder="1" applyAlignment="1">
      <alignment horizontal="center" vertical="center"/>
    </xf>
    <xf numFmtId="43" fontId="93" fillId="4" borderId="202" xfId="0" applyNumberFormat="1" applyFont="1" applyFill="1" applyBorder="1" applyAlignment="1">
      <alignment horizontal="right" vertical="center"/>
    </xf>
    <xf numFmtId="43" fontId="93" fillId="4" borderId="1" xfId="0" applyNumberFormat="1" applyFont="1" applyFill="1" applyBorder="1" applyAlignment="1">
      <alignment horizontal="right" vertical="center"/>
    </xf>
    <xf numFmtId="196" fontId="84" fillId="3" borderId="55" xfId="0" applyNumberFormat="1" applyFont="1" applyFill="1" applyBorder="1">
      <alignment vertical="center"/>
    </xf>
    <xf numFmtId="196" fontId="84" fillId="3" borderId="1" xfId="0" applyNumberFormat="1" applyFont="1" applyFill="1" applyBorder="1">
      <alignment vertical="center"/>
    </xf>
    <xf numFmtId="196" fontId="84" fillId="3" borderId="69" xfId="0" applyNumberFormat="1" applyFont="1" applyFill="1" applyBorder="1">
      <alignment vertical="center"/>
    </xf>
    <xf numFmtId="196" fontId="116" fillId="4" borderId="28" xfId="0" applyNumberFormat="1" applyFont="1" applyFill="1" applyBorder="1" applyAlignment="1">
      <alignment horizontal="right" vertical="center"/>
    </xf>
    <xf numFmtId="187" fontId="93" fillId="4" borderId="61" xfId="0" applyNumberFormat="1" applyFont="1" applyFill="1" applyBorder="1" applyAlignment="1">
      <alignment horizontal="right" vertical="center"/>
    </xf>
    <xf numFmtId="187" fontId="93" fillId="4" borderId="11" xfId="0" applyNumberFormat="1" applyFont="1" applyFill="1" applyBorder="1" applyAlignment="1">
      <alignment horizontal="right" vertical="center"/>
    </xf>
    <xf numFmtId="187" fontId="93" fillId="4" borderId="9" xfId="0" applyNumberFormat="1" applyFont="1" applyFill="1" applyBorder="1" applyAlignment="1">
      <alignment horizontal="right" vertical="center"/>
    </xf>
    <xf numFmtId="187" fontId="93" fillId="4" borderId="5" xfId="0" applyNumberFormat="1" applyFont="1" applyFill="1" applyBorder="1" applyAlignment="1">
      <alignment horizontal="right" vertical="center"/>
    </xf>
    <xf numFmtId="187" fontId="93" fillId="4" borderId="4" xfId="0" applyNumberFormat="1" applyFont="1" applyFill="1" applyBorder="1" applyAlignment="1">
      <alignment horizontal="right" vertical="center"/>
    </xf>
    <xf numFmtId="187" fontId="93" fillId="4" borderId="202" xfId="0" applyNumberFormat="1" applyFont="1" applyFill="1" applyBorder="1" applyAlignment="1">
      <alignment horizontal="right" vertical="center"/>
    </xf>
    <xf numFmtId="192" fontId="84" fillId="4" borderId="22" xfId="0" applyNumberFormat="1" applyFont="1" applyFill="1" applyBorder="1" applyAlignment="1">
      <alignment horizontal="center" vertical="center"/>
    </xf>
    <xf numFmtId="192" fontId="84" fillId="4" borderId="23" xfId="0" applyNumberFormat="1" applyFont="1" applyFill="1" applyBorder="1" applyAlignment="1">
      <alignment horizontal="center" vertical="center"/>
    </xf>
    <xf numFmtId="192" fontId="84" fillId="4" borderId="3" xfId="0" applyNumberFormat="1" applyFont="1" applyFill="1" applyBorder="1" applyAlignment="1">
      <alignment horizontal="center" vertical="center"/>
    </xf>
    <xf numFmtId="192" fontId="84" fillId="4" borderId="79" xfId="0" applyNumberFormat="1" applyFont="1" applyFill="1" applyBorder="1" applyAlignment="1">
      <alignment horizontal="center" vertical="center"/>
    </xf>
    <xf numFmtId="192" fontId="84" fillId="4" borderId="126" xfId="0" applyNumberFormat="1" applyFont="1" applyFill="1" applyBorder="1" applyAlignment="1">
      <alignment horizontal="center" vertical="center"/>
    </xf>
    <xf numFmtId="41" fontId="84" fillId="4" borderId="47" xfId="0" applyNumberFormat="1" applyFont="1" applyFill="1" applyBorder="1">
      <alignment vertical="center"/>
    </xf>
    <xf numFmtId="41" fontId="93" fillId="4" borderId="0" xfId="0" applyNumberFormat="1" applyFont="1" applyFill="1">
      <alignment vertical="center"/>
    </xf>
    <xf numFmtId="41" fontId="84" fillId="4" borderId="12" xfId="0" applyNumberFormat="1" applyFont="1" applyFill="1" applyBorder="1">
      <alignment vertical="center"/>
    </xf>
    <xf numFmtId="41" fontId="84" fillId="4" borderId="33" xfId="0" applyNumberFormat="1" applyFont="1" applyFill="1" applyBorder="1">
      <alignment vertical="center"/>
    </xf>
    <xf numFmtId="41" fontId="84" fillId="4" borderId="6" xfId="0" applyNumberFormat="1" applyFont="1" applyFill="1" applyBorder="1">
      <alignment vertical="center"/>
    </xf>
    <xf numFmtId="41" fontId="84" fillId="4" borderId="48" xfId="0" applyNumberFormat="1" applyFont="1" applyFill="1" applyBorder="1">
      <alignment vertical="center"/>
    </xf>
    <xf numFmtId="193" fontId="116" fillId="3" borderId="12" xfId="0" applyNumberFormat="1" applyFont="1" applyFill="1" applyBorder="1">
      <alignment vertical="center"/>
    </xf>
    <xf numFmtId="193" fontId="116" fillId="3" borderId="28" xfId="0" applyNumberFormat="1" applyFont="1" applyFill="1" applyBorder="1">
      <alignment vertical="center"/>
    </xf>
    <xf numFmtId="193" fontId="116" fillId="3" borderId="33" xfId="0" applyNumberFormat="1" applyFont="1" applyFill="1" applyBorder="1">
      <alignment vertical="center"/>
    </xf>
    <xf numFmtId="193" fontId="116" fillId="4" borderId="17" xfId="0" applyNumberFormat="1" applyFont="1" applyFill="1" applyBorder="1">
      <alignment vertical="center"/>
    </xf>
    <xf numFmtId="193" fontId="116" fillId="4" borderId="18" xfId="0" applyNumberFormat="1" applyFont="1" applyFill="1" applyBorder="1">
      <alignment vertical="center"/>
    </xf>
    <xf numFmtId="193" fontId="116" fillId="4" borderId="19" xfId="0" applyNumberFormat="1" applyFont="1" applyFill="1" applyBorder="1">
      <alignment vertical="center"/>
    </xf>
    <xf numFmtId="193" fontId="116" fillId="4" borderId="29" xfId="0" applyNumberFormat="1" applyFont="1" applyFill="1" applyBorder="1">
      <alignment vertical="center"/>
    </xf>
    <xf numFmtId="200" fontId="116" fillId="3" borderId="120" xfId="0" applyNumberFormat="1" applyFont="1" applyFill="1" applyBorder="1">
      <alignment vertical="center"/>
    </xf>
    <xf numFmtId="200" fontId="116" fillId="3" borderId="123" xfId="0" applyNumberFormat="1" applyFont="1" applyFill="1" applyBorder="1">
      <alignment vertical="center"/>
    </xf>
    <xf numFmtId="200" fontId="116" fillId="3" borderId="11" xfId="0" applyNumberFormat="1" applyFont="1" applyFill="1" applyBorder="1">
      <alignment vertical="center"/>
    </xf>
    <xf numFmtId="197" fontId="116" fillId="4" borderId="94" xfId="0" applyNumberFormat="1" applyFont="1" applyFill="1" applyBorder="1">
      <alignment vertical="center"/>
    </xf>
    <xf numFmtId="41" fontId="93" fillId="4" borderId="4" xfId="0" applyNumberFormat="1" applyFont="1" applyFill="1" applyBorder="1" applyAlignment="1">
      <alignment horizontal="left" vertical="center"/>
    </xf>
    <xf numFmtId="196" fontId="84" fillId="3" borderId="128" xfId="0" applyNumberFormat="1" applyFont="1" applyFill="1" applyBorder="1">
      <alignment vertical="center"/>
    </xf>
    <xf numFmtId="196" fontId="84" fillId="3" borderId="4" xfId="0" applyNumberFormat="1" applyFont="1" applyFill="1" applyBorder="1">
      <alignment vertical="center"/>
    </xf>
    <xf numFmtId="196" fontId="84" fillId="3" borderId="129" xfId="0" applyNumberFormat="1" applyFont="1" applyFill="1" applyBorder="1">
      <alignment vertical="center"/>
    </xf>
    <xf numFmtId="187" fontId="120" fillId="4" borderId="54" xfId="0" applyNumberFormat="1" applyFont="1" applyFill="1" applyBorder="1" applyAlignment="1">
      <alignment horizontal="center" vertical="center"/>
    </xf>
    <xf numFmtId="187" fontId="93" fillId="4" borderId="196" xfId="0" applyNumberFormat="1" applyFont="1" applyFill="1" applyBorder="1" applyAlignment="1">
      <alignment horizontal="right" vertical="center"/>
    </xf>
    <xf numFmtId="9" fontId="93" fillId="4" borderId="196" xfId="0" applyNumberFormat="1" applyFont="1" applyFill="1" applyBorder="1" applyAlignment="1">
      <alignment horizontal="right" vertical="center"/>
    </xf>
    <xf numFmtId="196" fontId="93" fillId="3" borderId="196" xfId="0" applyNumberFormat="1" applyFont="1" applyFill="1" applyBorder="1">
      <alignment vertical="center"/>
    </xf>
    <xf numFmtId="41" fontId="116" fillId="4" borderId="67" xfId="0" applyNumberFormat="1" applyFont="1" applyFill="1" applyBorder="1" applyAlignment="1">
      <alignment horizontal="center" vertical="center" wrapText="1"/>
    </xf>
    <xf numFmtId="41" fontId="93" fillId="4" borderId="202" xfId="0" applyNumberFormat="1" applyFont="1" applyFill="1" applyBorder="1" applyAlignment="1">
      <alignment horizontal="left" vertical="center"/>
    </xf>
    <xf numFmtId="0" fontId="93" fillId="4" borderId="202" xfId="0" applyFont="1" applyFill="1" applyBorder="1" applyAlignment="1">
      <alignment horizontal="left" vertical="center"/>
    </xf>
    <xf numFmtId="41" fontId="93" fillId="4" borderId="202" xfId="0" applyNumberFormat="1" applyFont="1" applyFill="1" applyBorder="1" applyAlignment="1">
      <alignment horizontal="right" vertical="center"/>
    </xf>
    <xf numFmtId="187" fontId="84" fillId="4" borderId="202" xfId="0" applyNumberFormat="1" applyFont="1" applyFill="1" applyBorder="1">
      <alignment vertical="center"/>
    </xf>
    <xf numFmtId="41" fontId="84" fillId="4" borderId="203" xfId="0" applyNumberFormat="1" applyFont="1" applyFill="1" applyBorder="1">
      <alignment vertical="center"/>
    </xf>
    <xf numFmtId="41" fontId="116" fillId="0" borderId="64" xfId="0" applyNumberFormat="1" applyFont="1" applyBorder="1" applyAlignment="1">
      <alignment horizontal="center" vertical="center"/>
    </xf>
    <xf numFmtId="41" fontId="116" fillId="0" borderId="202" xfId="0" applyNumberFormat="1" applyFont="1" applyBorder="1" applyAlignment="1">
      <alignment horizontal="center" vertical="center"/>
    </xf>
    <xf numFmtId="41" fontId="116" fillId="0" borderId="203" xfId="0" applyNumberFormat="1" applyFont="1" applyBorder="1" applyAlignment="1">
      <alignment horizontal="center" vertical="center"/>
    </xf>
    <xf numFmtId="41" fontId="108" fillId="4" borderId="57" xfId="0" applyNumberFormat="1" applyFont="1" applyFill="1" applyBorder="1" applyAlignment="1">
      <alignment horizontal="right" vertical="center"/>
    </xf>
    <xf numFmtId="41" fontId="84" fillId="3" borderId="109" xfId="0" applyNumberFormat="1" applyFont="1" applyFill="1" applyBorder="1" applyAlignment="1">
      <alignment horizontal="center" vertical="center"/>
    </xf>
    <xf numFmtId="41" fontId="84" fillId="3" borderId="112" xfId="0" applyNumberFormat="1" applyFont="1" applyFill="1" applyBorder="1" applyAlignment="1">
      <alignment horizontal="center" vertical="center"/>
    </xf>
    <xf numFmtId="41" fontId="84" fillId="3" borderId="32" xfId="0" applyNumberFormat="1" applyFont="1" applyFill="1" applyBorder="1" applyAlignment="1">
      <alignment horizontal="center" vertical="center"/>
    </xf>
    <xf numFmtId="41" fontId="108" fillId="4" borderId="32" xfId="0" applyNumberFormat="1" applyFont="1" applyFill="1" applyBorder="1" applyAlignment="1">
      <alignment horizontal="center" vertical="center" wrapText="1"/>
    </xf>
    <xf numFmtId="41" fontId="108" fillId="4" borderId="46" xfId="0" applyNumberFormat="1" applyFont="1" applyFill="1" applyBorder="1" applyAlignment="1">
      <alignment horizontal="center" vertical="center" wrapText="1"/>
    </xf>
    <xf numFmtId="41" fontId="84" fillId="4" borderId="189" xfId="0" applyNumberFormat="1" applyFont="1" applyFill="1" applyBorder="1">
      <alignment vertical="center"/>
    </xf>
    <xf numFmtId="41" fontId="84" fillId="4" borderId="192" xfId="0" applyNumberFormat="1" applyFont="1" applyFill="1" applyBorder="1">
      <alignment vertical="center"/>
    </xf>
    <xf numFmtId="0" fontId="93" fillId="26" borderId="211" xfId="0" applyFont="1" applyFill="1" applyBorder="1" applyAlignment="1">
      <alignment horizontal="right" vertical="center"/>
    </xf>
    <xf numFmtId="41" fontId="108" fillId="26" borderId="211" xfId="0" applyNumberFormat="1" applyFont="1" applyFill="1" applyBorder="1">
      <alignment vertical="center"/>
    </xf>
    <xf numFmtId="192" fontId="93" fillId="4" borderId="25" xfId="0" applyNumberFormat="1" applyFont="1" applyFill="1" applyBorder="1" applyAlignment="1">
      <alignment horizontal="center" vertical="center"/>
    </xf>
    <xf numFmtId="192" fontId="93" fillId="4" borderId="110" xfId="0" applyNumberFormat="1" applyFont="1" applyFill="1" applyBorder="1" applyAlignment="1">
      <alignment horizontal="center" vertical="center"/>
    </xf>
    <xf numFmtId="9" fontId="84" fillId="4" borderId="1" xfId="0" applyNumberFormat="1" applyFont="1" applyFill="1" applyBorder="1" applyAlignment="1">
      <alignment horizontal="center" vertical="center"/>
    </xf>
    <xf numFmtId="0" fontId="93" fillId="4" borderId="48" xfId="0" applyFont="1" applyFill="1" applyBorder="1" applyAlignment="1">
      <alignment horizontal="center" vertical="center"/>
    </xf>
    <xf numFmtId="9" fontId="93" fillId="4" borderId="196" xfId="0" applyNumberFormat="1" applyFont="1" applyFill="1" applyBorder="1" applyAlignment="1">
      <alignment horizontal="center" vertical="center"/>
    </xf>
    <xf numFmtId="192" fontId="93" fillId="4" borderId="200" xfId="0" applyNumberFormat="1" applyFont="1" applyFill="1" applyBorder="1" applyAlignment="1">
      <alignment horizontal="center" vertical="center"/>
    </xf>
    <xf numFmtId="41" fontId="93" fillId="4" borderId="43" xfId="0" applyNumberFormat="1" applyFont="1" applyFill="1" applyBorder="1">
      <alignment vertical="center"/>
    </xf>
    <xf numFmtId="206" fontId="84" fillId="3" borderId="196" xfId="0" applyNumberFormat="1" applyFont="1" applyFill="1" applyBorder="1" applyAlignment="1">
      <alignment horizontal="left" vertical="center" shrinkToFit="1"/>
    </xf>
    <xf numFmtId="205" fontId="84" fillId="3" borderId="196" xfId="0" applyNumberFormat="1" applyFont="1" applyFill="1" applyBorder="1" applyAlignment="1">
      <alignment horizontal="left" vertical="center" shrinkToFit="1"/>
    </xf>
    <xf numFmtId="202" fontId="84" fillId="3" borderId="196" xfId="0" applyNumberFormat="1" applyFont="1" applyFill="1" applyBorder="1" applyAlignment="1">
      <alignment horizontal="left" vertical="center" shrinkToFit="1"/>
    </xf>
    <xf numFmtId="204" fontId="84" fillId="3" borderId="196" xfId="0" applyNumberFormat="1" applyFont="1" applyFill="1" applyBorder="1" applyAlignment="1">
      <alignment horizontal="left" vertical="center" shrinkToFit="1"/>
    </xf>
    <xf numFmtId="0" fontId="6" fillId="3" borderId="28" xfId="0" applyFont="1" applyFill="1" applyBorder="1">
      <alignment vertical="center"/>
    </xf>
    <xf numFmtId="41" fontId="84" fillId="4" borderId="4" xfId="0" applyNumberFormat="1" applyFont="1" applyFill="1" applyBorder="1" applyAlignment="1">
      <alignment horizontal="left" vertical="top"/>
    </xf>
    <xf numFmtId="0" fontId="110" fillId="3" borderId="196" xfId="0" applyFont="1" applyFill="1" applyBorder="1" applyAlignment="1">
      <alignment horizontal="center" vertical="center"/>
    </xf>
    <xf numFmtId="0" fontId="110" fillId="3" borderId="196" xfId="0" applyFont="1" applyFill="1" applyBorder="1" applyAlignment="1">
      <alignment horizontal="left" vertical="center"/>
    </xf>
    <xf numFmtId="0" fontId="110" fillId="3" borderId="42" xfId="0" quotePrefix="1" applyFont="1" applyFill="1" applyBorder="1" applyAlignment="1">
      <alignment vertical="center" wrapText="1"/>
    </xf>
    <xf numFmtId="0" fontId="110" fillId="3" borderId="56" xfId="0" quotePrefix="1" applyFont="1" applyFill="1" applyBorder="1" applyAlignment="1">
      <alignment vertical="center" wrapText="1"/>
    </xf>
    <xf numFmtId="0" fontId="110" fillId="3" borderId="72" xfId="0" quotePrefix="1" applyFont="1" applyFill="1" applyBorder="1" applyAlignment="1">
      <alignment vertical="center" wrapText="1"/>
    </xf>
    <xf numFmtId="0" fontId="110" fillId="3" borderId="10" xfId="0" quotePrefix="1" applyFont="1" applyFill="1" applyBorder="1" applyAlignment="1">
      <alignment vertical="center" wrapText="1"/>
    </xf>
    <xf numFmtId="180" fontId="114" fillId="12" borderId="5" xfId="0" applyNumberFormat="1" applyFont="1" applyFill="1" applyBorder="1">
      <alignment vertical="center"/>
    </xf>
    <xf numFmtId="194" fontId="114" fillId="12" borderId="5" xfId="0" applyNumberFormat="1" applyFont="1" applyFill="1" applyBorder="1">
      <alignment vertical="center"/>
    </xf>
    <xf numFmtId="195" fontId="116" fillId="4" borderId="67" xfId="0" applyNumberFormat="1" applyFont="1" applyFill="1" applyBorder="1" applyAlignment="1">
      <alignment horizontal="center" vertical="center"/>
    </xf>
    <xf numFmtId="201" fontId="93" fillId="4" borderId="26" xfId="0" applyNumberFormat="1" applyFont="1" applyFill="1" applyBorder="1">
      <alignment vertical="center"/>
    </xf>
    <xf numFmtId="201" fontId="93" fillId="4" borderId="10" xfId="0" applyNumberFormat="1" applyFont="1" applyFill="1" applyBorder="1">
      <alignment vertical="center"/>
    </xf>
    <xf numFmtId="201" fontId="93" fillId="4" borderId="56" xfId="0" applyNumberFormat="1" applyFont="1" applyFill="1" applyBorder="1">
      <alignment vertical="center"/>
    </xf>
    <xf numFmtId="198" fontId="93" fillId="4" borderId="10" xfId="0" applyNumberFormat="1" applyFont="1" applyFill="1" applyBorder="1">
      <alignment vertical="center"/>
    </xf>
    <xf numFmtId="198" fontId="116" fillId="4" borderId="62" xfId="0" applyNumberFormat="1" applyFont="1" applyFill="1" applyBorder="1">
      <alignment vertical="center"/>
    </xf>
    <xf numFmtId="198" fontId="93" fillId="4" borderId="72" xfId="0" applyNumberFormat="1" applyFont="1" applyFill="1" applyBorder="1">
      <alignment vertical="center"/>
    </xf>
    <xf numFmtId="198" fontId="93" fillId="4" borderId="87" xfId="0" applyNumberFormat="1" applyFont="1" applyFill="1" applyBorder="1">
      <alignment vertical="center"/>
    </xf>
    <xf numFmtId="198" fontId="93" fillId="4" borderId="90" xfId="0" applyNumberFormat="1" applyFont="1" applyFill="1" applyBorder="1">
      <alignment vertical="center"/>
    </xf>
    <xf numFmtId="198" fontId="93" fillId="4" borderId="56" xfId="0" applyNumberFormat="1" applyFont="1" applyFill="1" applyBorder="1">
      <alignment vertical="center"/>
    </xf>
    <xf numFmtId="195" fontId="93" fillId="4" borderId="62" xfId="0" applyNumberFormat="1" applyFont="1" applyFill="1" applyBorder="1">
      <alignment vertical="center"/>
    </xf>
    <xf numFmtId="9" fontId="93" fillId="4" borderId="60" xfId="0" applyNumberFormat="1" applyFont="1" applyFill="1" applyBorder="1">
      <alignment vertical="center"/>
    </xf>
    <xf numFmtId="9" fontId="93" fillId="4" borderId="47" xfId="0" applyNumberFormat="1" applyFont="1" applyFill="1" applyBorder="1">
      <alignment vertical="center"/>
    </xf>
    <xf numFmtId="9" fontId="116" fillId="4" borderId="33" xfId="0" applyNumberFormat="1" applyFont="1" applyFill="1" applyBorder="1">
      <alignment vertical="center"/>
    </xf>
    <xf numFmtId="9" fontId="93" fillId="4" borderId="54" xfId="0" applyNumberFormat="1" applyFont="1" applyFill="1" applyBorder="1">
      <alignment vertical="center"/>
    </xf>
    <xf numFmtId="9" fontId="93" fillId="4" borderId="89" xfId="0" applyNumberFormat="1" applyFont="1" applyFill="1" applyBorder="1">
      <alignment vertical="center"/>
    </xf>
    <xf numFmtId="9" fontId="84" fillId="4" borderId="69" xfId="0" applyNumberFormat="1" applyFont="1" applyFill="1" applyBorder="1">
      <alignment vertical="center"/>
    </xf>
    <xf numFmtId="9" fontId="93" fillId="4" borderId="33" xfId="0" applyNumberFormat="1" applyFont="1" applyFill="1" applyBorder="1">
      <alignment vertical="center"/>
    </xf>
    <xf numFmtId="41" fontId="84" fillId="10" borderId="58" xfId="0" applyNumberFormat="1" applyFont="1" applyFill="1" applyBorder="1">
      <alignment vertical="center"/>
    </xf>
    <xf numFmtId="41" fontId="84" fillId="10" borderId="27" xfId="0" applyNumberFormat="1" applyFont="1" applyFill="1" applyBorder="1">
      <alignment vertical="center"/>
    </xf>
    <xf numFmtId="41" fontId="84" fillId="10" borderId="60" xfId="0" applyNumberFormat="1" applyFont="1" applyFill="1" applyBorder="1">
      <alignment vertical="center"/>
    </xf>
    <xf numFmtId="41" fontId="84" fillId="10" borderId="1" xfId="0" applyNumberFormat="1" applyFont="1" applyFill="1" applyBorder="1">
      <alignment vertical="center"/>
    </xf>
    <xf numFmtId="41" fontId="84" fillId="10" borderId="55" xfId="0" applyNumberFormat="1" applyFont="1" applyFill="1" applyBorder="1">
      <alignment vertical="center"/>
    </xf>
    <xf numFmtId="41" fontId="84" fillId="10" borderId="69" xfId="0" applyNumberFormat="1" applyFont="1" applyFill="1" applyBorder="1">
      <alignment vertical="center"/>
    </xf>
    <xf numFmtId="41" fontId="84" fillId="10" borderId="10" xfId="0" applyNumberFormat="1" applyFont="1" applyFill="1" applyBorder="1">
      <alignment vertical="center"/>
    </xf>
    <xf numFmtId="41" fontId="84" fillId="10" borderId="8" xfId="0" applyNumberFormat="1" applyFont="1" applyFill="1" applyBorder="1">
      <alignment vertical="center"/>
    </xf>
    <xf numFmtId="41" fontId="84" fillId="10" borderId="86" xfId="0" applyNumberFormat="1" applyFont="1" applyFill="1" applyBorder="1">
      <alignment vertical="center"/>
    </xf>
    <xf numFmtId="41" fontId="84" fillId="10" borderId="11" xfId="0" applyNumberFormat="1" applyFont="1" applyFill="1" applyBorder="1">
      <alignment vertical="center"/>
    </xf>
    <xf numFmtId="41" fontId="84" fillId="10" borderId="54" xfId="0" applyNumberFormat="1" applyFont="1" applyFill="1" applyBorder="1">
      <alignment vertical="center"/>
    </xf>
    <xf numFmtId="41" fontId="84" fillId="10" borderId="87" xfId="0" applyNumberFormat="1" applyFont="1" applyFill="1" applyBorder="1">
      <alignment vertical="center"/>
    </xf>
    <xf numFmtId="41" fontId="84" fillId="10" borderId="119" xfId="0" applyNumberFormat="1" applyFont="1" applyFill="1" applyBorder="1">
      <alignment vertical="center"/>
    </xf>
    <xf numFmtId="41" fontId="84" fillId="10" borderId="88" xfId="0" applyNumberFormat="1" applyFont="1" applyFill="1" applyBorder="1">
      <alignment vertical="center"/>
    </xf>
    <xf numFmtId="41" fontId="84" fillId="10" borderId="9" xfId="0" applyNumberFormat="1" applyFont="1" applyFill="1" applyBorder="1">
      <alignment vertical="center"/>
    </xf>
    <xf numFmtId="41" fontId="84" fillId="10" borderId="89" xfId="0" applyNumberFormat="1" applyFont="1" applyFill="1" applyBorder="1">
      <alignment vertical="center"/>
    </xf>
    <xf numFmtId="41" fontId="84" fillId="10" borderId="118" xfId="0" applyNumberFormat="1" applyFont="1" applyFill="1" applyBorder="1">
      <alignment vertical="center"/>
    </xf>
    <xf numFmtId="41" fontId="84" fillId="10" borderId="35" xfId="0" applyNumberFormat="1" applyFont="1" applyFill="1" applyBorder="1">
      <alignment vertical="center"/>
    </xf>
    <xf numFmtId="41" fontId="84" fillId="10" borderId="5" xfId="0" applyNumberFormat="1" applyFont="1" applyFill="1" applyBorder="1">
      <alignment vertical="center"/>
    </xf>
    <xf numFmtId="41" fontId="84" fillId="10" borderId="47" xfId="0" applyNumberFormat="1" applyFont="1" applyFill="1" applyBorder="1">
      <alignment vertical="center"/>
    </xf>
    <xf numFmtId="41" fontId="84" fillId="10" borderId="42" xfId="0" applyNumberFormat="1" applyFont="1" applyFill="1" applyBorder="1">
      <alignment vertical="center"/>
    </xf>
    <xf numFmtId="41" fontId="84" fillId="10" borderId="128" xfId="0" applyNumberFormat="1" applyFont="1" applyFill="1" applyBorder="1">
      <alignment vertical="center"/>
    </xf>
    <xf numFmtId="41" fontId="84" fillId="10" borderId="4" xfId="0" applyNumberFormat="1" applyFont="1" applyFill="1" applyBorder="1">
      <alignment vertical="center"/>
    </xf>
    <xf numFmtId="41" fontId="84" fillId="10" borderId="129" xfId="0" applyNumberFormat="1" applyFont="1" applyFill="1" applyBorder="1">
      <alignment vertical="center"/>
    </xf>
    <xf numFmtId="41" fontId="84" fillId="10" borderId="132" xfId="0" applyNumberFormat="1" applyFont="1" applyFill="1" applyBorder="1">
      <alignment vertical="center"/>
    </xf>
    <xf numFmtId="41" fontId="84" fillId="10" borderId="64" xfId="0" applyNumberFormat="1" applyFont="1" applyFill="1" applyBorder="1">
      <alignment vertical="center"/>
    </xf>
    <xf numFmtId="41" fontId="84" fillId="10" borderId="202" xfId="0" applyNumberFormat="1" applyFont="1" applyFill="1" applyBorder="1">
      <alignment vertical="center"/>
    </xf>
    <xf numFmtId="41" fontId="84" fillId="10" borderId="201" xfId="0" applyNumberFormat="1" applyFont="1" applyFill="1" applyBorder="1">
      <alignment vertical="center"/>
    </xf>
    <xf numFmtId="41" fontId="84" fillId="10" borderId="203" xfId="0" applyNumberFormat="1" applyFont="1" applyFill="1" applyBorder="1">
      <alignment vertical="center"/>
    </xf>
    <xf numFmtId="41" fontId="84" fillId="10" borderId="72" xfId="0" applyNumberFormat="1" applyFont="1" applyFill="1" applyBorder="1">
      <alignment vertical="center"/>
    </xf>
    <xf numFmtId="41" fontId="84" fillId="10" borderId="56" xfId="0" applyNumberFormat="1" applyFont="1" applyFill="1" applyBorder="1">
      <alignment vertical="center"/>
    </xf>
    <xf numFmtId="41" fontId="84" fillId="10" borderId="196" xfId="0" applyNumberFormat="1" applyFont="1" applyFill="1" applyBorder="1">
      <alignment vertical="center"/>
    </xf>
    <xf numFmtId="41" fontId="108" fillId="10" borderId="12" xfId="0" applyNumberFormat="1" applyFont="1" applyFill="1" applyBorder="1">
      <alignment vertical="center"/>
    </xf>
    <xf numFmtId="41" fontId="108" fillId="10" borderId="33" xfId="0" applyNumberFormat="1" applyFont="1" applyFill="1" applyBorder="1">
      <alignment vertical="center"/>
    </xf>
    <xf numFmtId="41" fontId="108" fillId="10" borderId="28" xfId="0" applyNumberFormat="1" applyFont="1" applyFill="1" applyBorder="1">
      <alignment vertical="center"/>
    </xf>
    <xf numFmtId="41" fontId="84" fillId="10" borderId="90" xfId="0" applyNumberFormat="1" applyFont="1" applyFill="1" applyBorder="1">
      <alignment vertical="center"/>
    </xf>
    <xf numFmtId="41" fontId="84" fillId="10" borderId="149" xfId="0" applyNumberFormat="1" applyFont="1" applyFill="1" applyBorder="1">
      <alignment vertical="center"/>
    </xf>
    <xf numFmtId="41" fontId="84" fillId="10" borderId="112" xfId="0" applyNumberFormat="1" applyFont="1" applyFill="1" applyBorder="1">
      <alignment vertical="center"/>
    </xf>
    <xf numFmtId="41" fontId="84" fillId="10" borderId="190" xfId="0" applyNumberFormat="1" applyFont="1" applyFill="1" applyBorder="1">
      <alignment vertical="center"/>
    </xf>
    <xf numFmtId="41" fontId="84" fillId="10" borderId="191" xfId="0" applyNumberFormat="1" applyFont="1" applyFill="1" applyBorder="1">
      <alignment vertical="center"/>
    </xf>
    <xf numFmtId="41" fontId="93" fillId="10" borderId="78" xfId="0" applyNumberFormat="1" applyFont="1" applyFill="1" applyBorder="1">
      <alignment vertical="center"/>
    </xf>
    <xf numFmtId="41" fontId="93" fillId="10" borderId="77" xfId="0" applyNumberFormat="1" applyFont="1" applyFill="1" applyBorder="1">
      <alignment vertical="center"/>
    </xf>
    <xf numFmtId="41" fontId="93" fillId="10" borderId="49" xfId="0" applyNumberFormat="1" applyFont="1" applyFill="1" applyBorder="1">
      <alignment vertical="center"/>
    </xf>
    <xf numFmtId="41" fontId="93" fillId="10" borderId="13" xfId="0" applyNumberFormat="1" applyFont="1" applyFill="1" applyBorder="1">
      <alignment vertical="center"/>
    </xf>
    <xf numFmtId="41" fontId="93" fillId="10" borderId="59" xfId="0" applyNumberFormat="1" applyFont="1" applyFill="1" applyBorder="1">
      <alignment vertical="center"/>
    </xf>
    <xf numFmtId="41" fontId="93" fillId="10" borderId="46" xfId="0" applyNumberFormat="1" applyFont="1" applyFill="1" applyBorder="1">
      <alignment vertical="center"/>
    </xf>
    <xf numFmtId="41" fontId="84" fillId="10" borderId="61" xfId="0" applyNumberFormat="1" applyFont="1" applyFill="1" applyBorder="1">
      <alignment vertical="center"/>
    </xf>
    <xf numFmtId="41" fontId="84" fillId="10" borderId="34" xfId="0" applyNumberFormat="1" applyFont="1" applyFill="1" applyBorder="1">
      <alignment vertical="center"/>
    </xf>
    <xf numFmtId="187" fontId="84" fillId="10" borderId="69" xfId="0" applyNumberFormat="1" applyFont="1" applyFill="1" applyBorder="1">
      <alignment vertical="center"/>
    </xf>
    <xf numFmtId="185" fontId="84" fillId="10" borderId="1" xfId="0" applyNumberFormat="1" applyFont="1" applyFill="1" applyBorder="1">
      <alignment vertical="center"/>
    </xf>
    <xf numFmtId="185" fontId="84" fillId="10" borderId="69" xfId="0" applyNumberFormat="1" applyFont="1" applyFill="1" applyBorder="1">
      <alignment vertical="center"/>
    </xf>
    <xf numFmtId="185" fontId="84" fillId="10" borderId="55" xfId="0" applyNumberFormat="1" applyFont="1" applyFill="1" applyBorder="1">
      <alignment vertical="center"/>
    </xf>
    <xf numFmtId="185" fontId="84" fillId="10" borderId="18" xfId="0" applyNumberFormat="1" applyFont="1" applyFill="1" applyBorder="1">
      <alignment vertical="center"/>
    </xf>
    <xf numFmtId="185" fontId="84" fillId="10" borderId="19" xfId="0" applyNumberFormat="1" applyFont="1" applyFill="1" applyBorder="1">
      <alignment vertical="center"/>
    </xf>
    <xf numFmtId="185" fontId="84" fillId="10" borderId="67" xfId="0" applyNumberFormat="1" applyFont="1" applyFill="1" applyBorder="1">
      <alignment vertical="center"/>
    </xf>
    <xf numFmtId="41" fontId="84" fillId="10" borderId="50" xfId="0" applyNumberFormat="1" applyFont="1" applyFill="1" applyBorder="1">
      <alignment vertical="center"/>
    </xf>
    <xf numFmtId="41" fontId="84" fillId="10" borderId="26" xfId="0" applyNumberFormat="1" applyFont="1" applyFill="1" applyBorder="1">
      <alignment vertical="center"/>
    </xf>
    <xf numFmtId="41" fontId="84" fillId="10" borderId="25" xfId="0" applyNumberFormat="1" applyFont="1" applyFill="1" applyBorder="1">
      <alignment vertical="center"/>
    </xf>
    <xf numFmtId="41" fontId="84" fillId="10" borderId="24" xfId="0" applyNumberFormat="1" applyFont="1" applyFill="1" applyBorder="1">
      <alignment vertical="center"/>
    </xf>
    <xf numFmtId="41" fontId="84" fillId="10" borderId="0" xfId="0" applyNumberFormat="1" applyFont="1" applyFill="1">
      <alignment vertical="center"/>
    </xf>
    <xf numFmtId="41" fontId="84" fillId="10" borderId="85" xfId="0" applyNumberFormat="1" applyFont="1" applyFill="1" applyBorder="1">
      <alignment vertical="center"/>
    </xf>
    <xf numFmtId="41" fontId="84" fillId="10" borderId="71" xfId="0" applyNumberFormat="1" applyFont="1" applyFill="1" applyBorder="1">
      <alignment vertical="center"/>
    </xf>
    <xf numFmtId="41" fontId="84" fillId="10" borderId="21" xfId="0" applyNumberFormat="1" applyFont="1" applyFill="1" applyBorder="1">
      <alignment vertical="center"/>
    </xf>
    <xf numFmtId="187" fontId="84" fillId="10" borderId="24" xfId="0" applyNumberFormat="1" applyFont="1" applyFill="1" applyBorder="1">
      <alignment vertical="center"/>
    </xf>
    <xf numFmtId="187" fontId="93" fillId="10" borderId="65" xfId="0" applyNumberFormat="1" applyFont="1" applyFill="1" applyBorder="1">
      <alignment vertical="center"/>
    </xf>
    <xf numFmtId="187" fontId="84" fillId="10" borderId="58" xfId="0" applyNumberFormat="1" applyFont="1" applyFill="1" applyBorder="1">
      <alignment vertical="center"/>
    </xf>
    <xf numFmtId="187" fontId="84" fillId="10" borderId="27" xfId="0" applyNumberFormat="1" applyFont="1" applyFill="1" applyBorder="1">
      <alignment vertical="center"/>
    </xf>
    <xf numFmtId="187" fontId="84" fillId="10" borderId="60" xfId="0" applyNumberFormat="1" applyFont="1" applyFill="1" applyBorder="1">
      <alignment vertical="center"/>
    </xf>
    <xf numFmtId="41" fontId="93" fillId="10" borderId="42" xfId="0" applyNumberFormat="1" applyFont="1" applyFill="1" applyBorder="1">
      <alignment vertical="center"/>
    </xf>
    <xf numFmtId="41" fontId="116" fillId="10" borderId="48" xfId="0" applyNumberFormat="1" applyFont="1" applyFill="1" applyBorder="1">
      <alignment vertical="center"/>
    </xf>
    <xf numFmtId="41" fontId="93" fillId="10" borderId="34" xfId="0" applyNumberFormat="1" applyFont="1" applyFill="1" applyBorder="1">
      <alignment vertical="center"/>
    </xf>
    <xf numFmtId="41" fontId="93" fillId="10" borderId="63" xfId="0" applyNumberFormat="1" applyFont="1" applyFill="1" applyBorder="1">
      <alignment vertical="center"/>
    </xf>
    <xf numFmtId="41" fontId="93" fillId="10" borderId="63" xfId="0" applyNumberFormat="1" applyFont="1" applyFill="1" applyBorder="1" applyAlignment="1">
      <alignment horizontal="left" vertical="center" indent="1"/>
    </xf>
    <xf numFmtId="41" fontId="84" fillId="10" borderId="64" xfId="0" applyNumberFormat="1" applyFont="1" applyFill="1" applyBorder="1" applyAlignment="1">
      <alignment horizontal="left" vertical="center" indent="1"/>
    </xf>
    <xf numFmtId="41" fontId="84" fillId="10" borderId="61" xfId="0" applyNumberFormat="1" applyFont="1" applyFill="1" applyBorder="1" applyAlignment="1">
      <alignment horizontal="left" vertical="center" indent="1"/>
    </xf>
    <xf numFmtId="41" fontId="84" fillId="10" borderId="34" xfId="0" applyNumberFormat="1" applyFont="1" applyFill="1" applyBorder="1" applyAlignment="1">
      <alignment horizontal="left" vertical="center" indent="1"/>
    </xf>
    <xf numFmtId="41" fontId="84" fillId="10" borderId="72" xfId="0" applyNumberFormat="1" applyFont="1" applyFill="1" applyBorder="1" applyAlignment="1">
      <alignment horizontal="left" vertical="center" indent="1"/>
    </xf>
    <xf numFmtId="41" fontId="93" fillId="10" borderId="112" xfId="0" applyNumberFormat="1" applyFont="1" applyFill="1" applyBorder="1" applyAlignment="1">
      <alignment horizontal="center" vertical="center"/>
    </xf>
    <xf numFmtId="41" fontId="93" fillId="10" borderId="84" xfId="0" applyNumberFormat="1" applyFont="1" applyFill="1" applyBorder="1" applyAlignment="1">
      <alignment horizontal="center" vertical="center"/>
    </xf>
    <xf numFmtId="41" fontId="93" fillId="10" borderId="111" xfId="0" applyNumberFormat="1" applyFont="1" applyFill="1" applyBorder="1" applyAlignment="1">
      <alignment horizontal="center" vertical="center"/>
    </xf>
    <xf numFmtId="41" fontId="93" fillId="10" borderId="55" xfId="0" applyNumberFormat="1" applyFont="1" applyFill="1" applyBorder="1" applyAlignment="1">
      <alignment horizontal="center" vertical="center"/>
    </xf>
    <xf numFmtId="41" fontId="93" fillId="10" borderId="1" xfId="0" applyNumberFormat="1" applyFont="1" applyFill="1" applyBorder="1" applyAlignment="1">
      <alignment horizontal="center" vertical="center"/>
    </xf>
    <xf numFmtId="41" fontId="93" fillId="10" borderId="69" xfId="0" applyNumberFormat="1" applyFont="1" applyFill="1" applyBorder="1" applyAlignment="1">
      <alignment horizontal="center" vertical="center"/>
    </xf>
    <xf numFmtId="41" fontId="93" fillId="10" borderId="1" xfId="0" applyNumberFormat="1" applyFont="1" applyFill="1" applyBorder="1">
      <alignment vertical="center"/>
    </xf>
    <xf numFmtId="41" fontId="93" fillId="10" borderId="69" xfId="0" applyNumberFormat="1" applyFont="1" applyFill="1" applyBorder="1">
      <alignment vertical="center"/>
    </xf>
    <xf numFmtId="41" fontId="93" fillId="10" borderId="55" xfId="0" applyNumberFormat="1" applyFont="1" applyFill="1" applyBorder="1">
      <alignment vertical="center"/>
    </xf>
    <xf numFmtId="41" fontId="93" fillId="10" borderId="111" xfId="0" applyNumberFormat="1" applyFont="1" applyFill="1" applyBorder="1">
      <alignment vertical="center"/>
    </xf>
    <xf numFmtId="41" fontId="84" fillId="10" borderId="36" xfId="0" applyNumberFormat="1" applyFont="1" applyFill="1" applyBorder="1">
      <alignment vertical="center"/>
    </xf>
    <xf numFmtId="41" fontId="84" fillId="10" borderId="111" xfId="0" applyNumberFormat="1" applyFont="1" applyFill="1" applyBorder="1">
      <alignment vertical="center"/>
    </xf>
    <xf numFmtId="41" fontId="84" fillId="10" borderId="84" xfId="0" applyNumberFormat="1" applyFont="1" applyFill="1" applyBorder="1">
      <alignment vertical="center"/>
    </xf>
    <xf numFmtId="41" fontId="93" fillId="10" borderId="6" xfId="0" applyNumberFormat="1" applyFont="1" applyFill="1" applyBorder="1">
      <alignment vertical="center"/>
    </xf>
    <xf numFmtId="41" fontId="84" fillId="10" borderId="39" xfId="0" applyNumberFormat="1" applyFont="1" applyFill="1" applyBorder="1">
      <alignment vertical="center"/>
    </xf>
    <xf numFmtId="41" fontId="84" fillId="10" borderId="6" xfId="0" applyNumberFormat="1" applyFont="1" applyFill="1" applyBorder="1">
      <alignment vertical="center"/>
    </xf>
    <xf numFmtId="41" fontId="84" fillId="10" borderId="200" xfId="0" applyNumberFormat="1" applyFont="1" applyFill="1" applyBorder="1">
      <alignment vertical="center"/>
    </xf>
    <xf numFmtId="0" fontId="93" fillId="3" borderId="1" xfId="0" applyFont="1" applyFill="1" applyBorder="1" applyAlignment="1">
      <alignment horizontal="center" vertical="center"/>
    </xf>
    <xf numFmtId="0" fontId="93" fillId="3" borderId="61" xfId="0" applyFont="1" applyFill="1" applyBorder="1" applyAlignment="1">
      <alignment horizontal="center" vertical="center"/>
    </xf>
    <xf numFmtId="0" fontId="93" fillId="3" borderId="1" xfId="0" applyFont="1" applyFill="1" applyBorder="1" applyAlignment="1">
      <alignment horizontal="left" vertical="center" wrapText="1"/>
    </xf>
    <xf numFmtId="0" fontId="93" fillId="3" borderId="5" xfId="0" applyFont="1" applyFill="1" applyBorder="1">
      <alignment vertical="center"/>
    </xf>
    <xf numFmtId="0" fontId="170" fillId="3" borderId="0" xfId="0" quotePrefix="1" applyFont="1" applyFill="1">
      <alignment vertical="center"/>
    </xf>
    <xf numFmtId="0" fontId="170" fillId="3" borderId="0" xfId="0" quotePrefix="1" applyFont="1" applyFill="1" applyAlignment="1">
      <alignment horizontal="left" vertical="center"/>
    </xf>
    <xf numFmtId="0" fontId="171" fillId="3" borderId="0" xfId="0" applyFont="1" applyFill="1">
      <alignment vertical="center"/>
    </xf>
    <xf numFmtId="0" fontId="172" fillId="3" borderId="0" xfId="0" quotePrefix="1" applyFont="1" applyFill="1">
      <alignment vertical="center"/>
    </xf>
    <xf numFmtId="0" fontId="172" fillId="3" borderId="0" xfId="0" applyFont="1" applyFill="1">
      <alignment vertical="center"/>
    </xf>
    <xf numFmtId="0" fontId="172" fillId="3" borderId="0" xfId="0" applyFont="1" applyFill="1" applyAlignment="1">
      <alignment horizontal="left" vertical="center"/>
    </xf>
    <xf numFmtId="0" fontId="11" fillId="3" borderId="0" xfId="0" applyFont="1" applyFill="1">
      <alignment vertical="center"/>
    </xf>
    <xf numFmtId="0" fontId="173" fillId="3" borderId="0" xfId="0" applyFont="1" applyFill="1">
      <alignment vertical="center"/>
    </xf>
    <xf numFmtId="192" fontId="121" fillId="0" borderId="0" xfId="0" applyNumberFormat="1" applyFont="1">
      <alignment vertical="center"/>
    </xf>
    <xf numFmtId="194" fontId="84" fillId="4" borderId="107" xfId="0" applyNumberFormat="1" applyFont="1" applyFill="1" applyBorder="1" applyAlignment="1">
      <alignment horizontal="center" vertical="center"/>
    </xf>
    <xf numFmtId="0" fontId="93" fillId="4" borderId="80" xfId="0" applyFont="1" applyFill="1" applyBorder="1" applyAlignment="1">
      <alignment horizontal="center" vertical="center"/>
    </xf>
    <xf numFmtId="0" fontId="93" fillId="4" borderId="21" xfId="0" applyFont="1" applyFill="1" applyBorder="1" applyAlignment="1">
      <alignment horizontal="center" vertical="center"/>
    </xf>
    <xf numFmtId="41" fontId="84" fillId="3" borderId="110" xfId="0" applyNumberFormat="1" applyFont="1" applyFill="1" applyBorder="1">
      <alignment vertical="center"/>
    </xf>
    <xf numFmtId="41" fontId="84" fillId="4" borderId="110" xfId="0" applyNumberFormat="1" applyFont="1" applyFill="1" applyBorder="1">
      <alignment vertical="center"/>
    </xf>
    <xf numFmtId="0" fontId="129" fillId="0" borderId="0" xfId="0" applyFont="1">
      <alignment vertical="center"/>
    </xf>
    <xf numFmtId="0" fontId="127" fillId="0" borderId="0" xfId="0" applyFont="1">
      <alignment vertical="center"/>
    </xf>
    <xf numFmtId="41" fontId="11" fillId="3" borderId="55" xfId="0" applyNumberFormat="1" applyFont="1" applyFill="1" applyBorder="1">
      <alignment vertical="center"/>
    </xf>
    <xf numFmtId="41" fontId="11" fillId="3" borderId="1" xfId="0" applyNumberFormat="1" applyFont="1" applyFill="1" applyBorder="1">
      <alignment vertical="center"/>
    </xf>
    <xf numFmtId="41" fontId="11" fillId="3" borderId="69" xfId="0" applyNumberFormat="1" applyFont="1" applyFill="1" applyBorder="1">
      <alignment vertical="center"/>
    </xf>
    <xf numFmtId="41" fontId="11" fillId="3" borderId="8" xfId="0" applyNumberFormat="1" applyFont="1" applyFill="1" applyBorder="1">
      <alignment vertical="center"/>
    </xf>
    <xf numFmtId="192" fontId="93" fillId="4" borderId="54" xfId="0" applyNumberFormat="1" applyFont="1" applyFill="1" applyBorder="1" applyAlignment="1">
      <alignment horizontal="center" vertical="center"/>
    </xf>
    <xf numFmtId="41" fontId="11" fillId="3" borderId="86" xfId="0" applyNumberFormat="1" applyFont="1" applyFill="1" applyBorder="1">
      <alignment vertical="center"/>
    </xf>
    <xf numFmtId="41" fontId="11" fillId="3" borderId="11" xfId="0" applyNumberFormat="1" applyFont="1" applyFill="1" applyBorder="1">
      <alignment vertical="center"/>
    </xf>
    <xf numFmtId="41" fontId="11" fillId="3" borderId="54" xfId="0" applyNumberFormat="1" applyFont="1" applyFill="1" applyBorder="1">
      <alignment vertical="center"/>
    </xf>
    <xf numFmtId="41" fontId="11" fillId="3" borderId="119" xfId="0" applyNumberFormat="1" applyFont="1" applyFill="1" applyBorder="1">
      <alignment vertical="center"/>
    </xf>
    <xf numFmtId="192" fontId="93" fillId="4" borderId="55" xfId="0" applyNumberFormat="1" applyFont="1" applyFill="1" applyBorder="1" applyAlignment="1">
      <alignment horizontal="center" vertical="center"/>
    </xf>
    <xf numFmtId="192" fontId="93" fillId="4" borderId="1" xfId="0" applyNumberFormat="1" applyFont="1" applyFill="1" applyBorder="1" applyAlignment="1">
      <alignment horizontal="center" vertical="center"/>
    </xf>
    <xf numFmtId="192" fontId="93" fillId="4" borderId="10" xfId="0" applyNumberFormat="1" applyFont="1" applyFill="1" applyBorder="1" applyAlignment="1">
      <alignment horizontal="center" vertical="center"/>
    </xf>
    <xf numFmtId="192" fontId="93" fillId="2" borderId="55" xfId="0" applyNumberFormat="1" applyFont="1" applyFill="1" applyBorder="1" applyAlignment="1">
      <alignment horizontal="center" vertical="center"/>
    </xf>
    <xf numFmtId="192" fontId="93" fillId="2" borderId="1" xfId="0" applyNumberFormat="1" applyFont="1" applyFill="1" applyBorder="1" applyAlignment="1">
      <alignment horizontal="center" vertical="center"/>
    </xf>
    <xf numFmtId="192" fontId="93" fillId="2" borderId="10" xfId="0" applyNumberFormat="1" applyFont="1" applyFill="1" applyBorder="1" applyAlignment="1">
      <alignment horizontal="center" vertical="center"/>
    </xf>
    <xf numFmtId="192" fontId="93" fillId="2" borderId="0" xfId="0" applyNumberFormat="1" applyFont="1" applyFill="1" applyAlignment="1">
      <alignment horizontal="center" vertical="center"/>
    </xf>
    <xf numFmtId="41" fontId="93" fillId="10" borderId="8" xfId="0" applyNumberFormat="1" applyFont="1" applyFill="1" applyBorder="1">
      <alignment vertical="center"/>
    </xf>
    <xf numFmtId="192" fontId="93" fillId="4" borderId="86" xfId="0" applyNumberFormat="1" applyFont="1" applyFill="1" applyBorder="1" applyAlignment="1">
      <alignment horizontal="center" vertical="center"/>
    </xf>
    <xf numFmtId="192" fontId="93" fillId="4" borderId="11" xfId="0" applyNumberFormat="1" applyFont="1" applyFill="1" applyBorder="1" applyAlignment="1">
      <alignment horizontal="center" vertical="center"/>
    </xf>
    <xf numFmtId="192" fontId="93" fillId="4" borderId="87" xfId="0" applyNumberFormat="1" applyFont="1" applyFill="1" applyBorder="1" applyAlignment="1">
      <alignment horizontal="center" vertical="center"/>
    </xf>
    <xf numFmtId="192" fontId="93" fillId="4" borderId="115" xfId="0" applyNumberFormat="1" applyFont="1" applyFill="1" applyBorder="1" applyAlignment="1">
      <alignment horizontal="center" vertical="center"/>
    </xf>
    <xf numFmtId="41" fontId="93" fillId="10" borderId="86" xfId="0" applyNumberFormat="1" applyFont="1" applyFill="1" applyBorder="1">
      <alignment vertical="center"/>
    </xf>
    <xf numFmtId="41" fontId="93" fillId="10" borderId="11" xfId="0" applyNumberFormat="1" applyFont="1" applyFill="1" applyBorder="1">
      <alignment vertical="center"/>
    </xf>
    <xf numFmtId="41" fontId="93" fillId="10" borderId="54" xfId="0" applyNumberFormat="1" applyFont="1" applyFill="1" applyBorder="1">
      <alignment vertical="center"/>
    </xf>
    <xf numFmtId="41" fontId="93" fillId="10" borderId="119" xfId="0" applyNumberFormat="1" applyFont="1" applyFill="1" applyBorder="1">
      <alignment vertical="center"/>
    </xf>
    <xf numFmtId="192" fontId="93" fillId="4" borderId="88" xfId="0" applyNumberFormat="1" applyFont="1" applyFill="1" applyBorder="1" applyAlignment="1">
      <alignment horizontal="center" vertical="center"/>
    </xf>
    <xf numFmtId="192" fontId="93" fillId="4" borderId="9" xfId="0" applyNumberFormat="1" applyFont="1" applyFill="1" applyBorder="1" applyAlignment="1">
      <alignment horizontal="center" vertical="center"/>
    </xf>
    <xf numFmtId="192" fontId="93" fillId="4" borderId="90" xfId="0" applyNumberFormat="1" applyFont="1" applyFill="1" applyBorder="1" applyAlignment="1">
      <alignment horizontal="center" vertical="center"/>
    </xf>
    <xf numFmtId="192" fontId="93" fillId="4" borderId="114" xfId="0" applyNumberFormat="1" applyFont="1" applyFill="1" applyBorder="1" applyAlignment="1">
      <alignment horizontal="center" vertical="center"/>
    </xf>
    <xf numFmtId="192" fontId="93" fillId="10" borderId="55" xfId="0" applyNumberFormat="1" applyFont="1" applyFill="1" applyBorder="1" applyAlignment="1">
      <alignment horizontal="center" vertical="center"/>
    </xf>
    <xf numFmtId="192" fontId="93" fillId="10" borderId="1" xfId="0" applyNumberFormat="1" applyFont="1" applyFill="1" applyBorder="1" applyAlignment="1">
      <alignment horizontal="center" vertical="center"/>
    </xf>
    <xf numFmtId="192" fontId="93" fillId="10" borderId="10" xfId="0" applyNumberFormat="1" applyFont="1" applyFill="1" applyBorder="1" applyAlignment="1">
      <alignment horizontal="center" vertical="center"/>
    </xf>
    <xf numFmtId="192" fontId="93" fillId="10" borderId="0" xfId="0" applyNumberFormat="1" applyFont="1" applyFill="1" applyAlignment="1">
      <alignment horizontal="center" vertical="center"/>
    </xf>
    <xf numFmtId="192" fontId="93" fillId="10" borderId="86" xfId="0" applyNumberFormat="1" applyFont="1" applyFill="1" applyBorder="1" applyAlignment="1">
      <alignment horizontal="center" vertical="center"/>
    </xf>
    <xf numFmtId="192" fontId="93" fillId="10" borderId="11" xfId="0" applyNumberFormat="1" applyFont="1" applyFill="1" applyBorder="1" applyAlignment="1">
      <alignment horizontal="center" vertical="center"/>
    </xf>
    <xf numFmtId="192" fontId="93" fillId="10" borderId="87" xfId="0" applyNumberFormat="1" applyFont="1" applyFill="1" applyBorder="1" applyAlignment="1">
      <alignment horizontal="center" vertical="center"/>
    </xf>
    <xf numFmtId="192" fontId="93" fillId="10" borderId="115" xfId="0" applyNumberFormat="1" applyFont="1" applyFill="1" applyBorder="1" applyAlignment="1">
      <alignment horizontal="center" vertical="center"/>
    </xf>
    <xf numFmtId="192" fontId="108" fillId="4" borderId="19" xfId="0" applyNumberFormat="1" applyFont="1" applyFill="1" applyBorder="1" applyAlignment="1">
      <alignment horizontal="center" vertical="center"/>
    </xf>
    <xf numFmtId="0" fontId="84" fillId="4" borderId="19" xfId="0" applyFont="1" applyFill="1" applyBorder="1" applyAlignment="1">
      <alignment horizontal="center" vertical="center"/>
    </xf>
    <xf numFmtId="41" fontId="128" fillId="4" borderId="17" xfId="0" applyNumberFormat="1" applyFont="1" applyFill="1" applyBorder="1">
      <alignment vertical="center"/>
    </xf>
    <xf numFmtId="41" fontId="116" fillId="4" borderId="50" xfId="0" applyNumberFormat="1" applyFont="1" applyFill="1" applyBorder="1" applyAlignment="1">
      <alignment horizontal="left" vertical="center"/>
    </xf>
    <xf numFmtId="41" fontId="84" fillId="3" borderId="126" xfId="0" applyNumberFormat="1" applyFont="1" applyFill="1" applyBorder="1">
      <alignment vertical="center"/>
    </xf>
    <xf numFmtId="41" fontId="84" fillId="29" borderId="126" xfId="0" applyNumberFormat="1" applyFont="1" applyFill="1" applyBorder="1">
      <alignment vertical="center"/>
    </xf>
    <xf numFmtId="41" fontId="84" fillId="29" borderId="7" xfId="0" applyNumberFormat="1" applyFont="1" applyFill="1" applyBorder="1">
      <alignment vertical="center"/>
    </xf>
    <xf numFmtId="41" fontId="84" fillId="29" borderId="3" xfId="0" applyNumberFormat="1" applyFont="1" applyFill="1" applyBorder="1">
      <alignment vertical="center"/>
    </xf>
    <xf numFmtId="41" fontId="84" fillId="29" borderId="115" xfId="0" applyNumberFormat="1" applyFont="1" applyFill="1" applyBorder="1">
      <alignment vertical="center"/>
    </xf>
    <xf numFmtId="41" fontId="84" fillId="29" borderId="119" xfId="0" applyNumberFormat="1" applyFont="1" applyFill="1" applyBorder="1">
      <alignment vertical="center"/>
    </xf>
    <xf numFmtId="41" fontId="84" fillId="29" borderId="11" xfId="0" applyNumberFormat="1" applyFont="1" applyFill="1" applyBorder="1">
      <alignment vertical="center"/>
    </xf>
    <xf numFmtId="0" fontId="86" fillId="25" borderId="3" xfId="0" applyFont="1" applyFill="1" applyBorder="1" applyAlignment="1">
      <alignment horizontal="left" vertical="center"/>
    </xf>
    <xf numFmtId="194" fontId="116" fillId="25" borderId="3" xfId="0" applyNumberFormat="1" applyFont="1" applyFill="1" applyBorder="1">
      <alignment vertical="center"/>
    </xf>
    <xf numFmtId="0" fontId="116" fillId="25" borderId="117" xfId="0" applyFont="1" applyFill="1" applyBorder="1" applyAlignment="1">
      <alignment horizontal="center" vertical="center"/>
    </xf>
    <xf numFmtId="41" fontId="84" fillId="29" borderId="23" xfId="0" applyNumberFormat="1" applyFont="1" applyFill="1" applyBorder="1">
      <alignment vertical="center"/>
    </xf>
    <xf numFmtId="41" fontId="84" fillId="29" borderId="121" xfId="0" applyNumberFormat="1" applyFont="1" applyFill="1" applyBorder="1">
      <alignment vertical="center"/>
    </xf>
    <xf numFmtId="41" fontId="84" fillId="29" borderId="22" xfId="0" applyNumberFormat="1" applyFont="1" applyFill="1" applyBorder="1">
      <alignment vertical="center"/>
    </xf>
    <xf numFmtId="0" fontId="86" fillId="25" borderId="11" xfId="0" applyFont="1" applyFill="1" applyBorder="1" applyAlignment="1">
      <alignment horizontal="center" vertical="center"/>
    </xf>
    <xf numFmtId="41" fontId="84" fillId="29" borderId="123" xfId="0" applyNumberFormat="1" applyFont="1" applyFill="1" applyBorder="1">
      <alignment vertical="center"/>
    </xf>
    <xf numFmtId="41" fontId="84" fillId="22" borderId="7" xfId="0" applyNumberFormat="1" applyFont="1" applyFill="1" applyBorder="1">
      <alignment vertical="center"/>
    </xf>
    <xf numFmtId="41" fontId="84" fillId="22" borderId="126" xfId="0" applyNumberFormat="1" applyFont="1" applyFill="1" applyBorder="1">
      <alignment vertical="center"/>
    </xf>
    <xf numFmtId="194" fontId="116" fillId="4" borderId="3" xfId="0" applyNumberFormat="1" applyFont="1" applyFill="1" applyBorder="1">
      <alignment vertical="center"/>
    </xf>
    <xf numFmtId="0" fontId="116" fillId="4" borderId="117" xfId="0" applyFont="1" applyFill="1" applyBorder="1" applyAlignment="1">
      <alignment horizontal="center" vertical="center"/>
    </xf>
    <xf numFmtId="0" fontId="116" fillId="30" borderId="11" xfId="0" applyFont="1" applyFill="1" applyBorder="1" applyAlignment="1">
      <alignment horizontal="left" vertical="center" wrapText="1"/>
    </xf>
    <xf numFmtId="0" fontId="116" fillId="30" borderId="7" xfId="0" applyFont="1" applyFill="1" applyBorder="1" applyAlignment="1">
      <alignment horizontal="left" vertical="center" wrapText="1"/>
    </xf>
    <xf numFmtId="0" fontId="86" fillId="25" borderId="2" xfId="0" applyFont="1" applyFill="1" applyBorder="1" applyAlignment="1">
      <alignment horizontal="center" vertical="center"/>
    </xf>
    <xf numFmtId="0" fontId="93" fillId="4" borderId="45" xfId="0" applyFont="1" applyFill="1" applyBorder="1">
      <alignment vertical="center"/>
    </xf>
    <xf numFmtId="0" fontId="138" fillId="4" borderId="0" xfId="0" applyFont="1" applyFill="1">
      <alignment vertical="center"/>
    </xf>
    <xf numFmtId="194" fontId="116" fillId="25" borderId="130" xfId="0" applyNumberFormat="1" applyFont="1" applyFill="1" applyBorder="1" applyAlignment="1">
      <alignment horizontal="center" vertical="center"/>
    </xf>
    <xf numFmtId="194" fontId="116" fillId="4" borderId="130" xfId="0" applyNumberFormat="1" applyFont="1" applyFill="1" applyBorder="1" applyAlignment="1">
      <alignment horizontal="center" vertical="center"/>
    </xf>
    <xf numFmtId="0" fontId="116" fillId="4" borderId="17" xfId="0" applyFont="1" applyFill="1" applyBorder="1" applyAlignment="1">
      <alignment horizontal="center" vertical="center" wrapText="1"/>
    </xf>
    <xf numFmtId="41" fontId="108" fillId="25" borderId="130" xfId="0" applyNumberFormat="1" applyFont="1" applyFill="1" applyBorder="1">
      <alignment vertical="center"/>
    </xf>
    <xf numFmtId="41" fontId="108" fillId="4" borderId="216" xfId="0" applyNumberFormat="1" applyFont="1" applyFill="1" applyBorder="1">
      <alignment vertical="center"/>
    </xf>
    <xf numFmtId="41" fontId="84" fillId="22" borderId="23" xfId="0" applyNumberFormat="1" applyFont="1" applyFill="1" applyBorder="1">
      <alignment vertical="center"/>
    </xf>
    <xf numFmtId="41" fontId="108" fillId="21" borderId="15" xfId="0" applyNumberFormat="1" applyFont="1" applyFill="1" applyBorder="1">
      <alignment vertical="center"/>
    </xf>
    <xf numFmtId="41" fontId="93" fillId="3" borderId="111" xfId="0" applyNumberFormat="1" applyFont="1" applyFill="1" applyBorder="1">
      <alignment vertical="center"/>
    </xf>
    <xf numFmtId="41" fontId="84" fillId="3" borderId="36" xfId="0" applyNumberFormat="1" applyFont="1" applyFill="1" applyBorder="1">
      <alignment vertical="center"/>
    </xf>
    <xf numFmtId="41" fontId="84" fillId="3" borderId="112" xfId="0" applyNumberFormat="1" applyFont="1" applyFill="1" applyBorder="1">
      <alignment vertical="center"/>
    </xf>
    <xf numFmtId="41" fontId="84" fillId="3" borderId="111" xfId="0" applyNumberFormat="1" applyFont="1" applyFill="1" applyBorder="1">
      <alignment vertical="center"/>
    </xf>
    <xf numFmtId="41" fontId="84" fillId="3" borderId="84" xfId="0" applyNumberFormat="1" applyFont="1" applyFill="1" applyBorder="1">
      <alignment vertical="center"/>
    </xf>
    <xf numFmtId="41" fontId="93" fillId="3" borderId="6" xfId="0" applyNumberFormat="1" applyFont="1" applyFill="1" applyBorder="1">
      <alignment vertical="center"/>
    </xf>
    <xf numFmtId="41" fontId="84" fillId="3" borderId="200" xfId="0" applyNumberFormat="1" applyFont="1" applyFill="1" applyBorder="1">
      <alignment vertical="center"/>
    </xf>
    <xf numFmtId="0" fontId="108" fillId="3" borderId="0" xfId="0" applyFont="1" applyFill="1" applyAlignment="1">
      <alignment horizontal="center" vertical="center" wrapText="1"/>
    </xf>
    <xf numFmtId="9" fontId="84" fillId="3" borderId="0" xfId="0" applyNumberFormat="1" applyFont="1" applyFill="1" applyAlignment="1">
      <alignment horizontal="right" vertical="center"/>
    </xf>
    <xf numFmtId="218" fontId="84" fillId="3" borderId="0" xfId="0" applyNumberFormat="1" applyFont="1" applyFill="1">
      <alignment vertical="center"/>
    </xf>
    <xf numFmtId="9" fontId="84" fillId="3" borderId="0" xfId="0" applyNumberFormat="1" applyFont="1" applyFill="1">
      <alignment vertical="center"/>
    </xf>
    <xf numFmtId="41" fontId="108" fillId="3" borderId="0" xfId="0" applyNumberFormat="1" applyFont="1" applyFill="1" applyAlignment="1">
      <alignment horizontal="center" vertical="center" wrapText="1"/>
    </xf>
    <xf numFmtId="41" fontId="84" fillId="2" borderId="196" xfId="0" applyNumberFormat="1" applyFont="1" applyFill="1" applyBorder="1">
      <alignment vertical="center"/>
    </xf>
    <xf numFmtId="41" fontId="84" fillId="2" borderId="196" xfId="0" applyNumberFormat="1" applyFont="1" applyFill="1" applyBorder="1" applyAlignment="1">
      <alignment horizontal="left" vertical="center"/>
    </xf>
    <xf numFmtId="0" fontId="84" fillId="0" borderId="196" xfId="0" applyFont="1" applyBorder="1">
      <alignment vertical="center"/>
    </xf>
    <xf numFmtId="9" fontId="84" fillId="2" borderId="196" xfId="0" applyNumberFormat="1" applyFont="1" applyFill="1" applyBorder="1" applyAlignment="1">
      <alignment horizontal="center" vertical="center"/>
    </xf>
    <xf numFmtId="41" fontId="85" fillId="3" borderId="22" xfId="0" applyNumberFormat="1" applyFont="1" applyFill="1" applyBorder="1">
      <alignment vertical="center"/>
    </xf>
    <xf numFmtId="41" fontId="85" fillId="3" borderId="7" xfId="0" applyNumberFormat="1" applyFont="1" applyFill="1" applyBorder="1">
      <alignment vertical="center"/>
    </xf>
    <xf numFmtId="41" fontId="86" fillId="25" borderId="130" xfId="0" applyNumberFormat="1" applyFont="1" applyFill="1" applyBorder="1">
      <alignment vertical="center"/>
    </xf>
    <xf numFmtId="194" fontId="93" fillId="0" borderId="0" xfId="0" applyNumberFormat="1" applyFont="1">
      <alignment vertical="center"/>
    </xf>
    <xf numFmtId="41" fontId="84" fillId="3" borderId="121" xfId="0" applyNumberFormat="1" applyFont="1" applyFill="1" applyBorder="1">
      <alignment vertical="center"/>
    </xf>
    <xf numFmtId="184" fontId="84" fillId="2" borderId="41" xfId="0" applyNumberFormat="1" applyFont="1" applyFill="1" applyBorder="1">
      <alignment vertical="center"/>
    </xf>
    <xf numFmtId="184" fontId="84" fillId="2" borderId="109" xfId="0" applyNumberFormat="1" applyFont="1" applyFill="1" applyBorder="1">
      <alignment vertical="center"/>
    </xf>
    <xf numFmtId="184" fontId="84" fillId="2" borderId="112" xfId="0" applyNumberFormat="1" applyFont="1" applyFill="1" applyBorder="1">
      <alignment vertical="center"/>
    </xf>
    <xf numFmtId="184" fontId="84" fillId="2" borderId="32" xfId="0" applyNumberFormat="1" applyFont="1" applyFill="1" applyBorder="1">
      <alignment vertical="center"/>
    </xf>
    <xf numFmtId="184" fontId="84" fillId="2" borderId="113" xfId="0" applyNumberFormat="1" applyFont="1" applyFill="1" applyBorder="1">
      <alignment vertical="center"/>
    </xf>
    <xf numFmtId="184" fontId="108" fillId="2" borderId="148" xfId="0" applyNumberFormat="1" applyFont="1" applyFill="1" applyBorder="1">
      <alignment vertical="center"/>
    </xf>
    <xf numFmtId="184" fontId="84" fillId="2" borderId="43" xfId="0" applyNumberFormat="1" applyFont="1" applyFill="1" applyBorder="1">
      <alignment vertical="center"/>
    </xf>
    <xf numFmtId="184" fontId="84" fillId="2" borderId="78" xfId="0" applyNumberFormat="1" applyFont="1" applyFill="1" applyBorder="1">
      <alignment vertical="center"/>
    </xf>
    <xf numFmtId="184" fontId="84" fillId="2" borderId="77" xfId="0" applyNumberFormat="1" applyFont="1" applyFill="1" applyBorder="1">
      <alignment vertical="center"/>
    </xf>
    <xf numFmtId="184" fontId="84" fillId="2" borderId="49" xfId="0" applyNumberFormat="1" applyFont="1" applyFill="1" applyBorder="1">
      <alignment vertical="center"/>
    </xf>
    <xf numFmtId="184" fontId="84" fillId="2" borderId="76" xfId="0" applyNumberFormat="1" applyFont="1" applyFill="1" applyBorder="1">
      <alignment vertical="center"/>
    </xf>
    <xf numFmtId="184" fontId="84" fillId="2" borderId="75" xfId="0" applyNumberFormat="1" applyFont="1" applyFill="1" applyBorder="1">
      <alignment vertical="center"/>
    </xf>
    <xf numFmtId="0" fontId="86" fillId="21" borderId="10" xfId="0" applyFont="1" applyFill="1" applyBorder="1">
      <alignment vertical="center"/>
    </xf>
    <xf numFmtId="0" fontId="86" fillId="21" borderId="55" xfId="0" applyFont="1" applyFill="1" applyBorder="1">
      <alignment vertical="center"/>
    </xf>
    <xf numFmtId="0" fontId="86" fillId="21" borderId="10" xfId="0" applyFont="1" applyFill="1" applyBorder="1" applyAlignment="1">
      <alignment horizontal="left" vertical="center"/>
    </xf>
    <xf numFmtId="0" fontId="86" fillId="31" borderId="11" xfId="0" applyFont="1" applyFill="1" applyBorder="1" applyAlignment="1">
      <alignment horizontal="center" vertical="center"/>
    </xf>
    <xf numFmtId="0" fontId="86" fillId="21" borderId="72" xfId="0" applyFont="1" applyFill="1" applyBorder="1" applyAlignment="1">
      <alignment horizontal="left" vertical="center"/>
    </xf>
    <xf numFmtId="0" fontId="86" fillId="21" borderId="5" xfId="0" applyFont="1" applyFill="1" applyBorder="1" applyAlignment="1">
      <alignment horizontal="left" vertical="center"/>
    </xf>
    <xf numFmtId="0" fontId="86" fillId="21" borderId="21" xfId="0" applyFont="1" applyFill="1" applyBorder="1">
      <alignment vertical="center"/>
    </xf>
    <xf numFmtId="0" fontId="86" fillId="21" borderId="1" xfId="0" applyFont="1" applyFill="1" applyBorder="1">
      <alignment vertical="center"/>
    </xf>
    <xf numFmtId="0" fontId="86" fillId="31" borderId="3" xfId="0" applyFont="1" applyFill="1" applyBorder="1" applyAlignment="1">
      <alignment horizontal="center" vertical="center"/>
    </xf>
    <xf numFmtId="0" fontId="86" fillId="31" borderId="3" xfId="0" applyFont="1" applyFill="1" applyBorder="1" applyAlignment="1">
      <alignment horizontal="left" vertical="center"/>
    </xf>
    <xf numFmtId="194" fontId="86" fillId="31" borderId="3" xfId="0" applyNumberFormat="1" applyFont="1" applyFill="1" applyBorder="1" applyAlignment="1">
      <alignment horizontal="center" vertical="center"/>
    </xf>
    <xf numFmtId="0" fontId="86" fillId="31" borderId="117" xfId="0" applyFont="1" applyFill="1" applyBorder="1" applyAlignment="1">
      <alignment horizontal="center" vertical="center"/>
    </xf>
    <xf numFmtId="194" fontId="86" fillId="31" borderId="130" xfId="0" applyNumberFormat="1" applyFont="1" applyFill="1" applyBorder="1" applyAlignment="1">
      <alignment horizontal="center" vertical="center"/>
    </xf>
    <xf numFmtId="41" fontId="84" fillId="4" borderId="45" xfId="0" applyNumberFormat="1" applyFont="1" applyFill="1" applyBorder="1" applyAlignment="1">
      <alignment horizontal="center" vertical="center"/>
    </xf>
    <xf numFmtId="41" fontId="116" fillId="4" borderId="14" xfId="0" applyNumberFormat="1" applyFont="1" applyFill="1" applyBorder="1" applyAlignment="1">
      <alignment vertical="center" shrinkToFit="1"/>
    </xf>
    <xf numFmtId="41" fontId="116" fillId="4" borderId="29" xfId="0" applyNumberFormat="1" applyFont="1" applyFill="1" applyBorder="1" applyAlignment="1">
      <alignment vertical="center" shrinkToFit="1"/>
    </xf>
    <xf numFmtId="188" fontId="93" fillId="0" borderId="0" xfId="0" applyNumberFormat="1" applyFont="1">
      <alignment vertical="center"/>
    </xf>
    <xf numFmtId="188" fontId="93" fillId="0" borderId="0" xfId="0" applyNumberFormat="1" applyFont="1" applyAlignment="1">
      <alignment horizontal="center" vertical="center"/>
    </xf>
    <xf numFmtId="187" fontId="120" fillId="0" borderId="0" xfId="0" applyNumberFormat="1" applyFont="1">
      <alignment vertical="center"/>
    </xf>
    <xf numFmtId="187" fontId="93" fillId="4" borderId="8" xfId="0" applyNumberFormat="1" applyFont="1" applyFill="1" applyBorder="1" applyAlignment="1">
      <alignment horizontal="center" vertical="center"/>
    </xf>
    <xf numFmtId="194" fontId="112" fillId="12" borderId="196" xfId="0" applyNumberFormat="1" applyFont="1" applyFill="1" applyBorder="1">
      <alignment vertical="center"/>
    </xf>
    <xf numFmtId="9" fontId="112" fillId="12" borderId="28" xfId="0" applyNumberFormat="1" applyFont="1" applyFill="1" applyBorder="1">
      <alignment vertical="center"/>
    </xf>
    <xf numFmtId="0" fontId="86" fillId="21" borderId="55" xfId="0" applyFont="1" applyFill="1" applyBorder="1" applyAlignment="1">
      <alignment horizontal="center" vertical="center"/>
    </xf>
    <xf numFmtId="182" fontId="93" fillId="10" borderId="8" xfId="0" applyNumberFormat="1" applyFont="1" applyFill="1" applyBorder="1" applyAlignment="1">
      <alignment horizontal="center" vertical="center"/>
    </xf>
    <xf numFmtId="41" fontId="93" fillId="2" borderId="1" xfId="0" applyNumberFormat="1" applyFont="1" applyFill="1" applyBorder="1" applyAlignment="1">
      <alignment horizontal="center" vertical="center"/>
    </xf>
    <xf numFmtId="41" fontId="93" fillId="2" borderId="69" xfId="0" applyNumberFormat="1" applyFont="1" applyFill="1" applyBorder="1" applyAlignment="1">
      <alignment horizontal="center" vertical="center"/>
    </xf>
    <xf numFmtId="41" fontId="84" fillId="4" borderId="27" xfId="0" applyNumberFormat="1" applyFont="1" applyFill="1" applyBorder="1" applyAlignment="1">
      <alignment horizontal="center" vertical="center"/>
    </xf>
    <xf numFmtId="41" fontId="84" fillId="4" borderId="1" xfId="0" applyNumberFormat="1" applyFont="1" applyFill="1" applyBorder="1" applyAlignment="1">
      <alignment horizontal="center" vertical="center"/>
    </xf>
    <xf numFmtId="41" fontId="84" fillId="4" borderId="5" xfId="0" applyNumberFormat="1" applyFont="1" applyFill="1" applyBorder="1" applyAlignment="1">
      <alignment horizontal="center" vertical="center"/>
    </xf>
    <xf numFmtId="0" fontId="108" fillId="4" borderId="6" xfId="0" applyFont="1" applyFill="1" applyBorder="1" applyAlignment="1">
      <alignment horizontal="center" vertical="center"/>
    </xf>
    <xf numFmtId="0" fontId="84" fillId="4" borderId="27" xfId="0" applyFont="1" applyFill="1" applyBorder="1" applyAlignment="1">
      <alignment horizontal="center" vertical="top"/>
    </xf>
    <xf numFmtId="0" fontId="84" fillId="4" borderId="1" xfId="0" applyFont="1" applyFill="1" applyBorder="1" applyAlignment="1">
      <alignment horizontal="center" vertical="top"/>
    </xf>
    <xf numFmtId="0" fontId="84" fillId="4" borderId="5" xfId="0" applyFont="1" applyFill="1" applyBorder="1" applyAlignment="1">
      <alignment horizontal="center" vertical="top"/>
    </xf>
    <xf numFmtId="0" fontId="84" fillId="4" borderId="1" xfId="0" applyFont="1" applyFill="1" applyBorder="1" applyAlignment="1">
      <alignment horizontal="center" vertical="center"/>
    </xf>
    <xf numFmtId="0" fontId="84" fillId="4" borderId="11" xfId="0" applyFont="1" applyFill="1" applyBorder="1" applyAlignment="1">
      <alignment horizontal="center" vertical="center"/>
    </xf>
    <xf numFmtId="0" fontId="84" fillId="4" borderId="9" xfId="0" applyFont="1" applyFill="1" applyBorder="1" applyAlignment="1">
      <alignment horizontal="center" vertical="center"/>
    </xf>
    <xf numFmtId="0" fontId="84" fillId="4" borderId="119" xfId="0" applyFont="1" applyFill="1" applyBorder="1" applyAlignment="1">
      <alignment horizontal="center" vertical="center"/>
    </xf>
    <xf numFmtId="0" fontId="84" fillId="4" borderId="132" xfId="0" applyFont="1" applyFill="1" applyBorder="1" applyAlignment="1">
      <alignment horizontal="center" vertical="center"/>
    </xf>
    <xf numFmtId="0" fontId="84" fillId="4" borderId="5" xfId="0" applyFont="1" applyFill="1" applyBorder="1" applyAlignment="1">
      <alignment horizontal="center" vertical="center"/>
    </xf>
    <xf numFmtId="0" fontId="84" fillId="4" borderId="0" xfId="0" applyFont="1" applyFill="1" applyAlignment="1">
      <alignment horizontal="center" vertical="center"/>
    </xf>
    <xf numFmtId="0" fontId="84" fillId="4" borderId="4" xfId="0" applyFont="1" applyFill="1" applyBorder="1" applyAlignment="1">
      <alignment horizontal="center" vertical="center"/>
    </xf>
    <xf numFmtId="0" fontId="116" fillId="4" borderId="85" xfId="0" applyFont="1" applyFill="1" applyBorder="1" applyAlignment="1">
      <alignment horizontal="center" vertical="center"/>
    </xf>
    <xf numFmtId="41" fontId="84" fillId="4" borderId="61" xfId="0" applyNumberFormat="1" applyFont="1" applyFill="1" applyBorder="1" applyAlignment="1">
      <alignment horizontal="center" vertical="center"/>
    </xf>
    <xf numFmtId="41" fontId="84" fillId="4" borderId="11" xfId="0" applyNumberFormat="1" applyFont="1" applyFill="1" applyBorder="1" applyAlignment="1">
      <alignment horizontal="center" vertical="center"/>
    </xf>
    <xf numFmtId="41" fontId="84" fillId="4" borderId="9" xfId="0" applyNumberFormat="1" applyFont="1" applyFill="1" applyBorder="1" applyAlignment="1">
      <alignment horizontal="center" vertical="center"/>
    </xf>
    <xf numFmtId="41" fontId="84" fillId="4" borderId="118" xfId="0" applyNumberFormat="1" applyFont="1" applyFill="1" applyBorder="1" applyAlignment="1">
      <alignment horizontal="center" vertical="center"/>
    </xf>
    <xf numFmtId="41" fontId="84" fillId="4" borderId="61" xfId="0" applyNumberFormat="1" applyFont="1" applyFill="1" applyBorder="1" applyAlignment="1">
      <alignment horizontal="center" vertical="top"/>
    </xf>
    <xf numFmtId="41" fontId="84" fillId="4" borderId="1" xfId="0" applyNumberFormat="1" applyFont="1" applyFill="1" applyBorder="1" applyAlignment="1">
      <alignment horizontal="center" vertical="top"/>
    </xf>
    <xf numFmtId="41" fontId="84" fillId="4" borderId="42" xfId="0" applyNumberFormat="1" applyFont="1" applyFill="1" applyBorder="1" applyAlignment="1">
      <alignment horizontal="center" vertical="center"/>
    </xf>
    <xf numFmtId="41" fontId="84" fillId="4" borderId="202" xfId="0" applyNumberFormat="1" applyFont="1" applyFill="1" applyBorder="1" applyAlignment="1">
      <alignment horizontal="center" vertical="center"/>
    </xf>
    <xf numFmtId="41" fontId="127" fillId="0" borderId="0" xfId="0" applyNumberFormat="1" applyFont="1">
      <alignment vertical="center"/>
    </xf>
    <xf numFmtId="41" fontId="127" fillId="3" borderId="0" xfId="0" applyNumberFormat="1" applyFont="1" applyFill="1">
      <alignment vertical="center"/>
    </xf>
    <xf numFmtId="194" fontId="116" fillId="31" borderId="3" xfId="0" applyNumberFormat="1" applyFont="1" applyFill="1" applyBorder="1">
      <alignment vertical="center"/>
    </xf>
    <xf numFmtId="0" fontId="116" fillId="31" borderId="117" xfId="0" applyFont="1" applyFill="1" applyBorder="1" applyAlignment="1">
      <alignment horizontal="center" vertical="center"/>
    </xf>
    <xf numFmtId="194" fontId="116" fillId="31" borderId="130" xfId="0" applyNumberFormat="1" applyFont="1" applyFill="1" applyBorder="1" applyAlignment="1">
      <alignment horizontal="center" vertical="center"/>
    </xf>
    <xf numFmtId="0" fontId="93" fillId="4" borderId="20" xfId="0" applyFont="1" applyFill="1" applyBorder="1">
      <alignment vertical="center"/>
    </xf>
    <xf numFmtId="41" fontId="85" fillId="3" borderId="3" xfId="0" applyNumberFormat="1" applyFont="1" applyFill="1" applyBorder="1">
      <alignment vertical="center"/>
    </xf>
    <xf numFmtId="41" fontId="86" fillId="21" borderId="24" xfId="0" applyNumberFormat="1" applyFont="1" applyFill="1" applyBorder="1">
      <alignment vertical="center"/>
    </xf>
    <xf numFmtId="0" fontId="86" fillId="21" borderId="8" xfId="0" applyFont="1" applyFill="1" applyBorder="1" applyAlignment="1">
      <alignment horizontal="left" vertical="center"/>
    </xf>
    <xf numFmtId="0" fontId="86" fillId="21" borderId="1" xfId="0" applyFont="1" applyFill="1" applyBorder="1" applyAlignment="1">
      <alignment horizontal="left" vertical="center"/>
    </xf>
    <xf numFmtId="2" fontId="93" fillId="4" borderId="65" xfId="0" applyNumberFormat="1" applyFont="1" applyFill="1" applyBorder="1" applyAlignment="1">
      <alignment horizontal="center" vertical="center"/>
    </xf>
    <xf numFmtId="220" fontId="84" fillId="4" borderId="19" xfId="0" applyNumberFormat="1" applyFont="1" applyFill="1" applyBorder="1">
      <alignment vertical="center"/>
    </xf>
    <xf numFmtId="0" fontId="108" fillId="4" borderId="21" xfId="0" applyFont="1" applyFill="1" applyBorder="1" applyAlignment="1">
      <alignment horizontal="center" vertical="center"/>
    </xf>
    <xf numFmtId="213" fontId="93" fillId="0" borderId="196" xfId="0" applyNumberFormat="1" applyFont="1" applyBorder="1">
      <alignment vertical="center"/>
    </xf>
    <xf numFmtId="9" fontId="93" fillId="0" borderId="196" xfId="0" applyNumberFormat="1" applyFont="1" applyBorder="1" applyAlignment="1">
      <alignment horizontal="center" vertical="center"/>
    </xf>
    <xf numFmtId="212" fontId="93" fillId="0" borderId="196" xfId="0" applyNumberFormat="1" applyFont="1" applyBorder="1">
      <alignment vertical="center"/>
    </xf>
    <xf numFmtId="214" fontId="93" fillId="0" borderId="196" xfId="0" applyNumberFormat="1" applyFont="1" applyBorder="1">
      <alignment vertical="center"/>
    </xf>
    <xf numFmtId="182" fontId="93" fillId="0" borderId="196" xfId="0" applyNumberFormat="1" applyFont="1" applyBorder="1">
      <alignment vertical="center"/>
    </xf>
    <xf numFmtId="0" fontId="116" fillId="32" borderId="119" xfId="0" applyFont="1" applyFill="1" applyBorder="1" applyAlignment="1">
      <alignment horizontal="left" vertical="center" wrapText="1"/>
    </xf>
    <xf numFmtId="194" fontId="116" fillId="26" borderId="11" xfId="0" applyNumberFormat="1" applyFont="1" applyFill="1" applyBorder="1">
      <alignment vertical="center"/>
    </xf>
    <xf numFmtId="0" fontId="116" fillId="26" borderId="120" xfId="0" applyFont="1" applyFill="1" applyBorder="1" applyAlignment="1">
      <alignment horizontal="center" vertical="center"/>
    </xf>
    <xf numFmtId="194" fontId="116" fillId="26" borderId="94" xfId="0" applyNumberFormat="1" applyFont="1" applyFill="1" applyBorder="1" applyAlignment="1">
      <alignment horizontal="center" vertical="center"/>
    </xf>
    <xf numFmtId="192" fontId="93" fillId="0" borderId="0" xfId="0" applyNumberFormat="1" applyFont="1" applyAlignment="1">
      <alignment horizontal="center" vertical="center"/>
    </xf>
    <xf numFmtId="10" fontId="122" fillId="0" borderId="0" xfId="0" applyNumberFormat="1" applyFont="1">
      <alignment vertical="center"/>
    </xf>
    <xf numFmtId="192" fontId="93" fillId="4" borderId="60" xfId="0" applyNumberFormat="1" applyFont="1" applyFill="1" applyBorder="1" applyAlignment="1">
      <alignment horizontal="center" vertical="center"/>
    </xf>
    <xf numFmtId="41" fontId="93" fillId="10" borderId="0" xfId="0" applyNumberFormat="1" applyFont="1" applyFill="1">
      <alignment vertical="center"/>
    </xf>
    <xf numFmtId="192" fontId="93" fillId="4" borderId="203" xfId="0" applyNumberFormat="1" applyFont="1" applyFill="1" applyBorder="1">
      <alignment vertical="center"/>
    </xf>
    <xf numFmtId="192" fontId="93" fillId="4" borderId="70" xfId="0" applyNumberFormat="1" applyFont="1" applyFill="1" applyBorder="1">
      <alignment vertical="center"/>
    </xf>
    <xf numFmtId="41" fontId="93" fillId="4" borderId="197" xfId="0" applyNumberFormat="1" applyFont="1" applyFill="1" applyBorder="1">
      <alignment vertical="center"/>
    </xf>
    <xf numFmtId="182" fontId="108" fillId="4" borderId="59" xfId="0" applyNumberFormat="1" applyFont="1" applyFill="1" applyBorder="1" applyAlignment="1">
      <alignment horizontal="center" vertical="center"/>
    </xf>
    <xf numFmtId="0" fontId="93" fillId="4" borderId="68" xfId="0" applyFont="1" applyFill="1" applyBorder="1" applyAlignment="1">
      <alignment horizontal="center" vertical="center"/>
    </xf>
    <xf numFmtId="0" fontId="93" fillId="4" borderId="46" xfId="0" applyFont="1" applyFill="1" applyBorder="1" applyAlignment="1">
      <alignment horizontal="center" vertical="center"/>
    </xf>
    <xf numFmtId="0" fontId="108" fillId="4" borderId="27" xfId="0" applyFont="1" applyFill="1" applyBorder="1" applyAlignment="1">
      <alignment vertical="center" wrapText="1"/>
    </xf>
    <xf numFmtId="0" fontId="84" fillId="4" borderId="65" xfId="0" applyFont="1" applyFill="1" applyBorder="1" applyAlignment="1">
      <alignment horizontal="left" vertical="center"/>
    </xf>
    <xf numFmtId="195" fontId="93" fillId="4" borderId="203" xfId="0" applyNumberFormat="1" applyFont="1" applyFill="1" applyBorder="1" applyAlignment="1">
      <alignment horizontal="center" vertical="center"/>
    </xf>
    <xf numFmtId="41" fontId="93" fillId="4" borderId="54" xfId="0" applyNumberFormat="1" applyFont="1" applyFill="1" applyBorder="1">
      <alignment vertical="center"/>
    </xf>
    <xf numFmtId="41" fontId="84" fillId="3" borderId="120" xfId="0" applyNumberFormat="1" applyFont="1" applyFill="1" applyBorder="1">
      <alignment vertical="center"/>
    </xf>
    <xf numFmtId="41" fontId="84" fillId="3" borderId="87" xfId="0" applyNumberFormat="1" applyFont="1" applyFill="1" applyBorder="1">
      <alignment vertical="center"/>
    </xf>
    <xf numFmtId="41" fontId="84" fillId="3" borderId="113" xfId="0" applyNumberFormat="1" applyFont="1" applyFill="1" applyBorder="1" applyAlignment="1">
      <alignment horizontal="center" vertical="center"/>
    </xf>
    <xf numFmtId="41" fontId="84" fillId="3" borderId="41" xfId="0" applyNumberFormat="1" applyFont="1" applyFill="1" applyBorder="1" applyAlignment="1">
      <alignment horizontal="center" vertical="center"/>
    </xf>
    <xf numFmtId="41" fontId="84" fillId="3" borderId="66" xfId="0" applyNumberFormat="1" applyFont="1" applyFill="1" applyBorder="1">
      <alignment vertical="center"/>
    </xf>
    <xf numFmtId="41" fontId="84" fillId="3" borderId="68" xfId="0" applyNumberFormat="1" applyFont="1" applyFill="1" applyBorder="1">
      <alignment vertical="center"/>
    </xf>
    <xf numFmtId="41" fontId="6" fillId="3" borderId="0" xfId="0" applyNumberFormat="1" applyFont="1" applyFill="1">
      <alignment vertical="center"/>
    </xf>
    <xf numFmtId="0" fontId="6" fillId="3" borderId="0" xfId="0" applyFont="1" applyFill="1">
      <alignment vertical="center"/>
    </xf>
    <xf numFmtId="187" fontId="136" fillId="3" borderId="0" xfId="0" applyNumberFormat="1" applyFont="1" applyFill="1">
      <alignment vertical="center"/>
    </xf>
    <xf numFmtId="41" fontId="93" fillId="35" borderId="69" xfId="0" applyNumberFormat="1" applyFont="1" applyFill="1" applyBorder="1">
      <alignment vertical="center"/>
    </xf>
    <xf numFmtId="41" fontId="93" fillId="35" borderId="55" xfId="0" applyNumberFormat="1" applyFont="1" applyFill="1" applyBorder="1">
      <alignment vertical="center"/>
    </xf>
    <xf numFmtId="0" fontId="116" fillId="32" borderId="11" xfId="0" applyFont="1" applyFill="1" applyBorder="1" applyAlignment="1">
      <alignment horizontal="left" vertical="center" wrapText="1"/>
    </xf>
    <xf numFmtId="0" fontId="86" fillId="25" borderId="79" xfId="0" applyFont="1" applyFill="1" applyBorder="1" applyAlignment="1">
      <alignment horizontal="center" vertical="center"/>
    </xf>
    <xf numFmtId="0" fontId="86" fillId="25" borderId="217" xfId="0" applyFont="1" applyFill="1" applyBorder="1" applyAlignment="1">
      <alignment horizontal="center" vertical="center"/>
    </xf>
    <xf numFmtId="41" fontId="108" fillId="25" borderId="94" xfId="0" applyNumberFormat="1" applyFont="1" applyFill="1" applyBorder="1">
      <alignment vertical="center"/>
    </xf>
    <xf numFmtId="0" fontId="93" fillId="4" borderId="196" xfId="0" applyFont="1" applyFill="1" applyBorder="1" applyAlignment="1">
      <alignment horizontal="center" vertical="center"/>
    </xf>
    <xf numFmtId="0" fontId="93" fillId="34" borderId="88" xfId="0" applyFont="1" applyFill="1" applyBorder="1">
      <alignment vertical="center"/>
    </xf>
    <xf numFmtId="187" fontId="93" fillId="3" borderId="2" xfId="0" applyNumberFormat="1" applyFont="1" applyFill="1" applyBorder="1">
      <alignment vertical="center"/>
    </xf>
    <xf numFmtId="187" fontId="93" fillId="3" borderId="2" xfId="0" applyNumberFormat="1" applyFont="1" applyFill="1" applyBorder="1" applyAlignment="1">
      <alignment horizontal="center" vertical="center"/>
    </xf>
    <xf numFmtId="187" fontId="93" fillId="0" borderId="2" xfId="0" applyNumberFormat="1" applyFont="1" applyBorder="1">
      <alignment vertical="center"/>
    </xf>
    <xf numFmtId="187" fontId="93" fillId="2" borderId="2" xfId="0" applyNumberFormat="1" applyFont="1" applyFill="1" applyBorder="1">
      <alignment vertical="center"/>
    </xf>
    <xf numFmtId="187" fontId="93" fillId="3" borderId="3" xfId="0" applyNumberFormat="1" applyFont="1" applyFill="1" applyBorder="1">
      <alignment vertical="center"/>
    </xf>
    <xf numFmtId="187" fontId="93" fillId="3" borderId="3" xfId="0" applyNumberFormat="1" applyFont="1" applyFill="1" applyBorder="1" applyAlignment="1">
      <alignment horizontal="center" vertical="center"/>
    </xf>
    <xf numFmtId="187" fontId="93" fillId="0" borderId="3" xfId="0" applyNumberFormat="1" applyFont="1" applyBorder="1">
      <alignment vertical="center"/>
    </xf>
    <xf numFmtId="187" fontId="93" fillId="2" borderId="3" xfId="0" applyNumberFormat="1" applyFont="1" applyFill="1" applyBorder="1">
      <alignment vertical="center"/>
    </xf>
    <xf numFmtId="0" fontId="178" fillId="33" borderId="23" xfId="0" applyFont="1" applyFill="1" applyBorder="1">
      <alignment vertical="center"/>
    </xf>
    <xf numFmtId="0" fontId="178" fillId="33" borderId="3" xfId="0" applyFont="1" applyFill="1" applyBorder="1">
      <alignment vertical="center"/>
    </xf>
    <xf numFmtId="187" fontId="93" fillId="0" borderId="9" xfId="0" applyNumberFormat="1" applyFont="1" applyBorder="1">
      <alignment vertical="center"/>
    </xf>
    <xf numFmtId="187" fontId="93" fillId="3" borderId="9" xfId="0" applyNumberFormat="1" applyFont="1" applyFill="1" applyBorder="1">
      <alignment vertical="center"/>
    </xf>
    <xf numFmtId="187" fontId="93" fillId="2" borderId="9" xfId="0" applyNumberFormat="1" applyFont="1" applyFill="1" applyBorder="1">
      <alignment vertical="center"/>
    </xf>
    <xf numFmtId="187" fontId="93" fillId="3" borderId="0" xfId="0" applyNumberFormat="1" applyFont="1" applyFill="1" applyAlignment="1">
      <alignment horizontal="center" vertical="center"/>
    </xf>
    <xf numFmtId="0" fontId="136" fillId="3" borderId="0" xfId="0" applyFont="1" applyFill="1" applyAlignment="1">
      <alignment horizontal="center" vertical="center"/>
    </xf>
    <xf numFmtId="41" fontId="93" fillId="35" borderId="10" xfId="0" applyNumberFormat="1" applyFont="1" applyFill="1" applyBorder="1">
      <alignment vertical="center"/>
    </xf>
    <xf numFmtId="41" fontId="93" fillId="4" borderId="4" xfId="0" applyNumberFormat="1" applyFont="1" applyFill="1" applyBorder="1" applyAlignment="1">
      <alignment horizontal="center" vertical="center"/>
    </xf>
    <xf numFmtId="41" fontId="93" fillId="4" borderId="132" xfId="0" applyNumberFormat="1" applyFont="1" applyFill="1" applyBorder="1" applyAlignment="1">
      <alignment horizontal="center" vertical="center"/>
    </xf>
    <xf numFmtId="182" fontId="93" fillId="10" borderId="132" xfId="0" applyNumberFormat="1" applyFont="1" applyFill="1" applyBorder="1" applyAlignment="1">
      <alignment horizontal="center" vertical="center"/>
    </xf>
    <xf numFmtId="41" fontId="93" fillId="4" borderId="129" xfId="0" applyNumberFormat="1" applyFont="1" applyFill="1" applyBorder="1" applyAlignment="1">
      <alignment horizontal="center" vertical="center"/>
    </xf>
    <xf numFmtId="41" fontId="93" fillId="4" borderId="3" xfId="0" applyNumberFormat="1" applyFont="1" applyFill="1" applyBorder="1" applyAlignment="1">
      <alignment horizontal="left" vertical="center"/>
    </xf>
    <xf numFmtId="41" fontId="93" fillId="4" borderId="3" xfId="0" applyNumberFormat="1" applyFont="1" applyFill="1" applyBorder="1" applyAlignment="1">
      <alignment horizontal="center" vertical="center"/>
    </xf>
    <xf numFmtId="41" fontId="93" fillId="4" borderId="7" xfId="0" applyNumberFormat="1" applyFont="1" applyFill="1" applyBorder="1" applyAlignment="1">
      <alignment horizontal="center" vertical="center"/>
    </xf>
    <xf numFmtId="182" fontId="93" fillId="10" borderId="3" xfId="0" applyNumberFormat="1" applyFont="1" applyFill="1" applyBorder="1" applyAlignment="1">
      <alignment horizontal="center" vertical="center"/>
    </xf>
    <xf numFmtId="185" fontId="93" fillId="4" borderId="3" xfId="0" applyNumberFormat="1" applyFont="1" applyFill="1" applyBorder="1" applyAlignment="1">
      <alignment horizontal="center" vertical="center"/>
    </xf>
    <xf numFmtId="41" fontId="93" fillId="4" borderId="22" xfId="0" applyNumberFormat="1" applyFont="1" applyFill="1" applyBorder="1" applyAlignment="1">
      <alignment horizontal="center" vertical="center"/>
    </xf>
    <xf numFmtId="182" fontId="93" fillId="10" borderId="7" xfId="0" applyNumberFormat="1" applyFont="1" applyFill="1" applyBorder="1" applyAlignment="1">
      <alignment horizontal="center" vertical="center"/>
    </xf>
    <xf numFmtId="185" fontId="93" fillId="4" borderId="7" xfId="0" applyNumberFormat="1" applyFont="1" applyFill="1" applyBorder="1" applyAlignment="1">
      <alignment horizontal="center" vertical="center"/>
    </xf>
    <xf numFmtId="185" fontId="93" fillId="4" borderId="132" xfId="0" applyNumberFormat="1" applyFont="1" applyFill="1" applyBorder="1" applyAlignment="1">
      <alignment horizontal="center" vertical="center"/>
    </xf>
    <xf numFmtId="182" fontId="93" fillId="10" borderId="118" xfId="0" applyNumberFormat="1" applyFont="1" applyFill="1" applyBorder="1" applyAlignment="1">
      <alignment horizontal="center" vertical="center"/>
    </xf>
    <xf numFmtId="41" fontId="93" fillId="4" borderId="89" xfId="0" applyNumberFormat="1" applyFont="1" applyFill="1" applyBorder="1" applyAlignment="1">
      <alignment horizontal="center" vertical="center"/>
    </xf>
    <xf numFmtId="41" fontId="93" fillId="3" borderId="88" xfId="0" applyNumberFormat="1" applyFont="1" applyFill="1" applyBorder="1">
      <alignment vertical="center"/>
    </xf>
    <xf numFmtId="41" fontId="93" fillId="4" borderId="106" xfId="0" applyNumberFormat="1" applyFont="1" applyFill="1" applyBorder="1">
      <alignment vertical="center"/>
    </xf>
    <xf numFmtId="182" fontId="93" fillId="10" borderId="9" xfId="0" applyNumberFormat="1" applyFont="1" applyFill="1" applyBorder="1" applyAlignment="1">
      <alignment horizontal="center" vertical="center"/>
    </xf>
    <xf numFmtId="185" fontId="93" fillId="4" borderId="9" xfId="0" applyNumberFormat="1" applyFont="1" applyFill="1" applyBorder="1" applyAlignment="1">
      <alignment horizontal="center" vertical="center"/>
    </xf>
    <xf numFmtId="41" fontId="93" fillId="4" borderId="94" xfId="0" applyNumberFormat="1" applyFont="1" applyFill="1" applyBorder="1">
      <alignment vertical="center"/>
    </xf>
    <xf numFmtId="41" fontId="93" fillId="2" borderId="89" xfId="0" applyNumberFormat="1" applyFont="1" applyFill="1" applyBorder="1">
      <alignment vertical="center"/>
    </xf>
    <xf numFmtId="41" fontId="17" fillId="4" borderId="1" xfId="0" applyNumberFormat="1" applyFont="1" applyFill="1" applyBorder="1" applyAlignment="1">
      <alignment vertical="top"/>
    </xf>
    <xf numFmtId="187" fontId="93" fillId="26" borderId="3" xfId="0" applyNumberFormat="1" applyFont="1" applyFill="1" applyBorder="1">
      <alignment vertical="center"/>
    </xf>
    <xf numFmtId="187" fontId="93" fillId="26" borderId="9" xfId="0" applyNumberFormat="1" applyFont="1" applyFill="1" applyBorder="1">
      <alignment vertical="center"/>
    </xf>
    <xf numFmtId="41" fontId="84" fillId="4" borderId="46" xfId="0" applyNumberFormat="1" applyFont="1" applyFill="1" applyBorder="1">
      <alignment vertical="center"/>
    </xf>
    <xf numFmtId="41" fontId="84" fillId="4" borderId="70" xfId="0" applyNumberFormat="1" applyFont="1" applyFill="1" applyBorder="1">
      <alignment vertical="center"/>
    </xf>
    <xf numFmtId="41" fontId="84" fillId="4" borderId="66" xfId="0" applyNumberFormat="1" applyFont="1" applyFill="1" applyBorder="1">
      <alignment vertical="center"/>
    </xf>
    <xf numFmtId="192" fontId="84" fillId="4" borderId="203" xfId="0" applyNumberFormat="1" applyFont="1" applyFill="1" applyBorder="1" applyAlignment="1">
      <alignment horizontal="center" vertical="center"/>
    </xf>
    <xf numFmtId="194" fontId="93" fillId="4" borderId="27" xfId="0" applyNumberFormat="1" applyFont="1" applyFill="1" applyBorder="1">
      <alignment vertical="center"/>
    </xf>
    <xf numFmtId="194" fontId="93" fillId="4" borderId="18" xfId="0" applyNumberFormat="1" applyFont="1" applyFill="1" applyBorder="1">
      <alignment vertical="center"/>
    </xf>
    <xf numFmtId="41" fontId="108" fillId="21" borderId="31" xfId="0" applyNumberFormat="1" applyFont="1" applyFill="1" applyBorder="1">
      <alignment vertical="center"/>
    </xf>
    <xf numFmtId="0" fontId="116" fillId="31" borderId="3" xfId="0" applyFont="1" applyFill="1" applyBorder="1" applyAlignment="1">
      <alignment horizontal="left" vertical="center" wrapText="1"/>
    </xf>
    <xf numFmtId="0" fontId="116" fillId="32" borderId="132" xfId="0" applyFont="1" applyFill="1" applyBorder="1" applyAlignment="1">
      <alignment horizontal="left" vertical="center" wrapText="1"/>
    </xf>
    <xf numFmtId="194" fontId="116" fillId="26" borderId="4" xfId="0" applyNumberFormat="1" applyFont="1" applyFill="1" applyBorder="1">
      <alignment vertical="center"/>
    </xf>
    <xf numFmtId="0" fontId="116" fillId="26" borderId="212" xfId="0" applyFont="1" applyFill="1" applyBorder="1" applyAlignment="1">
      <alignment horizontal="center" vertical="center"/>
    </xf>
    <xf numFmtId="194" fontId="116" fillId="26" borderId="133" xfId="0" applyNumberFormat="1" applyFont="1" applyFill="1" applyBorder="1" applyAlignment="1">
      <alignment horizontal="center" vertical="center"/>
    </xf>
    <xf numFmtId="41" fontId="93" fillId="36" borderId="21" xfId="0" applyNumberFormat="1" applyFont="1" applyFill="1" applyBorder="1">
      <alignment vertical="center"/>
    </xf>
    <xf numFmtId="41" fontId="93" fillId="17" borderId="21" xfId="0" applyNumberFormat="1" applyFont="1" applyFill="1" applyBorder="1">
      <alignment vertical="center"/>
    </xf>
    <xf numFmtId="41" fontId="93" fillId="37" borderId="21" xfId="0" applyNumberFormat="1" applyFont="1" applyFill="1" applyBorder="1">
      <alignment vertical="center"/>
    </xf>
    <xf numFmtId="0" fontId="178" fillId="17" borderId="88" xfId="0" applyFont="1" applyFill="1" applyBorder="1">
      <alignment vertical="center"/>
    </xf>
    <xf numFmtId="0" fontId="178" fillId="17" borderId="9" xfId="0" applyFont="1" applyFill="1" applyBorder="1">
      <alignment vertical="center"/>
    </xf>
    <xf numFmtId="187" fontId="93" fillId="34" borderId="9" xfId="0" applyNumberFormat="1" applyFont="1" applyFill="1" applyBorder="1">
      <alignment vertical="center"/>
    </xf>
    <xf numFmtId="41" fontId="93" fillId="36" borderId="38" xfId="0" applyNumberFormat="1" applyFont="1" applyFill="1" applyBorder="1">
      <alignment vertical="center"/>
    </xf>
    <xf numFmtId="0" fontId="93" fillId="34" borderId="128" xfId="0" applyFont="1" applyFill="1" applyBorder="1">
      <alignment vertical="center"/>
    </xf>
    <xf numFmtId="187" fontId="93" fillId="34" borderId="4" xfId="0" applyNumberFormat="1" applyFont="1" applyFill="1" applyBorder="1">
      <alignment vertical="center"/>
    </xf>
    <xf numFmtId="0" fontId="178" fillId="33" borderId="88" xfId="0" applyFont="1" applyFill="1" applyBorder="1">
      <alignment vertical="center"/>
    </xf>
    <xf numFmtId="0" fontId="178" fillId="33" borderId="9" xfId="0" applyFont="1" applyFill="1" applyBorder="1">
      <alignment vertical="center"/>
    </xf>
    <xf numFmtId="41" fontId="93" fillId="17" borderId="38" xfId="0" applyNumberFormat="1" applyFont="1" applyFill="1" applyBorder="1">
      <alignment vertical="center"/>
    </xf>
    <xf numFmtId="0" fontId="178" fillId="17" borderId="128" xfId="0" applyFont="1" applyFill="1" applyBorder="1">
      <alignment vertical="center"/>
    </xf>
    <xf numFmtId="0" fontId="178" fillId="17" borderId="4" xfId="0" applyFont="1" applyFill="1" applyBorder="1">
      <alignment vertical="center"/>
    </xf>
    <xf numFmtId="41" fontId="93" fillId="37" borderId="38" xfId="0" applyNumberFormat="1" applyFont="1" applyFill="1" applyBorder="1">
      <alignment vertical="center"/>
    </xf>
    <xf numFmtId="0" fontId="178" fillId="33" borderId="128" xfId="0" applyFont="1" applyFill="1" applyBorder="1">
      <alignment vertical="center"/>
    </xf>
    <xf numFmtId="0" fontId="178" fillId="33" borderId="4" xfId="0" applyFont="1" applyFill="1" applyBorder="1">
      <alignment vertical="center"/>
    </xf>
    <xf numFmtId="0" fontId="116" fillId="3" borderId="0" xfId="0" applyFont="1" applyFill="1" applyAlignment="1">
      <alignment horizontal="center" vertical="center" wrapText="1"/>
    </xf>
    <xf numFmtId="187" fontId="93" fillId="3" borderId="4" xfId="0" applyNumberFormat="1" applyFont="1" applyFill="1" applyBorder="1">
      <alignment vertical="center"/>
    </xf>
    <xf numFmtId="41" fontId="93" fillId="28" borderId="22" xfId="0" applyNumberFormat="1" applyFont="1" applyFill="1" applyBorder="1">
      <alignment vertical="center"/>
    </xf>
    <xf numFmtId="41" fontId="93" fillId="28" borderId="88" xfId="0" applyNumberFormat="1" applyFont="1" applyFill="1" applyBorder="1">
      <alignment vertical="center"/>
    </xf>
    <xf numFmtId="41" fontId="93" fillId="28" borderId="9" xfId="0" applyNumberFormat="1" applyFont="1" applyFill="1" applyBorder="1">
      <alignment vertical="center"/>
    </xf>
    <xf numFmtId="41" fontId="93" fillId="28" borderId="89" xfId="0" applyNumberFormat="1" applyFont="1" applyFill="1" applyBorder="1">
      <alignment vertical="center"/>
    </xf>
    <xf numFmtId="41" fontId="93" fillId="28" borderId="55" xfId="0" applyNumberFormat="1" applyFont="1" applyFill="1" applyBorder="1">
      <alignment vertical="center"/>
    </xf>
    <xf numFmtId="41" fontId="93" fillId="28" borderId="1" xfId="0" applyNumberFormat="1" applyFont="1" applyFill="1" applyBorder="1">
      <alignment vertical="center"/>
    </xf>
    <xf numFmtId="41" fontId="93" fillId="28" borderId="69" xfId="0" applyNumberFormat="1" applyFont="1" applyFill="1" applyBorder="1">
      <alignment vertical="center"/>
    </xf>
    <xf numFmtId="41" fontId="93" fillId="28" borderId="86" xfId="0" applyNumberFormat="1" applyFont="1" applyFill="1" applyBorder="1">
      <alignment vertical="center"/>
    </xf>
    <xf numFmtId="41" fontId="93" fillId="28" borderId="11" xfId="0" applyNumberFormat="1" applyFont="1" applyFill="1" applyBorder="1">
      <alignment vertical="center"/>
    </xf>
    <xf numFmtId="41" fontId="93" fillId="28" borderId="54" xfId="0" applyNumberFormat="1" applyFont="1" applyFill="1" applyBorder="1">
      <alignment vertical="center"/>
    </xf>
    <xf numFmtId="187" fontId="93" fillId="28" borderId="88" xfId="0" applyNumberFormat="1" applyFont="1" applyFill="1" applyBorder="1">
      <alignment vertical="center"/>
    </xf>
    <xf numFmtId="187" fontId="93" fillId="3" borderId="9" xfId="0" applyNumberFormat="1" applyFont="1" applyFill="1" applyBorder="1" applyAlignment="1">
      <alignment horizontal="center" vertical="center"/>
    </xf>
    <xf numFmtId="187" fontId="164" fillId="3" borderId="0" xfId="0" applyNumberFormat="1" applyFont="1" applyFill="1" applyAlignment="1">
      <alignment horizontal="center" vertical="center"/>
    </xf>
    <xf numFmtId="187" fontId="93" fillId="2" borderId="89" xfId="0" applyNumberFormat="1" applyFont="1" applyFill="1" applyBorder="1">
      <alignment vertical="center"/>
    </xf>
    <xf numFmtId="41" fontId="93" fillId="2" borderId="3" xfId="0" applyNumberFormat="1" applyFont="1" applyFill="1" applyBorder="1">
      <alignment vertical="center"/>
    </xf>
    <xf numFmtId="41" fontId="93" fillId="4" borderId="122" xfId="0" applyNumberFormat="1" applyFont="1" applyFill="1" applyBorder="1" applyAlignment="1">
      <alignment horizontal="center" vertical="center"/>
    </xf>
    <xf numFmtId="41" fontId="93" fillId="4" borderId="121" xfId="0" applyNumberFormat="1" applyFont="1" applyFill="1" applyBorder="1" applyAlignment="1">
      <alignment horizontal="center" vertical="center"/>
    </xf>
    <xf numFmtId="41" fontId="93" fillId="4" borderId="193" xfId="0" applyNumberFormat="1" applyFont="1" applyFill="1" applyBorder="1" applyAlignment="1">
      <alignment horizontal="center" vertical="center"/>
    </xf>
    <xf numFmtId="182" fontId="93" fillId="4" borderId="9" xfId="0" applyNumberFormat="1" applyFont="1" applyFill="1" applyBorder="1" applyAlignment="1">
      <alignment horizontal="center" vertical="center"/>
    </xf>
    <xf numFmtId="182" fontId="93" fillId="4" borderId="3" xfId="0" applyNumberFormat="1" applyFont="1" applyFill="1" applyBorder="1" applyAlignment="1">
      <alignment horizontal="center" vertical="center"/>
    </xf>
    <xf numFmtId="182" fontId="93" fillId="4" borderId="4" xfId="0" applyNumberFormat="1" applyFont="1" applyFill="1" applyBorder="1" applyAlignment="1">
      <alignment horizontal="center" vertical="center"/>
    </xf>
    <xf numFmtId="41" fontId="93" fillId="4" borderId="31" xfId="0" applyNumberFormat="1" applyFont="1" applyFill="1" applyBorder="1" applyAlignment="1">
      <alignment horizontal="center" vertical="center"/>
    </xf>
    <xf numFmtId="41" fontId="93" fillId="2" borderId="31" xfId="0" applyNumberFormat="1" applyFont="1" applyFill="1" applyBorder="1" applyAlignment="1">
      <alignment horizontal="center" vertical="center"/>
    </xf>
    <xf numFmtId="41" fontId="93" fillId="2" borderId="0" xfId="0" applyNumberFormat="1" applyFont="1" applyFill="1" applyAlignment="1">
      <alignment horizontal="left" vertical="center"/>
    </xf>
    <xf numFmtId="41" fontId="93" fillId="4" borderId="11" xfId="0" applyNumberFormat="1" applyFont="1" applyFill="1" applyBorder="1" applyAlignment="1">
      <alignment horizontal="left" vertical="center"/>
    </xf>
    <xf numFmtId="182" fontId="93" fillId="10" borderId="119" xfId="0" applyNumberFormat="1" applyFont="1" applyFill="1" applyBorder="1" applyAlignment="1">
      <alignment horizontal="center" vertical="center"/>
    </xf>
    <xf numFmtId="41" fontId="93" fillId="4" borderId="54" xfId="0" applyNumberFormat="1" applyFont="1" applyFill="1" applyBorder="1" applyAlignment="1">
      <alignment horizontal="center" vertical="center"/>
    </xf>
    <xf numFmtId="0" fontId="116" fillId="4" borderId="15" xfId="0" applyFont="1" applyFill="1" applyBorder="1" applyAlignment="1">
      <alignment horizontal="center" vertical="center" wrapText="1"/>
    </xf>
    <xf numFmtId="41" fontId="93" fillId="4" borderId="123" xfId="0" applyNumberFormat="1" applyFont="1" applyFill="1" applyBorder="1" applyAlignment="1">
      <alignment horizontal="center" vertical="center"/>
    </xf>
    <xf numFmtId="182" fontId="116" fillId="4" borderId="18" xfId="0" applyNumberFormat="1" applyFont="1" applyFill="1" applyBorder="1" applyAlignment="1">
      <alignment horizontal="center" vertical="center" wrapText="1"/>
    </xf>
    <xf numFmtId="182" fontId="93" fillId="4" borderId="11" xfId="0" applyNumberFormat="1" applyFont="1" applyFill="1" applyBorder="1" applyAlignment="1">
      <alignment horizontal="center" vertical="center"/>
    </xf>
    <xf numFmtId="0" fontId="182" fillId="3" borderId="0" xfId="0" applyFont="1" applyFill="1">
      <alignment vertical="center"/>
    </xf>
    <xf numFmtId="0" fontId="183" fillId="3" borderId="0" xfId="0" applyFont="1" applyFill="1" applyAlignment="1">
      <alignment horizontal="center" vertical="center"/>
    </xf>
    <xf numFmtId="0" fontId="184" fillId="3" borderId="0" xfId="0" applyFont="1" applyFill="1" applyAlignment="1">
      <alignment horizontal="center" vertical="center"/>
    </xf>
    <xf numFmtId="0" fontId="185" fillId="3" borderId="0" xfId="0" applyFont="1" applyFill="1" applyAlignment="1">
      <alignment horizontal="center" vertical="center"/>
    </xf>
    <xf numFmtId="0" fontId="185" fillId="3" borderId="0" xfId="0" applyFont="1" applyFill="1">
      <alignment vertical="center"/>
    </xf>
    <xf numFmtId="185" fontId="185" fillId="3" borderId="0" xfId="0" applyNumberFormat="1" applyFont="1" applyFill="1" applyAlignment="1">
      <alignment horizontal="center" vertical="center"/>
    </xf>
    <xf numFmtId="188" fontId="185" fillId="3" borderId="0" xfId="0" applyNumberFormat="1" applyFont="1" applyFill="1">
      <alignment vertical="center"/>
    </xf>
    <xf numFmtId="188" fontId="185" fillId="3" borderId="0" xfId="0" applyNumberFormat="1" applyFont="1" applyFill="1" applyAlignment="1">
      <alignment horizontal="center" vertical="center"/>
    </xf>
    <xf numFmtId="188" fontId="186" fillId="3" borderId="0" xfId="0" applyNumberFormat="1" applyFont="1" applyFill="1">
      <alignment vertical="center"/>
    </xf>
    <xf numFmtId="222" fontId="186" fillId="3" borderId="0" xfId="0" applyNumberFormat="1" applyFont="1" applyFill="1">
      <alignment vertical="center"/>
    </xf>
    <xf numFmtId="0" fontId="186" fillId="3" borderId="0" xfId="0" applyFont="1" applyFill="1" applyAlignment="1">
      <alignment horizontal="center" vertical="center"/>
    </xf>
    <xf numFmtId="0" fontId="19" fillId="3" borderId="0" xfId="0" applyFont="1" applyFill="1">
      <alignment vertical="center"/>
    </xf>
    <xf numFmtId="188" fontId="19" fillId="4" borderId="15" xfId="0" applyNumberFormat="1" applyFont="1" applyFill="1" applyBorder="1" applyAlignment="1">
      <alignment horizontal="centerContinuous" vertical="center"/>
    </xf>
    <xf numFmtId="0" fontId="19" fillId="4" borderId="45" xfId="0" applyFont="1" applyFill="1" applyBorder="1" applyAlignment="1">
      <alignment horizontal="centerContinuous" vertical="center"/>
    </xf>
    <xf numFmtId="0" fontId="19" fillId="4" borderId="16" xfId="0" applyFont="1" applyFill="1" applyBorder="1" applyAlignment="1">
      <alignment horizontal="centerContinuous" vertical="center"/>
    </xf>
    <xf numFmtId="0" fontId="19" fillId="4" borderId="12" xfId="0" applyFont="1" applyFill="1" applyBorder="1" applyAlignment="1">
      <alignment horizontal="center" vertical="center" wrapText="1"/>
    </xf>
    <xf numFmtId="0" fontId="19" fillId="4" borderId="196" xfId="0" applyFont="1" applyFill="1" applyBorder="1" applyAlignment="1">
      <alignment horizontal="center" vertical="center"/>
    </xf>
    <xf numFmtId="185" fontId="19" fillId="4" borderId="196" xfId="0" applyNumberFormat="1" applyFont="1" applyFill="1" applyBorder="1" applyAlignment="1">
      <alignment horizontal="center" vertical="center" wrapText="1"/>
    </xf>
    <xf numFmtId="182" fontId="19" fillId="4" borderId="33" xfId="0" applyNumberFormat="1" applyFont="1" applyFill="1" applyBorder="1" applyAlignment="1">
      <alignment horizontal="center" vertical="center"/>
    </xf>
    <xf numFmtId="182" fontId="19" fillId="4" borderId="6" xfId="0" applyNumberFormat="1" applyFont="1" applyFill="1" applyBorder="1" applyAlignment="1">
      <alignment horizontal="center" vertical="center" wrapText="1"/>
    </xf>
    <xf numFmtId="182" fontId="19" fillId="4" borderId="5" xfId="0" applyNumberFormat="1" applyFont="1" applyFill="1" applyBorder="1" applyAlignment="1">
      <alignment vertical="center" wrapText="1"/>
    </xf>
    <xf numFmtId="188" fontId="92" fillId="4" borderId="109" xfId="0" applyNumberFormat="1" applyFont="1" applyFill="1" applyBorder="1" applyAlignment="1">
      <alignment horizontal="center" vertical="center" wrapText="1"/>
    </xf>
    <xf numFmtId="188" fontId="92" fillId="4" borderId="112" xfId="0" applyNumberFormat="1" applyFont="1" applyFill="1" applyBorder="1" applyAlignment="1">
      <alignment horizontal="center" vertical="center" wrapText="1"/>
    </xf>
    <xf numFmtId="188" fontId="92" fillId="4" borderId="112" xfId="0" applyNumberFormat="1" applyFont="1" applyFill="1" applyBorder="1" applyAlignment="1">
      <alignment vertical="center" wrapText="1"/>
    </xf>
    <xf numFmtId="222" fontId="92" fillId="4" borderId="112" xfId="0" applyNumberFormat="1" applyFont="1" applyFill="1" applyBorder="1" applyAlignment="1">
      <alignment vertical="center" wrapText="1"/>
    </xf>
    <xf numFmtId="0" fontId="92" fillId="4" borderId="112" xfId="0" applyFont="1" applyFill="1" applyBorder="1" applyAlignment="1">
      <alignment horizontal="center" vertical="center" wrapText="1"/>
    </xf>
    <xf numFmtId="0" fontId="19" fillId="4" borderId="112" xfId="0" applyFont="1" applyFill="1" applyBorder="1" applyAlignment="1">
      <alignment horizontal="center" vertical="center" wrapText="1"/>
    </xf>
    <xf numFmtId="188" fontId="19" fillId="4" borderId="112" xfId="0" applyNumberFormat="1" applyFont="1" applyFill="1" applyBorder="1" applyAlignment="1">
      <alignment horizontal="center" vertical="center" wrapText="1"/>
    </xf>
    <xf numFmtId="0" fontId="189" fillId="3" borderId="0" xfId="0" applyFont="1" applyFill="1">
      <alignment vertical="center"/>
    </xf>
    <xf numFmtId="0" fontId="19" fillId="36" borderId="210" xfId="0" applyFont="1" applyFill="1" applyBorder="1" applyAlignment="1">
      <alignment horizontal="left" vertical="center"/>
    </xf>
    <xf numFmtId="185" fontId="19" fillId="3" borderId="209" xfId="0" applyNumberFormat="1" applyFont="1" applyFill="1" applyBorder="1" applyAlignment="1">
      <alignment horizontal="left" vertical="center"/>
    </xf>
    <xf numFmtId="221" fontId="19" fillId="3" borderId="2" xfId="0" applyNumberFormat="1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/>
    </xf>
    <xf numFmtId="182" fontId="19" fillId="3" borderId="210" xfId="0" applyNumberFormat="1" applyFont="1" applyFill="1" applyBorder="1" applyAlignment="1">
      <alignment horizontal="center" vertical="center"/>
    </xf>
    <xf numFmtId="182" fontId="19" fillId="3" borderId="214" xfId="0" applyNumberFormat="1" applyFont="1" applyFill="1" applyBorder="1" applyAlignment="1">
      <alignment horizontal="center" vertical="center"/>
    </xf>
    <xf numFmtId="185" fontId="19" fillId="3" borderId="209" xfId="0" applyNumberFormat="1" applyFont="1" applyFill="1" applyBorder="1">
      <alignment vertical="center"/>
    </xf>
    <xf numFmtId="185" fontId="19" fillId="3" borderId="2" xfId="0" applyNumberFormat="1" applyFont="1" applyFill="1" applyBorder="1" applyAlignment="1">
      <alignment horizontal="center" vertical="center"/>
    </xf>
    <xf numFmtId="185" fontId="19" fillId="3" borderId="210" xfId="0" applyNumberFormat="1" applyFont="1" applyFill="1" applyBorder="1" applyAlignment="1">
      <alignment horizontal="center" vertical="center"/>
    </xf>
    <xf numFmtId="10" fontId="92" fillId="3" borderId="209" xfId="0" applyNumberFormat="1" applyFont="1" applyFill="1" applyBorder="1" applyAlignment="1">
      <alignment horizontal="center" vertical="center"/>
    </xf>
    <xf numFmtId="188" fontId="92" fillId="3" borderId="2" xfId="0" applyNumberFormat="1" applyFont="1" applyFill="1" applyBorder="1" applyAlignment="1">
      <alignment horizontal="center" vertical="center"/>
    </xf>
    <xf numFmtId="188" fontId="92" fillId="3" borderId="2" xfId="0" applyNumberFormat="1" applyFont="1" applyFill="1" applyBorder="1">
      <alignment vertical="center"/>
    </xf>
    <xf numFmtId="222" fontId="92" fillId="3" borderId="2" xfId="0" applyNumberFormat="1" applyFont="1" applyFill="1" applyBorder="1">
      <alignment vertical="center"/>
    </xf>
    <xf numFmtId="222" fontId="188" fillId="3" borderId="2" xfId="0" applyNumberFormat="1" applyFont="1" applyFill="1" applyBorder="1">
      <alignment vertical="center"/>
    </xf>
    <xf numFmtId="0" fontId="92" fillId="3" borderId="2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188" fontId="19" fillId="3" borderId="2" xfId="0" applyNumberFormat="1" applyFont="1" applyFill="1" applyBorder="1">
      <alignment vertical="center"/>
    </xf>
    <xf numFmtId="188" fontId="19" fillId="3" borderId="2" xfId="0" applyNumberFormat="1" applyFont="1" applyFill="1" applyBorder="1" applyAlignment="1">
      <alignment horizontal="center" vertical="center"/>
    </xf>
    <xf numFmtId="0" fontId="19" fillId="36" borderId="47" xfId="0" applyFont="1" applyFill="1" applyBorder="1" applyAlignment="1">
      <alignment horizontal="left" vertical="center"/>
    </xf>
    <xf numFmtId="185" fontId="19" fillId="3" borderId="35" xfId="0" applyNumberFormat="1" applyFont="1" applyFill="1" applyBorder="1" applyAlignment="1">
      <alignment horizontal="left" vertical="center"/>
    </xf>
    <xf numFmtId="221" fontId="19" fillId="3" borderId="5" xfId="0" applyNumberFormat="1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/>
    </xf>
    <xf numFmtId="182" fontId="19" fillId="3" borderId="47" xfId="0" applyNumberFormat="1" applyFont="1" applyFill="1" applyBorder="1" applyAlignment="1">
      <alignment horizontal="center" vertical="center"/>
    </xf>
    <xf numFmtId="182" fontId="19" fillId="3" borderId="107" xfId="0" applyNumberFormat="1" applyFont="1" applyFill="1" applyBorder="1" applyAlignment="1">
      <alignment horizontal="center" vertical="center"/>
    </xf>
    <xf numFmtId="185" fontId="19" fillId="3" borderId="35" xfId="0" applyNumberFormat="1" applyFont="1" applyFill="1" applyBorder="1">
      <alignment vertical="center"/>
    </xf>
    <xf numFmtId="185" fontId="19" fillId="3" borderId="5" xfId="0" applyNumberFormat="1" applyFont="1" applyFill="1" applyBorder="1" applyAlignment="1">
      <alignment horizontal="center" vertical="center"/>
    </xf>
    <xf numFmtId="185" fontId="19" fillId="3" borderId="47" xfId="0" applyNumberFormat="1" applyFont="1" applyFill="1" applyBorder="1" applyAlignment="1">
      <alignment horizontal="center" vertical="center"/>
    </xf>
    <xf numFmtId="10" fontId="92" fillId="3" borderId="128" xfId="0" applyNumberFormat="1" applyFont="1" applyFill="1" applyBorder="1" applyAlignment="1">
      <alignment horizontal="center" vertical="center"/>
    </xf>
    <xf numFmtId="188" fontId="92" fillId="3" borderId="5" xfId="0" applyNumberFormat="1" applyFont="1" applyFill="1" applyBorder="1" applyAlignment="1">
      <alignment horizontal="center" vertical="center"/>
    </xf>
    <xf numFmtId="188" fontId="92" fillId="3" borderId="5" xfId="0" applyNumberFormat="1" applyFont="1" applyFill="1" applyBorder="1">
      <alignment vertical="center"/>
    </xf>
    <xf numFmtId="222" fontId="92" fillId="3" borderId="5" xfId="0" applyNumberFormat="1" applyFont="1" applyFill="1" applyBorder="1">
      <alignment vertical="center"/>
    </xf>
    <xf numFmtId="222" fontId="188" fillId="3" borderId="5" xfId="0" applyNumberFormat="1" applyFont="1" applyFill="1" applyBorder="1">
      <alignment vertical="center"/>
    </xf>
    <xf numFmtId="0" fontId="92" fillId="3" borderId="5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188" fontId="19" fillId="3" borderId="5" xfId="0" applyNumberFormat="1" applyFont="1" applyFill="1" applyBorder="1">
      <alignment vertical="center"/>
    </xf>
    <xf numFmtId="188" fontId="19" fillId="3" borderId="5" xfId="0" applyNumberFormat="1" applyFont="1" applyFill="1" applyBorder="1" applyAlignment="1">
      <alignment horizontal="center" vertical="center"/>
    </xf>
    <xf numFmtId="0" fontId="19" fillId="38" borderId="210" xfId="0" applyFont="1" applyFill="1" applyBorder="1" applyAlignment="1">
      <alignment horizontal="left" vertical="center"/>
    </xf>
    <xf numFmtId="0" fontId="19" fillId="38" borderId="129" xfId="0" applyFont="1" applyFill="1" applyBorder="1" applyAlignment="1">
      <alignment horizontal="left" vertical="center"/>
    </xf>
    <xf numFmtId="185" fontId="19" fillId="3" borderId="128" xfId="0" applyNumberFormat="1" applyFont="1" applyFill="1" applyBorder="1" applyAlignment="1">
      <alignment horizontal="left" vertical="center"/>
    </xf>
    <xf numFmtId="221" fontId="19" fillId="3" borderId="4" xfId="0" applyNumberFormat="1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/>
    </xf>
    <xf numFmtId="182" fontId="19" fillId="3" borderId="129" xfId="0" applyNumberFormat="1" applyFont="1" applyFill="1" applyBorder="1" applyAlignment="1">
      <alignment horizontal="center" vertical="center"/>
    </xf>
    <xf numFmtId="182" fontId="19" fillId="3" borderId="131" xfId="0" applyNumberFormat="1" applyFont="1" applyFill="1" applyBorder="1" applyAlignment="1">
      <alignment horizontal="center" vertical="center"/>
    </xf>
    <xf numFmtId="185" fontId="19" fillId="3" borderId="128" xfId="0" applyNumberFormat="1" applyFont="1" applyFill="1" applyBorder="1">
      <alignment vertical="center"/>
    </xf>
    <xf numFmtId="185" fontId="19" fillId="3" borderId="4" xfId="0" applyNumberFormat="1" applyFont="1" applyFill="1" applyBorder="1" applyAlignment="1">
      <alignment horizontal="center" vertical="center"/>
    </xf>
    <xf numFmtId="185" fontId="19" fillId="3" borderId="129" xfId="0" applyNumberFormat="1" applyFont="1" applyFill="1" applyBorder="1" applyAlignment="1">
      <alignment horizontal="center" vertical="center"/>
    </xf>
    <xf numFmtId="188" fontId="92" fillId="3" borderId="4" xfId="0" applyNumberFormat="1" applyFont="1" applyFill="1" applyBorder="1" applyAlignment="1">
      <alignment horizontal="center" vertical="center"/>
    </xf>
    <xf numFmtId="188" fontId="92" fillId="3" borderId="4" xfId="0" applyNumberFormat="1" applyFont="1" applyFill="1" applyBorder="1">
      <alignment vertical="center"/>
    </xf>
    <xf numFmtId="222" fontId="92" fillId="3" borderId="4" xfId="0" applyNumberFormat="1" applyFont="1" applyFill="1" applyBorder="1">
      <alignment vertical="center"/>
    </xf>
    <xf numFmtId="222" fontId="188" fillId="3" borderId="4" xfId="0" applyNumberFormat="1" applyFont="1" applyFill="1" applyBorder="1">
      <alignment vertical="center"/>
    </xf>
    <xf numFmtId="0" fontId="92" fillId="3" borderId="4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188" fontId="19" fillId="3" borderId="4" xfId="0" applyNumberFormat="1" applyFont="1" applyFill="1" applyBorder="1">
      <alignment vertical="center"/>
    </xf>
    <xf numFmtId="188" fontId="19" fillId="3" borderId="4" xfId="0" applyNumberFormat="1" applyFont="1" applyFill="1" applyBorder="1" applyAlignment="1">
      <alignment horizontal="center" vertical="center"/>
    </xf>
    <xf numFmtId="0" fontId="19" fillId="37" borderId="210" xfId="0" applyFont="1" applyFill="1" applyBorder="1" applyAlignment="1">
      <alignment horizontal="left" vertical="center"/>
    </xf>
    <xf numFmtId="0" fontId="19" fillId="37" borderId="22" xfId="0" applyFont="1" applyFill="1" applyBorder="1" applyAlignment="1">
      <alignment horizontal="left" vertical="center"/>
    </xf>
    <xf numFmtId="185" fontId="19" fillId="3" borderId="23" xfId="0" applyNumberFormat="1" applyFont="1" applyFill="1" applyBorder="1" applyAlignment="1">
      <alignment horizontal="left" vertical="center"/>
    </xf>
    <xf numFmtId="221" fontId="19" fillId="3" borderId="3" xfId="0" applyNumberFormat="1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/>
    </xf>
    <xf numFmtId="182" fontId="19" fillId="3" borderId="22" xfId="0" applyNumberFormat="1" applyFont="1" applyFill="1" applyBorder="1" applyAlignment="1">
      <alignment horizontal="center" vertical="center"/>
    </xf>
    <xf numFmtId="182" fontId="19" fillId="3" borderId="126" xfId="0" applyNumberFormat="1" applyFont="1" applyFill="1" applyBorder="1" applyAlignment="1">
      <alignment horizontal="center" vertical="center"/>
    </xf>
    <xf numFmtId="185" fontId="19" fillId="3" borderId="23" xfId="0" applyNumberFormat="1" applyFont="1" applyFill="1" applyBorder="1">
      <alignment vertical="center"/>
    </xf>
    <xf numFmtId="185" fontId="19" fillId="3" borderId="3" xfId="0" applyNumberFormat="1" applyFont="1" applyFill="1" applyBorder="1" applyAlignment="1">
      <alignment horizontal="center" vertical="center"/>
    </xf>
    <xf numFmtId="185" fontId="19" fillId="3" borderId="22" xfId="0" applyNumberFormat="1" applyFont="1" applyFill="1" applyBorder="1" applyAlignment="1">
      <alignment horizontal="center" vertical="center"/>
    </xf>
    <xf numFmtId="10" fontId="92" fillId="3" borderId="23" xfId="0" applyNumberFormat="1" applyFont="1" applyFill="1" applyBorder="1" applyAlignment="1">
      <alignment horizontal="center" vertical="center"/>
    </xf>
    <xf numFmtId="188" fontId="92" fillId="3" borderId="3" xfId="0" applyNumberFormat="1" applyFont="1" applyFill="1" applyBorder="1" applyAlignment="1">
      <alignment horizontal="center" vertical="center"/>
    </xf>
    <xf numFmtId="188" fontId="92" fillId="3" borderId="3" xfId="0" applyNumberFormat="1" applyFont="1" applyFill="1" applyBorder="1">
      <alignment vertical="center"/>
    </xf>
    <xf numFmtId="222" fontId="92" fillId="3" borderId="3" xfId="0" applyNumberFormat="1" applyFont="1" applyFill="1" applyBorder="1">
      <alignment vertical="center"/>
    </xf>
    <xf numFmtId="222" fontId="188" fillId="3" borderId="3" xfId="0" applyNumberFormat="1" applyFont="1" applyFill="1" applyBorder="1">
      <alignment vertical="center"/>
    </xf>
    <xf numFmtId="0" fontId="92" fillId="3" borderId="3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188" fontId="19" fillId="3" borderId="3" xfId="0" applyNumberFormat="1" applyFont="1" applyFill="1" applyBorder="1">
      <alignment vertical="center"/>
    </xf>
    <xf numFmtId="188" fontId="19" fillId="3" borderId="3" xfId="0" applyNumberFormat="1" applyFont="1" applyFill="1" applyBorder="1" applyAlignment="1">
      <alignment horizontal="center" vertical="center"/>
    </xf>
    <xf numFmtId="0" fontId="19" fillId="37" borderId="129" xfId="0" applyFont="1" applyFill="1" applyBorder="1" applyAlignment="1">
      <alignment horizontal="left" vertical="center"/>
    </xf>
    <xf numFmtId="0" fontId="19" fillId="4" borderId="88" xfId="0" applyFont="1" applyFill="1" applyBorder="1" applyAlignment="1">
      <alignment horizontal="center" vertical="center"/>
    </xf>
    <xf numFmtId="0" fontId="92" fillId="4" borderId="114" xfId="0" applyFont="1" applyFill="1" applyBorder="1">
      <alignment vertical="center"/>
    </xf>
    <xf numFmtId="0" fontId="19" fillId="4" borderId="89" xfId="0" applyFont="1" applyFill="1" applyBorder="1" applyAlignment="1">
      <alignment horizontal="left" vertical="center"/>
    </xf>
    <xf numFmtId="185" fontId="19" fillId="3" borderId="88" xfId="0" applyNumberFormat="1" applyFont="1" applyFill="1" applyBorder="1" applyAlignment="1">
      <alignment horizontal="left" vertical="center"/>
    </xf>
    <xf numFmtId="221" fontId="19" fillId="3" borderId="9" xfId="0" applyNumberFormat="1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horizontal="center"/>
    </xf>
    <xf numFmtId="182" fontId="19" fillId="3" borderId="89" xfId="0" applyNumberFormat="1" applyFont="1" applyFill="1" applyBorder="1" applyAlignment="1">
      <alignment horizontal="center" vertical="center"/>
    </xf>
    <xf numFmtId="182" fontId="19" fillId="3" borderId="114" xfId="0" applyNumberFormat="1" applyFont="1" applyFill="1" applyBorder="1" applyAlignment="1">
      <alignment horizontal="center" vertical="center"/>
    </xf>
    <xf numFmtId="185" fontId="19" fillId="3" borderId="88" xfId="0" applyNumberFormat="1" applyFont="1" applyFill="1" applyBorder="1">
      <alignment vertical="center"/>
    </xf>
    <xf numFmtId="185" fontId="19" fillId="3" borderId="9" xfId="0" applyNumberFormat="1" applyFont="1" applyFill="1" applyBorder="1" applyAlignment="1">
      <alignment horizontal="center" vertical="center"/>
    </xf>
    <xf numFmtId="10" fontId="92" fillId="3" borderId="88" xfId="0" applyNumberFormat="1" applyFont="1" applyFill="1" applyBorder="1" applyAlignment="1">
      <alignment horizontal="center" vertical="center"/>
    </xf>
    <xf numFmtId="188" fontId="92" fillId="3" borderId="9" xfId="0" applyNumberFormat="1" applyFont="1" applyFill="1" applyBorder="1" applyAlignment="1">
      <alignment horizontal="center" vertical="center"/>
    </xf>
    <xf numFmtId="188" fontId="92" fillId="3" borderId="9" xfId="0" applyNumberFormat="1" applyFont="1" applyFill="1" applyBorder="1">
      <alignment vertical="center"/>
    </xf>
    <xf numFmtId="222" fontId="92" fillId="3" borderId="9" xfId="0" applyNumberFormat="1" applyFont="1" applyFill="1" applyBorder="1">
      <alignment vertical="center"/>
    </xf>
    <xf numFmtId="222" fontId="188" fillId="3" borderId="9" xfId="0" applyNumberFormat="1" applyFont="1" applyFill="1" applyBorder="1">
      <alignment vertical="center"/>
    </xf>
    <xf numFmtId="0" fontId="92" fillId="3" borderId="9" xfId="0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horizontal="center" vertical="center"/>
    </xf>
    <xf numFmtId="188" fontId="19" fillId="3" borderId="9" xfId="0" applyNumberFormat="1" applyFont="1" applyFill="1" applyBorder="1">
      <alignment vertical="center"/>
    </xf>
    <xf numFmtId="188" fontId="19" fillId="3" borderId="9" xfId="0" applyNumberFormat="1" applyFont="1" applyFill="1" applyBorder="1" applyAlignment="1">
      <alignment horizontal="center" vertical="center"/>
    </xf>
    <xf numFmtId="0" fontId="19" fillId="4" borderId="23" xfId="0" applyFont="1" applyFill="1" applyBorder="1" applyAlignment="1">
      <alignment horizontal="center" vertical="center"/>
    </xf>
    <xf numFmtId="0" fontId="92" fillId="4" borderId="126" xfId="0" applyFont="1" applyFill="1" applyBorder="1">
      <alignment vertical="center"/>
    </xf>
    <xf numFmtId="0" fontId="19" fillId="4" borderId="22" xfId="0" applyFont="1" applyFill="1" applyBorder="1" applyAlignment="1">
      <alignment horizontal="left" vertical="center"/>
    </xf>
    <xf numFmtId="0" fontId="92" fillId="2" borderId="3" xfId="0" applyFont="1" applyFill="1" applyBorder="1" applyAlignment="1">
      <alignment horizontal="center" vertical="center"/>
    </xf>
    <xf numFmtId="0" fontId="19" fillId="4" borderId="128" xfId="0" applyFont="1" applyFill="1" applyBorder="1" applyAlignment="1">
      <alignment horizontal="center" vertical="center"/>
    </xf>
    <xf numFmtId="0" fontId="92" fillId="4" borderId="4" xfId="0" applyFont="1" applyFill="1" applyBorder="1">
      <alignment vertical="center"/>
    </xf>
    <xf numFmtId="0" fontId="19" fillId="4" borderId="129" xfId="0" applyFont="1" applyFill="1" applyBorder="1" applyAlignment="1">
      <alignment horizontal="left" vertical="center"/>
    </xf>
    <xf numFmtId="0" fontId="92" fillId="2" borderId="4" xfId="0" applyFont="1" applyFill="1" applyBorder="1" applyAlignment="1">
      <alignment horizontal="center" vertical="center"/>
    </xf>
    <xf numFmtId="0" fontId="190" fillId="3" borderId="0" xfId="0" applyFont="1" applyFill="1">
      <alignment vertical="center"/>
    </xf>
    <xf numFmtId="0" fontId="19" fillId="4" borderId="73" xfId="0" applyFont="1" applyFill="1" applyBorder="1" applyAlignment="1">
      <alignment horizontal="center" vertical="center"/>
    </xf>
    <xf numFmtId="0" fontId="92" fillId="4" borderId="91" xfId="0" applyFont="1" applyFill="1" applyBorder="1" applyAlignment="1">
      <alignment horizontal="center" vertical="center"/>
    </xf>
    <xf numFmtId="0" fontId="19" fillId="4" borderId="92" xfId="0" applyFont="1" applyFill="1" applyBorder="1" applyAlignment="1">
      <alignment horizontal="left" vertical="center"/>
    </xf>
    <xf numFmtId="185" fontId="20" fillId="4" borderId="13" xfId="0" applyNumberFormat="1" applyFont="1" applyFill="1" applyBorder="1" applyAlignment="1">
      <alignment horizontal="left" vertical="center"/>
    </xf>
    <xf numFmtId="221" fontId="19" fillId="4" borderId="59" xfId="0" applyNumberFormat="1" applyFont="1" applyFill="1" applyBorder="1" applyAlignment="1">
      <alignment horizontal="center" vertical="center"/>
    </xf>
    <xf numFmtId="185" fontId="19" fillId="4" borderId="59" xfId="0" applyNumberFormat="1" applyFont="1" applyFill="1" applyBorder="1" applyAlignment="1">
      <alignment horizontal="center" vertical="center"/>
    </xf>
    <xf numFmtId="185" fontId="19" fillId="4" borderId="46" xfId="0" applyNumberFormat="1" applyFont="1" applyFill="1" applyBorder="1" applyAlignment="1">
      <alignment horizontal="center" vertical="center"/>
    </xf>
    <xf numFmtId="185" fontId="19" fillId="4" borderId="91" xfId="0" applyNumberFormat="1" applyFont="1" applyFill="1" applyBorder="1" applyAlignment="1">
      <alignment horizontal="center" vertical="center"/>
    </xf>
    <xf numFmtId="185" fontId="20" fillId="4" borderId="59" xfId="0" applyNumberFormat="1" applyFont="1" applyFill="1" applyBorder="1" applyAlignment="1">
      <alignment horizontal="center" vertical="center"/>
    </xf>
    <xf numFmtId="185" fontId="20" fillId="4" borderId="46" xfId="0" applyNumberFormat="1" applyFont="1" applyFill="1" applyBorder="1" applyAlignment="1">
      <alignment horizontal="center" vertical="center"/>
    </xf>
    <xf numFmtId="182" fontId="189" fillId="13" borderId="0" xfId="0" applyNumberFormat="1" applyFont="1" applyFill="1" applyAlignment="1">
      <alignment horizontal="center" vertical="center"/>
    </xf>
    <xf numFmtId="188" fontId="191" fillId="13" borderId="0" xfId="0" applyNumberFormat="1" applyFont="1" applyFill="1" applyAlignment="1">
      <alignment horizontal="center" vertical="center"/>
    </xf>
    <xf numFmtId="222" fontId="191" fillId="13" borderId="0" xfId="0" applyNumberFormat="1" applyFont="1" applyFill="1" applyAlignment="1">
      <alignment horizontal="center" vertical="center"/>
    </xf>
    <xf numFmtId="222" fontId="192" fillId="2" borderId="0" xfId="0" applyNumberFormat="1" applyFont="1" applyFill="1" applyAlignment="1">
      <alignment horizontal="center" vertical="center"/>
    </xf>
    <xf numFmtId="180" fontId="193" fillId="3" borderId="0" xfId="0" applyNumberFormat="1" applyFont="1" applyFill="1" applyAlignment="1">
      <alignment horizontal="center" vertical="center"/>
    </xf>
    <xf numFmtId="180" fontId="194" fillId="3" borderId="0" xfId="0" applyNumberFormat="1" applyFont="1" applyFill="1" applyAlignment="1">
      <alignment horizontal="center" vertical="center"/>
    </xf>
    <xf numFmtId="188" fontId="193" fillId="13" borderId="0" xfId="0" applyNumberFormat="1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92" fillId="3" borderId="0" xfId="0" applyFont="1" applyFill="1" applyAlignment="1">
      <alignment horizontal="center" vertical="center"/>
    </xf>
    <xf numFmtId="188" fontId="195" fillId="4" borderId="0" xfId="0" applyNumberFormat="1" applyFont="1" applyFill="1" applyAlignment="1">
      <alignment horizontal="center" vertical="center"/>
    </xf>
    <xf numFmtId="188" fontId="195" fillId="4" borderId="0" xfId="0" applyNumberFormat="1" applyFont="1" applyFill="1">
      <alignment vertical="center"/>
    </xf>
    <xf numFmtId="179" fontId="195" fillId="4" borderId="0" xfId="0" applyNumberFormat="1" applyFont="1" applyFill="1" applyAlignment="1">
      <alignment horizontal="center" vertical="center"/>
    </xf>
    <xf numFmtId="188" fontId="193" fillId="3" borderId="0" xfId="0" applyNumberFormat="1" applyFont="1" applyFill="1">
      <alignment vertical="center"/>
    </xf>
    <xf numFmtId="222" fontId="193" fillId="3" borderId="0" xfId="0" applyNumberFormat="1" applyFont="1" applyFill="1">
      <alignment vertical="center"/>
    </xf>
    <xf numFmtId="0" fontId="189" fillId="3" borderId="0" xfId="0" applyFont="1" applyFill="1" applyAlignment="1">
      <alignment horizontal="center" vertical="center"/>
    </xf>
    <xf numFmtId="188" fontId="19" fillId="3" borderId="0" xfId="0" applyNumberFormat="1" applyFont="1" applyFill="1">
      <alignment vertical="center"/>
    </xf>
    <xf numFmtId="0" fontId="182" fillId="3" borderId="0" xfId="0" applyFont="1" applyFill="1" applyAlignment="1">
      <alignment horizontal="center" vertical="center"/>
    </xf>
    <xf numFmtId="0" fontId="185" fillId="3" borderId="0" xfId="0" applyFont="1" applyFill="1" applyAlignment="1">
      <alignment horizontal="left" vertical="center"/>
    </xf>
    <xf numFmtId="185" fontId="19" fillId="3" borderId="0" xfId="0" applyNumberFormat="1" applyFont="1" applyFill="1" applyAlignment="1">
      <alignment horizontal="center" vertical="center"/>
    </xf>
    <xf numFmtId="188" fontId="19" fillId="3" borderId="0" xfId="0" applyNumberFormat="1" applyFont="1" applyFill="1" applyAlignment="1">
      <alignment horizontal="center" vertical="center"/>
    </xf>
    <xf numFmtId="187" fontId="189" fillId="3" borderId="0" xfId="0" applyNumberFormat="1" applyFont="1" applyFill="1">
      <alignment vertical="center"/>
    </xf>
    <xf numFmtId="188" fontId="189" fillId="3" borderId="0" xfId="0" applyNumberFormat="1" applyFont="1" applyFill="1">
      <alignment vertical="center"/>
    </xf>
    <xf numFmtId="222" fontId="189" fillId="3" borderId="0" xfId="0" applyNumberFormat="1" applyFont="1" applyFill="1">
      <alignment vertical="center"/>
    </xf>
    <xf numFmtId="187" fontId="189" fillId="3" borderId="0" xfId="0" applyNumberFormat="1" applyFont="1" applyFill="1" applyAlignment="1">
      <alignment horizontal="center" vertical="center"/>
    </xf>
    <xf numFmtId="222" fontId="188" fillId="4" borderId="112" xfId="0" applyNumberFormat="1" applyFont="1" applyFill="1" applyBorder="1" applyAlignment="1">
      <alignment horizontal="center" vertical="center" wrapText="1"/>
    </xf>
    <xf numFmtId="0" fontId="86" fillId="39" borderId="11" xfId="0" applyFont="1" applyFill="1" applyBorder="1" applyAlignment="1">
      <alignment horizontal="center" vertical="center"/>
    </xf>
    <xf numFmtId="0" fontId="116" fillId="39" borderId="11" xfId="0" applyFont="1" applyFill="1" applyBorder="1" applyAlignment="1">
      <alignment horizontal="left" vertical="center" wrapText="1"/>
    </xf>
    <xf numFmtId="194" fontId="116" fillId="39" borderId="11" xfId="0" applyNumberFormat="1" applyFont="1" applyFill="1" applyBorder="1">
      <alignment vertical="center"/>
    </xf>
    <xf numFmtId="0" fontId="116" fillId="39" borderId="120" xfId="0" applyFont="1" applyFill="1" applyBorder="1" applyAlignment="1">
      <alignment horizontal="center" vertical="center"/>
    </xf>
    <xf numFmtId="194" fontId="116" fillId="39" borderId="94" xfId="0" applyNumberFormat="1" applyFont="1" applyFill="1" applyBorder="1" applyAlignment="1">
      <alignment horizontal="center" vertical="center"/>
    </xf>
    <xf numFmtId="0" fontId="19" fillId="13" borderId="218" xfId="0" applyFont="1" applyFill="1" applyBorder="1" applyAlignment="1">
      <alignment horizontal="center" vertical="center" wrapText="1"/>
    </xf>
    <xf numFmtId="0" fontId="19" fillId="13" borderId="219" xfId="0" applyFont="1" applyFill="1" applyBorder="1" applyAlignment="1">
      <alignment horizontal="center" vertical="center" wrapText="1"/>
    </xf>
    <xf numFmtId="0" fontId="19" fillId="2" borderId="219" xfId="0" applyFont="1" applyFill="1" applyBorder="1" applyAlignment="1">
      <alignment horizontal="center" vertical="center" wrapText="1"/>
    </xf>
    <xf numFmtId="0" fontId="19" fillId="13" borderId="220" xfId="0" applyFont="1" applyFill="1" applyBorder="1" applyAlignment="1">
      <alignment horizontal="center" vertical="center" wrapText="1"/>
    </xf>
    <xf numFmtId="180" fontId="93" fillId="3" borderId="0" xfId="1" applyFont="1" applyFill="1" applyAlignment="1">
      <alignment vertical="center"/>
    </xf>
    <xf numFmtId="0" fontId="196" fillId="0" borderId="0" xfId="2"/>
    <xf numFmtId="0" fontId="196" fillId="3" borderId="0" xfId="2" applyFill="1"/>
    <xf numFmtId="0" fontId="198" fillId="10" borderId="221" xfId="3" applyFont="1" applyFill="1" applyBorder="1" applyAlignment="1">
      <alignment horizontal="center" vertical="center"/>
    </xf>
    <xf numFmtId="0" fontId="198" fillId="10" borderId="221" xfId="3" applyFont="1" applyFill="1" applyBorder="1" applyAlignment="1">
      <alignment vertical="center"/>
    </xf>
    <xf numFmtId="0" fontId="198" fillId="10" borderId="222" xfId="3" applyFont="1" applyFill="1" applyBorder="1" applyAlignment="1">
      <alignment vertical="center"/>
    </xf>
    <xf numFmtId="17" fontId="198" fillId="41" borderId="140" xfId="3" applyNumberFormat="1" applyFont="1" applyFill="1" applyBorder="1" applyAlignment="1">
      <alignment horizontal="center" vertical="center"/>
    </xf>
    <xf numFmtId="3" fontId="200" fillId="0" borderId="9" xfId="4" applyNumberFormat="1" applyFont="1" applyBorder="1" applyAlignment="1">
      <alignment horizontal="center" vertical="center"/>
    </xf>
    <xf numFmtId="3" fontId="201" fillId="0" borderId="9" xfId="4" applyNumberFormat="1" applyFont="1" applyBorder="1" applyAlignment="1">
      <alignment horizontal="center" vertical="center"/>
    </xf>
    <xf numFmtId="3" fontId="199" fillId="0" borderId="9" xfId="2" applyNumberFormat="1" applyFont="1" applyBorder="1"/>
    <xf numFmtId="9" fontId="202" fillId="0" borderId="9" xfId="2" applyNumberFormat="1" applyFont="1" applyBorder="1"/>
    <xf numFmtId="9" fontId="202" fillId="0" borderId="141" xfId="2" applyNumberFormat="1" applyFont="1" applyBorder="1"/>
    <xf numFmtId="17" fontId="198" fillId="41" borderId="138" xfId="3" applyNumberFormat="1" applyFont="1" applyFill="1" applyBorder="1" applyAlignment="1">
      <alignment horizontal="center" vertical="center"/>
    </xf>
    <xf numFmtId="3" fontId="200" fillId="0" borderId="3" xfId="4" applyNumberFormat="1" applyFont="1" applyBorder="1" applyAlignment="1">
      <alignment horizontal="center" vertical="center"/>
    </xf>
    <xf numFmtId="3" fontId="201" fillId="0" borderId="3" xfId="4" applyNumberFormat="1" applyFont="1" applyBorder="1" applyAlignment="1">
      <alignment horizontal="center" vertical="center"/>
    </xf>
    <xf numFmtId="3" fontId="199" fillId="0" borderId="3" xfId="2" applyNumberFormat="1" applyFont="1" applyBorder="1"/>
    <xf numFmtId="9" fontId="202" fillId="0" borderId="3" xfId="2" applyNumberFormat="1" applyFont="1" applyBorder="1"/>
    <xf numFmtId="9" fontId="202" fillId="0" borderId="137" xfId="2" applyNumberFormat="1" applyFont="1" applyBorder="1"/>
    <xf numFmtId="17" fontId="198" fillId="41" borderId="135" xfId="3" applyNumberFormat="1" applyFont="1" applyFill="1" applyBorder="1" applyAlignment="1">
      <alignment horizontal="center" vertical="center"/>
    </xf>
    <xf numFmtId="3" fontId="200" fillId="0" borderId="11" xfId="4" applyNumberFormat="1" applyFont="1" applyBorder="1" applyAlignment="1">
      <alignment horizontal="center" vertical="center"/>
    </xf>
    <xf numFmtId="3" fontId="201" fillId="0" borderId="11" xfId="4" applyNumberFormat="1" applyFont="1" applyFill="1" applyBorder="1" applyAlignment="1">
      <alignment horizontal="center" vertical="center"/>
    </xf>
    <xf numFmtId="3" fontId="199" fillId="0" borderId="11" xfId="2" applyNumberFormat="1" applyFont="1" applyBorder="1"/>
    <xf numFmtId="9" fontId="202" fillId="0" borderId="11" xfId="2" applyNumberFormat="1" applyFont="1" applyBorder="1"/>
    <xf numFmtId="9" fontId="202" fillId="0" borderId="134" xfId="2" applyNumberFormat="1" applyFont="1" applyBorder="1"/>
    <xf numFmtId="0" fontId="198" fillId="10" borderId="101" xfId="3" applyFont="1" applyFill="1" applyBorder="1" applyAlignment="1">
      <alignment horizontal="center" vertical="center"/>
    </xf>
    <xf numFmtId="3" fontId="200" fillId="10" borderId="99" xfId="4" applyNumberFormat="1" applyFont="1" applyFill="1" applyBorder="1" applyAlignment="1">
      <alignment horizontal="center" vertical="center"/>
    </xf>
    <xf numFmtId="3" fontId="201" fillId="10" borderId="99" xfId="4" applyNumberFormat="1" applyFont="1" applyFill="1" applyBorder="1" applyAlignment="1">
      <alignment horizontal="center" vertical="center"/>
    </xf>
    <xf numFmtId="3" fontId="201" fillId="10" borderId="99" xfId="2" applyNumberFormat="1" applyFont="1" applyFill="1" applyBorder="1"/>
    <xf numFmtId="9" fontId="202" fillId="10" borderId="99" xfId="5" applyFont="1" applyFill="1" applyBorder="1"/>
    <xf numFmtId="9" fontId="202" fillId="10" borderId="105" xfId="5" applyFont="1" applyFill="1" applyBorder="1"/>
    <xf numFmtId="0" fontId="198" fillId="10" borderId="5" xfId="3" applyFont="1" applyFill="1" applyBorder="1" applyAlignment="1">
      <alignment vertical="center"/>
    </xf>
    <xf numFmtId="0" fontId="198" fillId="10" borderId="225" xfId="3" applyFont="1" applyFill="1" applyBorder="1" applyAlignment="1">
      <alignment vertical="center"/>
    </xf>
    <xf numFmtId="3" fontId="200" fillId="0" borderId="103" xfId="4" applyNumberFormat="1" applyFont="1" applyBorder="1" applyAlignment="1">
      <alignment horizontal="center" vertical="center"/>
    </xf>
    <xf numFmtId="185" fontId="0" fillId="0" borderId="226" xfId="6" applyNumberFormat="1" applyFont="1" applyBorder="1"/>
    <xf numFmtId="3" fontId="199" fillId="0" borderId="103" xfId="2" applyNumberFormat="1" applyFont="1" applyBorder="1"/>
    <xf numFmtId="9" fontId="202" fillId="0" borderId="103" xfId="2" applyNumberFormat="1" applyFont="1" applyBorder="1"/>
    <xf numFmtId="9" fontId="202" fillId="0" borderId="139" xfId="2" applyNumberFormat="1" applyFont="1" applyBorder="1"/>
    <xf numFmtId="185" fontId="196" fillId="0" borderId="182" xfId="6" applyNumberFormat="1" applyFont="1" applyBorder="1"/>
    <xf numFmtId="185" fontId="196" fillId="0" borderId="226" xfId="6" applyNumberFormat="1" applyFont="1" applyBorder="1"/>
    <xf numFmtId="9" fontId="202" fillId="0" borderId="118" xfId="2" applyNumberFormat="1" applyFont="1" applyBorder="1"/>
    <xf numFmtId="9" fontId="202" fillId="0" borderId="156" xfId="2" applyNumberFormat="1" applyFont="1" applyBorder="1"/>
    <xf numFmtId="185" fontId="0" fillId="0" borderId="126" xfId="6" applyNumberFormat="1" applyFont="1" applyBorder="1"/>
    <xf numFmtId="3" fontId="200" fillId="0" borderId="125" xfId="4" applyNumberFormat="1" applyFont="1" applyBorder="1" applyAlignment="1">
      <alignment horizontal="center" vertical="center"/>
    </xf>
    <xf numFmtId="185" fontId="0" fillId="0" borderId="227" xfId="6" applyNumberFormat="1" applyFont="1" applyBorder="1"/>
    <xf numFmtId="3" fontId="199" fillId="0" borderId="125" xfId="2" applyNumberFormat="1" applyFont="1" applyBorder="1"/>
    <xf numFmtId="9" fontId="202" fillId="0" borderId="125" xfId="2" applyNumberFormat="1" applyFont="1" applyBorder="1"/>
    <xf numFmtId="9" fontId="202" fillId="0" borderId="136" xfId="2" applyNumberFormat="1" applyFont="1" applyBorder="1"/>
    <xf numFmtId="3" fontId="201" fillId="0" borderId="125" xfId="4" applyNumberFormat="1" applyFont="1" applyBorder="1" applyAlignment="1">
      <alignment horizontal="center" vertical="center"/>
    </xf>
    <xf numFmtId="3" fontId="201" fillId="10" borderId="95" xfId="4" applyNumberFormat="1" applyFont="1" applyFill="1" applyBorder="1" applyAlignment="1">
      <alignment horizontal="center" vertical="center"/>
    </xf>
    <xf numFmtId="9" fontId="202" fillId="10" borderId="95" xfId="5" applyFont="1" applyFill="1" applyBorder="1"/>
    <xf numFmtId="9" fontId="202" fillId="10" borderId="142" xfId="5" applyFont="1" applyFill="1" applyBorder="1"/>
    <xf numFmtId="185" fontId="196" fillId="0" borderId="2" xfId="6" applyNumberFormat="1" applyFont="1" applyBorder="1"/>
    <xf numFmtId="3" fontId="199" fillId="0" borderId="2" xfId="2" applyNumberFormat="1" applyFont="1" applyBorder="1"/>
    <xf numFmtId="185" fontId="196" fillId="0" borderId="3" xfId="6" applyNumberFormat="1" applyFont="1" applyBorder="1"/>
    <xf numFmtId="185" fontId="196" fillId="0" borderId="125" xfId="6" applyNumberFormat="1" applyFont="1" applyBorder="1"/>
    <xf numFmtId="9" fontId="202" fillId="2" borderId="99" xfId="5" applyFont="1" applyFill="1" applyBorder="1"/>
    <xf numFmtId="9" fontId="202" fillId="2" borderId="105" xfId="5" applyFont="1" applyFill="1" applyBorder="1"/>
    <xf numFmtId="3" fontId="201" fillId="2" borderId="11" xfId="4" applyNumberFormat="1" applyFont="1" applyFill="1" applyBorder="1" applyAlignment="1">
      <alignment horizontal="center" vertical="center"/>
    </xf>
    <xf numFmtId="41" fontId="118" fillId="29" borderId="115" xfId="0" applyNumberFormat="1" applyFont="1" applyFill="1" applyBorder="1">
      <alignment vertical="center"/>
    </xf>
    <xf numFmtId="0" fontId="86" fillId="39" borderId="3" xfId="0" applyFont="1" applyFill="1" applyBorder="1" applyAlignment="1">
      <alignment horizontal="center" vertical="center"/>
    </xf>
    <xf numFmtId="194" fontId="116" fillId="39" borderId="3" xfId="0" applyNumberFormat="1" applyFont="1" applyFill="1" applyBorder="1">
      <alignment vertical="center"/>
    </xf>
    <xf numFmtId="0" fontId="116" fillId="39" borderId="117" xfId="0" applyFont="1" applyFill="1" applyBorder="1" applyAlignment="1">
      <alignment horizontal="center" vertical="center"/>
    </xf>
    <xf numFmtId="194" fontId="116" fillId="39" borderId="130" xfId="0" applyNumberFormat="1" applyFont="1" applyFill="1" applyBorder="1" applyAlignment="1">
      <alignment horizontal="center" vertical="center"/>
    </xf>
    <xf numFmtId="41" fontId="84" fillId="0" borderId="117" xfId="0" applyNumberFormat="1" applyFont="1" applyBorder="1">
      <alignment vertical="center"/>
    </xf>
    <xf numFmtId="41" fontId="84" fillId="42" borderId="126" xfId="0" applyNumberFormat="1" applyFont="1" applyFill="1" applyBorder="1">
      <alignment vertical="center"/>
    </xf>
    <xf numFmtId="41" fontId="84" fillId="42" borderId="7" xfId="0" applyNumberFormat="1" applyFont="1" applyFill="1" applyBorder="1">
      <alignment vertical="center"/>
    </xf>
    <xf numFmtId="41" fontId="84" fillId="42" borderId="121" xfId="0" applyNumberFormat="1" applyFont="1" applyFill="1" applyBorder="1">
      <alignment vertical="center"/>
    </xf>
    <xf numFmtId="41" fontId="84" fillId="42" borderId="3" xfId="0" applyNumberFormat="1" applyFont="1" applyFill="1" applyBorder="1">
      <alignment vertical="center"/>
    </xf>
    <xf numFmtId="41" fontId="84" fillId="42" borderId="22" xfId="0" applyNumberFormat="1" applyFont="1" applyFill="1" applyBorder="1">
      <alignment vertical="center"/>
    </xf>
    <xf numFmtId="41" fontId="84" fillId="42" borderId="115" xfId="0" applyNumberFormat="1" applyFont="1" applyFill="1" applyBorder="1">
      <alignment vertical="center"/>
    </xf>
    <xf numFmtId="41" fontId="84" fillId="42" borderId="119" xfId="0" applyNumberFormat="1" applyFont="1" applyFill="1" applyBorder="1">
      <alignment vertical="center"/>
    </xf>
    <xf numFmtId="41" fontId="84" fillId="42" borderId="123" xfId="0" applyNumberFormat="1" applyFont="1" applyFill="1" applyBorder="1">
      <alignment vertical="center"/>
    </xf>
    <xf numFmtId="41" fontId="84" fillId="42" borderId="11" xfId="0" applyNumberFormat="1" applyFont="1" applyFill="1" applyBorder="1">
      <alignment vertical="center"/>
    </xf>
    <xf numFmtId="0" fontId="86" fillId="39" borderId="2" xfId="0" applyFont="1" applyFill="1" applyBorder="1" applyAlignment="1">
      <alignment horizontal="center" vertical="center"/>
    </xf>
    <xf numFmtId="0" fontId="116" fillId="39" borderId="2" xfId="0" applyFont="1" applyFill="1" applyBorder="1" applyAlignment="1">
      <alignment horizontal="left" vertical="center" wrapText="1"/>
    </xf>
    <xf numFmtId="194" fontId="116" fillId="39" borderId="2" xfId="0" applyNumberFormat="1" applyFont="1" applyFill="1" applyBorder="1">
      <alignment vertical="center"/>
    </xf>
    <xf numFmtId="0" fontId="116" fillId="39" borderId="213" xfId="0" applyFont="1" applyFill="1" applyBorder="1" applyAlignment="1">
      <alignment horizontal="center" vertical="center"/>
    </xf>
    <xf numFmtId="194" fontId="116" fillId="39" borderId="216" xfId="0" applyNumberFormat="1" applyFont="1" applyFill="1" applyBorder="1" applyAlignment="1">
      <alignment horizontal="center" vertical="center"/>
    </xf>
    <xf numFmtId="41" fontId="84" fillId="42" borderId="210" xfId="0" applyNumberFormat="1" applyFont="1" applyFill="1" applyBorder="1">
      <alignment vertical="center"/>
    </xf>
    <xf numFmtId="41" fontId="84" fillId="42" borderId="215" xfId="0" applyNumberFormat="1" applyFont="1" applyFill="1" applyBorder="1">
      <alignment vertical="center"/>
    </xf>
    <xf numFmtId="41" fontId="84" fillId="42" borderId="2" xfId="0" applyNumberFormat="1" applyFont="1" applyFill="1" applyBorder="1">
      <alignment vertical="center"/>
    </xf>
    <xf numFmtId="41" fontId="84" fillId="42" borderId="152" xfId="0" applyNumberFormat="1" applyFont="1" applyFill="1" applyBorder="1">
      <alignment vertical="center"/>
    </xf>
    <xf numFmtId="0" fontId="116" fillId="39" borderId="3" xfId="0" applyFont="1" applyFill="1" applyBorder="1" applyAlignment="1">
      <alignment horizontal="left" vertical="center" wrapText="1"/>
    </xf>
    <xf numFmtId="41" fontId="118" fillId="3" borderId="7" xfId="0" applyNumberFormat="1" applyFont="1" applyFill="1" applyBorder="1">
      <alignment vertical="center"/>
    </xf>
    <xf numFmtId="41" fontId="84" fillId="24" borderId="4" xfId="0" applyNumberFormat="1" applyFont="1" applyFill="1" applyBorder="1">
      <alignment vertical="center"/>
    </xf>
    <xf numFmtId="41" fontId="84" fillId="24" borderId="193" xfId="0" applyNumberFormat="1" applyFont="1" applyFill="1" applyBorder="1">
      <alignment vertical="center"/>
    </xf>
    <xf numFmtId="41" fontId="84" fillId="24" borderId="212" xfId="0" applyNumberFormat="1" applyFont="1" applyFill="1" applyBorder="1">
      <alignment vertical="center"/>
    </xf>
    <xf numFmtId="41" fontId="84" fillId="24" borderId="129" xfId="0" applyNumberFormat="1" applyFont="1" applyFill="1" applyBorder="1">
      <alignment vertical="center"/>
    </xf>
    <xf numFmtId="41" fontId="84" fillId="24" borderId="128" xfId="0" applyNumberFormat="1" applyFont="1" applyFill="1" applyBorder="1">
      <alignment vertical="center"/>
    </xf>
    <xf numFmtId="41" fontId="84" fillId="24" borderId="132" xfId="0" applyNumberFormat="1" applyFont="1" applyFill="1" applyBorder="1">
      <alignment vertical="center"/>
    </xf>
    <xf numFmtId="41" fontId="108" fillId="25" borderId="29" xfId="0" applyNumberFormat="1" applyFont="1" applyFill="1" applyBorder="1">
      <alignment vertical="center"/>
    </xf>
    <xf numFmtId="185" fontId="118" fillId="0" borderId="0" xfId="1" applyNumberFormat="1" applyFont="1" applyAlignment="1">
      <alignment vertical="center"/>
    </xf>
    <xf numFmtId="0" fontId="128" fillId="4" borderId="17" xfId="0" applyFont="1" applyFill="1" applyBorder="1" applyAlignment="1">
      <alignment horizontal="center" vertical="center"/>
    </xf>
    <xf numFmtId="41" fontId="118" fillId="10" borderId="58" xfId="0" applyNumberFormat="1" applyFont="1" applyFill="1" applyBorder="1">
      <alignment vertical="center"/>
    </xf>
    <xf numFmtId="41" fontId="118" fillId="10" borderId="55" xfId="0" applyNumberFormat="1" applyFont="1" applyFill="1" applyBorder="1">
      <alignment vertical="center"/>
    </xf>
    <xf numFmtId="41" fontId="118" fillId="10" borderId="35" xfId="0" applyNumberFormat="1" applyFont="1" applyFill="1" applyBorder="1">
      <alignment vertical="center"/>
    </xf>
    <xf numFmtId="41" fontId="128" fillId="4" borderId="12" xfId="0" applyNumberFormat="1" applyFont="1" applyFill="1" applyBorder="1">
      <alignment vertical="center"/>
    </xf>
    <xf numFmtId="41" fontId="118" fillId="10" borderId="10" xfId="0" applyNumberFormat="1" applyFont="1" applyFill="1" applyBorder="1">
      <alignment vertical="center"/>
    </xf>
    <xf numFmtId="41" fontId="118" fillId="10" borderId="86" xfId="0" applyNumberFormat="1" applyFont="1" applyFill="1" applyBorder="1">
      <alignment vertical="center"/>
    </xf>
    <xf numFmtId="41" fontId="118" fillId="10" borderId="88" xfId="0" applyNumberFormat="1" applyFont="1" applyFill="1" applyBorder="1">
      <alignment vertical="center"/>
    </xf>
    <xf numFmtId="41" fontId="118" fillId="10" borderId="128" xfId="0" applyNumberFormat="1" applyFont="1" applyFill="1" applyBorder="1">
      <alignment vertical="center"/>
    </xf>
    <xf numFmtId="41" fontId="118" fillId="10" borderId="64" xfId="0" applyNumberFormat="1" applyFont="1" applyFill="1" applyBorder="1">
      <alignment vertical="center"/>
    </xf>
    <xf numFmtId="41" fontId="118" fillId="4" borderId="12" xfId="0" applyNumberFormat="1" applyFont="1" applyFill="1" applyBorder="1">
      <alignment vertical="center"/>
    </xf>
    <xf numFmtId="41" fontId="118" fillId="4" borderId="13" xfId="0" applyNumberFormat="1" applyFont="1" applyFill="1" applyBorder="1">
      <alignment vertical="center"/>
    </xf>
    <xf numFmtId="41" fontId="118" fillId="4" borderId="58" xfId="0" applyNumberFormat="1" applyFont="1" applyFill="1" applyBorder="1">
      <alignment vertical="center"/>
    </xf>
    <xf numFmtId="41" fontId="118" fillId="4" borderId="17" xfId="0" applyNumberFormat="1" applyFont="1" applyFill="1" applyBorder="1">
      <alignment vertical="center"/>
    </xf>
    <xf numFmtId="41" fontId="118" fillId="29" borderId="126" xfId="0" applyNumberFormat="1" applyFont="1" applyFill="1" applyBorder="1">
      <alignment vertical="center"/>
    </xf>
    <xf numFmtId="187" fontId="118" fillId="3" borderId="126" xfId="0" applyNumberFormat="1" applyFont="1" applyFill="1" applyBorder="1">
      <alignment vertical="center"/>
    </xf>
    <xf numFmtId="41" fontId="118" fillId="24" borderId="131" xfId="0" applyNumberFormat="1" applyFont="1" applyFill="1" applyBorder="1">
      <alignment vertical="center"/>
    </xf>
    <xf numFmtId="38" fontId="128" fillId="4" borderId="58" xfId="0" applyNumberFormat="1" applyFont="1" applyFill="1" applyBorder="1" applyAlignment="1">
      <alignment horizontal="center" vertical="center"/>
    </xf>
    <xf numFmtId="38" fontId="118" fillId="3" borderId="35" xfId="0" applyNumberFormat="1" applyFont="1" applyFill="1" applyBorder="1">
      <alignment vertical="center"/>
    </xf>
    <xf numFmtId="38" fontId="118" fillId="3" borderId="64" xfId="0" applyNumberFormat="1" applyFont="1" applyFill="1" applyBorder="1">
      <alignment vertical="center"/>
    </xf>
    <xf numFmtId="38" fontId="128" fillId="3" borderId="55" xfId="0" applyNumberFormat="1" applyFont="1" applyFill="1" applyBorder="1">
      <alignment vertical="center"/>
    </xf>
    <xf numFmtId="38" fontId="128" fillId="3" borderId="64" xfId="0" applyNumberFormat="1" applyFont="1" applyFill="1" applyBorder="1">
      <alignment vertical="center"/>
    </xf>
    <xf numFmtId="38" fontId="128" fillId="4" borderId="17" xfId="0" applyNumberFormat="1" applyFont="1" applyFill="1" applyBorder="1">
      <alignment vertical="center"/>
    </xf>
    <xf numFmtId="41" fontId="118" fillId="2" borderId="67" xfId="0" applyNumberFormat="1" applyFont="1" applyFill="1" applyBorder="1">
      <alignment vertical="center"/>
    </xf>
    <xf numFmtId="41" fontId="118" fillId="0" borderId="88" xfId="0" applyNumberFormat="1" applyFont="1" applyBorder="1">
      <alignment vertical="center"/>
    </xf>
    <xf numFmtId="41" fontId="118" fillId="3" borderId="88" xfId="0" applyNumberFormat="1" applyFont="1" applyFill="1" applyBorder="1">
      <alignment vertical="center"/>
    </xf>
    <xf numFmtId="41" fontId="118" fillId="0" borderId="23" xfId="0" applyNumberFormat="1" applyFont="1" applyBorder="1">
      <alignment vertical="center"/>
    </xf>
    <xf numFmtId="41" fontId="118" fillId="3" borderId="23" xfId="0" applyNumberFormat="1" applyFont="1" applyFill="1" applyBorder="1">
      <alignment vertical="center"/>
    </xf>
    <xf numFmtId="41" fontId="118" fillId="3" borderId="128" xfId="0" applyNumberFormat="1" applyFont="1" applyFill="1" applyBorder="1">
      <alignment vertical="center"/>
    </xf>
    <xf numFmtId="41" fontId="128" fillId="0" borderId="78" xfId="0" applyNumberFormat="1" applyFont="1" applyBorder="1">
      <alignment vertical="center"/>
    </xf>
    <xf numFmtId="41" fontId="118" fillId="3" borderId="118" xfId="0" applyNumberFormat="1" applyFont="1" applyFill="1" applyBorder="1">
      <alignment vertical="center"/>
    </xf>
    <xf numFmtId="41" fontId="118" fillId="3" borderId="3" xfId="0" applyNumberFormat="1" applyFont="1" applyFill="1" applyBorder="1">
      <alignment vertical="center"/>
    </xf>
    <xf numFmtId="41" fontId="118" fillId="3" borderId="119" xfId="0" applyNumberFormat="1" applyFont="1" applyFill="1" applyBorder="1">
      <alignment vertical="center"/>
    </xf>
    <xf numFmtId="41" fontId="118" fillId="3" borderId="6" xfId="0" applyNumberFormat="1" applyFont="1" applyFill="1" applyBorder="1">
      <alignment vertical="center"/>
    </xf>
    <xf numFmtId="41" fontId="128" fillId="0" borderId="40" xfId="0" applyNumberFormat="1" applyFont="1" applyBorder="1">
      <alignment vertical="center"/>
    </xf>
    <xf numFmtId="41" fontId="118" fillId="0" borderId="58" xfId="0" applyNumberFormat="1" applyFont="1" applyBorder="1">
      <alignment vertical="center"/>
    </xf>
    <xf numFmtId="43" fontId="128" fillId="3" borderId="0" xfId="0" applyNumberFormat="1" applyFont="1" applyFill="1" applyAlignment="1">
      <alignment horizontal="center" vertical="center"/>
    </xf>
    <xf numFmtId="43" fontId="128" fillId="4" borderId="17" xfId="0" applyNumberFormat="1" applyFont="1" applyFill="1" applyBorder="1" applyAlignment="1">
      <alignment horizontal="center" vertical="center"/>
    </xf>
    <xf numFmtId="184" fontId="118" fillId="3" borderId="56" xfId="0" applyNumberFormat="1" applyFont="1" applyFill="1" applyBorder="1" applyAlignment="1">
      <alignment horizontal="right" vertical="center"/>
    </xf>
    <xf numFmtId="184" fontId="118" fillId="10" borderId="62" xfId="0" applyNumberFormat="1" applyFont="1" applyFill="1" applyBorder="1" applyAlignment="1">
      <alignment horizontal="right" vertical="center"/>
    </xf>
    <xf numFmtId="184" fontId="118" fillId="3" borderId="62" xfId="0" applyNumberFormat="1" applyFont="1" applyFill="1" applyBorder="1" applyAlignment="1">
      <alignment horizontal="right" vertical="center"/>
    </xf>
    <xf numFmtId="187" fontId="128" fillId="4" borderId="67" xfId="0" applyNumberFormat="1" applyFont="1" applyFill="1" applyBorder="1" applyAlignment="1">
      <alignment horizontal="center" vertical="center"/>
    </xf>
    <xf numFmtId="9" fontId="118" fillId="3" borderId="113" xfId="0" applyNumberFormat="1" applyFont="1" applyFill="1" applyBorder="1" applyAlignment="1">
      <alignment horizontal="center" vertical="center"/>
    </xf>
    <xf numFmtId="9" fontId="128" fillId="3" borderId="76" xfId="0" applyNumberFormat="1" applyFont="1" applyFill="1" applyBorder="1" applyAlignment="1">
      <alignment horizontal="center" vertical="center"/>
    </xf>
    <xf numFmtId="185" fontId="93" fillId="3" borderId="0" xfId="1" applyNumberFormat="1" applyFont="1" applyFill="1" applyAlignment="1">
      <alignment vertical="center"/>
    </xf>
    <xf numFmtId="49" fontId="137" fillId="4" borderId="8" xfId="0" applyNumberFormat="1" applyFont="1" applyFill="1" applyBorder="1" applyAlignment="1"/>
    <xf numFmtId="41" fontId="116" fillId="4" borderId="0" xfId="0" applyNumberFormat="1" applyFont="1" applyFill="1" applyAlignment="1">
      <alignment horizontal="left" vertical="center" indent="1"/>
    </xf>
    <xf numFmtId="41" fontId="93" fillId="2" borderId="69" xfId="0" applyNumberFormat="1" applyFont="1" applyFill="1" applyBorder="1" applyAlignment="1">
      <alignment horizontal="right" vertical="center"/>
    </xf>
    <xf numFmtId="41" fontId="93" fillId="2" borderId="8" xfId="0" applyNumberFormat="1" applyFont="1" applyFill="1" applyBorder="1" applyAlignment="1">
      <alignment horizontal="right" vertical="center"/>
    </xf>
    <xf numFmtId="41" fontId="93" fillId="2" borderId="21" xfId="0" applyNumberFormat="1" applyFont="1" applyFill="1" applyBorder="1" applyAlignment="1">
      <alignment horizontal="right" vertical="center"/>
    </xf>
    <xf numFmtId="41" fontId="108" fillId="21" borderId="108" xfId="0" applyNumberFormat="1" applyFont="1" applyFill="1" applyBorder="1">
      <alignment vertical="center"/>
    </xf>
    <xf numFmtId="187" fontId="118" fillId="3" borderId="3" xfId="0" applyNumberFormat="1" applyFont="1" applyFill="1" applyBorder="1">
      <alignment vertical="center"/>
    </xf>
    <xf numFmtId="41" fontId="118" fillId="29" borderId="7" xfId="0" applyNumberFormat="1" applyFont="1" applyFill="1" applyBorder="1">
      <alignment vertical="center"/>
    </xf>
    <xf numFmtId="41" fontId="118" fillId="0" borderId="7" xfId="0" applyNumberFormat="1" applyFont="1" applyBorder="1">
      <alignment vertical="center"/>
    </xf>
    <xf numFmtId="180" fontId="93" fillId="0" borderId="0" xfId="1" applyFont="1" applyAlignment="1">
      <alignment vertical="center"/>
    </xf>
    <xf numFmtId="180" fontId="108" fillId="3" borderId="0" xfId="0" applyNumberFormat="1" applyFont="1" applyFill="1">
      <alignment vertical="center"/>
    </xf>
    <xf numFmtId="185" fontId="93" fillId="0" borderId="0" xfId="1" applyNumberFormat="1" applyFont="1" applyAlignment="1">
      <alignment vertical="center"/>
    </xf>
    <xf numFmtId="41" fontId="51" fillId="0" borderId="0" xfId="0" applyNumberFormat="1" applyFont="1" applyAlignment="1">
      <alignment horizontal="center" vertical="center"/>
    </xf>
    <xf numFmtId="41" fontId="203" fillId="3" borderId="58" xfId="0" applyNumberFormat="1" applyFont="1" applyFill="1" applyBorder="1">
      <alignment vertical="center"/>
    </xf>
    <xf numFmtId="41" fontId="203" fillId="3" borderId="55" xfId="0" applyNumberFormat="1" applyFont="1" applyFill="1" applyBorder="1">
      <alignment vertical="center"/>
    </xf>
    <xf numFmtId="41" fontId="118" fillId="3" borderId="64" xfId="0" applyNumberFormat="1" applyFont="1" applyFill="1" applyBorder="1">
      <alignment vertical="center"/>
    </xf>
    <xf numFmtId="41" fontId="118" fillId="3" borderId="55" xfId="0" applyNumberFormat="1" applyFont="1" applyFill="1" applyBorder="1">
      <alignment vertical="center"/>
    </xf>
    <xf numFmtId="41" fontId="118" fillId="3" borderId="35" xfId="0" applyNumberFormat="1" applyFont="1" applyFill="1" applyBorder="1">
      <alignment vertical="center"/>
    </xf>
    <xf numFmtId="41" fontId="128" fillId="3" borderId="12" xfId="0" applyNumberFormat="1" applyFont="1" applyFill="1" applyBorder="1">
      <alignment vertical="center"/>
    </xf>
    <xf numFmtId="41" fontId="203" fillId="3" borderId="86" xfId="0" applyNumberFormat="1" applyFont="1" applyFill="1" applyBorder="1">
      <alignment vertical="center"/>
    </xf>
    <xf numFmtId="41" fontId="203" fillId="3" borderId="86" xfId="0" applyNumberFormat="1" applyFont="1" applyFill="1" applyBorder="1" applyAlignment="1">
      <alignment horizontal="center" vertical="center"/>
    </xf>
    <xf numFmtId="41" fontId="118" fillId="3" borderId="13" xfId="0" applyNumberFormat="1" applyFont="1" applyFill="1" applyBorder="1">
      <alignment vertical="center"/>
    </xf>
    <xf numFmtId="41" fontId="128" fillId="4" borderId="78" xfId="0" applyNumberFormat="1" applyFont="1" applyFill="1" applyBorder="1">
      <alignment vertical="center"/>
    </xf>
    <xf numFmtId="0" fontId="128" fillId="4" borderId="58" xfId="0" applyFont="1" applyFill="1" applyBorder="1" applyAlignment="1">
      <alignment horizontal="center" vertical="center"/>
    </xf>
    <xf numFmtId="187" fontId="118" fillId="3" borderId="58" xfId="0" applyNumberFormat="1" applyFont="1" applyFill="1" applyBorder="1">
      <alignment vertical="center"/>
    </xf>
    <xf numFmtId="41" fontId="118" fillId="3" borderId="39" xfId="0" applyNumberFormat="1" applyFont="1" applyFill="1" applyBorder="1">
      <alignment vertical="center"/>
    </xf>
    <xf numFmtId="187" fontId="118" fillId="3" borderId="55" xfId="0" applyNumberFormat="1" applyFont="1" applyFill="1" applyBorder="1" applyAlignment="1">
      <alignment horizontal="left" vertical="center" indent="1"/>
    </xf>
    <xf numFmtId="180" fontId="93" fillId="0" borderId="0" xfId="1" applyFont="1" applyAlignment="1">
      <alignment horizontal="center" vertical="center"/>
    </xf>
    <xf numFmtId="210" fontId="118" fillId="0" borderId="0" xfId="0" applyNumberFormat="1" applyFont="1">
      <alignment vertical="center"/>
    </xf>
    <xf numFmtId="185" fontId="128" fillId="3" borderId="55" xfId="0" applyNumberFormat="1" applyFont="1" applyFill="1" applyBorder="1">
      <alignment vertical="center"/>
    </xf>
    <xf numFmtId="180" fontId="118" fillId="3" borderId="0" xfId="0" applyNumberFormat="1" applyFont="1" applyFill="1" applyAlignment="1">
      <alignment horizontal="right" vertical="center"/>
    </xf>
    <xf numFmtId="187" fontId="118" fillId="0" borderId="0" xfId="0" applyNumberFormat="1" applyFont="1">
      <alignment vertical="center"/>
    </xf>
    <xf numFmtId="43" fontId="118" fillId="0" borderId="0" xfId="0" applyNumberFormat="1" applyFont="1" applyAlignment="1">
      <alignment vertical="center" shrinkToFit="1"/>
    </xf>
    <xf numFmtId="180" fontId="118" fillId="0" borderId="0" xfId="0" applyNumberFormat="1" applyFont="1">
      <alignment vertical="center"/>
    </xf>
    <xf numFmtId="41" fontId="118" fillId="3" borderId="51" xfId="0" applyNumberFormat="1" applyFont="1" applyFill="1" applyBorder="1">
      <alignment vertical="center"/>
    </xf>
    <xf numFmtId="41" fontId="118" fillId="3" borderId="150" xfId="0" applyNumberFormat="1" applyFont="1" applyFill="1" applyBorder="1">
      <alignment vertical="center"/>
    </xf>
    <xf numFmtId="41" fontId="128" fillId="3" borderId="91" xfId="0" applyNumberFormat="1" applyFont="1" applyFill="1" applyBorder="1">
      <alignment vertical="center"/>
    </xf>
    <xf numFmtId="41" fontId="118" fillId="3" borderId="15" xfId="0" applyNumberFormat="1" applyFont="1" applyFill="1" applyBorder="1">
      <alignment vertical="center"/>
    </xf>
    <xf numFmtId="41" fontId="51" fillId="26" borderId="17" xfId="0" applyNumberFormat="1" applyFont="1" applyFill="1" applyBorder="1" applyAlignment="1"/>
    <xf numFmtId="0" fontId="128" fillId="4" borderId="15" xfId="0" applyFont="1" applyFill="1" applyBorder="1" applyAlignment="1">
      <alignment horizontal="center" vertical="center"/>
    </xf>
    <xf numFmtId="41" fontId="118" fillId="0" borderId="80" xfId="0" applyNumberFormat="1" applyFont="1" applyBorder="1">
      <alignment vertical="center"/>
    </xf>
    <xf numFmtId="41" fontId="118" fillId="3" borderId="21" xfId="0" applyNumberFormat="1" applyFont="1" applyFill="1" applyBorder="1">
      <alignment vertical="center"/>
    </xf>
    <xf numFmtId="41" fontId="118" fillId="2" borderId="21" xfId="0" applyNumberFormat="1" applyFont="1" applyFill="1" applyBorder="1">
      <alignment vertical="center"/>
    </xf>
    <xf numFmtId="9" fontId="118" fillId="3" borderId="38" xfId="0" applyNumberFormat="1" applyFont="1" applyFill="1" applyBorder="1">
      <alignment vertical="center"/>
    </xf>
    <xf numFmtId="41" fontId="118" fillId="3" borderId="37" xfId="0" applyNumberFormat="1" applyFont="1" applyFill="1" applyBorder="1">
      <alignment vertical="center"/>
    </xf>
    <xf numFmtId="184" fontId="118" fillId="3" borderId="37" xfId="0" applyNumberFormat="1" applyFont="1" applyFill="1" applyBorder="1">
      <alignment vertical="center"/>
    </xf>
    <xf numFmtId="184" fontId="118" fillId="3" borderId="21" xfId="0" applyNumberFormat="1" applyFont="1" applyFill="1" applyBorder="1">
      <alignment vertical="center"/>
    </xf>
    <xf numFmtId="184" fontId="118" fillId="0" borderId="39" xfId="0" applyNumberFormat="1" applyFont="1" applyBorder="1">
      <alignment vertical="center"/>
    </xf>
    <xf numFmtId="184" fontId="128" fillId="3" borderId="38" xfId="0" applyNumberFormat="1" applyFont="1" applyFill="1" applyBorder="1">
      <alignment vertical="center"/>
    </xf>
    <xf numFmtId="184" fontId="128" fillId="3" borderId="39" xfId="0" applyNumberFormat="1" applyFont="1" applyFill="1" applyBorder="1">
      <alignment vertical="center"/>
    </xf>
    <xf numFmtId="184" fontId="128" fillId="3" borderId="40" xfId="0" applyNumberFormat="1" applyFont="1" applyFill="1" applyBorder="1">
      <alignment vertical="center"/>
    </xf>
    <xf numFmtId="184" fontId="118" fillId="3" borderId="80" xfId="0" applyNumberFormat="1" applyFont="1" applyFill="1" applyBorder="1">
      <alignment vertical="center"/>
    </xf>
    <xf numFmtId="184" fontId="118" fillId="3" borderId="38" xfId="0" applyNumberFormat="1" applyFont="1" applyFill="1" applyBorder="1">
      <alignment vertical="center"/>
    </xf>
    <xf numFmtId="184" fontId="128" fillId="3" borderId="73" xfId="0" applyNumberFormat="1" applyFont="1" applyFill="1" applyBorder="1">
      <alignment vertical="center"/>
    </xf>
    <xf numFmtId="0" fontId="118" fillId="3" borderId="0" xfId="0" applyFont="1" applyFill="1">
      <alignment vertical="center"/>
    </xf>
    <xf numFmtId="9" fontId="118" fillId="0" borderId="80" xfId="0" applyNumberFormat="1" applyFont="1" applyBorder="1">
      <alignment vertical="center"/>
    </xf>
    <xf numFmtId="9" fontId="118" fillId="0" borderId="21" xfId="0" applyNumberFormat="1" applyFont="1" applyBorder="1">
      <alignment vertical="center"/>
    </xf>
    <xf numFmtId="182" fontId="118" fillId="2" borderId="40" xfId="0" applyNumberFormat="1" applyFont="1" applyFill="1" applyBorder="1">
      <alignment vertical="center"/>
    </xf>
    <xf numFmtId="9" fontId="118" fillId="0" borderId="35" xfId="0" applyNumberFormat="1" applyFont="1" applyBorder="1">
      <alignment vertical="center"/>
    </xf>
    <xf numFmtId="184" fontId="118" fillId="0" borderId="64" xfId="0" applyNumberFormat="1" applyFont="1" applyBorder="1">
      <alignment vertical="center"/>
    </xf>
    <xf numFmtId="184" fontId="118" fillId="2" borderId="109" xfId="0" applyNumberFormat="1" applyFont="1" applyFill="1" applyBorder="1">
      <alignment vertical="center"/>
    </xf>
    <xf numFmtId="184" fontId="118" fillId="2" borderId="78" xfId="0" applyNumberFormat="1" applyFont="1" applyFill="1" applyBorder="1">
      <alignment vertical="center"/>
    </xf>
    <xf numFmtId="184" fontId="118" fillId="0" borderId="0" xfId="0" applyNumberFormat="1" applyFont="1">
      <alignment vertical="center"/>
    </xf>
    <xf numFmtId="182" fontId="128" fillId="3" borderId="15" xfId="0" applyNumberFormat="1" applyFont="1" applyFill="1" applyBorder="1">
      <alignment vertical="center"/>
    </xf>
    <xf numFmtId="185" fontId="118" fillId="0" borderId="0" xfId="0" applyNumberFormat="1" applyFont="1">
      <alignment vertical="center"/>
    </xf>
    <xf numFmtId="187" fontId="118" fillId="3" borderId="7" xfId="0" applyNumberFormat="1" applyFont="1" applyFill="1" applyBorder="1">
      <alignment vertical="center"/>
    </xf>
    <xf numFmtId="41" fontId="118" fillId="3" borderId="126" xfId="0" applyNumberFormat="1" applyFont="1" applyFill="1" applyBorder="1">
      <alignment vertical="center"/>
    </xf>
    <xf numFmtId="184" fontId="93" fillId="2" borderId="196" xfId="0" applyNumberFormat="1" applyFont="1" applyFill="1" applyBorder="1">
      <alignment vertical="center"/>
    </xf>
    <xf numFmtId="184" fontId="93" fillId="0" borderId="196" xfId="0" applyNumberFormat="1" applyFont="1" applyBorder="1">
      <alignment vertical="center"/>
    </xf>
    <xf numFmtId="0" fontId="116" fillId="4" borderId="196" xfId="0" applyFont="1" applyFill="1" applyBorder="1" applyAlignment="1">
      <alignment horizontal="center" vertical="center" wrapText="1"/>
    </xf>
    <xf numFmtId="9" fontId="116" fillId="4" borderId="196" xfId="0" applyNumberFormat="1" applyFont="1" applyFill="1" applyBorder="1" applyAlignment="1">
      <alignment horizontal="center" vertical="center" wrapText="1"/>
    </xf>
    <xf numFmtId="195" fontId="116" fillId="4" borderId="196" xfId="0" applyNumberFormat="1" applyFont="1" applyFill="1" applyBorder="1" applyAlignment="1">
      <alignment horizontal="center" vertical="center" wrapText="1"/>
    </xf>
    <xf numFmtId="198" fontId="116" fillId="4" borderId="202" xfId="0" applyNumberFormat="1" applyFont="1" applyFill="1" applyBorder="1" applyAlignment="1">
      <alignment horizontal="center" vertical="center" wrapText="1"/>
    </xf>
    <xf numFmtId="182" fontId="116" fillId="4" borderId="202" xfId="0" applyNumberFormat="1" applyFont="1" applyFill="1" applyBorder="1" applyAlignment="1">
      <alignment horizontal="center" vertical="center" wrapText="1"/>
    </xf>
    <xf numFmtId="41" fontId="116" fillId="4" borderId="196" xfId="0" applyNumberFormat="1" applyFont="1" applyFill="1" applyBorder="1" applyAlignment="1">
      <alignment horizontal="center" vertical="center" wrapText="1"/>
    </xf>
    <xf numFmtId="214" fontId="116" fillId="4" borderId="202" xfId="0" applyNumberFormat="1" applyFont="1" applyFill="1" applyBorder="1" applyAlignment="1">
      <alignment horizontal="center" vertical="center" wrapText="1"/>
    </xf>
    <xf numFmtId="212" fontId="93" fillId="2" borderId="196" xfId="0" applyNumberFormat="1" applyFont="1" applyFill="1" applyBorder="1">
      <alignment vertical="center"/>
    </xf>
    <xf numFmtId="214" fontId="93" fillId="2" borderId="196" xfId="0" applyNumberFormat="1" applyFont="1" applyFill="1" applyBorder="1">
      <alignment vertical="center"/>
    </xf>
    <xf numFmtId="213" fontId="93" fillId="2" borderId="196" xfId="0" applyNumberFormat="1" applyFont="1" applyFill="1" applyBorder="1">
      <alignment vertical="center"/>
    </xf>
    <xf numFmtId="41" fontId="118" fillId="0" borderId="78" xfId="0" applyNumberFormat="1" applyFont="1" applyBorder="1">
      <alignment vertical="center"/>
    </xf>
    <xf numFmtId="41" fontId="118" fillId="0" borderId="109" xfId="0" applyNumberFormat="1" applyFont="1" applyBorder="1">
      <alignment vertical="center"/>
    </xf>
    <xf numFmtId="41" fontId="118" fillId="0" borderId="12" xfId="0" applyNumberFormat="1" applyFont="1" applyBorder="1">
      <alignment vertical="center"/>
    </xf>
    <xf numFmtId="41" fontId="118" fillId="3" borderId="78" xfId="0" applyNumberFormat="1" applyFont="1" applyFill="1" applyBorder="1">
      <alignment vertical="center"/>
    </xf>
    <xf numFmtId="181" fontId="118" fillId="3" borderId="55" xfId="0" applyNumberFormat="1" applyFont="1" applyFill="1" applyBorder="1">
      <alignment vertical="center"/>
    </xf>
    <xf numFmtId="181" fontId="118" fillId="3" borderId="64" xfId="0" applyNumberFormat="1" applyFont="1" applyFill="1" applyBorder="1">
      <alignment vertical="center"/>
    </xf>
    <xf numFmtId="41" fontId="118" fillId="3" borderId="64" xfId="0" applyNumberFormat="1" applyFont="1" applyFill="1" applyBorder="1" applyAlignment="1">
      <alignment horizontal="left" vertical="center" indent="1"/>
    </xf>
    <xf numFmtId="41" fontId="118" fillId="3" borderId="55" xfId="0" applyNumberFormat="1" applyFont="1" applyFill="1" applyBorder="1" applyAlignment="1">
      <alignment horizontal="left" vertical="center" indent="1"/>
    </xf>
    <xf numFmtId="185" fontId="128" fillId="3" borderId="78" xfId="0" applyNumberFormat="1" applyFont="1" applyFill="1" applyBorder="1">
      <alignment vertical="center"/>
    </xf>
    <xf numFmtId="41" fontId="128" fillId="10" borderId="12" xfId="0" applyNumberFormat="1" applyFont="1" applyFill="1" applyBorder="1">
      <alignment vertical="center"/>
    </xf>
    <xf numFmtId="41" fontId="118" fillId="10" borderId="64" xfId="0" applyNumberFormat="1" applyFont="1" applyFill="1" applyBorder="1" applyAlignment="1">
      <alignment horizontal="left" vertical="center" indent="1"/>
    </xf>
    <xf numFmtId="3" fontId="118" fillId="0" borderId="0" xfId="0" applyNumberFormat="1" applyFont="1">
      <alignment vertical="center"/>
    </xf>
    <xf numFmtId="0" fontId="128" fillId="4" borderId="80" xfId="0" applyFont="1" applyFill="1" applyBorder="1" applyAlignment="1">
      <alignment horizontal="center" vertical="center"/>
    </xf>
    <xf numFmtId="41" fontId="118" fillId="3" borderId="36" xfId="0" applyNumberFormat="1" applyFont="1" applyFill="1" applyBorder="1" applyAlignment="1">
      <alignment horizontal="center" vertical="center"/>
    </xf>
    <xf numFmtId="41" fontId="118" fillId="3" borderId="37" xfId="0" applyNumberFormat="1" applyFont="1" applyFill="1" applyBorder="1" applyAlignment="1">
      <alignment horizontal="center" vertical="center"/>
    </xf>
    <xf numFmtId="41" fontId="128" fillId="3" borderId="80" xfId="0" applyNumberFormat="1" applyFont="1" applyFill="1" applyBorder="1" applyAlignment="1">
      <alignment horizontal="center" vertical="center"/>
    </xf>
    <xf numFmtId="41" fontId="128" fillId="4" borderId="15" xfId="0" applyNumberFormat="1" applyFont="1" applyFill="1" applyBorder="1">
      <alignment vertical="center"/>
    </xf>
    <xf numFmtId="187" fontId="118" fillId="10" borderId="58" xfId="0" applyNumberFormat="1" applyFont="1" applyFill="1" applyBorder="1">
      <alignment vertical="center"/>
    </xf>
    <xf numFmtId="41" fontId="118" fillId="10" borderId="36" xfId="0" applyNumberFormat="1" applyFont="1" applyFill="1" applyBorder="1" applyAlignment="1">
      <alignment horizontal="center" vertical="center"/>
    </xf>
    <xf numFmtId="187" fontId="118" fillId="4" borderId="58" xfId="0" applyNumberFormat="1" applyFont="1" applyFill="1" applyBorder="1">
      <alignment vertical="center"/>
    </xf>
    <xf numFmtId="187" fontId="118" fillId="3" borderId="50" xfId="0" applyNumberFormat="1" applyFont="1" applyFill="1" applyBorder="1">
      <alignment vertical="center"/>
    </xf>
    <xf numFmtId="187" fontId="128" fillId="4" borderId="17" xfId="0" applyNumberFormat="1" applyFont="1" applyFill="1" applyBorder="1" applyAlignment="1">
      <alignment horizontal="center" vertical="center"/>
    </xf>
    <xf numFmtId="187" fontId="118" fillId="3" borderId="55" xfId="0" applyNumberFormat="1" applyFont="1" applyFill="1" applyBorder="1">
      <alignment vertical="center"/>
    </xf>
    <xf numFmtId="187" fontId="118" fillId="3" borderId="86" xfId="0" applyNumberFormat="1" applyFont="1" applyFill="1" applyBorder="1">
      <alignment vertical="center"/>
    </xf>
    <xf numFmtId="41" fontId="118" fillId="4" borderId="76" xfId="0" applyNumberFormat="1" applyFont="1" applyFill="1" applyBorder="1">
      <alignment vertical="center"/>
    </xf>
    <xf numFmtId="181" fontId="118" fillId="3" borderId="17" xfId="0" applyNumberFormat="1" applyFont="1" applyFill="1" applyBorder="1">
      <alignment vertical="center"/>
    </xf>
    <xf numFmtId="181" fontId="128" fillId="4" borderId="91" xfId="0" applyNumberFormat="1" applyFont="1" applyFill="1" applyBorder="1">
      <alignment vertical="center"/>
    </xf>
    <xf numFmtId="181" fontId="118" fillId="3" borderId="0" xfId="0" applyNumberFormat="1" applyFont="1" applyFill="1">
      <alignment vertical="center"/>
    </xf>
    <xf numFmtId="181" fontId="118" fillId="3" borderId="85" xfId="0" applyNumberFormat="1" applyFont="1" applyFill="1" applyBorder="1">
      <alignment vertical="center"/>
    </xf>
    <xf numFmtId="41" fontId="118" fillId="0" borderId="85" xfId="0" applyNumberFormat="1" applyFont="1" applyBorder="1">
      <alignment vertical="center"/>
    </xf>
    <xf numFmtId="41" fontId="118" fillId="3" borderId="36" xfId="0" applyNumberFormat="1" applyFont="1" applyFill="1" applyBorder="1">
      <alignment vertical="center"/>
    </xf>
    <xf numFmtId="41" fontId="128" fillId="4" borderId="73" xfId="0" applyNumberFormat="1" applyFont="1" applyFill="1" applyBorder="1">
      <alignment vertical="center"/>
    </xf>
    <xf numFmtId="0" fontId="118" fillId="4" borderId="15" xfId="0" applyFont="1" applyFill="1" applyBorder="1" applyAlignment="1">
      <alignment horizontal="center" vertical="center"/>
    </xf>
    <xf numFmtId="41" fontId="118" fillId="10" borderId="15" xfId="0" applyNumberFormat="1" applyFont="1" applyFill="1" applyBorder="1" applyAlignment="1">
      <alignment horizontal="center" vertical="center"/>
    </xf>
    <xf numFmtId="41" fontId="118" fillId="4" borderId="73" xfId="0" applyNumberFormat="1" applyFont="1" applyFill="1" applyBorder="1" applyAlignment="1">
      <alignment horizontal="center" vertical="center"/>
    </xf>
    <xf numFmtId="181" fontId="118" fillId="10" borderId="0" xfId="0" applyNumberFormat="1" applyFont="1" applyFill="1">
      <alignment vertical="center"/>
    </xf>
    <xf numFmtId="181" fontId="118" fillId="10" borderId="85" xfId="0" applyNumberFormat="1" applyFont="1" applyFill="1" applyBorder="1">
      <alignment vertical="center"/>
    </xf>
    <xf numFmtId="41" fontId="118" fillId="10" borderId="85" xfId="0" applyNumberFormat="1" applyFont="1" applyFill="1" applyBorder="1">
      <alignment vertical="center"/>
    </xf>
    <xf numFmtId="41" fontId="128" fillId="10" borderId="36" xfId="0" applyNumberFormat="1" applyFont="1" applyFill="1" applyBorder="1">
      <alignment vertical="center"/>
    </xf>
    <xf numFmtId="41" fontId="128" fillId="10" borderId="39" xfId="0" applyNumberFormat="1" applyFont="1" applyFill="1" applyBorder="1">
      <alignment vertical="center"/>
    </xf>
    <xf numFmtId="41" fontId="118" fillId="3" borderId="58" xfId="0" applyNumberFormat="1" applyFont="1" applyFill="1" applyBorder="1">
      <alignment vertical="center"/>
    </xf>
    <xf numFmtId="41" fontId="118" fillId="3" borderId="61" xfId="0" applyNumberFormat="1" applyFont="1" applyFill="1" applyBorder="1">
      <alignment vertical="center"/>
    </xf>
    <xf numFmtId="41" fontId="128" fillId="3" borderId="78" xfId="0" applyNumberFormat="1" applyFont="1" applyFill="1" applyBorder="1">
      <alignment vertical="center"/>
    </xf>
    <xf numFmtId="41" fontId="118" fillId="4" borderId="78" xfId="0" applyNumberFormat="1" applyFont="1" applyFill="1" applyBorder="1">
      <alignment vertical="center"/>
    </xf>
    <xf numFmtId="41" fontId="128" fillId="3" borderId="17" xfId="0" applyNumberFormat="1" applyFont="1" applyFill="1" applyBorder="1" applyAlignment="1">
      <alignment horizontal="right" vertical="center"/>
    </xf>
    <xf numFmtId="41" fontId="118" fillId="0" borderId="27" xfId="0" applyNumberFormat="1" applyFont="1" applyBorder="1" applyAlignment="1">
      <alignment horizontal="right" vertical="center"/>
    </xf>
    <xf numFmtId="41" fontId="118" fillId="3" borderId="198" xfId="0" applyNumberFormat="1" applyFont="1" applyFill="1" applyBorder="1" applyAlignment="1">
      <alignment horizontal="right" vertical="center"/>
    </xf>
    <xf numFmtId="41" fontId="118" fillId="3" borderId="21" xfId="0" applyNumberFormat="1" applyFont="1" applyFill="1" applyBorder="1" applyAlignment="1">
      <alignment horizontal="right" vertical="center"/>
    </xf>
    <xf numFmtId="41" fontId="118" fillId="3" borderId="122" xfId="0" applyNumberFormat="1" applyFont="1" applyFill="1" applyBorder="1" applyAlignment="1">
      <alignment horizontal="right" vertical="center"/>
    </xf>
    <xf numFmtId="41" fontId="118" fillId="3" borderId="150" xfId="0" applyNumberFormat="1" applyFont="1" applyFill="1" applyBorder="1" applyAlignment="1">
      <alignment horizontal="right" vertical="center"/>
    </xf>
    <xf numFmtId="41" fontId="128" fillId="4" borderId="13" xfId="0" applyNumberFormat="1" applyFont="1" applyFill="1" applyBorder="1">
      <alignment vertical="center"/>
    </xf>
    <xf numFmtId="41" fontId="204" fillId="4" borderId="17" xfId="0" applyNumberFormat="1" applyFont="1" applyFill="1" applyBorder="1">
      <alignment vertical="center"/>
    </xf>
    <xf numFmtId="41" fontId="128" fillId="0" borderId="0" xfId="0" applyNumberFormat="1" applyFont="1">
      <alignment vertical="center"/>
    </xf>
    <xf numFmtId="41" fontId="128" fillId="4" borderId="40" xfId="0" applyNumberFormat="1" applyFont="1" applyFill="1" applyBorder="1">
      <alignment vertical="center"/>
    </xf>
    <xf numFmtId="185" fontId="118" fillId="3" borderId="10" xfId="0" applyNumberFormat="1" applyFont="1" applyFill="1" applyBorder="1">
      <alignment vertical="center"/>
    </xf>
    <xf numFmtId="185" fontId="118" fillId="10" borderId="45" xfId="0" applyNumberFormat="1" applyFont="1" applyFill="1" applyBorder="1">
      <alignment vertical="center"/>
    </xf>
    <xf numFmtId="41" fontId="204" fillId="3" borderId="0" xfId="0" applyNumberFormat="1" applyFont="1" applyFill="1">
      <alignment vertical="center"/>
    </xf>
    <xf numFmtId="41" fontId="118" fillId="10" borderId="50" xfId="0" applyNumberFormat="1" applyFont="1" applyFill="1" applyBorder="1">
      <alignment vertical="center"/>
    </xf>
    <xf numFmtId="41" fontId="128" fillId="4" borderId="72" xfId="0" applyNumberFormat="1" applyFont="1" applyFill="1" applyBorder="1">
      <alignment vertical="center"/>
    </xf>
    <xf numFmtId="185" fontId="118" fillId="10" borderId="35" xfId="0" applyNumberFormat="1" applyFont="1" applyFill="1" applyBorder="1">
      <alignment vertical="center"/>
    </xf>
    <xf numFmtId="41" fontId="128" fillId="4" borderId="56" xfId="0" applyNumberFormat="1" applyFont="1" applyFill="1" applyBorder="1">
      <alignment vertical="center"/>
    </xf>
    <xf numFmtId="41" fontId="118" fillId="10" borderId="21" xfId="0" applyNumberFormat="1" applyFont="1" applyFill="1" applyBorder="1">
      <alignment vertical="center"/>
    </xf>
    <xf numFmtId="41" fontId="128" fillId="4" borderId="15" xfId="0" applyNumberFormat="1" applyFont="1" applyFill="1" applyBorder="1" applyAlignment="1">
      <alignment vertical="center" shrinkToFit="1"/>
    </xf>
    <xf numFmtId="0" fontId="116" fillId="26" borderId="0" xfId="0" applyFont="1" applyFill="1" applyAlignment="1">
      <alignment horizontal="right" vertical="center"/>
    </xf>
    <xf numFmtId="41" fontId="118" fillId="3" borderId="50" xfId="0" applyNumberFormat="1" applyFont="1" applyFill="1" applyBorder="1">
      <alignment vertical="center"/>
    </xf>
    <xf numFmtId="41" fontId="118" fillId="3" borderId="107" xfId="0" applyNumberFormat="1" applyFont="1" applyFill="1" applyBorder="1">
      <alignment vertical="center"/>
    </xf>
    <xf numFmtId="41" fontId="128" fillId="4" borderId="6" xfId="0" applyNumberFormat="1" applyFont="1" applyFill="1" applyBorder="1">
      <alignment vertical="center"/>
    </xf>
    <xf numFmtId="41" fontId="118" fillId="3" borderId="85" xfId="0" applyNumberFormat="1" applyFont="1" applyFill="1" applyBorder="1">
      <alignment vertical="center"/>
    </xf>
    <xf numFmtId="41" fontId="118" fillId="3" borderId="115" xfId="0" applyNumberFormat="1" applyFont="1" applyFill="1" applyBorder="1">
      <alignment vertical="center"/>
    </xf>
    <xf numFmtId="41" fontId="118" fillId="3" borderId="114" xfId="0" applyNumberFormat="1" applyFont="1" applyFill="1" applyBorder="1">
      <alignment vertical="center"/>
    </xf>
    <xf numFmtId="41" fontId="118" fillId="3" borderId="197" xfId="0" applyNumberFormat="1" applyFont="1" applyFill="1" applyBorder="1">
      <alignment vertical="center"/>
    </xf>
    <xf numFmtId="181" fontId="118" fillId="3" borderId="58" xfId="0" applyNumberFormat="1" applyFont="1" applyFill="1" applyBorder="1">
      <alignment vertical="center"/>
    </xf>
    <xf numFmtId="181" fontId="118" fillId="3" borderId="21" xfId="0" applyNumberFormat="1" applyFont="1" applyFill="1" applyBorder="1">
      <alignment vertical="center"/>
    </xf>
    <xf numFmtId="41" fontId="118" fillId="3" borderId="38" xfId="0" applyNumberFormat="1" applyFont="1" applyFill="1" applyBorder="1">
      <alignment vertical="center"/>
    </xf>
    <xf numFmtId="41" fontId="118" fillId="3" borderId="123" xfId="0" applyNumberFormat="1" applyFont="1" applyFill="1" applyBorder="1">
      <alignment vertical="center"/>
    </xf>
    <xf numFmtId="41" fontId="118" fillId="3" borderId="122" xfId="0" applyNumberFormat="1" applyFont="1" applyFill="1" applyBorder="1">
      <alignment vertical="center"/>
    </xf>
    <xf numFmtId="41" fontId="118" fillId="3" borderId="198" xfId="0" applyNumberFormat="1" applyFont="1" applyFill="1" applyBorder="1">
      <alignment vertical="center"/>
    </xf>
    <xf numFmtId="182" fontId="128" fillId="8" borderId="58" xfId="0" applyNumberFormat="1" applyFont="1" applyFill="1" applyBorder="1">
      <alignment vertical="center"/>
    </xf>
    <xf numFmtId="182" fontId="128" fillId="8" borderId="78" xfId="0" applyNumberFormat="1" applyFont="1" applyFill="1" applyBorder="1">
      <alignment vertical="center"/>
    </xf>
    <xf numFmtId="195" fontId="118" fillId="3" borderId="0" xfId="0" applyNumberFormat="1" applyFont="1" applyFill="1">
      <alignment vertical="center"/>
    </xf>
    <xf numFmtId="193" fontId="118" fillId="3" borderId="58" xfId="0" applyNumberFormat="1" applyFont="1" applyFill="1" applyBorder="1">
      <alignment vertical="center"/>
    </xf>
    <xf numFmtId="193" fontId="118" fillId="3" borderId="55" xfId="0" applyNumberFormat="1" applyFont="1" applyFill="1" applyBorder="1">
      <alignment vertical="center"/>
    </xf>
    <xf numFmtId="193" fontId="118" fillId="3" borderId="35" xfId="0" applyNumberFormat="1" applyFont="1" applyFill="1" applyBorder="1">
      <alignment vertical="center"/>
    </xf>
    <xf numFmtId="195" fontId="118" fillId="3" borderId="55" xfId="0" applyNumberFormat="1" applyFont="1" applyFill="1" applyBorder="1">
      <alignment vertical="center"/>
    </xf>
    <xf numFmtId="193" fontId="128" fillId="4" borderId="12" xfId="0" applyNumberFormat="1" applyFont="1" applyFill="1" applyBorder="1">
      <alignment vertical="center"/>
    </xf>
    <xf numFmtId="193" fontId="118" fillId="3" borderId="85" xfId="0" applyNumberFormat="1" applyFont="1" applyFill="1" applyBorder="1">
      <alignment vertical="center"/>
    </xf>
    <xf numFmtId="193" fontId="118" fillId="3" borderId="0" xfId="0" applyNumberFormat="1" applyFont="1" applyFill="1">
      <alignment vertical="center"/>
    </xf>
    <xf numFmtId="193" fontId="118" fillId="3" borderId="115" xfId="0" applyNumberFormat="1" applyFont="1" applyFill="1" applyBorder="1">
      <alignment vertical="center"/>
    </xf>
    <xf numFmtId="193" fontId="118" fillId="3" borderId="114" xfId="0" applyNumberFormat="1" applyFont="1" applyFill="1" applyBorder="1">
      <alignment vertical="center"/>
    </xf>
    <xf numFmtId="193" fontId="118" fillId="3" borderId="107" xfId="0" applyNumberFormat="1" applyFont="1" applyFill="1" applyBorder="1">
      <alignment vertical="center"/>
    </xf>
    <xf numFmtId="193" fontId="118" fillId="0" borderId="0" xfId="0" applyNumberFormat="1" applyFont="1">
      <alignment vertical="center"/>
    </xf>
    <xf numFmtId="193" fontId="118" fillId="0" borderId="114" xfId="0" applyNumberFormat="1" applyFont="1" applyBorder="1">
      <alignment vertical="center"/>
    </xf>
    <xf numFmtId="193" fontId="118" fillId="3" borderId="197" xfId="0" applyNumberFormat="1" applyFont="1" applyFill="1" applyBorder="1">
      <alignment vertical="center"/>
    </xf>
    <xf numFmtId="193" fontId="128" fillId="4" borderId="28" xfId="0" applyNumberFormat="1" applyFont="1" applyFill="1" applyBorder="1">
      <alignment vertical="center"/>
    </xf>
    <xf numFmtId="195" fontId="128" fillId="4" borderId="17" xfId="0" applyNumberFormat="1" applyFont="1" applyFill="1" applyBorder="1">
      <alignment vertical="center"/>
    </xf>
    <xf numFmtId="208" fontId="128" fillId="4" borderId="58" xfId="0" applyNumberFormat="1" applyFont="1" applyFill="1" applyBorder="1">
      <alignment vertical="center"/>
    </xf>
    <xf numFmtId="208" fontId="128" fillId="4" borderId="78" xfId="0" applyNumberFormat="1" applyFont="1" applyFill="1" applyBorder="1">
      <alignment vertical="center"/>
    </xf>
    <xf numFmtId="195" fontId="128" fillId="3" borderId="0" xfId="0" applyNumberFormat="1" applyFont="1" applyFill="1">
      <alignment vertical="center"/>
    </xf>
    <xf numFmtId="200" fontId="118" fillId="3" borderId="58" xfId="0" applyNumberFormat="1" applyFont="1" applyFill="1" applyBorder="1">
      <alignment vertical="center"/>
    </xf>
    <xf numFmtId="200" fontId="118" fillId="3" borderId="55" xfId="0" applyNumberFormat="1" applyFont="1" applyFill="1" applyBorder="1">
      <alignment vertical="center"/>
    </xf>
    <xf numFmtId="200" fontId="128" fillId="3" borderId="88" xfId="0" applyNumberFormat="1" applyFont="1" applyFill="1" applyBorder="1">
      <alignment vertical="center"/>
    </xf>
    <xf numFmtId="200" fontId="118" fillId="3" borderId="86" xfId="0" applyNumberFormat="1" applyFont="1" applyFill="1" applyBorder="1">
      <alignment vertical="center"/>
    </xf>
    <xf numFmtId="200" fontId="128" fillId="3" borderId="55" xfId="0" applyNumberFormat="1" applyFont="1" applyFill="1" applyBorder="1">
      <alignment vertical="center"/>
    </xf>
    <xf numFmtId="200" fontId="128" fillId="4" borderId="12" xfId="0" applyNumberFormat="1" applyFont="1" applyFill="1" applyBorder="1">
      <alignment vertical="center"/>
    </xf>
    <xf numFmtId="200" fontId="118" fillId="0" borderId="58" xfId="0" applyNumberFormat="1" applyFont="1" applyBorder="1">
      <alignment vertical="center"/>
    </xf>
    <xf numFmtId="200" fontId="118" fillId="0" borderId="55" xfId="0" applyNumberFormat="1" applyFont="1" applyBorder="1">
      <alignment vertical="center"/>
    </xf>
    <xf numFmtId="200" fontId="128" fillId="0" borderId="55" xfId="0" applyNumberFormat="1" applyFont="1" applyBorder="1">
      <alignment vertical="center"/>
    </xf>
    <xf numFmtId="200" fontId="128" fillId="3" borderId="86" xfId="0" applyNumberFormat="1" applyFont="1" applyFill="1" applyBorder="1">
      <alignment vertical="center"/>
    </xf>
    <xf numFmtId="200" fontId="128" fillId="0" borderId="78" xfId="0" applyNumberFormat="1" applyFont="1" applyBorder="1">
      <alignment vertical="center"/>
    </xf>
    <xf numFmtId="200" fontId="128" fillId="3" borderId="13" xfId="0" applyNumberFormat="1" applyFont="1" applyFill="1" applyBorder="1">
      <alignment vertical="center"/>
    </xf>
    <xf numFmtId="200" fontId="128" fillId="0" borderId="13" xfId="0" applyNumberFormat="1" applyFont="1" applyBorder="1">
      <alignment vertical="center"/>
    </xf>
    <xf numFmtId="217" fontId="118" fillId="3" borderId="55" xfId="0" applyNumberFormat="1" applyFont="1" applyFill="1" applyBorder="1">
      <alignment vertical="center"/>
    </xf>
    <xf numFmtId="187" fontId="118" fillId="3" borderId="35" xfId="0" applyNumberFormat="1" applyFont="1" applyFill="1" applyBorder="1">
      <alignment vertical="center"/>
    </xf>
    <xf numFmtId="196" fontId="118" fillId="3" borderId="55" xfId="0" applyNumberFormat="1" applyFont="1" applyFill="1" applyBorder="1">
      <alignment vertical="center"/>
    </xf>
    <xf numFmtId="41" fontId="118" fillId="0" borderId="1" xfId="0" applyNumberFormat="1" applyFont="1" applyBorder="1">
      <alignment vertical="center"/>
    </xf>
    <xf numFmtId="196" fontId="118" fillId="3" borderId="64" xfId="0" applyNumberFormat="1" applyFont="1" applyFill="1" applyBorder="1">
      <alignment vertical="center"/>
    </xf>
    <xf numFmtId="196" fontId="118" fillId="3" borderId="86" xfId="0" applyNumberFormat="1" applyFont="1" applyFill="1" applyBorder="1">
      <alignment vertical="center"/>
    </xf>
    <xf numFmtId="196" fontId="118" fillId="3" borderId="88" xfId="0" applyNumberFormat="1" applyFont="1" applyFill="1" applyBorder="1">
      <alignment vertical="center"/>
    </xf>
    <xf numFmtId="196" fontId="118" fillId="3" borderId="12" xfId="0" applyNumberFormat="1" applyFont="1" applyFill="1" applyBorder="1">
      <alignment vertical="center"/>
    </xf>
    <xf numFmtId="196" fontId="118" fillId="3" borderId="35" xfId="0" applyNumberFormat="1" applyFont="1" applyFill="1" applyBorder="1">
      <alignment vertical="center"/>
    </xf>
    <xf numFmtId="41" fontId="128" fillId="4" borderId="28" xfId="0" applyNumberFormat="1" applyFont="1" applyFill="1" applyBorder="1">
      <alignment vertical="center"/>
    </xf>
    <xf numFmtId="196" fontId="118" fillId="3" borderId="128" xfId="0" applyNumberFormat="1" applyFont="1" applyFill="1" applyBorder="1">
      <alignment vertical="center"/>
    </xf>
    <xf numFmtId="41" fontId="128" fillId="3" borderId="35" xfId="0" applyNumberFormat="1" applyFont="1" applyFill="1" applyBorder="1">
      <alignment vertical="center"/>
    </xf>
    <xf numFmtId="193" fontId="128" fillId="3" borderId="12" xfId="0" applyNumberFormat="1" applyFont="1" applyFill="1" applyBorder="1">
      <alignment vertical="center"/>
    </xf>
    <xf numFmtId="193" fontId="128" fillId="4" borderId="17" xfId="0" applyNumberFormat="1" applyFont="1" applyFill="1" applyBorder="1">
      <alignment vertical="center"/>
    </xf>
    <xf numFmtId="41" fontId="118" fillId="0" borderId="21" xfId="0" applyNumberFormat="1" applyFont="1" applyBorder="1">
      <alignment vertical="center"/>
    </xf>
    <xf numFmtId="187" fontId="128" fillId="4" borderId="78" xfId="0" applyNumberFormat="1" applyFont="1" applyFill="1" applyBorder="1">
      <alignment vertical="center"/>
    </xf>
    <xf numFmtId="187" fontId="128" fillId="0" borderId="0" xfId="0" applyNumberFormat="1" applyFont="1">
      <alignment vertical="center"/>
    </xf>
    <xf numFmtId="182" fontId="118" fillId="0" borderId="21" xfId="0" applyNumberFormat="1" applyFont="1" applyBorder="1">
      <alignment vertical="center"/>
    </xf>
    <xf numFmtId="182" fontId="128" fillId="4" borderId="78" xfId="0" applyNumberFormat="1" applyFont="1" applyFill="1" applyBorder="1">
      <alignment vertical="center"/>
    </xf>
    <xf numFmtId="41" fontId="128" fillId="4" borderId="17" xfId="0" applyNumberFormat="1" applyFont="1" applyFill="1" applyBorder="1" applyAlignment="1">
      <alignment horizontal="center" vertical="center"/>
    </xf>
    <xf numFmtId="41" fontId="118" fillId="0" borderId="55" xfId="0" applyNumberFormat="1" applyFont="1" applyBorder="1">
      <alignment vertical="center"/>
    </xf>
    <xf numFmtId="41" fontId="118" fillId="0" borderId="35" xfId="0" applyNumberFormat="1" applyFont="1" applyBorder="1">
      <alignment vertical="center"/>
    </xf>
    <xf numFmtId="41" fontId="128" fillId="4" borderId="64" xfId="0" applyNumberFormat="1" applyFont="1" applyFill="1" applyBorder="1">
      <alignment vertical="center"/>
    </xf>
    <xf numFmtId="41" fontId="128" fillId="0" borderId="55" xfId="0" applyNumberFormat="1" applyFont="1" applyBorder="1" applyAlignment="1">
      <alignment horizontal="center" vertical="center"/>
    </xf>
    <xf numFmtId="41" fontId="128" fillId="0" borderId="64" xfId="0" applyNumberFormat="1" applyFont="1" applyBorder="1" applyAlignment="1">
      <alignment horizontal="center" vertical="center"/>
    </xf>
    <xf numFmtId="41" fontId="118" fillId="3" borderId="86" xfId="0" applyNumberFormat="1" applyFont="1" applyFill="1" applyBorder="1">
      <alignment vertical="center"/>
    </xf>
    <xf numFmtId="41" fontId="128" fillId="3" borderId="55" xfId="0" applyNumberFormat="1" applyFont="1" applyFill="1" applyBorder="1">
      <alignment vertical="center"/>
    </xf>
    <xf numFmtId="41" fontId="118" fillId="3" borderId="17" xfId="0" applyNumberFormat="1" applyFont="1" applyFill="1" applyBorder="1">
      <alignment vertical="center"/>
    </xf>
    <xf numFmtId="41" fontId="118" fillId="10" borderId="78" xfId="0" applyNumberFormat="1" applyFont="1" applyFill="1" applyBorder="1">
      <alignment vertical="center"/>
    </xf>
    <xf numFmtId="41" fontId="118" fillId="10" borderId="13" xfId="0" applyNumberFormat="1" applyFont="1" applyFill="1" applyBorder="1">
      <alignment vertical="center"/>
    </xf>
    <xf numFmtId="41" fontId="128" fillId="4" borderId="67" xfId="0" applyNumberFormat="1" applyFont="1" applyFill="1" applyBorder="1" applyAlignment="1">
      <alignment horizontal="center" vertical="center"/>
    </xf>
    <xf numFmtId="41" fontId="118" fillId="10" borderId="17" xfId="0" applyNumberFormat="1" applyFont="1" applyFill="1" applyBorder="1">
      <alignment vertical="center"/>
    </xf>
    <xf numFmtId="0" fontId="128" fillId="4" borderId="67" xfId="0" applyFont="1" applyFill="1" applyBorder="1" applyAlignment="1">
      <alignment horizontal="center" vertical="center"/>
    </xf>
    <xf numFmtId="41" fontId="118" fillId="29" borderId="23" xfId="0" applyNumberFormat="1" applyFont="1" applyFill="1" applyBorder="1">
      <alignment vertical="center"/>
    </xf>
    <xf numFmtId="41" fontId="118" fillId="42" borderId="126" xfId="0" applyNumberFormat="1" applyFont="1" applyFill="1" applyBorder="1">
      <alignment vertical="center"/>
    </xf>
    <xf numFmtId="41" fontId="118" fillId="42" borderId="115" xfId="0" applyNumberFormat="1" applyFont="1" applyFill="1" applyBorder="1">
      <alignment vertical="center"/>
    </xf>
    <xf numFmtId="41" fontId="118" fillId="29" borderId="121" xfId="0" applyNumberFormat="1" applyFont="1" applyFill="1" applyBorder="1">
      <alignment vertical="center"/>
    </xf>
    <xf numFmtId="41" fontId="118" fillId="24" borderId="126" xfId="0" applyNumberFormat="1" applyFont="1" applyFill="1" applyBorder="1">
      <alignment vertical="center"/>
    </xf>
    <xf numFmtId="41" fontId="128" fillId="21" borderId="67" xfId="0" applyNumberFormat="1" applyFont="1" applyFill="1" applyBorder="1">
      <alignment vertical="center"/>
    </xf>
    <xf numFmtId="0" fontId="118" fillId="0" borderId="0" xfId="0" applyFont="1" applyAlignment="1">
      <alignment horizontal="right" vertical="center"/>
    </xf>
    <xf numFmtId="187" fontId="118" fillId="3" borderId="58" xfId="0" applyNumberFormat="1" applyFont="1" applyFill="1" applyBorder="1" applyAlignment="1">
      <alignment horizontal="center" vertical="center"/>
    </xf>
    <xf numFmtId="185" fontId="128" fillId="4" borderId="17" xfId="0" applyNumberFormat="1" applyFont="1" applyFill="1" applyBorder="1">
      <alignment vertical="center"/>
    </xf>
    <xf numFmtId="185" fontId="128" fillId="0" borderId="0" xfId="0" applyNumberFormat="1" applyFont="1">
      <alignment vertical="center"/>
    </xf>
    <xf numFmtId="0" fontId="128" fillId="0" borderId="0" xfId="0" applyFont="1">
      <alignment vertical="center"/>
    </xf>
    <xf numFmtId="41" fontId="118" fillId="2" borderId="55" xfId="0" applyNumberFormat="1" applyFont="1" applyFill="1" applyBorder="1">
      <alignment vertical="center"/>
    </xf>
    <xf numFmtId="41" fontId="118" fillId="2" borderId="86" xfId="0" applyNumberFormat="1" applyFont="1" applyFill="1" applyBorder="1">
      <alignment vertical="center"/>
    </xf>
    <xf numFmtId="41" fontId="118" fillId="2" borderId="88" xfId="0" applyNumberFormat="1" applyFont="1" applyFill="1" applyBorder="1">
      <alignment vertical="center"/>
    </xf>
    <xf numFmtId="41" fontId="118" fillId="2" borderId="55" xfId="0" applyNumberFormat="1" applyFont="1" applyFill="1" applyBorder="1" applyAlignment="1">
      <alignment horizontal="center" vertical="center"/>
    </xf>
    <xf numFmtId="41" fontId="128" fillId="13" borderId="17" xfId="0" applyNumberFormat="1" applyFont="1" applyFill="1" applyBorder="1">
      <alignment vertical="center"/>
    </xf>
    <xf numFmtId="41" fontId="205" fillId="3" borderId="0" xfId="0" applyNumberFormat="1" applyFont="1" applyFill="1">
      <alignment vertical="center"/>
    </xf>
    <xf numFmtId="41" fontId="128" fillId="3" borderId="45" xfId="0" applyNumberFormat="1" applyFont="1" applyFill="1" applyBorder="1">
      <alignment vertical="center"/>
    </xf>
    <xf numFmtId="41" fontId="128" fillId="10" borderId="17" xfId="0" applyNumberFormat="1" applyFont="1" applyFill="1" applyBorder="1">
      <alignment vertical="center"/>
    </xf>
    <xf numFmtId="41" fontId="116" fillId="3" borderId="67" xfId="0" applyNumberFormat="1" applyFont="1" applyFill="1" applyBorder="1">
      <alignment vertical="center"/>
    </xf>
    <xf numFmtId="194" fontId="116" fillId="3" borderId="18" xfId="0" applyNumberFormat="1" applyFont="1" applyFill="1" applyBorder="1" applyAlignment="1">
      <alignment horizontal="center" vertical="center"/>
    </xf>
    <xf numFmtId="41" fontId="116" fillId="3" borderId="29" xfId="0" applyNumberFormat="1" applyFont="1" applyFill="1" applyBorder="1">
      <alignment vertical="center"/>
    </xf>
    <xf numFmtId="41" fontId="84" fillId="4" borderId="9" xfId="0" applyNumberFormat="1" applyFont="1" applyFill="1" applyBorder="1" applyAlignment="1">
      <alignment vertical="top"/>
    </xf>
    <xf numFmtId="41" fontId="84" fillId="2" borderId="10" xfId="0" applyNumberFormat="1" applyFont="1" applyFill="1" applyBorder="1">
      <alignment vertical="center"/>
    </xf>
    <xf numFmtId="193" fontId="128" fillId="0" borderId="0" xfId="0" applyNumberFormat="1" applyFont="1">
      <alignment vertical="center"/>
    </xf>
    <xf numFmtId="193" fontId="116" fillId="0" borderId="0" xfId="0" applyNumberFormat="1" applyFont="1">
      <alignment vertical="center"/>
    </xf>
    <xf numFmtId="193" fontId="116" fillId="3" borderId="196" xfId="0" applyNumberFormat="1" applyFont="1" applyFill="1" applyBorder="1">
      <alignment vertical="center"/>
    </xf>
    <xf numFmtId="187" fontId="93" fillId="4" borderId="0" xfId="0" applyNumberFormat="1" applyFont="1" applyFill="1" applyAlignment="1">
      <alignment horizontal="center" vertical="center"/>
    </xf>
    <xf numFmtId="200" fontId="128" fillId="0" borderId="0" xfId="0" applyNumberFormat="1" applyFont="1">
      <alignment vertical="center"/>
    </xf>
    <xf numFmtId="200" fontId="116" fillId="0" borderId="0" xfId="0" applyNumberFormat="1" applyFont="1">
      <alignment vertical="center"/>
    </xf>
    <xf numFmtId="197" fontId="116" fillId="0" borderId="0" xfId="0" applyNumberFormat="1" applyFont="1">
      <alignment vertical="center"/>
    </xf>
    <xf numFmtId="0" fontId="84" fillId="4" borderId="82" xfId="0" applyFont="1" applyFill="1" applyBorder="1">
      <alignment vertical="center"/>
    </xf>
    <xf numFmtId="0" fontId="84" fillId="4" borderId="7" xfId="0" applyFont="1" applyFill="1" applyBorder="1">
      <alignment vertical="center"/>
    </xf>
    <xf numFmtId="0" fontId="111" fillId="4" borderId="77" xfId="0" applyFont="1" applyFill="1" applyBorder="1" applyAlignment="1">
      <alignment horizontal="center" vertical="center"/>
    </xf>
    <xf numFmtId="41" fontId="84" fillId="4" borderId="196" xfId="0" applyNumberFormat="1" applyFont="1" applyFill="1" applyBorder="1" applyAlignment="1">
      <alignment horizontal="left" vertical="center"/>
    </xf>
    <xf numFmtId="0" fontId="124" fillId="4" borderId="18" xfId="0" applyFont="1" applyFill="1" applyBorder="1" applyAlignment="1">
      <alignment horizontal="center" vertical="center"/>
    </xf>
    <xf numFmtId="0" fontId="84" fillId="4" borderId="52" xfId="0" applyFont="1" applyFill="1" applyBorder="1">
      <alignment vertical="center"/>
    </xf>
    <xf numFmtId="0" fontId="84" fillId="4" borderId="3" xfId="0" applyFont="1" applyFill="1" applyBorder="1">
      <alignment vertical="center"/>
    </xf>
    <xf numFmtId="0" fontId="84" fillId="4" borderId="159" xfId="0" applyFont="1" applyFill="1" applyBorder="1">
      <alignment vertical="center"/>
    </xf>
    <xf numFmtId="180" fontId="108" fillId="4" borderId="18" xfId="0" applyNumberFormat="1" applyFont="1" applyFill="1" applyBorder="1">
      <alignment vertical="center"/>
    </xf>
    <xf numFmtId="41" fontId="84" fillId="4" borderId="52" xfId="0" applyNumberFormat="1" applyFont="1" applyFill="1" applyBorder="1" applyAlignment="1">
      <alignment horizontal="left" vertical="center"/>
    </xf>
    <xf numFmtId="41" fontId="84" fillId="4" borderId="159" xfId="0" applyNumberFormat="1" applyFont="1" applyFill="1" applyBorder="1" applyAlignment="1">
      <alignment horizontal="left" vertical="center"/>
    </xf>
    <xf numFmtId="41" fontId="84" fillId="4" borderId="18" xfId="0" applyNumberFormat="1" applyFont="1" applyFill="1" applyBorder="1" applyAlignment="1">
      <alignment horizontal="left" vertical="center"/>
    </xf>
    <xf numFmtId="41" fontId="116" fillId="4" borderId="1" xfId="0" applyNumberFormat="1" applyFont="1" applyFill="1" applyBorder="1" applyAlignment="1">
      <alignment horizontal="left" vertical="center" indent="1"/>
    </xf>
    <xf numFmtId="182" fontId="108" fillId="4" borderId="65" xfId="0" applyNumberFormat="1" applyFont="1" applyFill="1" applyBorder="1" applyAlignment="1">
      <alignment horizontal="center" vertical="center"/>
    </xf>
    <xf numFmtId="41" fontId="84" fillId="4" borderId="160" xfId="0" applyNumberFormat="1" applyFont="1" applyFill="1" applyBorder="1" applyAlignment="1">
      <alignment horizontal="left" vertical="center"/>
    </xf>
    <xf numFmtId="10" fontId="118" fillId="0" borderId="21" xfId="0" applyNumberFormat="1" applyFont="1" applyBorder="1">
      <alignment vertical="center"/>
    </xf>
    <xf numFmtId="9" fontId="118" fillId="4" borderId="17" xfId="0" applyNumberFormat="1" applyFont="1" applyFill="1" applyBorder="1" applyAlignment="1">
      <alignment horizontal="right" vertical="center"/>
    </xf>
    <xf numFmtId="41" fontId="118" fillId="3" borderId="194" xfId="0" applyNumberFormat="1" applyFont="1" applyFill="1" applyBorder="1" applyAlignment="1">
      <alignment vertical="center" shrinkToFit="1"/>
    </xf>
    <xf numFmtId="41" fontId="118" fillId="3" borderId="121" xfId="0" applyNumberFormat="1" applyFont="1" applyFill="1" applyBorder="1" applyAlignment="1">
      <alignment vertical="center" shrinkToFit="1"/>
    </xf>
    <xf numFmtId="41" fontId="118" fillId="3" borderId="185" xfId="0" applyNumberFormat="1" applyFont="1" applyFill="1" applyBorder="1" applyAlignment="1">
      <alignment vertical="center" shrinkToFit="1"/>
    </xf>
    <xf numFmtId="0" fontId="116" fillId="31" borderId="11" xfId="0" applyFont="1" applyFill="1" applyBorder="1" applyAlignment="1">
      <alignment horizontal="left" vertical="center" wrapText="1"/>
    </xf>
    <xf numFmtId="194" fontId="116" fillId="31" borderId="11" xfId="0" applyNumberFormat="1" applyFont="1" applyFill="1" applyBorder="1">
      <alignment vertical="center"/>
    </xf>
    <xf numFmtId="0" fontId="116" fillId="31" borderId="120" xfId="0" applyFont="1" applyFill="1" applyBorder="1" applyAlignment="1">
      <alignment horizontal="center" vertical="center"/>
    </xf>
    <xf numFmtId="194" fontId="116" fillId="31" borderId="94" xfId="0" applyNumberFormat="1" applyFont="1" applyFill="1" applyBorder="1" applyAlignment="1">
      <alignment horizontal="center" vertical="center"/>
    </xf>
    <xf numFmtId="0" fontId="86" fillId="21" borderId="202" xfId="0" applyFont="1" applyFill="1" applyBorder="1" applyAlignment="1">
      <alignment horizontal="left" vertical="center"/>
    </xf>
    <xf numFmtId="0" fontId="116" fillId="31" borderId="7" xfId="0" applyFont="1" applyFill="1" applyBorder="1" applyAlignment="1">
      <alignment horizontal="left" vertical="center" wrapText="1"/>
    </xf>
    <xf numFmtId="194" fontId="116" fillId="31" borderId="9" xfId="0" applyNumberFormat="1" applyFont="1" applyFill="1" applyBorder="1">
      <alignment vertical="center"/>
    </xf>
    <xf numFmtId="0" fontId="116" fillId="31" borderId="116" xfId="0" applyFont="1" applyFill="1" applyBorder="1" applyAlignment="1">
      <alignment horizontal="center" vertical="center"/>
    </xf>
    <xf numFmtId="194" fontId="116" fillId="31" borderId="106" xfId="0" applyNumberFormat="1" applyFont="1" applyFill="1" applyBorder="1" applyAlignment="1">
      <alignment horizontal="center" vertical="center"/>
    </xf>
    <xf numFmtId="0" fontId="68" fillId="4" borderId="3" xfId="0" applyFont="1" applyFill="1" applyBorder="1">
      <alignment vertical="center"/>
    </xf>
    <xf numFmtId="41" fontId="120" fillId="32" borderId="115" xfId="0" applyNumberFormat="1" applyFont="1" applyFill="1" applyBorder="1">
      <alignment vertical="center"/>
    </xf>
    <xf numFmtId="41" fontId="120" fillId="32" borderId="11" xfId="0" applyNumberFormat="1" applyFont="1" applyFill="1" applyBorder="1">
      <alignment vertical="center"/>
    </xf>
    <xf numFmtId="41" fontId="120" fillId="32" borderId="126" xfId="0" applyNumberFormat="1" applyFont="1" applyFill="1" applyBorder="1">
      <alignment vertical="center"/>
    </xf>
    <xf numFmtId="41" fontId="120" fillId="32" borderId="123" xfId="0" applyNumberFormat="1" applyFont="1" applyFill="1" applyBorder="1">
      <alignment vertical="center"/>
    </xf>
    <xf numFmtId="41" fontId="120" fillId="32" borderId="119" xfId="0" applyNumberFormat="1" applyFont="1" applyFill="1" applyBorder="1">
      <alignment vertical="center"/>
    </xf>
    <xf numFmtId="41" fontId="120" fillId="32" borderId="54" xfId="0" applyNumberFormat="1" applyFont="1" applyFill="1" applyBorder="1">
      <alignment vertical="center"/>
    </xf>
    <xf numFmtId="41" fontId="120" fillId="32" borderId="121" xfId="0" applyNumberFormat="1" applyFont="1" applyFill="1" applyBorder="1">
      <alignment vertical="center"/>
    </xf>
    <xf numFmtId="41" fontId="120" fillId="32" borderId="3" xfId="0" applyNumberFormat="1" applyFont="1" applyFill="1" applyBorder="1">
      <alignment vertical="center"/>
    </xf>
    <xf numFmtId="41" fontId="120" fillId="32" borderId="7" xfId="0" applyNumberFormat="1" applyFont="1" applyFill="1" applyBorder="1">
      <alignment vertical="center"/>
    </xf>
    <xf numFmtId="41" fontId="120" fillId="32" borderId="22" xfId="0" applyNumberFormat="1" applyFont="1" applyFill="1" applyBorder="1">
      <alignment vertical="center"/>
    </xf>
    <xf numFmtId="41" fontId="118" fillId="32" borderId="115" xfId="0" applyNumberFormat="1" applyFont="1" applyFill="1" applyBorder="1">
      <alignment vertical="center"/>
    </xf>
    <xf numFmtId="41" fontId="84" fillId="32" borderId="11" xfId="0" applyNumberFormat="1" applyFont="1" applyFill="1" applyBorder="1">
      <alignment vertical="center"/>
    </xf>
    <xf numFmtId="41" fontId="84" fillId="32" borderId="22" xfId="0" applyNumberFormat="1" applyFont="1" applyFill="1" applyBorder="1">
      <alignment vertical="center"/>
    </xf>
    <xf numFmtId="41" fontId="84" fillId="32" borderId="115" xfId="0" applyNumberFormat="1" applyFont="1" applyFill="1" applyBorder="1">
      <alignment vertical="center"/>
    </xf>
    <xf numFmtId="41" fontId="84" fillId="32" borderId="123" xfId="0" applyNumberFormat="1" applyFont="1" applyFill="1" applyBorder="1">
      <alignment vertical="center"/>
    </xf>
    <xf numFmtId="41" fontId="84" fillId="32" borderId="119" xfId="0" applyNumberFormat="1" applyFont="1" applyFill="1" applyBorder="1">
      <alignment vertical="center"/>
    </xf>
    <xf numFmtId="41" fontId="84" fillId="32" borderId="54" xfId="0" applyNumberFormat="1" applyFont="1" applyFill="1" applyBorder="1">
      <alignment vertical="center"/>
    </xf>
    <xf numFmtId="41" fontId="84" fillId="32" borderId="120" xfId="0" applyNumberFormat="1" applyFont="1" applyFill="1" applyBorder="1">
      <alignment vertical="center"/>
    </xf>
    <xf numFmtId="41" fontId="84" fillId="32" borderId="79" xfId="0" applyNumberFormat="1" applyFont="1" applyFill="1" applyBorder="1">
      <alignment vertical="center"/>
    </xf>
    <xf numFmtId="41" fontId="84" fillId="32" borderId="3" xfId="0" applyNumberFormat="1" applyFont="1" applyFill="1" applyBorder="1">
      <alignment vertical="center"/>
    </xf>
    <xf numFmtId="41" fontId="118" fillId="32" borderId="87" xfId="0" applyNumberFormat="1" applyFont="1" applyFill="1" applyBorder="1">
      <alignment vertical="center"/>
    </xf>
    <xf numFmtId="41" fontId="84" fillId="32" borderId="131" xfId="0" applyNumberFormat="1" applyFont="1" applyFill="1" applyBorder="1">
      <alignment vertical="center"/>
    </xf>
    <xf numFmtId="41" fontId="84" fillId="32" borderId="129" xfId="0" applyNumberFormat="1" applyFont="1" applyFill="1" applyBorder="1">
      <alignment vertical="center"/>
    </xf>
    <xf numFmtId="41" fontId="84" fillId="32" borderId="4" xfId="0" applyNumberFormat="1" applyFont="1" applyFill="1" applyBorder="1">
      <alignment vertical="center"/>
    </xf>
    <xf numFmtId="41" fontId="84" fillId="32" borderId="132" xfId="0" applyNumberFormat="1" applyFont="1" applyFill="1" applyBorder="1">
      <alignment vertical="center"/>
    </xf>
    <xf numFmtId="0" fontId="68" fillId="26" borderId="9" xfId="0" applyFont="1" applyFill="1" applyBorder="1">
      <alignment vertical="center"/>
    </xf>
    <xf numFmtId="0" fontId="116" fillId="32" borderId="118" xfId="0" applyFont="1" applyFill="1" applyBorder="1" applyAlignment="1">
      <alignment horizontal="left" vertical="center" wrapText="1"/>
    </xf>
    <xf numFmtId="194" fontId="116" fillId="26" borderId="9" xfId="0" applyNumberFormat="1" applyFont="1" applyFill="1" applyBorder="1">
      <alignment vertical="center"/>
    </xf>
    <xf numFmtId="0" fontId="116" fillId="26" borderId="116" xfId="0" applyFont="1" applyFill="1" applyBorder="1" applyAlignment="1">
      <alignment horizontal="center" vertical="center"/>
    </xf>
    <xf numFmtId="194" fontId="116" fillId="26" borderId="106" xfId="0" applyNumberFormat="1" applyFont="1" applyFill="1" applyBorder="1" applyAlignment="1">
      <alignment horizontal="center" vertical="center"/>
    </xf>
    <xf numFmtId="41" fontId="118" fillId="32" borderId="114" xfId="0" applyNumberFormat="1" applyFont="1" applyFill="1" applyBorder="1">
      <alignment vertical="center"/>
    </xf>
    <xf numFmtId="41" fontId="84" fillId="32" borderId="118" xfId="0" applyNumberFormat="1" applyFont="1" applyFill="1" applyBorder="1">
      <alignment vertical="center"/>
    </xf>
    <xf numFmtId="41" fontId="84" fillId="32" borderId="89" xfId="0" applyNumberFormat="1" applyFont="1" applyFill="1" applyBorder="1">
      <alignment vertical="center"/>
    </xf>
    <xf numFmtId="41" fontId="84" fillId="32" borderId="114" xfId="0" applyNumberFormat="1" applyFont="1" applyFill="1" applyBorder="1">
      <alignment vertical="center"/>
    </xf>
    <xf numFmtId="41" fontId="84" fillId="32" borderId="9" xfId="0" applyNumberFormat="1" applyFont="1" applyFill="1" applyBorder="1">
      <alignment vertical="center"/>
    </xf>
    <xf numFmtId="41" fontId="84" fillId="32" borderId="122" xfId="0" applyNumberFormat="1" applyFont="1" applyFill="1" applyBorder="1">
      <alignment vertical="center"/>
    </xf>
    <xf numFmtId="41" fontId="118" fillId="31" borderId="126" xfId="0" applyNumberFormat="1" applyFont="1" applyFill="1" applyBorder="1">
      <alignment vertical="center"/>
    </xf>
    <xf numFmtId="41" fontId="84" fillId="31" borderId="7" xfId="0" applyNumberFormat="1" applyFont="1" applyFill="1" applyBorder="1">
      <alignment vertical="center"/>
    </xf>
    <xf numFmtId="41" fontId="84" fillId="31" borderId="22" xfId="0" applyNumberFormat="1" applyFont="1" applyFill="1" applyBorder="1">
      <alignment vertical="center"/>
    </xf>
    <xf numFmtId="41" fontId="84" fillId="31" borderId="126" xfId="0" applyNumberFormat="1" applyFont="1" applyFill="1" applyBorder="1">
      <alignment vertical="center"/>
    </xf>
    <xf numFmtId="41" fontId="84" fillId="31" borderId="3" xfId="0" applyNumberFormat="1" applyFont="1" applyFill="1" applyBorder="1">
      <alignment vertical="center"/>
    </xf>
    <xf numFmtId="41" fontId="84" fillId="31" borderId="121" xfId="0" applyNumberFormat="1" applyFont="1" applyFill="1" applyBorder="1">
      <alignment vertical="center"/>
    </xf>
    <xf numFmtId="0" fontId="13" fillId="4" borderId="3" xfId="0" applyFont="1" applyFill="1" applyBorder="1">
      <alignment vertical="center"/>
    </xf>
    <xf numFmtId="41" fontId="118" fillId="32" borderId="118" xfId="0" applyNumberFormat="1" applyFont="1" applyFill="1" applyBorder="1">
      <alignment vertical="center"/>
    </xf>
    <xf numFmtId="0" fontId="86" fillId="21" borderId="229" xfId="0" applyFont="1" applyFill="1" applyBorder="1" applyAlignment="1">
      <alignment horizontal="left" vertical="center"/>
    </xf>
    <xf numFmtId="0" fontId="108" fillId="4" borderId="8" xfId="0" applyFont="1" applyFill="1" applyBorder="1" applyAlignment="1">
      <alignment horizontal="center" vertical="center"/>
    </xf>
    <xf numFmtId="9" fontId="84" fillId="4" borderId="203" xfId="0" applyNumberFormat="1" applyFont="1" applyFill="1" applyBorder="1">
      <alignment vertical="center"/>
    </xf>
    <xf numFmtId="192" fontId="84" fillId="4" borderId="24" xfId="0" applyNumberFormat="1" applyFont="1" applyFill="1" applyBorder="1" applyAlignment="1">
      <alignment horizontal="center" vertical="center"/>
    </xf>
    <xf numFmtId="41" fontId="84" fillId="4" borderId="107" xfId="0" applyNumberFormat="1" applyFont="1" applyFill="1" applyBorder="1" applyAlignment="1">
      <alignment horizontal="left" vertical="top"/>
    </xf>
    <xf numFmtId="41" fontId="84" fillId="4" borderId="107" xfId="0" applyNumberFormat="1" applyFont="1" applyFill="1" applyBorder="1" applyAlignment="1">
      <alignment vertical="top"/>
    </xf>
    <xf numFmtId="41" fontId="128" fillId="10" borderId="35" xfId="0" applyNumberFormat="1" applyFont="1" applyFill="1" applyBorder="1">
      <alignment vertical="center"/>
    </xf>
    <xf numFmtId="192" fontId="108" fillId="4" borderId="196" xfId="0" applyNumberFormat="1" applyFont="1" applyFill="1" applyBorder="1" applyAlignment="1">
      <alignment horizontal="center" vertical="center"/>
    </xf>
    <xf numFmtId="41" fontId="108" fillId="10" borderId="196" xfId="0" applyNumberFormat="1" applyFont="1" applyFill="1" applyBorder="1">
      <alignment vertical="center"/>
    </xf>
    <xf numFmtId="41" fontId="108" fillId="10" borderId="48" xfId="0" applyNumberFormat="1" applyFont="1" applyFill="1" applyBorder="1">
      <alignment vertical="center"/>
    </xf>
    <xf numFmtId="41" fontId="128" fillId="10" borderId="196" xfId="0" applyNumberFormat="1" applyFont="1" applyFill="1" applyBorder="1">
      <alignment vertical="center"/>
    </xf>
    <xf numFmtId="192" fontId="17" fillId="4" borderId="12" xfId="0" applyNumberFormat="1" applyFont="1" applyFill="1" applyBorder="1">
      <alignment vertical="center"/>
    </xf>
    <xf numFmtId="192" fontId="17" fillId="4" borderId="196" xfId="0" applyNumberFormat="1" applyFont="1" applyFill="1" applyBorder="1">
      <alignment vertical="center"/>
    </xf>
    <xf numFmtId="192" fontId="17" fillId="4" borderId="62" xfId="0" applyNumberFormat="1" applyFont="1" applyFill="1" applyBorder="1">
      <alignment vertical="center"/>
    </xf>
    <xf numFmtId="192" fontId="17" fillId="4" borderId="6" xfId="0" applyNumberFormat="1" applyFont="1" applyFill="1" applyBorder="1">
      <alignment vertical="center"/>
    </xf>
    <xf numFmtId="10" fontId="132" fillId="0" borderId="0" xfId="8" applyNumberFormat="1" applyFont="1" applyAlignment="1">
      <alignment horizontal="left" vertical="center"/>
    </xf>
    <xf numFmtId="10" fontId="132" fillId="0" borderId="0" xfId="0" applyNumberFormat="1" applyFont="1" applyAlignment="1">
      <alignment horizontal="left" vertical="center"/>
    </xf>
    <xf numFmtId="10" fontId="116" fillId="4" borderId="65" xfId="8" applyNumberFormat="1" applyFont="1" applyFill="1" applyBorder="1" applyAlignment="1">
      <alignment horizontal="center" vertical="center"/>
    </xf>
    <xf numFmtId="10" fontId="111" fillId="4" borderId="43" xfId="8" applyNumberFormat="1" applyFont="1" applyFill="1" applyBorder="1" applyAlignment="1">
      <alignment horizontal="center" vertical="center"/>
    </xf>
    <xf numFmtId="10" fontId="108" fillId="4" borderId="45" xfId="8" applyNumberFormat="1" applyFont="1" applyFill="1" applyBorder="1" applyAlignment="1">
      <alignment horizontal="center" vertical="center"/>
    </xf>
    <xf numFmtId="10" fontId="84" fillId="4" borderId="8" xfId="8" applyNumberFormat="1" applyFont="1" applyFill="1" applyBorder="1" applyAlignment="1">
      <alignment vertical="top"/>
    </xf>
    <xf numFmtId="10" fontId="84" fillId="4" borderId="48" xfId="8" applyNumberFormat="1" applyFont="1" applyFill="1" applyBorder="1" applyAlignment="1">
      <alignment horizontal="left" vertical="center"/>
    </xf>
    <xf numFmtId="10" fontId="116" fillId="4" borderId="8" xfId="8" applyNumberFormat="1" applyFont="1" applyFill="1" applyBorder="1" applyAlignment="1">
      <alignment horizontal="left" vertical="center" indent="1"/>
    </xf>
    <xf numFmtId="10" fontId="116" fillId="4" borderId="20" xfId="8" applyNumberFormat="1" applyFont="1" applyFill="1" applyBorder="1" applyAlignment="1">
      <alignment horizontal="center" vertical="center"/>
    </xf>
    <xf numFmtId="10" fontId="124" fillId="4" borderId="20" xfId="8" applyNumberFormat="1" applyFont="1" applyFill="1" applyBorder="1" applyAlignment="1">
      <alignment horizontal="center" vertical="center"/>
    </xf>
    <xf numFmtId="10" fontId="116" fillId="2" borderId="0" xfId="8" applyNumberFormat="1" applyFont="1" applyFill="1" applyAlignment="1">
      <alignment horizontal="center" vertical="center"/>
    </xf>
    <xf numFmtId="10" fontId="116" fillId="3" borderId="0" xfId="8" applyNumberFormat="1" applyFont="1" applyFill="1" applyAlignment="1">
      <alignment horizontal="center" vertical="center"/>
    </xf>
    <xf numFmtId="10" fontId="134" fillId="0" borderId="0" xfId="8" applyNumberFormat="1" applyFont="1" applyAlignment="1">
      <alignment horizontal="left" vertical="center"/>
    </xf>
    <xf numFmtId="10" fontId="108" fillId="4" borderId="19" xfId="8" applyNumberFormat="1" applyFont="1" applyFill="1" applyBorder="1" applyAlignment="1">
      <alignment horizontal="center" vertical="center"/>
    </xf>
    <xf numFmtId="10" fontId="84" fillId="4" borderId="53" xfId="8" applyNumberFormat="1" applyFont="1" applyFill="1" applyBorder="1">
      <alignment vertical="center"/>
    </xf>
    <xf numFmtId="10" fontId="84" fillId="4" borderId="22" xfId="8" applyNumberFormat="1" applyFont="1" applyFill="1" applyBorder="1">
      <alignment vertical="center"/>
    </xf>
    <xf numFmtId="10" fontId="84" fillId="4" borderId="93" xfId="8" applyNumberFormat="1" applyFont="1" applyFill="1" applyBorder="1">
      <alignment vertical="center"/>
    </xf>
    <xf numFmtId="10" fontId="116" fillId="4" borderId="19" xfId="8" applyNumberFormat="1" applyFont="1" applyFill="1" applyBorder="1" applyAlignment="1">
      <alignment horizontal="center" vertical="center"/>
    </xf>
    <xf numFmtId="10" fontId="108" fillId="4" borderId="19" xfId="8" applyNumberFormat="1" applyFont="1" applyFill="1" applyBorder="1">
      <alignment vertical="center"/>
    </xf>
    <xf numFmtId="10" fontId="84" fillId="4" borderId="53" xfId="8" applyNumberFormat="1" applyFont="1" applyFill="1" applyBorder="1" applyAlignment="1">
      <alignment horizontal="left" vertical="center"/>
    </xf>
    <xf numFmtId="10" fontId="84" fillId="4" borderId="69" xfId="8" applyNumberFormat="1" applyFont="1" applyFill="1" applyBorder="1" applyAlignment="1">
      <alignment horizontal="left" vertical="center"/>
    </xf>
    <xf numFmtId="10" fontId="84" fillId="4" borderId="93" xfId="8" applyNumberFormat="1" applyFont="1" applyFill="1" applyBorder="1" applyAlignment="1">
      <alignment horizontal="left" vertical="center"/>
    </xf>
    <xf numFmtId="10" fontId="116" fillId="3" borderId="91" xfId="8" applyNumberFormat="1" applyFont="1" applyFill="1" applyBorder="1" applyAlignment="1">
      <alignment horizontal="center" vertical="center"/>
    </xf>
    <xf numFmtId="10" fontId="84" fillId="4" borderId="19" xfId="8" applyNumberFormat="1" applyFont="1" applyFill="1" applyBorder="1" applyAlignment="1">
      <alignment horizontal="left" vertical="center"/>
    </xf>
    <xf numFmtId="41" fontId="118" fillId="10" borderId="80" xfId="0" applyNumberFormat="1" applyFont="1" applyFill="1" applyBorder="1" applyAlignment="1">
      <alignment horizontal="center" vertical="center"/>
    </xf>
    <xf numFmtId="41" fontId="93" fillId="10" borderId="27" xfId="0" applyNumberFormat="1" applyFont="1" applyFill="1" applyBorder="1" applyAlignment="1">
      <alignment horizontal="center" vertical="center"/>
    </xf>
    <xf numFmtId="41" fontId="93" fillId="10" borderId="25" xfId="0" applyNumberFormat="1" applyFont="1" applyFill="1" applyBorder="1" applyAlignment="1">
      <alignment horizontal="center" vertical="center"/>
    </xf>
    <xf numFmtId="41" fontId="93" fillId="10" borderId="50" xfId="0" applyNumberFormat="1" applyFont="1" applyFill="1" applyBorder="1" applyAlignment="1">
      <alignment horizontal="center" vertical="center"/>
    </xf>
    <xf numFmtId="9" fontId="108" fillId="4" borderId="68" xfId="0" applyNumberFormat="1" applyFont="1" applyFill="1" applyBorder="1" applyAlignment="1">
      <alignment horizontal="center" vertical="center"/>
    </xf>
    <xf numFmtId="192" fontId="84" fillId="4" borderId="46" xfId="0" applyNumberFormat="1" applyFont="1" applyFill="1" applyBorder="1" applyAlignment="1">
      <alignment horizontal="center" vertical="center"/>
    </xf>
    <xf numFmtId="0" fontId="108" fillId="4" borderId="59" xfId="0" applyFont="1" applyFill="1" applyBorder="1" applyAlignment="1">
      <alignment vertical="center" wrapText="1"/>
    </xf>
    <xf numFmtId="9" fontId="108" fillId="4" borderId="48" xfId="0" applyNumberFormat="1" applyFont="1" applyFill="1" applyBorder="1" applyAlignment="1">
      <alignment horizontal="center" vertical="center"/>
    </xf>
    <xf numFmtId="9" fontId="108" fillId="4" borderId="43" xfId="0" applyNumberFormat="1" applyFont="1" applyFill="1" applyBorder="1" applyAlignment="1">
      <alignment horizontal="center" vertical="center"/>
    </xf>
    <xf numFmtId="41" fontId="116" fillId="4" borderId="47" xfId="0" applyNumberFormat="1" applyFont="1" applyFill="1" applyBorder="1" applyAlignment="1">
      <alignment horizontal="center" vertical="center"/>
    </xf>
    <xf numFmtId="0" fontId="84" fillId="4" borderId="11" xfId="0" applyFont="1" applyFill="1" applyBorder="1" applyAlignment="1">
      <alignment horizontal="right" vertical="top"/>
    </xf>
    <xf numFmtId="0" fontId="84" fillId="4" borderId="159" xfId="0" applyFont="1" applyFill="1" applyBorder="1" applyAlignment="1">
      <alignment horizontal="right" vertical="top"/>
    </xf>
    <xf numFmtId="200" fontId="116" fillId="3" borderId="0" xfId="0" applyNumberFormat="1" applyFont="1" applyFill="1">
      <alignment vertical="center"/>
    </xf>
    <xf numFmtId="0" fontId="159" fillId="3" borderId="0" xfId="0" applyFont="1" applyFill="1">
      <alignment vertical="center"/>
    </xf>
    <xf numFmtId="200" fontId="93" fillId="3" borderId="25" xfId="0" applyNumberFormat="1" applyFont="1" applyFill="1" applyBorder="1">
      <alignment vertical="center"/>
    </xf>
    <xf numFmtId="41" fontId="93" fillId="2" borderId="17" xfId="0" applyNumberFormat="1" applyFont="1" applyFill="1" applyBorder="1">
      <alignment vertical="center"/>
    </xf>
    <xf numFmtId="41" fontId="93" fillId="2" borderId="18" xfId="0" applyNumberFormat="1" applyFont="1" applyFill="1" applyBorder="1">
      <alignment vertical="center"/>
    </xf>
    <xf numFmtId="41" fontId="93" fillId="2" borderId="19" xfId="0" applyNumberFormat="1" applyFont="1" applyFill="1" applyBorder="1">
      <alignment vertical="center"/>
    </xf>
    <xf numFmtId="9" fontId="108" fillId="4" borderId="27" xfId="0" applyNumberFormat="1" applyFont="1" applyFill="1" applyBorder="1" applyAlignment="1">
      <alignment horizontal="center" vertical="center"/>
    </xf>
    <xf numFmtId="0" fontId="84" fillId="4" borderId="68" xfId="0" applyFont="1" applyFill="1" applyBorder="1" applyAlignment="1">
      <alignment horizontal="left" vertical="center"/>
    </xf>
    <xf numFmtId="0" fontId="108" fillId="4" borderId="196" xfId="0" applyFont="1" applyFill="1" applyBorder="1" applyAlignment="1">
      <alignment vertical="center" wrapText="1"/>
    </xf>
    <xf numFmtId="0" fontId="84" fillId="4" borderId="48" xfId="0" applyFont="1" applyFill="1" applyBorder="1" applyAlignment="1">
      <alignment horizontal="left" vertical="center"/>
    </xf>
    <xf numFmtId="9" fontId="108" fillId="4" borderId="8" xfId="0" applyNumberFormat="1" applyFont="1" applyFill="1" applyBorder="1" applyAlignment="1">
      <alignment horizontal="center" vertical="center"/>
    </xf>
    <xf numFmtId="0" fontId="108" fillId="4" borderId="77" xfId="0" applyFont="1" applyFill="1" applyBorder="1" applyAlignment="1">
      <alignment vertical="center" wrapText="1"/>
    </xf>
    <xf numFmtId="0" fontId="84" fillId="4" borderId="74" xfId="0" applyFont="1" applyFill="1" applyBorder="1" applyAlignment="1">
      <alignment horizontal="left" vertical="center"/>
    </xf>
    <xf numFmtId="41" fontId="118" fillId="10" borderId="21" xfId="0" applyNumberFormat="1" applyFont="1" applyFill="1" applyBorder="1" applyAlignment="1">
      <alignment horizontal="center" vertical="center"/>
    </xf>
    <xf numFmtId="41" fontId="93" fillId="10" borderId="24" xfId="0" applyNumberFormat="1" applyFont="1" applyFill="1" applyBorder="1" applyAlignment="1">
      <alignment horizontal="center" vertical="center"/>
    </xf>
    <xf numFmtId="41" fontId="93" fillId="10" borderId="0" xfId="0" applyNumberFormat="1" applyFont="1" applyFill="1" applyAlignment="1">
      <alignment horizontal="center" vertical="center"/>
    </xf>
    <xf numFmtId="41" fontId="118" fillId="10" borderId="39" xfId="0" applyNumberFormat="1" applyFont="1" applyFill="1" applyBorder="1" applyAlignment="1">
      <alignment horizontal="center" vertical="center"/>
    </xf>
    <xf numFmtId="41" fontId="93" fillId="10" borderId="196" xfId="0" applyNumberFormat="1" applyFont="1" applyFill="1" applyBorder="1" applyAlignment="1">
      <alignment horizontal="center" vertical="center"/>
    </xf>
    <xf numFmtId="41" fontId="93" fillId="10" borderId="200" xfId="0" applyNumberFormat="1" applyFont="1" applyFill="1" applyBorder="1" applyAlignment="1">
      <alignment horizontal="center" vertical="center"/>
    </xf>
    <xf numFmtId="41" fontId="93" fillId="10" borderId="6" xfId="0" applyNumberFormat="1" applyFont="1" applyFill="1" applyBorder="1" applyAlignment="1">
      <alignment horizontal="center" vertical="center"/>
    </xf>
    <xf numFmtId="41" fontId="118" fillId="10" borderId="198" xfId="0" applyNumberFormat="1" applyFont="1" applyFill="1" applyBorder="1" applyAlignment="1">
      <alignment horizontal="center" vertical="center"/>
    </xf>
    <xf numFmtId="41" fontId="93" fillId="10" borderId="202" xfId="0" applyNumberFormat="1" applyFont="1" applyFill="1" applyBorder="1" applyAlignment="1">
      <alignment horizontal="center" vertical="center"/>
    </xf>
    <xf numFmtId="41" fontId="93" fillId="10" borderId="199" xfId="0" applyNumberFormat="1" applyFont="1" applyFill="1" applyBorder="1" applyAlignment="1">
      <alignment horizontal="center" vertical="center"/>
    </xf>
    <xf numFmtId="41" fontId="93" fillId="10" borderId="197" xfId="0" applyNumberFormat="1" applyFont="1" applyFill="1" applyBorder="1" applyAlignment="1">
      <alignment horizontal="center" vertical="center"/>
    </xf>
    <xf numFmtId="41" fontId="116" fillId="4" borderId="203" xfId="0" applyNumberFormat="1" applyFont="1" applyFill="1" applyBorder="1" applyAlignment="1">
      <alignment horizontal="center" vertical="center"/>
    </xf>
    <xf numFmtId="41" fontId="93" fillId="10" borderId="32" xfId="0" applyNumberFormat="1" applyFont="1" applyFill="1" applyBorder="1" applyAlignment="1">
      <alignment horizontal="center" vertical="center"/>
    </xf>
    <xf numFmtId="0" fontId="84" fillId="4" borderId="11" xfId="0" applyFont="1" applyFill="1" applyBorder="1">
      <alignment vertical="center"/>
    </xf>
    <xf numFmtId="0" fontId="84" fillId="4" borderId="160" xfId="0" applyFont="1" applyFill="1" applyBorder="1">
      <alignment vertical="center"/>
    </xf>
    <xf numFmtId="0" fontId="84" fillId="4" borderId="152" xfId="0" applyFont="1" applyFill="1" applyBorder="1" applyAlignment="1">
      <alignment horizontal="right" vertical="top"/>
    </xf>
    <xf numFmtId="41" fontId="84" fillId="4" borderId="152" xfId="0" applyNumberFormat="1" applyFont="1" applyFill="1" applyBorder="1">
      <alignment vertical="center"/>
    </xf>
    <xf numFmtId="41" fontId="84" fillId="4" borderId="2" xfId="0" applyNumberFormat="1" applyFont="1" applyFill="1" applyBorder="1">
      <alignment vertical="center"/>
    </xf>
    <xf numFmtId="10" fontId="84" fillId="4" borderId="152" xfId="8" applyNumberFormat="1" applyFont="1" applyFill="1" applyBorder="1">
      <alignment vertical="center"/>
    </xf>
    <xf numFmtId="187" fontId="118" fillId="3" borderId="209" xfId="0" applyNumberFormat="1" applyFont="1" applyFill="1" applyBorder="1" applyAlignment="1">
      <alignment horizontal="left" vertical="center" indent="1"/>
    </xf>
    <xf numFmtId="187" fontId="93" fillId="3" borderId="2" xfId="0" applyNumberFormat="1" applyFont="1" applyFill="1" applyBorder="1" applyAlignment="1">
      <alignment horizontal="left" vertical="center" indent="1"/>
    </xf>
    <xf numFmtId="187" fontId="93" fillId="3" borderId="230" xfId="0" applyNumberFormat="1" applyFont="1" applyFill="1" applyBorder="1" applyAlignment="1">
      <alignment horizontal="left" vertical="center" indent="1"/>
    </xf>
    <xf numFmtId="187" fontId="93" fillId="3" borderId="209" xfId="0" applyNumberFormat="1" applyFont="1" applyFill="1" applyBorder="1" applyAlignment="1">
      <alignment horizontal="left" vertical="center" indent="1"/>
    </xf>
    <xf numFmtId="187" fontId="93" fillId="3" borderId="210" xfId="0" applyNumberFormat="1" applyFont="1" applyFill="1" applyBorder="1" applyAlignment="1">
      <alignment horizontal="left" vertical="center" indent="1"/>
    </xf>
    <xf numFmtId="187" fontId="93" fillId="3" borderId="152" xfId="0" applyNumberFormat="1" applyFont="1" applyFill="1" applyBorder="1" applyAlignment="1">
      <alignment horizontal="left" vertical="center" indent="1"/>
    </xf>
    <xf numFmtId="0" fontId="84" fillId="4" borderId="7" xfId="0" applyFont="1" applyFill="1" applyBorder="1" applyAlignment="1">
      <alignment horizontal="right" vertical="top"/>
    </xf>
    <xf numFmtId="41" fontId="84" fillId="4" borderId="7" xfId="0" applyNumberFormat="1" applyFont="1" applyFill="1" applyBorder="1">
      <alignment vertical="center"/>
    </xf>
    <xf numFmtId="41" fontId="84" fillId="4" borderId="3" xfId="0" applyNumberFormat="1" applyFont="1" applyFill="1" applyBorder="1">
      <alignment vertical="center"/>
    </xf>
    <xf numFmtId="10" fontId="84" fillId="4" borderId="7" xfId="8" applyNumberFormat="1" applyFont="1" applyFill="1" applyBorder="1">
      <alignment vertical="center"/>
    </xf>
    <xf numFmtId="187" fontId="118" fillId="3" borderId="23" xfId="0" applyNumberFormat="1" applyFont="1" applyFill="1" applyBorder="1" applyAlignment="1">
      <alignment horizontal="left" vertical="center" indent="1"/>
    </xf>
    <xf numFmtId="187" fontId="93" fillId="3" borderId="3" xfId="0" applyNumberFormat="1" applyFont="1" applyFill="1" applyBorder="1" applyAlignment="1">
      <alignment horizontal="left" vertical="center" indent="1"/>
    </xf>
    <xf numFmtId="187" fontId="93" fillId="3" borderId="22" xfId="0" applyNumberFormat="1" applyFont="1" applyFill="1" applyBorder="1" applyAlignment="1">
      <alignment horizontal="left" vertical="center" indent="1"/>
    </xf>
    <xf numFmtId="187" fontId="93" fillId="3" borderId="79" xfId="0" applyNumberFormat="1" applyFont="1" applyFill="1" applyBorder="1" applyAlignment="1">
      <alignment horizontal="left" vertical="center" indent="1"/>
    </xf>
    <xf numFmtId="187" fontId="84" fillId="3" borderId="23" xfId="0" applyNumberFormat="1" applyFont="1" applyFill="1" applyBorder="1" applyAlignment="1">
      <alignment horizontal="left" vertical="center" indent="1"/>
    </xf>
    <xf numFmtId="187" fontId="84" fillId="3" borderId="22" xfId="0" applyNumberFormat="1" applyFont="1" applyFill="1" applyBorder="1" applyAlignment="1">
      <alignment horizontal="left" vertical="center" indent="1"/>
    </xf>
    <xf numFmtId="187" fontId="84" fillId="3" borderId="3" xfId="0" applyNumberFormat="1" applyFont="1" applyFill="1" applyBorder="1" applyAlignment="1">
      <alignment horizontal="left" vertical="center" indent="1"/>
    </xf>
    <xf numFmtId="187" fontId="93" fillId="3" borderId="126" xfId="0" applyNumberFormat="1" applyFont="1" applyFill="1" applyBorder="1" applyAlignment="1">
      <alignment horizontal="left" vertical="center" indent="1"/>
    </xf>
    <xf numFmtId="187" fontId="84" fillId="3" borderId="7" xfId="0" applyNumberFormat="1" applyFont="1" applyFill="1" applyBorder="1" applyAlignment="1">
      <alignment horizontal="left" vertical="center" indent="1"/>
    </xf>
    <xf numFmtId="187" fontId="93" fillId="3" borderId="23" xfId="0" applyNumberFormat="1" applyFont="1" applyFill="1" applyBorder="1" applyAlignment="1">
      <alignment horizontal="left" vertical="center" indent="1"/>
    </xf>
    <xf numFmtId="187" fontId="93" fillId="3" borderId="7" xfId="0" applyNumberFormat="1" applyFont="1" applyFill="1" applyBorder="1" applyAlignment="1">
      <alignment horizontal="left" vertical="center" indent="1"/>
    </xf>
    <xf numFmtId="187" fontId="118" fillId="0" borderId="23" xfId="0" applyNumberFormat="1" applyFont="1" applyBorder="1" applyAlignment="1">
      <alignment horizontal="left" vertical="center" indent="1"/>
    </xf>
    <xf numFmtId="187" fontId="93" fillId="0" borderId="79" xfId="0" applyNumberFormat="1" applyFont="1" applyBorder="1" applyAlignment="1">
      <alignment horizontal="left" vertical="center" indent="1"/>
    </xf>
    <xf numFmtId="187" fontId="84" fillId="0" borderId="23" xfId="0" applyNumberFormat="1" applyFont="1" applyBorder="1" applyAlignment="1">
      <alignment horizontal="left" vertical="center" indent="1"/>
    </xf>
    <xf numFmtId="187" fontId="84" fillId="0" borderId="3" xfId="0" applyNumberFormat="1" applyFont="1" applyBorder="1" applyAlignment="1">
      <alignment horizontal="left" vertical="center" indent="1"/>
    </xf>
    <xf numFmtId="187" fontId="84" fillId="0" borderId="22" xfId="0" applyNumberFormat="1" applyFont="1" applyBorder="1" applyAlignment="1">
      <alignment horizontal="left" vertical="center" indent="1"/>
    </xf>
    <xf numFmtId="187" fontId="84" fillId="0" borderId="7" xfId="0" applyNumberFormat="1" applyFont="1" applyBorder="1" applyAlignment="1">
      <alignment horizontal="left" vertical="center" indent="1"/>
    </xf>
    <xf numFmtId="0" fontId="84" fillId="4" borderId="119" xfId="0" applyFont="1" applyFill="1" applyBorder="1" applyAlignment="1">
      <alignment horizontal="right" vertical="top"/>
    </xf>
    <xf numFmtId="42" fontId="84" fillId="4" borderId="132" xfId="0" applyNumberFormat="1" applyFont="1" applyFill="1" applyBorder="1">
      <alignment vertical="center"/>
    </xf>
    <xf numFmtId="42" fontId="84" fillId="4" borderId="4" xfId="0" applyNumberFormat="1" applyFont="1" applyFill="1" applyBorder="1">
      <alignment vertical="center"/>
    </xf>
    <xf numFmtId="185" fontId="93" fillId="3" borderId="129" xfId="0" applyNumberFormat="1" applyFont="1" applyFill="1" applyBorder="1" applyAlignment="1">
      <alignment vertical="center" shrinkToFit="1"/>
    </xf>
    <xf numFmtId="185" fontId="93" fillId="3" borderId="128" xfId="0" applyNumberFormat="1" applyFont="1" applyFill="1" applyBorder="1" applyAlignment="1">
      <alignment vertical="center" shrinkToFit="1"/>
    </xf>
    <xf numFmtId="185" fontId="93" fillId="3" borderId="4" xfId="0" applyNumberFormat="1" applyFont="1" applyFill="1" applyBorder="1" applyAlignment="1">
      <alignment vertical="center" shrinkToFit="1"/>
    </xf>
    <xf numFmtId="185" fontId="93" fillId="3" borderId="132" xfId="0" applyNumberFormat="1" applyFont="1" applyFill="1" applyBorder="1" applyAlignment="1">
      <alignment vertical="center" shrinkToFit="1"/>
    </xf>
    <xf numFmtId="41" fontId="118" fillId="32" borderId="193" xfId="0" applyNumberFormat="1" applyFont="1" applyFill="1" applyBorder="1">
      <alignment vertical="center"/>
    </xf>
    <xf numFmtId="41" fontId="84" fillId="32" borderId="193" xfId="0" applyNumberFormat="1" applyFont="1" applyFill="1" applyBorder="1">
      <alignment vertical="center"/>
    </xf>
    <xf numFmtId="0" fontId="86" fillId="31" borderId="79" xfId="0" applyFont="1" applyFill="1" applyBorder="1" applyAlignment="1">
      <alignment horizontal="center" vertical="center"/>
    </xf>
    <xf numFmtId="194" fontId="86" fillId="31" borderId="11" xfId="0" applyNumberFormat="1" applyFont="1" applyFill="1" applyBorder="1" applyAlignment="1">
      <alignment horizontal="center" vertical="center"/>
    </xf>
    <xf numFmtId="0" fontId="86" fillId="31" borderId="120" xfId="0" applyFont="1" applyFill="1" applyBorder="1" applyAlignment="1">
      <alignment horizontal="center" vertical="center"/>
    </xf>
    <xf numFmtId="194" fontId="86" fillId="31" borderId="94" xfId="0" applyNumberFormat="1" applyFont="1" applyFill="1" applyBorder="1" applyAlignment="1">
      <alignment horizontal="center" vertical="center"/>
    </xf>
    <xf numFmtId="0" fontId="86" fillId="21" borderId="45" xfId="0" applyFont="1" applyFill="1" applyBorder="1">
      <alignment vertical="center"/>
    </xf>
    <xf numFmtId="194" fontId="86" fillId="21" borderId="18" xfId="0" applyNumberFormat="1" applyFont="1" applyFill="1" applyBorder="1" applyAlignment="1">
      <alignment horizontal="center" vertical="center"/>
    </xf>
    <xf numFmtId="194" fontId="86" fillId="21" borderId="29" xfId="0" applyNumberFormat="1" applyFont="1" applyFill="1" applyBorder="1" applyAlignment="1">
      <alignment horizontal="center" vertical="center"/>
    </xf>
    <xf numFmtId="0" fontId="116" fillId="39" borderId="119" xfId="0" applyFont="1" applyFill="1" applyBorder="1" applyAlignment="1">
      <alignment horizontal="left" vertical="center" wrapText="1"/>
    </xf>
    <xf numFmtId="194" fontId="116" fillId="0" borderId="0" xfId="0" applyNumberFormat="1" applyFont="1">
      <alignment vertical="center"/>
    </xf>
    <xf numFmtId="182" fontId="93" fillId="4" borderId="18" xfId="0" applyNumberFormat="1" applyFont="1" applyFill="1" applyBorder="1" applyAlignment="1">
      <alignment vertical="center" shrinkToFit="1"/>
    </xf>
    <xf numFmtId="182" fontId="84" fillId="4" borderId="17" xfId="0" applyNumberFormat="1" applyFont="1" applyFill="1" applyBorder="1" applyAlignment="1">
      <alignment vertical="center" shrinkToFit="1"/>
    </xf>
    <xf numFmtId="182" fontId="84" fillId="4" borderId="18" xfId="0" applyNumberFormat="1" applyFont="1" applyFill="1" applyBorder="1" applyAlignment="1">
      <alignment vertical="center" shrinkToFit="1"/>
    </xf>
    <xf numFmtId="182" fontId="84" fillId="4" borderId="20" xfId="0" applyNumberFormat="1" applyFont="1" applyFill="1" applyBorder="1" applyAlignment="1">
      <alignment vertical="center" shrinkToFit="1"/>
    </xf>
    <xf numFmtId="182" fontId="84" fillId="4" borderId="19" xfId="0" applyNumberFormat="1" applyFont="1" applyFill="1" applyBorder="1" applyAlignment="1">
      <alignment vertical="center" shrinkToFit="1"/>
    </xf>
    <xf numFmtId="182" fontId="118" fillId="4" borderId="17" xfId="0" applyNumberFormat="1" applyFont="1" applyFill="1" applyBorder="1" applyAlignment="1">
      <alignment vertical="center" shrinkToFit="1"/>
    </xf>
    <xf numFmtId="41" fontId="116" fillId="4" borderId="38" xfId="0" applyNumberFormat="1" applyFont="1" applyFill="1" applyBorder="1">
      <alignment vertical="center"/>
    </xf>
    <xf numFmtId="187" fontId="116" fillId="3" borderId="0" xfId="0" applyNumberFormat="1" applyFont="1" applyFill="1" applyAlignment="1">
      <alignment horizontal="center" vertical="center"/>
    </xf>
    <xf numFmtId="187" fontId="166" fillId="3" borderId="0" xfId="0" applyNumberFormat="1" applyFont="1" applyFill="1" applyAlignment="1">
      <alignment horizontal="center" vertical="center"/>
    </xf>
    <xf numFmtId="180" fontId="116" fillId="3" borderId="0" xfId="0" applyNumberFormat="1" applyFont="1" applyFill="1">
      <alignment vertical="center"/>
    </xf>
    <xf numFmtId="41" fontId="118" fillId="42" borderId="7" xfId="0" applyNumberFormat="1" applyFont="1" applyFill="1" applyBorder="1">
      <alignment vertical="center"/>
    </xf>
    <xf numFmtId="0" fontId="3" fillId="3" borderId="196" xfId="0" quotePrefix="1" applyFont="1" applyFill="1" applyBorder="1">
      <alignment vertical="center"/>
    </xf>
    <xf numFmtId="41" fontId="203" fillId="3" borderId="27" xfId="0" applyNumberFormat="1" applyFont="1" applyFill="1" applyBorder="1">
      <alignment vertical="center"/>
    </xf>
    <xf numFmtId="41" fontId="203" fillId="3" borderId="1" xfId="0" applyNumberFormat="1" applyFont="1" applyFill="1" applyBorder="1">
      <alignment vertical="center"/>
    </xf>
    <xf numFmtId="0" fontId="128" fillId="4" borderId="18" xfId="0" applyFont="1" applyFill="1" applyBorder="1" applyAlignment="1">
      <alignment horizontal="center" vertical="center"/>
    </xf>
    <xf numFmtId="41" fontId="118" fillId="3" borderId="1" xfId="0" applyNumberFormat="1" applyFont="1" applyFill="1" applyBorder="1">
      <alignment vertical="center"/>
    </xf>
    <xf numFmtId="41" fontId="118" fillId="3" borderId="5" xfId="0" applyNumberFormat="1" applyFont="1" applyFill="1" applyBorder="1">
      <alignment vertical="center"/>
    </xf>
    <xf numFmtId="41" fontId="128" fillId="3" borderId="28" xfId="0" applyNumberFormat="1" applyFont="1" applyFill="1" applyBorder="1">
      <alignment vertical="center"/>
    </xf>
    <xf numFmtId="41" fontId="203" fillId="3" borderId="11" xfId="0" applyNumberFormat="1" applyFont="1" applyFill="1" applyBorder="1">
      <alignment vertical="center"/>
    </xf>
    <xf numFmtId="41" fontId="203" fillId="3" borderId="11" xfId="0" applyNumberFormat="1" applyFont="1" applyFill="1" applyBorder="1" applyAlignment="1">
      <alignment horizontal="center" vertical="center"/>
    </xf>
    <xf numFmtId="41" fontId="118" fillId="3" borderId="59" xfId="0" applyNumberFormat="1" applyFont="1" applyFill="1" applyBorder="1">
      <alignment vertical="center"/>
    </xf>
    <xf numFmtId="41" fontId="128" fillId="4" borderId="18" xfId="0" applyNumberFormat="1" applyFont="1" applyFill="1" applyBorder="1">
      <alignment vertical="center"/>
    </xf>
    <xf numFmtId="41" fontId="118" fillId="10" borderId="27" xfId="0" applyNumberFormat="1" applyFont="1" applyFill="1" applyBorder="1">
      <alignment vertical="center"/>
    </xf>
    <xf numFmtId="41" fontId="118" fillId="10" borderId="1" xfId="0" applyNumberFormat="1" applyFont="1" applyFill="1" applyBorder="1">
      <alignment vertical="center"/>
    </xf>
    <xf numFmtId="41" fontId="128" fillId="10" borderId="5" xfId="0" applyNumberFormat="1" applyFont="1" applyFill="1" applyBorder="1">
      <alignment vertical="center"/>
    </xf>
    <xf numFmtId="41" fontId="118" fillId="10" borderId="11" xfId="0" applyNumberFormat="1" applyFont="1" applyFill="1" applyBorder="1">
      <alignment vertical="center"/>
    </xf>
    <xf numFmtId="41" fontId="118" fillId="10" borderId="9" xfId="0" applyNumberFormat="1" applyFont="1" applyFill="1" applyBorder="1">
      <alignment vertical="center"/>
    </xf>
    <xf numFmtId="41" fontId="118" fillId="10" borderId="5" xfId="0" applyNumberFormat="1" applyFont="1" applyFill="1" applyBorder="1">
      <alignment vertical="center"/>
    </xf>
    <xf numFmtId="41" fontId="118" fillId="10" borderId="4" xfId="0" applyNumberFormat="1" applyFont="1" applyFill="1" applyBorder="1">
      <alignment vertical="center"/>
    </xf>
    <xf numFmtId="41" fontId="118" fillId="10" borderId="202" xfId="0" applyNumberFormat="1" applyFont="1" applyFill="1" applyBorder="1">
      <alignment vertical="center"/>
    </xf>
    <xf numFmtId="41" fontId="128" fillId="4" borderId="77" xfId="0" applyNumberFormat="1" applyFont="1" applyFill="1" applyBorder="1">
      <alignment vertical="center"/>
    </xf>
    <xf numFmtId="41" fontId="128" fillId="4" borderId="196" xfId="0" applyNumberFormat="1" applyFont="1" applyFill="1" applyBorder="1">
      <alignment vertical="center"/>
    </xf>
    <xf numFmtId="41" fontId="118" fillId="4" borderId="196" xfId="0" applyNumberFormat="1" applyFont="1" applyFill="1" applyBorder="1">
      <alignment vertical="center"/>
    </xf>
    <xf numFmtId="41" fontId="118" fillId="4" borderId="59" xfId="0" applyNumberFormat="1" applyFont="1" applyFill="1" applyBorder="1">
      <alignment vertical="center"/>
    </xf>
    <xf numFmtId="41" fontId="118" fillId="4" borderId="27" xfId="0" applyNumberFormat="1" applyFont="1" applyFill="1" applyBorder="1">
      <alignment vertical="center"/>
    </xf>
    <xf numFmtId="41" fontId="118" fillId="4" borderId="18" xfId="0" applyNumberFormat="1" applyFont="1" applyFill="1" applyBorder="1">
      <alignment vertical="center"/>
    </xf>
    <xf numFmtId="41" fontId="118" fillId="0" borderId="27" xfId="0" applyNumberFormat="1" applyFont="1" applyBorder="1">
      <alignment vertical="center"/>
    </xf>
    <xf numFmtId="41" fontId="118" fillId="0" borderId="5" xfId="0" applyNumberFormat="1" applyFont="1" applyBorder="1">
      <alignment vertical="center"/>
    </xf>
    <xf numFmtId="41" fontId="128" fillId="4" borderId="59" xfId="0" applyNumberFormat="1" applyFont="1" applyFill="1" applyBorder="1">
      <alignment vertical="center"/>
    </xf>
    <xf numFmtId="41" fontId="118" fillId="0" borderId="18" xfId="0" applyNumberFormat="1" applyFont="1" applyBorder="1">
      <alignment vertical="center"/>
    </xf>
    <xf numFmtId="9" fontId="118" fillId="0" borderId="28" xfId="0" applyNumberFormat="1" applyFont="1" applyBorder="1">
      <alignment vertical="center"/>
    </xf>
    <xf numFmtId="41" fontId="118" fillId="10" borderId="18" xfId="0" applyNumberFormat="1" applyFont="1" applyFill="1" applyBorder="1">
      <alignment vertical="center"/>
    </xf>
    <xf numFmtId="9" fontId="118" fillId="0" borderId="196" xfId="0" applyNumberFormat="1" applyFont="1" applyBorder="1">
      <alignment vertical="center"/>
    </xf>
    <xf numFmtId="41" fontId="118" fillId="0" borderId="112" xfId="0" applyNumberFormat="1" applyFont="1" applyBorder="1">
      <alignment vertical="center"/>
    </xf>
    <xf numFmtId="41" fontId="118" fillId="0" borderId="190" xfId="0" applyNumberFormat="1" applyFont="1" applyBorder="1">
      <alignment vertical="center"/>
    </xf>
    <xf numFmtId="41" fontId="118" fillId="0" borderId="191" xfId="0" applyNumberFormat="1" applyFont="1" applyBorder="1">
      <alignment vertical="center"/>
    </xf>
    <xf numFmtId="41" fontId="118" fillId="10" borderId="112" xfId="0" applyNumberFormat="1" applyFont="1" applyFill="1" applyBorder="1">
      <alignment vertical="center"/>
    </xf>
    <xf numFmtId="41" fontId="118" fillId="10" borderId="190" xfId="0" applyNumberFormat="1" applyFont="1" applyFill="1" applyBorder="1">
      <alignment vertical="center"/>
    </xf>
    <xf numFmtId="41" fontId="118" fillId="10" borderId="191" xfId="0" applyNumberFormat="1" applyFont="1" applyFill="1" applyBorder="1">
      <alignment vertical="center"/>
    </xf>
    <xf numFmtId="38" fontId="128" fillId="4" borderId="27" xfId="0" applyNumberFormat="1" applyFont="1" applyFill="1" applyBorder="1" applyAlignment="1">
      <alignment horizontal="center" vertical="center"/>
    </xf>
    <xf numFmtId="38" fontId="118" fillId="3" borderId="5" xfId="0" applyNumberFormat="1" applyFont="1" applyFill="1" applyBorder="1">
      <alignment vertical="center"/>
    </xf>
    <xf numFmtId="38" fontId="118" fillId="3" borderId="61" xfId="0" applyNumberFormat="1" applyFont="1" applyFill="1" applyBorder="1">
      <alignment vertical="center"/>
    </xf>
    <xf numFmtId="38" fontId="128" fillId="3" borderId="1" xfId="0" applyNumberFormat="1" applyFont="1" applyFill="1" applyBorder="1">
      <alignment vertical="center"/>
    </xf>
    <xf numFmtId="38" fontId="128" fillId="3" borderId="61" xfId="0" applyNumberFormat="1" applyFont="1" applyFill="1" applyBorder="1">
      <alignment vertical="center"/>
    </xf>
    <xf numFmtId="38" fontId="128" fillId="4" borderId="20" xfId="0" applyNumberFormat="1" applyFont="1" applyFill="1" applyBorder="1">
      <alignment vertical="center"/>
    </xf>
    <xf numFmtId="41" fontId="118" fillId="10" borderId="67" xfId="0" applyNumberFormat="1" applyFont="1" applyFill="1" applyBorder="1">
      <alignment vertical="center"/>
    </xf>
    <xf numFmtId="41" fontId="118" fillId="0" borderId="90" xfId="0" applyNumberFormat="1" applyFont="1" applyBorder="1">
      <alignment vertical="center"/>
    </xf>
    <xf numFmtId="41" fontId="118" fillId="3" borderId="79" xfId="0" applyNumberFormat="1" applyFont="1" applyFill="1" applyBorder="1">
      <alignment vertical="center"/>
    </xf>
    <xf numFmtId="41" fontId="118" fillId="0" borderId="79" xfId="0" applyNumberFormat="1" applyFont="1" applyBorder="1">
      <alignment vertical="center"/>
    </xf>
    <xf numFmtId="41" fontId="118" fillId="0" borderId="3" xfId="0" applyNumberFormat="1" applyFont="1" applyBorder="1">
      <alignment vertical="center"/>
    </xf>
    <xf numFmtId="41" fontId="118" fillId="3" borderId="149" xfId="0" applyNumberFormat="1" applyFont="1" applyFill="1" applyBorder="1">
      <alignment vertical="center"/>
    </xf>
    <xf numFmtId="41" fontId="128" fillId="0" borderId="76" xfId="0" applyNumberFormat="1" applyFont="1" applyBorder="1">
      <alignment vertical="center"/>
    </xf>
    <xf numFmtId="41" fontId="118" fillId="3" borderId="52" xfId="0" applyNumberFormat="1" applyFont="1" applyFill="1" applyBorder="1">
      <alignment vertical="center"/>
    </xf>
    <xf numFmtId="41" fontId="118" fillId="3" borderId="9" xfId="0" applyNumberFormat="1" applyFont="1" applyFill="1" applyBorder="1">
      <alignment vertical="center"/>
    </xf>
    <xf numFmtId="185" fontId="118" fillId="3" borderId="3" xfId="0" applyNumberFormat="1" applyFont="1" applyFill="1" applyBorder="1">
      <alignment vertical="center"/>
    </xf>
    <xf numFmtId="41" fontId="118" fillId="3" borderId="11" xfId="0" applyNumberFormat="1" applyFont="1" applyFill="1" applyBorder="1">
      <alignment vertical="center"/>
    </xf>
    <xf numFmtId="41" fontId="118" fillId="3" borderId="48" xfId="0" applyNumberFormat="1" applyFont="1" applyFill="1" applyBorder="1">
      <alignment vertical="center"/>
    </xf>
    <xf numFmtId="41" fontId="128" fillId="0" borderId="77" xfId="0" applyNumberFormat="1" applyFont="1" applyBorder="1">
      <alignment vertical="center"/>
    </xf>
    <xf numFmtId="41" fontId="128" fillId="4" borderId="20" xfId="0" applyNumberFormat="1" applyFont="1" applyFill="1" applyBorder="1">
      <alignment vertical="center"/>
    </xf>
    <xf numFmtId="43" fontId="128" fillId="4" borderId="18" xfId="0" applyNumberFormat="1" applyFont="1" applyFill="1" applyBorder="1" applyAlignment="1">
      <alignment horizontal="center" vertical="center"/>
    </xf>
    <xf numFmtId="184" fontId="118" fillId="3" borderId="5" xfId="0" applyNumberFormat="1" applyFont="1" applyFill="1" applyBorder="1" applyAlignment="1">
      <alignment horizontal="right" vertical="center"/>
    </xf>
    <xf numFmtId="184" fontId="118" fillId="10" borderId="28" xfId="0" applyNumberFormat="1" applyFont="1" applyFill="1" applyBorder="1" applyAlignment="1">
      <alignment horizontal="right" vertical="center"/>
    </xf>
    <xf numFmtId="184" fontId="118" fillId="3" borderId="28" xfId="0" applyNumberFormat="1" applyFont="1" applyFill="1" applyBorder="1" applyAlignment="1">
      <alignment horizontal="right" vertical="center"/>
    </xf>
    <xf numFmtId="187" fontId="128" fillId="4" borderId="18" xfId="0" applyNumberFormat="1" applyFont="1" applyFill="1" applyBorder="1" applyAlignment="1">
      <alignment horizontal="center" vertical="center"/>
    </xf>
    <xf numFmtId="9" fontId="118" fillId="3" borderId="112" xfId="0" applyNumberFormat="1" applyFont="1" applyFill="1" applyBorder="1" applyAlignment="1">
      <alignment horizontal="center" vertical="center"/>
    </xf>
    <xf numFmtId="9" fontId="128" fillId="3" borderId="77" xfId="0" applyNumberFormat="1" applyFont="1" applyFill="1" applyBorder="1" applyAlignment="1">
      <alignment horizontal="center" vertical="center"/>
    </xf>
    <xf numFmtId="41" fontId="118" fillId="32" borderId="54" xfId="0" applyNumberFormat="1" applyFont="1" applyFill="1" applyBorder="1">
      <alignment vertical="center"/>
    </xf>
    <xf numFmtId="41" fontId="118" fillId="32" borderId="11" xfId="0" applyNumberFormat="1" applyFont="1" applyFill="1" applyBorder="1">
      <alignment vertical="center"/>
    </xf>
    <xf numFmtId="41" fontId="118" fillId="32" borderId="4" xfId="0" applyNumberFormat="1" applyFont="1" applyFill="1" applyBorder="1">
      <alignment vertical="center"/>
    </xf>
    <xf numFmtId="41" fontId="118" fillId="24" borderId="4" xfId="0" applyNumberFormat="1" applyFont="1" applyFill="1" applyBorder="1">
      <alignment vertical="center"/>
    </xf>
    <xf numFmtId="187" fontId="118" fillId="3" borderId="22" xfId="0" applyNumberFormat="1" applyFont="1" applyFill="1" applyBorder="1">
      <alignment vertical="center"/>
    </xf>
    <xf numFmtId="0" fontId="131" fillId="3" borderId="0" xfId="0" applyFont="1" applyFill="1">
      <alignment vertical="center"/>
    </xf>
    <xf numFmtId="41" fontId="118" fillId="3" borderId="10" xfId="0" applyNumberFormat="1" applyFont="1" applyFill="1" applyBorder="1">
      <alignment vertical="center"/>
    </xf>
    <xf numFmtId="41" fontId="118" fillId="3" borderId="72" xfId="0" applyNumberFormat="1" applyFont="1" applyFill="1" applyBorder="1">
      <alignment vertical="center"/>
    </xf>
    <xf numFmtId="41" fontId="118" fillId="3" borderId="90" xfId="0" applyNumberFormat="1" applyFont="1" applyFill="1" applyBorder="1">
      <alignment vertical="center"/>
    </xf>
    <xf numFmtId="41" fontId="118" fillId="28" borderId="10" xfId="0" applyNumberFormat="1" applyFont="1" applyFill="1" applyBorder="1">
      <alignment vertical="center"/>
    </xf>
    <xf numFmtId="41" fontId="118" fillId="28" borderId="87" xfId="0" applyNumberFormat="1" applyFont="1" applyFill="1" applyBorder="1">
      <alignment vertical="center"/>
    </xf>
    <xf numFmtId="41" fontId="118" fillId="28" borderId="90" xfId="0" applyNumberFormat="1" applyFont="1" applyFill="1" applyBorder="1">
      <alignment vertical="center"/>
    </xf>
    <xf numFmtId="41" fontId="118" fillId="4" borderId="10" xfId="0" applyNumberFormat="1" applyFont="1" applyFill="1" applyBorder="1" applyAlignment="1">
      <alignment horizontal="center" vertical="center"/>
    </xf>
    <xf numFmtId="41" fontId="128" fillId="13" borderId="67" xfId="0" applyNumberFormat="1" applyFont="1" applyFill="1" applyBorder="1">
      <alignment vertical="center"/>
    </xf>
    <xf numFmtId="41" fontId="128" fillId="13" borderId="18" xfId="0" applyNumberFormat="1" applyFont="1" applyFill="1" applyBorder="1">
      <alignment vertical="center"/>
    </xf>
    <xf numFmtId="41" fontId="128" fillId="10" borderId="18" xfId="0" applyNumberFormat="1" applyFont="1" applyFill="1" applyBorder="1">
      <alignment vertical="center"/>
    </xf>
    <xf numFmtId="41" fontId="118" fillId="2" borderId="1" xfId="0" applyNumberFormat="1" applyFont="1" applyFill="1" applyBorder="1">
      <alignment vertical="center"/>
    </xf>
    <xf numFmtId="41" fontId="118" fillId="42" borderId="119" xfId="0" applyNumberFormat="1" applyFont="1" applyFill="1" applyBorder="1">
      <alignment vertical="center"/>
    </xf>
    <xf numFmtId="41" fontId="118" fillId="32" borderId="119" xfId="0" applyNumberFormat="1" applyFont="1" applyFill="1" applyBorder="1">
      <alignment vertical="center"/>
    </xf>
    <xf numFmtId="41" fontId="118" fillId="32" borderId="131" xfId="0" applyNumberFormat="1" applyFont="1" applyFill="1" applyBorder="1">
      <alignment vertical="center"/>
    </xf>
    <xf numFmtId="41" fontId="118" fillId="31" borderId="7" xfId="0" applyNumberFormat="1" applyFont="1" applyFill="1" applyBorder="1">
      <alignment vertical="center"/>
    </xf>
    <xf numFmtId="41" fontId="118" fillId="29" borderId="119" xfId="0" applyNumberFormat="1" applyFont="1" applyFill="1" applyBorder="1">
      <alignment vertical="center"/>
    </xf>
    <xf numFmtId="41" fontId="118" fillId="42" borderId="152" xfId="0" applyNumberFormat="1" applyFont="1" applyFill="1" applyBorder="1">
      <alignment vertical="center"/>
    </xf>
    <xf numFmtId="41" fontId="118" fillId="22" borderId="3" xfId="0" applyNumberFormat="1" applyFont="1" applyFill="1" applyBorder="1">
      <alignment vertical="center"/>
    </xf>
    <xf numFmtId="41" fontId="128" fillId="21" borderId="18" xfId="0" applyNumberFormat="1" applyFont="1" applyFill="1" applyBorder="1">
      <alignment vertical="center"/>
    </xf>
    <xf numFmtId="41" fontId="118" fillId="0" borderId="0" xfId="0" applyNumberFormat="1" applyFont="1" applyAlignment="1">
      <alignment horizontal="right" vertical="center"/>
    </xf>
    <xf numFmtId="187" fontId="118" fillId="3" borderId="27" xfId="0" applyNumberFormat="1" applyFont="1" applyFill="1" applyBorder="1" applyAlignment="1">
      <alignment horizontal="center" vertical="center"/>
    </xf>
    <xf numFmtId="185" fontId="128" fillId="4" borderId="18" xfId="0" applyNumberFormat="1" applyFont="1" applyFill="1" applyBorder="1">
      <alignment vertical="center"/>
    </xf>
    <xf numFmtId="187" fontId="118" fillId="3" borderId="1" xfId="0" applyNumberFormat="1" applyFont="1" applyFill="1" applyBorder="1">
      <alignment vertical="center"/>
    </xf>
    <xf numFmtId="41" fontId="118" fillId="3" borderId="1" xfId="0" applyNumberFormat="1" applyFont="1" applyFill="1" applyBorder="1" applyAlignment="1">
      <alignment horizontal="left" vertical="center" indent="1"/>
    </xf>
    <xf numFmtId="187" fontId="118" fillId="3" borderId="1" xfId="0" applyNumberFormat="1" applyFont="1" applyFill="1" applyBorder="1" applyAlignment="1">
      <alignment horizontal="left" vertical="center" indent="1"/>
    </xf>
    <xf numFmtId="41" fontId="118" fillId="3" borderId="82" xfId="0" applyNumberFormat="1" applyFont="1" applyFill="1" applyBorder="1" applyAlignment="1">
      <alignment vertical="center" shrinkToFit="1"/>
    </xf>
    <xf numFmtId="41" fontId="118" fillId="3" borderId="7" xfId="0" applyNumberFormat="1" applyFont="1" applyFill="1" applyBorder="1" applyAlignment="1">
      <alignment vertical="center" shrinkToFit="1"/>
    </xf>
    <xf numFmtId="41" fontId="118" fillId="3" borderId="160" xfId="0" applyNumberFormat="1" applyFont="1" applyFill="1" applyBorder="1" applyAlignment="1">
      <alignment vertical="center" shrinkToFit="1"/>
    </xf>
    <xf numFmtId="0" fontId="128" fillId="4" borderId="27" xfId="0" applyFont="1" applyFill="1" applyBorder="1" applyAlignment="1">
      <alignment horizontal="center" vertical="center"/>
    </xf>
    <xf numFmtId="41" fontId="118" fillId="0" borderId="77" xfId="0" applyNumberFormat="1" applyFont="1" applyBorder="1">
      <alignment vertical="center"/>
    </xf>
    <xf numFmtId="10" fontId="118" fillId="0" borderId="0" xfId="0" applyNumberFormat="1" applyFont="1">
      <alignment vertical="center"/>
    </xf>
    <xf numFmtId="187" fontId="118" fillId="3" borderId="27" xfId="0" applyNumberFormat="1" applyFont="1" applyFill="1" applyBorder="1">
      <alignment vertical="center"/>
    </xf>
    <xf numFmtId="41" fontId="118" fillId="3" borderId="196" xfId="0" applyNumberFormat="1" applyFont="1" applyFill="1" applyBorder="1">
      <alignment vertical="center"/>
    </xf>
    <xf numFmtId="187" fontId="118" fillId="3" borderId="2" xfId="0" applyNumberFormat="1" applyFont="1" applyFill="1" applyBorder="1" applyAlignment="1">
      <alignment horizontal="left" vertical="center" indent="1"/>
    </xf>
    <xf numFmtId="187" fontId="118" fillId="3" borderId="3" xfId="0" applyNumberFormat="1" applyFont="1" applyFill="1" applyBorder="1" applyAlignment="1">
      <alignment horizontal="left" vertical="center" indent="1"/>
    </xf>
    <xf numFmtId="187" fontId="118" fillId="3" borderId="79" xfId="0" applyNumberFormat="1" applyFont="1" applyFill="1" applyBorder="1" applyAlignment="1">
      <alignment horizontal="left" vertical="center" indent="1"/>
    </xf>
    <xf numFmtId="187" fontId="118" fillId="0" borderId="3" xfId="0" applyNumberFormat="1" applyFont="1" applyBorder="1" applyAlignment="1">
      <alignment horizontal="left" vertical="center" indent="1"/>
    </xf>
    <xf numFmtId="187" fontId="128" fillId="3" borderId="1" xfId="0" applyNumberFormat="1" applyFont="1" applyFill="1" applyBorder="1">
      <alignment vertical="center"/>
    </xf>
    <xf numFmtId="9" fontId="118" fillId="4" borderId="18" xfId="0" applyNumberFormat="1" applyFont="1" applyFill="1" applyBorder="1" applyAlignment="1">
      <alignment horizontal="right" vertical="center"/>
    </xf>
    <xf numFmtId="41" fontId="128" fillId="4" borderId="18" xfId="0" applyNumberFormat="1" applyFont="1" applyFill="1" applyBorder="1" applyAlignment="1">
      <alignment vertical="center" shrinkToFit="1"/>
    </xf>
    <xf numFmtId="182" fontId="118" fillId="4" borderId="18" xfId="0" applyNumberFormat="1" applyFont="1" applyFill="1" applyBorder="1" applyAlignment="1">
      <alignment vertical="center" shrinkToFit="1"/>
    </xf>
    <xf numFmtId="41" fontId="118" fillId="3" borderId="159" xfId="0" applyNumberFormat="1" applyFont="1" applyFill="1" applyBorder="1">
      <alignment vertical="center"/>
    </xf>
    <xf numFmtId="41" fontId="118" fillId="3" borderId="18" xfId="0" applyNumberFormat="1" applyFont="1" applyFill="1" applyBorder="1">
      <alignment vertical="center"/>
    </xf>
    <xf numFmtId="198" fontId="118" fillId="0" borderId="0" xfId="0" applyNumberFormat="1" applyFont="1">
      <alignment vertical="center"/>
    </xf>
    <xf numFmtId="41" fontId="51" fillId="26" borderId="18" xfId="0" applyNumberFormat="1" applyFont="1" applyFill="1" applyBorder="1" applyAlignment="1"/>
    <xf numFmtId="41" fontId="131" fillId="3" borderId="0" xfId="0" applyNumberFormat="1" applyFont="1" applyFill="1">
      <alignment vertical="center"/>
    </xf>
    <xf numFmtId="187" fontId="93" fillId="3" borderId="210" xfId="0" applyNumberFormat="1" applyFont="1" applyFill="1" applyBorder="1">
      <alignment vertical="center"/>
    </xf>
    <xf numFmtId="187" fontId="93" fillId="3" borderId="22" xfId="0" applyNumberFormat="1" applyFont="1" applyFill="1" applyBorder="1">
      <alignment vertical="center"/>
    </xf>
    <xf numFmtId="9" fontId="118" fillId="3" borderId="5" xfId="0" applyNumberFormat="1" applyFont="1" applyFill="1" applyBorder="1">
      <alignment vertical="center"/>
    </xf>
    <xf numFmtId="184" fontId="118" fillId="3" borderId="61" xfId="0" applyNumberFormat="1" applyFont="1" applyFill="1" applyBorder="1">
      <alignment vertical="center"/>
    </xf>
    <xf numFmtId="184" fontId="118" fillId="3" borderId="1" xfId="0" applyNumberFormat="1" applyFont="1" applyFill="1" applyBorder="1">
      <alignment vertical="center"/>
    </xf>
    <xf numFmtId="184" fontId="118" fillId="3" borderId="28" xfId="0" applyNumberFormat="1" applyFont="1" applyFill="1" applyBorder="1">
      <alignment vertical="center"/>
    </xf>
    <xf numFmtId="184" fontId="128" fillId="3" borderId="5" xfId="0" applyNumberFormat="1" applyFont="1" applyFill="1" applyBorder="1">
      <alignment vertical="center"/>
    </xf>
    <xf numFmtId="184" fontId="128" fillId="3" borderId="28" xfId="0" applyNumberFormat="1" applyFont="1" applyFill="1" applyBorder="1">
      <alignment vertical="center"/>
    </xf>
    <xf numFmtId="184" fontId="128" fillId="3" borderId="77" xfId="0" applyNumberFormat="1" applyFont="1" applyFill="1" applyBorder="1">
      <alignment vertical="center"/>
    </xf>
    <xf numFmtId="184" fontId="118" fillId="3" borderId="65" xfId="0" applyNumberFormat="1" applyFont="1" applyFill="1" applyBorder="1">
      <alignment vertical="center"/>
    </xf>
    <xf numFmtId="184" fontId="118" fillId="3" borderId="42" xfId="0" applyNumberFormat="1" applyFont="1" applyFill="1" applyBorder="1">
      <alignment vertical="center"/>
    </xf>
    <xf numFmtId="184" fontId="128" fillId="3" borderId="68" xfId="0" applyNumberFormat="1" applyFont="1" applyFill="1" applyBorder="1">
      <alignment vertical="center"/>
    </xf>
    <xf numFmtId="9" fontId="118" fillId="0" borderId="65" xfId="0" applyNumberFormat="1" applyFont="1" applyBorder="1">
      <alignment vertical="center"/>
    </xf>
    <xf numFmtId="9" fontId="118" fillId="0" borderId="8" xfId="0" applyNumberFormat="1" applyFont="1" applyBorder="1">
      <alignment vertical="center"/>
    </xf>
    <xf numFmtId="182" fontId="118" fillId="2" borderId="43" xfId="0" applyNumberFormat="1" applyFont="1" applyFill="1" applyBorder="1">
      <alignment vertical="center"/>
    </xf>
    <xf numFmtId="9" fontId="118" fillId="0" borderId="5" xfId="0" applyNumberFormat="1" applyFont="1" applyBorder="1">
      <alignment vertical="center"/>
    </xf>
    <xf numFmtId="184" fontId="118" fillId="0" borderId="61" xfId="0" applyNumberFormat="1" applyFont="1" applyBorder="1">
      <alignment vertical="center"/>
    </xf>
    <xf numFmtId="184" fontId="118" fillId="2" borderId="112" xfId="0" applyNumberFormat="1" applyFont="1" applyFill="1" applyBorder="1">
      <alignment vertical="center"/>
    </xf>
    <xf numFmtId="184" fontId="118" fillId="2" borderId="77" xfId="0" applyNumberFormat="1" applyFont="1" applyFill="1" applyBorder="1">
      <alignment vertical="center"/>
    </xf>
    <xf numFmtId="182" fontId="128" fillId="3" borderId="20" xfId="0" applyNumberFormat="1" applyFont="1" applyFill="1" applyBorder="1">
      <alignment vertical="center"/>
    </xf>
    <xf numFmtId="0" fontId="209" fillId="0" borderId="0" xfId="0" applyFont="1">
      <alignment vertical="center"/>
    </xf>
    <xf numFmtId="41" fontId="209" fillId="0" borderId="0" xfId="9" applyFont="1">
      <alignment vertical="center"/>
    </xf>
    <xf numFmtId="0" fontId="68" fillId="43" borderId="16" xfId="0" applyFont="1" applyFill="1" applyBorder="1" applyAlignment="1">
      <alignment horizontal="center" vertical="center"/>
    </xf>
    <xf numFmtId="0" fontId="68" fillId="43" borderId="17" xfId="0" applyFont="1" applyFill="1" applyBorder="1" applyAlignment="1">
      <alignment horizontal="center" vertical="center"/>
    </xf>
    <xf numFmtId="41" fontId="68" fillId="43" borderId="18" xfId="9" applyFont="1" applyFill="1" applyBorder="1" applyAlignment="1">
      <alignment horizontal="center" vertical="center"/>
    </xf>
    <xf numFmtId="41" fontId="68" fillId="43" borderId="20" xfId="9" applyFont="1" applyFill="1" applyBorder="1" applyAlignment="1">
      <alignment horizontal="center" vertical="center"/>
    </xf>
    <xf numFmtId="17" fontId="68" fillId="43" borderId="15" xfId="0" applyNumberFormat="1" applyFont="1" applyFill="1" applyBorder="1" applyAlignment="1">
      <alignment horizontal="center" vertical="center"/>
    </xf>
    <xf numFmtId="17" fontId="68" fillId="43" borderId="20" xfId="0" applyNumberFormat="1" applyFont="1" applyFill="1" applyBorder="1" applyAlignment="1">
      <alignment horizontal="center" vertical="center"/>
    </xf>
    <xf numFmtId="41" fontId="0" fillId="43" borderId="45" xfId="9" applyFont="1" applyFill="1" applyBorder="1">
      <alignment vertical="center"/>
    </xf>
    <xf numFmtId="0" fontId="210" fillId="2" borderId="195" xfId="0" applyFont="1" applyFill="1" applyBorder="1" applyAlignment="1">
      <alignment horizontal="center" vertical="center"/>
    </xf>
    <xf numFmtId="0" fontId="210" fillId="2" borderId="51" xfId="0" applyFont="1" applyFill="1" applyBorder="1">
      <alignment vertical="center"/>
    </xf>
    <xf numFmtId="41" fontId="210" fillId="2" borderId="52" xfId="9" applyFont="1" applyFill="1" applyBorder="1">
      <alignment vertical="center"/>
    </xf>
    <xf numFmtId="41" fontId="210" fillId="2" borderId="82" xfId="9" applyFont="1" applyFill="1" applyBorder="1">
      <alignment vertical="center"/>
    </xf>
    <xf numFmtId="41" fontId="210" fillId="2" borderId="194" xfId="9" applyFont="1" applyFill="1" applyBorder="1" applyAlignment="1">
      <alignment horizontal="center" vertical="center"/>
    </xf>
    <xf numFmtId="41" fontId="210" fillId="2" borderId="82" xfId="9" applyFont="1" applyFill="1" applyBorder="1" applyAlignment="1">
      <alignment horizontal="center" vertical="center"/>
    </xf>
    <xf numFmtId="41" fontId="0" fillId="0" borderId="21" xfId="9" applyFont="1" applyFill="1" applyBorder="1">
      <alignment vertical="center"/>
    </xf>
    <xf numFmtId="41" fontId="0" fillId="0" borderId="50" xfId="9" applyFont="1" applyBorder="1">
      <alignment vertical="center"/>
    </xf>
    <xf numFmtId="0" fontId="210" fillId="2" borderId="117" xfId="0" applyFont="1" applyFill="1" applyBorder="1" applyAlignment="1">
      <alignment horizontal="center" vertical="center"/>
    </xf>
    <xf numFmtId="0" fontId="210" fillId="2" borderId="23" xfId="0" applyFont="1" applyFill="1" applyBorder="1">
      <alignment vertical="center"/>
    </xf>
    <xf numFmtId="41" fontId="210" fillId="2" borderId="3" xfId="9" applyFont="1" applyFill="1" applyBorder="1">
      <alignment vertical="center"/>
    </xf>
    <xf numFmtId="41" fontId="210" fillId="2" borderId="7" xfId="9" applyFont="1" applyFill="1" applyBorder="1">
      <alignment vertical="center"/>
    </xf>
    <xf numFmtId="41" fontId="210" fillId="2" borderId="121" xfId="9" applyFont="1" applyFill="1" applyBorder="1" applyAlignment="1">
      <alignment horizontal="center" vertical="center"/>
    </xf>
    <xf numFmtId="41" fontId="210" fillId="2" borderId="7" xfId="9" applyFont="1" applyFill="1" applyBorder="1" applyAlignment="1">
      <alignment horizontal="center" vertical="center"/>
    </xf>
    <xf numFmtId="41" fontId="32" fillId="0" borderId="121" xfId="9" applyFont="1" applyFill="1" applyBorder="1" applyAlignment="1">
      <alignment horizontal="left" vertical="center"/>
    </xf>
    <xf numFmtId="41" fontId="0" fillId="0" borderId="0" xfId="9" applyFont="1" applyBorder="1">
      <alignment vertical="center"/>
    </xf>
    <xf numFmtId="0" fontId="32" fillId="0" borderId="117" xfId="0" applyFont="1" applyBorder="1" applyAlignment="1">
      <alignment horizontal="center" vertical="center"/>
    </xf>
    <xf numFmtId="0" fontId="32" fillId="0" borderId="23" xfId="0" applyFont="1" applyBorder="1">
      <alignment vertical="center"/>
    </xf>
    <xf numFmtId="41" fontId="0" fillId="0" borderId="3" xfId="9" applyFont="1" applyBorder="1">
      <alignment vertical="center"/>
    </xf>
    <xf numFmtId="41" fontId="0" fillId="0" borderId="7" xfId="9" applyFont="1" applyBorder="1">
      <alignment vertical="center"/>
    </xf>
    <xf numFmtId="41" fontId="32" fillId="0" borderId="121" xfId="9" applyFont="1" applyBorder="1" applyAlignment="1">
      <alignment horizontal="center" vertical="center"/>
    </xf>
    <xf numFmtId="41" fontId="32" fillId="0" borderId="7" xfId="9" applyFont="1" applyBorder="1" applyAlignment="1">
      <alignment horizontal="center" vertical="center"/>
    </xf>
    <xf numFmtId="41" fontId="32" fillId="0" borderId="121" xfId="9" applyFont="1" applyFill="1" applyBorder="1" applyAlignment="1">
      <alignment horizontal="center" vertical="center"/>
    </xf>
    <xf numFmtId="41" fontId="0" fillId="43" borderId="45" xfId="0" applyNumberFormat="1" applyFill="1" applyBorder="1">
      <alignment vertical="center"/>
    </xf>
    <xf numFmtId="0" fontId="67" fillId="44" borderId="117" xfId="0" applyFont="1" applyFill="1" applyBorder="1" applyAlignment="1">
      <alignment horizontal="center" vertical="center"/>
    </xf>
    <xf numFmtId="0" fontId="67" fillId="44" borderId="23" xfId="0" applyFont="1" applyFill="1" applyBorder="1">
      <alignment vertical="center"/>
    </xf>
    <xf numFmtId="41" fontId="67" fillId="44" borderId="3" xfId="9" applyFont="1" applyFill="1" applyBorder="1">
      <alignment vertical="center"/>
    </xf>
    <xf numFmtId="41" fontId="67" fillId="44" borderId="7" xfId="9" applyFont="1" applyFill="1" applyBorder="1">
      <alignment vertical="center"/>
    </xf>
    <xf numFmtId="41" fontId="67" fillId="44" borderId="121" xfId="9" applyFont="1" applyFill="1" applyBorder="1" applyAlignment="1">
      <alignment horizontal="center" vertical="center"/>
    </xf>
    <xf numFmtId="41" fontId="67" fillId="44" borderId="7" xfId="9" applyFont="1" applyFill="1" applyBorder="1" applyAlignment="1">
      <alignment horizontal="center" vertical="center"/>
    </xf>
    <xf numFmtId="41" fontId="67" fillId="0" borderId="7" xfId="9" applyFont="1" applyFill="1" applyBorder="1" applyAlignment="1">
      <alignment horizontal="center" vertical="center"/>
    </xf>
    <xf numFmtId="41" fontId="0" fillId="0" borderId="45" xfId="9" applyFont="1" applyBorder="1">
      <alignment vertical="center"/>
    </xf>
    <xf numFmtId="0" fontId="0" fillId="0" borderId="45" xfId="0" applyBorder="1">
      <alignment vertical="center"/>
    </xf>
    <xf numFmtId="0" fontId="0" fillId="0" borderId="50" xfId="0" applyBorder="1">
      <alignment vertical="center"/>
    </xf>
    <xf numFmtId="0" fontId="32" fillId="0" borderId="188" xfId="0" applyFont="1" applyBorder="1" applyAlignment="1">
      <alignment horizontal="center" vertical="center"/>
    </xf>
    <xf numFmtId="0" fontId="32" fillId="0" borderId="150" xfId="0" applyFont="1" applyBorder="1">
      <alignment vertical="center"/>
    </xf>
    <xf numFmtId="41" fontId="0" fillId="0" borderId="159" xfId="9" applyFont="1" applyBorder="1">
      <alignment vertical="center"/>
    </xf>
    <xf numFmtId="41" fontId="0" fillId="0" borderId="160" xfId="9" applyFont="1" applyBorder="1">
      <alignment vertical="center"/>
    </xf>
    <xf numFmtId="41" fontId="32" fillId="0" borderId="185" xfId="0" applyNumberFormat="1" applyFont="1" applyBorder="1" applyAlignment="1">
      <alignment horizontal="center" vertical="center"/>
    </xf>
    <xf numFmtId="41" fontId="32" fillId="0" borderId="160" xfId="0" applyNumberFormat="1" applyFont="1" applyBorder="1" applyAlignment="1">
      <alignment horizontal="center" vertical="center"/>
    </xf>
    <xf numFmtId="41" fontId="0" fillId="0" borderId="91" xfId="9" applyFont="1" applyBorder="1">
      <alignment vertical="center"/>
    </xf>
    <xf numFmtId="0" fontId="0" fillId="0" borderId="91" xfId="0" applyBorder="1">
      <alignment vertical="center"/>
    </xf>
    <xf numFmtId="41" fontId="0" fillId="0" borderId="0" xfId="9" applyFont="1">
      <alignment vertical="center"/>
    </xf>
    <xf numFmtId="0" fontId="68" fillId="43" borderId="67" xfId="0" applyFont="1" applyFill="1" applyBorder="1" applyAlignment="1">
      <alignment horizontal="center" vertical="center"/>
    </xf>
    <xf numFmtId="0" fontId="68" fillId="43" borderId="18" xfId="0" applyFont="1" applyFill="1" applyBorder="1" applyAlignment="1">
      <alignment horizontal="center" vertical="center"/>
    </xf>
    <xf numFmtId="17" fontId="68" fillId="43" borderId="17" xfId="0" applyNumberFormat="1" applyFont="1" applyFill="1" applyBorder="1" applyAlignment="1">
      <alignment horizontal="center" vertical="center"/>
    </xf>
    <xf numFmtId="17" fontId="68" fillId="43" borderId="18" xfId="0" applyNumberFormat="1" applyFont="1" applyFill="1" applyBorder="1" applyAlignment="1">
      <alignment horizontal="center" vertical="center"/>
    </xf>
    <xf numFmtId="0" fontId="0" fillId="43" borderId="81" xfId="0" applyFill="1" applyBorder="1" applyAlignment="1">
      <alignment horizontal="center" vertical="center"/>
    </xf>
    <xf numFmtId="0" fontId="0" fillId="43" borderId="52" xfId="0" applyFill="1" applyBorder="1">
      <alignment vertical="center"/>
    </xf>
    <xf numFmtId="41" fontId="0" fillId="43" borderId="52" xfId="9" applyFont="1" applyFill="1" applyBorder="1">
      <alignment vertical="center"/>
    </xf>
    <xf numFmtId="41" fontId="0" fillId="43" borderId="82" xfId="9" applyFont="1" applyFill="1" applyBorder="1">
      <alignment vertical="center"/>
    </xf>
    <xf numFmtId="0" fontId="0" fillId="0" borderId="231" xfId="0" applyBorder="1" applyAlignment="1">
      <alignment horizontal="center" vertical="center"/>
    </xf>
    <xf numFmtId="0" fontId="0" fillId="0" borderId="232" xfId="0" applyBorder="1" applyAlignment="1">
      <alignment horizontal="center" vertical="center"/>
    </xf>
    <xf numFmtId="0" fontId="0" fillId="19" borderId="232" xfId="0" applyFill="1" applyBorder="1" applyAlignment="1">
      <alignment horizontal="center" vertical="center"/>
    </xf>
    <xf numFmtId="0" fontId="0" fillId="43" borderId="232" xfId="0" applyFill="1" applyBorder="1" applyAlignment="1">
      <alignment horizontal="center" vertical="center"/>
    </xf>
    <xf numFmtId="0" fontId="0" fillId="43" borderId="233" xfId="0" applyFill="1" applyBorder="1" applyAlignment="1">
      <alignment horizontal="center" vertical="center"/>
    </xf>
    <xf numFmtId="41" fontId="0" fillId="0" borderId="194" xfId="9" applyFont="1" applyBorder="1">
      <alignment vertical="center"/>
    </xf>
    <xf numFmtId="0" fontId="0" fillId="43" borderId="79" xfId="0" applyFill="1" applyBorder="1" applyAlignment="1">
      <alignment horizontal="center" vertical="center"/>
    </xf>
    <xf numFmtId="0" fontId="0" fillId="43" borderId="3" xfId="0" applyFill="1" applyBorder="1">
      <alignment vertical="center"/>
    </xf>
    <xf numFmtId="41" fontId="0" fillId="43" borderId="3" xfId="9" applyFont="1" applyFill="1" applyBorder="1">
      <alignment vertical="center"/>
    </xf>
    <xf numFmtId="41" fontId="0" fillId="43" borderId="7" xfId="9" applyFont="1" applyFill="1" applyBorder="1">
      <alignment vertical="center"/>
    </xf>
    <xf numFmtId="0" fontId="0" fillId="0" borderId="234" xfId="0" applyBorder="1" applyAlignment="1">
      <alignment horizontal="center" vertical="center"/>
    </xf>
    <xf numFmtId="0" fontId="0" fillId="0" borderId="235" xfId="0" applyBorder="1" applyAlignment="1">
      <alignment horizontal="center" vertical="center"/>
    </xf>
    <xf numFmtId="0" fontId="0" fillId="2" borderId="235" xfId="0" applyFill="1" applyBorder="1" applyAlignment="1">
      <alignment horizontal="center" vertical="center"/>
    </xf>
    <xf numFmtId="0" fontId="0" fillId="43" borderId="235" xfId="0" applyFill="1" applyBorder="1" applyAlignment="1">
      <alignment horizontal="center" vertical="center"/>
    </xf>
    <xf numFmtId="0" fontId="0" fillId="43" borderId="236" xfId="0" applyFill="1" applyBorder="1" applyAlignment="1">
      <alignment horizontal="center" vertical="center"/>
    </xf>
    <xf numFmtId="41" fontId="0" fillId="0" borderId="121" xfId="9" applyFont="1" applyBorder="1">
      <alignment vertical="center"/>
    </xf>
    <xf numFmtId="0" fontId="0" fillId="0" borderId="235" xfId="0" applyBorder="1">
      <alignment vertical="center"/>
    </xf>
    <xf numFmtId="0" fontId="0" fillId="3" borderId="235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19" borderId="235" xfId="0" applyFill="1" applyBorder="1" applyAlignment="1">
      <alignment horizontal="center" vertical="center"/>
    </xf>
    <xf numFmtId="0" fontId="0" fillId="43" borderId="208" xfId="0" applyFill="1" applyBorder="1">
      <alignment vertical="center"/>
    </xf>
    <xf numFmtId="41" fontId="0" fillId="43" borderId="159" xfId="9" applyFont="1" applyFill="1" applyBorder="1">
      <alignment vertical="center"/>
    </xf>
    <xf numFmtId="41" fontId="0" fillId="43" borderId="160" xfId="9" applyFont="1" applyFill="1" applyBorder="1">
      <alignment vertical="center"/>
    </xf>
    <xf numFmtId="0" fontId="0" fillId="0" borderId="237" xfId="0" applyBorder="1" applyAlignment="1">
      <alignment horizontal="center" vertical="center"/>
    </xf>
    <xf numFmtId="0" fontId="0" fillId="0" borderId="238" xfId="0" applyBorder="1" applyAlignment="1">
      <alignment horizontal="center" vertical="center"/>
    </xf>
    <xf numFmtId="0" fontId="0" fillId="2" borderId="238" xfId="0" applyFill="1" applyBorder="1" applyAlignment="1">
      <alignment horizontal="center" vertical="center"/>
    </xf>
    <xf numFmtId="0" fontId="0" fillId="43" borderId="238" xfId="0" applyFill="1" applyBorder="1" applyAlignment="1">
      <alignment horizontal="center" vertical="center"/>
    </xf>
    <xf numFmtId="0" fontId="0" fillId="43" borderId="239" xfId="0" applyFill="1" applyBorder="1" applyAlignment="1">
      <alignment horizontal="center" vertical="center"/>
    </xf>
    <xf numFmtId="0" fontId="0" fillId="43" borderId="67" xfId="0" applyFill="1" applyBorder="1">
      <alignment vertical="center"/>
    </xf>
    <xf numFmtId="0" fontId="0" fillId="43" borderId="18" xfId="0" applyFill="1" applyBorder="1">
      <alignment vertical="center"/>
    </xf>
    <xf numFmtId="41" fontId="0" fillId="43" borderId="18" xfId="9" applyFont="1" applyFill="1" applyBorder="1">
      <alignment vertical="center"/>
    </xf>
    <xf numFmtId="41" fontId="0" fillId="43" borderId="20" xfId="9" applyFont="1" applyFill="1" applyBorder="1">
      <alignment vertical="center"/>
    </xf>
    <xf numFmtId="0" fontId="0" fillId="0" borderId="240" xfId="0" applyBorder="1">
      <alignment vertical="center"/>
    </xf>
    <xf numFmtId="0" fontId="0" fillId="0" borderId="241" xfId="0" applyBorder="1">
      <alignment vertical="center"/>
    </xf>
    <xf numFmtId="0" fontId="0" fillId="0" borderId="242" xfId="0" applyBorder="1">
      <alignment vertical="center"/>
    </xf>
    <xf numFmtId="0" fontId="0" fillId="0" borderId="15" xfId="0" applyBorder="1">
      <alignment vertical="center"/>
    </xf>
    <xf numFmtId="41" fontId="118" fillId="3" borderId="27" xfId="0" applyNumberFormat="1" applyFont="1" applyFill="1" applyBorder="1">
      <alignment vertical="center"/>
    </xf>
    <xf numFmtId="41" fontId="118" fillId="4" borderId="77" xfId="0" applyNumberFormat="1" applyFont="1" applyFill="1" applyBorder="1">
      <alignment vertical="center"/>
    </xf>
    <xf numFmtId="181" fontId="118" fillId="3" borderId="45" xfId="0" applyNumberFormat="1" applyFont="1" applyFill="1" applyBorder="1">
      <alignment vertical="center"/>
    </xf>
    <xf numFmtId="41" fontId="118" fillId="0" borderId="61" xfId="0" applyNumberFormat="1" applyFont="1" applyBorder="1">
      <alignment vertical="center"/>
    </xf>
    <xf numFmtId="41" fontId="118" fillId="3" borderId="112" xfId="0" applyNumberFormat="1" applyFont="1" applyFill="1" applyBorder="1">
      <alignment vertical="center"/>
    </xf>
    <xf numFmtId="0" fontId="118" fillId="4" borderId="18" xfId="0" applyFont="1" applyFill="1" applyBorder="1" applyAlignment="1">
      <alignment horizontal="center" vertical="center"/>
    </xf>
    <xf numFmtId="41" fontId="118" fillId="10" borderId="18" xfId="0" applyNumberFormat="1" applyFont="1" applyFill="1" applyBorder="1" applyAlignment="1">
      <alignment horizontal="center" vertical="center"/>
    </xf>
    <xf numFmtId="41" fontId="118" fillId="4" borderId="59" xfId="0" applyNumberFormat="1" applyFont="1" applyFill="1" applyBorder="1" applyAlignment="1">
      <alignment horizontal="center" vertical="center"/>
    </xf>
    <xf numFmtId="41" fontId="118" fillId="10" borderId="61" xfId="0" applyNumberFormat="1" applyFont="1" applyFill="1" applyBorder="1">
      <alignment vertical="center"/>
    </xf>
    <xf numFmtId="41" fontId="128" fillId="10" borderId="112" xfId="0" applyNumberFormat="1" applyFont="1" applyFill="1" applyBorder="1">
      <alignment vertical="center"/>
    </xf>
    <xf numFmtId="41" fontId="128" fillId="10" borderId="1" xfId="0" applyNumberFormat="1" applyFont="1" applyFill="1" applyBorder="1">
      <alignment vertical="center"/>
    </xf>
    <xf numFmtId="41" fontId="118" fillId="0" borderId="28" xfId="0" applyNumberFormat="1" applyFont="1" applyBorder="1">
      <alignment vertical="center"/>
    </xf>
    <xf numFmtId="41" fontId="118" fillId="3" borderId="77" xfId="0" applyNumberFormat="1" applyFont="1" applyFill="1" applyBorder="1">
      <alignment vertical="center"/>
    </xf>
    <xf numFmtId="187" fontId="118" fillId="3" borderId="26" xfId="0" applyNumberFormat="1" applyFont="1" applyFill="1" applyBorder="1">
      <alignment vertical="center"/>
    </xf>
    <xf numFmtId="41" fontId="128" fillId="3" borderId="62" xfId="0" applyNumberFormat="1" applyFont="1" applyFill="1" applyBorder="1">
      <alignment vertical="center"/>
    </xf>
    <xf numFmtId="41" fontId="118" fillId="3" borderId="72" xfId="0" applyNumberFormat="1" applyFont="1" applyFill="1" applyBorder="1" applyAlignment="1">
      <alignment horizontal="left" vertical="center" indent="1"/>
    </xf>
    <xf numFmtId="41" fontId="118" fillId="3" borderId="10" xfId="0" applyNumberFormat="1" applyFont="1" applyFill="1" applyBorder="1" applyAlignment="1">
      <alignment horizontal="left" vertical="center" indent="1"/>
    </xf>
    <xf numFmtId="185" fontId="128" fillId="3" borderId="76" xfId="0" applyNumberFormat="1" applyFont="1" applyFill="1" applyBorder="1">
      <alignment vertical="center"/>
    </xf>
    <xf numFmtId="187" fontId="118" fillId="10" borderId="27" xfId="0" applyNumberFormat="1" applyFont="1" applyFill="1" applyBorder="1">
      <alignment vertical="center"/>
    </xf>
    <xf numFmtId="187" fontId="118" fillId="10" borderId="1" xfId="0" applyNumberFormat="1" applyFont="1" applyFill="1" applyBorder="1">
      <alignment vertical="center"/>
    </xf>
    <xf numFmtId="41" fontId="128" fillId="10" borderId="28" xfId="0" applyNumberFormat="1" applyFont="1" applyFill="1" applyBorder="1">
      <alignment vertical="center"/>
    </xf>
    <xf numFmtId="41" fontId="118" fillId="10" borderId="61" xfId="0" applyNumberFormat="1" applyFont="1" applyFill="1" applyBorder="1" applyAlignment="1">
      <alignment horizontal="left" vertical="center" indent="1"/>
    </xf>
    <xf numFmtId="41" fontId="118" fillId="3" borderId="112" xfId="0" applyNumberFormat="1" applyFont="1" applyFill="1" applyBorder="1" applyAlignment="1">
      <alignment horizontal="center" vertical="center"/>
    </xf>
    <xf numFmtId="41" fontId="118" fillId="3" borderId="61" xfId="0" applyNumberFormat="1" applyFont="1" applyFill="1" applyBorder="1" applyAlignment="1">
      <alignment horizontal="center" vertical="center"/>
    </xf>
    <xf numFmtId="41" fontId="128" fillId="3" borderId="27" xfId="0" applyNumberFormat="1" applyFont="1" applyFill="1" applyBorder="1" applyAlignment="1">
      <alignment horizontal="center" vertical="center"/>
    </xf>
    <xf numFmtId="41" fontId="118" fillId="10" borderId="27" xfId="0" applyNumberFormat="1" applyFont="1" applyFill="1" applyBorder="1" applyAlignment="1">
      <alignment horizontal="center" vertical="center"/>
    </xf>
    <xf numFmtId="41" fontId="118" fillId="10" borderId="196" xfId="0" applyNumberFormat="1" applyFont="1" applyFill="1" applyBorder="1" applyAlignment="1">
      <alignment horizontal="center" vertical="center"/>
    </xf>
    <xf numFmtId="41" fontId="118" fillId="10" borderId="202" xfId="0" applyNumberFormat="1" applyFont="1" applyFill="1" applyBorder="1" applyAlignment="1">
      <alignment horizontal="center" vertical="center"/>
    </xf>
    <xf numFmtId="41" fontId="118" fillId="10" borderId="112" xfId="0" applyNumberFormat="1" applyFont="1" applyFill="1" applyBorder="1" applyAlignment="1">
      <alignment horizontal="center" vertical="center"/>
    </xf>
    <xf numFmtId="41" fontId="118" fillId="10" borderId="1" xfId="0" applyNumberFormat="1" applyFont="1" applyFill="1" applyBorder="1" applyAlignment="1">
      <alignment horizontal="center" vertical="center"/>
    </xf>
    <xf numFmtId="187" fontId="118" fillId="4" borderId="27" xfId="0" applyNumberFormat="1" applyFont="1" applyFill="1" applyBorder="1">
      <alignment vertical="center"/>
    </xf>
    <xf numFmtId="41" fontId="128" fillId="3" borderId="77" xfId="0" applyNumberFormat="1" applyFont="1" applyFill="1" applyBorder="1">
      <alignment vertical="center"/>
    </xf>
    <xf numFmtId="41" fontId="128" fillId="3" borderId="50" xfId="0" applyNumberFormat="1" applyFont="1" applyFill="1" applyBorder="1">
      <alignment vertical="center"/>
    </xf>
    <xf numFmtId="41" fontId="118" fillId="3" borderId="202" xfId="0" applyNumberFormat="1" applyFont="1" applyFill="1" applyBorder="1">
      <alignment vertical="center"/>
    </xf>
    <xf numFmtId="41" fontId="128" fillId="3" borderId="18" xfId="0" applyNumberFormat="1" applyFont="1" applyFill="1" applyBorder="1" applyAlignment="1">
      <alignment horizontal="right" vertical="center"/>
    </xf>
    <xf numFmtId="41" fontId="118" fillId="3" borderId="201" xfId="0" applyNumberFormat="1" applyFont="1" applyFill="1" applyBorder="1" applyAlignment="1">
      <alignment horizontal="right" vertical="center"/>
    </xf>
    <xf numFmtId="41" fontId="118" fillId="3" borderId="8" xfId="0" applyNumberFormat="1" applyFont="1" applyFill="1" applyBorder="1" applyAlignment="1">
      <alignment horizontal="right" vertical="center"/>
    </xf>
    <xf numFmtId="41" fontId="118" fillId="3" borderId="118" xfId="0" applyNumberFormat="1" applyFont="1" applyFill="1" applyBorder="1" applyAlignment="1">
      <alignment horizontal="right" vertical="center"/>
    </xf>
    <xf numFmtId="41" fontId="118" fillId="3" borderId="161" xfId="0" applyNumberFormat="1" applyFont="1" applyFill="1" applyBorder="1" applyAlignment="1">
      <alignment horizontal="right" vertical="center"/>
    </xf>
    <xf numFmtId="41" fontId="204" fillId="4" borderId="18" xfId="0" applyNumberFormat="1" applyFont="1" applyFill="1" applyBorder="1">
      <alignment vertical="center"/>
    </xf>
    <xf numFmtId="185" fontId="118" fillId="3" borderId="1" xfId="0" applyNumberFormat="1" applyFont="1" applyFill="1" applyBorder="1">
      <alignment vertical="center"/>
    </xf>
    <xf numFmtId="185" fontId="118" fillId="10" borderId="18" xfId="0" applyNumberFormat="1" applyFont="1" applyFill="1" applyBorder="1">
      <alignment vertical="center"/>
    </xf>
    <xf numFmtId="185" fontId="118" fillId="10" borderId="56" xfId="0" applyNumberFormat="1" applyFont="1" applyFill="1" applyBorder="1">
      <alignment vertical="center"/>
    </xf>
    <xf numFmtId="0" fontId="118" fillId="0" borderId="186" xfId="0" applyFont="1" applyBorder="1">
      <alignment vertical="center"/>
    </xf>
    <xf numFmtId="41" fontId="131" fillId="27" borderId="0" xfId="0" applyNumberFormat="1" applyFont="1" applyFill="1">
      <alignment vertical="center"/>
    </xf>
    <xf numFmtId="184" fontId="118" fillId="3" borderId="27" xfId="0" applyNumberFormat="1" applyFont="1" applyFill="1" applyBorder="1" applyAlignment="1">
      <alignment horizontal="right" vertical="center"/>
    </xf>
    <xf numFmtId="184" fontId="118" fillId="3" borderId="1" xfId="0" applyNumberFormat="1" applyFont="1" applyFill="1" applyBorder="1" applyAlignment="1">
      <alignment horizontal="right" vertical="center"/>
    </xf>
    <xf numFmtId="184" fontId="118" fillId="10" borderId="27" xfId="0" applyNumberFormat="1" applyFont="1" applyFill="1" applyBorder="1" applyAlignment="1">
      <alignment horizontal="right" vertical="center"/>
    </xf>
    <xf numFmtId="184" fontId="118" fillId="10" borderId="1" xfId="0" applyNumberFormat="1" applyFont="1" applyFill="1" applyBorder="1" applyAlignment="1">
      <alignment horizontal="right" vertical="center"/>
    </xf>
    <xf numFmtId="0" fontId="118" fillId="4" borderId="112" xfId="0" applyFont="1" applyFill="1" applyBorder="1" applyAlignment="1">
      <alignment horizontal="center" vertical="center"/>
    </xf>
    <xf numFmtId="184" fontId="118" fillId="0" borderId="28" xfId="0" applyNumberFormat="1" applyFont="1" applyBorder="1" applyAlignment="1">
      <alignment horizontal="right" vertical="center"/>
    </xf>
    <xf numFmtId="182" fontId="128" fillId="4" borderId="77" xfId="0" applyNumberFormat="1" applyFont="1" applyFill="1" applyBorder="1" applyAlignment="1">
      <alignment horizontal="center" vertical="center"/>
    </xf>
    <xf numFmtId="41" fontId="128" fillId="26" borderId="18" xfId="0" applyNumberFormat="1" applyFont="1" applyFill="1" applyBorder="1">
      <alignment vertical="center"/>
    </xf>
    <xf numFmtId="195" fontId="118" fillId="0" borderId="77" xfId="0" applyNumberFormat="1" applyFont="1" applyBorder="1">
      <alignment vertical="center"/>
    </xf>
    <xf numFmtId="41" fontId="118" fillId="29" borderId="22" xfId="0" applyNumberFormat="1" applyFont="1" applyFill="1" applyBorder="1">
      <alignment vertical="center"/>
    </xf>
    <xf numFmtId="41" fontId="118" fillId="32" borderId="89" xfId="0" applyNumberFormat="1" applyFont="1" applyFill="1" applyBorder="1">
      <alignment vertical="center"/>
    </xf>
    <xf numFmtId="41" fontId="84" fillId="3" borderId="255" xfId="0" applyNumberFormat="1" applyFont="1" applyFill="1" applyBorder="1">
      <alignment vertical="center"/>
    </xf>
    <xf numFmtId="41" fontId="84" fillId="3" borderId="256" xfId="0" applyNumberFormat="1" applyFont="1" applyFill="1" applyBorder="1">
      <alignment vertical="center"/>
    </xf>
    <xf numFmtId="41" fontId="84" fillId="3" borderId="257" xfId="0" applyNumberFormat="1" applyFont="1" applyFill="1" applyBorder="1">
      <alignment vertical="center"/>
    </xf>
    <xf numFmtId="41" fontId="108" fillId="4" borderId="259" xfId="0" applyNumberFormat="1" applyFont="1" applyFill="1" applyBorder="1">
      <alignment vertical="center"/>
    </xf>
    <xf numFmtId="41" fontId="108" fillId="4" borderId="260" xfId="0" applyNumberFormat="1" applyFont="1" applyFill="1" applyBorder="1">
      <alignment vertical="center"/>
    </xf>
    <xf numFmtId="41" fontId="108" fillId="4" borderId="261" xfId="0" applyNumberFormat="1" applyFont="1" applyFill="1" applyBorder="1">
      <alignment vertical="center"/>
    </xf>
    <xf numFmtId="0" fontId="86" fillId="21" borderId="27" xfId="0" applyFont="1" applyFill="1" applyBorder="1">
      <alignment vertical="center"/>
    </xf>
    <xf numFmtId="0" fontId="86" fillId="21" borderId="262" xfId="0" applyFont="1" applyFill="1" applyBorder="1">
      <alignment vertical="center"/>
    </xf>
    <xf numFmtId="0" fontId="86" fillId="21" borderId="263" xfId="0" applyFont="1" applyFill="1" applyBorder="1">
      <alignment vertical="center"/>
    </xf>
    <xf numFmtId="0" fontId="86" fillId="39" borderId="161" xfId="0" applyFont="1" applyFill="1" applyBorder="1" applyAlignment="1">
      <alignment horizontal="center" vertical="center"/>
    </xf>
    <xf numFmtId="0" fontId="86" fillId="39" borderId="159" xfId="0" applyFont="1" applyFill="1" applyBorder="1" applyAlignment="1">
      <alignment horizontal="left" vertical="center"/>
    </xf>
    <xf numFmtId="194" fontId="86" fillId="39" borderId="159" xfId="0" applyNumberFormat="1" applyFont="1" applyFill="1" applyBorder="1" applyAlignment="1">
      <alignment horizontal="center" vertical="center"/>
    </xf>
    <xf numFmtId="0" fontId="86" fillId="39" borderId="188" xfId="0" applyFont="1" applyFill="1" applyBorder="1" applyAlignment="1">
      <alignment horizontal="center" vertical="center"/>
    </xf>
    <xf numFmtId="194" fontId="86" fillId="39" borderId="187" xfId="0" applyNumberFormat="1" applyFont="1" applyFill="1" applyBorder="1" applyAlignment="1">
      <alignment horizontal="center" vertical="center"/>
    </xf>
    <xf numFmtId="41" fontId="118" fillId="39" borderId="208" xfId="0" applyNumberFormat="1" applyFont="1" applyFill="1" applyBorder="1">
      <alignment vertical="center"/>
    </xf>
    <xf numFmtId="41" fontId="118" fillId="39" borderId="159" xfId="0" applyNumberFormat="1" applyFont="1" applyFill="1" applyBorder="1">
      <alignment vertical="center"/>
    </xf>
    <xf numFmtId="41" fontId="84" fillId="39" borderId="160" xfId="0" applyNumberFormat="1" applyFont="1" applyFill="1" applyBorder="1">
      <alignment vertical="center"/>
    </xf>
    <xf numFmtId="41" fontId="84" fillId="39" borderId="185" xfId="0" applyNumberFormat="1" applyFont="1" applyFill="1" applyBorder="1">
      <alignment vertical="center"/>
    </xf>
    <xf numFmtId="41" fontId="84" fillId="39" borderId="208" xfId="0" applyNumberFormat="1" applyFont="1" applyFill="1" applyBorder="1">
      <alignment vertical="center"/>
    </xf>
    <xf numFmtId="41" fontId="84" fillId="42" borderId="159" xfId="0" applyNumberFormat="1" applyFont="1" applyFill="1" applyBorder="1">
      <alignment vertical="center"/>
    </xf>
    <xf numFmtId="41" fontId="84" fillId="39" borderId="93" xfId="0" applyNumberFormat="1" applyFont="1" applyFill="1" applyBorder="1">
      <alignment vertical="center"/>
    </xf>
    <xf numFmtId="41" fontId="86" fillId="25" borderId="187" xfId="0" applyNumberFormat="1" applyFont="1" applyFill="1" applyBorder="1">
      <alignment vertical="center"/>
    </xf>
    <xf numFmtId="0" fontId="86" fillId="21" borderId="198" xfId="0" applyFont="1" applyFill="1" applyBorder="1">
      <alignment vertical="center"/>
    </xf>
    <xf numFmtId="0" fontId="86" fillId="21" borderId="202" xfId="0" applyFont="1" applyFill="1" applyBorder="1">
      <alignment vertical="center"/>
    </xf>
    <xf numFmtId="0" fontId="86" fillId="39" borderId="265" xfId="0" applyFont="1" applyFill="1" applyBorder="1" applyAlignment="1">
      <alignment horizontal="center" vertical="center"/>
    </xf>
    <xf numFmtId="41" fontId="118" fillId="42" borderId="266" xfId="0" applyNumberFormat="1" applyFont="1" applyFill="1" applyBorder="1">
      <alignment vertical="center"/>
    </xf>
    <xf numFmtId="41" fontId="84" fillId="42" borderId="213" xfId="0" applyNumberFormat="1" applyFont="1" applyFill="1" applyBorder="1">
      <alignment vertical="center"/>
    </xf>
    <xf numFmtId="41" fontId="86" fillId="25" borderId="216" xfId="0" applyNumberFormat="1" applyFont="1" applyFill="1" applyBorder="1">
      <alignment vertical="center"/>
    </xf>
    <xf numFmtId="41" fontId="118" fillId="2" borderId="87" xfId="0" applyNumberFormat="1" applyFont="1" applyFill="1" applyBorder="1">
      <alignment vertical="center"/>
    </xf>
    <xf numFmtId="41" fontId="118" fillId="2" borderId="11" xfId="0" applyNumberFormat="1" applyFont="1" applyFill="1" applyBorder="1">
      <alignment vertical="center"/>
    </xf>
    <xf numFmtId="41" fontId="84" fillId="2" borderId="119" xfId="0" applyNumberFormat="1" applyFont="1" applyFill="1" applyBorder="1">
      <alignment vertical="center"/>
    </xf>
    <xf numFmtId="41" fontId="84" fillId="2" borderId="120" xfId="0" applyNumberFormat="1" applyFont="1" applyFill="1" applyBorder="1">
      <alignment vertical="center"/>
    </xf>
    <xf numFmtId="41" fontId="84" fillId="2" borderId="123" xfId="0" applyNumberFormat="1" applyFont="1" applyFill="1" applyBorder="1">
      <alignment vertical="center"/>
    </xf>
    <xf numFmtId="41" fontId="84" fillId="2" borderId="11" xfId="0" applyNumberFormat="1" applyFont="1" applyFill="1" applyBorder="1">
      <alignment vertical="center"/>
    </xf>
    <xf numFmtId="0" fontId="116" fillId="42" borderId="8" xfId="0" applyFont="1" applyFill="1" applyBorder="1" applyAlignment="1">
      <alignment horizontal="left" vertical="center" wrapText="1"/>
    </xf>
    <xf numFmtId="194" fontId="116" fillId="2" borderId="1" xfId="0" applyNumberFormat="1" applyFont="1" applyFill="1" applyBorder="1">
      <alignment vertical="center"/>
    </xf>
    <xf numFmtId="0" fontId="116" fillId="2" borderId="24" xfId="0" applyFont="1" applyFill="1" applyBorder="1" applyAlignment="1">
      <alignment horizontal="center" vertical="center"/>
    </xf>
    <xf numFmtId="194" fontId="116" fillId="2" borderId="31" xfId="0" applyNumberFormat="1" applyFont="1" applyFill="1" applyBorder="1" applyAlignment="1">
      <alignment horizontal="center" vertical="center"/>
    </xf>
    <xf numFmtId="41" fontId="118" fillId="42" borderId="21" xfId="0" applyNumberFormat="1" applyFont="1" applyFill="1" applyBorder="1">
      <alignment vertical="center"/>
    </xf>
    <xf numFmtId="41" fontId="118" fillId="42" borderId="1" xfId="0" applyNumberFormat="1" applyFont="1" applyFill="1" applyBorder="1">
      <alignment vertical="center"/>
    </xf>
    <xf numFmtId="41" fontId="84" fillId="42" borderId="69" xfId="0" applyNumberFormat="1" applyFont="1" applyFill="1" applyBorder="1">
      <alignment vertical="center"/>
    </xf>
    <xf numFmtId="41" fontId="84" fillId="42" borderId="0" xfId="0" applyNumberFormat="1" applyFont="1" applyFill="1">
      <alignment vertical="center"/>
    </xf>
    <xf numFmtId="41" fontId="84" fillId="42" borderId="1" xfId="0" applyNumberFormat="1" applyFont="1" applyFill="1" applyBorder="1">
      <alignment vertical="center"/>
    </xf>
    <xf numFmtId="41" fontId="84" fillId="42" borderId="21" xfId="0" applyNumberFormat="1" applyFont="1" applyFill="1" applyBorder="1">
      <alignment vertical="center"/>
    </xf>
    <xf numFmtId="41" fontId="84" fillId="42" borderId="8" xfId="0" applyNumberFormat="1" applyFont="1" applyFill="1" applyBorder="1">
      <alignment vertical="center"/>
    </xf>
    <xf numFmtId="0" fontId="86" fillId="21" borderId="259" xfId="0" applyFont="1" applyFill="1" applyBorder="1">
      <alignment vertical="center"/>
    </xf>
    <xf numFmtId="0" fontId="86" fillId="39" borderId="259" xfId="0" applyFont="1" applyFill="1" applyBorder="1" applyAlignment="1">
      <alignment horizontal="center" vertical="center"/>
    </xf>
    <xf numFmtId="0" fontId="116" fillId="39" borderId="259" xfId="0" applyFont="1" applyFill="1" applyBorder="1" applyAlignment="1">
      <alignment horizontal="left" vertical="center" wrapText="1"/>
    </xf>
    <xf numFmtId="194" fontId="116" fillId="39" borderId="259" xfId="0" applyNumberFormat="1" applyFont="1" applyFill="1" applyBorder="1">
      <alignment vertical="center"/>
    </xf>
    <xf numFmtId="0" fontId="116" fillId="39" borderId="267" xfId="0" applyFont="1" applyFill="1" applyBorder="1" applyAlignment="1">
      <alignment horizontal="center" vertical="center"/>
    </xf>
    <xf numFmtId="194" fontId="116" fillId="39" borderId="268" xfId="0" applyNumberFormat="1" applyFont="1" applyFill="1" applyBorder="1" applyAlignment="1">
      <alignment horizontal="center" vertical="center"/>
    </xf>
    <xf numFmtId="41" fontId="118" fillId="42" borderId="269" xfId="0" applyNumberFormat="1" applyFont="1" applyFill="1" applyBorder="1">
      <alignment vertical="center"/>
    </xf>
    <xf numFmtId="41" fontId="118" fillId="42" borderId="270" xfId="0" applyNumberFormat="1" applyFont="1" applyFill="1" applyBorder="1">
      <alignment vertical="center"/>
    </xf>
    <xf numFmtId="41" fontId="84" fillId="42" borderId="260" xfId="0" applyNumberFormat="1" applyFont="1" applyFill="1" applyBorder="1">
      <alignment vertical="center"/>
    </xf>
    <xf numFmtId="41" fontId="84" fillId="42" borderId="269" xfId="0" applyNumberFormat="1" applyFont="1" applyFill="1" applyBorder="1">
      <alignment vertical="center"/>
    </xf>
    <xf numFmtId="41" fontId="84" fillId="42" borderId="259" xfId="0" applyNumberFormat="1" applyFont="1" applyFill="1" applyBorder="1">
      <alignment vertical="center"/>
    </xf>
    <xf numFmtId="41" fontId="84" fillId="42" borderId="267" xfId="0" applyNumberFormat="1" applyFont="1" applyFill="1" applyBorder="1">
      <alignment vertical="center"/>
    </xf>
    <xf numFmtId="41" fontId="84" fillId="42" borderId="270" xfId="0" applyNumberFormat="1" applyFont="1" applyFill="1" applyBorder="1">
      <alignment vertical="center"/>
    </xf>
    <xf numFmtId="41" fontId="108" fillId="4" borderId="268" xfId="0" applyNumberFormat="1" applyFont="1" applyFill="1" applyBorder="1">
      <alignment vertical="center"/>
    </xf>
    <xf numFmtId="41" fontId="86" fillId="21" borderId="268" xfId="0" applyNumberFormat="1" applyFont="1" applyFill="1" applyBorder="1">
      <alignment vertical="center"/>
    </xf>
    <xf numFmtId="0" fontId="86" fillId="21" borderId="258" xfId="0" applyFont="1" applyFill="1" applyBorder="1">
      <alignment vertical="center"/>
    </xf>
    <xf numFmtId="0" fontId="86" fillId="39" borderId="1" xfId="0" applyFont="1" applyFill="1" applyBorder="1" applyAlignment="1">
      <alignment horizontal="center" vertical="center"/>
    </xf>
    <xf numFmtId="41" fontId="84" fillId="42" borderId="266" xfId="0" applyNumberFormat="1" applyFont="1" applyFill="1" applyBorder="1">
      <alignment vertical="center"/>
    </xf>
    <xf numFmtId="41" fontId="108" fillId="21" borderId="271" xfId="0" applyNumberFormat="1" applyFont="1" applyFill="1" applyBorder="1">
      <alignment vertical="center"/>
    </xf>
    <xf numFmtId="41" fontId="108" fillId="25" borderId="31" xfId="0" applyNumberFormat="1" applyFont="1" applyFill="1" applyBorder="1">
      <alignment vertical="center"/>
    </xf>
    <xf numFmtId="41" fontId="118" fillId="42" borderId="131" xfId="0" applyNumberFormat="1" applyFont="1" applyFill="1" applyBorder="1">
      <alignment vertical="center"/>
    </xf>
    <xf numFmtId="41" fontId="84" fillId="42" borderId="129" xfId="0" applyNumberFormat="1" applyFont="1" applyFill="1" applyBorder="1">
      <alignment vertical="center"/>
    </xf>
    <xf numFmtId="41" fontId="84" fillId="42" borderId="193" xfId="0" applyNumberFormat="1" applyFont="1" applyFill="1" applyBorder="1">
      <alignment vertical="center"/>
    </xf>
    <xf numFmtId="41" fontId="84" fillId="42" borderId="132" xfId="0" applyNumberFormat="1" applyFont="1" applyFill="1" applyBorder="1">
      <alignment vertical="center"/>
    </xf>
    <xf numFmtId="41" fontId="128" fillId="25" borderId="67" xfId="0" applyNumberFormat="1" applyFont="1" applyFill="1" applyBorder="1">
      <alignment vertical="center"/>
    </xf>
    <xf numFmtId="41" fontId="128" fillId="25" borderId="18" xfId="0" applyNumberFormat="1" applyFont="1" applyFill="1" applyBorder="1">
      <alignment vertical="center"/>
    </xf>
    <xf numFmtId="41" fontId="108" fillId="25" borderId="20" xfId="0" applyNumberFormat="1" applyFont="1" applyFill="1" applyBorder="1">
      <alignment vertical="center"/>
    </xf>
    <xf numFmtId="41" fontId="108" fillId="25" borderId="17" xfId="0" applyNumberFormat="1" applyFont="1" applyFill="1" applyBorder="1">
      <alignment vertical="center"/>
    </xf>
    <xf numFmtId="41" fontId="108" fillId="25" borderId="19" xfId="0" applyNumberFormat="1" applyFont="1" applyFill="1" applyBorder="1">
      <alignment vertical="center"/>
    </xf>
    <xf numFmtId="41" fontId="86" fillId="21" borderId="29" xfId="0" applyNumberFormat="1" applyFont="1" applyFill="1" applyBorder="1">
      <alignment vertical="center"/>
    </xf>
    <xf numFmtId="191" fontId="118" fillId="0" borderId="0" xfId="0" applyNumberFormat="1" applyFont="1" applyAlignment="1">
      <alignment horizontal="center" vertical="center"/>
    </xf>
    <xf numFmtId="182" fontId="128" fillId="8" borderId="112" xfId="0" applyNumberFormat="1" applyFont="1" applyFill="1" applyBorder="1">
      <alignment vertical="center"/>
    </xf>
    <xf numFmtId="182" fontId="128" fillId="8" borderId="77" xfId="0" applyNumberFormat="1" applyFont="1" applyFill="1" applyBorder="1">
      <alignment vertical="center"/>
    </xf>
    <xf numFmtId="193" fontId="118" fillId="3" borderId="27" xfId="0" applyNumberFormat="1" applyFont="1" applyFill="1" applyBorder="1">
      <alignment vertical="center"/>
    </xf>
    <xf numFmtId="193" fontId="118" fillId="3" borderId="1" xfId="0" applyNumberFormat="1" applyFont="1" applyFill="1" applyBorder="1">
      <alignment vertical="center"/>
    </xf>
    <xf numFmtId="193" fontId="118" fillId="3" borderId="5" xfId="0" applyNumberFormat="1" applyFont="1" applyFill="1" applyBorder="1">
      <alignment vertical="center"/>
    </xf>
    <xf numFmtId="195" fontId="118" fillId="3" borderId="1" xfId="0" applyNumberFormat="1" applyFont="1" applyFill="1" applyBorder="1">
      <alignment vertical="center"/>
    </xf>
    <xf numFmtId="193" fontId="118" fillId="3" borderId="61" xfId="0" applyNumberFormat="1" applyFont="1" applyFill="1" applyBorder="1">
      <alignment vertical="center"/>
    </xf>
    <xf numFmtId="193" fontId="118" fillId="3" borderId="11" xfId="0" applyNumberFormat="1" applyFont="1" applyFill="1" applyBorder="1">
      <alignment vertical="center"/>
    </xf>
    <xf numFmtId="193" fontId="118" fillId="3" borderId="9" xfId="0" applyNumberFormat="1" applyFont="1" applyFill="1" applyBorder="1">
      <alignment vertical="center"/>
    </xf>
    <xf numFmtId="193" fontId="118" fillId="0" borderId="1" xfId="0" applyNumberFormat="1" applyFont="1" applyBorder="1">
      <alignment vertical="center"/>
    </xf>
    <xf numFmtId="193" fontId="118" fillId="0" borderId="9" xfId="0" applyNumberFormat="1" applyFont="1" applyBorder="1">
      <alignment vertical="center"/>
    </xf>
    <xf numFmtId="193" fontId="118" fillId="3" borderId="202" xfId="0" applyNumberFormat="1" applyFont="1" applyFill="1" applyBorder="1">
      <alignment vertical="center"/>
    </xf>
    <xf numFmtId="195" fontId="128" fillId="4" borderId="18" xfId="0" applyNumberFormat="1" applyFont="1" applyFill="1" applyBorder="1">
      <alignment vertical="center"/>
    </xf>
    <xf numFmtId="193" fontId="128" fillId="4" borderId="112" xfId="0" applyNumberFormat="1" applyFont="1" applyFill="1" applyBorder="1">
      <alignment vertical="center"/>
    </xf>
    <xf numFmtId="193" fontId="128" fillId="4" borderId="77" xfId="0" applyNumberFormat="1" applyFont="1" applyFill="1" applyBorder="1">
      <alignment vertical="center"/>
    </xf>
    <xf numFmtId="200" fontId="118" fillId="3" borderId="27" xfId="0" applyNumberFormat="1" applyFont="1" applyFill="1" applyBorder="1">
      <alignment vertical="center"/>
    </xf>
    <xf numFmtId="200" fontId="118" fillId="3" borderId="1" xfId="0" applyNumberFormat="1" applyFont="1" applyFill="1" applyBorder="1">
      <alignment vertical="center"/>
    </xf>
    <xf numFmtId="200" fontId="128" fillId="3" borderId="9" xfId="0" applyNumberFormat="1" applyFont="1" applyFill="1" applyBorder="1">
      <alignment vertical="center"/>
    </xf>
    <xf numFmtId="200" fontId="118" fillId="3" borderId="11" xfId="0" applyNumberFormat="1" applyFont="1" applyFill="1" applyBorder="1">
      <alignment vertical="center"/>
    </xf>
    <xf numFmtId="200" fontId="128" fillId="3" borderId="1" xfId="0" applyNumberFormat="1" applyFont="1" applyFill="1" applyBorder="1">
      <alignment vertical="center"/>
    </xf>
    <xf numFmtId="200" fontId="128" fillId="4" borderId="28" xfId="0" applyNumberFormat="1" applyFont="1" applyFill="1" applyBorder="1">
      <alignment vertical="center"/>
    </xf>
    <xf numFmtId="200" fontId="118" fillId="0" borderId="27" xfId="0" applyNumberFormat="1" applyFont="1" applyBorder="1">
      <alignment vertical="center"/>
    </xf>
    <xf numFmtId="200" fontId="118" fillId="0" borderId="1" xfId="0" applyNumberFormat="1" applyFont="1" applyBorder="1">
      <alignment vertical="center"/>
    </xf>
    <xf numFmtId="200" fontId="128" fillId="0" borderId="1" xfId="0" applyNumberFormat="1" applyFont="1" applyBorder="1">
      <alignment vertical="center"/>
    </xf>
    <xf numFmtId="200" fontId="128" fillId="3" borderId="11" xfId="0" applyNumberFormat="1" applyFont="1" applyFill="1" applyBorder="1">
      <alignment vertical="center"/>
    </xf>
    <xf numFmtId="200" fontId="128" fillId="0" borderId="77" xfId="0" applyNumberFormat="1" applyFont="1" applyBorder="1">
      <alignment vertical="center"/>
    </xf>
    <xf numFmtId="200" fontId="128" fillId="3" borderId="59" xfId="0" applyNumberFormat="1" applyFont="1" applyFill="1" applyBorder="1">
      <alignment vertical="center"/>
    </xf>
    <xf numFmtId="200" fontId="128" fillId="0" borderId="59" xfId="0" applyNumberFormat="1" applyFont="1" applyBorder="1">
      <alignment vertical="center"/>
    </xf>
    <xf numFmtId="217" fontId="118" fillId="3" borderId="1" xfId="0" applyNumberFormat="1" applyFont="1" applyFill="1" applyBorder="1">
      <alignment vertical="center"/>
    </xf>
    <xf numFmtId="187" fontId="118" fillId="3" borderId="5" xfId="0" applyNumberFormat="1" applyFont="1" applyFill="1" applyBorder="1">
      <alignment vertical="center"/>
    </xf>
    <xf numFmtId="196" fontId="118" fillId="3" borderId="1" xfId="0" applyNumberFormat="1" applyFont="1" applyFill="1" applyBorder="1">
      <alignment vertical="center"/>
    </xf>
    <xf numFmtId="196" fontId="118" fillId="3" borderId="61" xfId="0" applyNumberFormat="1" applyFont="1" applyFill="1" applyBorder="1">
      <alignment vertical="center"/>
    </xf>
    <xf numFmtId="196" fontId="118" fillId="3" borderId="11" xfId="0" applyNumberFormat="1" applyFont="1" applyFill="1" applyBorder="1">
      <alignment vertical="center"/>
    </xf>
    <xf numFmtId="196" fontId="118" fillId="3" borderId="9" xfId="0" applyNumberFormat="1" applyFont="1" applyFill="1" applyBorder="1">
      <alignment vertical="center"/>
    </xf>
    <xf numFmtId="196" fontId="118" fillId="3" borderId="196" xfId="0" applyNumberFormat="1" applyFont="1" applyFill="1" applyBorder="1">
      <alignment vertical="center"/>
    </xf>
    <xf numFmtId="196" fontId="118" fillId="3" borderId="1" xfId="0" applyNumberFormat="1" applyFont="1" applyFill="1" applyBorder="1" applyAlignment="1">
      <alignment horizontal="right" vertical="center"/>
    </xf>
    <xf numFmtId="196" fontId="118" fillId="3" borderId="202" xfId="0" applyNumberFormat="1" applyFont="1" applyFill="1" applyBorder="1" applyAlignment="1">
      <alignment horizontal="right" vertical="center"/>
    </xf>
    <xf numFmtId="196" fontId="118" fillId="3" borderId="5" xfId="0" applyNumberFormat="1" applyFont="1" applyFill="1" applyBorder="1" applyAlignment="1">
      <alignment horizontal="right" vertical="center"/>
    </xf>
    <xf numFmtId="196" fontId="118" fillId="3" borderId="4" xfId="0" applyNumberFormat="1" applyFont="1" applyFill="1" applyBorder="1">
      <alignment vertical="center"/>
    </xf>
    <xf numFmtId="41" fontId="128" fillId="3" borderId="5" xfId="0" applyNumberFormat="1" applyFont="1" applyFill="1" applyBorder="1">
      <alignment vertical="center"/>
    </xf>
    <xf numFmtId="193" fontId="128" fillId="3" borderId="28" xfId="0" applyNumberFormat="1" applyFont="1" applyFill="1" applyBorder="1">
      <alignment vertical="center"/>
    </xf>
    <xf numFmtId="193" fontId="128" fillId="4" borderId="18" xfId="0" applyNumberFormat="1" applyFont="1" applyFill="1" applyBorder="1">
      <alignment vertical="center"/>
    </xf>
    <xf numFmtId="193" fontId="128" fillId="3" borderId="196" xfId="0" applyNumberFormat="1" applyFont="1" applyFill="1" applyBorder="1">
      <alignment vertical="center"/>
    </xf>
    <xf numFmtId="187" fontId="128" fillId="4" borderId="77" xfId="0" applyNumberFormat="1" applyFont="1" applyFill="1" applyBorder="1">
      <alignment vertical="center"/>
    </xf>
    <xf numFmtId="182" fontId="118" fillId="3" borderId="27" xfId="0" applyNumberFormat="1" applyFont="1" applyFill="1" applyBorder="1">
      <alignment vertical="center"/>
    </xf>
    <xf numFmtId="182" fontId="118" fillId="3" borderId="1" xfId="0" applyNumberFormat="1" applyFont="1" applyFill="1" applyBorder="1">
      <alignment vertical="center"/>
    </xf>
    <xf numFmtId="182" fontId="128" fillId="4" borderId="77" xfId="0" applyNumberFormat="1" applyFont="1" applyFill="1" applyBorder="1">
      <alignment vertical="center"/>
    </xf>
    <xf numFmtId="41" fontId="128" fillId="4" borderId="18" xfId="0" applyNumberFormat="1" applyFont="1" applyFill="1" applyBorder="1" applyAlignment="1">
      <alignment horizontal="center" vertical="center"/>
    </xf>
    <xf numFmtId="41" fontId="128" fillId="4" borderId="202" xfId="0" applyNumberFormat="1" applyFont="1" applyFill="1" applyBorder="1">
      <alignment vertical="center"/>
    </xf>
    <xf numFmtId="41" fontId="128" fillId="0" borderId="1" xfId="0" applyNumberFormat="1" applyFont="1" applyBorder="1" applyAlignment="1">
      <alignment horizontal="center" vertical="center"/>
    </xf>
    <xf numFmtId="41" fontId="128" fillId="0" borderId="202" xfId="0" applyNumberFormat="1" applyFont="1" applyBorder="1" applyAlignment="1">
      <alignment horizontal="center" vertical="center"/>
    </xf>
    <xf numFmtId="41" fontId="128" fillId="3" borderId="1" xfId="0" applyNumberFormat="1" applyFont="1" applyFill="1" applyBorder="1">
      <alignment vertical="center"/>
    </xf>
    <xf numFmtId="41" fontId="118" fillId="10" borderId="77" xfId="0" applyNumberFormat="1" applyFont="1" applyFill="1" applyBorder="1">
      <alignment vertical="center"/>
    </xf>
    <xf numFmtId="41" fontId="118" fillId="10" borderId="59" xfId="0" applyNumberFormat="1" applyFont="1" applyFill="1" applyBorder="1">
      <alignment vertical="center"/>
    </xf>
    <xf numFmtId="180" fontId="118" fillId="0" borderId="0" xfId="1" applyFont="1" applyAlignment="1">
      <alignment vertical="center"/>
    </xf>
    <xf numFmtId="9" fontId="108" fillId="26" borderId="0" xfId="0" applyNumberFormat="1" applyFont="1" applyFill="1" applyAlignment="1">
      <alignment horizontal="left" vertical="center"/>
    </xf>
    <xf numFmtId="182" fontId="108" fillId="26" borderId="0" xfId="0" applyNumberFormat="1" applyFont="1" applyFill="1" applyAlignment="1">
      <alignment horizontal="left" vertical="center"/>
    </xf>
    <xf numFmtId="184" fontId="118" fillId="3" borderId="58" xfId="0" applyNumberFormat="1" applyFont="1" applyFill="1" applyBorder="1" applyAlignment="1">
      <alignment horizontal="right" vertical="center"/>
    </xf>
    <xf numFmtId="184" fontId="118" fillId="3" borderId="55" xfId="0" applyNumberFormat="1" applyFont="1" applyFill="1" applyBorder="1" applyAlignment="1">
      <alignment horizontal="right" vertical="center"/>
    </xf>
    <xf numFmtId="184" fontId="118" fillId="10" borderId="58" xfId="0" applyNumberFormat="1" applyFont="1" applyFill="1" applyBorder="1" applyAlignment="1">
      <alignment horizontal="right" vertical="center"/>
    </xf>
    <xf numFmtId="184" fontId="118" fillId="10" borderId="55" xfId="0" applyNumberFormat="1" applyFont="1" applyFill="1" applyBorder="1" applyAlignment="1">
      <alignment horizontal="right" vertical="center"/>
    </xf>
    <xf numFmtId="41" fontId="118" fillId="3" borderId="109" xfId="0" applyNumberFormat="1" applyFont="1" applyFill="1" applyBorder="1" applyAlignment="1">
      <alignment horizontal="center" vertical="center"/>
    </xf>
    <xf numFmtId="41" fontId="118" fillId="3" borderId="51" xfId="0" applyNumberFormat="1" applyFont="1" applyFill="1" applyBorder="1" applyAlignment="1">
      <alignment vertical="center" shrinkToFit="1"/>
    </xf>
    <xf numFmtId="41" fontId="118" fillId="3" borderId="52" xfId="0" applyNumberFormat="1" applyFont="1" applyFill="1" applyBorder="1" applyAlignment="1">
      <alignment vertical="center" shrinkToFit="1"/>
    </xf>
    <xf numFmtId="41" fontId="118" fillId="3" borderId="23" xfId="0" applyNumberFormat="1" applyFont="1" applyFill="1" applyBorder="1" applyAlignment="1">
      <alignment vertical="center" shrinkToFit="1"/>
    </xf>
    <xf numFmtId="41" fontId="118" fillId="3" borderId="3" xfId="0" applyNumberFormat="1" applyFont="1" applyFill="1" applyBorder="1" applyAlignment="1">
      <alignment vertical="center" shrinkToFit="1"/>
    </xf>
    <xf numFmtId="41" fontId="118" fillId="3" borderId="150" xfId="0" applyNumberFormat="1" applyFont="1" applyFill="1" applyBorder="1" applyAlignment="1">
      <alignment vertical="center" shrinkToFit="1"/>
    </xf>
    <xf numFmtId="41" fontId="128" fillId="4" borderId="17" xfId="0" applyNumberFormat="1" applyFont="1" applyFill="1" applyBorder="1" applyAlignment="1">
      <alignment vertical="center" shrinkToFit="1"/>
    </xf>
    <xf numFmtId="41" fontId="128" fillId="3" borderId="0" xfId="0" applyNumberFormat="1" applyFont="1" applyFill="1" applyAlignment="1">
      <alignment vertical="center" shrinkToFit="1"/>
    </xf>
    <xf numFmtId="41" fontId="118" fillId="0" borderId="0" xfId="0" applyNumberFormat="1" applyFont="1" applyAlignment="1">
      <alignment horizontal="center" vertical="center"/>
    </xf>
    <xf numFmtId="182" fontId="118" fillId="0" borderId="0" xfId="0" applyNumberFormat="1" applyFont="1" applyAlignment="1">
      <alignment horizontal="center" vertical="center"/>
    </xf>
    <xf numFmtId="41" fontId="128" fillId="0" borderId="17" xfId="0" applyNumberFormat="1" applyFont="1" applyBorder="1" applyAlignment="1">
      <alignment vertical="center" shrinkToFit="1"/>
    </xf>
    <xf numFmtId="41" fontId="128" fillId="0" borderId="18" xfId="0" applyNumberFormat="1" applyFont="1" applyBorder="1" applyAlignment="1">
      <alignment vertical="center" shrinkToFit="1"/>
    </xf>
    <xf numFmtId="0" fontId="86" fillId="21" borderId="80" xfId="0" applyFont="1" applyFill="1" applyBorder="1">
      <alignment vertical="center"/>
    </xf>
    <xf numFmtId="0" fontId="86" fillId="39" borderId="27" xfId="0" applyFont="1" applyFill="1" applyBorder="1" applyAlignment="1">
      <alignment horizontal="center" vertical="center"/>
    </xf>
    <xf numFmtId="0" fontId="86" fillId="39" borderId="27" xfId="0" applyFont="1" applyFill="1" applyBorder="1" applyAlignment="1">
      <alignment horizontal="left" vertical="center"/>
    </xf>
    <xf numFmtId="194" fontId="116" fillId="39" borderId="27" xfId="0" applyNumberFormat="1" applyFont="1" applyFill="1" applyBorder="1">
      <alignment vertical="center"/>
    </xf>
    <xf numFmtId="0" fontId="116" fillId="39" borderId="25" xfId="0" applyFont="1" applyFill="1" applyBorder="1" applyAlignment="1">
      <alignment horizontal="center" vertical="center"/>
    </xf>
    <xf numFmtId="194" fontId="116" fillId="39" borderId="14" xfId="0" applyNumberFormat="1" applyFont="1" applyFill="1" applyBorder="1" applyAlignment="1">
      <alignment horizontal="center" vertical="center"/>
    </xf>
    <xf numFmtId="41" fontId="118" fillId="2" borderId="50" xfId="0" applyNumberFormat="1" applyFont="1" applyFill="1" applyBorder="1">
      <alignment vertical="center"/>
    </xf>
    <xf numFmtId="41" fontId="118" fillId="2" borderId="65" xfId="0" applyNumberFormat="1" applyFont="1" applyFill="1" applyBorder="1">
      <alignment vertical="center"/>
    </xf>
    <xf numFmtId="41" fontId="84" fillId="2" borderId="60" xfId="0" applyNumberFormat="1" applyFont="1" applyFill="1" applyBorder="1">
      <alignment vertical="center"/>
    </xf>
    <xf numFmtId="41" fontId="84" fillId="2" borderId="50" xfId="0" applyNumberFormat="1" applyFont="1" applyFill="1" applyBorder="1">
      <alignment vertical="center"/>
    </xf>
    <xf numFmtId="41" fontId="84" fillId="2" borderId="27" xfId="0" applyNumberFormat="1" applyFont="1" applyFill="1" applyBorder="1">
      <alignment vertical="center"/>
    </xf>
    <xf numFmtId="41" fontId="84" fillId="2" borderId="25" xfId="0" applyNumberFormat="1" applyFont="1" applyFill="1" applyBorder="1">
      <alignment vertical="center"/>
    </xf>
    <xf numFmtId="41" fontId="84" fillId="2" borderId="65" xfId="0" applyNumberFormat="1" applyFont="1" applyFill="1" applyBorder="1">
      <alignment vertical="center"/>
    </xf>
    <xf numFmtId="41" fontId="84" fillId="2" borderId="80" xfId="0" applyNumberFormat="1" applyFont="1" applyFill="1" applyBorder="1">
      <alignment vertical="center"/>
    </xf>
    <xf numFmtId="41" fontId="108" fillId="25" borderId="14" xfId="0" applyNumberFormat="1" applyFont="1" applyFill="1" applyBorder="1">
      <alignment vertical="center"/>
    </xf>
    <xf numFmtId="41" fontId="86" fillId="21" borderId="14" xfId="0" applyNumberFormat="1" applyFont="1" applyFill="1" applyBorder="1">
      <alignment vertical="center"/>
    </xf>
    <xf numFmtId="0" fontId="116" fillId="39" borderId="7" xfId="0" applyFont="1" applyFill="1" applyBorder="1" applyAlignment="1">
      <alignment horizontal="left" vertical="center" wrapText="1"/>
    </xf>
    <xf numFmtId="41" fontId="118" fillId="2" borderId="115" xfId="0" applyNumberFormat="1" applyFont="1" applyFill="1" applyBorder="1">
      <alignment vertical="center"/>
    </xf>
    <xf numFmtId="41" fontId="84" fillId="2" borderId="23" xfId="0" applyNumberFormat="1" applyFont="1" applyFill="1" applyBorder="1">
      <alignment vertical="center"/>
    </xf>
    <xf numFmtId="41" fontId="84" fillId="2" borderId="3" xfId="0" applyNumberFormat="1" applyFont="1" applyFill="1" applyBorder="1">
      <alignment vertical="center"/>
    </xf>
    <xf numFmtId="41" fontId="84" fillId="2" borderId="22" xfId="0" applyNumberFormat="1" applyFont="1" applyFill="1" applyBorder="1">
      <alignment vertical="center"/>
    </xf>
    <xf numFmtId="41" fontId="86" fillId="21" borderId="94" xfId="0" applyNumberFormat="1" applyFont="1" applyFill="1" applyBorder="1">
      <alignment vertical="center"/>
    </xf>
    <xf numFmtId="0" fontId="86" fillId="39" borderId="202" xfId="0" applyFont="1" applyFill="1" applyBorder="1" applyAlignment="1">
      <alignment horizontal="center" vertical="center"/>
    </xf>
    <xf numFmtId="0" fontId="116" fillId="42" borderId="202" xfId="0" applyFont="1" applyFill="1" applyBorder="1" applyAlignment="1">
      <alignment horizontal="left" vertical="center" wrapText="1"/>
    </xf>
    <xf numFmtId="194" fontId="116" fillId="2" borderId="202" xfId="0" applyNumberFormat="1" applyFont="1" applyFill="1" applyBorder="1">
      <alignment vertical="center"/>
    </xf>
    <xf numFmtId="0" fontId="116" fillId="2" borderId="199" xfId="0" applyFont="1" applyFill="1" applyBorder="1" applyAlignment="1">
      <alignment horizontal="center" vertical="center"/>
    </xf>
    <xf numFmtId="194" fontId="116" fillId="2" borderId="271" xfId="0" applyNumberFormat="1" applyFont="1" applyFill="1" applyBorder="1" applyAlignment="1">
      <alignment horizontal="center" vertical="center"/>
    </xf>
    <xf numFmtId="41" fontId="118" fillId="42" borderId="202" xfId="0" applyNumberFormat="1" applyFont="1" applyFill="1" applyBorder="1">
      <alignment vertical="center"/>
    </xf>
    <xf numFmtId="41" fontId="84" fillId="42" borderId="199" xfId="0" applyNumberFormat="1" applyFont="1" applyFill="1" applyBorder="1">
      <alignment vertical="center"/>
    </xf>
    <xf numFmtId="41" fontId="84" fillId="42" borderId="201" xfId="0" applyNumberFormat="1" applyFont="1" applyFill="1" applyBorder="1">
      <alignment vertical="center"/>
    </xf>
    <xf numFmtId="41" fontId="84" fillId="42" borderId="203" xfId="0" applyNumberFormat="1" applyFont="1" applyFill="1" applyBorder="1">
      <alignment vertical="center"/>
    </xf>
    <xf numFmtId="41" fontId="108" fillId="25" borderId="271" xfId="0" applyNumberFormat="1" applyFont="1" applyFill="1" applyBorder="1">
      <alignment vertical="center"/>
    </xf>
    <xf numFmtId="41" fontId="86" fillId="21" borderId="271" xfId="0" applyNumberFormat="1" applyFont="1" applyFill="1" applyBorder="1">
      <alignment vertical="center"/>
    </xf>
    <xf numFmtId="0" fontId="86" fillId="21" borderId="35" xfId="0" applyFont="1" applyFill="1" applyBorder="1">
      <alignment vertical="center"/>
    </xf>
    <xf numFmtId="41" fontId="86" fillId="21" borderId="44" xfId="0" applyNumberFormat="1" applyFont="1" applyFill="1" applyBorder="1">
      <alignment vertical="center"/>
    </xf>
    <xf numFmtId="0" fontId="86" fillId="21" borderId="4" xfId="0" applyFont="1" applyFill="1" applyBorder="1" applyAlignment="1">
      <alignment horizontal="left" vertical="center"/>
    </xf>
    <xf numFmtId="0" fontId="86" fillId="39" borderId="4" xfId="0" applyFont="1" applyFill="1" applyBorder="1" applyAlignment="1">
      <alignment horizontal="center" vertical="center"/>
    </xf>
    <xf numFmtId="0" fontId="116" fillId="42" borderId="132" xfId="0" applyFont="1" applyFill="1" applyBorder="1" applyAlignment="1">
      <alignment horizontal="left" vertical="center" wrapText="1"/>
    </xf>
    <xf numFmtId="194" fontId="116" fillId="2" borderId="4" xfId="0" applyNumberFormat="1" applyFont="1" applyFill="1" applyBorder="1">
      <alignment vertical="center"/>
    </xf>
    <xf numFmtId="0" fontId="116" fillId="2" borderId="212" xfId="0" applyFont="1" applyFill="1" applyBorder="1" applyAlignment="1">
      <alignment horizontal="center" vertical="center"/>
    </xf>
    <xf numFmtId="194" fontId="116" fillId="2" borderId="133" xfId="0" applyNumberFormat="1" applyFont="1" applyFill="1" applyBorder="1" applyAlignment="1">
      <alignment horizontal="center" vertical="center"/>
    </xf>
    <xf numFmtId="41" fontId="118" fillId="42" borderId="4" xfId="0" applyNumberFormat="1" applyFont="1" applyFill="1" applyBorder="1">
      <alignment vertical="center"/>
    </xf>
    <xf numFmtId="41" fontId="84" fillId="42" borderId="128" xfId="0" applyNumberFormat="1" applyFont="1" applyFill="1" applyBorder="1">
      <alignment vertical="center"/>
    </xf>
    <xf numFmtId="41" fontId="84" fillId="42" borderId="212" xfId="0" applyNumberFormat="1" applyFont="1" applyFill="1" applyBorder="1">
      <alignment vertical="center"/>
    </xf>
    <xf numFmtId="41" fontId="108" fillId="25" borderId="44" xfId="0" applyNumberFormat="1" applyFont="1" applyFill="1" applyBorder="1">
      <alignment vertical="center"/>
    </xf>
    <xf numFmtId="0" fontId="116" fillId="42" borderId="119" xfId="0" applyFont="1" applyFill="1" applyBorder="1" applyAlignment="1">
      <alignment horizontal="left" vertical="center" wrapText="1"/>
    </xf>
    <xf numFmtId="194" fontId="116" fillId="2" borderId="3" xfId="0" applyNumberFormat="1" applyFont="1" applyFill="1" applyBorder="1">
      <alignment vertical="center"/>
    </xf>
    <xf numFmtId="0" fontId="116" fillId="2" borderId="117" xfId="0" applyFont="1" applyFill="1" applyBorder="1" applyAlignment="1">
      <alignment horizontal="center" vertical="center"/>
    </xf>
    <xf numFmtId="194" fontId="116" fillId="2" borderId="130" xfId="0" applyNumberFormat="1" applyFont="1" applyFill="1" applyBorder="1" applyAlignment="1">
      <alignment horizontal="center" vertical="center"/>
    </xf>
    <xf numFmtId="41" fontId="118" fillId="42" borderId="121" xfId="0" applyNumberFormat="1" applyFont="1" applyFill="1" applyBorder="1">
      <alignment vertical="center"/>
    </xf>
    <xf numFmtId="41" fontId="118" fillId="42" borderId="3" xfId="0" applyNumberFormat="1" applyFont="1" applyFill="1" applyBorder="1">
      <alignment vertical="center"/>
    </xf>
    <xf numFmtId="194" fontId="116" fillId="26" borderId="3" xfId="0" applyNumberFormat="1" applyFont="1" applyFill="1" applyBorder="1">
      <alignment vertical="center"/>
    </xf>
    <xf numFmtId="0" fontId="116" fillId="26" borderId="117" xfId="0" applyFont="1" applyFill="1" applyBorder="1" applyAlignment="1">
      <alignment horizontal="center" vertical="center"/>
    </xf>
    <xf numFmtId="194" fontId="116" fillId="26" borderId="130" xfId="0" applyNumberFormat="1" applyFont="1" applyFill="1" applyBorder="1" applyAlignment="1">
      <alignment horizontal="center" vertical="center"/>
    </xf>
    <xf numFmtId="0" fontId="128" fillId="4" borderId="19" xfId="0" applyFont="1" applyFill="1" applyBorder="1" applyAlignment="1">
      <alignment horizontal="center" vertical="center"/>
    </xf>
    <xf numFmtId="41" fontId="203" fillId="3" borderId="60" xfId="0" applyNumberFormat="1" applyFont="1" applyFill="1" applyBorder="1">
      <alignment vertical="center"/>
    </xf>
    <xf numFmtId="41" fontId="203" fillId="3" borderId="69" xfId="0" applyNumberFormat="1" applyFont="1" applyFill="1" applyBorder="1">
      <alignment vertical="center"/>
    </xf>
    <xf numFmtId="41" fontId="118" fillId="3" borderId="255" xfId="0" applyNumberFormat="1" applyFont="1" applyFill="1" applyBorder="1">
      <alignment vertical="center"/>
    </xf>
    <xf numFmtId="41" fontId="118" fillId="3" borderId="69" xfId="0" applyNumberFormat="1" applyFont="1" applyFill="1" applyBorder="1">
      <alignment vertical="center"/>
    </xf>
    <xf numFmtId="41" fontId="118" fillId="3" borderId="47" xfId="0" applyNumberFormat="1" applyFont="1" applyFill="1" applyBorder="1">
      <alignment vertical="center"/>
    </xf>
    <xf numFmtId="41" fontId="128" fillId="3" borderId="33" xfId="0" applyNumberFormat="1" applyFont="1" applyFill="1" applyBorder="1">
      <alignment vertical="center"/>
    </xf>
    <xf numFmtId="41" fontId="203" fillId="3" borderId="54" xfId="0" applyNumberFormat="1" applyFont="1" applyFill="1" applyBorder="1">
      <alignment vertical="center"/>
    </xf>
    <xf numFmtId="41" fontId="203" fillId="3" borderId="8" xfId="0" applyNumberFormat="1" applyFont="1" applyFill="1" applyBorder="1">
      <alignment vertical="center"/>
    </xf>
    <xf numFmtId="41" fontId="203" fillId="3" borderId="119" xfId="0" applyNumberFormat="1" applyFont="1" applyFill="1" applyBorder="1" applyAlignment="1">
      <alignment horizontal="center" vertical="center"/>
    </xf>
    <xf numFmtId="41" fontId="118" fillId="3" borderId="46" xfId="0" applyNumberFormat="1" applyFont="1" applyFill="1" applyBorder="1">
      <alignment vertical="center"/>
    </xf>
    <xf numFmtId="41" fontId="128" fillId="4" borderId="19" xfId="0" applyNumberFormat="1" applyFont="1" applyFill="1" applyBorder="1">
      <alignment vertical="center"/>
    </xf>
    <xf numFmtId="41" fontId="118" fillId="10" borderId="60" xfId="0" applyNumberFormat="1" applyFont="1" applyFill="1" applyBorder="1">
      <alignment vertical="center"/>
    </xf>
    <xf numFmtId="41" fontId="118" fillId="10" borderId="69" xfId="0" applyNumberFormat="1" applyFont="1" applyFill="1" applyBorder="1">
      <alignment vertical="center"/>
    </xf>
    <xf numFmtId="41" fontId="128" fillId="10" borderId="33" xfId="0" applyNumberFormat="1" applyFont="1" applyFill="1" applyBorder="1">
      <alignment vertical="center"/>
    </xf>
    <xf numFmtId="185" fontId="128" fillId="10" borderId="47" xfId="0" applyNumberFormat="1" applyFont="1" applyFill="1" applyBorder="1">
      <alignment vertical="center"/>
    </xf>
    <xf numFmtId="41" fontId="128" fillId="4" borderId="33" xfId="0" applyNumberFormat="1" applyFont="1" applyFill="1" applyBorder="1">
      <alignment vertical="center"/>
    </xf>
    <xf numFmtId="41" fontId="118" fillId="10" borderId="54" xfId="0" applyNumberFormat="1" applyFont="1" applyFill="1" applyBorder="1">
      <alignment vertical="center"/>
    </xf>
    <xf numFmtId="41" fontId="118" fillId="10" borderId="89" xfId="0" applyNumberFormat="1" applyFont="1" applyFill="1" applyBorder="1">
      <alignment vertical="center"/>
    </xf>
    <xf numFmtId="41" fontId="118" fillId="10" borderId="47" xfId="0" applyNumberFormat="1" applyFont="1" applyFill="1" applyBorder="1">
      <alignment vertical="center"/>
    </xf>
    <xf numFmtId="41" fontId="118" fillId="10" borderId="129" xfId="0" applyNumberFormat="1" applyFont="1" applyFill="1" applyBorder="1">
      <alignment vertical="center"/>
    </xf>
    <xf numFmtId="41" fontId="118" fillId="10" borderId="8" xfId="0" applyNumberFormat="1" applyFont="1" applyFill="1" applyBorder="1">
      <alignment vertical="center"/>
    </xf>
    <xf numFmtId="41" fontId="118" fillId="10" borderId="119" xfId="0" applyNumberFormat="1" applyFont="1" applyFill="1" applyBorder="1">
      <alignment vertical="center"/>
    </xf>
    <xf numFmtId="41" fontId="118" fillId="10" borderId="201" xfId="0" applyNumberFormat="1" applyFont="1" applyFill="1" applyBorder="1">
      <alignment vertical="center"/>
    </xf>
    <xf numFmtId="41" fontId="128" fillId="4" borderId="49" xfId="0" applyNumberFormat="1" applyFont="1" applyFill="1" applyBorder="1">
      <alignment vertical="center"/>
    </xf>
    <xf numFmtId="41" fontId="118" fillId="4" borderId="33" xfId="0" applyNumberFormat="1" applyFont="1" applyFill="1" applyBorder="1">
      <alignment vertical="center"/>
    </xf>
    <xf numFmtId="41" fontId="118" fillId="4" borderId="46" xfId="0" applyNumberFormat="1" applyFont="1" applyFill="1" applyBorder="1">
      <alignment vertical="center"/>
    </xf>
    <xf numFmtId="41" fontId="118" fillId="4" borderId="60" xfId="0" applyNumberFormat="1" applyFont="1" applyFill="1" applyBorder="1">
      <alignment vertical="center"/>
    </xf>
    <xf numFmtId="41" fontId="118" fillId="4" borderId="19" xfId="0" applyNumberFormat="1" applyFont="1" applyFill="1" applyBorder="1">
      <alignment vertical="center"/>
    </xf>
    <xf numFmtId="41" fontId="118" fillId="3" borderId="203" xfId="0" applyNumberFormat="1" applyFont="1" applyFill="1" applyBorder="1">
      <alignment vertical="center"/>
    </xf>
    <xf numFmtId="41" fontId="118" fillId="3" borderId="89" xfId="0" applyNumberFormat="1" applyFont="1" applyFill="1" applyBorder="1">
      <alignment vertical="center"/>
    </xf>
    <xf numFmtId="41" fontId="118" fillId="28" borderId="69" xfId="0" applyNumberFormat="1" applyFont="1" applyFill="1" applyBorder="1">
      <alignment vertical="center"/>
    </xf>
    <xf numFmtId="41" fontId="118" fillId="28" borderId="54" xfId="0" applyNumberFormat="1" applyFont="1" applyFill="1" applyBorder="1">
      <alignment vertical="center"/>
    </xf>
    <xf numFmtId="41" fontId="118" fillId="28" borderId="89" xfId="0" applyNumberFormat="1" applyFont="1" applyFill="1" applyBorder="1">
      <alignment vertical="center"/>
    </xf>
    <xf numFmtId="41" fontId="118" fillId="3" borderId="22" xfId="0" applyNumberFormat="1" applyFont="1" applyFill="1" applyBorder="1">
      <alignment vertical="center"/>
    </xf>
    <xf numFmtId="41" fontId="118" fillId="3" borderId="129" xfId="0" applyNumberFormat="1" applyFont="1" applyFill="1" applyBorder="1">
      <alignment vertical="center"/>
    </xf>
    <xf numFmtId="41" fontId="118" fillId="4" borderId="69" xfId="0" applyNumberFormat="1" applyFont="1" applyFill="1" applyBorder="1" applyAlignment="1">
      <alignment horizontal="center" vertical="center"/>
    </xf>
    <xf numFmtId="41" fontId="128" fillId="13" borderId="19" xfId="0" applyNumberFormat="1" applyFont="1" applyFill="1" applyBorder="1">
      <alignment vertical="center"/>
    </xf>
    <xf numFmtId="41" fontId="118" fillId="3" borderId="210" xfId="0" applyNumberFormat="1" applyFont="1" applyFill="1" applyBorder="1">
      <alignment vertical="center"/>
    </xf>
    <xf numFmtId="41" fontId="118" fillId="3" borderId="54" xfId="0" applyNumberFormat="1" applyFont="1" applyFill="1" applyBorder="1">
      <alignment vertical="center"/>
    </xf>
    <xf numFmtId="41" fontId="128" fillId="10" borderId="19" xfId="0" applyNumberFormat="1" applyFont="1" applyFill="1" applyBorder="1">
      <alignment vertical="center"/>
    </xf>
    <xf numFmtId="38" fontId="128" fillId="4" borderId="60" xfId="0" applyNumberFormat="1" applyFont="1" applyFill="1" applyBorder="1" applyAlignment="1">
      <alignment horizontal="center" vertical="center"/>
    </xf>
    <xf numFmtId="38" fontId="118" fillId="3" borderId="47" xfId="0" applyNumberFormat="1" applyFont="1" applyFill="1" applyBorder="1">
      <alignment vertical="center"/>
    </xf>
    <xf numFmtId="38" fontId="118" fillId="3" borderId="34" xfId="0" applyNumberFormat="1" applyFont="1" applyFill="1" applyBorder="1">
      <alignment vertical="center"/>
    </xf>
    <xf numFmtId="38" fontId="128" fillId="3" borderId="69" xfId="0" applyNumberFormat="1" applyFont="1" applyFill="1" applyBorder="1">
      <alignment vertical="center"/>
    </xf>
    <xf numFmtId="38" fontId="128" fillId="3" borderId="34" xfId="0" applyNumberFormat="1" applyFont="1" applyFill="1" applyBorder="1">
      <alignment vertical="center"/>
    </xf>
    <xf numFmtId="41" fontId="118" fillId="10" borderId="19" xfId="0" applyNumberFormat="1" applyFont="1" applyFill="1" applyBorder="1">
      <alignment vertical="center"/>
    </xf>
    <xf numFmtId="41" fontId="118" fillId="0" borderId="89" xfId="0" applyNumberFormat="1" applyFont="1" applyBorder="1">
      <alignment vertical="center"/>
    </xf>
    <xf numFmtId="41" fontId="118" fillId="0" borderId="22" xfId="0" applyNumberFormat="1" applyFont="1" applyBorder="1">
      <alignment vertical="center"/>
    </xf>
    <xf numFmtId="41" fontId="128" fillId="0" borderId="49" xfId="0" applyNumberFormat="1" applyFont="1" applyBorder="1">
      <alignment vertical="center"/>
    </xf>
    <xf numFmtId="41" fontId="118" fillId="0" borderId="60" xfId="0" applyNumberFormat="1" applyFont="1" applyBorder="1">
      <alignment vertical="center"/>
    </xf>
    <xf numFmtId="180" fontId="128" fillId="3" borderId="0" xfId="1" applyFont="1" applyFill="1" applyAlignment="1">
      <alignment horizontal="center" vertical="center"/>
    </xf>
    <xf numFmtId="43" fontId="128" fillId="4" borderId="20" xfId="0" applyNumberFormat="1" applyFont="1" applyFill="1" applyBorder="1" applyAlignment="1">
      <alignment horizontal="center" vertical="center"/>
    </xf>
    <xf numFmtId="184" fontId="118" fillId="3" borderId="42" xfId="0" applyNumberFormat="1" applyFont="1" applyFill="1" applyBorder="1" applyAlignment="1">
      <alignment horizontal="right" vertical="center"/>
    </xf>
    <xf numFmtId="184" fontId="118" fillId="10" borderId="48" xfId="0" applyNumberFormat="1" applyFont="1" applyFill="1" applyBorder="1" applyAlignment="1">
      <alignment horizontal="right" vertical="center"/>
    </xf>
    <xf numFmtId="184" fontId="118" fillId="3" borderId="48" xfId="0" applyNumberFormat="1" applyFont="1" applyFill="1" applyBorder="1" applyAlignment="1">
      <alignment horizontal="right" vertical="center"/>
    </xf>
    <xf numFmtId="187" fontId="128" fillId="4" borderId="20" xfId="0" applyNumberFormat="1" applyFont="1" applyFill="1" applyBorder="1" applyAlignment="1">
      <alignment horizontal="center" vertical="center"/>
    </xf>
    <xf numFmtId="9" fontId="118" fillId="3" borderId="41" xfId="0" applyNumberFormat="1" applyFont="1" applyFill="1" applyBorder="1" applyAlignment="1">
      <alignment horizontal="center" vertical="center"/>
    </xf>
    <xf numFmtId="9" fontId="128" fillId="3" borderId="43" xfId="0" applyNumberFormat="1" applyFont="1" applyFill="1" applyBorder="1" applyAlignment="1">
      <alignment horizontal="center" vertical="center"/>
    </xf>
    <xf numFmtId="0" fontId="128" fillId="4" borderId="20" xfId="0" applyFont="1" applyFill="1" applyBorder="1" applyAlignment="1">
      <alignment horizontal="center" vertical="center"/>
    </xf>
    <xf numFmtId="41" fontId="118" fillId="32" borderId="22" xfId="0" applyNumberFormat="1" applyFont="1" applyFill="1" applyBorder="1">
      <alignment vertical="center"/>
    </xf>
    <xf numFmtId="41" fontId="118" fillId="32" borderId="129" xfId="0" applyNumberFormat="1" applyFont="1" applyFill="1" applyBorder="1">
      <alignment vertical="center"/>
    </xf>
    <xf numFmtId="41" fontId="118" fillId="31" borderId="22" xfId="0" applyNumberFormat="1" applyFont="1" applyFill="1" applyBorder="1">
      <alignment vertical="center"/>
    </xf>
    <xf numFmtId="41" fontId="118" fillId="22" borderId="7" xfId="0" applyNumberFormat="1" applyFont="1" applyFill="1" applyBorder="1">
      <alignment vertical="center"/>
    </xf>
    <xf numFmtId="41" fontId="118" fillId="24" borderId="42" xfId="0" applyNumberFormat="1" applyFont="1" applyFill="1" applyBorder="1">
      <alignment vertical="center"/>
    </xf>
    <xf numFmtId="41" fontId="128" fillId="21" borderId="20" xfId="0" applyNumberFormat="1" applyFont="1" applyFill="1" applyBorder="1">
      <alignment vertical="center"/>
    </xf>
    <xf numFmtId="41" fontId="118" fillId="2" borderId="60" xfId="0" applyNumberFormat="1" applyFont="1" applyFill="1" applyBorder="1">
      <alignment vertical="center"/>
    </xf>
    <xf numFmtId="41" fontId="118" fillId="2" borderId="119" xfId="0" applyNumberFormat="1" applyFont="1" applyFill="1" applyBorder="1">
      <alignment vertical="center"/>
    </xf>
    <xf numFmtId="41" fontId="118" fillId="42" borderId="197" xfId="0" applyNumberFormat="1" applyFont="1" applyFill="1" applyBorder="1">
      <alignment vertical="center"/>
    </xf>
    <xf numFmtId="41" fontId="118" fillId="42" borderId="260" xfId="0" applyNumberFormat="1" applyFont="1" applyFill="1" applyBorder="1">
      <alignment vertical="center"/>
    </xf>
    <xf numFmtId="41" fontId="118" fillId="42" borderId="69" xfId="0" applyNumberFormat="1" applyFont="1" applyFill="1" applyBorder="1">
      <alignment vertical="center"/>
    </xf>
    <xf numFmtId="41" fontId="118" fillId="42" borderId="22" xfId="0" applyNumberFormat="1" applyFont="1" applyFill="1" applyBorder="1">
      <alignment vertical="center"/>
    </xf>
    <xf numFmtId="41" fontId="118" fillId="42" borderId="210" xfId="0" applyNumberFormat="1" applyFont="1" applyFill="1" applyBorder="1">
      <alignment vertical="center"/>
    </xf>
    <xf numFmtId="41" fontId="118" fillId="42" borderId="54" xfId="0" applyNumberFormat="1" applyFont="1" applyFill="1" applyBorder="1">
      <alignment vertical="center"/>
    </xf>
    <xf numFmtId="41" fontId="118" fillId="39" borderId="160" xfId="0" applyNumberFormat="1" applyFont="1" applyFill="1" applyBorder="1">
      <alignment vertical="center"/>
    </xf>
    <xf numFmtId="41" fontId="128" fillId="25" borderId="20" xfId="0" applyNumberFormat="1" applyFont="1" applyFill="1" applyBorder="1">
      <alignment vertical="center"/>
    </xf>
    <xf numFmtId="185" fontId="128" fillId="4" borderId="19" xfId="0" applyNumberFormat="1" applyFont="1" applyFill="1" applyBorder="1">
      <alignment vertical="center"/>
    </xf>
    <xf numFmtId="180" fontId="128" fillId="0" borderId="0" xfId="0" applyNumberFormat="1" applyFont="1">
      <alignment vertical="center"/>
    </xf>
    <xf numFmtId="187" fontId="118" fillId="3" borderId="69" xfId="0" applyNumberFormat="1" applyFont="1" applyFill="1" applyBorder="1">
      <alignment vertical="center"/>
    </xf>
    <xf numFmtId="41" fontId="118" fillId="3" borderId="69" xfId="0" applyNumberFormat="1" applyFont="1" applyFill="1" applyBorder="1" applyAlignment="1">
      <alignment horizontal="left" vertical="center" indent="1"/>
    </xf>
    <xf numFmtId="187" fontId="118" fillId="3" borderId="69" xfId="0" applyNumberFormat="1" applyFont="1" applyFill="1" applyBorder="1" applyAlignment="1">
      <alignment horizontal="left" vertical="center" indent="1"/>
    </xf>
    <xf numFmtId="192" fontId="108" fillId="4" borderId="19" xfId="0" applyNumberFormat="1" applyFont="1" applyFill="1" applyBorder="1">
      <alignment vertical="center"/>
    </xf>
    <xf numFmtId="0" fontId="128" fillId="4" borderId="60" xfId="0" applyFont="1" applyFill="1" applyBorder="1" applyAlignment="1">
      <alignment horizontal="center" vertical="center"/>
    </xf>
    <xf numFmtId="41" fontId="118" fillId="0" borderId="49" xfId="0" applyNumberFormat="1" applyFont="1" applyBorder="1">
      <alignment vertical="center"/>
    </xf>
    <xf numFmtId="41" fontId="118" fillId="0" borderId="32" xfId="0" applyNumberFormat="1" applyFont="1" applyBorder="1">
      <alignment vertical="center"/>
    </xf>
    <xf numFmtId="41" fontId="118" fillId="0" borderId="33" xfId="0" applyNumberFormat="1" applyFont="1" applyBorder="1">
      <alignment vertical="center"/>
    </xf>
    <xf numFmtId="41" fontId="118" fillId="3" borderId="49" xfId="0" applyNumberFormat="1" applyFont="1" applyFill="1" applyBorder="1">
      <alignment vertical="center"/>
    </xf>
    <xf numFmtId="187" fontId="118" fillId="3" borderId="60" xfId="0" applyNumberFormat="1" applyFont="1" applyFill="1" applyBorder="1">
      <alignment vertical="center"/>
    </xf>
    <xf numFmtId="41" fontId="118" fillId="3" borderId="34" xfId="0" applyNumberFormat="1" applyFont="1" applyFill="1" applyBorder="1">
      <alignment vertical="center"/>
    </xf>
    <xf numFmtId="41" fontId="118" fillId="3" borderId="34" xfId="0" applyNumberFormat="1" applyFont="1" applyFill="1" applyBorder="1" applyAlignment="1">
      <alignment horizontal="left" vertical="center" indent="1"/>
    </xf>
    <xf numFmtId="185" fontId="128" fillId="3" borderId="49" xfId="0" applyNumberFormat="1" applyFont="1" applyFill="1" applyBorder="1">
      <alignment vertical="center"/>
    </xf>
    <xf numFmtId="187" fontId="118" fillId="10" borderId="60" xfId="0" applyNumberFormat="1" applyFont="1" applyFill="1" applyBorder="1">
      <alignment vertical="center"/>
    </xf>
    <xf numFmtId="41" fontId="118" fillId="10" borderId="34" xfId="0" applyNumberFormat="1" applyFont="1" applyFill="1" applyBorder="1">
      <alignment vertical="center"/>
    </xf>
    <xf numFmtId="41" fontId="118" fillId="10" borderId="34" xfId="0" applyNumberFormat="1" applyFont="1" applyFill="1" applyBorder="1" applyAlignment="1">
      <alignment horizontal="left" vertical="center" indent="1"/>
    </xf>
    <xf numFmtId="41" fontId="118" fillId="0" borderId="69" xfId="0" applyNumberFormat="1" applyFont="1" applyBorder="1" applyAlignment="1">
      <alignment horizontal="left" vertical="center" indent="1"/>
    </xf>
    <xf numFmtId="185" fontId="128" fillId="0" borderId="49" xfId="0" applyNumberFormat="1" applyFont="1" applyBorder="1">
      <alignment vertical="center"/>
    </xf>
    <xf numFmtId="0" fontId="128" fillId="4" borderId="25" xfId="0" applyFont="1" applyFill="1" applyBorder="1" applyAlignment="1">
      <alignment horizontal="center" vertical="center"/>
    </xf>
    <xf numFmtId="41" fontId="118" fillId="3" borderId="84" xfId="0" applyNumberFormat="1" applyFont="1" applyFill="1" applyBorder="1" applyAlignment="1">
      <alignment horizontal="center" vertical="center"/>
    </xf>
    <xf numFmtId="41" fontId="118" fillId="3" borderId="71" xfId="0" applyNumberFormat="1" applyFont="1" applyFill="1" applyBorder="1" applyAlignment="1">
      <alignment horizontal="center" vertical="center"/>
    </xf>
    <xf numFmtId="41" fontId="128" fillId="3" borderId="25" xfId="0" applyNumberFormat="1" applyFont="1" applyFill="1" applyBorder="1" applyAlignment="1">
      <alignment horizontal="center" vertical="center"/>
    </xf>
    <xf numFmtId="41" fontId="128" fillId="4" borderId="16" xfId="0" applyNumberFormat="1" applyFont="1" applyFill="1" applyBorder="1">
      <alignment vertical="center"/>
    </xf>
    <xf numFmtId="41" fontId="118" fillId="10" borderId="25" xfId="0" applyNumberFormat="1" applyFont="1" applyFill="1" applyBorder="1" applyAlignment="1">
      <alignment horizontal="center" vertical="center"/>
    </xf>
    <xf numFmtId="41" fontId="118" fillId="10" borderId="200" xfId="0" applyNumberFormat="1" applyFont="1" applyFill="1" applyBorder="1" applyAlignment="1">
      <alignment horizontal="center" vertical="center"/>
    </xf>
    <xf numFmtId="41" fontId="118" fillId="10" borderId="199" xfId="0" applyNumberFormat="1" applyFont="1" applyFill="1" applyBorder="1" applyAlignment="1">
      <alignment horizontal="center" vertical="center"/>
    </xf>
    <xf numFmtId="41" fontId="118" fillId="10" borderId="84" xfId="0" applyNumberFormat="1" applyFont="1" applyFill="1" applyBorder="1" applyAlignment="1">
      <alignment horizontal="center" vertical="center"/>
    </xf>
    <xf numFmtId="41" fontId="118" fillId="10" borderId="24" xfId="0" applyNumberFormat="1" applyFont="1" applyFill="1" applyBorder="1" applyAlignment="1">
      <alignment horizontal="center" vertical="center"/>
    </xf>
    <xf numFmtId="187" fontId="118" fillId="4" borderId="60" xfId="0" applyNumberFormat="1" applyFont="1" applyFill="1" applyBorder="1">
      <alignment vertical="center"/>
    </xf>
    <xf numFmtId="41" fontId="118" fillId="3" borderId="60" xfId="0" applyNumberFormat="1" applyFont="1" applyFill="1" applyBorder="1">
      <alignment vertical="center"/>
    </xf>
    <xf numFmtId="41" fontId="118" fillId="3" borderId="19" xfId="0" applyNumberFormat="1" applyFont="1" applyFill="1" applyBorder="1">
      <alignment vertical="center"/>
    </xf>
    <xf numFmtId="41" fontId="128" fillId="4" borderId="46" xfId="0" applyNumberFormat="1" applyFont="1" applyFill="1" applyBorder="1">
      <alignment vertical="center"/>
    </xf>
    <xf numFmtId="41" fontId="118" fillId="0" borderId="34" xfId="0" applyNumberFormat="1" applyFont="1" applyBorder="1">
      <alignment vertical="center"/>
    </xf>
    <xf numFmtId="41" fontId="118" fillId="3" borderId="111" xfId="0" applyNumberFormat="1" applyFont="1" applyFill="1" applyBorder="1">
      <alignment vertical="center"/>
    </xf>
    <xf numFmtId="41" fontId="128" fillId="4" borderId="45" xfId="0" applyNumberFormat="1" applyFont="1" applyFill="1" applyBorder="1">
      <alignment vertical="center"/>
    </xf>
    <xf numFmtId="41" fontId="128" fillId="4" borderId="66" xfId="0" applyNumberFormat="1" applyFont="1" applyFill="1" applyBorder="1">
      <alignment vertical="center"/>
    </xf>
    <xf numFmtId="0" fontId="118" fillId="4" borderId="19" xfId="0" applyFont="1" applyFill="1" applyBorder="1" applyAlignment="1">
      <alignment horizontal="center" vertical="center"/>
    </xf>
    <xf numFmtId="41" fontId="118" fillId="10" borderId="16" xfId="0" applyNumberFormat="1" applyFont="1" applyFill="1" applyBorder="1" applyAlignment="1">
      <alignment horizontal="center" vertical="center"/>
    </xf>
    <xf numFmtId="41" fontId="128" fillId="4" borderId="46" xfId="0" applyNumberFormat="1" applyFont="1" applyFill="1" applyBorder="1" applyAlignment="1">
      <alignment horizontal="center" vertical="center"/>
    </xf>
    <xf numFmtId="41" fontId="128" fillId="10" borderId="111" xfId="0" applyNumberFormat="1" applyFont="1" applyFill="1" applyBorder="1">
      <alignment vertical="center"/>
    </xf>
    <xf numFmtId="41" fontId="128" fillId="10" borderId="6" xfId="0" applyNumberFormat="1" applyFont="1" applyFill="1" applyBorder="1">
      <alignment vertical="center"/>
    </xf>
    <xf numFmtId="41" fontId="128" fillId="10" borderId="0" xfId="0" applyNumberFormat="1" applyFont="1" applyFill="1">
      <alignment vertical="center"/>
    </xf>
    <xf numFmtId="10" fontId="118" fillId="0" borderId="24" xfId="0" applyNumberFormat="1" applyFont="1" applyBorder="1">
      <alignment vertical="center"/>
    </xf>
    <xf numFmtId="10" fontId="118" fillId="3" borderId="24" xfId="0" applyNumberFormat="1" applyFont="1" applyFill="1" applyBorder="1">
      <alignment vertical="center"/>
    </xf>
    <xf numFmtId="41" fontId="118" fillId="3" borderId="33" xfId="0" applyNumberFormat="1" applyFont="1" applyFill="1" applyBorder="1">
      <alignment vertical="center"/>
    </xf>
    <xf numFmtId="187" fontId="118" fillId="3" borderId="22" xfId="0" applyNumberFormat="1" applyFont="1" applyFill="1" applyBorder="1" applyAlignment="1">
      <alignment horizontal="left" vertical="center" indent="1"/>
    </xf>
    <xf numFmtId="187" fontId="118" fillId="0" borderId="22" xfId="0" applyNumberFormat="1" applyFont="1" applyBorder="1" applyAlignment="1">
      <alignment horizontal="left" vertical="center" indent="1"/>
    </xf>
    <xf numFmtId="187" fontId="128" fillId="3" borderId="69" xfId="0" applyNumberFormat="1" applyFont="1" applyFill="1" applyBorder="1">
      <alignment vertical="center"/>
    </xf>
    <xf numFmtId="9" fontId="118" fillId="4" borderId="19" xfId="0" applyNumberFormat="1" applyFont="1" applyFill="1" applyBorder="1" applyAlignment="1">
      <alignment horizontal="right" vertical="center"/>
    </xf>
    <xf numFmtId="41" fontId="118" fillId="3" borderId="53" xfId="0" applyNumberFormat="1" applyFont="1" applyFill="1" applyBorder="1" applyAlignment="1">
      <alignment vertical="center" shrinkToFit="1"/>
    </xf>
    <xf numFmtId="41" fontId="118" fillId="3" borderId="22" xfId="0" applyNumberFormat="1" applyFont="1" applyFill="1" applyBorder="1" applyAlignment="1">
      <alignment vertical="center" shrinkToFit="1"/>
    </xf>
    <xf numFmtId="41" fontId="118" fillId="3" borderId="93" xfId="0" applyNumberFormat="1" applyFont="1" applyFill="1" applyBorder="1" applyAlignment="1">
      <alignment vertical="center" shrinkToFit="1"/>
    </xf>
    <xf numFmtId="41" fontId="128" fillId="4" borderId="19" xfId="0" applyNumberFormat="1" applyFont="1" applyFill="1" applyBorder="1" applyAlignment="1">
      <alignment vertical="center" shrinkToFit="1"/>
    </xf>
    <xf numFmtId="182" fontId="118" fillId="4" borderId="19" xfId="0" applyNumberFormat="1" applyFont="1" applyFill="1" applyBorder="1" applyAlignment="1">
      <alignment vertical="center" shrinkToFit="1"/>
    </xf>
    <xf numFmtId="9" fontId="118" fillId="0" borderId="0" xfId="0" applyNumberFormat="1" applyFont="1" applyAlignment="1">
      <alignment vertical="center" shrinkToFit="1"/>
    </xf>
    <xf numFmtId="41" fontId="118" fillId="3" borderId="53" xfId="0" applyNumberFormat="1" applyFont="1" applyFill="1" applyBorder="1">
      <alignment vertical="center"/>
    </xf>
    <xf numFmtId="41" fontId="118" fillId="3" borderId="93" xfId="0" applyNumberFormat="1" applyFont="1" applyFill="1" applyBorder="1">
      <alignment vertical="center"/>
    </xf>
    <xf numFmtId="41" fontId="93" fillId="4" borderId="262" xfId="0" applyNumberFormat="1" applyFont="1" applyFill="1" applyBorder="1" applyAlignment="1">
      <alignment horizontal="left" vertical="center"/>
    </xf>
    <xf numFmtId="0" fontId="128" fillId="4" borderId="16" xfId="0" applyFont="1" applyFill="1" applyBorder="1" applyAlignment="1">
      <alignment horizontal="center" vertical="center"/>
    </xf>
    <xf numFmtId="41" fontId="118" fillId="0" borderId="25" xfId="0" applyNumberFormat="1" applyFont="1" applyBorder="1">
      <alignment vertical="center"/>
    </xf>
    <xf numFmtId="41" fontId="118" fillId="3" borderId="24" xfId="0" applyNumberFormat="1" applyFont="1" applyFill="1" applyBorder="1">
      <alignment vertical="center"/>
    </xf>
    <xf numFmtId="41" fontId="118" fillId="2" borderId="24" xfId="0" applyNumberFormat="1" applyFont="1" applyFill="1" applyBorder="1">
      <alignment vertical="center"/>
    </xf>
    <xf numFmtId="9" fontId="118" fillId="3" borderId="110" xfId="0" applyNumberFormat="1" applyFont="1" applyFill="1" applyBorder="1">
      <alignment vertical="center"/>
    </xf>
    <xf numFmtId="41" fontId="118" fillId="3" borderId="71" xfId="0" applyNumberFormat="1" applyFont="1" applyFill="1" applyBorder="1">
      <alignment vertical="center"/>
    </xf>
    <xf numFmtId="184" fontId="118" fillId="3" borderId="71" xfId="0" applyNumberFormat="1" applyFont="1" applyFill="1" applyBorder="1">
      <alignment vertical="center"/>
    </xf>
    <xf numFmtId="184" fontId="118" fillId="3" borderId="24" xfId="0" applyNumberFormat="1" applyFont="1" applyFill="1" applyBorder="1">
      <alignment vertical="center"/>
    </xf>
    <xf numFmtId="184" fontId="118" fillId="2" borderId="83" xfId="0" applyNumberFormat="1" applyFont="1" applyFill="1" applyBorder="1">
      <alignment vertical="center"/>
    </xf>
    <xf numFmtId="184" fontId="128" fillId="3" borderId="110" xfId="0" applyNumberFormat="1" applyFont="1" applyFill="1" applyBorder="1">
      <alignment vertical="center"/>
    </xf>
    <xf numFmtId="184" fontId="128" fillId="3" borderId="83" xfId="0" applyNumberFormat="1" applyFont="1" applyFill="1" applyBorder="1">
      <alignment vertical="center"/>
    </xf>
    <xf numFmtId="184" fontId="128" fillId="3" borderId="70" xfId="0" applyNumberFormat="1" applyFont="1" applyFill="1" applyBorder="1">
      <alignment vertical="center"/>
    </xf>
    <xf numFmtId="184" fontId="118" fillId="3" borderId="60" xfId="0" applyNumberFormat="1" applyFont="1" applyFill="1" applyBorder="1">
      <alignment vertical="center"/>
    </xf>
    <xf numFmtId="184" fontId="118" fillId="3" borderId="47" xfId="0" applyNumberFormat="1" applyFont="1" applyFill="1" applyBorder="1">
      <alignment vertical="center"/>
    </xf>
    <xf numFmtId="184" fontId="128" fillId="3" borderId="46" xfId="0" applyNumberFormat="1" applyFont="1" applyFill="1" applyBorder="1">
      <alignment vertical="center"/>
    </xf>
    <xf numFmtId="9" fontId="118" fillId="0" borderId="60" xfId="0" applyNumberFormat="1" applyFont="1" applyBorder="1">
      <alignment vertical="center"/>
    </xf>
    <xf numFmtId="9" fontId="118" fillId="0" borderId="69" xfId="0" applyNumberFormat="1" applyFont="1" applyBorder="1">
      <alignment vertical="center"/>
    </xf>
    <xf numFmtId="9" fontId="118" fillId="0" borderId="47" xfId="0" applyNumberFormat="1" applyFont="1" applyBorder="1">
      <alignment vertical="center"/>
    </xf>
    <xf numFmtId="184" fontId="118" fillId="0" borderId="34" xfId="0" applyNumberFormat="1" applyFont="1" applyBorder="1">
      <alignment vertical="center"/>
    </xf>
    <xf numFmtId="184" fontId="118" fillId="2" borderId="32" xfId="0" applyNumberFormat="1" applyFont="1" applyFill="1" applyBorder="1">
      <alignment vertical="center"/>
    </xf>
    <xf numFmtId="184" fontId="118" fillId="2" borderId="49" xfId="0" applyNumberFormat="1" applyFont="1" applyFill="1" applyBorder="1">
      <alignment vertical="center"/>
    </xf>
    <xf numFmtId="182" fontId="128" fillId="3" borderId="19" xfId="0" applyNumberFormat="1" applyFont="1" applyFill="1" applyBorder="1">
      <alignment vertical="center"/>
    </xf>
    <xf numFmtId="41" fontId="128" fillId="3" borderId="49" xfId="0" applyNumberFormat="1" applyFont="1" applyFill="1" applyBorder="1">
      <alignment vertical="center"/>
    </xf>
    <xf numFmtId="41" fontId="118" fillId="4" borderId="49" xfId="0" applyNumberFormat="1" applyFont="1" applyFill="1" applyBorder="1">
      <alignment vertical="center"/>
    </xf>
    <xf numFmtId="41" fontId="128" fillId="3" borderId="19" xfId="0" applyNumberFormat="1" applyFont="1" applyFill="1" applyBorder="1" applyAlignment="1">
      <alignment horizontal="right" vertical="center"/>
    </xf>
    <xf numFmtId="41" fontId="118" fillId="0" borderId="60" xfId="0" applyNumberFormat="1" applyFont="1" applyBorder="1" applyAlignment="1">
      <alignment horizontal="right" vertical="center"/>
    </xf>
    <xf numFmtId="41" fontId="118" fillId="3" borderId="203" xfId="0" applyNumberFormat="1" applyFont="1" applyFill="1" applyBorder="1" applyAlignment="1">
      <alignment horizontal="right" vertical="center"/>
    </xf>
    <xf numFmtId="41" fontId="118" fillId="3" borderId="69" xfId="0" applyNumberFormat="1" applyFont="1" applyFill="1" applyBorder="1" applyAlignment="1">
      <alignment horizontal="right" vertical="center"/>
    </xf>
    <xf numFmtId="41" fontId="118" fillId="3" borderId="89" xfId="0" applyNumberFormat="1" applyFont="1" applyFill="1" applyBorder="1" applyAlignment="1">
      <alignment horizontal="right" vertical="center"/>
    </xf>
    <xf numFmtId="41" fontId="118" fillId="3" borderId="188" xfId="0" applyNumberFormat="1" applyFont="1" applyFill="1" applyBorder="1" applyAlignment="1">
      <alignment horizontal="right" vertical="center"/>
    </xf>
    <xf numFmtId="41" fontId="204" fillId="4" borderId="19" xfId="0" applyNumberFormat="1" applyFont="1" applyFill="1" applyBorder="1">
      <alignment vertical="center"/>
    </xf>
    <xf numFmtId="187" fontId="118" fillId="10" borderId="69" xfId="0" applyNumberFormat="1" applyFont="1" applyFill="1" applyBorder="1">
      <alignment vertical="center"/>
    </xf>
    <xf numFmtId="41" fontId="128" fillId="4" borderId="76" xfId="0" applyNumberFormat="1" applyFont="1" applyFill="1" applyBorder="1">
      <alignment vertical="center"/>
    </xf>
    <xf numFmtId="41" fontId="128" fillId="4" borderId="67" xfId="0" applyNumberFormat="1" applyFont="1" applyFill="1" applyBorder="1">
      <alignment vertical="center"/>
    </xf>
    <xf numFmtId="41" fontId="118" fillId="3" borderId="8" xfId="0" applyNumberFormat="1" applyFont="1" applyFill="1" applyBorder="1">
      <alignment vertical="center"/>
    </xf>
    <xf numFmtId="185" fontId="118" fillId="3" borderId="8" xfId="0" applyNumberFormat="1" applyFont="1" applyFill="1" applyBorder="1">
      <alignment vertical="center"/>
    </xf>
    <xf numFmtId="185" fontId="118" fillId="10" borderId="20" xfId="0" applyNumberFormat="1" applyFont="1" applyFill="1" applyBorder="1">
      <alignment vertical="center"/>
    </xf>
    <xf numFmtId="41" fontId="128" fillId="4" borderId="43" xfId="0" applyNumberFormat="1" applyFont="1" applyFill="1" applyBorder="1">
      <alignment vertical="center"/>
    </xf>
    <xf numFmtId="185" fontId="118" fillId="10" borderId="110" xfId="0" applyNumberFormat="1" applyFont="1" applyFill="1" applyBorder="1">
      <alignment vertical="center"/>
    </xf>
    <xf numFmtId="41" fontId="128" fillId="4" borderId="107" xfId="0" applyNumberFormat="1" applyFont="1" applyFill="1" applyBorder="1">
      <alignment vertical="center"/>
    </xf>
    <xf numFmtId="41" fontId="118" fillId="10" borderId="24" xfId="0" applyNumberFormat="1" applyFont="1" applyFill="1" applyBorder="1">
      <alignment vertical="center"/>
    </xf>
    <xf numFmtId="41" fontId="128" fillId="4" borderId="16" xfId="0" applyNumberFormat="1" applyFont="1" applyFill="1" applyBorder="1" applyAlignment="1">
      <alignment vertical="center" shrinkToFit="1"/>
    </xf>
    <xf numFmtId="184" fontId="118" fillId="3" borderId="65" xfId="0" applyNumberFormat="1" applyFont="1" applyFill="1" applyBorder="1" applyAlignment="1">
      <alignment horizontal="right" vertical="center"/>
    </xf>
    <xf numFmtId="184" fontId="118" fillId="3" borderId="8" xfId="0" applyNumberFormat="1" applyFont="1" applyFill="1" applyBorder="1" applyAlignment="1">
      <alignment horizontal="right" vertical="center"/>
    </xf>
    <xf numFmtId="41" fontId="118" fillId="3" borderId="32" xfId="0" applyNumberFormat="1" applyFont="1" applyFill="1" applyBorder="1" applyAlignment="1">
      <alignment horizontal="center" vertical="center"/>
    </xf>
    <xf numFmtId="41" fontId="118" fillId="10" borderId="257" xfId="0" applyNumberFormat="1" applyFont="1" applyFill="1" applyBorder="1">
      <alignment vertical="center"/>
    </xf>
    <xf numFmtId="185" fontId="118" fillId="10" borderId="85" xfId="1" applyNumberFormat="1" applyFont="1" applyFill="1" applyBorder="1" applyAlignment="1">
      <alignment vertical="center"/>
    </xf>
    <xf numFmtId="182" fontId="118" fillId="2" borderId="49" xfId="8" applyNumberFormat="1" applyFont="1" applyFill="1" applyBorder="1">
      <alignment vertical="center"/>
    </xf>
    <xf numFmtId="41" fontId="128" fillId="32" borderId="114" xfId="0" applyNumberFormat="1" applyFont="1" applyFill="1" applyBorder="1">
      <alignment vertical="center"/>
    </xf>
    <xf numFmtId="41" fontId="118" fillId="24" borderId="193" xfId="0" applyNumberFormat="1" applyFont="1" applyFill="1" applyBorder="1">
      <alignment vertical="center"/>
    </xf>
    <xf numFmtId="41" fontId="108" fillId="25" borderId="108" xfId="0" applyNumberFormat="1" applyFont="1" applyFill="1" applyBorder="1">
      <alignment vertical="center"/>
    </xf>
    <xf numFmtId="41" fontId="86" fillId="25" borderId="31" xfId="0" applyNumberFormat="1" applyFont="1" applyFill="1" applyBorder="1">
      <alignment vertical="center"/>
    </xf>
    <xf numFmtId="41" fontId="108" fillId="25" borderId="275" xfId="0" applyNumberFormat="1" applyFont="1" applyFill="1" applyBorder="1">
      <alignment vertical="center"/>
    </xf>
    <xf numFmtId="41" fontId="108" fillId="4" borderId="271" xfId="0" applyNumberFormat="1" applyFont="1" applyFill="1" applyBorder="1">
      <alignment vertical="center"/>
    </xf>
    <xf numFmtId="41" fontId="86" fillId="25" borderId="271" xfId="0" applyNumberFormat="1" applyFont="1" applyFill="1" applyBorder="1">
      <alignment vertical="center"/>
    </xf>
    <xf numFmtId="41" fontId="86" fillId="25" borderId="108" xfId="0" applyNumberFormat="1" applyFont="1" applyFill="1" applyBorder="1">
      <alignment vertical="center"/>
    </xf>
    <xf numFmtId="41" fontId="118" fillId="32" borderId="123" xfId="0" applyNumberFormat="1" applyFont="1" applyFill="1" applyBorder="1">
      <alignment vertical="center"/>
    </xf>
    <xf numFmtId="0" fontId="84" fillId="4" borderId="42" xfId="0" applyFont="1" applyFill="1" applyBorder="1" applyAlignment="1">
      <alignment horizontal="center" vertical="top"/>
    </xf>
    <xf numFmtId="38" fontId="128" fillId="4" borderId="109" xfId="0" applyNumberFormat="1" applyFont="1" applyFill="1" applyBorder="1" applyAlignment="1">
      <alignment horizontal="center" vertical="center"/>
    </xf>
    <xf numFmtId="38" fontId="128" fillId="4" borderId="112" xfId="0" applyNumberFormat="1" applyFont="1" applyFill="1" applyBorder="1" applyAlignment="1">
      <alignment horizontal="center" vertical="center"/>
    </xf>
    <xf numFmtId="38" fontId="128" fillId="4" borderId="32" xfId="0" applyNumberFormat="1" applyFont="1" applyFill="1" applyBorder="1" applyAlignment="1">
      <alignment horizontal="center" vertical="center"/>
    </xf>
    <xf numFmtId="38" fontId="108" fillId="4" borderId="32" xfId="0" applyNumberFormat="1" applyFont="1" applyFill="1" applyBorder="1" applyAlignment="1">
      <alignment horizontal="center" vertical="center"/>
    </xf>
    <xf numFmtId="38" fontId="108" fillId="4" borderId="113" xfId="0" applyNumberFormat="1" applyFont="1" applyFill="1" applyBorder="1" applyAlignment="1">
      <alignment horizontal="center" vertical="center"/>
    </xf>
    <xf numFmtId="38" fontId="116" fillId="4" borderId="112" xfId="0" applyNumberFormat="1" applyFont="1" applyFill="1" applyBorder="1" applyAlignment="1">
      <alignment horizontal="center" vertical="center"/>
    </xf>
    <xf numFmtId="38" fontId="116" fillId="4" borderId="41" xfId="0" applyNumberFormat="1" applyFont="1" applyFill="1" applyBorder="1" applyAlignment="1">
      <alignment horizontal="center" vertical="center"/>
    </xf>
    <xf numFmtId="38" fontId="116" fillId="4" borderId="109" xfId="0" applyNumberFormat="1" applyFont="1" applyFill="1" applyBorder="1" applyAlignment="1">
      <alignment horizontal="center" vertical="center"/>
    </xf>
    <xf numFmtId="38" fontId="116" fillId="4" borderId="32" xfId="0" applyNumberFormat="1" applyFont="1" applyFill="1" applyBorder="1" applyAlignment="1">
      <alignment horizontal="center" vertical="center"/>
    </xf>
    <xf numFmtId="38" fontId="116" fillId="4" borderId="84" xfId="0" applyNumberFormat="1" applyFont="1" applyFill="1" applyBorder="1" applyAlignment="1">
      <alignment horizontal="center" vertical="center"/>
    </xf>
    <xf numFmtId="41" fontId="116" fillId="4" borderId="24" xfId="0" applyNumberFormat="1" applyFont="1" applyFill="1" applyBorder="1">
      <alignment vertical="center"/>
    </xf>
    <xf numFmtId="192" fontId="17" fillId="4" borderId="69" xfId="7" applyNumberFormat="1" applyFont="1" applyFill="1" applyBorder="1">
      <alignment vertical="center"/>
    </xf>
    <xf numFmtId="192" fontId="93" fillId="4" borderId="22" xfId="0" applyNumberFormat="1" applyFont="1" applyFill="1" applyBorder="1" applyAlignment="1">
      <alignment horizontal="center" vertical="center"/>
    </xf>
    <xf numFmtId="192" fontId="93" fillId="33" borderId="23" xfId="0" applyNumberFormat="1" applyFont="1" applyFill="1" applyBorder="1" applyAlignment="1">
      <alignment horizontal="center" vertical="center"/>
    </xf>
    <xf numFmtId="192" fontId="93" fillId="33" borderId="3" xfId="0" applyNumberFormat="1" applyFont="1" applyFill="1" applyBorder="1" applyAlignment="1">
      <alignment horizontal="center" vertical="center"/>
    </xf>
    <xf numFmtId="192" fontId="93" fillId="33" borderId="79" xfId="0" applyNumberFormat="1" applyFont="1" applyFill="1" applyBorder="1" applyAlignment="1">
      <alignment horizontal="center" vertical="center"/>
    </xf>
    <xf numFmtId="192" fontId="93" fillId="33" borderId="126" xfId="0" applyNumberFormat="1" applyFont="1" applyFill="1" applyBorder="1" applyAlignment="1">
      <alignment horizontal="center" vertical="center"/>
    </xf>
    <xf numFmtId="41" fontId="118" fillId="33" borderId="23" xfId="0" applyNumberFormat="1" applyFont="1" applyFill="1" applyBorder="1">
      <alignment vertical="center"/>
    </xf>
    <xf numFmtId="41" fontId="118" fillId="33" borderId="3" xfId="0" applyNumberFormat="1" applyFont="1" applyFill="1" applyBorder="1">
      <alignment vertical="center"/>
    </xf>
    <xf numFmtId="41" fontId="118" fillId="33" borderId="22" xfId="0" applyNumberFormat="1" applyFont="1" applyFill="1" applyBorder="1">
      <alignment vertical="center"/>
    </xf>
    <xf numFmtId="41" fontId="93" fillId="33" borderId="7" xfId="0" applyNumberFormat="1" applyFont="1" applyFill="1" applyBorder="1">
      <alignment vertical="center"/>
    </xf>
    <xf numFmtId="41" fontId="93" fillId="33" borderId="23" xfId="0" applyNumberFormat="1" applyFont="1" applyFill="1" applyBorder="1">
      <alignment vertical="center"/>
    </xf>
    <xf numFmtId="41" fontId="93" fillId="33" borderId="3" xfId="0" applyNumberFormat="1" applyFont="1" applyFill="1" applyBorder="1">
      <alignment vertical="center"/>
    </xf>
    <xf numFmtId="41" fontId="93" fillId="33" borderId="22" xfId="0" applyNumberFormat="1" applyFont="1" applyFill="1" applyBorder="1">
      <alignment vertical="center"/>
    </xf>
    <xf numFmtId="41" fontId="116" fillId="33" borderId="130" xfId="0" applyNumberFormat="1" applyFont="1" applyFill="1" applyBorder="1">
      <alignment vertical="center"/>
    </xf>
    <xf numFmtId="192" fontId="93" fillId="33" borderId="128" xfId="0" applyNumberFormat="1" applyFont="1" applyFill="1" applyBorder="1" applyAlignment="1">
      <alignment horizontal="center" vertical="center"/>
    </xf>
    <xf numFmtId="192" fontId="93" fillId="33" borderId="4" xfId="0" applyNumberFormat="1" applyFont="1" applyFill="1" applyBorder="1" applyAlignment="1">
      <alignment horizontal="center" vertical="center"/>
    </xf>
    <xf numFmtId="192" fontId="93" fillId="33" borderId="149" xfId="0" applyNumberFormat="1" applyFont="1" applyFill="1" applyBorder="1" applyAlignment="1">
      <alignment horizontal="center" vertical="center"/>
    </xf>
    <xf numFmtId="192" fontId="93" fillId="33" borderId="131" xfId="0" applyNumberFormat="1" applyFont="1" applyFill="1" applyBorder="1" applyAlignment="1">
      <alignment horizontal="center" vertical="center"/>
    </xf>
    <xf numFmtId="41" fontId="118" fillId="33" borderId="128" xfId="0" applyNumberFormat="1" applyFont="1" applyFill="1" applyBorder="1">
      <alignment vertical="center"/>
    </xf>
    <xf numFmtId="41" fontId="118" fillId="33" borderId="4" xfId="0" applyNumberFormat="1" applyFont="1" applyFill="1" applyBorder="1">
      <alignment vertical="center"/>
    </xf>
    <xf numFmtId="41" fontId="118" fillId="33" borderId="129" xfId="0" applyNumberFormat="1" applyFont="1" applyFill="1" applyBorder="1">
      <alignment vertical="center"/>
    </xf>
    <xf numFmtId="41" fontId="93" fillId="33" borderId="128" xfId="0" applyNumberFormat="1" applyFont="1" applyFill="1" applyBorder="1">
      <alignment vertical="center"/>
    </xf>
    <xf numFmtId="41" fontId="93" fillId="33" borderId="4" xfId="0" applyNumberFormat="1" applyFont="1" applyFill="1" applyBorder="1">
      <alignment vertical="center"/>
    </xf>
    <xf numFmtId="41" fontId="93" fillId="33" borderId="132" xfId="0" applyNumberFormat="1" applyFont="1" applyFill="1" applyBorder="1">
      <alignment vertical="center"/>
    </xf>
    <xf numFmtId="41" fontId="93" fillId="33" borderId="129" xfId="0" applyNumberFormat="1" applyFont="1" applyFill="1" applyBorder="1">
      <alignment vertical="center"/>
    </xf>
    <xf numFmtId="41" fontId="116" fillId="33" borderId="133" xfId="0" applyNumberFormat="1" applyFont="1" applyFill="1" applyBorder="1">
      <alignment vertical="center"/>
    </xf>
    <xf numFmtId="192" fontId="84" fillId="33" borderId="23" xfId="0" applyNumberFormat="1" applyFont="1" applyFill="1" applyBorder="1" applyAlignment="1">
      <alignment horizontal="center" vertical="center"/>
    </xf>
    <xf numFmtId="192" fontId="84" fillId="33" borderId="3" xfId="0" applyNumberFormat="1" applyFont="1" applyFill="1" applyBorder="1" applyAlignment="1">
      <alignment horizontal="center" vertical="center"/>
    </xf>
    <xf numFmtId="192" fontId="84" fillId="33" borderId="79" xfId="0" applyNumberFormat="1" applyFont="1" applyFill="1" applyBorder="1" applyAlignment="1">
      <alignment horizontal="center" vertical="center"/>
    </xf>
    <xf numFmtId="192" fontId="84" fillId="33" borderId="126" xfId="0" applyNumberFormat="1" applyFont="1" applyFill="1" applyBorder="1" applyAlignment="1">
      <alignment horizontal="center" vertical="center"/>
    </xf>
    <xf numFmtId="41" fontId="84" fillId="33" borderId="23" xfId="0" applyNumberFormat="1" applyFont="1" applyFill="1" applyBorder="1">
      <alignment vertical="center"/>
    </xf>
    <xf numFmtId="41" fontId="84" fillId="33" borderId="3" xfId="0" applyNumberFormat="1" applyFont="1" applyFill="1" applyBorder="1">
      <alignment vertical="center"/>
    </xf>
    <xf numFmtId="41" fontId="84" fillId="33" borderId="7" xfId="0" applyNumberFormat="1" applyFont="1" applyFill="1" applyBorder="1">
      <alignment vertical="center"/>
    </xf>
    <xf numFmtId="41" fontId="84" fillId="33" borderId="22" xfId="0" applyNumberFormat="1" applyFont="1" applyFill="1" applyBorder="1">
      <alignment vertical="center"/>
    </xf>
    <xf numFmtId="41" fontId="108" fillId="33" borderId="130" xfId="0" applyNumberFormat="1" applyFont="1" applyFill="1" applyBorder="1">
      <alignment vertical="center"/>
    </xf>
    <xf numFmtId="0" fontId="84" fillId="4" borderId="0" xfId="0" applyFont="1" applyFill="1">
      <alignment vertical="center"/>
    </xf>
    <xf numFmtId="192" fontId="93" fillId="76" borderId="23" xfId="0" applyNumberFormat="1" applyFont="1" applyFill="1" applyBorder="1" applyAlignment="1">
      <alignment horizontal="center" vertical="center"/>
    </xf>
    <xf numFmtId="192" fontId="93" fillId="76" borderId="3" xfId="0" applyNumberFormat="1" applyFont="1" applyFill="1" applyBorder="1" applyAlignment="1">
      <alignment horizontal="center" vertical="center"/>
    </xf>
    <xf numFmtId="192" fontId="93" fillId="76" borderId="79" xfId="0" applyNumberFormat="1" applyFont="1" applyFill="1" applyBorder="1" applyAlignment="1">
      <alignment horizontal="center" vertical="center"/>
    </xf>
    <xf numFmtId="192" fontId="93" fillId="76" borderId="126" xfId="0" applyNumberFormat="1" applyFont="1" applyFill="1" applyBorder="1" applyAlignment="1">
      <alignment horizontal="center" vertical="center"/>
    </xf>
    <xf numFmtId="192" fontId="93" fillId="76" borderId="128" xfId="0" applyNumberFormat="1" applyFont="1" applyFill="1" applyBorder="1" applyAlignment="1">
      <alignment horizontal="center" vertical="center"/>
    </xf>
    <xf numFmtId="192" fontId="93" fillId="76" borderId="4" xfId="0" applyNumberFormat="1" applyFont="1" applyFill="1" applyBorder="1" applyAlignment="1">
      <alignment horizontal="center" vertical="center"/>
    </xf>
    <xf numFmtId="192" fontId="93" fillId="76" borderId="149" xfId="0" applyNumberFormat="1" applyFont="1" applyFill="1" applyBorder="1" applyAlignment="1">
      <alignment horizontal="center" vertical="center"/>
    </xf>
    <xf numFmtId="192" fontId="93" fillId="76" borderId="131" xfId="0" applyNumberFormat="1" applyFont="1" applyFill="1" applyBorder="1" applyAlignment="1">
      <alignment horizontal="center" vertical="center"/>
    </xf>
    <xf numFmtId="192" fontId="93" fillId="76" borderId="55" xfId="0" applyNumberFormat="1" applyFont="1" applyFill="1" applyBorder="1" applyAlignment="1">
      <alignment horizontal="center" vertical="center"/>
    </xf>
    <xf numFmtId="192" fontId="93" fillId="76" borderId="1" xfId="0" applyNumberFormat="1" applyFont="1" applyFill="1" applyBorder="1" applyAlignment="1">
      <alignment horizontal="center" vertical="center"/>
    </xf>
    <xf numFmtId="192" fontId="93" fillId="76" borderId="10" xfId="0" applyNumberFormat="1" applyFont="1" applyFill="1" applyBorder="1" applyAlignment="1">
      <alignment horizontal="center" vertical="center"/>
    </xf>
    <xf numFmtId="192" fontId="93" fillId="76" borderId="0" xfId="0" applyNumberFormat="1" applyFont="1" applyFill="1" applyAlignment="1">
      <alignment horizontal="center" vertical="center"/>
    </xf>
    <xf numFmtId="41" fontId="84" fillId="4" borderId="270" xfId="0" applyNumberFormat="1" applyFont="1" applyFill="1" applyBorder="1">
      <alignment vertical="center"/>
    </xf>
    <xf numFmtId="192" fontId="93" fillId="4" borderId="129" xfId="0" applyNumberFormat="1" applyFont="1" applyFill="1" applyBorder="1" applyAlignment="1">
      <alignment horizontal="center" vertical="center"/>
    </xf>
    <xf numFmtId="192" fontId="93" fillId="76" borderId="86" xfId="0" applyNumberFormat="1" applyFont="1" applyFill="1" applyBorder="1" applyAlignment="1">
      <alignment horizontal="center" vertical="center"/>
    </xf>
    <xf numFmtId="192" fontId="93" fillId="76" borderId="11" xfId="0" applyNumberFormat="1" applyFont="1" applyFill="1" applyBorder="1" applyAlignment="1">
      <alignment horizontal="center" vertical="center"/>
    </xf>
    <xf numFmtId="192" fontId="93" fillId="76" borderId="87" xfId="0" applyNumberFormat="1" applyFont="1" applyFill="1" applyBorder="1" applyAlignment="1">
      <alignment horizontal="center" vertical="center"/>
    </xf>
    <xf numFmtId="192" fontId="93" fillId="76" borderId="115" xfId="0" applyNumberFormat="1" applyFont="1" applyFill="1" applyBorder="1" applyAlignment="1">
      <alignment horizontal="center" vertical="center"/>
    </xf>
    <xf numFmtId="0" fontId="84" fillId="4" borderId="87" xfId="0" applyFont="1" applyFill="1" applyBorder="1" applyAlignment="1">
      <alignment horizontal="center" vertical="center"/>
    </xf>
    <xf numFmtId="41" fontId="84" fillId="4" borderId="149" xfId="0" applyNumberFormat="1" applyFont="1" applyFill="1" applyBorder="1">
      <alignment vertical="center"/>
    </xf>
    <xf numFmtId="192" fontId="93" fillId="76" borderId="258" xfId="0" applyNumberFormat="1" applyFont="1" applyFill="1" applyBorder="1" applyAlignment="1">
      <alignment horizontal="center" vertical="center"/>
    </xf>
    <xf numFmtId="192" fontId="93" fillId="76" borderId="259" xfId="0" applyNumberFormat="1" applyFont="1" applyFill="1" applyBorder="1" applyAlignment="1">
      <alignment horizontal="center" vertical="center"/>
    </xf>
    <xf numFmtId="192" fontId="93" fillId="76" borderId="261" xfId="0" applyNumberFormat="1" applyFont="1" applyFill="1" applyBorder="1" applyAlignment="1">
      <alignment horizontal="center" vertical="center"/>
    </xf>
    <xf numFmtId="192" fontId="93" fillId="76" borderId="269" xfId="0" applyNumberFormat="1" applyFont="1" applyFill="1" applyBorder="1" applyAlignment="1">
      <alignment horizontal="center" vertical="center"/>
    </xf>
    <xf numFmtId="192" fontId="84" fillId="76" borderId="258" xfId="0" applyNumberFormat="1" applyFont="1" applyFill="1" applyBorder="1" applyAlignment="1">
      <alignment horizontal="center" vertical="center"/>
    </xf>
    <xf numFmtId="192" fontId="84" fillId="76" borderId="259" xfId="0" applyNumberFormat="1" applyFont="1" applyFill="1" applyBorder="1" applyAlignment="1">
      <alignment horizontal="center" vertical="center"/>
    </xf>
    <xf numFmtId="192" fontId="84" fillId="76" borderId="261" xfId="0" applyNumberFormat="1" applyFont="1" applyFill="1" applyBorder="1" applyAlignment="1">
      <alignment horizontal="center" vertical="center"/>
    </xf>
    <xf numFmtId="192" fontId="84" fillId="76" borderId="269" xfId="0" applyNumberFormat="1" applyFont="1" applyFill="1" applyBorder="1" applyAlignment="1">
      <alignment horizontal="center" vertical="center"/>
    </xf>
    <xf numFmtId="0" fontId="116" fillId="4" borderId="68" xfId="0" applyFont="1" applyFill="1" applyBorder="1" applyAlignment="1">
      <alignment vertical="center" wrapText="1"/>
    </xf>
    <xf numFmtId="0" fontId="116" fillId="4" borderId="277" xfId="0" applyFont="1" applyFill="1" applyBorder="1" applyAlignment="1">
      <alignment vertical="center" wrapText="1"/>
    </xf>
    <xf numFmtId="0" fontId="116" fillId="4" borderId="276" xfId="0" applyFont="1" applyFill="1" applyBorder="1" applyAlignment="1">
      <alignment vertical="center" wrapText="1"/>
    </xf>
    <xf numFmtId="41" fontId="116" fillId="33" borderId="268" xfId="0" applyNumberFormat="1" applyFont="1" applyFill="1" applyBorder="1">
      <alignment vertical="center"/>
    </xf>
    <xf numFmtId="192" fontId="116" fillId="33" borderId="258" xfId="0" applyNumberFormat="1" applyFont="1" applyFill="1" applyBorder="1" applyAlignment="1">
      <alignment horizontal="center" vertical="center"/>
    </xf>
    <xf numFmtId="192" fontId="116" fillId="33" borderId="259" xfId="0" applyNumberFormat="1" applyFont="1" applyFill="1" applyBorder="1" applyAlignment="1">
      <alignment horizontal="center" vertical="center"/>
    </xf>
    <xf numFmtId="192" fontId="116" fillId="33" borderId="261" xfId="0" applyNumberFormat="1" applyFont="1" applyFill="1" applyBorder="1" applyAlignment="1">
      <alignment horizontal="center" vertical="center"/>
    </xf>
    <xf numFmtId="192" fontId="116" fillId="33" borderId="269" xfId="0" applyNumberFormat="1" applyFont="1" applyFill="1" applyBorder="1" applyAlignment="1">
      <alignment horizontal="center" vertical="center"/>
    </xf>
    <xf numFmtId="41" fontId="128" fillId="33" borderId="258" xfId="0" applyNumberFormat="1" applyFont="1" applyFill="1" applyBorder="1">
      <alignment vertical="center"/>
    </xf>
    <xf numFmtId="41" fontId="128" fillId="33" borderId="259" xfId="0" applyNumberFormat="1" applyFont="1" applyFill="1" applyBorder="1">
      <alignment vertical="center"/>
    </xf>
    <xf numFmtId="41" fontId="128" fillId="33" borderId="260" xfId="0" applyNumberFormat="1" applyFont="1" applyFill="1" applyBorder="1">
      <alignment vertical="center"/>
    </xf>
    <xf numFmtId="41" fontId="116" fillId="33" borderId="258" xfId="0" applyNumberFormat="1" applyFont="1" applyFill="1" applyBorder="1">
      <alignment vertical="center"/>
    </xf>
    <xf numFmtId="41" fontId="116" fillId="33" borderId="259" xfId="0" applyNumberFormat="1" applyFont="1" applyFill="1" applyBorder="1">
      <alignment vertical="center"/>
    </xf>
    <xf numFmtId="41" fontId="116" fillId="33" borderId="270" xfId="0" applyNumberFormat="1" applyFont="1" applyFill="1" applyBorder="1">
      <alignment vertical="center"/>
    </xf>
    <xf numFmtId="41" fontId="116" fillId="33" borderId="260" xfId="0" applyNumberFormat="1" applyFont="1" applyFill="1" applyBorder="1">
      <alignment vertical="center"/>
    </xf>
    <xf numFmtId="192" fontId="84" fillId="33" borderId="269" xfId="0" applyNumberFormat="1" applyFont="1" applyFill="1" applyBorder="1" applyAlignment="1">
      <alignment horizontal="center" vertical="center"/>
    </xf>
    <xf numFmtId="41" fontId="108" fillId="33" borderId="268" xfId="0" applyNumberFormat="1" applyFont="1" applyFill="1" applyBorder="1">
      <alignment vertical="center"/>
    </xf>
    <xf numFmtId="192" fontId="84" fillId="33" borderId="35" xfId="0" applyNumberFormat="1" applyFont="1" applyFill="1" applyBorder="1" applyAlignment="1">
      <alignment horizontal="center" vertical="center"/>
    </xf>
    <xf numFmtId="192" fontId="84" fillId="33" borderId="5" xfId="0" applyNumberFormat="1" applyFont="1" applyFill="1" applyBorder="1" applyAlignment="1">
      <alignment horizontal="center" vertical="center"/>
    </xf>
    <xf numFmtId="192" fontId="84" fillId="33" borderId="56" xfId="0" applyNumberFormat="1" applyFont="1" applyFill="1" applyBorder="1" applyAlignment="1">
      <alignment horizontal="center" vertical="center"/>
    </xf>
    <xf numFmtId="192" fontId="84" fillId="33" borderId="107" xfId="0" applyNumberFormat="1" applyFont="1" applyFill="1" applyBorder="1" applyAlignment="1">
      <alignment horizontal="center" vertical="center"/>
    </xf>
    <xf numFmtId="41" fontId="118" fillId="33" borderId="35" xfId="0" applyNumberFormat="1" applyFont="1" applyFill="1" applyBorder="1">
      <alignment vertical="center"/>
    </xf>
    <xf numFmtId="41" fontId="118" fillId="33" borderId="5" xfId="0" applyNumberFormat="1" applyFont="1" applyFill="1" applyBorder="1">
      <alignment vertical="center"/>
    </xf>
    <xf numFmtId="41" fontId="118" fillId="33" borderId="47" xfId="0" applyNumberFormat="1" applyFont="1" applyFill="1" applyBorder="1">
      <alignment vertical="center"/>
    </xf>
    <xf numFmtId="41" fontId="84" fillId="33" borderId="35" xfId="0" applyNumberFormat="1" applyFont="1" applyFill="1" applyBorder="1">
      <alignment vertical="center"/>
    </xf>
    <xf numFmtId="41" fontId="84" fillId="33" borderId="5" xfId="0" applyNumberFormat="1" applyFont="1" applyFill="1" applyBorder="1">
      <alignment vertical="center"/>
    </xf>
    <xf numFmtId="41" fontId="84" fillId="33" borderId="42" xfId="0" applyNumberFormat="1" applyFont="1" applyFill="1" applyBorder="1">
      <alignment vertical="center"/>
    </xf>
    <xf numFmtId="41" fontId="84" fillId="33" borderId="47" xfId="0" applyNumberFormat="1" applyFont="1" applyFill="1" applyBorder="1">
      <alignment vertical="center"/>
    </xf>
    <xf numFmtId="41" fontId="108" fillId="33" borderId="44" xfId="0" applyNumberFormat="1" applyFont="1" applyFill="1" applyBorder="1">
      <alignment vertical="center"/>
    </xf>
    <xf numFmtId="41" fontId="84" fillId="4" borderId="270" xfId="0" applyNumberFormat="1" applyFont="1" applyFill="1" applyBorder="1" applyAlignment="1">
      <alignment vertical="top"/>
    </xf>
    <xf numFmtId="192" fontId="108" fillId="33" borderId="258" xfId="0" applyNumberFormat="1" applyFont="1" applyFill="1" applyBorder="1" applyAlignment="1">
      <alignment horizontal="center" vertical="center"/>
    </xf>
    <xf numFmtId="192" fontId="108" fillId="33" borderId="259" xfId="0" applyNumberFormat="1" applyFont="1" applyFill="1" applyBorder="1" applyAlignment="1">
      <alignment horizontal="center" vertical="center"/>
    </xf>
    <xf numFmtId="192" fontId="108" fillId="33" borderId="261" xfId="0" applyNumberFormat="1" applyFont="1" applyFill="1" applyBorder="1" applyAlignment="1">
      <alignment horizontal="center" vertical="center"/>
    </xf>
    <xf numFmtId="192" fontId="108" fillId="33" borderId="269" xfId="0" applyNumberFormat="1" applyFont="1" applyFill="1" applyBorder="1" applyAlignment="1">
      <alignment horizontal="center" vertical="center"/>
    </xf>
    <xf numFmtId="41" fontId="108" fillId="33" borderId="258" xfId="0" applyNumberFormat="1" applyFont="1" applyFill="1" applyBorder="1">
      <alignment vertical="center"/>
    </xf>
    <xf numFmtId="41" fontId="108" fillId="33" borderId="259" xfId="0" applyNumberFormat="1" applyFont="1" applyFill="1" applyBorder="1">
      <alignment vertical="center"/>
    </xf>
    <xf numFmtId="41" fontId="108" fillId="33" borderId="270" xfId="0" applyNumberFormat="1" applyFont="1" applyFill="1" applyBorder="1">
      <alignment vertical="center"/>
    </xf>
    <xf numFmtId="41" fontId="108" fillId="33" borderId="260" xfId="0" applyNumberFormat="1" applyFont="1" applyFill="1" applyBorder="1">
      <alignment vertical="center"/>
    </xf>
    <xf numFmtId="41" fontId="128" fillId="33" borderId="270" xfId="0" applyNumberFormat="1" applyFont="1" applyFill="1" applyBorder="1">
      <alignment vertical="center"/>
    </xf>
    <xf numFmtId="41" fontId="108" fillId="33" borderId="261" xfId="0" applyNumberFormat="1" applyFont="1" applyFill="1" applyBorder="1">
      <alignment vertical="center"/>
    </xf>
    <xf numFmtId="192" fontId="84" fillId="2" borderId="0" xfId="0" applyNumberFormat="1" applyFont="1" applyFill="1" applyAlignment="1">
      <alignment horizontal="center" vertical="center"/>
    </xf>
    <xf numFmtId="41" fontId="118" fillId="33" borderId="7" xfId="0" applyNumberFormat="1" applyFont="1" applyFill="1" applyBorder="1">
      <alignment vertical="center"/>
    </xf>
    <xf numFmtId="41" fontId="128" fillId="33" borderId="35" xfId="0" applyNumberFormat="1" applyFont="1" applyFill="1" applyBorder="1">
      <alignment vertical="center"/>
    </xf>
    <xf numFmtId="41" fontId="128" fillId="33" borderId="5" xfId="0" applyNumberFormat="1" applyFont="1" applyFill="1" applyBorder="1">
      <alignment vertical="center"/>
    </xf>
    <xf numFmtId="41" fontId="128" fillId="33" borderId="42" xfId="0" applyNumberFormat="1" applyFont="1" applyFill="1" applyBorder="1">
      <alignment vertical="center"/>
    </xf>
    <xf numFmtId="41" fontId="108" fillId="33" borderId="35" xfId="0" applyNumberFormat="1" applyFont="1" applyFill="1" applyBorder="1">
      <alignment vertical="center"/>
    </xf>
    <xf numFmtId="41" fontId="108" fillId="33" borderId="5" xfId="0" applyNumberFormat="1" applyFont="1" applyFill="1" applyBorder="1">
      <alignment vertical="center"/>
    </xf>
    <xf numFmtId="41" fontId="108" fillId="33" borderId="42" xfId="0" applyNumberFormat="1" applyFont="1" applyFill="1" applyBorder="1">
      <alignment vertical="center"/>
    </xf>
    <xf numFmtId="41" fontId="108" fillId="33" borderId="47" xfId="0" applyNumberFormat="1" applyFont="1" applyFill="1" applyBorder="1">
      <alignment vertical="center"/>
    </xf>
    <xf numFmtId="41" fontId="108" fillId="33" borderId="56" xfId="0" applyNumberFormat="1" applyFont="1" applyFill="1" applyBorder="1">
      <alignment vertical="center"/>
    </xf>
    <xf numFmtId="41" fontId="84" fillId="33" borderId="79" xfId="0" applyNumberFormat="1" applyFont="1" applyFill="1" applyBorder="1">
      <alignment vertical="center"/>
    </xf>
    <xf numFmtId="0" fontId="84" fillId="4" borderId="212" xfId="0" applyFont="1" applyFill="1" applyBorder="1">
      <alignment vertical="center"/>
    </xf>
    <xf numFmtId="192" fontId="84" fillId="76" borderId="128" xfId="0" applyNumberFormat="1" applyFont="1" applyFill="1" applyBorder="1" applyAlignment="1">
      <alignment horizontal="center" vertical="center"/>
    </xf>
    <xf numFmtId="192" fontId="84" fillId="76" borderId="4" xfId="0" applyNumberFormat="1" applyFont="1" applyFill="1" applyBorder="1" applyAlignment="1">
      <alignment horizontal="center" vertical="center"/>
    </xf>
    <xf numFmtId="192" fontId="84" fillId="76" borderId="149" xfId="0" applyNumberFormat="1" applyFont="1" applyFill="1" applyBorder="1" applyAlignment="1">
      <alignment horizontal="center" vertical="center"/>
    </xf>
    <xf numFmtId="192" fontId="84" fillId="76" borderId="131" xfId="0" applyNumberFormat="1" applyFont="1" applyFill="1" applyBorder="1" applyAlignment="1">
      <alignment horizontal="center" vertical="center"/>
    </xf>
    <xf numFmtId="41" fontId="84" fillId="4" borderId="132" xfId="0" applyNumberFormat="1" applyFont="1" applyFill="1" applyBorder="1" applyAlignment="1">
      <alignment horizontal="left" vertical="top"/>
    </xf>
    <xf numFmtId="41" fontId="203" fillId="3" borderId="35" xfId="0" applyNumberFormat="1" applyFont="1" applyFill="1" applyBorder="1">
      <alignment vertical="center"/>
    </xf>
    <xf numFmtId="41" fontId="203" fillId="3" borderId="5" xfId="0" applyNumberFormat="1" applyFont="1" applyFill="1" applyBorder="1">
      <alignment vertical="center"/>
    </xf>
    <xf numFmtId="41" fontId="203" fillId="3" borderId="47" xfId="0" applyNumberFormat="1" applyFont="1" applyFill="1" applyBorder="1">
      <alignment vertical="center"/>
    </xf>
    <xf numFmtId="41" fontId="17" fillId="3" borderId="35" xfId="0" applyNumberFormat="1" applyFont="1" applyFill="1" applyBorder="1">
      <alignment vertical="center"/>
    </xf>
    <xf numFmtId="41" fontId="17" fillId="3" borderId="5" xfId="0" applyNumberFormat="1" applyFont="1" applyFill="1" applyBorder="1">
      <alignment vertical="center"/>
    </xf>
    <xf numFmtId="41" fontId="17" fillId="3" borderId="47" xfId="0" applyNumberFormat="1" applyFont="1" applyFill="1" applyBorder="1">
      <alignment vertical="center"/>
    </xf>
    <xf numFmtId="192" fontId="84" fillId="2" borderId="86" xfId="0" applyNumberFormat="1" applyFont="1" applyFill="1" applyBorder="1" applyAlignment="1">
      <alignment horizontal="center" vertical="center"/>
    </xf>
    <xf numFmtId="192" fontId="84" fillId="2" borderId="11" xfId="0" applyNumberFormat="1" applyFont="1" applyFill="1" applyBorder="1" applyAlignment="1">
      <alignment horizontal="center" vertical="center"/>
    </xf>
    <xf numFmtId="192" fontId="84" fillId="2" borderId="87" xfId="0" applyNumberFormat="1" applyFont="1" applyFill="1" applyBorder="1" applyAlignment="1">
      <alignment horizontal="center" vertical="center"/>
    </xf>
    <xf numFmtId="192" fontId="84" fillId="2" borderId="115" xfId="0" applyNumberFormat="1" applyFont="1" applyFill="1" applyBorder="1" applyAlignment="1">
      <alignment horizontal="center" vertical="center"/>
    </xf>
    <xf numFmtId="192" fontId="84" fillId="2" borderId="55" xfId="0" applyNumberFormat="1" applyFont="1" applyFill="1" applyBorder="1" applyAlignment="1">
      <alignment horizontal="center" vertical="center"/>
    </xf>
    <xf numFmtId="192" fontId="84" fillId="2" borderId="1" xfId="0" applyNumberFormat="1" applyFont="1" applyFill="1" applyBorder="1" applyAlignment="1">
      <alignment horizontal="center" vertical="center"/>
    </xf>
    <xf numFmtId="192" fontId="84" fillId="2" borderId="10" xfId="0" applyNumberFormat="1" applyFont="1" applyFill="1" applyBorder="1" applyAlignment="1">
      <alignment horizontal="center" vertical="center"/>
    </xf>
    <xf numFmtId="41" fontId="84" fillId="4" borderId="257" xfId="0" applyNumberFormat="1" applyFont="1" applyFill="1" applyBorder="1">
      <alignment vertical="center"/>
    </xf>
    <xf numFmtId="41" fontId="84" fillId="4" borderId="278" xfId="0" applyNumberFormat="1" applyFont="1" applyFill="1" applyBorder="1">
      <alignment vertical="center"/>
    </xf>
    <xf numFmtId="195" fontId="93" fillId="4" borderId="257" xfId="0" applyNumberFormat="1" applyFont="1" applyFill="1" applyBorder="1">
      <alignment vertical="center"/>
    </xf>
    <xf numFmtId="9" fontId="93" fillId="4" borderId="278" xfId="0" applyNumberFormat="1" applyFont="1" applyFill="1" applyBorder="1">
      <alignment vertical="center"/>
    </xf>
    <xf numFmtId="9" fontId="93" fillId="4" borderId="255" xfId="0" applyNumberFormat="1" applyFont="1" applyFill="1" applyBorder="1">
      <alignment vertical="center"/>
    </xf>
    <xf numFmtId="187" fontId="118" fillId="3" borderId="256" xfId="0" applyNumberFormat="1" applyFont="1" applyFill="1" applyBorder="1">
      <alignment vertical="center"/>
    </xf>
    <xf numFmtId="41" fontId="118" fillId="3" borderId="257" xfId="0" applyNumberFormat="1" applyFont="1" applyFill="1" applyBorder="1">
      <alignment vertical="center"/>
    </xf>
    <xf numFmtId="41" fontId="93" fillId="3" borderId="257" xfId="0" applyNumberFormat="1" applyFont="1" applyFill="1" applyBorder="1">
      <alignment vertical="center"/>
    </xf>
    <xf numFmtId="187" fontId="93" fillId="3" borderId="256" xfId="0" applyNumberFormat="1" applyFont="1" applyFill="1" applyBorder="1">
      <alignment vertical="center"/>
    </xf>
    <xf numFmtId="41" fontId="93" fillId="3" borderId="255" xfId="0" applyNumberFormat="1" applyFont="1" applyFill="1" applyBorder="1">
      <alignment vertical="center"/>
    </xf>
    <xf numFmtId="41" fontId="93" fillId="3" borderId="279" xfId="0" applyNumberFormat="1" applyFont="1" applyFill="1" applyBorder="1">
      <alignment vertical="center"/>
    </xf>
    <xf numFmtId="41" fontId="116" fillId="4" borderId="271" xfId="0" applyNumberFormat="1" applyFont="1" applyFill="1" applyBorder="1">
      <alignment vertical="center"/>
    </xf>
    <xf numFmtId="41" fontId="108" fillId="3" borderId="91" xfId="0" applyNumberFormat="1" applyFont="1" applyFill="1" applyBorder="1" applyAlignment="1">
      <alignment horizontal="center" vertical="center"/>
    </xf>
    <xf numFmtId="41" fontId="116" fillId="4" borderId="79" xfId="0" applyNumberFormat="1" applyFont="1" applyFill="1" applyBorder="1">
      <alignment vertical="center"/>
    </xf>
    <xf numFmtId="41" fontId="116" fillId="4" borderId="118" xfId="0" applyNumberFormat="1" applyFont="1" applyFill="1" applyBorder="1">
      <alignment vertical="center"/>
    </xf>
    <xf numFmtId="9" fontId="93" fillId="0" borderId="0" xfId="8" applyFont="1">
      <alignment vertical="center"/>
    </xf>
    <xf numFmtId="41" fontId="93" fillId="4" borderId="1" xfId="0" applyNumberFormat="1" applyFont="1" applyFill="1" applyBorder="1" applyAlignment="1">
      <alignment vertical="top"/>
    </xf>
    <xf numFmtId="41" fontId="203" fillId="3" borderId="119" xfId="0" applyNumberFormat="1" applyFont="1" applyFill="1" applyBorder="1">
      <alignment vertical="center"/>
    </xf>
    <xf numFmtId="1" fontId="118" fillId="0" borderId="0" xfId="0" applyNumberFormat="1" applyFont="1">
      <alignment vertical="center"/>
    </xf>
    <xf numFmtId="9" fontId="118" fillId="0" borderId="0" xfId="8" applyFont="1">
      <alignment vertical="center"/>
    </xf>
    <xf numFmtId="187" fontId="84" fillId="3" borderId="80" xfId="0" applyNumberFormat="1" applyFont="1" applyFill="1" applyBorder="1">
      <alignment vertical="center"/>
    </xf>
    <xf numFmtId="187" fontId="84" fillId="3" borderId="21" xfId="0" applyNumberFormat="1" applyFont="1" applyFill="1" applyBorder="1">
      <alignment vertical="center"/>
    </xf>
    <xf numFmtId="187" fontId="84" fillId="3" borderId="1" xfId="0" applyNumberFormat="1" applyFont="1" applyFill="1" applyBorder="1">
      <alignment vertical="center"/>
    </xf>
    <xf numFmtId="187" fontId="84" fillId="3" borderId="47" xfId="0" applyNumberFormat="1" applyFont="1" applyFill="1" applyBorder="1">
      <alignment vertical="center"/>
    </xf>
    <xf numFmtId="41" fontId="116" fillId="3" borderId="48" xfId="0" applyNumberFormat="1" applyFont="1" applyFill="1" applyBorder="1">
      <alignment vertical="center"/>
    </xf>
    <xf numFmtId="41" fontId="108" fillId="3" borderId="39" xfId="0" applyNumberFormat="1" applyFont="1" applyFill="1" applyBorder="1">
      <alignment vertical="center"/>
    </xf>
    <xf numFmtId="41" fontId="93" fillId="3" borderId="63" xfId="0" applyNumberFormat="1" applyFont="1" applyFill="1" applyBorder="1" applyAlignment="1">
      <alignment horizontal="left" vertical="center" indent="1"/>
    </xf>
    <xf numFmtId="41" fontId="84" fillId="3" borderId="37" xfId="0" applyNumberFormat="1" applyFont="1" applyFill="1" applyBorder="1" applyAlignment="1">
      <alignment horizontal="left" vertical="center" indent="1"/>
    </xf>
    <xf numFmtId="41" fontId="84" fillId="3" borderId="61" xfId="0" applyNumberFormat="1" applyFont="1" applyFill="1" applyBorder="1" applyAlignment="1">
      <alignment horizontal="left" vertical="center" indent="1"/>
    </xf>
    <xf numFmtId="41" fontId="84" fillId="3" borderId="34" xfId="0" applyNumberFormat="1" applyFont="1" applyFill="1" applyBorder="1" applyAlignment="1">
      <alignment horizontal="left" vertical="center" indent="1"/>
    </xf>
    <xf numFmtId="41" fontId="84" fillId="3" borderId="64" xfId="0" applyNumberFormat="1" applyFont="1" applyFill="1" applyBorder="1" applyAlignment="1">
      <alignment horizontal="left" vertical="center" indent="1"/>
    </xf>
    <xf numFmtId="0" fontId="84" fillId="4" borderId="282" xfId="0" applyFont="1" applyFill="1" applyBorder="1" applyAlignment="1">
      <alignment horizontal="center" vertical="center"/>
    </xf>
    <xf numFmtId="9" fontId="84" fillId="4" borderId="281" xfId="0" applyNumberFormat="1" applyFont="1" applyFill="1" applyBorder="1" applyAlignment="1">
      <alignment horizontal="right" vertical="center"/>
    </xf>
    <xf numFmtId="41" fontId="118" fillId="3" borderId="272" xfId="0" applyNumberFormat="1" applyFont="1" applyFill="1" applyBorder="1">
      <alignment vertical="center"/>
    </xf>
    <xf numFmtId="41" fontId="118" fillId="3" borderId="283" xfId="0" applyNumberFormat="1" applyFont="1" applyFill="1" applyBorder="1">
      <alignment vertical="center"/>
    </xf>
    <xf numFmtId="192" fontId="84" fillId="4" borderId="60" xfId="0" applyNumberFormat="1" applyFont="1" applyFill="1" applyBorder="1">
      <alignment vertical="center"/>
    </xf>
    <xf numFmtId="192" fontId="84" fillId="4" borderId="281" xfId="0" applyNumberFormat="1" applyFont="1" applyFill="1" applyBorder="1">
      <alignment vertical="center"/>
    </xf>
    <xf numFmtId="41" fontId="118" fillId="10" borderId="272" xfId="0" applyNumberFormat="1" applyFont="1" applyFill="1" applyBorder="1">
      <alignment vertical="center"/>
    </xf>
    <xf numFmtId="41" fontId="118" fillId="10" borderId="283" xfId="0" applyNumberFormat="1" applyFont="1" applyFill="1" applyBorder="1">
      <alignment vertical="center"/>
    </xf>
    <xf numFmtId="41" fontId="93" fillId="10" borderId="255" xfId="0" applyNumberFormat="1" applyFont="1" applyFill="1" applyBorder="1">
      <alignment vertical="center"/>
    </xf>
    <xf numFmtId="41" fontId="84" fillId="10" borderId="256" xfId="0" applyNumberFormat="1" applyFont="1" applyFill="1" applyBorder="1">
      <alignment vertical="center"/>
    </xf>
    <xf numFmtId="41" fontId="84" fillId="10" borderId="257" xfId="0" applyNumberFormat="1" applyFont="1" applyFill="1" applyBorder="1">
      <alignment vertical="center"/>
    </xf>
    <xf numFmtId="41" fontId="84" fillId="10" borderId="255" xfId="0" applyNumberFormat="1" applyFont="1" applyFill="1" applyBorder="1">
      <alignment vertical="center"/>
    </xf>
    <xf numFmtId="41" fontId="203" fillId="4" borderId="23" xfId="0" applyNumberFormat="1" applyFont="1" applyFill="1" applyBorder="1">
      <alignment vertical="center"/>
    </xf>
    <xf numFmtId="41" fontId="203" fillId="4" borderId="3" xfId="0" applyNumberFormat="1" applyFont="1" applyFill="1" applyBorder="1">
      <alignment vertical="center"/>
    </xf>
    <xf numFmtId="41" fontId="203" fillId="4" borderId="22" xfId="0" applyNumberFormat="1" applyFont="1" applyFill="1" applyBorder="1">
      <alignment vertical="center"/>
    </xf>
    <xf numFmtId="41" fontId="17" fillId="4" borderId="79" xfId="0" applyNumberFormat="1" applyFont="1" applyFill="1" applyBorder="1">
      <alignment vertical="center"/>
    </xf>
    <xf numFmtId="41" fontId="17" fillId="4" borderId="3" xfId="0" applyNumberFormat="1" applyFont="1" applyFill="1" applyBorder="1">
      <alignment vertical="center"/>
    </xf>
    <xf numFmtId="41" fontId="17" fillId="4" borderId="22" xfId="0" applyNumberFormat="1" applyFont="1" applyFill="1" applyBorder="1">
      <alignment vertical="center"/>
    </xf>
    <xf numFmtId="41" fontId="17" fillId="4" borderId="7" xfId="0" applyNumberFormat="1" applyFont="1" applyFill="1" applyBorder="1">
      <alignment vertical="center"/>
    </xf>
    <xf numFmtId="192" fontId="84" fillId="4" borderId="12" xfId="0" applyNumberFormat="1" applyFont="1" applyFill="1" applyBorder="1" applyAlignment="1">
      <alignment horizontal="center" vertical="center"/>
    </xf>
    <xf numFmtId="192" fontId="84" fillId="4" borderId="196" xfId="0" applyNumberFormat="1" applyFont="1" applyFill="1" applyBorder="1" applyAlignment="1">
      <alignment horizontal="center" vertical="center"/>
    </xf>
    <xf numFmtId="192" fontId="84" fillId="4" borderId="62" xfId="0" applyNumberFormat="1" applyFont="1" applyFill="1" applyBorder="1" applyAlignment="1">
      <alignment horizontal="center" vertical="center"/>
    </xf>
    <xf numFmtId="41" fontId="203" fillId="4" borderId="12" xfId="0" applyNumberFormat="1" applyFont="1" applyFill="1" applyBorder="1">
      <alignment vertical="center"/>
    </xf>
    <xf numFmtId="41" fontId="203" fillId="4" borderId="196" xfId="0" applyNumberFormat="1" applyFont="1" applyFill="1" applyBorder="1">
      <alignment vertical="center"/>
    </xf>
    <xf numFmtId="41" fontId="203" fillId="4" borderId="33" xfId="0" applyNumberFormat="1" applyFont="1" applyFill="1" applyBorder="1">
      <alignment vertical="center"/>
    </xf>
    <xf numFmtId="41" fontId="17" fillId="4" borderId="12" xfId="0" applyNumberFormat="1" applyFont="1" applyFill="1" applyBorder="1">
      <alignment vertical="center"/>
    </xf>
    <xf numFmtId="41" fontId="17" fillId="4" borderId="196" xfId="0" applyNumberFormat="1" applyFont="1" applyFill="1" applyBorder="1">
      <alignment vertical="center"/>
    </xf>
    <xf numFmtId="41" fontId="17" fillId="4" borderId="33" xfId="0" applyNumberFormat="1" applyFont="1" applyFill="1" applyBorder="1">
      <alignment vertical="center"/>
    </xf>
    <xf numFmtId="41" fontId="118" fillId="4" borderId="35" xfId="0" applyNumberFormat="1" applyFont="1" applyFill="1" applyBorder="1">
      <alignment vertical="center"/>
    </xf>
    <xf numFmtId="41" fontId="118" fillId="4" borderId="5" xfId="0" applyNumberFormat="1" applyFont="1" applyFill="1" applyBorder="1">
      <alignment vertical="center"/>
    </xf>
    <xf numFmtId="41" fontId="118" fillId="4" borderId="47" xfId="0" applyNumberFormat="1" applyFont="1" applyFill="1" applyBorder="1">
      <alignment vertical="center"/>
    </xf>
    <xf numFmtId="41" fontId="84" fillId="4" borderId="35" xfId="0" applyNumberFormat="1" applyFont="1" applyFill="1" applyBorder="1">
      <alignment vertical="center"/>
    </xf>
    <xf numFmtId="41" fontId="203" fillId="4" borderId="86" xfId="0" applyNumberFormat="1" applyFont="1" applyFill="1" applyBorder="1">
      <alignment vertical="center"/>
    </xf>
    <xf numFmtId="41" fontId="203" fillId="4" borderId="11" xfId="0" applyNumberFormat="1" applyFont="1" applyFill="1" applyBorder="1">
      <alignment vertical="center"/>
    </xf>
    <xf numFmtId="41" fontId="203" fillId="4" borderId="54" xfId="0" applyNumberFormat="1" applyFont="1" applyFill="1" applyBorder="1">
      <alignment vertical="center"/>
    </xf>
    <xf numFmtId="41" fontId="11" fillId="4" borderId="86" xfId="0" applyNumberFormat="1" applyFont="1" applyFill="1" applyBorder="1">
      <alignment vertical="center"/>
    </xf>
    <xf numFmtId="41" fontId="11" fillId="4" borderId="11" xfId="0" applyNumberFormat="1" applyFont="1" applyFill="1" applyBorder="1">
      <alignment vertical="center"/>
    </xf>
    <xf numFmtId="41" fontId="11" fillId="4" borderId="119" xfId="0" applyNumberFormat="1" applyFont="1" applyFill="1" applyBorder="1">
      <alignment vertical="center"/>
    </xf>
    <xf numFmtId="41" fontId="11" fillId="4" borderId="54" xfId="0" applyNumberFormat="1" applyFont="1" applyFill="1" applyBorder="1">
      <alignment vertical="center"/>
    </xf>
    <xf numFmtId="41" fontId="11" fillId="4" borderId="23" xfId="0" applyNumberFormat="1" applyFont="1" applyFill="1" applyBorder="1">
      <alignment vertical="center"/>
    </xf>
    <xf numFmtId="41" fontId="11" fillId="4" borderId="3" xfId="0" applyNumberFormat="1" applyFont="1" applyFill="1" applyBorder="1">
      <alignment vertical="center"/>
    </xf>
    <xf numFmtId="41" fontId="11" fillId="4" borderId="7" xfId="0" applyNumberFormat="1" applyFont="1" applyFill="1" applyBorder="1">
      <alignment vertical="center"/>
    </xf>
    <xf numFmtId="41" fontId="11" fillId="4" borderId="22" xfId="0" applyNumberFormat="1" applyFont="1" applyFill="1" applyBorder="1">
      <alignment vertical="center"/>
    </xf>
    <xf numFmtId="41" fontId="116" fillId="4" borderId="130" xfId="0" applyNumberFormat="1" applyFont="1" applyFill="1" applyBorder="1">
      <alignment vertical="center"/>
    </xf>
    <xf numFmtId="41" fontId="203" fillId="4" borderId="55" xfId="0" applyNumberFormat="1" applyFont="1" applyFill="1" applyBorder="1">
      <alignment vertical="center"/>
    </xf>
    <xf numFmtId="41" fontId="203" fillId="4" borderId="1" xfId="0" applyNumberFormat="1" applyFont="1" applyFill="1" applyBorder="1">
      <alignment vertical="center"/>
    </xf>
    <xf numFmtId="41" fontId="203" fillId="4" borderId="69" xfId="0" applyNumberFormat="1" applyFont="1" applyFill="1" applyBorder="1">
      <alignment vertical="center"/>
    </xf>
    <xf numFmtId="41" fontId="11" fillId="4" borderId="55" xfId="0" applyNumberFormat="1" applyFont="1" applyFill="1" applyBorder="1">
      <alignment vertical="center"/>
    </xf>
    <xf numFmtId="41" fontId="11" fillId="4" borderId="1" xfId="0" applyNumberFormat="1" applyFont="1" applyFill="1" applyBorder="1">
      <alignment vertical="center"/>
    </xf>
    <xf numFmtId="41" fontId="11" fillId="4" borderId="8" xfId="0" applyNumberFormat="1" applyFont="1" applyFill="1" applyBorder="1">
      <alignment vertical="center"/>
    </xf>
    <xf numFmtId="41" fontId="11" fillId="4" borderId="69" xfId="0" applyNumberFormat="1" applyFont="1" applyFill="1" applyBorder="1">
      <alignment vertical="center"/>
    </xf>
    <xf numFmtId="41" fontId="203" fillId="4" borderId="128" xfId="0" applyNumberFormat="1" applyFont="1" applyFill="1" applyBorder="1">
      <alignment vertical="center"/>
    </xf>
    <xf numFmtId="41" fontId="203" fillId="4" borderId="4" xfId="0" applyNumberFormat="1" applyFont="1" applyFill="1" applyBorder="1">
      <alignment vertical="center"/>
    </xf>
    <xf numFmtId="41" fontId="203" fillId="4" borderId="129" xfId="0" applyNumberFormat="1" applyFont="1" applyFill="1" applyBorder="1">
      <alignment vertical="center"/>
    </xf>
    <xf numFmtId="41" fontId="11" fillId="4" borderId="128" xfId="0" applyNumberFormat="1" applyFont="1" applyFill="1" applyBorder="1">
      <alignment vertical="center"/>
    </xf>
    <xf numFmtId="41" fontId="11" fillId="4" borderId="4" xfId="0" applyNumberFormat="1" applyFont="1" applyFill="1" applyBorder="1">
      <alignment vertical="center"/>
    </xf>
    <xf numFmtId="41" fontId="11" fillId="4" borderId="132" xfId="0" applyNumberFormat="1" applyFont="1" applyFill="1" applyBorder="1">
      <alignment vertical="center"/>
    </xf>
    <xf numFmtId="41" fontId="11" fillId="4" borderId="129" xfId="0" applyNumberFormat="1" applyFont="1" applyFill="1" applyBorder="1">
      <alignment vertical="center"/>
    </xf>
    <xf numFmtId="41" fontId="203" fillId="4" borderId="258" xfId="0" applyNumberFormat="1" applyFont="1" applyFill="1" applyBorder="1">
      <alignment vertical="center"/>
    </xf>
    <xf numFmtId="41" fontId="203" fillId="4" borderId="259" xfId="0" applyNumberFormat="1" applyFont="1" applyFill="1" applyBorder="1">
      <alignment vertical="center"/>
    </xf>
    <xf numFmtId="41" fontId="203" fillId="4" borderId="270" xfId="0" applyNumberFormat="1" applyFont="1" applyFill="1" applyBorder="1">
      <alignment vertical="center"/>
    </xf>
    <xf numFmtId="41" fontId="11" fillId="4" borderId="258" xfId="0" applyNumberFormat="1" applyFont="1" applyFill="1" applyBorder="1">
      <alignment vertical="center"/>
    </xf>
    <xf numFmtId="41" fontId="11" fillId="4" borderId="259" xfId="0" applyNumberFormat="1" applyFont="1" applyFill="1" applyBorder="1">
      <alignment vertical="center"/>
    </xf>
    <xf numFmtId="41" fontId="11" fillId="4" borderId="270" xfId="0" applyNumberFormat="1" applyFont="1" applyFill="1" applyBorder="1">
      <alignment vertical="center"/>
    </xf>
    <xf numFmtId="41" fontId="11" fillId="4" borderId="260" xfId="0" applyNumberFormat="1" applyFont="1" applyFill="1" applyBorder="1">
      <alignment vertical="center"/>
    </xf>
    <xf numFmtId="41" fontId="116" fillId="4" borderId="268" xfId="0" applyNumberFormat="1" applyFont="1" applyFill="1" applyBorder="1">
      <alignment vertical="center"/>
    </xf>
    <xf numFmtId="41" fontId="203" fillId="4" borderId="128" xfId="0" applyNumberFormat="1" applyFont="1" applyFill="1" applyBorder="1" applyAlignment="1">
      <alignment horizontal="center" vertical="center"/>
    </xf>
    <xf numFmtId="41" fontId="203" fillId="4" borderId="4" xfId="0" applyNumberFormat="1" applyFont="1" applyFill="1" applyBorder="1" applyAlignment="1">
      <alignment horizontal="center" vertical="center"/>
    </xf>
    <xf numFmtId="41" fontId="203" fillId="4" borderId="132" xfId="0" applyNumberFormat="1" applyFont="1" applyFill="1" applyBorder="1" applyAlignment="1">
      <alignment horizontal="center" vertical="center"/>
    </xf>
    <xf numFmtId="41" fontId="17" fillId="4" borderId="128" xfId="0" applyNumberFormat="1" applyFont="1" applyFill="1" applyBorder="1" applyAlignment="1">
      <alignment horizontal="center" vertical="center"/>
    </xf>
    <xf numFmtId="41" fontId="17" fillId="4" borderId="4" xfId="0" applyNumberFormat="1" applyFont="1" applyFill="1" applyBorder="1" applyAlignment="1">
      <alignment horizontal="center" vertical="center"/>
    </xf>
    <xf numFmtId="41" fontId="17" fillId="4" borderId="132" xfId="0" applyNumberFormat="1" applyFont="1" applyFill="1" applyBorder="1" applyAlignment="1">
      <alignment horizontal="center" vertical="center"/>
    </xf>
    <xf numFmtId="41" fontId="17" fillId="4" borderId="129" xfId="0" applyNumberFormat="1" applyFont="1" applyFill="1" applyBorder="1" applyAlignment="1">
      <alignment horizontal="center" vertical="center"/>
    </xf>
    <xf numFmtId="41" fontId="203" fillId="4" borderId="258" xfId="0" applyNumberFormat="1" applyFont="1" applyFill="1" applyBorder="1" applyAlignment="1">
      <alignment horizontal="center" vertical="center"/>
    </xf>
    <xf numFmtId="41" fontId="203" fillId="4" borderId="259" xfId="0" applyNumberFormat="1" applyFont="1" applyFill="1" applyBorder="1" applyAlignment="1">
      <alignment horizontal="center" vertical="center"/>
    </xf>
    <xf numFmtId="41" fontId="203" fillId="4" borderId="270" xfId="0" applyNumberFormat="1" applyFont="1" applyFill="1" applyBorder="1" applyAlignment="1">
      <alignment horizontal="center" vertical="center"/>
    </xf>
    <xf numFmtId="41" fontId="17" fillId="4" borderId="258" xfId="0" applyNumberFormat="1" applyFont="1" applyFill="1" applyBorder="1" applyAlignment="1">
      <alignment horizontal="center" vertical="center"/>
    </xf>
    <xf numFmtId="41" fontId="17" fillId="4" borderId="259" xfId="0" applyNumberFormat="1" applyFont="1" applyFill="1" applyBorder="1" applyAlignment="1">
      <alignment horizontal="center" vertical="center"/>
    </xf>
    <xf numFmtId="41" fontId="17" fillId="4" borderId="270" xfId="0" applyNumberFormat="1" applyFont="1" applyFill="1" applyBorder="1" applyAlignment="1">
      <alignment horizontal="center" vertical="center"/>
    </xf>
    <xf numFmtId="41" fontId="17" fillId="4" borderId="260" xfId="0" applyNumberFormat="1" applyFont="1" applyFill="1" applyBorder="1" applyAlignment="1">
      <alignment horizontal="center" vertical="center"/>
    </xf>
    <xf numFmtId="41" fontId="17" fillId="4" borderId="23" xfId="0" applyNumberFormat="1" applyFont="1" applyFill="1" applyBorder="1">
      <alignment vertical="center"/>
    </xf>
    <xf numFmtId="41" fontId="203" fillId="4" borderId="260" xfId="0" applyNumberFormat="1" applyFont="1" applyFill="1" applyBorder="1">
      <alignment vertical="center"/>
    </xf>
    <xf numFmtId="41" fontId="203" fillId="4" borderId="132" xfId="0" applyNumberFormat="1" applyFont="1" applyFill="1" applyBorder="1">
      <alignment vertical="center"/>
    </xf>
    <xf numFmtId="41" fontId="17" fillId="4" borderId="149" xfId="0" applyNumberFormat="1" applyFont="1" applyFill="1" applyBorder="1">
      <alignment vertical="center"/>
    </xf>
    <xf numFmtId="41" fontId="17" fillId="4" borderId="4" xfId="0" applyNumberFormat="1" applyFont="1" applyFill="1" applyBorder="1">
      <alignment vertical="center"/>
    </xf>
    <xf numFmtId="41" fontId="17" fillId="4" borderId="132" xfId="0" applyNumberFormat="1" applyFont="1" applyFill="1" applyBorder="1">
      <alignment vertical="center"/>
    </xf>
    <xf numFmtId="41" fontId="17" fillId="4" borderId="128" xfId="0" applyNumberFormat="1" applyFont="1" applyFill="1" applyBorder="1">
      <alignment vertical="center"/>
    </xf>
    <xf numFmtId="41" fontId="17" fillId="4" borderId="129" xfId="0" applyNumberFormat="1" applyFont="1" applyFill="1" applyBorder="1">
      <alignment vertical="center"/>
    </xf>
    <xf numFmtId="41" fontId="128" fillId="33" borderId="12" xfId="0" applyNumberFormat="1" applyFont="1" applyFill="1" applyBorder="1">
      <alignment vertical="center"/>
    </xf>
    <xf numFmtId="41" fontId="128" fillId="33" borderId="28" xfId="0" applyNumberFormat="1" applyFont="1" applyFill="1" applyBorder="1">
      <alignment vertical="center"/>
    </xf>
    <xf numFmtId="41" fontId="128" fillId="33" borderId="33" xfId="0" applyNumberFormat="1" applyFont="1" applyFill="1" applyBorder="1">
      <alignment vertical="center"/>
    </xf>
    <xf numFmtId="41" fontId="108" fillId="33" borderId="28" xfId="0" applyNumberFormat="1" applyFont="1" applyFill="1" applyBorder="1">
      <alignment vertical="center"/>
    </xf>
    <xf numFmtId="41" fontId="108" fillId="33" borderId="33" xfId="0" applyNumberFormat="1" applyFont="1" applyFill="1" applyBorder="1">
      <alignment vertical="center"/>
    </xf>
    <xf numFmtId="41" fontId="108" fillId="33" borderId="30" xfId="0" applyNumberFormat="1" applyFont="1" applyFill="1" applyBorder="1">
      <alignment vertical="center"/>
    </xf>
    <xf numFmtId="41" fontId="118" fillId="10" borderId="277" xfId="0" applyNumberFormat="1" applyFont="1" applyFill="1" applyBorder="1">
      <alignment vertical="center"/>
    </xf>
    <xf numFmtId="41" fontId="118" fillId="10" borderId="282" xfId="0" applyNumberFormat="1" applyFont="1" applyFill="1" applyBorder="1">
      <alignment vertical="center"/>
    </xf>
    <xf numFmtId="41" fontId="118" fillId="10" borderId="284" xfId="0" applyNumberFormat="1" applyFont="1" applyFill="1" applyBorder="1">
      <alignment vertical="center"/>
    </xf>
    <xf numFmtId="41" fontId="93" fillId="10" borderId="281" xfId="0" applyNumberFormat="1" applyFont="1" applyFill="1" applyBorder="1">
      <alignment vertical="center"/>
    </xf>
    <xf numFmtId="41" fontId="84" fillId="10" borderId="285" xfId="0" applyNumberFormat="1" applyFont="1" applyFill="1" applyBorder="1">
      <alignment vertical="center"/>
    </xf>
    <xf numFmtId="41" fontId="84" fillId="10" borderId="282" xfId="0" applyNumberFormat="1" applyFont="1" applyFill="1" applyBorder="1">
      <alignment vertical="center"/>
    </xf>
    <xf numFmtId="41" fontId="84" fillId="10" borderId="281" xfId="0" applyNumberFormat="1" applyFont="1" applyFill="1" applyBorder="1">
      <alignment vertical="center"/>
    </xf>
    <xf numFmtId="0" fontId="84" fillId="4" borderId="257" xfId="0" applyFont="1" applyFill="1" applyBorder="1" applyAlignment="1">
      <alignment horizontal="center" vertical="center"/>
    </xf>
    <xf numFmtId="9" fontId="84" fillId="4" borderId="255" xfId="0" applyNumberFormat="1" applyFont="1" applyFill="1" applyBorder="1" applyAlignment="1">
      <alignment horizontal="right" vertical="center"/>
    </xf>
    <xf numFmtId="41" fontId="17" fillId="3" borderId="86" xfId="0" applyNumberFormat="1" applyFont="1" applyFill="1" applyBorder="1" applyAlignment="1">
      <alignment horizontal="center" vertical="center"/>
    </xf>
    <xf numFmtId="41" fontId="17" fillId="3" borderId="11" xfId="0" applyNumberFormat="1" applyFont="1" applyFill="1" applyBorder="1" applyAlignment="1">
      <alignment horizontal="center" vertical="center"/>
    </xf>
    <xf numFmtId="41" fontId="17" fillId="3" borderId="119" xfId="0" applyNumberFormat="1" applyFont="1" applyFill="1" applyBorder="1" applyAlignment="1">
      <alignment horizontal="center" vertical="center"/>
    </xf>
    <xf numFmtId="41" fontId="17" fillId="3" borderId="54" xfId="0" applyNumberFormat="1" applyFont="1" applyFill="1" applyBorder="1" applyAlignment="1">
      <alignment horizontal="center" vertical="center"/>
    </xf>
    <xf numFmtId="0" fontId="94" fillId="4" borderId="55" xfId="0" applyFont="1" applyFill="1" applyBorder="1" applyAlignment="1">
      <alignment horizontal="left" vertical="center"/>
    </xf>
    <xf numFmtId="43" fontId="94" fillId="3" borderId="1" xfId="0" applyNumberFormat="1" applyFont="1" applyFill="1" applyBorder="1">
      <alignment vertical="center"/>
    </xf>
    <xf numFmtId="41" fontId="94" fillId="3" borderId="1" xfId="0" applyNumberFormat="1" applyFont="1" applyFill="1" applyBorder="1">
      <alignment vertical="center"/>
    </xf>
    <xf numFmtId="194" fontId="94" fillId="4" borderId="69" xfId="0" applyNumberFormat="1" applyFont="1" applyFill="1" applyBorder="1">
      <alignment vertical="center"/>
    </xf>
    <xf numFmtId="41" fontId="93" fillId="2" borderId="69" xfId="0" applyNumberFormat="1" applyFont="1" applyFill="1" applyBorder="1">
      <alignment vertical="center"/>
    </xf>
    <xf numFmtId="0" fontId="116" fillId="31" borderId="3" xfId="0" applyFont="1" applyFill="1" applyBorder="1" applyAlignment="1">
      <alignment horizontal="center" vertical="center"/>
    </xf>
    <xf numFmtId="0" fontId="68" fillId="26" borderId="3" xfId="0" applyFont="1" applyFill="1" applyBorder="1">
      <alignment vertical="center"/>
    </xf>
    <xf numFmtId="41" fontId="118" fillId="32" borderId="126" xfId="0" applyNumberFormat="1" applyFont="1" applyFill="1" applyBorder="1">
      <alignment vertical="center"/>
    </xf>
    <xf numFmtId="41" fontId="118" fillId="32" borderId="7" xfId="0" applyNumberFormat="1" applyFont="1" applyFill="1" applyBorder="1">
      <alignment vertical="center"/>
    </xf>
    <xf numFmtId="41" fontId="84" fillId="32" borderId="126" xfId="0" applyNumberFormat="1" applyFont="1" applyFill="1" applyBorder="1">
      <alignment vertical="center"/>
    </xf>
    <xf numFmtId="41" fontId="84" fillId="32" borderId="121" xfId="0" applyNumberFormat="1" applyFont="1" applyFill="1" applyBorder="1">
      <alignment vertical="center"/>
    </xf>
    <xf numFmtId="41" fontId="84" fillId="32" borderId="7" xfId="0" applyNumberFormat="1" applyFont="1" applyFill="1" applyBorder="1">
      <alignment vertical="center"/>
    </xf>
    <xf numFmtId="41" fontId="108" fillId="26" borderId="130" xfId="0" applyNumberFormat="1" applyFont="1" applyFill="1" applyBorder="1">
      <alignment vertical="center"/>
    </xf>
    <xf numFmtId="0" fontId="13" fillId="31" borderId="3" xfId="0" applyFont="1" applyFill="1" applyBorder="1">
      <alignment vertical="center"/>
    </xf>
    <xf numFmtId="41" fontId="118" fillId="31" borderId="7" xfId="0" quotePrefix="1" applyNumberFormat="1" applyFont="1" applyFill="1" applyBorder="1">
      <alignment vertical="center"/>
    </xf>
    <xf numFmtId="41" fontId="108" fillId="31" borderId="130" xfId="0" applyNumberFormat="1" applyFont="1" applyFill="1" applyBorder="1">
      <alignment vertical="center"/>
    </xf>
    <xf numFmtId="41" fontId="108" fillId="26" borderId="106" xfId="0" applyNumberFormat="1" applyFont="1" applyFill="1" applyBorder="1">
      <alignment vertical="center"/>
    </xf>
    <xf numFmtId="41" fontId="108" fillId="26" borderId="94" xfId="0" applyNumberFormat="1" applyFont="1" applyFill="1" applyBorder="1">
      <alignment vertical="center"/>
    </xf>
    <xf numFmtId="41" fontId="129" fillId="26" borderId="94" xfId="0" applyNumberFormat="1" applyFont="1" applyFill="1" applyBorder="1">
      <alignment vertical="center"/>
    </xf>
    <xf numFmtId="41" fontId="129" fillId="26" borderId="130" xfId="0" applyNumberFormat="1" applyFont="1" applyFill="1" applyBorder="1">
      <alignment vertical="center"/>
    </xf>
    <xf numFmtId="41" fontId="108" fillId="31" borderId="133" xfId="0" applyNumberFormat="1" applyFont="1" applyFill="1" applyBorder="1">
      <alignment vertical="center"/>
    </xf>
    <xf numFmtId="0" fontId="86" fillId="31" borderId="217" xfId="0" applyFont="1" applyFill="1" applyBorder="1" applyAlignment="1">
      <alignment horizontal="center" vertical="center"/>
    </xf>
    <xf numFmtId="0" fontId="86" fillId="31" borderId="3" xfId="0" applyFont="1" applyFill="1" applyBorder="1" applyAlignment="1">
      <alignment horizontal="left" vertical="center" wrapText="1"/>
    </xf>
    <xf numFmtId="41" fontId="118" fillId="32" borderId="121" xfId="0" applyNumberFormat="1" applyFont="1" applyFill="1" applyBorder="1">
      <alignment vertical="center"/>
    </xf>
    <xf numFmtId="0" fontId="86" fillId="31" borderId="228" xfId="0" applyFont="1" applyFill="1" applyBorder="1" applyAlignment="1">
      <alignment horizontal="center" vertical="center"/>
    </xf>
    <xf numFmtId="0" fontId="86" fillId="31" borderId="11" xfId="0" applyFont="1" applyFill="1" applyBorder="1" applyAlignment="1">
      <alignment horizontal="left" vertical="center"/>
    </xf>
    <xf numFmtId="0" fontId="93" fillId="4" borderId="50" xfId="0" applyFont="1" applyFill="1" applyBorder="1" applyAlignment="1">
      <alignment horizontal="center" vertical="center"/>
    </xf>
    <xf numFmtId="0" fontId="116" fillId="4" borderId="25" xfId="0" applyFont="1" applyFill="1" applyBorder="1" applyAlignment="1">
      <alignment horizontal="center" vertical="center"/>
    </xf>
    <xf numFmtId="0" fontId="86" fillId="21" borderId="16" xfId="0" applyFont="1" applyFill="1" applyBorder="1" applyAlignment="1">
      <alignment horizontal="center" vertical="center"/>
    </xf>
    <xf numFmtId="0" fontId="86" fillId="21" borderId="67" xfId="0" applyFont="1" applyFill="1" applyBorder="1" applyAlignment="1">
      <alignment horizontal="center" vertical="center"/>
    </xf>
    <xf numFmtId="180" fontId="129" fillId="3" borderId="0" xfId="1" applyFont="1" applyFill="1" applyAlignment="1">
      <alignment vertical="center"/>
    </xf>
    <xf numFmtId="41" fontId="128" fillId="25" borderId="277" xfId="0" applyNumberFormat="1" applyFont="1" applyFill="1" applyBorder="1">
      <alignment vertical="center"/>
    </xf>
    <xf numFmtId="41" fontId="128" fillId="25" borderId="282" xfId="0" applyNumberFormat="1" applyFont="1" applyFill="1" applyBorder="1">
      <alignment vertical="center"/>
    </xf>
    <xf numFmtId="41" fontId="128" fillId="25" borderId="287" xfId="0" applyNumberFormat="1" applyFont="1" applyFill="1" applyBorder="1">
      <alignment vertical="center"/>
    </xf>
    <xf numFmtId="41" fontId="108" fillId="25" borderId="286" xfId="0" applyNumberFormat="1" applyFont="1" applyFill="1" applyBorder="1">
      <alignment vertical="center"/>
    </xf>
    <xf numFmtId="41" fontId="108" fillId="25" borderId="282" xfId="0" applyNumberFormat="1" applyFont="1" applyFill="1" applyBorder="1">
      <alignment vertical="center"/>
    </xf>
    <xf numFmtId="41" fontId="108" fillId="25" borderId="284" xfId="0" applyNumberFormat="1" applyFont="1" applyFill="1" applyBorder="1">
      <alignment vertical="center"/>
    </xf>
    <xf numFmtId="41" fontId="108" fillId="25" borderId="281" xfId="0" applyNumberFormat="1" applyFont="1" applyFill="1" applyBorder="1">
      <alignment vertical="center"/>
    </xf>
    <xf numFmtId="41" fontId="108" fillId="25" borderId="287" xfId="0" applyNumberFormat="1" applyFont="1" applyFill="1" applyBorder="1">
      <alignment vertical="center"/>
    </xf>
    <xf numFmtId="41" fontId="128" fillId="25" borderId="286" xfId="0" applyNumberFormat="1" applyFont="1" applyFill="1" applyBorder="1">
      <alignment vertical="center"/>
    </xf>
    <xf numFmtId="41" fontId="128" fillId="25" borderId="276" xfId="0" applyNumberFormat="1" applyFont="1" applyFill="1" applyBorder="1">
      <alignment vertical="center"/>
    </xf>
    <xf numFmtId="41" fontId="108" fillId="25" borderId="285" xfId="0" applyNumberFormat="1" applyFont="1" applyFill="1" applyBorder="1">
      <alignment vertical="center"/>
    </xf>
    <xf numFmtId="0" fontId="86" fillId="21" borderId="64" xfId="0" applyFont="1" applyFill="1" applyBorder="1">
      <alignment vertical="center"/>
    </xf>
    <xf numFmtId="41" fontId="118" fillId="42" borderId="198" xfId="0" applyNumberFormat="1" applyFont="1" applyFill="1" applyBorder="1">
      <alignment vertical="center"/>
    </xf>
    <xf numFmtId="41" fontId="84" fillId="42" borderId="64" xfId="0" applyNumberFormat="1" applyFont="1" applyFill="1" applyBorder="1">
      <alignment vertical="center"/>
    </xf>
    <xf numFmtId="41" fontId="84" fillId="42" borderId="198" xfId="0" applyNumberFormat="1" applyFont="1" applyFill="1" applyBorder="1">
      <alignment vertical="center"/>
    </xf>
    <xf numFmtId="41" fontId="93" fillId="4" borderId="263" xfId="0" applyNumberFormat="1" applyFont="1" applyFill="1" applyBorder="1">
      <alignment vertical="center"/>
    </xf>
    <xf numFmtId="41" fontId="93" fillId="4" borderId="274" xfId="0" applyNumberFormat="1" applyFont="1" applyFill="1" applyBorder="1">
      <alignment vertical="center"/>
    </xf>
    <xf numFmtId="185" fontId="118" fillId="3" borderId="262" xfId="0" applyNumberFormat="1" applyFont="1" applyFill="1" applyBorder="1">
      <alignment vertical="center"/>
    </xf>
    <xf numFmtId="185" fontId="118" fillId="3" borderId="273" xfId="0" applyNumberFormat="1" applyFont="1" applyFill="1" applyBorder="1">
      <alignment vertical="center"/>
    </xf>
    <xf numFmtId="185" fontId="118" fillId="3" borderId="288" xfId="0" applyNumberFormat="1" applyFont="1" applyFill="1" applyBorder="1">
      <alignment vertical="center"/>
    </xf>
    <xf numFmtId="187" fontId="93" fillId="3" borderId="289" xfId="0" applyNumberFormat="1" applyFont="1" applyFill="1" applyBorder="1">
      <alignment vertical="center"/>
    </xf>
    <xf numFmtId="187" fontId="93" fillId="3" borderId="263" xfId="0" applyNumberFormat="1" applyFont="1" applyFill="1" applyBorder="1">
      <alignment vertical="center"/>
    </xf>
    <xf numFmtId="187" fontId="93" fillId="3" borderId="288" xfId="0" applyNumberFormat="1" applyFont="1" applyFill="1" applyBorder="1">
      <alignment vertical="center"/>
    </xf>
    <xf numFmtId="187" fontId="93" fillId="3" borderId="273" xfId="0" applyNumberFormat="1" applyFont="1" applyFill="1" applyBorder="1">
      <alignment vertical="center"/>
    </xf>
    <xf numFmtId="187" fontId="116" fillId="4" borderId="264" xfId="0" applyNumberFormat="1" applyFont="1" applyFill="1" applyBorder="1">
      <alignment vertical="center"/>
    </xf>
    <xf numFmtId="0" fontId="93" fillId="4" borderId="264" xfId="0" applyFont="1" applyFill="1" applyBorder="1">
      <alignment vertical="center"/>
    </xf>
    <xf numFmtId="41" fontId="116" fillId="4" borderId="0" xfId="0" applyNumberFormat="1" applyFont="1" applyFill="1" applyAlignment="1">
      <alignment horizontal="left" vertical="center"/>
    </xf>
    <xf numFmtId="0" fontId="116" fillId="4" borderId="31" xfId="0" applyFont="1" applyFill="1" applyBorder="1">
      <alignment vertical="center"/>
    </xf>
    <xf numFmtId="41" fontId="93" fillId="4" borderId="274" xfId="0" applyNumberFormat="1" applyFont="1" applyFill="1" applyBorder="1" applyAlignment="1">
      <alignment horizontal="left" vertical="center"/>
    </xf>
    <xf numFmtId="0" fontId="93" fillId="4" borderId="263" xfId="0" applyFont="1" applyFill="1" applyBorder="1">
      <alignment vertical="center"/>
    </xf>
    <xf numFmtId="0" fontId="93" fillId="4" borderId="290" xfId="0" applyFont="1" applyFill="1" applyBorder="1">
      <alignment vertical="center"/>
    </xf>
    <xf numFmtId="0" fontId="93" fillId="4" borderId="274" xfId="0" applyFont="1" applyFill="1" applyBorder="1">
      <alignment vertical="center"/>
    </xf>
    <xf numFmtId="41" fontId="118" fillId="3" borderId="289" xfId="0" applyNumberFormat="1" applyFont="1" applyFill="1" applyBorder="1" applyAlignment="1">
      <alignment horizontal="left" vertical="center" indent="1"/>
    </xf>
    <xf numFmtId="41" fontId="118" fillId="3" borderId="263" xfId="0" applyNumberFormat="1" applyFont="1" applyFill="1" applyBorder="1" applyAlignment="1">
      <alignment horizontal="left" vertical="center" indent="1"/>
    </xf>
    <xf numFmtId="41" fontId="118" fillId="3" borderId="288" xfId="0" applyNumberFormat="1" applyFont="1" applyFill="1" applyBorder="1" applyAlignment="1">
      <alignment horizontal="left" vertical="center" indent="1"/>
    </xf>
    <xf numFmtId="41" fontId="93" fillId="3" borderId="263" xfId="0" applyNumberFormat="1" applyFont="1" applyFill="1" applyBorder="1" applyAlignment="1">
      <alignment horizontal="left" vertical="center" indent="1"/>
    </xf>
    <xf numFmtId="41" fontId="93" fillId="3" borderId="288" xfId="0" applyNumberFormat="1" applyFont="1" applyFill="1" applyBorder="1" applyAlignment="1">
      <alignment horizontal="left" vertical="center" indent="1"/>
    </xf>
    <xf numFmtId="41" fontId="93" fillId="3" borderId="289" xfId="0" applyNumberFormat="1" applyFont="1" applyFill="1" applyBorder="1" applyAlignment="1">
      <alignment horizontal="left" vertical="center" indent="1"/>
    </xf>
    <xf numFmtId="41" fontId="116" fillId="4" borderId="264" xfId="0" applyNumberFormat="1" applyFont="1" applyFill="1" applyBorder="1">
      <alignment vertical="center"/>
    </xf>
    <xf numFmtId="41" fontId="93" fillId="4" borderId="0" xfId="0" applyNumberFormat="1" applyFont="1" applyFill="1" applyAlignment="1">
      <alignment horizontal="center" vertical="center"/>
    </xf>
    <xf numFmtId="41" fontId="93" fillId="4" borderId="119" xfId="0" applyNumberFormat="1" applyFont="1" applyFill="1" applyBorder="1" applyAlignment="1">
      <alignment horizontal="center" vertical="center"/>
    </xf>
    <xf numFmtId="41" fontId="93" fillId="4" borderId="118" xfId="0" applyNumberFormat="1" applyFont="1" applyFill="1" applyBorder="1" applyAlignment="1">
      <alignment horizontal="center" vertical="center"/>
    </xf>
    <xf numFmtId="41" fontId="93" fillId="4" borderId="9" xfId="0" applyNumberFormat="1" applyFont="1" applyFill="1" applyBorder="1" applyAlignment="1">
      <alignment horizontal="center" vertical="center"/>
    </xf>
    <xf numFmtId="41" fontId="93" fillId="4" borderId="21" xfId="0" applyNumberFormat="1" applyFont="1" applyFill="1" applyBorder="1" applyAlignment="1">
      <alignment horizontal="center" vertical="center"/>
    </xf>
    <xf numFmtId="41" fontId="203" fillId="3" borderId="26" xfId="0" applyNumberFormat="1" applyFont="1" applyFill="1" applyBorder="1">
      <alignment vertical="center"/>
    </xf>
    <xf numFmtId="41" fontId="203" fillId="3" borderId="10" xfId="0" applyNumberFormat="1" applyFont="1" applyFill="1" applyBorder="1">
      <alignment vertical="center"/>
    </xf>
    <xf numFmtId="41" fontId="203" fillId="4" borderId="79" xfId="0" applyNumberFormat="1" applyFont="1" applyFill="1" applyBorder="1">
      <alignment vertical="center"/>
    </xf>
    <xf numFmtId="41" fontId="118" fillId="3" borderId="256" xfId="0" applyNumberFormat="1" applyFont="1" applyFill="1" applyBorder="1">
      <alignment vertical="center"/>
    </xf>
    <xf numFmtId="41" fontId="203" fillId="3" borderId="256" xfId="0" applyNumberFormat="1" applyFont="1" applyFill="1" applyBorder="1">
      <alignment vertical="center"/>
    </xf>
    <xf numFmtId="41" fontId="203" fillId="4" borderId="269" xfId="0" applyNumberFormat="1" applyFont="1" applyFill="1" applyBorder="1">
      <alignment vertical="center"/>
    </xf>
    <xf numFmtId="41" fontId="203" fillId="3" borderId="0" xfId="0" applyNumberFormat="1" applyFont="1" applyFill="1">
      <alignment vertical="center"/>
    </xf>
    <xf numFmtId="185" fontId="128" fillId="10" borderId="35" xfId="0" applyNumberFormat="1" applyFont="1" applyFill="1" applyBorder="1">
      <alignment vertical="center"/>
    </xf>
    <xf numFmtId="41" fontId="118" fillId="10" borderId="55" xfId="0" applyNumberFormat="1" applyFont="1" applyFill="1" applyBorder="1" applyAlignment="1">
      <alignment horizontal="center" vertical="center"/>
    </xf>
    <xf numFmtId="41" fontId="118" fillId="33" borderId="23" xfId="0" applyNumberFormat="1" applyFont="1" applyFill="1" applyBorder="1" applyAlignment="1">
      <alignment horizontal="center" vertical="center"/>
    </xf>
    <xf numFmtId="41" fontId="118" fillId="10" borderId="86" xfId="0" applyNumberFormat="1" applyFont="1" applyFill="1" applyBorder="1" applyAlignment="1">
      <alignment horizontal="center" vertical="center"/>
    </xf>
    <xf numFmtId="41" fontId="128" fillId="4" borderId="258" xfId="0" applyNumberFormat="1" applyFont="1" applyFill="1" applyBorder="1">
      <alignment vertical="center"/>
    </xf>
    <xf numFmtId="41" fontId="118" fillId="4" borderId="258" xfId="0" applyNumberFormat="1" applyFont="1" applyFill="1" applyBorder="1">
      <alignment vertical="center"/>
    </xf>
    <xf numFmtId="41" fontId="118" fillId="4" borderId="262" xfId="0" applyNumberFormat="1" applyFont="1" applyFill="1" applyBorder="1">
      <alignment vertical="center"/>
    </xf>
    <xf numFmtId="187" fontId="118" fillId="3" borderId="23" xfId="0" applyNumberFormat="1" applyFont="1" applyFill="1" applyBorder="1">
      <alignment vertical="center"/>
    </xf>
    <xf numFmtId="41" fontId="118" fillId="3" borderId="12" xfId="0" applyNumberFormat="1" applyFont="1" applyFill="1" applyBorder="1">
      <alignment vertical="center"/>
    </xf>
    <xf numFmtId="43" fontId="118" fillId="3" borderId="0" xfId="0" applyNumberFormat="1" applyFont="1" applyFill="1" applyAlignment="1">
      <alignment horizontal="center" vertical="center"/>
    </xf>
    <xf numFmtId="9" fontId="118" fillId="3" borderId="109" xfId="0" applyNumberFormat="1" applyFont="1" applyFill="1" applyBorder="1" applyAlignment="1">
      <alignment horizontal="center" vertical="center"/>
    </xf>
    <xf numFmtId="9" fontId="128" fillId="3" borderId="78" xfId="0" applyNumberFormat="1" applyFont="1" applyFill="1" applyBorder="1" applyAlignment="1">
      <alignment horizontal="center" vertical="center"/>
    </xf>
    <xf numFmtId="0" fontId="19" fillId="13" borderId="291" xfId="0" applyFont="1" applyFill="1" applyBorder="1" applyAlignment="1">
      <alignment horizontal="center" vertical="center" wrapText="1"/>
    </xf>
    <xf numFmtId="0" fontId="19" fillId="13" borderId="292" xfId="0" applyFont="1" applyFill="1" applyBorder="1" applyAlignment="1">
      <alignment horizontal="center" vertical="center" wrapText="1"/>
    </xf>
    <xf numFmtId="0" fontId="19" fillId="2" borderId="292" xfId="0" applyFont="1" applyFill="1" applyBorder="1" applyAlignment="1">
      <alignment horizontal="center" vertical="center" wrapText="1"/>
    </xf>
    <xf numFmtId="0" fontId="19" fillId="13" borderId="293" xfId="0" applyFont="1" applyFill="1" applyBorder="1" applyAlignment="1">
      <alignment horizontal="center" vertical="center" wrapText="1"/>
    </xf>
    <xf numFmtId="41" fontId="116" fillId="4" borderId="261" xfId="0" applyNumberFormat="1" applyFont="1" applyFill="1" applyBorder="1" applyAlignment="1">
      <alignment horizontal="left" vertical="center"/>
    </xf>
    <xf numFmtId="41" fontId="116" fillId="4" borderId="257" xfId="0" applyNumberFormat="1" applyFont="1" applyFill="1" applyBorder="1" applyAlignment="1">
      <alignment horizontal="center" vertical="center"/>
    </xf>
    <xf numFmtId="41" fontId="116" fillId="4" borderId="278" xfId="0" applyNumberFormat="1" applyFont="1" applyFill="1" applyBorder="1" applyAlignment="1">
      <alignment horizontal="center" vertical="center"/>
    </xf>
    <xf numFmtId="41" fontId="116" fillId="4" borderId="272" xfId="0" applyNumberFormat="1" applyFont="1" applyFill="1" applyBorder="1" applyAlignment="1">
      <alignment horizontal="center" vertical="center"/>
    </xf>
    <xf numFmtId="182" fontId="116" fillId="4" borderId="257" xfId="0" applyNumberFormat="1" applyFont="1" applyFill="1" applyBorder="1" applyAlignment="1">
      <alignment horizontal="center" vertical="center"/>
    </xf>
    <xf numFmtId="182" fontId="116" fillId="10" borderId="278" xfId="0" applyNumberFormat="1" applyFont="1" applyFill="1" applyBorder="1" applyAlignment="1">
      <alignment horizontal="center" vertical="center"/>
    </xf>
    <xf numFmtId="41" fontId="116" fillId="4" borderId="255" xfId="0" applyNumberFormat="1" applyFont="1" applyFill="1" applyBorder="1" applyAlignment="1">
      <alignment horizontal="center" vertical="center"/>
    </xf>
    <xf numFmtId="41" fontId="116" fillId="4" borderId="260" xfId="0" applyNumberFormat="1" applyFont="1" applyFill="1" applyBorder="1" applyAlignment="1">
      <alignment horizontal="center" vertical="center"/>
    </xf>
    <xf numFmtId="41" fontId="128" fillId="4" borderId="258" xfId="0" applyNumberFormat="1" applyFont="1" applyFill="1" applyBorder="1" applyAlignment="1">
      <alignment horizontal="center" vertical="center"/>
    </xf>
    <xf numFmtId="41" fontId="128" fillId="4" borderId="261" xfId="0" applyNumberFormat="1" applyFont="1" applyFill="1" applyBorder="1" applyAlignment="1">
      <alignment horizontal="center" vertical="center"/>
    </xf>
    <xf numFmtId="41" fontId="128" fillId="4" borderId="260" xfId="0" applyNumberFormat="1" applyFont="1" applyFill="1" applyBorder="1" applyAlignment="1">
      <alignment horizontal="center" vertical="center"/>
    </xf>
    <xf numFmtId="41" fontId="116" fillId="4" borderId="259" xfId="0" applyNumberFormat="1" applyFont="1" applyFill="1" applyBorder="1" applyAlignment="1">
      <alignment horizontal="center" vertical="center"/>
    </xf>
    <xf numFmtId="41" fontId="116" fillId="4" borderId="261" xfId="0" applyNumberFormat="1" applyFont="1" applyFill="1" applyBorder="1" applyAlignment="1">
      <alignment horizontal="center" vertical="center"/>
    </xf>
    <xf numFmtId="41" fontId="116" fillId="4" borderId="268" xfId="0" applyNumberFormat="1" applyFont="1" applyFill="1" applyBorder="1" applyAlignment="1">
      <alignment horizontal="center" vertical="center"/>
    </xf>
    <xf numFmtId="187" fontId="116" fillId="4" borderId="259" xfId="0" applyNumberFormat="1" applyFont="1" applyFill="1" applyBorder="1" applyAlignment="1">
      <alignment vertical="center" wrapText="1"/>
    </xf>
    <xf numFmtId="0" fontId="116" fillId="4" borderId="259" xfId="0" applyFont="1" applyFill="1" applyBorder="1" applyAlignment="1">
      <alignment horizontal="center" vertical="center"/>
    </xf>
    <xf numFmtId="0" fontId="207" fillId="4" borderId="259" xfId="0" applyFont="1" applyFill="1" applyBorder="1">
      <alignment vertical="center"/>
    </xf>
    <xf numFmtId="41" fontId="93" fillId="4" borderId="272" xfId="0" applyNumberFormat="1" applyFont="1" applyFill="1" applyBorder="1">
      <alignment vertical="center"/>
    </xf>
    <xf numFmtId="41" fontId="93" fillId="4" borderId="257" xfId="0" applyNumberFormat="1" applyFont="1" applyFill="1" applyBorder="1" applyAlignment="1">
      <alignment horizontal="left" vertical="center"/>
    </xf>
    <xf numFmtId="41" fontId="93" fillId="4" borderId="257" xfId="0" applyNumberFormat="1" applyFont="1" applyFill="1" applyBorder="1" applyAlignment="1">
      <alignment horizontal="center" vertical="center"/>
    </xf>
    <xf numFmtId="41" fontId="93" fillId="4" borderId="278" xfId="0" applyNumberFormat="1" applyFont="1" applyFill="1" applyBorder="1" applyAlignment="1">
      <alignment horizontal="center" vertical="center"/>
    </xf>
    <xf numFmtId="41" fontId="93" fillId="4" borderId="272" xfId="0" applyNumberFormat="1" applyFont="1" applyFill="1" applyBorder="1" applyAlignment="1">
      <alignment horizontal="center" vertical="center"/>
    </xf>
    <xf numFmtId="182" fontId="93" fillId="4" borderId="257" xfId="0" applyNumberFormat="1" applyFont="1" applyFill="1" applyBorder="1" applyAlignment="1">
      <alignment horizontal="center" vertical="center"/>
    </xf>
    <xf numFmtId="182" fontId="93" fillId="10" borderId="278" xfId="0" applyNumberFormat="1" applyFont="1" applyFill="1" applyBorder="1" applyAlignment="1">
      <alignment horizontal="center" vertical="center"/>
    </xf>
    <xf numFmtId="185" fontId="93" fillId="4" borderId="255" xfId="0" applyNumberFormat="1" applyFont="1" applyFill="1" applyBorder="1" applyAlignment="1">
      <alignment horizontal="center" vertical="center"/>
    </xf>
    <xf numFmtId="41" fontId="93" fillId="4" borderId="255" xfId="0" applyNumberFormat="1" applyFont="1" applyFill="1" applyBorder="1">
      <alignment vertical="center"/>
    </xf>
    <xf numFmtId="187" fontId="93" fillId="2" borderId="255" xfId="0" applyNumberFormat="1" applyFont="1" applyFill="1" applyBorder="1">
      <alignment vertical="center"/>
    </xf>
    <xf numFmtId="187" fontId="93" fillId="28" borderId="256" xfId="0" applyNumberFormat="1" applyFont="1" applyFill="1" applyBorder="1">
      <alignment vertical="center"/>
    </xf>
    <xf numFmtId="41" fontId="93" fillId="28" borderId="257" xfId="0" applyNumberFormat="1" applyFont="1" applyFill="1" applyBorder="1">
      <alignment vertical="center"/>
    </xf>
    <xf numFmtId="41" fontId="93" fillId="28" borderId="255" xfId="0" applyNumberFormat="1" applyFont="1" applyFill="1" applyBorder="1">
      <alignment vertical="center"/>
    </xf>
    <xf numFmtId="41" fontId="93" fillId="28" borderId="256" xfId="0" applyNumberFormat="1" applyFont="1" applyFill="1" applyBorder="1">
      <alignment vertical="center"/>
    </xf>
    <xf numFmtId="41" fontId="93" fillId="4" borderId="271" xfId="0" applyNumberFormat="1" applyFont="1" applyFill="1" applyBorder="1">
      <alignment vertical="center"/>
    </xf>
    <xf numFmtId="41" fontId="118" fillId="28" borderId="55" xfId="0" applyNumberFormat="1" applyFont="1" applyFill="1" applyBorder="1">
      <alignment vertical="center"/>
    </xf>
    <xf numFmtId="41" fontId="118" fillId="28" borderId="86" xfId="0" applyNumberFormat="1" applyFont="1" applyFill="1" applyBorder="1">
      <alignment vertical="center"/>
    </xf>
    <xf numFmtId="41" fontId="118" fillId="28" borderId="88" xfId="0" applyNumberFormat="1" applyFont="1" applyFill="1" applyBorder="1">
      <alignment vertical="center"/>
    </xf>
    <xf numFmtId="41" fontId="93" fillId="0" borderId="294" xfId="0" applyNumberFormat="1" applyFont="1" applyBorder="1">
      <alignment vertical="center"/>
    </xf>
    <xf numFmtId="0" fontId="178" fillId="3" borderId="258" xfId="0" applyFont="1" applyFill="1" applyBorder="1">
      <alignment vertical="center"/>
    </xf>
    <xf numFmtId="187" fontId="178" fillId="3" borderId="259" xfId="0" applyNumberFormat="1" applyFont="1" applyFill="1" applyBorder="1">
      <alignment vertical="center"/>
    </xf>
    <xf numFmtId="0" fontId="93" fillId="3" borderId="258" xfId="0" applyFont="1" applyFill="1" applyBorder="1">
      <alignment vertical="center"/>
    </xf>
    <xf numFmtId="187" fontId="93" fillId="3" borderId="259" xfId="0" applyNumberFormat="1" applyFont="1" applyFill="1" applyBorder="1">
      <alignment vertical="center"/>
    </xf>
    <xf numFmtId="41" fontId="93" fillId="0" borderId="294" xfId="0" applyNumberFormat="1" applyFont="1" applyBorder="1" applyAlignment="1">
      <alignment horizontal="left" vertical="center"/>
    </xf>
    <xf numFmtId="41" fontId="116" fillId="4" borderId="270" xfId="0" applyNumberFormat="1" applyFont="1" applyFill="1" applyBorder="1" applyAlignment="1">
      <alignment horizontal="center" vertical="center"/>
    </xf>
    <xf numFmtId="41" fontId="116" fillId="4" borderId="258" xfId="0" applyNumberFormat="1" applyFont="1" applyFill="1" applyBorder="1" applyAlignment="1">
      <alignment horizontal="center" vertical="center"/>
    </xf>
    <xf numFmtId="41" fontId="118" fillId="4" borderId="55" xfId="0" applyNumberFormat="1" applyFont="1" applyFill="1" applyBorder="1" applyAlignment="1">
      <alignment horizontal="center" vertical="center"/>
    </xf>
    <xf numFmtId="41" fontId="116" fillId="4" borderId="256" xfId="0" applyNumberFormat="1" applyFont="1" applyFill="1" applyBorder="1" applyAlignment="1">
      <alignment horizontal="center" vertical="center"/>
    </xf>
    <xf numFmtId="187" fontId="116" fillId="4" borderId="255" xfId="0" applyNumberFormat="1" applyFont="1" applyFill="1" applyBorder="1" applyAlignment="1">
      <alignment horizontal="center" vertical="center"/>
    </xf>
    <xf numFmtId="41" fontId="128" fillId="4" borderId="259" xfId="0" applyNumberFormat="1" applyFont="1" applyFill="1" applyBorder="1" applyAlignment="1">
      <alignment horizontal="center" vertical="center"/>
    </xf>
    <xf numFmtId="41" fontId="118" fillId="3" borderId="209" xfId="0" applyNumberFormat="1" applyFont="1" applyFill="1" applyBorder="1">
      <alignment vertical="center"/>
    </xf>
    <xf numFmtId="41" fontId="118" fillId="3" borderId="265" xfId="0" applyNumberFormat="1" applyFont="1" applyFill="1" applyBorder="1">
      <alignment vertical="center"/>
    </xf>
    <xf numFmtId="41" fontId="116" fillId="4" borderId="276" xfId="0" applyNumberFormat="1" applyFont="1" applyFill="1" applyBorder="1" applyAlignment="1">
      <alignment horizontal="left" vertical="center"/>
    </xf>
    <xf numFmtId="187" fontId="116" fillId="4" borderId="260" xfId="0" applyNumberFormat="1" applyFont="1" applyFill="1" applyBorder="1" applyAlignment="1">
      <alignment horizontal="center" vertical="center"/>
    </xf>
    <xf numFmtId="41" fontId="118" fillId="4" borderId="259" xfId="0" applyNumberFormat="1" applyFont="1" applyFill="1" applyBorder="1" applyAlignment="1">
      <alignment horizontal="center" vertical="center"/>
    </xf>
    <xf numFmtId="41" fontId="93" fillId="4" borderId="268" xfId="0" applyNumberFormat="1" applyFont="1" applyFill="1" applyBorder="1" applyAlignment="1">
      <alignment horizontal="center" vertical="center"/>
    </xf>
    <xf numFmtId="195" fontId="93" fillId="4" borderId="54" xfId="0" applyNumberFormat="1" applyFont="1" applyFill="1" applyBorder="1" applyAlignment="1">
      <alignment horizontal="center" vertical="center"/>
    </xf>
    <xf numFmtId="41" fontId="84" fillId="0" borderId="107" xfId="0" applyNumberFormat="1" applyFont="1" applyBorder="1">
      <alignment vertical="center"/>
    </xf>
    <xf numFmtId="0" fontId="84" fillId="0" borderId="107" xfId="0" applyFont="1" applyBorder="1">
      <alignment vertical="center"/>
    </xf>
    <xf numFmtId="0" fontId="118" fillId="4" borderId="17" xfId="0" applyFont="1" applyFill="1" applyBorder="1" applyAlignment="1">
      <alignment horizontal="center" vertical="center"/>
    </xf>
    <xf numFmtId="41" fontId="118" fillId="0" borderId="50" xfId="0" applyNumberFormat="1" applyFont="1" applyBorder="1">
      <alignment vertical="center"/>
    </xf>
    <xf numFmtId="41" fontId="118" fillId="2" borderId="0" xfId="0" applyNumberFormat="1" applyFont="1" applyFill="1">
      <alignment vertical="center"/>
    </xf>
    <xf numFmtId="9" fontId="118" fillId="3" borderId="107" xfId="0" applyNumberFormat="1" applyFont="1" applyFill="1" applyBorder="1">
      <alignment vertical="center"/>
    </xf>
    <xf numFmtId="184" fontId="118" fillId="3" borderId="85" xfId="0" applyNumberFormat="1" applyFont="1" applyFill="1" applyBorder="1">
      <alignment vertical="center"/>
    </xf>
    <xf numFmtId="184" fontId="118" fillId="3" borderId="0" xfId="0" applyNumberFormat="1" applyFont="1" applyFill="1">
      <alignment vertical="center"/>
    </xf>
    <xf numFmtId="184" fontId="118" fillId="3" borderId="6" xfId="0" applyNumberFormat="1" applyFont="1" applyFill="1" applyBorder="1">
      <alignment vertical="center"/>
    </xf>
    <xf numFmtId="184" fontId="128" fillId="3" borderId="107" xfId="0" applyNumberFormat="1" applyFont="1" applyFill="1" applyBorder="1">
      <alignment vertical="center"/>
    </xf>
    <xf numFmtId="184" fontId="128" fillId="3" borderId="6" xfId="0" applyNumberFormat="1" applyFont="1" applyFill="1" applyBorder="1">
      <alignment vertical="center"/>
    </xf>
    <xf numFmtId="184" fontId="128" fillId="3" borderId="74" xfId="0" applyNumberFormat="1" applyFont="1" applyFill="1" applyBorder="1">
      <alignment vertical="center"/>
    </xf>
    <xf numFmtId="184" fontId="118" fillId="3" borderId="50" xfId="0" applyNumberFormat="1" applyFont="1" applyFill="1" applyBorder="1">
      <alignment vertical="center"/>
    </xf>
    <xf numFmtId="184" fontId="118" fillId="3" borderId="107" xfId="0" applyNumberFormat="1" applyFont="1" applyFill="1" applyBorder="1">
      <alignment vertical="center"/>
    </xf>
    <xf numFmtId="184" fontId="128" fillId="3" borderId="91" xfId="0" applyNumberFormat="1" applyFont="1" applyFill="1" applyBorder="1">
      <alignment vertical="center"/>
    </xf>
    <xf numFmtId="9" fontId="118" fillId="0" borderId="50" xfId="0" applyNumberFormat="1" applyFont="1" applyBorder="1">
      <alignment vertical="center"/>
    </xf>
    <xf numFmtId="0" fontId="118" fillId="4" borderId="67" xfId="0" applyFont="1" applyFill="1" applyBorder="1" applyAlignment="1">
      <alignment horizontal="center" vertical="center"/>
    </xf>
    <xf numFmtId="9" fontId="118" fillId="0" borderId="56" xfId="0" applyNumberFormat="1" applyFont="1" applyBorder="1">
      <alignment vertical="center"/>
    </xf>
    <xf numFmtId="184" fontId="118" fillId="0" borderId="72" xfId="0" applyNumberFormat="1" applyFont="1" applyBorder="1">
      <alignment vertical="center"/>
    </xf>
    <xf numFmtId="184" fontId="118" fillId="2" borderId="113" xfId="0" applyNumberFormat="1" applyFont="1" applyFill="1" applyBorder="1">
      <alignment vertical="center"/>
    </xf>
    <xf numFmtId="184" fontId="118" fillId="2" borderId="76" xfId="0" applyNumberFormat="1" applyFont="1" applyFill="1" applyBorder="1">
      <alignment vertical="center"/>
    </xf>
    <xf numFmtId="182" fontId="128" fillId="3" borderId="45" xfId="0" applyNumberFormat="1" applyFont="1" applyFill="1" applyBorder="1">
      <alignment vertical="center"/>
    </xf>
    <xf numFmtId="0" fontId="128" fillId="4" borderId="26" xfId="0" applyFont="1" applyFill="1" applyBorder="1" applyAlignment="1">
      <alignment horizontal="center" vertical="center"/>
    </xf>
    <xf numFmtId="41" fontId="118" fillId="0" borderId="76" xfId="0" applyNumberFormat="1" applyFont="1" applyBorder="1">
      <alignment vertical="center"/>
    </xf>
    <xf numFmtId="41" fontId="118" fillId="3" borderId="62" xfId="0" applyNumberFormat="1" applyFont="1" applyFill="1" applyBorder="1">
      <alignment vertical="center"/>
    </xf>
    <xf numFmtId="187" fontId="118" fillId="3" borderId="230" xfId="0" applyNumberFormat="1" applyFont="1" applyFill="1" applyBorder="1" applyAlignment="1">
      <alignment horizontal="left" vertical="center" indent="1"/>
    </xf>
    <xf numFmtId="187" fontId="118" fillId="0" borderId="79" xfId="0" applyNumberFormat="1" applyFont="1" applyBorder="1" applyAlignment="1">
      <alignment horizontal="left" vertical="center" indent="1"/>
    </xf>
    <xf numFmtId="9" fontId="118" fillId="4" borderId="67" xfId="0" applyNumberFormat="1" applyFont="1" applyFill="1" applyBorder="1" applyAlignment="1">
      <alignment horizontal="right" vertical="center"/>
    </xf>
    <xf numFmtId="41" fontId="118" fillId="3" borderId="126" xfId="0" applyNumberFormat="1" applyFont="1" applyFill="1" applyBorder="1" applyAlignment="1">
      <alignment vertical="center" shrinkToFit="1"/>
    </xf>
    <xf numFmtId="41" fontId="118" fillId="3" borderId="81" xfId="0" applyNumberFormat="1" applyFont="1" applyFill="1" applyBorder="1">
      <alignment vertical="center"/>
    </xf>
    <xf numFmtId="41" fontId="118" fillId="3" borderId="161" xfId="0" applyNumberFormat="1" applyFont="1" applyFill="1" applyBorder="1">
      <alignment vertical="center"/>
    </xf>
    <xf numFmtId="41" fontId="118" fillId="3" borderId="67" xfId="0" applyNumberFormat="1" applyFont="1" applyFill="1" applyBorder="1">
      <alignment vertical="center"/>
    </xf>
    <xf numFmtId="41" fontId="118" fillId="42" borderId="128" xfId="0" applyNumberFormat="1" applyFont="1" applyFill="1" applyBorder="1">
      <alignment vertical="center"/>
    </xf>
    <xf numFmtId="41" fontId="118" fillId="31" borderId="3" xfId="0" applyNumberFormat="1" applyFont="1" applyFill="1" applyBorder="1">
      <alignment vertical="center"/>
    </xf>
    <xf numFmtId="41" fontId="118" fillId="3" borderId="121" xfId="0" applyNumberFormat="1" applyFont="1" applyFill="1" applyBorder="1">
      <alignment vertical="center"/>
    </xf>
    <xf numFmtId="41" fontId="118" fillId="22" borderId="121" xfId="0" applyNumberFormat="1" applyFont="1" applyFill="1" applyBorder="1">
      <alignment vertical="center"/>
    </xf>
    <xf numFmtId="41" fontId="128" fillId="25" borderId="285" xfId="0" applyNumberFormat="1" applyFont="1" applyFill="1" applyBorder="1">
      <alignment vertical="center"/>
    </xf>
    <xf numFmtId="41" fontId="128" fillId="21" borderId="15" xfId="0" applyNumberFormat="1" applyFont="1" applyFill="1" applyBorder="1">
      <alignment vertical="center"/>
    </xf>
    <xf numFmtId="41" fontId="118" fillId="42" borderId="64" xfId="0" applyNumberFormat="1" applyFont="1" applyFill="1" applyBorder="1">
      <alignment vertical="center"/>
    </xf>
    <xf numFmtId="41" fontId="118" fillId="42" borderId="0" xfId="0" applyNumberFormat="1" applyFont="1" applyFill="1">
      <alignment vertical="center"/>
    </xf>
    <xf numFmtId="41" fontId="118" fillId="42" borderId="209" xfId="0" applyNumberFormat="1" applyFont="1" applyFill="1" applyBorder="1">
      <alignment vertical="center"/>
    </xf>
    <xf numFmtId="41" fontId="118" fillId="39" borderId="185" xfId="0" applyNumberFormat="1" applyFont="1" applyFill="1" applyBorder="1">
      <alignment vertical="center"/>
    </xf>
    <xf numFmtId="41" fontId="128" fillId="25" borderId="17" xfId="0" applyNumberFormat="1" applyFont="1" applyFill="1" applyBorder="1">
      <alignment vertical="center"/>
    </xf>
    <xf numFmtId="187" fontId="118" fillId="3" borderId="289" xfId="0" applyNumberFormat="1" applyFont="1" applyFill="1" applyBorder="1">
      <alignment vertical="center"/>
    </xf>
    <xf numFmtId="41" fontId="118" fillId="3" borderId="26" xfId="0" applyNumberFormat="1" applyFont="1" applyFill="1" applyBorder="1">
      <alignment vertical="center"/>
    </xf>
    <xf numFmtId="41" fontId="118" fillId="3" borderId="56" xfId="0" applyNumberFormat="1" applyFont="1" applyFill="1" applyBorder="1">
      <alignment vertical="center"/>
    </xf>
    <xf numFmtId="41" fontId="128" fillId="3" borderId="67" xfId="0" applyNumberFormat="1" applyFont="1" applyFill="1" applyBorder="1" applyAlignment="1">
      <alignment horizontal="right" vertical="center"/>
    </xf>
    <xf numFmtId="41" fontId="118" fillId="0" borderId="26" xfId="0" applyNumberFormat="1" applyFont="1" applyBorder="1" applyAlignment="1">
      <alignment horizontal="right" vertical="center"/>
    </xf>
    <xf numFmtId="41" fontId="128" fillId="2" borderId="67" xfId="0" applyNumberFormat="1" applyFont="1" applyFill="1" applyBorder="1">
      <alignment vertical="center"/>
    </xf>
    <xf numFmtId="185" fontId="118" fillId="3" borderId="55" xfId="0" applyNumberFormat="1" applyFont="1" applyFill="1" applyBorder="1">
      <alignment vertical="center"/>
    </xf>
    <xf numFmtId="185" fontId="118" fillId="10" borderId="17" xfId="0" applyNumberFormat="1" applyFont="1" applyFill="1" applyBorder="1">
      <alignment vertical="center"/>
    </xf>
    <xf numFmtId="41" fontId="118" fillId="10" borderId="0" xfId="0" applyNumberFormat="1" applyFont="1" applyFill="1">
      <alignment vertical="center"/>
    </xf>
    <xf numFmtId="0" fontId="131" fillId="27" borderId="0" xfId="0" applyFont="1" applyFill="1">
      <alignment vertical="center"/>
    </xf>
    <xf numFmtId="41" fontId="118" fillId="3" borderId="113" xfId="0" applyNumberFormat="1" applyFont="1" applyFill="1" applyBorder="1" applyAlignment="1">
      <alignment horizontal="center" vertical="center"/>
    </xf>
    <xf numFmtId="41" fontId="118" fillId="3" borderId="66" xfId="0" applyNumberFormat="1" applyFont="1" applyFill="1" applyBorder="1">
      <alignment vertical="center"/>
    </xf>
    <xf numFmtId="41" fontId="128" fillId="4" borderId="62" xfId="0" applyNumberFormat="1" applyFont="1" applyFill="1" applyBorder="1">
      <alignment vertical="center"/>
    </xf>
    <xf numFmtId="182" fontId="128" fillId="8" borderId="32" xfId="0" applyNumberFormat="1" applyFont="1" applyFill="1" applyBorder="1">
      <alignment vertical="center"/>
    </xf>
    <xf numFmtId="182" fontId="128" fillId="8" borderId="113" xfId="0" applyNumberFormat="1" applyFont="1" applyFill="1" applyBorder="1">
      <alignment vertical="center"/>
    </xf>
    <xf numFmtId="182" fontId="128" fillId="8" borderId="49" xfId="0" applyNumberFormat="1" applyFont="1" applyFill="1" applyBorder="1">
      <alignment vertical="center"/>
    </xf>
    <xf numFmtId="182" fontId="128" fillId="8" borderId="76" xfId="0" applyNumberFormat="1" applyFont="1" applyFill="1" applyBorder="1">
      <alignment vertical="center"/>
    </xf>
    <xf numFmtId="193" fontId="118" fillId="3" borderId="60" xfId="0" applyNumberFormat="1" applyFont="1" applyFill="1" applyBorder="1">
      <alignment vertical="center"/>
    </xf>
    <xf numFmtId="193" fontId="118" fillId="3" borderId="69" xfId="0" applyNumberFormat="1" applyFont="1" applyFill="1" applyBorder="1">
      <alignment vertical="center"/>
    </xf>
    <xf numFmtId="193" fontId="118" fillId="3" borderId="47" xfId="0" applyNumberFormat="1" applyFont="1" applyFill="1" applyBorder="1">
      <alignment vertical="center"/>
    </xf>
    <xf numFmtId="195" fontId="118" fillId="3" borderId="69" xfId="0" applyNumberFormat="1" applyFont="1" applyFill="1" applyBorder="1">
      <alignment vertical="center"/>
    </xf>
    <xf numFmtId="193" fontId="128" fillId="4" borderId="33" xfId="0" applyNumberFormat="1" applyFont="1" applyFill="1" applyBorder="1">
      <alignment vertical="center"/>
    </xf>
    <xf numFmtId="193" fontId="118" fillId="3" borderId="34" xfId="0" applyNumberFormat="1" applyFont="1" applyFill="1" applyBorder="1">
      <alignment vertical="center"/>
    </xf>
    <xf numFmtId="193" fontId="118" fillId="3" borderId="54" xfId="0" applyNumberFormat="1" applyFont="1" applyFill="1" applyBorder="1">
      <alignment vertical="center"/>
    </xf>
    <xf numFmtId="193" fontId="118" fillId="3" borderId="89" xfId="0" applyNumberFormat="1" applyFont="1" applyFill="1" applyBorder="1">
      <alignment vertical="center"/>
    </xf>
    <xf numFmtId="193" fontId="118" fillId="0" borderId="69" xfId="0" applyNumberFormat="1" applyFont="1" applyBorder="1">
      <alignment vertical="center"/>
    </xf>
    <xf numFmtId="193" fontId="118" fillId="0" borderId="89" xfId="0" applyNumberFormat="1" applyFont="1" applyBorder="1">
      <alignment vertical="center"/>
    </xf>
    <xf numFmtId="193" fontId="118" fillId="3" borderId="203" xfId="0" applyNumberFormat="1" applyFont="1" applyFill="1" applyBorder="1">
      <alignment vertical="center"/>
    </xf>
    <xf numFmtId="195" fontId="128" fillId="4" borderId="19" xfId="0" applyNumberFormat="1" applyFont="1" applyFill="1" applyBorder="1">
      <alignment vertical="center"/>
    </xf>
    <xf numFmtId="195" fontId="128" fillId="4" borderId="67" xfId="0" applyNumberFormat="1" applyFont="1" applyFill="1" applyBorder="1">
      <alignment vertical="center"/>
    </xf>
    <xf numFmtId="193" fontId="128" fillId="4" borderId="32" xfId="0" applyNumberFormat="1" applyFont="1" applyFill="1" applyBorder="1">
      <alignment vertical="center"/>
    </xf>
    <xf numFmtId="193" fontId="128" fillId="4" borderId="113" xfId="0" applyNumberFormat="1" applyFont="1" applyFill="1" applyBorder="1">
      <alignment vertical="center"/>
    </xf>
    <xf numFmtId="193" fontId="128" fillId="4" borderId="49" xfId="0" applyNumberFormat="1" applyFont="1" applyFill="1" applyBorder="1">
      <alignment vertical="center"/>
    </xf>
    <xf numFmtId="193" fontId="128" fillId="4" borderId="76" xfId="0" applyNumberFormat="1" applyFont="1" applyFill="1" applyBorder="1">
      <alignment vertical="center"/>
    </xf>
    <xf numFmtId="200" fontId="118" fillId="3" borderId="60" xfId="0" applyNumberFormat="1" applyFont="1" applyFill="1" applyBorder="1">
      <alignment vertical="center"/>
    </xf>
    <xf numFmtId="200" fontId="118" fillId="3" borderId="80" xfId="0" applyNumberFormat="1" applyFont="1" applyFill="1" applyBorder="1">
      <alignment vertical="center"/>
    </xf>
    <xf numFmtId="200" fontId="118" fillId="3" borderId="69" xfId="0" applyNumberFormat="1" applyFont="1" applyFill="1" applyBorder="1">
      <alignment vertical="center"/>
    </xf>
    <xf numFmtId="200" fontId="118" fillId="3" borderId="21" xfId="0" applyNumberFormat="1" applyFont="1" applyFill="1" applyBorder="1">
      <alignment vertical="center"/>
    </xf>
    <xf numFmtId="200" fontId="128" fillId="3" borderId="89" xfId="0" applyNumberFormat="1" applyFont="1" applyFill="1" applyBorder="1">
      <alignment vertical="center"/>
    </xf>
    <xf numFmtId="200" fontId="128" fillId="3" borderId="122" xfId="0" applyNumberFormat="1" applyFont="1" applyFill="1" applyBorder="1">
      <alignment vertical="center"/>
    </xf>
    <xf numFmtId="200" fontId="118" fillId="3" borderId="54" xfId="0" applyNumberFormat="1" applyFont="1" applyFill="1" applyBorder="1">
      <alignment vertical="center"/>
    </xf>
    <xf numFmtId="200" fontId="118" fillId="3" borderId="123" xfId="0" applyNumberFormat="1" applyFont="1" applyFill="1" applyBorder="1">
      <alignment vertical="center"/>
    </xf>
    <xf numFmtId="200" fontId="128" fillId="3" borderId="69" xfId="0" applyNumberFormat="1" applyFont="1" applyFill="1" applyBorder="1">
      <alignment vertical="center"/>
    </xf>
    <xf numFmtId="200" fontId="128" fillId="3" borderId="21" xfId="0" applyNumberFormat="1" applyFont="1" applyFill="1" applyBorder="1">
      <alignment vertical="center"/>
    </xf>
    <xf numFmtId="200" fontId="128" fillId="4" borderId="33" xfId="0" applyNumberFormat="1" applyFont="1" applyFill="1" applyBorder="1">
      <alignment vertical="center"/>
    </xf>
    <xf numFmtId="200" fontId="128" fillId="4" borderId="39" xfId="0" applyNumberFormat="1" applyFont="1" applyFill="1" applyBorder="1">
      <alignment vertical="center"/>
    </xf>
    <xf numFmtId="200" fontId="118" fillId="0" borderId="60" xfId="0" applyNumberFormat="1" applyFont="1" applyBorder="1">
      <alignment vertical="center"/>
    </xf>
    <xf numFmtId="200" fontId="118" fillId="0" borderId="80" xfId="0" applyNumberFormat="1" applyFont="1" applyBorder="1">
      <alignment vertical="center"/>
    </xf>
    <xf numFmtId="200" fontId="118" fillId="0" borderId="69" xfId="0" applyNumberFormat="1" applyFont="1" applyBorder="1">
      <alignment vertical="center"/>
    </xf>
    <xf numFmtId="200" fontId="118" fillId="0" borderId="21" xfId="0" applyNumberFormat="1" applyFont="1" applyBorder="1">
      <alignment vertical="center"/>
    </xf>
    <xf numFmtId="200" fontId="128" fillId="0" borderId="69" xfId="0" applyNumberFormat="1" applyFont="1" applyBorder="1">
      <alignment vertical="center"/>
    </xf>
    <xf numFmtId="200" fontId="128" fillId="0" borderId="21" xfId="0" applyNumberFormat="1" applyFont="1" applyBorder="1">
      <alignment vertical="center"/>
    </xf>
    <xf numFmtId="200" fontId="128" fillId="3" borderId="54" xfId="0" applyNumberFormat="1" applyFont="1" applyFill="1" applyBorder="1">
      <alignment vertical="center"/>
    </xf>
    <xf numFmtId="200" fontId="128" fillId="3" borderId="123" xfId="0" applyNumberFormat="1" applyFont="1" applyFill="1" applyBorder="1">
      <alignment vertical="center"/>
    </xf>
    <xf numFmtId="200" fontId="128" fillId="0" borderId="49" xfId="0" applyNumberFormat="1" applyFont="1" applyBorder="1">
      <alignment vertical="center"/>
    </xf>
    <xf numFmtId="200" fontId="128" fillId="0" borderId="40" xfId="0" applyNumberFormat="1" applyFont="1" applyBorder="1">
      <alignment vertical="center"/>
    </xf>
    <xf numFmtId="200" fontId="128" fillId="3" borderId="46" xfId="0" applyNumberFormat="1" applyFont="1" applyFill="1" applyBorder="1">
      <alignment vertical="center"/>
    </xf>
    <xf numFmtId="200" fontId="128" fillId="3" borderId="73" xfId="0" applyNumberFormat="1" applyFont="1" applyFill="1" applyBorder="1">
      <alignment vertical="center"/>
    </xf>
    <xf numFmtId="200" fontId="128" fillId="0" borderId="46" xfId="0" applyNumberFormat="1" applyFont="1" applyBorder="1">
      <alignment vertical="center"/>
    </xf>
    <xf numFmtId="200" fontId="128" fillId="0" borderId="73" xfId="0" applyNumberFormat="1" applyFont="1" applyBorder="1">
      <alignment vertical="center"/>
    </xf>
    <xf numFmtId="217" fontId="118" fillId="3" borderId="69" xfId="0" applyNumberFormat="1" applyFont="1" applyFill="1" applyBorder="1">
      <alignment vertical="center"/>
    </xf>
    <xf numFmtId="187" fontId="118" fillId="3" borderId="47" xfId="0" applyNumberFormat="1" applyFont="1" applyFill="1" applyBorder="1">
      <alignment vertical="center"/>
    </xf>
    <xf numFmtId="196" fontId="118" fillId="3" borderId="69" xfId="0" applyNumberFormat="1" applyFont="1" applyFill="1" applyBorder="1">
      <alignment vertical="center"/>
    </xf>
    <xf numFmtId="41" fontId="118" fillId="0" borderId="69" xfId="0" applyNumberFormat="1" applyFont="1" applyBorder="1">
      <alignment vertical="center"/>
    </xf>
    <xf numFmtId="193" fontId="118" fillId="0" borderId="55" xfId="0" applyNumberFormat="1" applyFont="1" applyBorder="1">
      <alignment vertical="center"/>
    </xf>
    <xf numFmtId="196" fontId="118" fillId="3" borderId="34" xfId="0" applyNumberFormat="1" applyFont="1" applyFill="1" applyBorder="1">
      <alignment vertical="center"/>
    </xf>
    <xf numFmtId="196" fontId="118" fillId="3" borderId="54" xfId="0" applyNumberFormat="1" applyFont="1" applyFill="1" applyBorder="1">
      <alignment vertical="center"/>
    </xf>
    <xf numFmtId="196" fontId="118" fillId="3" borderId="89" xfId="0" applyNumberFormat="1" applyFont="1" applyFill="1" applyBorder="1">
      <alignment vertical="center"/>
    </xf>
    <xf numFmtId="196" fontId="118" fillId="3" borderId="33" xfId="0" applyNumberFormat="1" applyFont="1" applyFill="1" applyBorder="1">
      <alignment vertical="center"/>
    </xf>
    <xf numFmtId="196" fontId="118" fillId="3" borderId="69" xfId="0" applyNumberFormat="1" applyFont="1" applyFill="1" applyBorder="1" applyAlignment="1">
      <alignment horizontal="right" vertical="center"/>
    </xf>
    <xf numFmtId="196" fontId="118" fillId="3" borderId="55" xfId="0" applyNumberFormat="1" applyFont="1" applyFill="1" applyBorder="1" applyAlignment="1">
      <alignment horizontal="right" vertical="center"/>
    </xf>
    <xf numFmtId="196" fontId="118" fillId="3" borderId="203" xfId="0" applyNumberFormat="1" applyFont="1" applyFill="1" applyBorder="1" applyAlignment="1">
      <alignment horizontal="right" vertical="center"/>
    </xf>
    <xf numFmtId="196" fontId="118" fillId="3" borderId="64" xfId="0" applyNumberFormat="1" applyFont="1" applyFill="1" applyBorder="1" applyAlignment="1">
      <alignment horizontal="right" vertical="center"/>
    </xf>
    <xf numFmtId="196" fontId="118" fillId="3" borderId="47" xfId="0" applyNumberFormat="1" applyFont="1" applyFill="1" applyBorder="1" applyAlignment="1">
      <alignment horizontal="right" vertical="center"/>
    </xf>
    <xf numFmtId="196" fontId="118" fillId="3" borderId="35" xfId="0" applyNumberFormat="1" applyFont="1" applyFill="1" applyBorder="1" applyAlignment="1">
      <alignment horizontal="right" vertical="center"/>
    </xf>
    <xf numFmtId="196" fontId="118" fillId="3" borderId="129" xfId="0" applyNumberFormat="1" applyFont="1" applyFill="1" applyBorder="1">
      <alignment vertical="center"/>
    </xf>
    <xf numFmtId="41" fontId="128" fillId="3" borderId="47" xfId="0" applyNumberFormat="1" applyFont="1" applyFill="1" applyBorder="1">
      <alignment vertical="center"/>
    </xf>
    <xf numFmtId="193" fontId="128" fillId="3" borderId="33" xfId="0" applyNumberFormat="1" applyFont="1" applyFill="1" applyBorder="1">
      <alignment vertical="center"/>
    </xf>
    <xf numFmtId="193" fontId="128" fillId="4" borderId="19" xfId="0" applyNumberFormat="1" applyFont="1" applyFill="1" applyBorder="1">
      <alignment vertical="center"/>
    </xf>
    <xf numFmtId="187" fontId="128" fillId="4" borderId="49" xfId="0" applyNumberFormat="1" applyFont="1" applyFill="1" applyBorder="1">
      <alignment vertical="center"/>
    </xf>
    <xf numFmtId="182" fontId="118" fillId="3" borderId="60" xfId="0" applyNumberFormat="1" applyFont="1" applyFill="1" applyBorder="1">
      <alignment vertical="center"/>
    </xf>
    <xf numFmtId="182" fontId="118" fillId="3" borderId="58" xfId="0" applyNumberFormat="1" applyFont="1" applyFill="1" applyBorder="1">
      <alignment vertical="center"/>
    </xf>
    <xf numFmtId="182" fontId="118" fillId="3" borderId="69" xfId="0" applyNumberFormat="1" applyFont="1" applyFill="1" applyBorder="1">
      <alignment vertical="center"/>
    </xf>
    <xf numFmtId="182" fontId="118" fillId="3" borderId="55" xfId="0" applyNumberFormat="1" applyFont="1" applyFill="1" applyBorder="1">
      <alignment vertical="center"/>
    </xf>
    <xf numFmtId="182" fontId="128" fillId="4" borderId="49" xfId="0" applyNumberFormat="1" applyFont="1" applyFill="1" applyBorder="1">
      <alignment vertical="center"/>
    </xf>
    <xf numFmtId="9" fontId="93" fillId="23" borderId="196" xfId="0" applyNumberFormat="1" applyFont="1" applyFill="1" applyBorder="1" applyAlignment="1">
      <alignment horizontal="center" vertical="center"/>
    </xf>
    <xf numFmtId="195" fontId="93" fillId="23" borderId="196" xfId="0" applyNumberFormat="1" applyFont="1" applyFill="1" applyBorder="1">
      <alignment vertical="center"/>
    </xf>
    <xf numFmtId="198" fontId="93" fillId="23" borderId="196" xfId="0" applyNumberFormat="1" applyFont="1" applyFill="1" applyBorder="1">
      <alignment vertical="center"/>
    </xf>
    <xf numFmtId="182" fontId="93" fillId="23" borderId="196" xfId="0" applyNumberFormat="1" applyFont="1" applyFill="1" applyBorder="1">
      <alignment vertical="center"/>
    </xf>
    <xf numFmtId="41" fontId="93" fillId="23" borderId="196" xfId="0" applyNumberFormat="1" applyFont="1" applyFill="1" applyBorder="1">
      <alignment vertical="center"/>
    </xf>
    <xf numFmtId="0" fontId="93" fillId="23" borderId="196" xfId="0" applyFont="1" applyFill="1" applyBorder="1">
      <alignment vertical="center"/>
    </xf>
    <xf numFmtId="41" fontId="118" fillId="0" borderId="0" xfId="9" applyFont="1">
      <alignment vertical="center"/>
    </xf>
    <xf numFmtId="192" fontId="93" fillId="23" borderId="55" xfId="0" applyNumberFormat="1" applyFont="1" applyFill="1" applyBorder="1" applyAlignment="1">
      <alignment horizontal="center" vertical="center"/>
    </xf>
    <xf numFmtId="192" fontId="93" fillId="23" borderId="1" xfId="0" applyNumberFormat="1" applyFont="1" applyFill="1" applyBorder="1" applyAlignment="1">
      <alignment horizontal="center" vertical="center"/>
    </xf>
    <xf numFmtId="192" fontId="93" fillId="23" borderId="10" xfId="0" applyNumberFormat="1" applyFont="1" applyFill="1" applyBorder="1" applyAlignment="1">
      <alignment horizontal="center" vertical="center"/>
    </xf>
    <xf numFmtId="192" fontId="93" fillId="23" borderId="0" xfId="0" applyNumberFormat="1" applyFont="1" applyFill="1" applyAlignment="1">
      <alignment horizontal="center" vertical="center"/>
    </xf>
    <xf numFmtId="182" fontId="118" fillId="2" borderId="74" xfId="0" applyNumberFormat="1" applyFont="1" applyFill="1" applyBorder="1">
      <alignment vertical="center"/>
    </xf>
    <xf numFmtId="182" fontId="93" fillId="2" borderId="43" xfId="0" applyNumberFormat="1" applyFont="1" applyFill="1" applyBorder="1">
      <alignment vertical="center"/>
    </xf>
    <xf numFmtId="182" fontId="93" fillId="2" borderId="49" xfId="0" applyNumberFormat="1" applyFont="1" applyFill="1" applyBorder="1">
      <alignment vertical="center"/>
    </xf>
    <xf numFmtId="182" fontId="93" fillId="2" borderId="74" xfId="0" applyNumberFormat="1" applyFont="1" applyFill="1" applyBorder="1">
      <alignment vertical="center"/>
    </xf>
    <xf numFmtId="182" fontId="93" fillId="2" borderId="40" xfId="0" applyNumberFormat="1" applyFont="1" applyFill="1" applyBorder="1">
      <alignment vertical="center"/>
    </xf>
    <xf numFmtId="0" fontId="84" fillId="4" borderId="197" xfId="0" applyFont="1" applyFill="1" applyBorder="1" applyAlignment="1">
      <alignment horizontal="center" vertical="center"/>
    </xf>
    <xf numFmtId="194" fontId="84" fillId="4" borderId="203" xfId="0" applyNumberFormat="1" applyFont="1" applyFill="1" applyBorder="1" applyAlignment="1">
      <alignment horizontal="center" vertical="center"/>
    </xf>
    <xf numFmtId="41" fontId="118" fillId="10" borderId="203" xfId="0" applyNumberFormat="1" applyFont="1" applyFill="1" applyBorder="1">
      <alignment vertical="center"/>
    </xf>
    <xf numFmtId="41" fontId="118" fillId="0" borderId="24" xfId="0" applyNumberFormat="1" applyFont="1" applyBorder="1">
      <alignment vertical="center"/>
    </xf>
    <xf numFmtId="0" fontId="93" fillId="4" borderId="282" xfId="0" applyFont="1" applyFill="1" applyBorder="1" applyAlignment="1">
      <alignment horizontal="center" vertical="center"/>
    </xf>
    <xf numFmtId="0" fontId="116" fillId="4" borderId="263" xfId="0" applyFont="1" applyFill="1" applyBorder="1">
      <alignment vertical="center"/>
    </xf>
    <xf numFmtId="192" fontId="108" fillId="4" borderId="273" xfId="0" applyNumberFormat="1" applyFont="1" applyFill="1" applyBorder="1">
      <alignment vertical="center"/>
    </xf>
    <xf numFmtId="41" fontId="118" fillId="10" borderId="286" xfId="0" applyNumberFormat="1" applyFont="1" applyFill="1" applyBorder="1">
      <alignment vertical="center"/>
    </xf>
    <xf numFmtId="41" fontId="108" fillId="4" borderId="275" xfId="0" applyNumberFormat="1" applyFont="1" applyFill="1" applyBorder="1">
      <alignment vertical="center"/>
    </xf>
    <xf numFmtId="192" fontId="84" fillId="2" borderId="281" xfId="0" applyNumberFormat="1" applyFont="1" applyFill="1" applyBorder="1" applyAlignment="1">
      <alignment horizontal="right" vertical="center"/>
    </xf>
    <xf numFmtId="41" fontId="118" fillId="0" borderId="113" xfId="0" applyNumberFormat="1" applyFont="1" applyBorder="1">
      <alignment vertical="center"/>
    </xf>
    <xf numFmtId="41" fontId="118" fillId="0" borderId="62" xfId="0" applyNumberFormat="1" applyFont="1" applyBorder="1">
      <alignment vertical="center"/>
    </xf>
    <xf numFmtId="41" fontId="118" fillId="3" borderId="76" xfId="0" applyNumberFormat="1" applyFont="1" applyFill="1" applyBorder="1">
      <alignment vertical="center"/>
    </xf>
    <xf numFmtId="187" fontId="118" fillId="3" borderId="10" xfId="0" applyNumberFormat="1" applyFont="1" applyFill="1" applyBorder="1">
      <alignment vertical="center"/>
    </xf>
    <xf numFmtId="187" fontId="118" fillId="3" borderId="72" xfId="0" applyNumberFormat="1" applyFont="1" applyFill="1" applyBorder="1">
      <alignment vertical="center"/>
    </xf>
    <xf numFmtId="41" fontId="118" fillId="3" borderId="35" xfId="0" applyNumberFormat="1" applyFont="1" applyFill="1" applyBorder="1" applyAlignment="1">
      <alignment horizontal="left" vertical="center" indent="1"/>
    </xf>
    <xf numFmtId="187" fontId="118" fillId="3" borderId="0" xfId="0" applyNumberFormat="1" applyFont="1" applyFill="1">
      <alignment vertical="center"/>
    </xf>
    <xf numFmtId="187" fontId="118" fillId="10" borderId="26" xfId="0" applyNumberFormat="1" applyFont="1" applyFill="1" applyBorder="1">
      <alignment vertical="center"/>
    </xf>
    <xf numFmtId="41" fontId="118" fillId="10" borderId="56" xfId="0" applyNumberFormat="1" applyFont="1" applyFill="1" applyBorder="1">
      <alignment vertical="center"/>
    </xf>
    <xf numFmtId="41" fontId="128" fillId="10" borderId="62" xfId="0" applyNumberFormat="1" applyFont="1" applyFill="1" applyBorder="1">
      <alignment vertical="center"/>
    </xf>
    <xf numFmtId="41" fontId="118" fillId="10" borderId="72" xfId="0" applyNumberFormat="1" applyFont="1" applyFill="1" applyBorder="1">
      <alignment vertical="center"/>
    </xf>
    <xf numFmtId="41" fontId="118" fillId="10" borderId="72" xfId="0" applyNumberFormat="1" applyFont="1" applyFill="1" applyBorder="1" applyAlignment="1">
      <alignment horizontal="left" vertical="center" indent="1"/>
    </xf>
    <xf numFmtId="0" fontId="128" fillId="4" borderId="50" xfId="0" applyFont="1" applyFill="1" applyBorder="1" applyAlignment="1">
      <alignment horizontal="center" vertical="center"/>
    </xf>
    <xf numFmtId="41" fontId="118" fillId="3" borderId="111" xfId="0" applyNumberFormat="1" applyFont="1" applyFill="1" applyBorder="1" applyAlignment="1">
      <alignment horizontal="center" vertical="center"/>
    </xf>
    <xf numFmtId="41" fontId="118" fillId="3" borderId="85" xfId="0" applyNumberFormat="1" applyFont="1" applyFill="1" applyBorder="1" applyAlignment="1">
      <alignment horizontal="center" vertical="center"/>
    </xf>
    <xf numFmtId="41" fontId="128" fillId="3" borderId="50" xfId="0" applyNumberFormat="1" applyFont="1" applyFill="1" applyBorder="1" applyAlignment="1">
      <alignment horizontal="center" vertical="center"/>
    </xf>
    <xf numFmtId="41" fontId="118" fillId="10" borderId="50" xfId="0" applyNumberFormat="1" applyFont="1" applyFill="1" applyBorder="1" applyAlignment="1">
      <alignment horizontal="center" vertical="center"/>
    </xf>
    <xf numFmtId="41" fontId="118" fillId="10" borderId="6" xfId="0" applyNumberFormat="1" applyFont="1" applyFill="1" applyBorder="1" applyAlignment="1">
      <alignment horizontal="center" vertical="center"/>
    </xf>
    <xf numFmtId="41" fontId="118" fillId="10" borderId="197" xfId="0" applyNumberFormat="1" applyFont="1" applyFill="1" applyBorder="1" applyAlignment="1">
      <alignment horizontal="center" vertical="center"/>
    </xf>
    <xf numFmtId="41" fontId="118" fillId="10" borderId="111" xfId="0" applyNumberFormat="1" applyFont="1" applyFill="1" applyBorder="1" applyAlignment="1">
      <alignment horizontal="center" vertical="center"/>
    </xf>
    <xf numFmtId="41" fontId="118" fillId="10" borderId="0" xfId="0" applyNumberFormat="1" applyFont="1" applyFill="1" applyAlignment="1">
      <alignment horizontal="center" vertical="center"/>
    </xf>
    <xf numFmtId="187" fontId="118" fillId="4" borderId="26" xfId="0" applyNumberFormat="1" applyFont="1" applyFill="1" applyBorder="1">
      <alignment vertical="center"/>
    </xf>
    <xf numFmtId="41" fontId="84" fillId="2" borderId="8" xfId="0" applyNumberFormat="1" applyFont="1" applyFill="1" applyBorder="1" applyAlignment="1">
      <alignment vertical="top"/>
    </xf>
    <xf numFmtId="192" fontId="84" fillId="2" borderId="69" xfId="0" applyNumberFormat="1" applyFont="1" applyFill="1" applyBorder="1" applyAlignment="1">
      <alignment horizontal="center" vertical="center"/>
    </xf>
    <xf numFmtId="41" fontId="93" fillId="4" borderId="89" xfId="0" applyNumberFormat="1" applyFont="1" applyFill="1" applyBorder="1" applyAlignment="1">
      <alignment vertical="center" shrinkToFit="1"/>
    </xf>
    <xf numFmtId="187" fontId="118" fillId="3" borderId="88" xfId="0" applyNumberFormat="1" applyFont="1" applyFill="1" applyBorder="1">
      <alignment vertical="center"/>
    </xf>
    <xf numFmtId="41" fontId="84" fillId="3" borderId="116" xfId="0" applyNumberFormat="1" applyFont="1" applyFill="1" applyBorder="1">
      <alignment vertical="center"/>
    </xf>
    <xf numFmtId="41" fontId="93" fillId="2" borderId="53" xfId="0" applyNumberFormat="1" applyFont="1" applyFill="1" applyBorder="1" applyAlignment="1">
      <alignment vertical="center" shrinkToFit="1"/>
    </xf>
    <xf numFmtId="41" fontId="118" fillId="2" borderId="82" xfId="0" applyNumberFormat="1" applyFont="1" applyFill="1" applyBorder="1">
      <alignment vertical="center"/>
    </xf>
    <xf numFmtId="41" fontId="118" fillId="2" borderId="52" xfId="0" applyNumberFormat="1" applyFont="1" applyFill="1" applyBorder="1">
      <alignment vertical="center"/>
    </xf>
    <xf numFmtId="41" fontId="118" fillId="2" borderId="53" xfId="0" applyNumberFormat="1" applyFont="1" applyFill="1" applyBorder="1">
      <alignment vertical="center"/>
    </xf>
    <xf numFmtId="187" fontId="118" fillId="2" borderId="51" xfId="0" applyNumberFormat="1" applyFont="1" applyFill="1" applyBorder="1">
      <alignment vertical="center"/>
    </xf>
    <xf numFmtId="41" fontId="84" fillId="2" borderId="52" xfId="0" applyNumberFormat="1" applyFont="1" applyFill="1" applyBorder="1">
      <alignment vertical="center"/>
    </xf>
    <xf numFmtId="41" fontId="84" fillId="2" borderId="53" xfId="0" applyNumberFormat="1" applyFont="1" applyFill="1" applyBorder="1">
      <alignment vertical="center"/>
    </xf>
    <xf numFmtId="41" fontId="84" fillId="2" borderId="51" xfId="0" applyNumberFormat="1" applyFont="1" applyFill="1" applyBorder="1">
      <alignment vertical="center"/>
    </xf>
    <xf numFmtId="41" fontId="84" fillId="2" borderId="195" xfId="0" applyNumberFormat="1" applyFont="1" applyFill="1" applyBorder="1">
      <alignment vertical="center"/>
    </xf>
    <xf numFmtId="41" fontId="84" fillId="2" borderId="295" xfId="0" applyNumberFormat="1" applyFont="1" applyFill="1" applyBorder="1" applyAlignment="1">
      <alignment vertical="center" shrinkToFit="1"/>
    </xf>
    <xf numFmtId="41" fontId="93" fillId="2" borderId="22" xfId="0" applyNumberFormat="1" applyFont="1" applyFill="1" applyBorder="1" applyAlignment="1">
      <alignment vertical="center" shrinkToFit="1"/>
    </xf>
    <xf numFmtId="41" fontId="118" fillId="2" borderId="7" xfId="0" applyNumberFormat="1" applyFont="1" applyFill="1" applyBorder="1">
      <alignment vertical="center"/>
    </xf>
    <xf numFmtId="41" fontId="118" fillId="2" borderId="3" xfId="0" applyNumberFormat="1" applyFont="1" applyFill="1" applyBorder="1">
      <alignment vertical="center"/>
    </xf>
    <xf numFmtId="41" fontId="118" fillId="2" borderId="22" xfId="0" applyNumberFormat="1" applyFont="1" applyFill="1" applyBorder="1">
      <alignment vertical="center"/>
    </xf>
    <xf numFmtId="187" fontId="118" fillId="2" borderId="23" xfId="0" applyNumberFormat="1" applyFont="1" applyFill="1" applyBorder="1">
      <alignment vertical="center"/>
    </xf>
    <xf numFmtId="41" fontId="84" fillId="2" borderId="89" xfId="0" applyNumberFormat="1" applyFont="1" applyFill="1" applyBorder="1">
      <alignment vertical="center"/>
    </xf>
    <xf numFmtId="41" fontId="84" fillId="2" borderId="117" xfId="0" applyNumberFormat="1" applyFont="1" applyFill="1" applyBorder="1">
      <alignment vertical="center"/>
    </xf>
    <xf numFmtId="41" fontId="84" fillId="2" borderId="106" xfId="0" applyNumberFormat="1" applyFont="1" applyFill="1" applyBorder="1" applyAlignment="1">
      <alignment vertical="center" shrinkToFit="1"/>
    </xf>
    <xf numFmtId="41" fontId="93" fillId="2" borderId="129" xfId="0" applyNumberFormat="1" applyFont="1" applyFill="1" applyBorder="1" applyAlignment="1">
      <alignment vertical="center" shrinkToFit="1"/>
    </xf>
    <xf numFmtId="41" fontId="118" fillId="2" borderId="132" xfId="0" applyNumberFormat="1" applyFont="1" applyFill="1" applyBorder="1">
      <alignment vertical="center"/>
    </xf>
    <xf numFmtId="41" fontId="118" fillId="2" borderId="4" xfId="0" applyNumberFormat="1" applyFont="1" applyFill="1" applyBorder="1">
      <alignment vertical="center"/>
    </xf>
    <xf numFmtId="41" fontId="118" fillId="2" borderId="129" xfId="0" applyNumberFormat="1" applyFont="1" applyFill="1" applyBorder="1">
      <alignment vertical="center"/>
    </xf>
    <xf numFmtId="187" fontId="118" fillId="2" borderId="128" xfId="0" applyNumberFormat="1" applyFont="1" applyFill="1" applyBorder="1">
      <alignment vertical="center"/>
    </xf>
    <xf numFmtId="41" fontId="84" fillId="2" borderId="4" xfId="0" applyNumberFormat="1" applyFont="1" applyFill="1" applyBorder="1">
      <alignment vertical="center"/>
    </xf>
    <xf numFmtId="41" fontId="84" fillId="2" borderId="47" xfId="0" applyNumberFormat="1" applyFont="1" applyFill="1" applyBorder="1">
      <alignment vertical="center"/>
    </xf>
    <xf numFmtId="41" fontId="84" fillId="2" borderId="128" xfId="0" applyNumberFormat="1" applyFont="1" applyFill="1" applyBorder="1">
      <alignment vertical="center"/>
    </xf>
    <xf numFmtId="41" fontId="84" fillId="2" borderId="212" xfId="0" applyNumberFormat="1" applyFont="1" applyFill="1" applyBorder="1">
      <alignment vertical="center"/>
    </xf>
    <xf numFmtId="41" fontId="84" fillId="2" borderId="129" xfId="0" applyNumberFormat="1" applyFont="1" applyFill="1" applyBorder="1">
      <alignment vertical="center"/>
    </xf>
    <xf numFmtId="41" fontId="84" fillId="2" borderId="44" xfId="0" applyNumberFormat="1" applyFont="1" applyFill="1" applyBorder="1" applyAlignment="1">
      <alignment vertical="center" shrinkToFit="1"/>
    </xf>
    <xf numFmtId="41" fontId="118" fillId="3" borderId="0" xfId="9" applyFont="1" applyFill="1">
      <alignment vertical="center"/>
    </xf>
    <xf numFmtId="0" fontId="116" fillId="0" borderId="29" xfId="0" applyFont="1" applyBorder="1" applyAlignment="1">
      <alignment horizontal="center" vertical="center"/>
    </xf>
    <xf numFmtId="41" fontId="108" fillId="2" borderId="29" xfId="0" applyNumberFormat="1" applyFont="1" applyFill="1" applyBorder="1" applyAlignment="1">
      <alignment horizontal="center" vertical="center"/>
    </xf>
    <xf numFmtId="41" fontId="108" fillId="2" borderId="31" xfId="9" applyFont="1" applyFill="1" applyBorder="1">
      <alignment vertical="center"/>
    </xf>
    <xf numFmtId="41" fontId="108" fillId="2" borderId="264" xfId="9" applyFont="1" applyFill="1" applyBorder="1">
      <alignment vertical="center"/>
    </xf>
    <xf numFmtId="180" fontId="116" fillId="13" borderId="29" xfId="0" applyNumberFormat="1" applyFont="1" applyFill="1" applyBorder="1" applyAlignment="1">
      <alignment horizontal="center" vertical="center"/>
    </xf>
    <xf numFmtId="41" fontId="93" fillId="13" borderId="31" xfId="9" applyFont="1" applyFill="1" applyBorder="1">
      <alignment vertical="center"/>
    </xf>
    <xf numFmtId="41" fontId="93" fillId="13" borderId="264" xfId="9" applyFont="1" applyFill="1" applyBorder="1">
      <alignment vertical="center"/>
    </xf>
    <xf numFmtId="38" fontId="93" fillId="0" borderId="31" xfId="0" applyNumberFormat="1" applyFont="1" applyBorder="1">
      <alignment vertical="center"/>
    </xf>
    <xf numFmtId="38" fontId="93" fillId="0" borderId="264" xfId="0" applyNumberFormat="1" applyFont="1" applyBorder="1">
      <alignment vertical="center"/>
    </xf>
    <xf numFmtId="41" fontId="129" fillId="4" borderId="117" xfId="0" applyNumberFormat="1" applyFont="1" applyFill="1" applyBorder="1">
      <alignment vertical="center"/>
    </xf>
    <xf numFmtId="41" fontId="129" fillId="2" borderId="31" xfId="9" applyFont="1" applyFill="1" applyBorder="1">
      <alignment vertical="center"/>
    </xf>
    <xf numFmtId="0" fontId="129" fillId="4" borderId="3" xfId="0" applyFont="1" applyFill="1" applyBorder="1" applyAlignment="1">
      <alignment horizontal="right" vertical="top"/>
    </xf>
    <xf numFmtId="0" fontId="129" fillId="4" borderId="7" xfId="0" applyFont="1" applyFill="1" applyBorder="1">
      <alignment vertical="center"/>
    </xf>
    <xf numFmtId="10" fontId="129" fillId="4" borderId="22" xfId="8" applyNumberFormat="1" applyFont="1" applyFill="1" applyBorder="1">
      <alignment vertical="center"/>
    </xf>
    <xf numFmtId="41" fontId="129" fillId="3" borderId="121" xfId="0" applyNumberFormat="1" applyFont="1" applyFill="1" applyBorder="1" applyAlignment="1">
      <alignment vertical="center" shrinkToFit="1"/>
    </xf>
    <xf numFmtId="41" fontId="129" fillId="3" borderId="7" xfId="0" applyNumberFormat="1" applyFont="1" applyFill="1" applyBorder="1" applyAlignment="1">
      <alignment vertical="center" shrinkToFit="1"/>
    </xf>
    <xf numFmtId="41" fontId="129" fillId="3" borderId="22" xfId="0" applyNumberFormat="1" applyFont="1" applyFill="1" applyBorder="1" applyAlignment="1">
      <alignment vertical="center" shrinkToFit="1"/>
    </xf>
    <xf numFmtId="41" fontId="129" fillId="3" borderId="126" xfId="0" applyNumberFormat="1" applyFont="1" applyFill="1" applyBorder="1" applyAlignment="1">
      <alignment vertical="center" shrinkToFit="1"/>
    </xf>
    <xf numFmtId="41" fontId="129" fillId="13" borderId="31" xfId="9" applyFont="1" applyFill="1" applyBorder="1">
      <alignment vertical="center"/>
    </xf>
    <xf numFmtId="0" fontId="129" fillId="4" borderId="11" xfId="0" applyFont="1" applyFill="1" applyBorder="1" applyAlignment="1">
      <alignment horizontal="right" vertical="top"/>
    </xf>
    <xf numFmtId="38" fontId="129" fillId="2" borderId="31" xfId="0" applyNumberFormat="1" applyFont="1" applyFill="1" applyBorder="1">
      <alignment vertical="center"/>
    </xf>
    <xf numFmtId="188" fontId="120" fillId="0" borderId="0" xfId="0" applyNumberFormat="1" applyFont="1">
      <alignment vertical="center"/>
    </xf>
    <xf numFmtId="180" fontId="120" fillId="0" borderId="0" xfId="1" applyFont="1" applyAlignment="1">
      <alignment vertical="center"/>
    </xf>
    <xf numFmtId="38" fontId="108" fillId="2" borderId="31" xfId="0" applyNumberFormat="1" applyFont="1" applyFill="1" applyBorder="1">
      <alignment vertical="center"/>
    </xf>
    <xf numFmtId="188" fontId="129" fillId="3" borderId="0" xfId="0" applyNumberFormat="1" applyFont="1" applyFill="1">
      <alignment vertical="center"/>
    </xf>
    <xf numFmtId="41" fontId="128" fillId="2" borderId="17" xfId="0" applyNumberFormat="1" applyFont="1" applyFill="1" applyBorder="1">
      <alignment vertical="center"/>
    </xf>
    <xf numFmtId="41" fontId="128" fillId="2" borderId="18" xfId="0" applyNumberFormat="1" applyFont="1" applyFill="1" applyBorder="1">
      <alignment vertical="center"/>
    </xf>
    <xf numFmtId="41" fontId="128" fillId="2" borderId="19" xfId="0" applyNumberFormat="1" applyFont="1" applyFill="1" applyBorder="1">
      <alignment vertical="center"/>
    </xf>
    <xf numFmtId="41" fontId="116" fillId="2" borderId="18" xfId="0" applyNumberFormat="1" applyFont="1" applyFill="1" applyBorder="1">
      <alignment vertical="center"/>
    </xf>
    <xf numFmtId="41" fontId="108" fillId="2" borderId="29" xfId="0" applyNumberFormat="1" applyFont="1" applyFill="1" applyBorder="1">
      <alignment vertical="center"/>
    </xf>
    <xf numFmtId="41" fontId="84" fillId="2" borderId="26" xfId="0" applyNumberFormat="1" applyFont="1" applyFill="1" applyBorder="1">
      <alignment vertical="center"/>
    </xf>
    <xf numFmtId="0" fontId="129" fillId="2" borderId="3" xfId="0" applyFont="1" applyFill="1" applyBorder="1">
      <alignment vertical="center"/>
    </xf>
    <xf numFmtId="182" fontId="108" fillId="4" borderId="14" xfId="8" applyNumberFormat="1" applyFont="1" applyFill="1" applyBorder="1">
      <alignment vertical="center"/>
    </xf>
    <xf numFmtId="182" fontId="108" fillId="4" borderId="30" xfId="8" applyNumberFormat="1" applyFont="1" applyFill="1" applyBorder="1">
      <alignment vertical="center"/>
    </xf>
    <xf numFmtId="182" fontId="108" fillId="4" borderId="216" xfId="8" applyNumberFormat="1" applyFont="1" applyFill="1" applyBorder="1">
      <alignment vertical="center"/>
    </xf>
    <xf numFmtId="182" fontId="108" fillId="4" borderId="130" xfId="8" applyNumberFormat="1" applyFont="1" applyFill="1" applyBorder="1">
      <alignment vertical="center"/>
    </xf>
    <xf numFmtId="182" fontId="108" fillId="4" borderId="133" xfId="8" applyNumberFormat="1" applyFont="1" applyFill="1" applyBorder="1">
      <alignment vertical="center"/>
    </xf>
    <xf numFmtId="182" fontId="108" fillId="4" borderId="108" xfId="8" applyNumberFormat="1" applyFont="1" applyFill="1" applyBorder="1">
      <alignment vertical="center"/>
    </xf>
    <xf numFmtId="182" fontId="116" fillId="4" borderId="29" xfId="8" applyNumberFormat="1" applyFont="1" applyFill="1" applyBorder="1">
      <alignment vertical="center"/>
    </xf>
    <xf numFmtId="182" fontId="108" fillId="2" borderId="29" xfId="8" applyNumberFormat="1" applyFont="1" applyFill="1" applyBorder="1">
      <alignment vertical="center"/>
    </xf>
    <xf numFmtId="182" fontId="108" fillId="4" borderId="195" xfId="8" applyNumberFormat="1" applyFont="1" applyFill="1" applyBorder="1">
      <alignment vertical="center"/>
    </xf>
    <xf numFmtId="182" fontId="108" fillId="4" borderId="117" xfId="8" applyNumberFormat="1" applyFont="1" applyFill="1" applyBorder="1">
      <alignment vertical="center"/>
    </xf>
    <xf numFmtId="182" fontId="129" fillId="4" borderId="117" xfId="8" applyNumberFormat="1" applyFont="1" applyFill="1" applyBorder="1">
      <alignment vertical="center"/>
    </xf>
    <xf numFmtId="182" fontId="108" fillId="4" borderId="188" xfId="8" applyNumberFormat="1" applyFont="1" applyFill="1" applyBorder="1">
      <alignment vertical="center"/>
    </xf>
    <xf numFmtId="182" fontId="108" fillId="4" borderId="16" xfId="8" applyNumberFormat="1" applyFont="1" applyFill="1" applyBorder="1">
      <alignment vertical="center"/>
    </xf>
    <xf numFmtId="182" fontId="108" fillId="4" borderId="22" xfId="8" applyNumberFormat="1" applyFont="1" applyFill="1" applyBorder="1">
      <alignment vertical="center"/>
    </xf>
    <xf numFmtId="182" fontId="108" fillId="4" borderId="54" xfId="8" applyNumberFormat="1" applyFont="1" applyFill="1" applyBorder="1">
      <alignment vertical="center"/>
    </xf>
    <xf numFmtId="182" fontId="108" fillId="4" borderId="93" xfId="8" applyNumberFormat="1" applyFont="1" applyFill="1" applyBorder="1">
      <alignment vertical="center"/>
    </xf>
    <xf numFmtId="182" fontId="108" fillId="4" borderId="19" xfId="8" applyNumberFormat="1" applyFont="1" applyFill="1" applyBorder="1">
      <alignment vertical="center"/>
    </xf>
    <xf numFmtId="182" fontId="108" fillId="2" borderId="130" xfId="8" applyNumberFormat="1" applyFont="1" applyFill="1" applyBorder="1">
      <alignment vertical="center"/>
    </xf>
    <xf numFmtId="182" fontId="108" fillId="2" borderId="117" xfId="8" applyNumberFormat="1" applyFont="1" applyFill="1" applyBorder="1">
      <alignment vertical="center"/>
    </xf>
    <xf numFmtId="0" fontId="84" fillId="2" borderId="3" xfId="0" applyFont="1" applyFill="1" applyBorder="1">
      <alignment vertical="center"/>
    </xf>
    <xf numFmtId="41" fontId="84" fillId="4" borderId="22" xfId="9" applyFont="1" applyFill="1" applyBorder="1">
      <alignment vertical="center"/>
    </xf>
    <xf numFmtId="0" fontId="308" fillId="0" borderId="0" xfId="50027">
      <alignment vertical="center"/>
    </xf>
    <xf numFmtId="0" fontId="309" fillId="77" borderId="296" xfId="0" applyFont="1" applyFill="1" applyBorder="1" applyAlignment="1">
      <alignment horizontal="left" vertical="center" wrapText="1"/>
    </xf>
    <xf numFmtId="0" fontId="310" fillId="0" borderId="296" xfId="0" applyFont="1" applyBorder="1" applyAlignment="1">
      <alignment horizontal="left" vertical="center" wrapText="1"/>
    </xf>
    <xf numFmtId="0" fontId="309" fillId="0" borderId="296" xfId="0" applyFont="1" applyBorder="1" applyAlignment="1">
      <alignment horizontal="left" vertical="center" wrapText="1"/>
    </xf>
    <xf numFmtId="0" fontId="309" fillId="2" borderId="296" xfId="0" applyFont="1" applyFill="1" applyBorder="1" applyAlignment="1">
      <alignment horizontal="left" vertical="center" wrapText="1"/>
    </xf>
    <xf numFmtId="0" fontId="310" fillId="2" borderId="296" xfId="0" applyFont="1" applyFill="1" applyBorder="1" applyAlignment="1">
      <alignment horizontal="left" vertical="center" wrapText="1"/>
    </xf>
    <xf numFmtId="41" fontId="108" fillId="4" borderId="29" xfId="0" applyNumberFormat="1" applyFont="1" applyFill="1" applyBorder="1" applyAlignment="1">
      <alignment horizontal="center" vertical="center"/>
    </xf>
    <xf numFmtId="180" fontId="116" fillId="4" borderId="29" xfId="0" applyNumberFormat="1" applyFont="1" applyFill="1" applyBorder="1" applyAlignment="1">
      <alignment horizontal="center" vertical="center"/>
    </xf>
    <xf numFmtId="0" fontId="116" fillId="4" borderId="14" xfId="0" applyFont="1" applyFill="1" applyBorder="1" applyAlignment="1">
      <alignment horizontal="center" vertical="center"/>
    </xf>
    <xf numFmtId="41" fontId="116" fillId="4" borderId="275" xfId="0" applyNumberFormat="1" applyFont="1" applyFill="1" applyBorder="1">
      <alignment vertical="center"/>
    </xf>
    <xf numFmtId="41" fontId="84" fillId="0" borderId="0" xfId="9" applyFont="1">
      <alignment vertical="center"/>
    </xf>
    <xf numFmtId="41" fontId="84" fillId="4" borderId="132" xfId="9" applyFont="1" applyFill="1" applyBorder="1">
      <alignment vertical="center"/>
    </xf>
    <xf numFmtId="41" fontId="84" fillId="4" borderId="48" xfId="0" applyNumberFormat="1" applyFont="1" applyFill="1" applyBorder="1" applyAlignment="1">
      <alignment horizontal="left" vertical="center"/>
    </xf>
    <xf numFmtId="41" fontId="116" fillId="26" borderId="36" xfId="0" applyNumberFormat="1" applyFont="1" applyFill="1" applyBorder="1" applyAlignment="1">
      <alignment horizontal="left" vertical="center"/>
    </xf>
    <xf numFmtId="0" fontId="116" fillId="26" borderId="112" xfId="0" applyFont="1" applyFill="1" applyBorder="1" applyAlignment="1">
      <alignment horizontal="center" vertical="center"/>
    </xf>
    <xf numFmtId="0" fontId="116" fillId="26" borderId="84" xfId="0" applyFont="1" applyFill="1" applyBorder="1" applyAlignment="1">
      <alignment horizontal="center" vertical="center"/>
    </xf>
    <xf numFmtId="0" fontId="116" fillId="26" borderId="111" xfId="0" applyFont="1" applyFill="1" applyBorder="1" applyAlignment="1">
      <alignment horizontal="center" vertical="center"/>
    </xf>
    <xf numFmtId="187" fontId="128" fillId="26" borderId="109" xfId="0" applyNumberFormat="1" applyFont="1" applyFill="1" applyBorder="1" applyAlignment="1">
      <alignment horizontal="center" vertical="center"/>
    </xf>
    <xf numFmtId="187" fontId="128" fillId="26" borderId="112" xfId="0" applyNumberFormat="1" applyFont="1" applyFill="1" applyBorder="1" applyAlignment="1">
      <alignment horizontal="center" vertical="center"/>
    </xf>
    <xf numFmtId="187" fontId="128" fillId="26" borderId="32" xfId="0" applyNumberFormat="1" applyFont="1" applyFill="1" applyBorder="1" applyAlignment="1">
      <alignment horizontal="center" vertical="center"/>
    </xf>
    <xf numFmtId="187" fontId="116" fillId="26" borderId="112" xfId="0" applyNumberFormat="1" applyFont="1" applyFill="1" applyBorder="1" applyAlignment="1">
      <alignment horizontal="center" vertical="center"/>
    </xf>
    <xf numFmtId="187" fontId="116" fillId="26" borderId="32" xfId="0" applyNumberFormat="1" applyFont="1" applyFill="1" applyBorder="1" applyAlignment="1">
      <alignment horizontal="center" vertical="center"/>
    </xf>
    <xf numFmtId="187" fontId="116" fillId="26" borderId="109" xfId="0" applyNumberFormat="1" applyFont="1" applyFill="1" applyBorder="1" applyAlignment="1">
      <alignment horizontal="center" vertical="center"/>
    </xf>
    <xf numFmtId="187" fontId="116" fillId="26" borderId="148" xfId="0" applyNumberFormat="1" applyFont="1" applyFill="1" applyBorder="1" applyAlignment="1">
      <alignment horizontal="center" vertical="center" wrapText="1"/>
    </xf>
    <xf numFmtId="41" fontId="116" fillId="26" borderId="294" xfId="0" applyNumberFormat="1" applyFont="1" applyFill="1" applyBorder="1" applyAlignment="1">
      <alignment horizontal="left" vertical="center"/>
    </xf>
    <xf numFmtId="0" fontId="116" fillId="26" borderId="259" xfId="0" applyFont="1" applyFill="1" applyBorder="1">
      <alignment vertical="center"/>
    </xf>
    <xf numFmtId="0" fontId="116" fillId="26" borderId="267" xfId="0" applyFont="1" applyFill="1" applyBorder="1">
      <alignment vertical="center"/>
    </xf>
    <xf numFmtId="0" fontId="116" fillId="26" borderId="269" xfId="0" applyFont="1" applyFill="1" applyBorder="1">
      <alignment vertical="center"/>
    </xf>
    <xf numFmtId="41" fontId="128" fillId="26" borderId="258" xfId="0" applyNumberFormat="1" applyFont="1" applyFill="1" applyBorder="1" applyAlignment="1">
      <alignment horizontal="left" vertical="center" indent="1"/>
    </xf>
    <xf numFmtId="41" fontId="128" fillId="26" borderId="259" xfId="0" applyNumberFormat="1" applyFont="1" applyFill="1" applyBorder="1" applyAlignment="1">
      <alignment horizontal="left" vertical="center" indent="1"/>
    </xf>
    <xf numFmtId="41" fontId="128" fillId="26" borderId="260" xfId="0" applyNumberFormat="1" applyFont="1" applyFill="1" applyBorder="1" applyAlignment="1">
      <alignment horizontal="left" vertical="center" indent="1"/>
    </xf>
    <xf numFmtId="41" fontId="116" fillId="26" borderId="259" xfId="0" applyNumberFormat="1" applyFont="1" applyFill="1" applyBorder="1" applyAlignment="1">
      <alignment horizontal="left" vertical="center" indent="1"/>
    </xf>
    <xf numFmtId="41" fontId="116" fillId="26" borderId="260" xfId="0" applyNumberFormat="1" applyFont="1" applyFill="1" applyBorder="1" applyAlignment="1">
      <alignment horizontal="left" vertical="center" indent="1"/>
    </xf>
    <xf numFmtId="41" fontId="116" fillId="26" borderId="258" xfId="0" applyNumberFormat="1" applyFont="1" applyFill="1" applyBorder="1" applyAlignment="1">
      <alignment horizontal="left" vertical="center" indent="1"/>
    </xf>
    <xf numFmtId="41" fontId="116" fillId="26" borderId="268" xfId="0" applyNumberFormat="1" applyFont="1" applyFill="1" applyBorder="1">
      <alignment vertical="center"/>
    </xf>
    <xf numFmtId="41" fontId="312" fillId="31" borderId="126" xfId="0" applyNumberFormat="1" applyFont="1" applyFill="1" applyBorder="1">
      <alignment vertical="center"/>
    </xf>
    <xf numFmtId="185" fontId="84" fillId="29" borderId="121" xfId="1" applyNumberFormat="1" applyFont="1" applyFill="1" applyBorder="1" applyAlignment="1">
      <alignment vertical="center"/>
    </xf>
    <xf numFmtId="41" fontId="311" fillId="3" borderId="3" xfId="0" applyNumberFormat="1" applyFont="1" applyFill="1" applyBorder="1">
      <alignment vertical="center"/>
    </xf>
    <xf numFmtId="41" fontId="311" fillId="24" borderId="4" xfId="0" applyNumberFormat="1" applyFont="1" applyFill="1" applyBorder="1">
      <alignment vertical="center"/>
    </xf>
    <xf numFmtId="41" fontId="313" fillId="32" borderId="4" xfId="0" applyNumberFormat="1" applyFont="1" applyFill="1" applyBorder="1">
      <alignment vertical="center"/>
    </xf>
    <xf numFmtId="187" fontId="313" fillId="0" borderId="0" xfId="0" applyNumberFormat="1" applyFont="1">
      <alignment vertical="center"/>
    </xf>
    <xf numFmtId="0" fontId="311" fillId="4" borderId="18" xfId="0" applyFont="1" applyFill="1" applyBorder="1" applyAlignment="1">
      <alignment horizontal="center" vertical="center"/>
    </xf>
    <xf numFmtId="41" fontId="311" fillId="25" borderId="282" xfId="0" applyNumberFormat="1" applyFont="1" applyFill="1" applyBorder="1">
      <alignment vertical="center"/>
    </xf>
    <xf numFmtId="41" fontId="313" fillId="32" borderId="11" xfId="0" applyNumberFormat="1" applyFont="1" applyFill="1" applyBorder="1">
      <alignment vertical="center"/>
    </xf>
    <xf numFmtId="41" fontId="313" fillId="32" borderId="87" xfId="0" applyNumberFormat="1" applyFont="1" applyFill="1" applyBorder="1">
      <alignment vertical="center"/>
    </xf>
    <xf numFmtId="41" fontId="313" fillId="29" borderId="11" xfId="0" applyNumberFormat="1" applyFont="1" applyFill="1" applyBorder="1">
      <alignment vertical="center"/>
    </xf>
    <xf numFmtId="41" fontId="311" fillId="32" borderId="3" xfId="0" applyNumberFormat="1" applyFont="1" applyFill="1" applyBorder="1">
      <alignment vertical="center"/>
    </xf>
    <xf numFmtId="41" fontId="313" fillId="29" borderId="3" xfId="0" applyNumberFormat="1" applyFont="1" applyFill="1" applyBorder="1">
      <alignment vertical="center"/>
    </xf>
    <xf numFmtId="41" fontId="313" fillId="32" borderId="9" xfId="0" applyNumberFormat="1" applyFont="1" applyFill="1" applyBorder="1">
      <alignment vertical="center"/>
    </xf>
    <xf numFmtId="41" fontId="313" fillId="32" borderId="3" xfId="0" applyNumberFormat="1" applyFont="1" applyFill="1" applyBorder="1">
      <alignment vertical="center"/>
    </xf>
    <xf numFmtId="9" fontId="313" fillId="29" borderId="3" xfId="8" applyFont="1" applyFill="1" applyBorder="1">
      <alignment vertical="center"/>
    </xf>
    <xf numFmtId="41" fontId="313" fillId="3" borderId="3" xfId="0" applyNumberFormat="1" applyFont="1" applyFill="1" applyBorder="1">
      <alignment vertical="center"/>
    </xf>
    <xf numFmtId="41" fontId="311" fillId="21" borderId="20" xfId="0" applyNumberFormat="1" applyFont="1" applyFill="1" applyBorder="1">
      <alignment vertical="center"/>
    </xf>
    <xf numFmtId="187" fontId="311" fillId="3" borderId="0" xfId="0" applyNumberFormat="1" applyFont="1" applyFill="1">
      <alignment vertical="center"/>
    </xf>
    <xf numFmtId="41" fontId="313" fillId="2" borderId="27" xfId="0" applyNumberFormat="1" applyFont="1" applyFill="1" applyBorder="1">
      <alignment vertical="center"/>
    </xf>
    <xf numFmtId="41" fontId="313" fillId="2" borderId="87" xfId="0" applyNumberFormat="1" applyFont="1" applyFill="1" applyBorder="1">
      <alignment vertical="center"/>
    </xf>
    <xf numFmtId="41" fontId="313" fillId="42" borderId="72" xfId="0" applyNumberFormat="1" applyFont="1" applyFill="1" applyBorder="1">
      <alignment vertical="center"/>
    </xf>
    <xf numFmtId="41" fontId="313" fillId="42" borderId="149" xfId="0" applyNumberFormat="1" applyFont="1" applyFill="1" applyBorder="1">
      <alignment vertical="center"/>
    </xf>
    <xf numFmtId="41" fontId="313" fillId="42" borderId="259" xfId="0" applyNumberFormat="1" applyFont="1" applyFill="1" applyBorder="1">
      <alignment vertical="center"/>
    </xf>
    <xf numFmtId="41" fontId="313" fillId="42" borderId="1" xfId="0" applyNumberFormat="1" applyFont="1" applyFill="1" applyBorder="1">
      <alignment vertical="center"/>
    </xf>
    <xf numFmtId="41" fontId="313" fillId="42" borderId="3" xfId="0" applyNumberFormat="1" applyFont="1" applyFill="1" applyBorder="1">
      <alignment vertical="center"/>
    </xf>
    <xf numFmtId="41" fontId="313" fillId="42" borderId="2" xfId="0" applyNumberFormat="1" applyFont="1" applyFill="1" applyBorder="1">
      <alignment vertical="center"/>
    </xf>
    <xf numFmtId="41" fontId="313" fillId="42" borderId="11" xfId="0" applyNumberFormat="1" applyFont="1" applyFill="1" applyBorder="1">
      <alignment vertical="center"/>
    </xf>
    <xf numFmtId="41" fontId="313" fillId="42" borderId="265" xfId="0" applyNumberFormat="1" applyFont="1" applyFill="1" applyBorder="1">
      <alignment vertical="center"/>
    </xf>
    <xf numFmtId="41" fontId="313" fillId="39" borderId="159" xfId="0" applyNumberFormat="1" applyFont="1" applyFill="1" applyBorder="1">
      <alignment vertical="center"/>
    </xf>
    <xf numFmtId="41" fontId="311" fillId="25" borderId="18" xfId="0" applyNumberFormat="1" applyFont="1" applyFill="1" applyBorder="1">
      <alignment vertical="center"/>
    </xf>
    <xf numFmtId="187" fontId="313" fillId="0" borderId="0" xfId="0" applyNumberFormat="1" applyFont="1" applyAlignment="1">
      <alignment horizontal="right" vertical="center"/>
    </xf>
    <xf numFmtId="187" fontId="313" fillId="3" borderId="27" xfId="0" applyNumberFormat="1" applyFont="1" applyFill="1" applyBorder="1" applyAlignment="1">
      <alignment horizontal="center" vertical="center"/>
    </xf>
    <xf numFmtId="180" fontId="313" fillId="3" borderId="263" xfId="0" applyNumberFormat="1" applyFont="1" applyFill="1" applyBorder="1">
      <alignment vertical="center"/>
    </xf>
    <xf numFmtId="187" fontId="311" fillId="0" borderId="0" xfId="0" applyNumberFormat="1" applyFont="1">
      <alignment vertical="center"/>
    </xf>
    <xf numFmtId="187" fontId="311" fillId="26" borderId="112" xfId="0" applyNumberFormat="1" applyFont="1" applyFill="1" applyBorder="1" applyAlignment="1">
      <alignment horizontal="center" vertical="center"/>
    </xf>
    <xf numFmtId="41" fontId="313" fillId="3" borderId="1" xfId="0" applyNumberFormat="1" applyFont="1" applyFill="1" applyBorder="1" applyAlignment="1">
      <alignment horizontal="left" vertical="center" indent="1"/>
    </xf>
    <xf numFmtId="187" fontId="313" fillId="3" borderId="1" xfId="0" applyNumberFormat="1" applyFont="1" applyFill="1" applyBorder="1" applyAlignment="1">
      <alignment horizontal="left" vertical="center" indent="1"/>
    </xf>
    <xf numFmtId="41" fontId="311" fillId="26" borderId="259" xfId="0" applyNumberFormat="1" applyFont="1" applyFill="1" applyBorder="1" applyAlignment="1">
      <alignment horizontal="left" vertical="center" indent="1"/>
    </xf>
    <xf numFmtId="41" fontId="313" fillId="3" borderId="263" xfId="0" applyNumberFormat="1" applyFont="1" applyFill="1" applyBorder="1" applyAlignment="1">
      <alignment horizontal="left" vertical="center" indent="1"/>
    </xf>
    <xf numFmtId="187" fontId="311" fillId="4" borderId="18" xfId="0" applyNumberFormat="1" applyFont="1" applyFill="1" applyBorder="1">
      <alignment vertical="center"/>
    </xf>
    <xf numFmtId="41" fontId="313" fillId="0" borderId="0" xfId="0" applyNumberFormat="1" applyFont="1">
      <alignment vertical="center"/>
    </xf>
    <xf numFmtId="0" fontId="315" fillId="4" borderId="1" xfId="0" applyFont="1" applyFill="1" applyBorder="1">
      <alignment vertical="center"/>
    </xf>
    <xf numFmtId="0" fontId="315" fillId="4" borderId="24" xfId="0" applyFont="1" applyFill="1" applyBorder="1">
      <alignment vertical="center"/>
    </xf>
    <xf numFmtId="0" fontId="315" fillId="4" borderId="0" xfId="0" applyFont="1" applyFill="1">
      <alignment vertical="center"/>
    </xf>
    <xf numFmtId="187" fontId="311" fillId="3" borderId="55" xfId="0" applyNumberFormat="1" applyFont="1" applyFill="1" applyBorder="1">
      <alignment vertical="center"/>
    </xf>
    <xf numFmtId="187" fontId="311" fillId="3" borderId="1" xfId="0" applyNumberFormat="1" applyFont="1" applyFill="1" applyBorder="1">
      <alignment vertical="center"/>
    </xf>
    <xf numFmtId="187" fontId="311" fillId="3" borderId="69" xfId="0" applyNumberFormat="1" applyFont="1" applyFill="1" applyBorder="1">
      <alignment vertical="center"/>
    </xf>
    <xf numFmtId="187" fontId="314" fillId="3" borderId="69" xfId="0" applyNumberFormat="1" applyFont="1" applyFill="1" applyBorder="1">
      <alignment vertical="center"/>
    </xf>
    <xf numFmtId="187" fontId="314" fillId="3" borderId="55" xfId="0" applyNumberFormat="1" applyFont="1" applyFill="1" applyBorder="1">
      <alignment vertical="center"/>
    </xf>
    <xf numFmtId="187" fontId="314" fillId="3" borderId="1" xfId="0" applyNumberFormat="1" applyFont="1" applyFill="1" applyBorder="1">
      <alignment vertical="center"/>
    </xf>
    <xf numFmtId="185" fontId="312" fillId="29" borderId="126" xfId="1" applyNumberFormat="1" applyFont="1" applyFill="1" applyBorder="1" applyAlignment="1">
      <alignment vertical="center"/>
    </xf>
    <xf numFmtId="201" fontId="84" fillId="0" borderId="0" xfId="9" applyNumberFormat="1" applyFont="1">
      <alignment vertical="center"/>
    </xf>
    <xf numFmtId="41" fontId="108" fillId="10" borderId="261" xfId="0" applyNumberFormat="1" applyFont="1" applyFill="1" applyBorder="1">
      <alignment vertical="center"/>
    </xf>
    <xf numFmtId="41" fontId="93" fillId="10" borderId="10" xfId="0" applyNumberFormat="1" applyFont="1" applyFill="1" applyBorder="1">
      <alignment vertical="center"/>
    </xf>
    <xf numFmtId="41" fontId="93" fillId="33" borderId="79" xfId="0" applyNumberFormat="1" applyFont="1" applyFill="1" applyBorder="1">
      <alignment vertical="center"/>
    </xf>
    <xf numFmtId="41" fontId="93" fillId="10" borderId="87" xfId="0" applyNumberFormat="1" applyFont="1" applyFill="1" applyBorder="1">
      <alignment vertical="center"/>
    </xf>
    <xf numFmtId="41" fontId="93" fillId="33" borderId="149" xfId="0" applyNumberFormat="1" applyFont="1" applyFill="1" applyBorder="1">
      <alignment vertical="center"/>
    </xf>
    <xf numFmtId="41" fontId="116" fillId="33" borderId="261" xfId="0" applyNumberFormat="1" applyFont="1" applyFill="1" applyBorder="1">
      <alignment vertical="center"/>
    </xf>
    <xf numFmtId="41" fontId="84" fillId="33" borderId="56" xfId="0" applyNumberFormat="1" applyFont="1" applyFill="1" applyBorder="1">
      <alignment vertical="center"/>
    </xf>
    <xf numFmtId="41" fontId="108" fillId="4" borderId="280" xfId="0" applyNumberFormat="1" applyFont="1" applyFill="1" applyBorder="1">
      <alignment vertical="center"/>
    </xf>
    <xf numFmtId="41" fontId="108" fillId="10" borderId="258" xfId="0" applyNumberFormat="1" applyFont="1" applyFill="1" applyBorder="1">
      <alignment vertical="center"/>
    </xf>
    <xf numFmtId="41" fontId="108" fillId="10" borderId="259" xfId="0" applyNumberFormat="1" applyFont="1" applyFill="1" applyBorder="1">
      <alignment vertical="center"/>
    </xf>
    <xf numFmtId="41" fontId="108" fillId="10" borderId="260" xfId="0" applyNumberFormat="1" applyFont="1" applyFill="1" applyBorder="1">
      <alignment vertical="center"/>
    </xf>
    <xf numFmtId="41" fontId="108" fillId="4" borderId="258" xfId="0" applyNumberFormat="1" applyFont="1" applyFill="1" applyBorder="1">
      <alignment vertical="center"/>
    </xf>
    <xf numFmtId="41" fontId="108" fillId="4" borderId="289" xfId="0" applyNumberFormat="1" applyFont="1" applyFill="1" applyBorder="1">
      <alignment vertical="center"/>
    </xf>
    <xf numFmtId="41" fontId="108" fillId="4" borderId="263" xfId="0" applyNumberFormat="1" applyFont="1" applyFill="1" applyBorder="1">
      <alignment vertical="center"/>
    </xf>
    <xf numFmtId="41" fontId="108" fillId="4" borderId="288" xfId="0" applyNumberFormat="1" applyFont="1" applyFill="1" applyBorder="1">
      <alignment vertical="center"/>
    </xf>
    <xf numFmtId="185" fontId="118" fillId="0" borderId="128" xfId="0" applyNumberFormat="1" applyFont="1" applyBorder="1" applyAlignment="1">
      <alignment vertical="center" shrinkToFit="1"/>
    </xf>
    <xf numFmtId="185" fontId="118" fillId="0" borderId="4" xfId="0" applyNumberFormat="1" applyFont="1" applyBorder="1" applyAlignment="1">
      <alignment vertical="center" shrinkToFit="1"/>
    </xf>
    <xf numFmtId="185" fontId="118" fillId="0" borderId="129" xfId="0" applyNumberFormat="1" applyFont="1" applyBorder="1" applyAlignment="1">
      <alignment vertical="center" shrinkToFit="1"/>
    </xf>
    <xf numFmtId="185" fontId="118" fillId="0" borderId="149" xfId="0" applyNumberFormat="1" applyFont="1" applyBorder="1" applyAlignment="1">
      <alignment vertical="center" shrinkToFit="1"/>
    </xf>
    <xf numFmtId="185" fontId="93" fillId="0" borderId="129" xfId="0" applyNumberFormat="1" applyFont="1" applyBorder="1" applyAlignment="1">
      <alignment vertical="center" shrinkToFit="1"/>
    </xf>
    <xf numFmtId="187" fontId="128" fillId="3" borderId="285" xfId="0" applyNumberFormat="1" applyFont="1" applyFill="1" applyBorder="1">
      <alignment vertical="center"/>
    </xf>
    <xf numFmtId="180" fontId="84" fillId="0" borderId="0" xfId="1" applyFont="1" applyAlignment="1">
      <alignment vertical="center"/>
    </xf>
    <xf numFmtId="180" fontId="116" fillId="3" borderId="0" xfId="1" applyFont="1" applyFill="1" applyAlignment="1">
      <alignment vertical="center"/>
    </xf>
    <xf numFmtId="180" fontId="108" fillId="3" borderId="0" xfId="1" applyFont="1" applyFill="1" applyAlignment="1">
      <alignment vertical="center"/>
    </xf>
    <xf numFmtId="41" fontId="118" fillId="10" borderId="256" xfId="0" applyNumberFormat="1" applyFont="1" applyFill="1" applyBorder="1">
      <alignment vertical="center"/>
    </xf>
    <xf numFmtId="41" fontId="118" fillId="10" borderId="276" xfId="0" applyNumberFormat="1" applyFont="1" applyFill="1" applyBorder="1">
      <alignment vertical="center"/>
    </xf>
    <xf numFmtId="41" fontId="128" fillId="10" borderId="21" xfId="0" applyNumberFormat="1" applyFont="1" applyFill="1" applyBorder="1">
      <alignment vertical="center"/>
    </xf>
    <xf numFmtId="195" fontId="118" fillId="0" borderId="0" xfId="0" applyNumberFormat="1" applyFont="1">
      <alignment vertical="center"/>
    </xf>
    <xf numFmtId="41" fontId="128" fillId="4" borderId="19" xfId="0" applyNumberFormat="1" applyFont="1" applyFill="1" applyBorder="1" applyAlignment="1">
      <alignment horizontal="center" vertical="center"/>
    </xf>
    <xf numFmtId="41" fontId="118" fillId="0" borderId="47" xfId="0" applyNumberFormat="1" applyFont="1" applyBorder="1">
      <alignment vertical="center"/>
    </xf>
    <xf numFmtId="41" fontId="128" fillId="4" borderId="203" xfId="0" applyNumberFormat="1" applyFont="1" applyFill="1" applyBorder="1">
      <alignment vertical="center"/>
    </xf>
    <xf numFmtId="41" fontId="128" fillId="0" borderId="69" xfId="0" applyNumberFormat="1" applyFont="1" applyBorder="1" applyAlignment="1">
      <alignment horizontal="center" vertical="center"/>
    </xf>
    <xf numFmtId="41" fontId="128" fillId="0" borderId="203" xfId="0" applyNumberFormat="1" applyFont="1" applyBorder="1" applyAlignment="1">
      <alignment horizontal="center" vertical="center"/>
    </xf>
    <xf numFmtId="41" fontId="128" fillId="3" borderId="69" xfId="0" applyNumberFormat="1" applyFont="1" applyFill="1" applyBorder="1">
      <alignment vertical="center"/>
    </xf>
    <xf numFmtId="41" fontId="118" fillId="10" borderId="49" xfId="0" applyNumberFormat="1" applyFont="1" applyFill="1" applyBorder="1">
      <alignment vertical="center"/>
    </xf>
    <xf numFmtId="41" fontId="118" fillId="10" borderId="46" xfId="0" applyNumberFormat="1" applyFont="1" applyFill="1" applyBorder="1">
      <alignment vertical="center"/>
    </xf>
    <xf numFmtId="41" fontId="118" fillId="4" borderId="259" xfId="0" applyNumberFormat="1" applyFont="1" applyFill="1" applyBorder="1">
      <alignment vertical="center"/>
    </xf>
    <xf numFmtId="41" fontId="118" fillId="4" borderId="282" xfId="0" applyNumberFormat="1" applyFont="1" applyFill="1" applyBorder="1">
      <alignment vertical="center"/>
    </xf>
    <xf numFmtId="41" fontId="118" fillId="28" borderId="1" xfId="0" applyNumberFormat="1" applyFont="1" applyFill="1" applyBorder="1">
      <alignment vertical="center"/>
    </xf>
    <xf numFmtId="41" fontId="118" fillId="28" borderId="11" xfId="0" applyNumberFormat="1" applyFont="1" applyFill="1" applyBorder="1">
      <alignment vertical="center"/>
    </xf>
    <xf numFmtId="41" fontId="118" fillId="28" borderId="9" xfId="0" applyNumberFormat="1" applyFont="1" applyFill="1" applyBorder="1">
      <alignment vertical="center"/>
    </xf>
    <xf numFmtId="41" fontId="118" fillId="3" borderId="4" xfId="0" applyNumberFormat="1" applyFont="1" applyFill="1" applyBorder="1">
      <alignment vertical="center"/>
    </xf>
    <xf numFmtId="41" fontId="118" fillId="4" borderId="1" xfId="0" applyNumberFormat="1" applyFont="1" applyFill="1" applyBorder="1" applyAlignment="1">
      <alignment horizontal="center" vertical="center"/>
    </xf>
    <xf numFmtId="41" fontId="118" fillId="3" borderId="2" xfId="0" applyNumberFormat="1" applyFont="1" applyFill="1" applyBorder="1">
      <alignment vertical="center"/>
    </xf>
    <xf numFmtId="41" fontId="118" fillId="3" borderId="87" xfId="0" applyNumberFormat="1" applyFont="1" applyFill="1" applyBorder="1">
      <alignment vertical="center"/>
    </xf>
    <xf numFmtId="41" fontId="118" fillId="0" borderId="9" xfId="0" applyNumberFormat="1" applyFont="1" applyBorder="1">
      <alignment vertical="center"/>
    </xf>
    <xf numFmtId="184" fontId="118" fillId="10" borderId="196" xfId="0" applyNumberFormat="1" applyFont="1" applyFill="1" applyBorder="1" applyAlignment="1">
      <alignment horizontal="right" vertical="center"/>
    </xf>
    <xf numFmtId="184" fontId="118" fillId="3" borderId="196" xfId="0" applyNumberFormat="1" applyFont="1" applyFill="1" applyBorder="1" applyAlignment="1">
      <alignment horizontal="right" vertical="center"/>
    </xf>
    <xf numFmtId="41" fontId="17" fillId="4" borderId="121" xfId="0" applyNumberFormat="1" applyFont="1" applyFill="1" applyBorder="1">
      <alignment vertical="center"/>
    </xf>
    <xf numFmtId="41" fontId="17" fillId="3" borderId="88" xfId="0" applyNumberFormat="1" applyFont="1" applyFill="1" applyBorder="1">
      <alignment vertical="center"/>
    </xf>
    <xf numFmtId="41" fontId="118" fillId="33" borderId="3" xfId="0" applyNumberFormat="1" applyFont="1" applyFill="1" applyBorder="1" applyAlignment="1">
      <alignment horizontal="center" vertical="center"/>
    </xf>
    <xf numFmtId="41" fontId="118" fillId="10" borderId="11" xfId="0" applyNumberFormat="1" applyFont="1" applyFill="1" applyBorder="1" applyAlignment="1">
      <alignment horizontal="center" vertical="center"/>
    </xf>
    <xf numFmtId="41" fontId="128" fillId="4" borderId="259" xfId="0" applyNumberFormat="1" applyFont="1" applyFill="1" applyBorder="1">
      <alignment vertical="center"/>
    </xf>
    <xf numFmtId="0" fontId="86" fillId="31" borderId="257" xfId="0" applyFont="1" applyFill="1" applyBorder="1" applyAlignment="1">
      <alignment horizontal="center" vertical="center"/>
    </xf>
    <xf numFmtId="0" fontId="116" fillId="32" borderId="257" xfId="0" applyFont="1" applyFill="1" applyBorder="1" applyAlignment="1">
      <alignment horizontal="left" vertical="center" wrapText="1"/>
    </xf>
    <xf numFmtId="194" fontId="116" fillId="26" borderId="257" xfId="0" applyNumberFormat="1" applyFont="1" applyFill="1" applyBorder="1">
      <alignment vertical="center"/>
    </xf>
    <xf numFmtId="0" fontId="116" fillId="26" borderId="283" xfId="0" applyFont="1" applyFill="1" applyBorder="1" applyAlignment="1">
      <alignment horizontal="center" vertical="center"/>
    </xf>
    <xf numFmtId="194" fontId="116" fillId="26" borderId="271" xfId="0" applyNumberFormat="1" applyFont="1" applyFill="1" applyBorder="1" applyAlignment="1">
      <alignment horizontal="center" vertical="center"/>
    </xf>
    <xf numFmtId="41" fontId="118" fillId="32" borderId="256" xfId="0" applyNumberFormat="1" applyFont="1" applyFill="1" applyBorder="1">
      <alignment vertical="center"/>
    </xf>
    <xf numFmtId="41" fontId="118" fillId="32" borderId="254" xfId="0" applyNumberFormat="1" applyFont="1" applyFill="1" applyBorder="1">
      <alignment vertical="center"/>
    </xf>
    <xf numFmtId="41" fontId="118" fillId="32" borderId="278" xfId="0" applyNumberFormat="1" applyFont="1" applyFill="1" applyBorder="1">
      <alignment vertical="center"/>
    </xf>
    <xf numFmtId="41" fontId="128" fillId="32" borderId="272" xfId="0" applyNumberFormat="1" applyFont="1" applyFill="1" applyBorder="1">
      <alignment vertical="center"/>
    </xf>
    <xf numFmtId="41" fontId="84" fillId="32" borderId="272" xfId="0" applyNumberFormat="1" applyFont="1" applyFill="1" applyBorder="1">
      <alignment vertical="center"/>
    </xf>
    <xf numFmtId="41" fontId="84" fillId="32" borderId="257" xfId="0" applyNumberFormat="1" applyFont="1" applyFill="1" applyBorder="1">
      <alignment vertical="center"/>
    </xf>
    <xf numFmtId="41" fontId="84" fillId="32" borderId="278" xfId="0" applyNumberFormat="1" applyFont="1" applyFill="1" applyBorder="1">
      <alignment vertical="center"/>
    </xf>
    <xf numFmtId="41" fontId="84" fillId="32" borderId="255" xfId="0" applyNumberFormat="1" applyFont="1" applyFill="1" applyBorder="1">
      <alignment vertical="center"/>
    </xf>
    <xf numFmtId="41" fontId="108" fillId="26" borderId="271" xfId="0" applyNumberFormat="1" applyFont="1" applyFill="1" applyBorder="1">
      <alignment vertical="center"/>
    </xf>
    <xf numFmtId="0" fontId="116" fillId="32" borderId="3" xfId="0" applyFont="1" applyFill="1" applyBorder="1" applyAlignment="1">
      <alignment horizontal="left" vertical="center" wrapText="1"/>
    </xf>
    <xf numFmtId="41" fontId="118" fillId="32" borderId="23" xfId="0" applyNumberFormat="1" applyFont="1" applyFill="1" applyBorder="1">
      <alignment vertical="center"/>
    </xf>
    <xf numFmtId="41" fontId="128" fillId="32" borderId="121" xfId="0" applyNumberFormat="1" applyFont="1" applyFill="1" applyBorder="1">
      <alignment vertical="center"/>
    </xf>
    <xf numFmtId="41" fontId="84" fillId="32" borderId="117" xfId="0" applyNumberFormat="1" applyFont="1" applyFill="1" applyBorder="1">
      <alignment vertical="center"/>
    </xf>
    <xf numFmtId="41" fontId="128" fillId="31" borderId="23" xfId="0" applyNumberFormat="1" applyFont="1" applyFill="1" applyBorder="1">
      <alignment vertical="center"/>
    </xf>
    <xf numFmtId="41" fontId="313" fillId="31" borderId="79" xfId="0" applyNumberFormat="1" applyFont="1" applyFill="1" applyBorder="1">
      <alignment vertical="center"/>
    </xf>
    <xf numFmtId="41" fontId="84" fillId="31" borderId="23" xfId="0" applyNumberFormat="1" applyFont="1" applyFill="1" applyBorder="1">
      <alignment vertical="center"/>
    </xf>
    <xf numFmtId="41" fontId="118" fillId="31" borderId="23" xfId="0" applyNumberFormat="1" applyFont="1" applyFill="1" applyBorder="1">
      <alignment vertical="center"/>
    </xf>
    <xf numFmtId="0" fontId="116" fillId="31" borderId="2" xfId="0" applyFont="1" applyFill="1" applyBorder="1" applyAlignment="1">
      <alignment horizontal="left" vertical="center" wrapText="1"/>
    </xf>
    <xf numFmtId="194" fontId="116" fillId="31" borderId="2" xfId="0" applyNumberFormat="1" applyFont="1" applyFill="1" applyBorder="1">
      <alignment vertical="center"/>
    </xf>
    <xf numFmtId="0" fontId="116" fillId="31" borderId="213" xfId="0" applyFont="1" applyFill="1" applyBorder="1" applyAlignment="1">
      <alignment horizontal="center" vertical="center"/>
    </xf>
    <xf numFmtId="194" fontId="116" fillId="31" borderId="216" xfId="0" applyNumberFormat="1" applyFont="1" applyFill="1" applyBorder="1" applyAlignment="1">
      <alignment horizontal="center" vertical="center"/>
    </xf>
    <xf numFmtId="41" fontId="118" fillId="31" borderId="209" xfId="0" applyNumberFormat="1" applyFont="1" applyFill="1" applyBorder="1">
      <alignment vertical="center"/>
    </xf>
    <xf numFmtId="41" fontId="118" fillId="31" borderId="266" xfId="0" applyNumberFormat="1" applyFont="1" applyFill="1" applyBorder="1">
      <alignment vertical="center"/>
    </xf>
    <xf numFmtId="41" fontId="118" fillId="31" borderId="152" xfId="0" applyNumberFormat="1" applyFont="1" applyFill="1" applyBorder="1">
      <alignment vertical="center"/>
    </xf>
    <xf numFmtId="41" fontId="128" fillId="31" borderId="215" xfId="0" applyNumberFormat="1" applyFont="1" applyFill="1" applyBorder="1">
      <alignment vertical="center"/>
    </xf>
    <xf numFmtId="41" fontId="311" fillId="31" borderId="2" xfId="0" applyNumberFormat="1" applyFont="1" applyFill="1" applyBorder="1">
      <alignment vertical="center"/>
    </xf>
    <xf numFmtId="41" fontId="84" fillId="31" borderId="213" xfId="0" applyNumberFormat="1" applyFont="1" applyFill="1" applyBorder="1">
      <alignment vertical="center"/>
    </xf>
    <xf numFmtId="41" fontId="84" fillId="31" borderId="215" xfId="0" applyNumberFormat="1" applyFont="1" applyFill="1" applyBorder="1">
      <alignment vertical="center"/>
    </xf>
    <xf numFmtId="41" fontId="84" fillId="31" borderId="2" xfId="0" applyNumberFormat="1" applyFont="1" applyFill="1" applyBorder="1">
      <alignment vertical="center"/>
    </xf>
    <xf numFmtId="41" fontId="84" fillId="31" borderId="152" xfId="0" applyNumberFormat="1" applyFont="1" applyFill="1" applyBorder="1">
      <alignment vertical="center"/>
    </xf>
    <xf numFmtId="41" fontId="84" fillId="31" borderId="210" xfId="0" applyNumberFormat="1" applyFont="1" applyFill="1" applyBorder="1">
      <alignment vertical="center"/>
    </xf>
    <xf numFmtId="41" fontId="108" fillId="31" borderId="216" xfId="0" applyNumberFormat="1" applyFont="1" applyFill="1" applyBorder="1">
      <alignment vertical="center"/>
    </xf>
    <xf numFmtId="41" fontId="118" fillId="32" borderId="120" xfId="0" applyNumberFormat="1" applyFont="1" applyFill="1" applyBorder="1">
      <alignment vertical="center"/>
    </xf>
    <xf numFmtId="41" fontId="128" fillId="32" borderId="115" xfId="0" applyNumberFormat="1" applyFont="1" applyFill="1" applyBorder="1">
      <alignment vertical="center"/>
    </xf>
    <xf numFmtId="41" fontId="108" fillId="31" borderId="94" xfId="0" applyNumberFormat="1" applyFont="1" applyFill="1" applyBorder="1">
      <alignment vertical="center"/>
    </xf>
    <xf numFmtId="0" fontId="86" fillId="31" borderId="52" xfId="0" applyFont="1" applyFill="1" applyBorder="1" applyAlignment="1">
      <alignment horizontal="center" vertical="center"/>
    </xf>
    <xf numFmtId="0" fontId="116" fillId="32" borderId="27" xfId="0" applyFont="1" applyFill="1" applyBorder="1" applyAlignment="1">
      <alignment horizontal="left" vertical="center" wrapText="1"/>
    </xf>
    <xf numFmtId="194" fontId="116" fillId="26" borderId="52" xfId="0" applyNumberFormat="1" applyFont="1" applyFill="1" applyBorder="1">
      <alignment vertical="center"/>
    </xf>
    <xf numFmtId="0" fontId="116" fillId="26" borderId="195" xfId="0" applyFont="1" applyFill="1" applyBorder="1" applyAlignment="1">
      <alignment horizontal="center" vertical="center"/>
    </xf>
    <xf numFmtId="194" fontId="116" fillId="26" borderId="14" xfId="0" applyNumberFormat="1" applyFont="1" applyFill="1" applyBorder="1" applyAlignment="1">
      <alignment horizontal="center" vertical="center"/>
    </xf>
    <xf numFmtId="41" fontId="118" fillId="32" borderId="207" xfId="0" applyNumberFormat="1" applyFont="1" applyFill="1" applyBorder="1">
      <alignment vertical="center"/>
    </xf>
    <xf numFmtId="41" fontId="118" fillId="32" borderId="52" xfId="0" applyNumberFormat="1" applyFont="1" applyFill="1" applyBorder="1">
      <alignment vertical="center"/>
    </xf>
    <xf numFmtId="0" fontId="118" fillId="26" borderId="51" xfId="0" applyFont="1" applyFill="1" applyBorder="1">
      <alignment vertical="center"/>
    </xf>
    <xf numFmtId="41" fontId="313" fillId="32" borderId="81" xfId="0" applyNumberFormat="1" applyFont="1" applyFill="1" applyBorder="1">
      <alignment vertical="center"/>
    </xf>
    <xf numFmtId="41" fontId="84" fillId="32" borderId="53" xfId="0" applyNumberFormat="1" applyFont="1" applyFill="1" applyBorder="1">
      <alignment vertical="center"/>
    </xf>
    <xf numFmtId="41" fontId="84" fillId="32" borderId="51" xfId="0" applyNumberFormat="1" applyFont="1" applyFill="1" applyBorder="1">
      <alignment vertical="center"/>
    </xf>
    <xf numFmtId="41" fontId="84" fillId="32" borderId="207" xfId="0" applyNumberFormat="1" applyFont="1" applyFill="1" applyBorder="1">
      <alignment vertical="center"/>
    </xf>
    <xf numFmtId="41" fontId="84" fillId="32" borderId="82" xfId="0" applyNumberFormat="1" applyFont="1" applyFill="1" applyBorder="1">
      <alignment vertical="center"/>
    </xf>
    <xf numFmtId="0" fontId="86" fillId="31" borderId="9" xfId="0" applyFont="1" applyFill="1" applyBorder="1" applyAlignment="1">
      <alignment horizontal="center" vertical="center"/>
    </xf>
    <xf numFmtId="41" fontId="118" fillId="32" borderId="9" xfId="0" applyNumberFormat="1" applyFont="1" applyFill="1" applyBorder="1">
      <alignment vertical="center"/>
    </xf>
    <xf numFmtId="0" fontId="118" fillId="26" borderId="23" xfId="0" applyFont="1" applyFill="1" applyBorder="1">
      <alignment vertical="center"/>
    </xf>
    <xf numFmtId="41" fontId="313" fillId="32" borderId="90" xfId="0" applyNumberFormat="1" applyFont="1" applyFill="1" applyBorder="1">
      <alignment vertical="center"/>
    </xf>
    <xf numFmtId="41" fontId="84" fillId="32" borderId="88" xfId="0" applyNumberFormat="1" applyFont="1" applyFill="1" applyBorder="1">
      <alignment vertical="center"/>
    </xf>
    <xf numFmtId="41" fontId="118" fillId="32" borderId="3" xfId="0" applyNumberFormat="1" applyFont="1" applyFill="1" applyBorder="1">
      <alignment vertical="center"/>
    </xf>
    <xf numFmtId="41" fontId="313" fillId="32" borderId="79" xfId="0" applyNumberFormat="1" applyFont="1" applyFill="1" applyBorder="1">
      <alignment vertical="center"/>
    </xf>
    <xf numFmtId="41" fontId="84" fillId="32" borderId="23" xfId="0" applyNumberFormat="1" applyFont="1" applyFill="1" applyBorder="1">
      <alignment vertical="center"/>
    </xf>
    <xf numFmtId="41" fontId="118" fillId="32" borderId="128" xfId="0" applyNumberFormat="1" applyFont="1" applyFill="1" applyBorder="1">
      <alignment vertical="center"/>
    </xf>
    <xf numFmtId="41" fontId="84" fillId="32" borderId="86" xfId="0" applyNumberFormat="1" applyFont="1" applyFill="1" applyBorder="1">
      <alignment vertical="center"/>
    </xf>
    <xf numFmtId="0" fontId="116" fillId="4" borderId="36" xfId="0" applyFont="1" applyFill="1" applyBorder="1" applyAlignment="1">
      <alignment horizontal="center" vertical="center"/>
    </xf>
    <xf numFmtId="184" fontId="118" fillId="3" borderId="8" xfId="0" applyNumberFormat="1" applyFont="1" applyFill="1" applyBorder="1">
      <alignment vertical="center"/>
    </xf>
    <xf numFmtId="184" fontId="118" fillId="0" borderId="257" xfId="0" applyNumberFormat="1" applyFont="1" applyBorder="1">
      <alignment vertical="center"/>
    </xf>
    <xf numFmtId="184" fontId="84" fillId="0" borderId="257" xfId="0" applyNumberFormat="1" applyFont="1" applyBorder="1">
      <alignment vertical="center"/>
    </xf>
    <xf numFmtId="184" fontId="118" fillId="2" borderId="282" xfId="0" applyNumberFormat="1" applyFont="1" applyFill="1" applyBorder="1">
      <alignment vertical="center"/>
    </xf>
    <xf numFmtId="184" fontId="84" fillId="2" borderId="282" xfId="0" applyNumberFormat="1" applyFont="1" applyFill="1" applyBorder="1">
      <alignment vertical="center"/>
    </xf>
    <xf numFmtId="184" fontId="108" fillId="0" borderId="5" xfId="0" applyNumberFormat="1" applyFont="1" applyBorder="1">
      <alignment vertical="center"/>
    </xf>
    <xf numFmtId="184" fontId="108" fillId="0" borderId="259" xfId="0" applyNumberFormat="1" applyFont="1" applyBorder="1">
      <alignment vertical="center"/>
    </xf>
    <xf numFmtId="184" fontId="84" fillId="0" borderId="27" xfId="0" applyNumberFormat="1" applyFont="1" applyBorder="1">
      <alignment vertical="center"/>
    </xf>
    <xf numFmtId="41" fontId="93" fillId="4" borderId="294" xfId="0" applyNumberFormat="1" applyFont="1" applyFill="1" applyBorder="1" applyAlignment="1">
      <alignment vertical="center" wrapText="1"/>
    </xf>
    <xf numFmtId="41" fontId="108" fillId="4" borderId="294" xfId="0" applyNumberFormat="1" applyFont="1" applyFill="1" applyBorder="1">
      <alignment vertical="center"/>
    </xf>
    <xf numFmtId="41" fontId="93" fillId="4" borderId="262" xfId="0" applyNumberFormat="1" applyFont="1" applyFill="1" applyBorder="1" applyAlignment="1">
      <alignment horizontal="left" vertical="center" shrinkToFit="1"/>
    </xf>
    <xf numFmtId="41" fontId="93" fillId="2" borderId="286" xfId="0" applyNumberFormat="1" applyFont="1" applyFill="1" applyBorder="1">
      <alignment vertical="center"/>
    </xf>
    <xf numFmtId="0" fontId="93" fillId="4" borderId="272" xfId="0" applyFont="1" applyFill="1" applyBorder="1" applyAlignment="1">
      <alignment horizontal="center" vertical="center"/>
    </xf>
    <xf numFmtId="184" fontId="120" fillId="2" borderId="286" xfId="0" applyNumberFormat="1" applyFont="1" applyFill="1" applyBorder="1" applyAlignment="1">
      <alignment horizontal="right" vertical="center"/>
    </xf>
    <xf numFmtId="41" fontId="84" fillId="0" borderId="58" xfId="0" applyNumberFormat="1" applyFont="1" applyBorder="1">
      <alignment vertical="center"/>
    </xf>
    <xf numFmtId="41" fontId="84" fillId="0" borderId="55" xfId="0" applyNumberFormat="1" applyFont="1" applyBorder="1">
      <alignment vertical="center"/>
    </xf>
    <xf numFmtId="41" fontId="84" fillId="0" borderId="256" xfId="0" applyNumberFormat="1" applyFont="1" applyBorder="1">
      <alignment vertical="center"/>
    </xf>
    <xf numFmtId="184" fontId="84" fillId="0" borderId="256" xfId="0" applyNumberFormat="1" applyFont="1" applyBorder="1">
      <alignment vertical="center"/>
    </xf>
    <xf numFmtId="184" fontId="84" fillId="40" borderId="278" xfId="0" applyNumberFormat="1" applyFont="1" applyFill="1" applyBorder="1">
      <alignment vertical="center"/>
    </xf>
    <xf numFmtId="184" fontId="84" fillId="0" borderId="55" xfId="0" applyNumberFormat="1" applyFont="1" applyBorder="1">
      <alignment vertical="center"/>
    </xf>
    <xf numFmtId="184" fontId="84" fillId="40" borderId="8" xfId="0" applyNumberFormat="1" applyFont="1" applyFill="1" applyBorder="1">
      <alignment vertical="center"/>
    </xf>
    <xf numFmtId="184" fontId="84" fillId="0" borderId="258" xfId="0" applyNumberFormat="1" applyFont="1" applyBorder="1">
      <alignment vertical="center"/>
    </xf>
    <xf numFmtId="184" fontId="84" fillId="40" borderId="270" xfId="0" applyNumberFormat="1" applyFont="1" applyFill="1" applyBorder="1">
      <alignment vertical="center"/>
    </xf>
    <xf numFmtId="184" fontId="108" fillId="0" borderId="35" xfId="0" applyNumberFormat="1" applyFont="1" applyBorder="1">
      <alignment vertical="center"/>
    </xf>
    <xf numFmtId="184" fontId="108" fillId="40" borderId="42" xfId="0" applyNumberFormat="1" applyFont="1" applyFill="1" applyBorder="1">
      <alignment vertical="center"/>
    </xf>
    <xf numFmtId="184" fontId="108" fillId="0" borderId="258" xfId="0" applyNumberFormat="1" applyFont="1" applyBorder="1">
      <alignment vertical="center"/>
    </xf>
    <xf numFmtId="184" fontId="108" fillId="40" borderId="270" xfId="0" applyNumberFormat="1" applyFont="1" applyFill="1" applyBorder="1">
      <alignment vertical="center"/>
    </xf>
    <xf numFmtId="184" fontId="84" fillId="0" borderId="58" xfId="0" applyNumberFormat="1" applyFont="1" applyBorder="1">
      <alignment vertical="center"/>
    </xf>
    <xf numFmtId="184" fontId="84" fillId="40" borderId="65" xfId="0" applyNumberFormat="1" applyFont="1" applyFill="1" applyBorder="1">
      <alignment vertical="center"/>
    </xf>
    <xf numFmtId="184" fontId="84" fillId="0" borderId="35" xfId="0" applyNumberFormat="1" applyFont="1" applyBorder="1">
      <alignment vertical="center"/>
    </xf>
    <xf numFmtId="184" fontId="84" fillId="40" borderId="42" xfId="0" applyNumberFormat="1" applyFont="1" applyFill="1" applyBorder="1">
      <alignment vertical="center"/>
    </xf>
    <xf numFmtId="184" fontId="108" fillId="0" borderId="289" xfId="0" applyNumberFormat="1" applyFont="1" applyBorder="1">
      <alignment vertical="center"/>
    </xf>
    <xf numFmtId="184" fontId="108" fillId="40" borderId="273" xfId="0" applyNumberFormat="1" applyFont="1" applyFill="1" applyBorder="1">
      <alignment vertical="center"/>
    </xf>
    <xf numFmtId="182" fontId="84" fillId="2" borderId="285" xfId="0" applyNumberFormat="1" applyFont="1" applyFill="1" applyBorder="1">
      <alignment vertical="center"/>
    </xf>
    <xf numFmtId="182" fontId="108" fillId="3" borderId="67" xfId="0" applyNumberFormat="1" applyFont="1" applyFill="1" applyBorder="1">
      <alignment vertical="center"/>
    </xf>
    <xf numFmtId="182" fontId="108" fillId="3" borderId="18" xfId="0" applyNumberFormat="1" applyFont="1" applyFill="1" applyBorder="1">
      <alignment vertical="center"/>
    </xf>
    <xf numFmtId="184" fontId="84" fillId="40" borderId="255" xfId="0" applyNumberFormat="1" applyFont="1" applyFill="1" applyBorder="1">
      <alignment vertical="center"/>
    </xf>
    <xf numFmtId="184" fontId="84" fillId="40" borderId="69" xfId="0" applyNumberFormat="1" applyFont="1" applyFill="1" applyBorder="1">
      <alignment vertical="center"/>
    </xf>
    <xf numFmtId="184" fontId="84" fillId="40" borderId="260" xfId="0" applyNumberFormat="1" applyFont="1" applyFill="1" applyBorder="1">
      <alignment vertical="center"/>
    </xf>
    <xf numFmtId="184" fontId="108" fillId="40" borderId="47" xfId="0" applyNumberFormat="1" applyFont="1" applyFill="1" applyBorder="1">
      <alignment vertical="center"/>
    </xf>
    <xf numFmtId="184" fontId="108" fillId="40" borderId="260" xfId="0" applyNumberFormat="1" applyFont="1" applyFill="1" applyBorder="1">
      <alignment vertical="center"/>
    </xf>
    <xf numFmtId="184" fontId="84" fillId="40" borderId="60" xfId="0" applyNumberFormat="1" applyFont="1" applyFill="1" applyBorder="1">
      <alignment vertical="center"/>
    </xf>
    <xf numFmtId="184" fontId="84" fillId="40" borderId="47" xfId="0" applyNumberFormat="1" applyFont="1" applyFill="1" applyBorder="1">
      <alignment vertical="center"/>
    </xf>
    <xf numFmtId="184" fontId="108" fillId="40" borderId="288" xfId="0" applyNumberFormat="1" applyFont="1" applyFill="1" applyBorder="1">
      <alignment vertical="center"/>
    </xf>
    <xf numFmtId="182" fontId="108" fillId="3" borderId="19" xfId="0" applyNumberFormat="1" applyFont="1" applyFill="1" applyBorder="1">
      <alignment vertical="center"/>
    </xf>
    <xf numFmtId="41" fontId="84" fillId="0" borderId="259" xfId="0" applyNumberFormat="1" applyFont="1" applyBorder="1">
      <alignment vertical="center"/>
    </xf>
    <xf numFmtId="9" fontId="84" fillId="40" borderId="259" xfId="0" applyNumberFormat="1" applyFont="1" applyFill="1" applyBorder="1">
      <alignment vertical="center"/>
    </xf>
    <xf numFmtId="184" fontId="84" fillId="0" borderId="259" xfId="0" applyNumberFormat="1" applyFont="1" applyBorder="1">
      <alignment vertical="center"/>
    </xf>
    <xf numFmtId="184" fontId="84" fillId="40" borderId="259" xfId="0" applyNumberFormat="1" applyFont="1" applyFill="1" applyBorder="1">
      <alignment vertical="center"/>
    </xf>
    <xf numFmtId="184" fontId="108" fillId="40" borderId="259" xfId="0" applyNumberFormat="1" applyFont="1" applyFill="1" applyBorder="1">
      <alignment vertical="center"/>
    </xf>
    <xf numFmtId="9" fontId="84" fillId="0" borderId="259" xfId="0" applyNumberFormat="1" applyFont="1" applyBorder="1">
      <alignment vertical="center"/>
    </xf>
    <xf numFmtId="10" fontId="116" fillId="3" borderId="274" xfId="8" applyNumberFormat="1" applyFont="1" applyFill="1" applyBorder="1" applyAlignment="1">
      <alignment horizontal="center" vertical="center"/>
    </xf>
    <xf numFmtId="10" fontId="111" fillId="4" borderId="287" xfId="8" applyNumberFormat="1" applyFont="1" applyFill="1" applyBorder="1" applyAlignment="1">
      <alignment horizontal="center" vertical="center"/>
    </xf>
    <xf numFmtId="10" fontId="84" fillId="4" borderId="270" xfId="8" applyNumberFormat="1" applyFont="1" applyFill="1" applyBorder="1" applyAlignment="1">
      <alignment horizontal="left" vertical="center"/>
    </xf>
    <xf numFmtId="10" fontId="108" fillId="4" borderId="20" xfId="8" applyNumberFormat="1" applyFont="1" applyFill="1" applyBorder="1" applyAlignment="1">
      <alignment horizontal="center" vertical="center"/>
    </xf>
    <xf numFmtId="10" fontId="84" fillId="4" borderId="82" xfId="8" applyNumberFormat="1" applyFont="1" applyFill="1" applyBorder="1">
      <alignment vertical="center"/>
    </xf>
    <xf numFmtId="41" fontId="84" fillId="4" borderId="7" xfId="9" applyFont="1" applyFill="1" applyBorder="1">
      <alignment vertical="center"/>
    </xf>
    <xf numFmtId="10" fontId="84" fillId="4" borderId="160" xfId="8" applyNumberFormat="1" applyFont="1" applyFill="1" applyBorder="1">
      <alignment vertical="center"/>
    </xf>
    <xf numFmtId="10" fontId="108" fillId="4" borderId="20" xfId="8" applyNumberFormat="1" applyFont="1" applyFill="1" applyBorder="1">
      <alignment vertical="center"/>
    </xf>
    <xf numFmtId="10" fontId="84" fillId="4" borderId="82" xfId="8" applyNumberFormat="1" applyFont="1" applyFill="1" applyBorder="1" applyAlignment="1">
      <alignment horizontal="left" vertical="center"/>
    </xf>
    <xf numFmtId="10" fontId="84" fillId="4" borderId="8" xfId="8" applyNumberFormat="1" applyFont="1" applyFill="1" applyBorder="1" applyAlignment="1">
      <alignment horizontal="left" vertical="center"/>
    </xf>
    <xf numFmtId="10" fontId="84" fillId="4" borderId="160" xfId="8" applyNumberFormat="1" applyFont="1" applyFill="1" applyBorder="1" applyAlignment="1">
      <alignment horizontal="left" vertical="center"/>
    </xf>
    <xf numFmtId="10" fontId="84" fillId="4" borderId="20" xfId="8" applyNumberFormat="1" applyFont="1" applyFill="1" applyBorder="1" applyAlignment="1">
      <alignment horizontal="left" vertical="center"/>
    </xf>
    <xf numFmtId="182" fontId="108" fillId="4" borderId="25" xfId="8" applyNumberFormat="1" applyFont="1" applyFill="1" applyBorder="1">
      <alignment vertical="center"/>
    </xf>
    <xf numFmtId="182" fontId="108" fillId="4" borderId="267" xfId="8" applyNumberFormat="1" applyFont="1" applyFill="1" applyBorder="1">
      <alignment vertical="center"/>
    </xf>
    <xf numFmtId="182" fontId="108" fillId="4" borderId="213" xfId="8" applyNumberFormat="1" applyFont="1" applyFill="1" applyBorder="1">
      <alignment vertical="center"/>
    </xf>
    <xf numFmtId="182" fontId="108" fillId="4" borderId="212" xfId="8" applyNumberFormat="1" applyFont="1" applyFill="1" applyBorder="1">
      <alignment vertical="center"/>
    </xf>
    <xf numFmtId="182" fontId="108" fillId="4" borderId="290" xfId="8" applyNumberFormat="1" applyFont="1" applyFill="1" applyBorder="1">
      <alignment vertical="center"/>
    </xf>
    <xf numFmtId="182" fontId="116" fillId="4" borderId="16" xfId="8" applyNumberFormat="1" applyFont="1" applyFill="1" applyBorder="1">
      <alignment vertical="center"/>
    </xf>
    <xf numFmtId="182" fontId="108" fillId="2" borderId="16" xfId="8" applyNumberFormat="1" applyFont="1" applyFill="1" applyBorder="1">
      <alignment vertical="center"/>
    </xf>
    <xf numFmtId="41" fontId="129" fillId="4" borderId="16" xfId="0" applyNumberFormat="1" applyFont="1" applyFill="1" applyBorder="1">
      <alignment vertical="center"/>
    </xf>
    <xf numFmtId="0" fontId="84" fillId="4" borderId="16" xfId="0" applyFont="1" applyFill="1" applyBorder="1" applyAlignment="1">
      <alignment horizontal="center" vertical="center"/>
    </xf>
    <xf numFmtId="0" fontId="108" fillId="4" borderId="84" xfId="0" applyFont="1" applyFill="1" applyBorder="1" applyAlignment="1">
      <alignment horizontal="center" vertical="center"/>
    </xf>
    <xf numFmtId="182" fontId="108" fillId="4" borderId="120" xfId="8" applyNumberFormat="1" applyFont="1" applyFill="1" applyBorder="1">
      <alignment vertical="center"/>
    </xf>
    <xf numFmtId="41" fontId="108" fillId="3" borderId="274" xfId="0" applyNumberFormat="1" applyFont="1" applyFill="1" applyBorder="1">
      <alignment vertical="center"/>
    </xf>
    <xf numFmtId="41" fontId="116" fillId="4" borderId="282" xfId="0" applyNumberFormat="1" applyFont="1" applyFill="1" applyBorder="1">
      <alignment vertical="center"/>
    </xf>
    <xf numFmtId="41" fontId="108" fillId="4" borderId="27" xfId="0" applyNumberFormat="1" applyFont="1" applyFill="1" applyBorder="1">
      <alignment vertical="center"/>
    </xf>
    <xf numFmtId="41" fontId="108" fillId="4" borderId="2" xfId="0" applyNumberFormat="1" applyFont="1" applyFill="1" applyBorder="1">
      <alignment vertical="center"/>
    </xf>
    <xf numFmtId="41" fontId="108" fillId="4" borderId="3" xfId="0" applyNumberFormat="1" applyFont="1" applyFill="1" applyBorder="1">
      <alignment vertical="center"/>
    </xf>
    <xf numFmtId="41" fontId="108" fillId="4" borderId="4" xfId="0" applyNumberFormat="1" applyFont="1" applyFill="1" applyBorder="1">
      <alignment vertical="center"/>
    </xf>
    <xf numFmtId="0" fontId="84" fillId="4" borderId="18" xfId="0" applyFont="1" applyFill="1" applyBorder="1" applyAlignment="1">
      <alignment horizontal="center" vertical="center"/>
    </xf>
    <xf numFmtId="41" fontId="118" fillId="2" borderId="1" xfId="0" applyNumberFormat="1" applyFont="1" applyFill="1" applyBorder="1" applyAlignment="1">
      <alignment horizontal="right" vertical="center"/>
    </xf>
    <xf numFmtId="9" fontId="118" fillId="2" borderId="1" xfId="0" applyNumberFormat="1" applyFont="1" applyFill="1" applyBorder="1" applyAlignment="1">
      <alignment horizontal="right" vertical="center"/>
    </xf>
    <xf numFmtId="41" fontId="108" fillId="4" borderId="52" xfId="0" applyNumberFormat="1" applyFont="1" applyFill="1" applyBorder="1">
      <alignment vertical="center"/>
    </xf>
    <xf numFmtId="41" fontId="108" fillId="4" borderId="159" xfId="0" applyNumberFormat="1" applyFont="1" applyFill="1" applyBorder="1">
      <alignment vertical="center"/>
    </xf>
    <xf numFmtId="0" fontId="108" fillId="4" borderId="112" xfId="0" applyFont="1" applyFill="1" applyBorder="1" applyAlignment="1">
      <alignment horizontal="center" vertical="center"/>
    </xf>
    <xf numFmtId="41" fontId="108" fillId="4" borderId="11" xfId="0" applyNumberFormat="1" applyFont="1" applyFill="1" applyBorder="1">
      <alignment vertical="center"/>
    </xf>
    <xf numFmtId="0" fontId="108" fillId="3" borderId="274" xfId="0" applyFont="1" applyFill="1" applyBorder="1">
      <alignment vertical="center"/>
    </xf>
    <xf numFmtId="182" fontId="116" fillId="3" borderId="274" xfId="0" applyNumberFormat="1" applyFont="1" applyFill="1" applyBorder="1" applyAlignment="1">
      <alignment horizontal="center" vertical="center"/>
    </xf>
    <xf numFmtId="182" fontId="116" fillId="3" borderId="274" xfId="0" applyNumberFormat="1" applyFont="1" applyFill="1" applyBorder="1" applyAlignment="1">
      <alignment horizontal="right" vertical="center"/>
    </xf>
    <xf numFmtId="41" fontId="116" fillId="3" borderId="274" xfId="0" applyNumberFormat="1" applyFont="1" applyFill="1" applyBorder="1">
      <alignment vertical="center"/>
    </xf>
    <xf numFmtId="185" fontId="93" fillId="0" borderId="0" xfId="1" applyNumberFormat="1" applyFont="1" applyBorder="1" applyAlignment="1">
      <alignment vertical="center"/>
    </xf>
    <xf numFmtId="180" fontId="93" fillId="0" borderId="0" xfId="1" applyFont="1" applyBorder="1" applyAlignment="1">
      <alignment vertical="center"/>
    </xf>
    <xf numFmtId="10" fontId="132" fillId="0" borderId="0" xfId="8" applyNumberFormat="1" applyFont="1" applyBorder="1" applyAlignment="1">
      <alignment horizontal="left" vertical="center"/>
    </xf>
    <xf numFmtId="10" fontId="116" fillId="3" borderId="0" xfId="8" applyNumberFormat="1" applyFont="1" applyFill="1" applyBorder="1" applyAlignment="1">
      <alignment horizontal="center" vertical="center"/>
    </xf>
    <xf numFmtId="10" fontId="134" fillId="0" borderId="0" xfId="8" applyNumberFormat="1" applyFont="1" applyBorder="1" applyAlignment="1">
      <alignment horizontal="left" vertical="center"/>
    </xf>
    <xf numFmtId="41" fontId="84" fillId="0" borderId="0" xfId="9" applyFont="1" applyBorder="1">
      <alignment vertical="center"/>
    </xf>
    <xf numFmtId="41" fontId="13" fillId="26" borderId="0" xfId="0" applyNumberFormat="1" applyFont="1" applyFill="1" applyAlignment="1"/>
    <xf numFmtId="10" fontId="116" fillId="4" borderId="8" xfId="8" applyNumberFormat="1" applyFont="1" applyFill="1" applyBorder="1" applyAlignment="1">
      <alignment horizontal="center" vertical="center"/>
    </xf>
    <xf numFmtId="184" fontId="108" fillId="4" borderId="18" xfId="0" applyNumberFormat="1" applyFont="1" applyFill="1" applyBorder="1">
      <alignment vertical="center"/>
    </xf>
    <xf numFmtId="182" fontId="108" fillId="4" borderId="18" xfId="0" applyNumberFormat="1" applyFont="1" applyFill="1" applyBorder="1">
      <alignment vertical="center"/>
    </xf>
    <xf numFmtId="184" fontId="108" fillId="3" borderId="274" xfId="0" applyNumberFormat="1" applyFont="1" applyFill="1" applyBorder="1">
      <alignment vertical="center"/>
    </xf>
    <xf numFmtId="210" fontId="84" fillId="0" borderId="0" xfId="0" applyNumberFormat="1" applyFont="1">
      <alignment vertical="center"/>
    </xf>
    <xf numFmtId="10" fontId="84" fillId="0" borderId="0" xfId="0" applyNumberFormat="1" applyFont="1">
      <alignment vertical="center"/>
    </xf>
    <xf numFmtId="10" fontId="84" fillId="3" borderId="0" xfId="0" applyNumberFormat="1" applyFont="1" applyFill="1">
      <alignment vertical="center"/>
    </xf>
    <xf numFmtId="41" fontId="84" fillId="10" borderId="259" xfId="0" applyNumberFormat="1" applyFont="1" applyFill="1" applyBorder="1">
      <alignment vertical="center"/>
    </xf>
    <xf numFmtId="187" fontId="84" fillId="10" borderId="2" xfId="0" applyNumberFormat="1" applyFont="1" applyFill="1" applyBorder="1" applyAlignment="1">
      <alignment horizontal="left" vertical="center" indent="1"/>
    </xf>
    <xf numFmtId="187" fontId="84" fillId="10" borderId="3" xfId="0" applyNumberFormat="1" applyFont="1" applyFill="1" applyBorder="1" applyAlignment="1">
      <alignment horizontal="left" vertical="center" indent="1"/>
    </xf>
    <xf numFmtId="185" fontId="84" fillId="10" borderId="4" xfId="0" applyNumberFormat="1" applyFont="1" applyFill="1" applyBorder="1" applyAlignment="1">
      <alignment vertical="center" shrinkToFit="1"/>
    </xf>
    <xf numFmtId="185" fontId="108" fillId="10" borderId="1" xfId="0" applyNumberFormat="1" applyFont="1" applyFill="1" applyBorder="1">
      <alignment vertical="center"/>
    </xf>
    <xf numFmtId="41" fontId="84" fillId="2" borderId="1" xfId="0" applyNumberFormat="1" applyFont="1" applyFill="1" applyBorder="1" applyAlignment="1">
      <alignment horizontal="right" vertical="center"/>
    </xf>
    <xf numFmtId="9" fontId="84" fillId="2" borderId="1" xfId="0" applyNumberFormat="1" applyFont="1" applyFill="1" applyBorder="1" applyAlignment="1">
      <alignment horizontal="right" vertical="center"/>
    </xf>
    <xf numFmtId="180" fontId="84" fillId="3" borderId="0" xfId="0" applyNumberFormat="1" applyFont="1" applyFill="1" applyAlignment="1">
      <alignment horizontal="right" vertical="center"/>
    </xf>
    <xf numFmtId="41" fontId="84" fillId="10" borderId="52" xfId="0" applyNumberFormat="1" applyFont="1" applyFill="1" applyBorder="1" applyAlignment="1">
      <alignment vertical="center" shrinkToFit="1"/>
    </xf>
    <xf numFmtId="41" fontId="84" fillId="10" borderId="3" xfId="0" applyNumberFormat="1" applyFont="1" applyFill="1" applyBorder="1" applyAlignment="1">
      <alignment vertical="center" shrinkToFit="1"/>
    </xf>
    <xf numFmtId="41" fontId="108" fillId="10" borderId="3" xfId="0" applyNumberFormat="1" applyFont="1" applyFill="1" applyBorder="1" applyAlignment="1">
      <alignment vertical="center" shrinkToFit="1"/>
    </xf>
    <xf numFmtId="41" fontId="84" fillId="10" borderId="159" xfId="0" applyNumberFormat="1" applyFont="1" applyFill="1" applyBorder="1" applyAlignment="1">
      <alignment vertical="center" shrinkToFit="1"/>
    </xf>
    <xf numFmtId="187" fontId="84" fillId="0" borderId="0" xfId="0" applyNumberFormat="1" applyFont="1" applyAlignment="1">
      <alignment vertical="center" shrinkToFit="1"/>
    </xf>
    <xf numFmtId="43" fontId="84" fillId="0" borderId="0" xfId="0" applyNumberFormat="1" applyFont="1" applyAlignment="1">
      <alignment vertical="center" shrinkToFit="1"/>
    </xf>
    <xf numFmtId="41" fontId="84" fillId="10" borderId="52" xfId="0" applyNumberFormat="1" applyFont="1" applyFill="1" applyBorder="1">
      <alignment vertical="center"/>
    </xf>
    <xf numFmtId="41" fontId="84" fillId="10" borderId="159" xfId="0" applyNumberFormat="1" applyFont="1" applyFill="1" applyBorder="1">
      <alignment vertical="center"/>
    </xf>
    <xf numFmtId="41" fontId="16" fillId="26" borderId="18" xfId="0" applyNumberFormat="1" applyFont="1" applyFill="1" applyBorder="1" applyAlignment="1"/>
    <xf numFmtId="41" fontId="16" fillId="26" borderId="17" xfId="0" applyNumberFormat="1" applyFont="1" applyFill="1" applyBorder="1" applyAlignment="1"/>
    <xf numFmtId="41" fontId="16" fillId="26" borderId="20" xfId="0" applyNumberFormat="1" applyFont="1" applyFill="1" applyBorder="1" applyAlignment="1"/>
    <xf numFmtId="0" fontId="108" fillId="4" borderId="45" xfId="0" applyFont="1" applyFill="1" applyBorder="1" applyAlignment="1">
      <alignment horizontal="centerContinuous" vertical="center"/>
    </xf>
    <xf numFmtId="0" fontId="116" fillId="4" borderId="45" xfId="0" applyFont="1" applyFill="1" applyBorder="1" applyAlignment="1">
      <alignment horizontal="centerContinuous" vertical="center"/>
    </xf>
    <xf numFmtId="0" fontId="116" fillId="4" borderId="15" xfId="0" applyFont="1" applyFill="1" applyBorder="1" applyAlignment="1">
      <alignment horizontal="centerContinuous" vertical="center"/>
    </xf>
    <xf numFmtId="0" fontId="116" fillId="4" borderId="16" xfId="0" applyFont="1" applyFill="1" applyBorder="1" applyAlignment="1">
      <alignment horizontal="centerContinuous" vertical="center"/>
    </xf>
    <xf numFmtId="9" fontId="118" fillId="0" borderId="281" xfId="8" applyFont="1" applyBorder="1">
      <alignment vertical="center"/>
    </xf>
    <xf numFmtId="41" fontId="84" fillId="0" borderId="276" xfId="0" applyNumberFormat="1" applyFont="1" applyBorder="1">
      <alignment vertical="center"/>
    </xf>
    <xf numFmtId="41" fontId="84" fillId="0" borderId="285" xfId="0" applyNumberFormat="1" applyFont="1" applyBorder="1">
      <alignment vertical="center"/>
    </xf>
    <xf numFmtId="9" fontId="84" fillId="0" borderId="281" xfId="8" applyFont="1" applyBorder="1">
      <alignment vertical="center"/>
    </xf>
    <xf numFmtId="9" fontId="84" fillId="0" borderId="287" xfId="8" applyFont="1" applyBorder="1">
      <alignment vertical="center"/>
    </xf>
    <xf numFmtId="184" fontId="84" fillId="3" borderId="65" xfId="9" applyNumberFormat="1" applyFont="1" applyFill="1" applyBorder="1" applyAlignment="1">
      <alignment horizontal="right" vertical="center"/>
    </xf>
    <xf numFmtId="184" fontId="84" fillId="3" borderId="270" xfId="9" applyNumberFormat="1" applyFont="1" applyFill="1" applyBorder="1" applyAlignment="1">
      <alignment horizontal="right" vertical="center"/>
    </xf>
    <xf numFmtId="184" fontId="84" fillId="3" borderId="152" xfId="9" applyNumberFormat="1" applyFont="1" applyFill="1" applyBorder="1" applyAlignment="1">
      <alignment horizontal="right" vertical="center" shrinkToFit="1"/>
    </xf>
    <xf numFmtId="184" fontId="84" fillId="3" borderId="7" xfId="9" applyNumberFormat="1" applyFont="1" applyFill="1" applyBorder="1" applyAlignment="1">
      <alignment horizontal="right" vertical="center" shrinkToFit="1"/>
    </xf>
    <xf numFmtId="184" fontId="84" fillId="3" borderId="132" xfId="9" applyNumberFormat="1" applyFont="1" applyFill="1" applyBorder="1" applyAlignment="1">
      <alignment horizontal="right" vertical="center" shrinkToFit="1"/>
    </xf>
    <xf numFmtId="184" fontId="108" fillId="3" borderId="8" xfId="9" applyNumberFormat="1" applyFont="1" applyFill="1" applyBorder="1" applyAlignment="1">
      <alignment horizontal="right" vertical="center"/>
    </xf>
    <xf numFmtId="184" fontId="108" fillId="4" borderId="20" xfId="9" applyNumberFormat="1" applyFont="1" applyFill="1" applyBorder="1" applyAlignment="1">
      <alignment horizontal="right" vertical="center"/>
    </xf>
    <xf numFmtId="184" fontId="108" fillId="2" borderId="20" xfId="9" applyNumberFormat="1" applyFont="1" applyFill="1" applyBorder="1" applyAlignment="1">
      <alignment horizontal="right" vertical="center"/>
    </xf>
    <xf numFmtId="187" fontId="84" fillId="3" borderId="26" xfId="0" applyNumberFormat="1" applyFont="1" applyFill="1" applyBorder="1">
      <alignment vertical="center"/>
    </xf>
    <xf numFmtId="41" fontId="84" fillId="3" borderId="261" xfId="0" applyNumberFormat="1" applyFont="1" applyFill="1" applyBorder="1">
      <alignment vertical="center"/>
    </xf>
    <xf numFmtId="187" fontId="93" fillId="3" borderId="265" xfId="0" applyNumberFormat="1" applyFont="1" applyFill="1" applyBorder="1" applyAlignment="1">
      <alignment horizontal="left" vertical="center" indent="1"/>
    </xf>
    <xf numFmtId="187" fontId="84" fillId="3" borderId="79" xfId="0" applyNumberFormat="1" applyFont="1" applyFill="1" applyBorder="1" applyAlignment="1">
      <alignment horizontal="left" vertical="center" indent="1"/>
    </xf>
    <xf numFmtId="187" fontId="84" fillId="0" borderId="79" xfId="0" applyNumberFormat="1" applyFont="1" applyBorder="1" applyAlignment="1">
      <alignment horizontal="left" vertical="center" indent="1"/>
    </xf>
    <xf numFmtId="185" fontId="93" fillId="3" borderId="149" xfId="0" applyNumberFormat="1" applyFont="1" applyFill="1" applyBorder="1" applyAlignment="1">
      <alignment vertical="center" shrinkToFit="1"/>
    </xf>
    <xf numFmtId="187" fontId="108" fillId="3" borderId="10" xfId="0" applyNumberFormat="1" applyFont="1" applyFill="1" applyBorder="1">
      <alignment vertical="center"/>
    </xf>
    <xf numFmtId="9" fontId="84" fillId="4" borderId="67" xfId="0" applyNumberFormat="1" applyFont="1" applyFill="1" applyBorder="1" applyAlignment="1">
      <alignment horizontal="right" vertical="center"/>
    </xf>
    <xf numFmtId="184" fontId="84" fillId="3" borderId="60" xfId="9" applyNumberFormat="1" applyFont="1" applyFill="1" applyBorder="1" applyAlignment="1">
      <alignment horizontal="right" vertical="center"/>
    </xf>
    <xf numFmtId="41" fontId="84" fillId="3" borderId="258" xfId="0" applyNumberFormat="1" applyFont="1" applyFill="1" applyBorder="1">
      <alignment vertical="center"/>
    </xf>
    <xf numFmtId="184" fontId="84" fillId="3" borderId="260" xfId="9" applyNumberFormat="1" applyFont="1" applyFill="1" applyBorder="1" applyAlignment="1">
      <alignment horizontal="right" vertical="center"/>
    </xf>
    <xf numFmtId="187" fontId="84" fillId="3" borderId="209" xfId="0" applyNumberFormat="1" applyFont="1" applyFill="1" applyBorder="1" applyAlignment="1">
      <alignment horizontal="left" vertical="center" indent="1"/>
    </xf>
    <xf numFmtId="184" fontId="84" fillId="3" borderId="210" xfId="9" applyNumberFormat="1" applyFont="1" applyFill="1" applyBorder="1" applyAlignment="1">
      <alignment horizontal="right" vertical="center" shrinkToFit="1"/>
    </xf>
    <xf numFmtId="184" fontId="84" fillId="3" borderId="22" xfId="9" applyNumberFormat="1" applyFont="1" applyFill="1" applyBorder="1" applyAlignment="1">
      <alignment horizontal="right" vertical="center" shrinkToFit="1"/>
    </xf>
    <xf numFmtId="185" fontId="84" fillId="3" borderId="128" xfId="0" applyNumberFormat="1" applyFont="1" applyFill="1" applyBorder="1" applyAlignment="1">
      <alignment vertical="center" shrinkToFit="1"/>
    </xf>
    <xf numFmtId="184" fontId="84" fillId="3" borderId="129" xfId="9" applyNumberFormat="1" applyFont="1" applyFill="1" applyBorder="1" applyAlignment="1">
      <alignment horizontal="right" vertical="center" shrinkToFit="1"/>
    </xf>
    <xf numFmtId="184" fontId="108" fillId="3" borderId="69" xfId="9" applyNumberFormat="1" applyFont="1" applyFill="1" applyBorder="1" applyAlignment="1">
      <alignment horizontal="right" vertical="center"/>
    </xf>
    <xf numFmtId="184" fontId="108" fillId="4" borderId="19" xfId="9" applyNumberFormat="1" applyFont="1" applyFill="1" applyBorder="1" applyAlignment="1">
      <alignment horizontal="right" vertical="center"/>
    </xf>
    <xf numFmtId="184" fontId="108" fillId="2" borderId="19" xfId="9" applyNumberFormat="1" applyFont="1" applyFill="1" applyBorder="1" applyAlignment="1">
      <alignment horizontal="right" vertical="center"/>
    </xf>
    <xf numFmtId="187" fontId="84" fillId="3" borderId="265" xfId="0" applyNumberFormat="1" applyFont="1" applyFill="1" applyBorder="1" applyAlignment="1">
      <alignment horizontal="left" vertical="center" indent="1"/>
    </xf>
    <xf numFmtId="185" fontId="84" fillId="3" borderId="149" xfId="0" applyNumberFormat="1" applyFont="1" applyFill="1" applyBorder="1" applyAlignment="1">
      <alignment vertical="center" shrinkToFit="1"/>
    </xf>
    <xf numFmtId="184" fontId="93" fillId="3" borderId="152" xfId="9" applyNumberFormat="1" applyFont="1" applyFill="1" applyBorder="1" applyAlignment="1">
      <alignment horizontal="right" vertical="center" shrinkToFit="1"/>
    </xf>
    <xf numFmtId="184" fontId="93" fillId="3" borderId="7" xfId="9" applyNumberFormat="1" applyFont="1" applyFill="1" applyBorder="1" applyAlignment="1">
      <alignment horizontal="right" vertical="center" shrinkToFit="1"/>
    </xf>
    <xf numFmtId="184" fontId="93" fillId="3" borderId="132" xfId="9" applyNumberFormat="1" applyFont="1" applyFill="1" applyBorder="1" applyAlignment="1">
      <alignment horizontal="right" vertical="center" shrinkToFit="1"/>
    </xf>
    <xf numFmtId="185" fontId="84" fillId="0" borderId="149" xfId="0" applyNumberFormat="1" applyFont="1" applyBorder="1" applyAlignment="1">
      <alignment vertical="center" shrinkToFit="1"/>
    </xf>
    <xf numFmtId="185" fontId="84" fillId="0" borderId="128" xfId="0" applyNumberFormat="1" applyFont="1" applyBorder="1" applyAlignment="1">
      <alignment vertical="center" shrinkToFit="1"/>
    </xf>
    <xf numFmtId="41" fontId="108" fillId="4" borderId="58" xfId="0" applyNumberFormat="1" applyFont="1" applyFill="1" applyBorder="1">
      <alignment vertical="center"/>
    </xf>
    <xf numFmtId="184" fontId="108" fillId="4" borderId="60" xfId="8" applyNumberFormat="1" applyFont="1" applyFill="1" applyBorder="1">
      <alignment vertical="center"/>
    </xf>
    <xf numFmtId="184" fontId="108" fillId="4" borderId="260" xfId="8" applyNumberFormat="1" applyFont="1" applyFill="1" applyBorder="1">
      <alignment vertical="center"/>
    </xf>
    <xf numFmtId="41" fontId="108" fillId="4" borderId="209" xfId="0" applyNumberFormat="1" applyFont="1" applyFill="1" applyBorder="1">
      <alignment vertical="center"/>
    </xf>
    <xf numFmtId="184" fontId="108" fillId="4" borderId="210" xfId="8" applyNumberFormat="1" applyFont="1" applyFill="1" applyBorder="1">
      <alignment vertical="center"/>
    </xf>
    <xf numFmtId="41" fontId="108" fillId="4" borderId="23" xfId="0" applyNumberFormat="1" applyFont="1" applyFill="1" applyBorder="1">
      <alignment vertical="center"/>
    </xf>
    <xf numFmtId="184" fontId="108" fillId="4" borderId="22" xfId="8" applyNumberFormat="1" applyFont="1" applyFill="1" applyBorder="1">
      <alignment vertical="center"/>
    </xf>
    <xf numFmtId="41" fontId="108" fillId="4" borderId="128" xfId="0" applyNumberFormat="1" applyFont="1" applyFill="1" applyBorder="1">
      <alignment vertical="center"/>
    </xf>
    <xf numFmtId="184" fontId="108" fillId="4" borderId="129" xfId="8" applyNumberFormat="1" applyFont="1" applyFill="1" applyBorder="1">
      <alignment vertical="center"/>
    </xf>
    <xf numFmtId="184" fontId="108" fillId="4" borderId="288" xfId="8" applyNumberFormat="1" applyFont="1" applyFill="1" applyBorder="1">
      <alignment vertical="center"/>
    </xf>
    <xf numFmtId="184" fontId="116" fillId="4" borderId="19" xfId="8" applyNumberFormat="1" applyFont="1" applyFill="1" applyBorder="1">
      <alignment vertical="center"/>
    </xf>
    <xf numFmtId="184" fontId="108" fillId="2" borderId="19" xfId="8" applyNumberFormat="1" applyFont="1" applyFill="1" applyBorder="1">
      <alignment vertical="center"/>
    </xf>
    <xf numFmtId="0" fontId="84" fillId="4" borderId="17" xfId="0" applyFont="1" applyFill="1" applyBorder="1" applyAlignment="1">
      <alignment horizontal="center" vertical="center"/>
    </xf>
    <xf numFmtId="41" fontId="116" fillId="4" borderId="285" xfId="0" applyNumberFormat="1" applyFont="1" applyFill="1" applyBorder="1">
      <alignment vertical="center"/>
    </xf>
    <xf numFmtId="9" fontId="116" fillId="4" borderId="281" xfId="8" applyFont="1" applyFill="1" applyBorder="1">
      <alignment vertical="center"/>
    </xf>
    <xf numFmtId="184" fontId="118" fillId="3" borderId="82" xfId="0" applyNumberFormat="1" applyFont="1" applyFill="1" applyBorder="1" applyAlignment="1">
      <alignment vertical="center" shrinkToFit="1"/>
    </xf>
    <xf numFmtId="184" fontId="118" fillId="3" borderId="7" xfId="0" applyNumberFormat="1" applyFont="1" applyFill="1" applyBorder="1" applyAlignment="1">
      <alignment vertical="center" shrinkToFit="1"/>
    </xf>
    <xf numFmtId="184" fontId="118" fillId="3" borderId="160" xfId="0" applyNumberFormat="1" applyFont="1" applyFill="1" applyBorder="1" applyAlignment="1">
      <alignment vertical="center" shrinkToFit="1"/>
    </xf>
    <xf numFmtId="184" fontId="128" fillId="4" borderId="20" xfId="0" applyNumberFormat="1" applyFont="1" applyFill="1" applyBorder="1" applyAlignment="1">
      <alignment vertical="center" shrinkToFit="1"/>
    </xf>
    <xf numFmtId="41" fontId="108" fillId="3" borderId="79" xfId="0" applyNumberFormat="1" applyFont="1" applyFill="1" applyBorder="1" applyAlignment="1">
      <alignment vertical="center" shrinkToFit="1"/>
    </xf>
    <xf numFmtId="41" fontId="84" fillId="3" borderId="161" xfId="0" applyNumberFormat="1" applyFont="1" applyFill="1" applyBorder="1" applyAlignment="1">
      <alignment vertical="center" shrinkToFit="1"/>
    </xf>
    <xf numFmtId="182" fontId="84" fillId="4" borderId="67" xfId="0" applyNumberFormat="1" applyFont="1" applyFill="1" applyBorder="1" applyAlignment="1">
      <alignment vertical="center" shrinkToFit="1"/>
    </xf>
    <xf numFmtId="184" fontId="84" fillId="3" borderId="53" xfId="0" applyNumberFormat="1" applyFont="1" applyFill="1" applyBorder="1" applyAlignment="1">
      <alignment vertical="center" shrinkToFit="1"/>
    </xf>
    <xf numFmtId="184" fontId="84" fillId="3" borderId="22" xfId="0" applyNumberFormat="1" applyFont="1" applyFill="1" applyBorder="1" applyAlignment="1">
      <alignment vertical="center" shrinkToFit="1"/>
    </xf>
    <xf numFmtId="41" fontId="108" fillId="3" borderId="23" xfId="0" applyNumberFormat="1" applyFont="1" applyFill="1" applyBorder="1" applyAlignment="1">
      <alignment vertical="center" shrinkToFit="1"/>
    </xf>
    <xf numFmtId="184" fontId="108" fillId="3" borderId="22" xfId="0" applyNumberFormat="1" applyFont="1" applyFill="1" applyBorder="1" applyAlignment="1">
      <alignment vertical="center" shrinkToFit="1"/>
    </xf>
    <xf numFmtId="41" fontId="84" fillId="3" borderId="150" xfId="0" applyNumberFormat="1" applyFont="1" applyFill="1" applyBorder="1" applyAlignment="1">
      <alignment vertical="center" shrinkToFit="1"/>
    </xf>
    <xf numFmtId="184" fontId="84" fillId="3" borderId="93" xfId="0" applyNumberFormat="1" applyFont="1" applyFill="1" applyBorder="1" applyAlignment="1">
      <alignment vertical="center" shrinkToFit="1"/>
    </xf>
    <xf numFmtId="184" fontId="108" fillId="4" borderId="19" xfId="0" applyNumberFormat="1" applyFont="1" applyFill="1" applyBorder="1" applyAlignment="1">
      <alignment vertical="center" shrinkToFit="1"/>
    </xf>
    <xf numFmtId="184" fontId="84" fillId="3" borderId="82" xfId="0" applyNumberFormat="1" applyFont="1" applyFill="1" applyBorder="1" applyAlignment="1">
      <alignment vertical="center" shrinkToFit="1"/>
    </xf>
    <xf numFmtId="184" fontId="84" fillId="3" borderId="7" xfId="0" applyNumberFormat="1" applyFont="1" applyFill="1" applyBorder="1" applyAlignment="1">
      <alignment vertical="center" shrinkToFit="1"/>
    </xf>
    <xf numFmtId="184" fontId="108" fillId="3" borderId="7" xfId="0" applyNumberFormat="1" applyFont="1" applyFill="1" applyBorder="1" applyAlignment="1">
      <alignment vertical="center" shrinkToFit="1"/>
    </xf>
    <xf numFmtId="184" fontId="84" fillId="3" borderId="160" xfId="0" applyNumberFormat="1" applyFont="1" applyFill="1" applyBorder="1" applyAlignment="1">
      <alignment vertical="center" shrinkToFit="1"/>
    </xf>
    <xf numFmtId="184" fontId="108" fillId="4" borderId="20" xfId="0" applyNumberFormat="1" applyFont="1" applyFill="1" applyBorder="1" applyAlignment="1">
      <alignment vertical="center" shrinkToFit="1"/>
    </xf>
    <xf numFmtId="41" fontId="93" fillId="3" borderId="79" xfId="0" applyNumberFormat="1" applyFont="1" applyFill="1" applyBorder="1" applyAlignment="1">
      <alignment vertical="center" shrinkToFit="1"/>
    </xf>
    <xf numFmtId="41" fontId="108" fillId="4" borderId="51" xfId="0" applyNumberFormat="1" applyFont="1" applyFill="1" applyBorder="1">
      <alignment vertical="center"/>
    </xf>
    <xf numFmtId="184" fontId="108" fillId="4" borderId="53" xfId="0" applyNumberFormat="1" applyFont="1" applyFill="1" applyBorder="1">
      <alignment vertical="center"/>
    </xf>
    <xf numFmtId="184" fontId="108" fillId="4" borderId="22" xfId="0" applyNumberFormat="1" applyFont="1" applyFill="1" applyBorder="1">
      <alignment vertical="center"/>
    </xf>
    <xf numFmtId="41" fontId="108" fillId="4" borderId="150" xfId="0" applyNumberFormat="1" applyFont="1" applyFill="1" applyBorder="1">
      <alignment vertical="center"/>
    </xf>
    <xf numFmtId="184" fontId="108" fillId="4" borderId="93" xfId="0" applyNumberFormat="1" applyFont="1" applyFill="1" applyBorder="1">
      <alignment vertical="center"/>
    </xf>
    <xf numFmtId="184" fontId="108" fillId="4" borderId="19" xfId="0" applyNumberFormat="1" applyFont="1" applyFill="1" applyBorder="1">
      <alignment vertical="center"/>
    </xf>
    <xf numFmtId="182" fontId="108" fillId="4" borderId="17" xfId="0" applyNumberFormat="1" applyFont="1" applyFill="1" applyBorder="1">
      <alignment vertical="center"/>
    </xf>
    <xf numFmtId="182" fontId="108" fillId="4" borderId="19" xfId="0" applyNumberFormat="1" applyFont="1" applyFill="1" applyBorder="1">
      <alignment vertical="center"/>
    </xf>
    <xf numFmtId="184" fontId="118" fillId="3" borderId="82" xfId="0" applyNumberFormat="1" applyFont="1" applyFill="1" applyBorder="1">
      <alignment vertical="center"/>
    </xf>
    <xf numFmtId="184" fontId="118" fillId="3" borderId="160" xfId="0" applyNumberFormat="1" applyFont="1" applyFill="1" applyBorder="1">
      <alignment vertical="center"/>
    </xf>
    <xf numFmtId="0" fontId="108" fillId="4" borderId="109" xfId="0" applyFont="1" applyFill="1" applyBorder="1" applyAlignment="1">
      <alignment horizontal="center" vertical="center"/>
    </xf>
    <xf numFmtId="41" fontId="108" fillId="4" borderId="86" xfId="0" applyNumberFormat="1" applyFont="1" applyFill="1" applyBorder="1">
      <alignment vertical="center"/>
    </xf>
    <xf numFmtId="184" fontId="108" fillId="4" borderId="54" xfId="0" applyNumberFormat="1" applyFont="1" applyFill="1" applyBorder="1">
      <alignment vertical="center"/>
    </xf>
    <xf numFmtId="184" fontId="84" fillId="3" borderId="82" xfId="0" applyNumberFormat="1" applyFont="1" applyFill="1" applyBorder="1">
      <alignment vertical="center"/>
    </xf>
    <xf numFmtId="184" fontId="84" fillId="3" borderId="8" xfId="0" applyNumberFormat="1" applyFont="1" applyFill="1" applyBorder="1">
      <alignment vertical="center"/>
    </xf>
    <xf numFmtId="184" fontId="84" fillId="3" borderId="160" xfId="0" applyNumberFormat="1" applyFont="1" applyFill="1" applyBorder="1">
      <alignment vertical="center"/>
    </xf>
    <xf numFmtId="41" fontId="93" fillId="3" borderId="81" xfId="0" applyNumberFormat="1" applyFont="1" applyFill="1" applyBorder="1">
      <alignment vertical="center"/>
    </xf>
    <xf numFmtId="41" fontId="93" fillId="3" borderId="161" xfId="0" applyNumberFormat="1" applyFont="1" applyFill="1" applyBorder="1">
      <alignment vertical="center"/>
    </xf>
    <xf numFmtId="41" fontId="84" fillId="3" borderId="51" xfId="0" applyNumberFormat="1" applyFont="1" applyFill="1" applyBorder="1">
      <alignment vertical="center"/>
    </xf>
    <xf numFmtId="184" fontId="84" fillId="3" borderId="53" xfId="0" applyNumberFormat="1" applyFont="1" applyFill="1" applyBorder="1">
      <alignment vertical="center"/>
    </xf>
    <xf numFmtId="184" fontId="84" fillId="3" borderId="69" xfId="0" applyNumberFormat="1" applyFont="1" applyFill="1" applyBorder="1">
      <alignment vertical="center"/>
    </xf>
    <xf numFmtId="41" fontId="84" fillId="3" borderId="150" xfId="0" applyNumberFormat="1" applyFont="1" applyFill="1" applyBorder="1">
      <alignment vertical="center"/>
    </xf>
    <xf numFmtId="184" fontId="84" fillId="3" borderId="93" xfId="0" applyNumberFormat="1" applyFont="1" applyFill="1" applyBorder="1">
      <alignment vertical="center"/>
    </xf>
    <xf numFmtId="41" fontId="93" fillId="3" borderId="67" xfId="0" applyNumberFormat="1" applyFont="1" applyFill="1" applyBorder="1">
      <alignment vertical="center"/>
    </xf>
    <xf numFmtId="184" fontId="84" fillId="3" borderId="19" xfId="0" applyNumberFormat="1" applyFont="1" applyFill="1" applyBorder="1">
      <alignment vertical="center"/>
    </xf>
    <xf numFmtId="41" fontId="84" fillId="3" borderId="67" xfId="0" applyNumberFormat="1" applyFont="1" applyFill="1" applyBorder="1">
      <alignment vertical="center"/>
    </xf>
    <xf numFmtId="41" fontId="84" fillId="3" borderId="81" xfId="0" applyNumberFormat="1" applyFont="1" applyFill="1" applyBorder="1">
      <alignment vertical="center"/>
    </xf>
    <xf numFmtId="41" fontId="84" fillId="3" borderId="161" xfId="0" applyNumberFormat="1" applyFont="1" applyFill="1" applyBorder="1">
      <alignment vertical="center"/>
    </xf>
    <xf numFmtId="184" fontId="108" fillId="4" borderId="67" xfId="0" applyNumberFormat="1" applyFont="1" applyFill="1" applyBorder="1">
      <alignment vertical="center"/>
    </xf>
    <xf numFmtId="184" fontId="108" fillId="4" borderId="20" xfId="0" applyNumberFormat="1" applyFont="1" applyFill="1" applyBorder="1">
      <alignment vertical="center"/>
    </xf>
    <xf numFmtId="184" fontId="108" fillId="4" borderId="17" xfId="0" applyNumberFormat="1" applyFont="1" applyFill="1" applyBorder="1">
      <alignment vertical="center"/>
    </xf>
    <xf numFmtId="184" fontId="129" fillId="4" borderId="67" xfId="0" applyNumberFormat="1" applyFont="1" applyFill="1" applyBorder="1">
      <alignment vertical="center"/>
    </xf>
    <xf numFmtId="184" fontId="129" fillId="4" borderId="20" xfId="0" applyNumberFormat="1" applyFont="1" applyFill="1" applyBorder="1">
      <alignment vertical="center"/>
    </xf>
    <xf numFmtId="184" fontId="129" fillId="4" borderId="17" xfId="0" applyNumberFormat="1" applyFont="1" applyFill="1" applyBorder="1">
      <alignment vertical="center"/>
    </xf>
    <xf numFmtId="184" fontId="129" fillId="4" borderId="18" xfId="0" applyNumberFormat="1" applyFont="1" applyFill="1" applyBorder="1">
      <alignment vertical="center"/>
    </xf>
    <xf numFmtId="184" fontId="129" fillId="4" borderId="19" xfId="0" applyNumberFormat="1" applyFont="1" applyFill="1" applyBorder="1">
      <alignment vertical="center"/>
    </xf>
    <xf numFmtId="184" fontId="84" fillId="0" borderId="0" xfId="0" applyNumberFormat="1" applyFont="1">
      <alignment vertical="center"/>
    </xf>
    <xf numFmtId="41" fontId="84" fillId="0" borderId="257" xfId="0" applyNumberFormat="1" applyFont="1" applyBorder="1">
      <alignment vertical="center"/>
    </xf>
    <xf numFmtId="41" fontId="84" fillId="40" borderId="257" xfId="0" applyNumberFormat="1" applyFont="1" applyFill="1" applyBorder="1">
      <alignment vertical="center"/>
    </xf>
    <xf numFmtId="41" fontId="84" fillId="40" borderId="1" xfId="0" applyNumberFormat="1" applyFont="1" applyFill="1" applyBorder="1">
      <alignment vertical="center"/>
    </xf>
    <xf numFmtId="9" fontId="84" fillId="40" borderId="5" xfId="0" applyNumberFormat="1" applyFont="1" applyFill="1" applyBorder="1">
      <alignment vertical="center"/>
    </xf>
    <xf numFmtId="184" fontId="84" fillId="40" borderId="257" xfId="0" applyNumberFormat="1" applyFont="1" applyFill="1" applyBorder="1">
      <alignment vertical="center"/>
    </xf>
    <xf numFmtId="184" fontId="84" fillId="0" borderId="5" xfId="0" applyNumberFormat="1" applyFont="1" applyBorder="1">
      <alignment vertical="center"/>
    </xf>
    <xf numFmtId="184" fontId="84" fillId="40" borderId="5" xfId="0" applyNumberFormat="1" applyFont="1" applyFill="1" applyBorder="1">
      <alignment vertical="center"/>
    </xf>
    <xf numFmtId="184" fontId="84" fillId="0" borderId="1" xfId="0" applyNumberFormat="1" applyFont="1" applyBorder="1">
      <alignment vertical="center"/>
    </xf>
    <xf numFmtId="184" fontId="84" fillId="40" borderId="1" xfId="0" applyNumberFormat="1" applyFont="1" applyFill="1" applyBorder="1">
      <alignment vertical="center"/>
    </xf>
    <xf numFmtId="184" fontId="108" fillId="40" borderId="5" xfId="0" applyNumberFormat="1" applyFont="1" applyFill="1" applyBorder="1">
      <alignment vertical="center"/>
    </xf>
    <xf numFmtId="184" fontId="108" fillId="0" borderId="257" xfId="0" applyNumberFormat="1" applyFont="1" applyBorder="1">
      <alignment vertical="center"/>
    </xf>
    <xf numFmtId="184" fontId="108" fillId="40" borderId="257" xfId="0" applyNumberFormat="1" applyFont="1" applyFill="1" applyBorder="1">
      <alignment vertical="center"/>
    </xf>
    <xf numFmtId="0" fontId="108" fillId="4" borderId="282" xfId="0" applyFont="1" applyFill="1" applyBorder="1" applyAlignment="1">
      <alignment horizontal="center" vertical="center"/>
    </xf>
    <xf numFmtId="0" fontId="108" fillId="4" borderId="281" xfId="0" applyFont="1" applyFill="1" applyBorder="1" applyAlignment="1">
      <alignment horizontal="center" vertical="center"/>
    </xf>
    <xf numFmtId="41" fontId="84" fillId="40" borderId="27" xfId="0" applyNumberFormat="1" applyFont="1" applyFill="1" applyBorder="1">
      <alignment vertical="center"/>
    </xf>
    <xf numFmtId="184" fontId="108" fillId="0" borderId="263" xfId="0" applyNumberFormat="1" applyFont="1" applyBorder="1">
      <alignment vertical="center"/>
    </xf>
    <xf numFmtId="184" fontId="108" fillId="40" borderId="263" xfId="0" applyNumberFormat="1" applyFont="1" applyFill="1" applyBorder="1">
      <alignment vertical="center"/>
    </xf>
    <xf numFmtId="41" fontId="84" fillId="0" borderId="263" xfId="0" applyNumberFormat="1" applyFont="1" applyBorder="1">
      <alignment vertical="center"/>
    </xf>
    <xf numFmtId="41" fontId="116" fillId="4" borderId="272" xfId="0" applyNumberFormat="1" applyFont="1" applyFill="1" applyBorder="1">
      <alignment vertical="center"/>
    </xf>
    <xf numFmtId="184" fontId="84" fillId="40" borderId="27" xfId="0" applyNumberFormat="1" applyFont="1" applyFill="1" applyBorder="1">
      <alignment vertical="center"/>
    </xf>
    <xf numFmtId="9" fontId="84" fillId="0" borderId="112" xfId="0" applyNumberFormat="1" applyFont="1" applyBorder="1">
      <alignment vertical="center"/>
    </xf>
    <xf numFmtId="9" fontId="84" fillId="40" borderId="112" xfId="0" applyNumberFormat="1" applyFont="1" applyFill="1" applyBorder="1">
      <alignment vertical="center"/>
    </xf>
    <xf numFmtId="182" fontId="84" fillId="2" borderId="282" xfId="0" applyNumberFormat="1" applyFont="1" applyFill="1" applyBorder="1">
      <alignment vertical="center"/>
    </xf>
    <xf numFmtId="9" fontId="84" fillId="0" borderId="24" xfId="0" applyNumberFormat="1" applyFont="1" applyBorder="1">
      <alignment vertical="center"/>
    </xf>
    <xf numFmtId="184" fontId="84" fillId="0" borderId="24" xfId="0" applyNumberFormat="1" applyFont="1" applyBorder="1">
      <alignment vertical="center"/>
    </xf>
    <xf numFmtId="184" fontId="84" fillId="2" borderId="290" xfId="0" applyNumberFormat="1" applyFont="1" applyFill="1" applyBorder="1">
      <alignment vertical="center"/>
    </xf>
    <xf numFmtId="184" fontId="84" fillId="2" borderId="25" xfId="0" applyNumberFormat="1" applyFont="1" applyFill="1" applyBorder="1">
      <alignment vertical="center"/>
    </xf>
    <xf numFmtId="182" fontId="108" fillId="3" borderId="290" xfId="0" applyNumberFormat="1" applyFont="1" applyFill="1" applyBorder="1">
      <alignment vertical="center"/>
    </xf>
    <xf numFmtId="182" fontId="84" fillId="10" borderId="5" xfId="0" applyNumberFormat="1" applyFont="1" applyFill="1" applyBorder="1">
      <alignment vertical="center"/>
    </xf>
    <xf numFmtId="184" fontId="84" fillId="10" borderId="257" xfId="0" applyNumberFormat="1" applyFont="1" applyFill="1" applyBorder="1">
      <alignment vertical="center"/>
    </xf>
    <xf numFmtId="184" fontId="84" fillId="10" borderId="5" xfId="0" applyNumberFormat="1" applyFont="1" applyFill="1" applyBorder="1">
      <alignment vertical="center"/>
    </xf>
    <xf numFmtId="184" fontId="84" fillId="10" borderId="259" xfId="0" applyNumberFormat="1" applyFont="1" applyFill="1" applyBorder="1">
      <alignment vertical="center"/>
    </xf>
    <xf numFmtId="184" fontId="84" fillId="10" borderId="1" xfId="0" applyNumberFormat="1" applyFont="1" applyFill="1" applyBorder="1">
      <alignment vertical="center"/>
    </xf>
    <xf numFmtId="184" fontId="108" fillId="10" borderId="5" xfId="0" applyNumberFormat="1" applyFont="1" applyFill="1" applyBorder="1">
      <alignment vertical="center"/>
    </xf>
    <xf numFmtId="184" fontId="108" fillId="10" borderId="259" xfId="0" applyNumberFormat="1" applyFont="1" applyFill="1" applyBorder="1">
      <alignment vertical="center"/>
    </xf>
    <xf numFmtId="184" fontId="108" fillId="10" borderId="257" xfId="0" applyNumberFormat="1" applyFont="1" applyFill="1" applyBorder="1">
      <alignment vertical="center"/>
    </xf>
    <xf numFmtId="184" fontId="84" fillId="10" borderId="27" xfId="0" applyNumberFormat="1" applyFont="1" applyFill="1" applyBorder="1">
      <alignment vertical="center"/>
    </xf>
    <xf numFmtId="184" fontId="108" fillId="10" borderId="263" xfId="0" applyNumberFormat="1" applyFont="1" applyFill="1" applyBorder="1">
      <alignment vertical="center"/>
    </xf>
    <xf numFmtId="9" fontId="84" fillId="10" borderId="112" xfId="0" applyNumberFormat="1" applyFont="1" applyFill="1" applyBorder="1">
      <alignment vertical="center"/>
    </xf>
    <xf numFmtId="9" fontId="84" fillId="10" borderId="259" xfId="0" applyNumberFormat="1" applyFont="1" applyFill="1" applyBorder="1">
      <alignment vertical="center"/>
    </xf>
    <xf numFmtId="182" fontId="84" fillId="40" borderId="25" xfId="8" applyNumberFormat="1" applyFont="1" applyFill="1" applyBorder="1">
      <alignment vertical="center"/>
    </xf>
    <xf numFmtId="182" fontId="84" fillId="40" borderId="24" xfId="8" applyNumberFormat="1" applyFont="1" applyFill="1" applyBorder="1">
      <alignment vertical="center"/>
    </xf>
    <xf numFmtId="182" fontId="84" fillId="40" borderId="5" xfId="8" applyNumberFormat="1" applyFont="1" applyFill="1" applyBorder="1">
      <alignment vertical="center"/>
    </xf>
    <xf numFmtId="182" fontId="84" fillId="40" borderId="110" xfId="8" applyNumberFormat="1" applyFont="1" applyFill="1" applyBorder="1">
      <alignment vertical="center"/>
    </xf>
    <xf numFmtId="182" fontId="84" fillId="40" borderId="283" xfId="8" applyNumberFormat="1" applyFont="1" applyFill="1" applyBorder="1">
      <alignment vertical="center"/>
    </xf>
    <xf numFmtId="182" fontId="84" fillId="40" borderId="267" xfId="8" applyNumberFormat="1" applyFont="1" applyFill="1" applyBorder="1">
      <alignment vertical="center"/>
    </xf>
    <xf numFmtId="182" fontId="108" fillId="40" borderId="110" xfId="8" applyNumberFormat="1" applyFont="1" applyFill="1" applyBorder="1">
      <alignment vertical="center"/>
    </xf>
    <xf numFmtId="182" fontId="108" fillId="40" borderId="267" xfId="8" applyNumberFormat="1" applyFont="1" applyFill="1" applyBorder="1">
      <alignment vertical="center"/>
    </xf>
    <xf numFmtId="182" fontId="108" fillId="40" borderId="283" xfId="8" applyNumberFormat="1" applyFont="1" applyFill="1" applyBorder="1">
      <alignment vertical="center"/>
    </xf>
    <xf numFmtId="182" fontId="108" fillId="40" borderId="290" xfId="8" applyNumberFormat="1" applyFont="1" applyFill="1" applyBorder="1">
      <alignment vertical="center"/>
    </xf>
    <xf numFmtId="182" fontId="84" fillId="40" borderId="112" xfId="8" applyNumberFormat="1" applyFont="1" applyFill="1" applyBorder="1">
      <alignment vertical="center"/>
    </xf>
    <xf numFmtId="182" fontId="84" fillId="40" borderId="32" xfId="8" applyNumberFormat="1" applyFont="1" applyFill="1" applyBorder="1">
      <alignment vertical="center"/>
    </xf>
    <xf numFmtId="182" fontId="84" fillId="40" borderId="259" xfId="8" applyNumberFormat="1" applyFont="1" applyFill="1" applyBorder="1">
      <alignment vertical="center"/>
    </xf>
    <xf numFmtId="182" fontId="84" fillId="40" borderId="260" xfId="8" applyNumberFormat="1" applyFont="1" applyFill="1" applyBorder="1">
      <alignment vertical="center"/>
    </xf>
    <xf numFmtId="182" fontId="84" fillId="2" borderId="282" xfId="8" applyNumberFormat="1" applyFont="1" applyFill="1" applyBorder="1">
      <alignment vertical="center"/>
    </xf>
    <xf numFmtId="182" fontId="84" fillId="2" borderId="281" xfId="8" applyNumberFormat="1" applyFont="1" applyFill="1" applyBorder="1">
      <alignment vertical="center"/>
    </xf>
    <xf numFmtId="0" fontId="84" fillId="4" borderId="15" xfId="0" applyFont="1" applyFill="1" applyBorder="1" applyAlignment="1">
      <alignment horizontal="left" vertical="center" indent="1"/>
    </xf>
    <xf numFmtId="0" fontId="116" fillId="4" borderId="286" xfId="0" applyFont="1" applyFill="1" applyBorder="1" applyAlignment="1">
      <alignment horizontal="center" vertical="center"/>
    </xf>
    <xf numFmtId="0" fontId="108" fillId="4" borderId="276" xfId="0" applyFont="1" applyFill="1" applyBorder="1" applyAlignment="1">
      <alignment horizontal="center" vertical="center"/>
    </xf>
    <xf numFmtId="41" fontId="84" fillId="0" borderId="26" xfId="0" applyNumberFormat="1" applyFont="1" applyBorder="1">
      <alignment vertical="center"/>
    </xf>
    <xf numFmtId="41" fontId="84" fillId="0" borderId="279" xfId="0" applyNumberFormat="1" applyFont="1" applyBorder="1">
      <alignment vertical="center"/>
    </xf>
    <xf numFmtId="184" fontId="84" fillId="0" borderId="279" xfId="0" applyNumberFormat="1" applyFont="1" applyBorder="1">
      <alignment vertical="center"/>
    </xf>
    <xf numFmtId="184" fontId="84" fillId="0" borderId="56" xfId="0" applyNumberFormat="1" applyFont="1" applyBorder="1">
      <alignment vertical="center"/>
    </xf>
    <xf numFmtId="184" fontId="84" fillId="0" borderId="261" xfId="0" applyNumberFormat="1" applyFont="1" applyBorder="1">
      <alignment vertical="center"/>
    </xf>
    <xf numFmtId="184" fontId="84" fillId="0" borderId="10" xfId="0" applyNumberFormat="1" applyFont="1" applyBorder="1">
      <alignment vertical="center"/>
    </xf>
    <xf numFmtId="184" fontId="108" fillId="0" borderId="56" xfId="0" applyNumberFormat="1" applyFont="1" applyBorder="1">
      <alignment vertical="center"/>
    </xf>
    <xf numFmtId="184" fontId="108" fillId="0" borderId="261" xfId="0" applyNumberFormat="1" applyFont="1" applyBorder="1">
      <alignment vertical="center"/>
    </xf>
    <xf numFmtId="184" fontId="108" fillId="0" borderId="279" xfId="0" applyNumberFormat="1" applyFont="1" applyBorder="1">
      <alignment vertical="center"/>
    </xf>
    <xf numFmtId="184" fontId="84" fillId="0" borderId="26" xfId="0" applyNumberFormat="1" applyFont="1" applyBorder="1">
      <alignment vertical="center"/>
    </xf>
    <xf numFmtId="184" fontId="108" fillId="0" borderId="280" xfId="0" applyNumberFormat="1" applyFont="1" applyBorder="1">
      <alignment vertical="center"/>
    </xf>
    <xf numFmtId="0" fontId="108" fillId="4" borderId="285" xfId="0" applyFont="1" applyFill="1" applyBorder="1" applyAlignment="1">
      <alignment horizontal="center" vertical="center"/>
    </xf>
    <xf numFmtId="182" fontId="84" fillId="0" borderId="35" xfId="0" applyNumberFormat="1" applyFont="1" applyBorder="1">
      <alignment vertical="center"/>
    </xf>
    <xf numFmtId="182" fontId="84" fillId="40" borderId="47" xfId="8" applyNumberFormat="1" applyFont="1" applyFill="1" applyBorder="1">
      <alignment vertical="center"/>
    </xf>
    <xf numFmtId="184" fontId="108" fillId="0" borderId="256" xfId="0" applyNumberFormat="1" applyFont="1" applyBorder="1">
      <alignment vertical="center"/>
    </xf>
    <xf numFmtId="184" fontId="108" fillId="40" borderId="255" xfId="0" applyNumberFormat="1" applyFont="1" applyFill="1" applyBorder="1">
      <alignment vertical="center"/>
    </xf>
    <xf numFmtId="0" fontId="108" fillId="4" borderId="287" xfId="0" applyFont="1" applyFill="1" applyBorder="1" applyAlignment="1">
      <alignment horizontal="center" vertical="center"/>
    </xf>
    <xf numFmtId="182" fontId="84" fillId="40" borderId="42" xfId="8" applyNumberFormat="1" applyFont="1" applyFill="1" applyBorder="1">
      <alignment vertical="center"/>
    </xf>
    <xf numFmtId="184" fontId="108" fillId="40" borderId="278" xfId="0" applyNumberFormat="1" applyFont="1" applyFill="1" applyBorder="1">
      <alignment vertical="center"/>
    </xf>
    <xf numFmtId="9" fontId="84" fillId="0" borderId="113" xfId="0" applyNumberFormat="1" applyFont="1" applyBorder="1">
      <alignment vertical="center"/>
    </xf>
    <xf numFmtId="9" fontId="84" fillId="0" borderId="261" xfId="0" applyNumberFormat="1" applyFont="1" applyBorder="1">
      <alignment vertical="center"/>
    </xf>
    <xf numFmtId="182" fontId="84" fillId="2" borderId="276" xfId="0" applyNumberFormat="1" applyFont="1" applyFill="1" applyBorder="1">
      <alignment vertical="center"/>
    </xf>
    <xf numFmtId="9" fontId="84" fillId="0" borderId="109" xfId="0" applyNumberFormat="1" applyFont="1" applyBorder="1">
      <alignment vertical="center"/>
    </xf>
    <xf numFmtId="9" fontId="84" fillId="0" borderId="258" xfId="0" applyNumberFormat="1" applyFont="1" applyBorder="1">
      <alignment vertical="center"/>
    </xf>
    <xf numFmtId="182" fontId="84" fillId="40" borderId="41" xfId="8" applyNumberFormat="1" applyFont="1" applyFill="1" applyBorder="1">
      <alignment vertical="center"/>
    </xf>
    <xf numFmtId="182" fontId="84" fillId="40" borderId="270" xfId="8" applyNumberFormat="1" applyFont="1" applyFill="1" applyBorder="1">
      <alignment vertical="center"/>
    </xf>
    <xf numFmtId="182" fontId="84" fillId="2" borderId="287" xfId="8" applyNumberFormat="1" applyFont="1" applyFill="1" applyBorder="1">
      <alignment vertical="center"/>
    </xf>
    <xf numFmtId="0" fontId="84" fillId="4" borderId="262" xfId="0" applyFont="1" applyFill="1" applyBorder="1" applyAlignment="1">
      <alignment horizontal="left" vertical="center" indent="1"/>
    </xf>
    <xf numFmtId="182" fontId="108" fillId="3" borderId="263" xfId="0" applyNumberFormat="1" applyFont="1" applyFill="1" applyBorder="1">
      <alignment vertical="center"/>
    </xf>
    <xf numFmtId="182" fontId="108" fillId="10" borderId="263" xfId="0" applyNumberFormat="1" applyFont="1" applyFill="1" applyBorder="1">
      <alignment vertical="center"/>
    </xf>
    <xf numFmtId="182" fontId="108" fillId="3" borderId="288" xfId="0" applyNumberFormat="1" applyFont="1" applyFill="1" applyBorder="1">
      <alignment vertical="center"/>
    </xf>
    <xf numFmtId="182" fontId="108" fillId="3" borderId="273" xfId="0" applyNumberFormat="1" applyFont="1" applyFill="1" applyBorder="1">
      <alignment vertical="center"/>
    </xf>
    <xf numFmtId="182" fontId="108" fillId="3" borderId="280" xfId="0" applyNumberFormat="1" applyFont="1" applyFill="1" applyBorder="1">
      <alignment vertical="center"/>
    </xf>
    <xf numFmtId="182" fontId="108" fillId="10" borderId="18" xfId="0" applyNumberFormat="1" applyFont="1" applyFill="1" applyBorder="1">
      <alignment vertical="center"/>
    </xf>
    <xf numFmtId="182" fontId="108" fillId="3" borderId="20" xfId="0" applyNumberFormat="1" applyFont="1" applyFill="1" applyBorder="1">
      <alignment vertical="center"/>
    </xf>
    <xf numFmtId="182" fontId="108" fillId="3" borderId="16" xfId="0" applyNumberFormat="1" applyFont="1" applyFill="1" applyBorder="1">
      <alignment vertical="center"/>
    </xf>
    <xf numFmtId="0" fontId="108" fillId="4" borderId="15" xfId="0" applyFont="1" applyFill="1" applyBorder="1" applyAlignment="1">
      <alignment horizontal="centerContinuous" vertical="center"/>
    </xf>
    <xf numFmtId="0" fontId="108" fillId="4" borderId="16" xfId="0" applyFont="1" applyFill="1" applyBorder="1" applyAlignment="1">
      <alignment horizontal="centerContinuous" vertical="center"/>
    </xf>
    <xf numFmtId="41" fontId="84" fillId="3" borderId="209" xfId="0" applyNumberFormat="1" applyFont="1" applyFill="1" applyBorder="1">
      <alignment vertical="center"/>
    </xf>
    <xf numFmtId="185" fontId="108" fillId="3" borderId="55" xfId="0" applyNumberFormat="1" applyFont="1" applyFill="1" applyBorder="1">
      <alignment vertical="center"/>
    </xf>
    <xf numFmtId="9" fontId="84" fillId="0" borderId="0" xfId="0" applyNumberFormat="1" applyFont="1" applyAlignment="1">
      <alignment vertical="center" shrinkToFit="1"/>
    </xf>
    <xf numFmtId="184" fontId="84" fillId="3" borderId="18" xfId="0" applyNumberFormat="1" applyFont="1" applyFill="1" applyBorder="1">
      <alignment vertical="center"/>
    </xf>
    <xf numFmtId="41" fontId="84" fillId="10" borderId="67" xfId="0" applyNumberFormat="1" applyFont="1" applyFill="1" applyBorder="1">
      <alignment vertical="center"/>
    </xf>
    <xf numFmtId="198" fontId="84" fillId="0" borderId="0" xfId="0" applyNumberFormat="1" applyFont="1">
      <alignment vertical="center"/>
    </xf>
    <xf numFmtId="41" fontId="16" fillId="26" borderId="67" xfId="0" applyNumberFormat="1" applyFont="1" applyFill="1" applyBorder="1" applyAlignment="1"/>
    <xf numFmtId="41" fontId="84" fillId="2" borderId="7" xfId="0" applyNumberFormat="1" applyFont="1" applyFill="1" applyBorder="1">
      <alignment vertical="center"/>
    </xf>
    <xf numFmtId="42" fontId="84" fillId="2" borderId="132" xfId="0" applyNumberFormat="1" applyFont="1" applyFill="1" applyBorder="1">
      <alignment vertical="center"/>
    </xf>
    <xf numFmtId="0" fontId="84" fillId="2" borderId="7" xfId="0" applyFont="1" applyFill="1" applyBorder="1">
      <alignment vertical="center"/>
    </xf>
    <xf numFmtId="41" fontId="118" fillId="32" borderId="257" xfId="0" applyNumberFormat="1" applyFont="1" applyFill="1" applyBorder="1">
      <alignment vertical="center"/>
    </xf>
    <xf numFmtId="41" fontId="84" fillId="32" borderId="283" xfId="0" applyNumberFormat="1" applyFont="1" applyFill="1" applyBorder="1">
      <alignment vertical="center"/>
    </xf>
    <xf numFmtId="41" fontId="86" fillId="31" borderId="130" xfId="0" applyNumberFormat="1" applyFont="1" applyFill="1" applyBorder="1">
      <alignment vertical="center"/>
    </xf>
    <xf numFmtId="41" fontId="118" fillId="3" borderId="28" xfId="0" applyNumberFormat="1" applyFont="1" applyFill="1" applyBorder="1">
      <alignment vertical="center"/>
    </xf>
    <xf numFmtId="41" fontId="118" fillId="3" borderId="65" xfId="0" applyNumberFormat="1" applyFont="1" applyFill="1" applyBorder="1">
      <alignment vertical="center"/>
    </xf>
    <xf numFmtId="41" fontId="118" fillId="2" borderId="8" xfId="0" applyNumberFormat="1" applyFont="1" applyFill="1" applyBorder="1">
      <alignment vertical="center"/>
    </xf>
    <xf numFmtId="9" fontId="118" fillId="3" borderId="42" xfId="0" applyNumberFormat="1" applyFont="1" applyFill="1" applyBorder="1">
      <alignment vertical="center"/>
    </xf>
    <xf numFmtId="41" fontId="118" fillId="3" borderId="63" xfId="0" applyNumberFormat="1" applyFont="1" applyFill="1" applyBorder="1">
      <alignment vertical="center"/>
    </xf>
    <xf numFmtId="184" fontId="118" fillId="3" borderId="63" xfId="0" applyNumberFormat="1" applyFont="1" applyFill="1" applyBorder="1">
      <alignment vertical="center"/>
    </xf>
    <xf numFmtId="184" fontId="118" fillId="3" borderId="48" xfId="0" applyNumberFormat="1" applyFont="1" applyFill="1" applyBorder="1">
      <alignment vertical="center"/>
    </xf>
    <xf numFmtId="184" fontId="128" fillId="3" borderId="42" xfId="0" applyNumberFormat="1" applyFont="1" applyFill="1" applyBorder="1">
      <alignment vertical="center"/>
    </xf>
    <xf numFmtId="184" fontId="128" fillId="3" borderId="48" xfId="0" applyNumberFormat="1" applyFont="1" applyFill="1" applyBorder="1">
      <alignment vertical="center"/>
    </xf>
    <xf numFmtId="184" fontId="128" fillId="3" borderId="43" xfId="0" applyNumberFormat="1" applyFont="1" applyFill="1" applyBorder="1">
      <alignment vertical="center"/>
    </xf>
    <xf numFmtId="41" fontId="118" fillId="10" borderId="26" xfId="0" applyNumberFormat="1" applyFont="1" applyFill="1" applyBorder="1">
      <alignment vertical="center"/>
    </xf>
    <xf numFmtId="41" fontId="128" fillId="3" borderId="91" xfId="0" applyNumberFormat="1" applyFont="1" applyFill="1" applyBorder="1" applyAlignment="1">
      <alignment horizontal="center" vertical="center"/>
    </xf>
    <xf numFmtId="184" fontId="118" fillId="3" borderId="109" xfId="0" applyNumberFormat="1" applyFont="1" applyFill="1" applyBorder="1" applyAlignment="1">
      <alignment horizontal="right" vertical="center"/>
    </xf>
    <xf numFmtId="184" fontId="118" fillId="10" borderId="258" xfId="0" applyNumberFormat="1" applyFont="1" applyFill="1" applyBorder="1" applyAlignment="1">
      <alignment horizontal="right" vertical="center"/>
    </xf>
    <xf numFmtId="184" fontId="118" fillId="3" borderId="258" xfId="0" applyNumberFormat="1" applyFont="1" applyFill="1" applyBorder="1" applyAlignment="1">
      <alignment horizontal="right" vertical="center"/>
    </xf>
    <xf numFmtId="184" fontId="118" fillId="3" borderId="294" xfId="0" applyNumberFormat="1" applyFont="1" applyFill="1" applyBorder="1" applyAlignment="1">
      <alignment horizontal="right" vertical="center"/>
    </xf>
    <xf numFmtId="184" fontId="118" fillId="3" borderId="282" xfId="0" applyNumberFormat="1" applyFont="1" applyFill="1" applyBorder="1" applyAlignment="1">
      <alignment horizontal="right" vertical="center"/>
    </xf>
    <xf numFmtId="41" fontId="84" fillId="42" borderId="114" xfId="0" applyNumberFormat="1" applyFont="1" applyFill="1" applyBorder="1">
      <alignment vertical="center"/>
    </xf>
    <xf numFmtId="41" fontId="84" fillId="42" borderId="122" xfId="0" applyNumberFormat="1" applyFont="1" applyFill="1" applyBorder="1">
      <alignment vertical="center"/>
    </xf>
    <xf numFmtId="41" fontId="118" fillId="3" borderId="61" xfId="0" applyNumberFormat="1" applyFont="1" applyFill="1" applyBorder="1" applyAlignment="1">
      <alignment horizontal="left" vertical="center" indent="1"/>
    </xf>
    <xf numFmtId="185" fontId="128" fillId="3" borderId="77" xfId="0" applyNumberFormat="1" applyFont="1" applyFill="1" applyBorder="1">
      <alignment vertical="center"/>
    </xf>
    <xf numFmtId="0" fontId="86" fillId="31" borderId="1" xfId="0" applyFont="1" applyFill="1" applyBorder="1" applyAlignment="1">
      <alignment horizontal="center" vertical="center"/>
    </xf>
    <xf numFmtId="41" fontId="118" fillId="30" borderId="126" xfId="0" applyNumberFormat="1" applyFont="1" applyFill="1" applyBorder="1">
      <alignment vertical="center"/>
    </xf>
    <xf numFmtId="41" fontId="118" fillId="30" borderId="7" xfId="0" quotePrefix="1" applyNumberFormat="1" applyFont="1" applyFill="1" applyBorder="1">
      <alignment vertical="center"/>
    </xf>
    <xf numFmtId="41" fontId="118" fillId="30" borderId="22" xfId="0" applyNumberFormat="1" applyFont="1" applyFill="1" applyBorder="1">
      <alignment vertical="center"/>
    </xf>
    <xf numFmtId="41" fontId="118" fillId="30" borderId="3" xfId="0" applyNumberFormat="1" applyFont="1" applyFill="1" applyBorder="1">
      <alignment vertical="center"/>
    </xf>
    <xf numFmtId="41" fontId="312" fillId="30" borderId="126" xfId="0" applyNumberFormat="1" applyFont="1" applyFill="1" applyBorder="1">
      <alignment vertical="center"/>
    </xf>
    <xf numFmtId="41" fontId="84" fillId="30" borderId="121" xfId="0" applyNumberFormat="1" applyFont="1" applyFill="1" applyBorder="1">
      <alignment vertical="center"/>
    </xf>
    <xf numFmtId="41" fontId="84" fillId="30" borderId="3" xfId="0" applyNumberFormat="1" applyFont="1" applyFill="1" applyBorder="1">
      <alignment vertical="center"/>
    </xf>
    <xf numFmtId="41" fontId="84" fillId="30" borderId="126" xfId="0" applyNumberFormat="1" applyFont="1" applyFill="1" applyBorder="1">
      <alignment vertical="center"/>
    </xf>
    <xf numFmtId="41" fontId="84" fillId="30" borderId="7" xfId="0" applyNumberFormat="1" applyFont="1" applyFill="1" applyBorder="1">
      <alignment vertical="center"/>
    </xf>
    <xf numFmtId="41" fontId="84" fillId="30" borderId="22" xfId="0" applyNumberFormat="1" applyFont="1" applyFill="1" applyBorder="1">
      <alignment vertical="center"/>
    </xf>
    <xf numFmtId="41" fontId="118" fillId="30" borderId="121" xfId="0" applyNumberFormat="1" applyFont="1" applyFill="1" applyBorder="1">
      <alignment vertical="center"/>
    </xf>
    <xf numFmtId="41" fontId="118" fillId="30" borderId="117" xfId="0" applyNumberFormat="1" applyFont="1" applyFill="1" applyBorder="1">
      <alignment vertical="center"/>
    </xf>
    <xf numFmtId="0" fontId="118" fillId="4" borderId="0" xfId="0" applyFont="1" applyFill="1">
      <alignment vertical="center"/>
    </xf>
    <xf numFmtId="41" fontId="118" fillId="30" borderId="7" xfId="0" applyNumberFormat="1" applyFont="1" applyFill="1" applyBorder="1">
      <alignment vertical="center"/>
    </xf>
    <xf numFmtId="41" fontId="312" fillId="30" borderId="22" xfId="0" applyNumberFormat="1" applyFont="1" applyFill="1" applyBorder="1">
      <alignment vertical="center"/>
    </xf>
    <xf numFmtId="0" fontId="68" fillId="39" borderId="9" xfId="0" applyFont="1" applyFill="1" applyBorder="1">
      <alignment vertical="center"/>
    </xf>
    <xf numFmtId="194" fontId="116" fillId="39" borderId="9" xfId="0" applyNumberFormat="1" applyFont="1" applyFill="1" applyBorder="1">
      <alignment vertical="center"/>
    </xf>
    <xf numFmtId="0" fontId="116" fillId="39" borderId="116" xfId="0" applyFont="1" applyFill="1" applyBorder="1" applyAlignment="1">
      <alignment horizontal="center" vertical="center"/>
    </xf>
    <xf numFmtId="194" fontId="116" fillId="39" borderId="106" xfId="0" applyNumberFormat="1" applyFont="1" applyFill="1" applyBorder="1" applyAlignment="1">
      <alignment horizontal="center" vertical="center"/>
    </xf>
    <xf numFmtId="194" fontId="86" fillId="21" borderId="273" xfId="0" applyNumberFormat="1" applyFont="1" applyFill="1" applyBorder="1">
      <alignment vertical="center"/>
    </xf>
    <xf numFmtId="41" fontId="128" fillId="25" borderId="262" xfId="0" applyNumberFormat="1" applyFont="1" applyFill="1" applyBorder="1">
      <alignment vertical="center"/>
    </xf>
    <xf numFmtId="41" fontId="128" fillId="25" borderId="263" xfId="0" applyNumberFormat="1" applyFont="1" applyFill="1" applyBorder="1">
      <alignment vertical="center"/>
    </xf>
    <xf numFmtId="41" fontId="128" fillId="25" borderId="273" xfId="0" applyNumberFormat="1" applyFont="1" applyFill="1" applyBorder="1">
      <alignment vertical="center"/>
    </xf>
    <xf numFmtId="41" fontId="311" fillId="25" borderId="263" xfId="0" applyNumberFormat="1" applyFont="1" applyFill="1" applyBorder="1">
      <alignment vertical="center"/>
    </xf>
    <xf numFmtId="41" fontId="108" fillId="25" borderId="290" xfId="0" applyNumberFormat="1" applyFont="1" applyFill="1" applyBorder="1">
      <alignment vertical="center"/>
    </xf>
    <xf numFmtId="41" fontId="108" fillId="25" borderId="262" xfId="0" applyNumberFormat="1" applyFont="1" applyFill="1" applyBorder="1">
      <alignment vertical="center"/>
    </xf>
    <xf numFmtId="41" fontId="108" fillId="25" borderId="263" xfId="0" applyNumberFormat="1" applyFont="1" applyFill="1" applyBorder="1">
      <alignment vertical="center"/>
    </xf>
    <xf numFmtId="41" fontId="108" fillId="25" borderId="288" xfId="0" applyNumberFormat="1" applyFont="1" applyFill="1" applyBorder="1">
      <alignment vertical="center"/>
    </xf>
    <xf numFmtId="41" fontId="108" fillId="25" borderId="273" xfId="0" applyNumberFormat="1" applyFont="1" applyFill="1" applyBorder="1">
      <alignment vertical="center"/>
    </xf>
    <xf numFmtId="41" fontId="108" fillId="25" borderId="264" xfId="0" applyNumberFormat="1" applyFont="1" applyFill="1" applyBorder="1">
      <alignment vertical="center"/>
    </xf>
    <xf numFmtId="41" fontId="86" fillId="21" borderId="288" xfId="0" applyNumberFormat="1" applyFont="1" applyFill="1" applyBorder="1" applyAlignment="1">
      <alignment horizontal="center" vertical="center"/>
    </xf>
    <xf numFmtId="0" fontId="86" fillId="25" borderId="297" xfId="0" applyFont="1" applyFill="1" applyBorder="1" applyAlignment="1">
      <alignment horizontal="center" vertical="center"/>
    </xf>
    <xf numFmtId="0" fontId="86" fillId="25" borderId="298" xfId="0" applyFont="1" applyFill="1" applyBorder="1" applyAlignment="1">
      <alignment horizontal="left" vertical="center"/>
    </xf>
    <xf numFmtId="194" fontId="116" fillId="25" borderId="298" xfId="0" applyNumberFormat="1" applyFont="1" applyFill="1" applyBorder="1">
      <alignment vertical="center"/>
    </xf>
    <xf numFmtId="0" fontId="116" fillId="25" borderId="299" xfId="0" applyFont="1" applyFill="1" applyBorder="1" applyAlignment="1">
      <alignment horizontal="center" vertical="center"/>
    </xf>
    <xf numFmtId="194" fontId="116" fillId="25" borderId="300" xfId="0" applyNumberFormat="1" applyFont="1" applyFill="1" applyBorder="1" applyAlignment="1">
      <alignment horizontal="center" vertical="center"/>
    </xf>
    <xf numFmtId="41" fontId="118" fillId="29" borderId="301" xfId="0" applyNumberFormat="1" applyFont="1" applyFill="1" applyBorder="1">
      <alignment vertical="center"/>
    </xf>
    <xf numFmtId="41" fontId="118" fillId="29" borderId="302" xfId="0" applyNumberFormat="1" applyFont="1" applyFill="1" applyBorder="1">
      <alignment vertical="center"/>
    </xf>
    <xf numFmtId="41" fontId="118" fillId="29" borderId="303" xfId="0" applyNumberFormat="1" applyFont="1" applyFill="1" applyBorder="1">
      <alignment vertical="center"/>
    </xf>
    <xf numFmtId="41" fontId="118" fillId="29" borderId="304" xfId="0" applyNumberFormat="1" applyFont="1" applyFill="1" applyBorder="1">
      <alignment vertical="center"/>
    </xf>
    <xf numFmtId="41" fontId="313" fillId="29" borderId="298" xfId="0" applyNumberFormat="1" applyFont="1" applyFill="1" applyBorder="1">
      <alignment vertical="center"/>
    </xf>
    <xf numFmtId="41" fontId="84" fillId="29" borderId="304" xfId="0" applyNumberFormat="1" applyFont="1" applyFill="1" applyBorder="1">
      <alignment vertical="center"/>
    </xf>
    <xf numFmtId="41" fontId="84" fillId="29" borderId="301" xfId="0" applyNumberFormat="1" applyFont="1" applyFill="1" applyBorder="1">
      <alignment vertical="center"/>
    </xf>
    <xf numFmtId="41" fontId="84" fillId="29" borderId="298" xfId="0" applyNumberFormat="1" applyFont="1" applyFill="1" applyBorder="1">
      <alignment vertical="center"/>
    </xf>
    <xf numFmtId="41" fontId="84" fillId="29" borderId="302" xfId="0" applyNumberFormat="1" applyFont="1" applyFill="1" applyBorder="1">
      <alignment vertical="center"/>
    </xf>
    <xf numFmtId="41" fontId="108" fillId="4" borderId="300" xfId="0" applyNumberFormat="1" applyFont="1" applyFill="1" applyBorder="1">
      <alignment vertical="center"/>
    </xf>
    <xf numFmtId="41" fontId="86" fillId="21" borderId="275" xfId="0" applyNumberFormat="1" applyFont="1" applyFill="1" applyBorder="1" applyAlignment="1">
      <alignment horizontal="center" vertical="center"/>
    </xf>
    <xf numFmtId="41" fontId="118" fillId="10" borderId="196" xfId="0" applyNumberFormat="1" applyFont="1" applyFill="1" applyBorder="1">
      <alignment vertical="center"/>
    </xf>
    <xf numFmtId="193" fontId="121" fillId="0" borderId="0" xfId="0" applyNumberFormat="1" applyFont="1">
      <alignment vertical="center"/>
    </xf>
    <xf numFmtId="185" fontId="314" fillId="3" borderId="69" xfId="0" applyNumberFormat="1" applyFont="1" applyFill="1" applyBorder="1">
      <alignment vertical="center"/>
    </xf>
    <xf numFmtId="41" fontId="118" fillId="39" borderId="115" xfId="0" applyNumberFormat="1" applyFont="1" applyFill="1" applyBorder="1">
      <alignment vertical="center"/>
    </xf>
    <xf numFmtId="41" fontId="118" fillId="39" borderId="119" xfId="0" applyNumberFormat="1" applyFont="1" applyFill="1" applyBorder="1">
      <alignment vertical="center"/>
    </xf>
    <xf numFmtId="41" fontId="118" fillId="39" borderId="54" xfId="0" applyNumberFormat="1" applyFont="1" applyFill="1" applyBorder="1">
      <alignment vertical="center"/>
    </xf>
    <xf numFmtId="41" fontId="118" fillId="39" borderId="11" xfId="0" applyNumberFormat="1" applyFont="1" applyFill="1" applyBorder="1">
      <alignment vertical="center"/>
    </xf>
    <xf numFmtId="41" fontId="84" fillId="39" borderId="120" xfId="0" applyNumberFormat="1" applyFont="1" applyFill="1" applyBorder="1">
      <alignment vertical="center"/>
    </xf>
    <xf numFmtId="41" fontId="84" fillId="39" borderId="87" xfId="0" applyNumberFormat="1" applyFont="1" applyFill="1" applyBorder="1">
      <alignment vertical="center"/>
    </xf>
    <xf numFmtId="41" fontId="84" fillId="39" borderId="11" xfId="0" applyNumberFormat="1" applyFont="1" applyFill="1" applyBorder="1">
      <alignment vertical="center"/>
    </xf>
    <xf numFmtId="41" fontId="84" fillId="39" borderId="54" xfId="0" applyNumberFormat="1" applyFont="1" applyFill="1" applyBorder="1">
      <alignment vertical="center"/>
    </xf>
    <xf numFmtId="41" fontId="84" fillId="39" borderId="115" xfId="0" applyNumberFormat="1" applyFont="1" applyFill="1" applyBorder="1">
      <alignment vertical="center"/>
    </xf>
    <xf numFmtId="41" fontId="108" fillId="39" borderId="94" xfId="0" applyNumberFormat="1" applyFont="1" applyFill="1" applyBorder="1">
      <alignment vertical="center"/>
    </xf>
    <xf numFmtId="0" fontId="116" fillId="39" borderId="4" xfId="0" applyFont="1" applyFill="1" applyBorder="1" applyAlignment="1">
      <alignment horizontal="left" vertical="center" wrapText="1"/>
    </xf>
    <xf numFmtId="194" fontId="116" fillId="39" borderId="4" xfId="0" applyNumberFormat="1" applyFont="1" applyFill="1" applyBorder="1">
      <alignment vertical="center"/>
    </xf>
    <xf numFmtId="0" fontId="116" fillId="39" borderId="212" xfId="0" applyFont="1" applyFill="1" applyBorder="1" applyAlignment="1">
      <alignment horizontal="center" vertical="center"/>
    </xf>
    <xf numFmtId="41" fontId="118" fillId="39" borderId="131" xfId="0" applyNumberFormat="1" applyFont="1" applyFill="1" applyBorder="1">
      <alignment vertical="center"/>
    </xf>
    <xf numFmtId="41" fontId="118" fillId="39" borderId="4" xfId="0" applyNumberFormat="1" applyFont="1" applyFill="1" applyBorder="1">
      <alignment vertical="center"/>
    </xf>
    <xf numFmtId="41" fontId="118" fillId="39" borderId="129" xfId="0" applyNumberFormat="1" applyFont="1" applyFill="1" applyBorder="1">
      <alignment vertical="center"/>
    </xf>
    <xf numFmtId="41" fontId="84" fillId="39" borderId="212" xfId="0" applyNumberFormat="1" applyFont="1" applyFill="1" applyBorder="1">
      <alignment vertical="center"/>
    </xf>
    <xf numFmtId="41" fontId="84" fillId="39" borderId="131" xfId="0" applyNumberFormat="1" applyFont="1" applyFill="1" applyBorder="1">
      <alignment vertical="center"/>
    </xf>
    <xf numFmtId="41" fontId="84" fillId="39" borderId="4" xfId="0" applyNumberFormat="1" applyFont="1" applyFill="1" applyBorder="1">
      <alignment vertical="center"/>
    </xf>
    <xf numFmtId="41" fontId="84" fillId="39" borderId="129" xfId="0" applyNumberFormat="1" applyFont="1" applyFill="1" applyBorder="1">
      <alignment vertical="center"/>
    </xf>
    <xf numFmtId="41" fontId="118" fillId="42" borderId="114" xfId="0" applyNumberFormat="1" applyFont="1" applyFill="1" applyBorder="1">
      <alignment vertical="center"/>
    </xf>
    <xf numFmtId="41" fontId="118" fillId="42" borderId="118" xfId="0" applyNumberFormat="1" applyFont="1" applyFill="1" applyBorder="1">
      <alignment vertical="center"/>
    </xf>
    <xf numFmtId="41" fontId="118" fillId="42" borderId="89" xfId="0" applyNumberFormat="1" applyFont="1" applyFill="1" applyBorder="1">
      <alignment vertical="center"/>
    </xf>
    <xf numFmtId="41" fontId="118" fillId="42" borderId="9" xfId="0" applyNumberFormat="1" applyFont="1" applyFill="1" applyBorder="1">
      <alignment vertical="center"/>
    </xf>
    <xf numFmtId="41" fontId="84" fillId="42" borderId="9" xfId="0" applyNumberFormat="1" applyFont="1" applyFill="1" applyBorder="1">
      <alignment vertical="center"/>
    </xf>
    <xf numFmtId="41" fontId="84" fillId="42" borderId="118" xfId="0" applyNumberFormat="1" applyFont="1" applyFill="1" applyBorder="1">
      <alignment vertical="center"/>
    </xf>
    <xf numFmtId="41" fontId="84" fillId="42" borderId="89" xfId="0" applyNumberFormat="1" applyFont="1" applyFill="1" applyBorder="1">
      <alignment vertical="center"/>
    </xf>
    <xf numFmtId="41" fontId="108" fillId="2" borderId="106" xfId="0" applyNumberFormat="1" applyFont="1" applyFill="1" applyBorder="1">
      <alignment vertical="center"/>
    </xf>
    <xf numFmtId="0" fontId="86" fillId="21" borderId="0" xfId="0" applyFont="1" applyFill="1" applyAlignment="1">
      <alignment horizontal="left" vertical="center"/>
    </xf>
    <xf numFmtId="0" fontId="86" fillId="39" borderId="79" xfId="0" applyFont="1" applyFill="1" applyBorder="1" applyAlignment="1">
      <alignment horizontal="center" vertical="center"/>
    </xf>
    <xf numFmtId="0" fontId="86" fillId="39" borderId="79" xfId="0" applyFont="1" applyFill="1" applyBorder="1" applyAlignment="1">
      <alignment horizontal="left" vertical="center"/>
    </xf>
    <xf numFmtId="194" fontId="116" fillId="39" borderId="7" xfId="0" applyNumberFormat="1" applyFont="1" applyFill="1" applyBorder="1">
      <alignment vertical="center"/>
    </xf>
    <xf numFmtId="0" fontId="116" fillId="39" borderId="22" xfId="0" applyFont="1" applyFill="1" applyBorder="1" applyAlignment="1">
      <alignment horizontal="center" vertical="center"/>
    </xf>
    <xf numFmtId="194" fontId="116" fillId="39" borderId="300" xfId="0" applyNumberFormat="1" applyFont="1" applyFill="1" applyBorder="1" applyAlignment="1">
      <alignment horizontal="center" vertical="center"/>
    </xf>
    <xf numFmtId="41" fontId="108" fillId="2" borderId="300" xfId="0" applyNumberFormat="1" applyFont="1" applyFill="1" applyBorder="1">
      <alignment vertical="center"/>
    </xf>
    <xf numFmtId="0" fontId="86" fillId="39" borderId="149" xfId="0" applyFont="1" applyFill="1" applyBorder="1" applyAlignment="1">
      <alignment horizontal="center" vertical="center"/>
    </xf>
    <xf numFmtId="0" fontId="86" fillId="39" borderId="149" xfId="0" applyFont="1" applyFill="1" applyBorder="1" applyAlignment="1">
      <alignment horizontal="left" vertical="center"/>
    </xf>
    <xf numFmtId="194" fontId="116" fillId="39" borderId="132" xfId="0" applyNumberFormat="1" applyFont="1" applyFill="1" applyBorder="1">
      <alignment vertical="center"/>
    </xf>
    <xf numFmtId="0" fontId="116" fillId="39" borderId="129" xfId="0" applyFont="1" applyFill="1" applyBorder="1" applyAlignment="1">
      <alignment horizontal="center" vertical="center"/>
    </xf>
    <xf numFmtId="41" fontId="118" fillId="42" borderId="193" xfId="0" applyNumberFormat="1" applyFont="1" applyFill="1" applyBorder="1">
      <alignment vertical="center"/>
    </xf>
    <xf numFmtId="41" fontId="118" fillId="42" borderId="132" xfId="0" applyNumberFormat="1" applyFont="1" applyFill="1" applyBorder="1">
      <alignment vertical="center"/>
    </xf>
    <xf numFmtId="41" fontId="118" fillId="42" borderId="129" xfId="0" applyNumberFormat="1" applyFont="1" applyFill="1" applyBorder="1">
      <alignment vertical="center"/>
    </xf>
    <xf numFmtId="41" fontId="84" fillId="42" borderId="131" xfId="0" applyNumberFormat="1" applyFont="1" applyFill="1" applyBorder="1">
      <alignment vertical="center"/>
    </xf>
    <xf numFmtId="41" fontId="84" fillId="42" borderId="4" xfId="0" applyNumberFormat="1" applyFont="1" applyFill="1" applyBorder="1">
      <alignment vertical="center"/>
    </xf>
    <xf numFmtId="185" fontId="118" fillId="10" borderId="1" xfId="0" applyNumberFormat="1" applyFont="1" applyFill="1" applyBorder="1">
      <alignment vertical="center"/>
    </xf>
    <xf numFmtId="187" fontId="118" fillId="10" borderId="55" xfId="0" applyNumberFormat="1" applyFont="1" applyFill="1" applyBorder="1">
      <alignment vertical="center"/>
    </xf>
    <xf numFmtId="185" fontId="118" fillId="10" borderId="69" xfId="0" applyNumberFormat="1" applyFont="1" applyFill="1" applyBorder="1">
      <alignment vertical="center"/>
    </xf>
    <xf numFmtId="0" fontId="116" fillId="4" borderId="80" xfId="0" applyFont="1" applyFill="1" applyBorder="1" applyAlignment="1">
      <alignment horizontal="center" vertical="center"/>
    </xf>
    <xf numFmtId="0" fontId="116" fillId="4" borderId="50" xfId="0" applyFont="1" applyFill="1" applyBorder="1" applyAlignment="1">
      <alignment horizontal="center" vertical="center"/>
    </xf>
    <xf numFmtId="0" fontId="116" fillId="4" borderId="25" xfId="0" applyFont="1" applyFill="1" applyBorder="1" applyAlignment="1">
      <alignment horizontal="center" vertical="center"/>
    </xf>
    <xf numFmtId="0" fontId="116" fillId="4" borderId="40" xfId="0" applyFont="1" applyFill="1" applyBorder="1" applyAlignment="1">
      <alignment horizontal="center" vertical="center"/>
    </xf>
    <xf numFmtId="0" fontId="116" fillId="4" borderId="74" xfId="0" applyFont="1" applyFill="1" applyBorder="1" applyAlignment="1">
      <alignment horizontal="center" vertical="center"/>
    </xf>
    <xf numFmtId="0" fontId="116" fillId="4" borderId="70" xfId="0" applyFont="1" applyFill="1" applyBorder="1" applyAlignment="1">
      <alignment horizontal="center" vertical="center"/>
    </xf>
    <xf numFmtId="182" fontId="116" fillId="4" borderId="45" xfId="0" applyNumberFormat="1" applyFont="1" applyFill="1" applyBorder="1" applyAlignment="1">
      <alignment horizontal="left" vertical="center"/>
    </xf>
    <xf numFmtId="0" fontId="108" fillId="4" borderId="80" xfId="0" applyFont="1" applyFill="1" applyBorder="1" applyAlignment="1">
      <alignment horizontal="center" vertical="top"/>
    </xf>
    <xf numFmtId="0" fontId="108" fillId="4" borderId="21" xfId="0" applyFont="1" applyFill="1" applyBorder="1" applyAlignment="1">
      <alignment horizontal="center" vertical="top"/>
    </xf>
    <xf numFmtId="182" fontId="84" fillId="4" borderId="65" xfId="0" applyNumberFormat="1" applyFont="1" applyFill="1" applyBorder="1" applyAlignment="1">
      <alignment horizontal="center" vertical="top"/>
    </xf>
    <xf numFmtId="182" fontId="84" fillId="4" borderId="42" xfId="0" applyNumberFormat="1" applyFont="1" applyFill="1" applyBorder="1" applyAlignment="1">
      <alignment horizontal="center" vertical="top"/>
    </xf>
    <xf numFmtId="0" fontId="84" fillId="4" borderId="63" xfId="0" applyFont="1" applyFill="1" applyBorder="1" applyAlignment="1">
      <alignment horizontal="center" vertical="top"/>
    </xf>
    <xf numFmtId="0" fontId="84" fillId="4" borderId="8" xfId="0" applyFont="1" applyFill="1" applyBorder="1" applyAlignment="1">
      <alignment horizontal="center" vertical="top"/>
    </xf>
    <xf numFmtId="0" fontId="84" fillId="4" borderId="42" xfId="0" applyFont="1" applyFill="1" applyBorder="1" applyAlignment="1">
      <alignment horizontal="center" vertical="top"/>
    </xf>
    <xf numFmtId="182" fontId="84" fillId="4" borderId="8" xfId="0" applyNumberFormat="1" applyFont="1" applyFill="1" applyBorder="1" applyAlignment="1">
      <alignment horizontal="center" vertical="top"/>
    </xf>
    <xf numFmtId="0" fontId="116" fillId="4" borderId="36" xfId="0" applyFont="1" applyFill="1" applyBorder="1" applyAlignment="1">
      <alignment horizontal="center" vertical="center"/>
    </xf>
    <xf numFmtId="0" fontId="116" fillId="4" borderId="111" xfId="0" applyFont="1" applyFill="1" applyBorder="1" applyAlignment="1">
      <alignment horizontal="center" vertical="center"/>
    </xf>
    <xf numFmtId="0" fontId="116" fillId="4" borderId="84" xfId="0" applyFont="1" applyFill="1" applyBorder="1" applyAlignment="1">
      <alignment horizontal="center" vertical="center"/>
    </xf>
    <xf numFmtId="0" fontId="116" fillId="4" borderId="39" xfId="0" applyFont="1" applyFill="1" applyBorder="1" applyAlignment="1">
      <alignment horizontal="center" vertical="center"/>
    </xf>
    <xf numFmtId="0" fontId="116" fillId="4" borderId="6" xfId="0" applyFont="1" applyFill="1" applyBorder="1" applyAlignment="1">
      <alignment horizontal="center" vertical="center"/>
    </xf>
    <xf numFmtId="0" fontId="116" fillId="4" borderId="83" xfId="0" applyFont="1" applyFill="1" applyBorder="1" applyAlignment="1">
      <alignment horizontal="center" vertical="center"/>
    </xf>
    <xf numFmtId="0" fontId="116" fillId="4" borderId="15" xfId="0" applyFont="1" applyFill="1" applyBorder="1" applyAlignment="1">
      <alignment horizontal="center" vertical="center"/>
    </xf>
    <xf numFmtId="0" fontId="116" fillId="4" borderId="45" xfId="0" applyFont="1" applyFill="1" applyBorder="1" applyAlignment="1">
      <alignment horizontal="center" vertical="center"/>
    </xf>
    <xf numFmtId="0" fontId="116" fillId="4" borderId="16" xfId="0" applyFont="1" applyFill="1" applyBorder="1" applyAlignment="1">
      <alignment horizontal="center" vertical="center"/>
    </xf>
    <xf numFmtId="180" fontId="114" fillId="12" borderId="61" xfId="0" applyNumberFormat="1" applyFont="1" applyFill="1" applyBorder="1" applyAlignment="1">
      <alignment horizontal="center" vertical="center" wrapText="1"/>
    </xf>
    <xf numFmtId="180" fontId="114" fillId="12" borderId="5" xfId="0" applyNumberFormat="1" applyFont="1" applyFill="1" applyBorder="1" applyAlignment="1">
      <alignment horizontal="center" vertical="center" wrapText="1"/>
    </xf>
    <xf numFmtId="0" fontId="108" fillId="4" borderId="80" xfId="0" applyFont="1" applyFill="1" applyBorder="1" applyAlignment="1">
      <alignment horizontal="center" vertical="center"/>
    </xf>
    <xf numFmtId="0" fontId="108" fillId="4" borderId="21" xfId="0" applyFont="1" applyFill="1" applyBorder="1" applyAlignment="1">
      <alignment horizontal="center" vertical="center"/>
    </xf>
    <xf numFmtId="0" fontId="108" fillId="4" borderId="73" xfId="0" applyFont="1" applyFill="1" applyBorder="1" applyAlignment="1">
      <alignment horizontal="center" vertical="center"/>
    </xf>
    <xf numFmtId="182" fontId="116" fillId="4" borderId="15" xfId="0" applyNumberFormat="1" applyFont="1" applyFill="1" applyBorder="1" applyAlignment="1">
      <alignment horizontal="center" vertical="center"/>
    </xf>
    <xf numFmtId="182" fontId="116" fillId="4" borderId="45" xfId="0" applyNumberFormat="1" applyFont="1" applyFill="1" applyBorder="1" applyAlignment="1">
      <alignment horizontal="center" vertical="center"/>
    </xf>
    <xf numFmtId="182" fontId="116" fillId="4" borderId="67" xfId="0" applyNumberFormat="1" applyFont="1" applyFill="1" applyBorder="1" applyAlignment="1">
      <alignment horizontal="center" vertical="center"/>
    </xf>
    <xf numFmtId="0" fontId="116" fillId="4" borderId="73" xfId="0" applyFont="1" applyFill="1" applyBorder="1" applyAlignment="1">
      <alignment horizontal="center" vertical="center"/>
    </xf>
    <xf numFmtId="0" fontId="116" fillId="4" borderId="91" xfId="0" applyFont="1" applyFill="1" applyBorder="1" applyAlignment="1">
      <alignment horizontal="center" vertical="center"/>
    </xf>
    <xf numFmtId="0" fontId="116" fillId="4" borderId="66" xfId="0" applyFont="1" applyFill="1" applyBorder="1" applyAlignment="1">
      <alignment horizontal="center" vertical="center"/>
    </xf>
    <xf numFmtId="0" fontId="108" fillId="4" borderId="58" xfId="0" applyFont="1" applyFill="1" applyBorder="1" applyAlignment="1">
      <alignment horizontal="center" vertical="center" wrapText="1"/>
    </xf>
    <xf numFmtId="0" fontId="108" fillId="4" borderId="13" xfId="0" applyFont="1" applyFill="1" applyBorder="1" applyAlignment="1">
      <alignment horizontal="center" vertical="center" wrapText="1"/>
    </xf>
    <xf numFmtId="0" fontId="108" fillId="4" borderId="55" xfId="0" applyFont="1" applyFill="1" applyBorder="1" applyAlignment="1">
      <alignment horizontal="center" vertical="center" wrapText="1"/>
    </xf>
    <xf numFmtId="0" fontId="39" fillId="3" borderId="0" xfId="0" applyFont="1" applyFill="1" applyAlignment="1">
      <alignment horizontal="center" vertical="center" wrapText="1"/>
    </xf>
    <xf numFmtId="0" fontId="38" fillId="3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center" vertical="center"/>
    </xf>
    <xf numFmtId="0" fontId="42" fillId="3" borderId="0" xfId="0" applyFont="1" applyFill="1" applyAlignment="1">
      <alignment horizontal="center" vertical="center"/>
    </xf>
    <xf numFmtId="0" fontId="110" fillId="3" borderId="63" xfId="0" quotePrefix="1" applyFont="1" applyFill="1" applyBorder="1" applyAlignment="1">
      <alignment horizontal="left" vertical="top" wrapText="1"/>
    </xf>
    <xf numFmtId="0" fontId="110" fillId="3" borderId="72" xfId="0" quotePrefix="1" applyFont="1" applyFill="1" applyBorder="1" applyAlignment="1">
      <alignment horizontal="left" vertical="top" wrapText="1"/>
    </xf>
    <xf numFmtId="0" fontId="110" fillId="3" borderId="8" xfId="0" quotePrefix="1" applyFont="1" applyFill="1" applyBorder="1" applyAlignment="1">
      <alignment horizontal="left" vertical="top" wrapText="1"/>
    </xf>
    <xf numFmtId="0" fontId="110" fillId="3" borderId="10" xfId="0" quotePrefix="1" applyFont="1" applyFill="1" applyBorder="1" applyAlignment="1">
      <alignment horizontal="left" vertical="top" wrapText="1"/>
    </xf>
    <xf numFmtId="0" fontId="110" fillId="3" borderId="42" xfId="0" quotePrefix="1" applyFont="1" applyFill="1" applyBorder="1" applyAlignment="1">
      <alignment horizontal="left" vertical="top" wrapText="1"/>
    </xf>
    <xf numFmtId="0" fontId="110" fillId="3" borderId="56" xfId="0" quotePrefix="1" applyFont="1" applyFill="1" applyBorder="1" applyAlignment="1">
      <alignment horizontal="left" vertical="top" wrapText="1"/>
    </xf>
    <xf numFmtId="0" fontId="112" fillId="13" borderId="28" xfId="0" applyFont="1" applyFill="1" applyBorder="1" applyAlignment="1">
      <alignment horizontal="center" vertical="center"/>
    </xf>
    <xf numFmtId="0" fontId="110" fillId="13" borderId="28" xfId="0" applyFont="1" applyFill="1" applyBorder="1" applyAlignment="1">
      <alignment horizontal="center" vertical="center"/>
    </xf>
    <xf numFmtId="0" fontId="110" fillId="3" borderId="48" xfId="0" quotePrefix="1" applyFont="1" applyFill="1" applyBorder="1" applyAlignment="1">
      <alignment horizontal="left" vertical="center"/>
    </xf>
    <xf numFmtId="0" fontId="110" fillId="3" borderId="62" xfId="0" quotePrefix="1" applyFont="1" applyFill="1" applyBorder="1" applyAlignment="1">
      <alignment horizontal="left" vertical="center"/>
    </xf>
    <xf numFmtId="0" fontId="110" fillId="3" borderId="28" xfId="0" applyFont="1" applyFill="1" applyBorder="1" applyAlignment="1">
      <alignment horizontal="left" vertical="center"/>
    </xf>
    <xf numFmtId="0" fontId="110" fillId="0" borderId="28" xfId="0" applyFont="1" applyBorder="1" applyAlignment="1">
      <alignment horizontal="left" vertical="center"/>
    </xf>
    <xf numFmtId="0" fontId="110" fillId="3" borderId="201" xfId="0" quotePrefix="1" applyFont="1" applyFill="1" applyBorder="1" applyAlignment="1">
      <alignment horizontal="left" vertical="center" wrapText="1"/>
    </xf>
    <xf numFmtId="0" fontId="110" fillId="3" borderId="42" xfId="0" quotePrefix="1" applyFont="1" applyFill="1" applyBorder="1" applyAlignment="1">
      <alignment horizontal="left" vertical="center" wrapText="1"/>
    </xf>
    <xf numFmtId="0" fontId="110" fillId="3" borderId="48" xfId="0" quotePrefix="1" applyFont="1" applyFill="1" applyBorder="1" applyAlignment="1">
      <alignment horizontal="left" vertical="center" wrapText="1"/>
    </xf>
    <xf numFmtId="0" fontId="110" fillId="3" borderId="62" xfId="0" quotePrefix="1" applyFont="1" applyFill="1" applyBorder="1" applyAlignment="1">
      <alignment horizontal="left" vertical="center" wrapText="1"/>
    </xf>
    <xf numFmtId="0" fontId="112" fillId="13" borderId="48" xfId="0" applyFont="1" applyFill="1" applyBorder="1" applyAlignment="1">
      <alignment horizontal="center" vertical="center"/>
    </xf>
    <xf numFmtId="0" fontId="112" fillId="13" borderId="6" xfId="0" applyFont="1" applyFill="1" applyBorder="1" applyAlignment="1">
      <alignment horizontal="center" vertical="center"/>
    </xf>
    <xf numFmtId="0" fontId="112" fillId="13" borderId="62" xfId="0" applyFont="1" applyFill="1" applyBorder="1" applyAlignment="1">
      <alignment horizontal="center" vertical="center"/>
    </xf>
    <xf numFmtId="194" fontId="112" fillId="13" borderId="48" xfId="0" applyNumberFormat="1" applyFont="1" applyFill="1" applyBorder="1" applyAlignment="1">
      <alignment horizontal="center" vertical="center"/>
    </xf>
    <xf numFmtId="194" fontId="112" fillId="13" borderId="62" xfId="0" applyNumberFormat="1" applyFont="1" applyFill="1" applyBorder="1" applyAlignment="1">
      <alignment horizontal="center" vertical="center"/>
    </xf>
    <xf numFmtId="0" fontId="109" fillId="3" borderId="0" xfId="0" applyFont="1" applyFill="1" applyAlignment="1">
      <alignment horizontal="center" vertical="center"/>
    </xf>
    <xf numFmtId="0" fontId="113" fillId="3" borderId="48" xfId="0" quotePrefix="1" applyFont="1" applyFill="1" applyBorder="1" applyAlignment="1">
      <alignment horizontal="left" vertical="center" wrapText="1"/>
    </xf>
    <xf numFmtId="0" fontId="113" fillId="3" borderId="62" xfId="0" quotePrefix="1" applyFont="1" applyFill="1" applyBorder="1" applyAlignment="1">
      <alignment horizontal="left" vertical="center" wrapText="1"/>
    </xf>
    <xf numFmtId="0" fontId="113" fillId="3" borderId="48" xfId="0" quotePrefix="1" applyFont="1" applyFill="1" applyBorder="1" applyAlignment="1">
      <alignment horizontal="left" vertical="center"/>
    </xf>
    <xf numFmtId="0" fontId="113" fillId="3" borderId="62" xfId="0" quotePrefix="1" applyFont="1" applyFill="1" applyBorder="1" applyAlignment="1">
      <alignment horizontal="left" vertical="center"/>
    </xf>
    <xf numFmtId="0" fontId="6" fillId="3" borderId="48" xfId="0" quotePrefix="1" applyFont="1" applyFill="1" applyBorder="1" applyAlignment="1">
      <alignment horizontal="left" vertical="center" wrapText="1"/>
    </xf>
    <xf numFmtId="0" fontId="93" fillId="3" borderId="1" xfId="0" applyFont="1" applyFill="1" applyBorder="1" applyAlignment="1">
      <alignment horizontal="center" vertical="center" wrapText="1"/>
    </xf>
    <xf numFmtId="0" fontId="93" fillId="3" borderId="1" xfId="0" applyFont="1" applyFill="1" applyBorder="1" applyAlignment="1">
      <alignment horizontal="center" vertical="center"/>
    </xf>
    <xf numFmtId="0" fontId="93" fillId="3" borderId="5" xfId="0" applyFont="1" applyFill="1" applyBorder="1" applyAlignment="1">
      <alignment horizontal="center" vertical="center"/>
    </xf>
    <xf numFmtId="0" fontId="93" fillId="3" borderId="202" xfId="0" applyFont="1" applyFill="1" applyBorder="1" applyAlignment="1">
      <alignment horizontal="center" vertical="center"/>
    </xf>
    <xf numFmtId="0" fontId="93" fillId="3" borderId="202" xfId="0" quotePrefix="1" applyFont="1" applyFill="1" applyBorder="1" applyAlignment="1">
      <alignment horizontal="left" vertical="center"/>
    </xf>
    <xf numFmtId="0" fontId="93" fillId="3" borderId="1" xfId="0" quotePrefix="1" applyFont="1" applyFill="1" applyBorder="1" applyAlignment="1">
      <alignment horizontal="left" vertical="center"/>
    </xf>
    <xf numFmtId="0" fontId="93" fillId="3" borderId="5" xfId="0" quotePrefix="1" applyFont="1" applyFill="1" applyBorder="1" applyAlignment="1">
      <alignment horizontal="left" vertical="center"/>
    </xf>
    <xf numFmtId="0" fontId="93" fillId="3" borderId="61" xfId="0" applyFont="1" applyFill="1" applyBorder="1" applyAlignment="1">
      <alignment horizontal="center" vertical="center"/>
    </xf>
    <xf numFmtId="41" fontId="84" fillId="4" borderId="7" xfId="0" applyNumberFormat="1" applyFont="1" applyFill="1" applyBorder="1" applyAlignment="1">
      <alignment horizontal="center" vertical="center"/>
    </xf>
    <xf numFmtId="41" fontId="84" fillId="4" borderId="126" xfId="0" applyNumberFormat="1" applyFont="1" applyFill="1" applyBorder="1" applyAlignment="1">
      <alignment horizontal="center" vertical="center"/>
    </xf>
    <xf numFmtId="41" fontId="84" fillId="4" borderId="79" xfId="0" applyNumberFormat="1" applyFont="1" applyFill="1" applyBorder="1" applyAlignment="1">
      <alignment horizontal="center" vertical="center"/>
    </xf>
    <xf numFmtId="41" fontId="84" fillId="4" borderId="119" xfId="0" applyNumberFormat="1" applyFont="1" applyFill="1" applyBorder="1" applyAlignment="1">
      <alignment horizontal="center" vertical="center"/>
    </xf>
    <xf numFmtId="41" fontId="84" fillId="4" borderId="87" xfId="0" applyNumberFormat="1" applyFont="1" applyFill="1" applyBorder="1" applyAlignment="1">
      <alignment horizontal="center" vertical="center"/>
    </xf>
    <xf numFmtId="41" fontId="84" fillId="4" borderId="202" xfId="0" applyNumberFormat="1" applyFont="1" applyFill="1" applyBorder="1" applyAlignment="1">
      <alignment horizontal="center" vertical="center"/>
    </xf>
    <xf numFmtId="41" fontId="84" fillId="4" borderId="1" xfId="0" applyNumberFormat="1" applyFont="1" applyFill="1" applyBorder="1" applyAlignment="1">
      <alignment horizontal="center" vertical="center"/>
    </xf>
    <xf numFmtId="41" fontId="84" fillId="4" borderId="5" xfId="0" applyNumberFormat="1" applyFont="1" applyFill="1" applyBorder="1" applyAlignment="1">
      <alignment horizontal="center" vertical="center"/>
    </xf>
    <xf numFmtId="41" fontId="108" fillId="4" borderId="270" xfId="0" applyNumberFormat="1" applyFont="1" applyFill="1" applyBorder="1" applyAlignment="1">
      <alignment horizontal="center" vertical="center"/>
    </xf>
    <xf numFmtId="41" fontId="108" fillId="4" borderId="269" xfId="0" applyNumberFormat="1" applyFont="1" applyFill="1" applyBorder="1" applyAlignment="1">
      <alignment horizontal="center" vertical="center"/>
    </xf>
    <xf numFmtId="41" fontId="108" fillId="4" borderId="267" xfId="0" applyNumberFormat="1" applyFont="1" applyFill="1" applyBorder="1" applyAlignment="1">
      <alignment horizontal="center" vertical="center"/>
    </xf>
    <xf numFmtId="41" fontId="84" fillId="4" borderId="270" xfId="0" applyNumberFormat="1" applyFont="1" applyFill="1" applyBorder="1" applyAlignment="1">
      <alignment horizontal="center" vertical="center"/>
    </xf>
    <xf numFmtId="41" fontId="84" fillId="4" borderId="269" xfId="0" applyNumberFormat="1" applyFont="1" applyFill="1" applyBorder="1" applyAlignment="1">
      <alignment horizontal="center" vertical="center"/>
    </xf>
    <xf numFmtId="41" fontId="84" fillId="4" borderId="267" xfId="0" applyNumberFormat="1" applyFont="1" applyFill="1" applyBorder="1" applyAlignment="1">
      <alignment horizontal="center" vertical="center"/>
    </xf>
    <xf numFmtId="41" fontId="84" fillId="4" borderId="8" xfId="0" applyNumberFormat="1" applyFont="1" applyFill="1" applyBorder="1" applyAlignment="1">
      <alignment horizontal="center" vertical="center"/>
    </xf>
    <xf numFmtId="41" fontId="84" fillId="4" borderId="132" xfId="0" applyNumberFormat="1" applyFont="1" applyFill="1" applyBorder="1" applyAlignment="1">
      <alignment horizontal="center" vertical="center"/>
    </xf>
    <xf numFmtId="41" fontId="84" fillId="4" borderId="131" xfId="0" applyNumberFormat="1" applyFont="1" applyFill="1" applyBorder="1" applyAlignment="1">
      <alignment horizontal="center" vertical="center"/>
    </xf>
    <xf numFmtId="41" fontId="84" fillId="4" borderId="149" xfId="0" applyNumberFormat="1" applyFont="1" applyFill="1" applyBorder="1" applyAlignment="1">
      <alignment horizontal="center" vertical="center"/>
    </xf>
    <xf numFmtId="41" fontId="84" fillId="4" borderId="10" xfId="0" applyNumberFormat="1" applyFont="1" applyFill="1" applyBorder="1" applyAlignment="1">
      <alignment horizontal="center" vertical="center"/>
    </xf>
    <xf numFmtId="41" fontId="84" fillId="4" borderId="27" xfId="0" applyNumberFormat="1" applyFont="1" applyFill="1" applyBorder="1" applyAlignment="1">
      <alignment horizontal="center" vertical="center"/>
    </xf>
    <xf numFmtId="0" fontId="84" fillId="4" borderId="132" xfId="0" applyFont="1" applyFill="1" applyBorder="1" applyAlignment="1">
      <alignment horizontal="center" vertical="center"/>
    </xf>
    <xf numFmtId="0" fontId="84" fillId="4" borderId="149" xfId="0" applyFont="1" applyFill="1" applyBorder="1" applyAlignment="1">
      <alignment horizontal="center" vertical="center"/>
    </xf>
    <xf numFmtId="0" fontId="84" fillId="4" borderId="7" xfId="0" applyFont="1" applyFill="1" applyBorder="1" applyAlignment="1">
      <alignment horizontal="center" vertical="center"/>
    </xf>
    <xf numFmtId="0" fontId="84" fillId="4" borderId="126" xfId="0" applyFont="1" applyFill="1" applyBorder="1" applyAlignment="1">
      <alignment horizontal="center" vertical="center"/>
    </xf>
    <xf numFmtId="0" fontId="84" fillId="4" borderId="117" xfId="0" applyFont="1" applyFill="1" applyBorder="1" applyAlignment="1">
      <alignment horizontal="center" vertical="center"/>
    </xf>
    <xf numFmtId="9" fontId="108" fillId="4" borderId="270" xfId="0" applyNumberFormat="1" applyFont="1" applyFill="1" applyBorder="1" applyAlignment="1">
      <alignment horizontal="center" vertical="center" wrapText="1"/>
    </xf>
    <xf numFmtId="9" fontId="108" fillId="4" borderId="269" xfId="0" applyNumberFormat="1" applyFont="1" applyFill="1" applyBorder="1" applyAlignment="1">
      <alignment horizontal="center" vertical="center" wrapText="1"/>
    </xf>
    <xf numFmtId="9" fontId="108" fillId="4" borderId="261" xfId="0" applyNumberFormat="1" applyFont="1" applyFill="1" applyBorder="1" applyAlignment="1">
      <alignment horizontal="center" vertical="center" wrapText="1"/>
    </xf>
    <xf numFmtId="0" fontId="108" fillId="4" borderId="15" xfId="0" applyFont="1" applyFill="1" applyBorder="1" applyAlignment="1">
      <alignment horizontal="center" vertical="center"/>
    </xf>
    <xf numFmtId="0" fontId="108" fillId="4" borderId="45" xfId="0" applyFont="1" applyFill="1" applyBorder="1" applyAlignment="1">
      <alignment horizontal="center" vertical="center"/>
    </xf>
    <xf numFmtId="0" fontId="108" fillId="4" borderId="67" xfId="0" applyFont="1" applyFill="1" applyBorder="1" applyAlignment="1">
      <alignment horizontal="center" vertical="center"/>
    </xf>
    <xf numFmtId="0" fontId="116" fillId="4" borderId="67" xfId="0" applyFont="1" applyFill="1" applyBorder="1" applyAlignment="1">
      <alignment horizontal="center" vertical="center"/>
    </xf>
    <xf numFmtId="0" fontId="108" fillId="4" borderId="58" xfId="0" applyFont="1" applyFill="1" applyBorder="1" applyAlignment="1">
      <alignment horizontal="center" vertical="center"/>
    </xf>
    <xf numFmtId="0" fontId="108" fillId="4" borderId="55" xfId="0" applyFont="1" applyFill="1" applyBorder="1" applyAlignment="1">
      <alignment horizontal="center" vertical="center"/>
    </xf>
    <xf numFmtId="0" fontId="108" fillId="4" borderId="35" xfId="0" applyFont="1" applyFill="1" applyBorder="1" applyAlignment="1">
      <alignment horizontal="center" vertical="center"/>
    </xf>
    <xf numFmtId="0" fontId="108" fillId="4" borderId="27" xfId="0" applyFont="1" applyFill="1" applyBorder="1" applyAlignment="1">
      <alignment horizontal="center" vertical="center"/>
    </xf>
    <xf numFmtId="0" fontId="108" fillId="4" borderId="1" xfId="0" applyFont="1" applyFill="1" applyBorder="1" applyAlignment="1">
      <alignment horizontal="center" vertical="center"/>
    </xf>
    <xf numFmtId="0" fontId="108" fillId="4" borderId="8" xfId="0" applyFont="1" applyFill="1" applyBorder="1" applyAlignment="1">
      <alignment horizontal="center" vertical="center"/>
    </xf>
    <xf numFmtId="0" fontId="108" fillId="4" borderId="64" xfId="0" applyFont="1" applyFill="1" applyBorder="1" applyAlignment="1">
      <alignment horizontal="center" vertical="center"/>
    </xf>
    <xf numFmtId="0" fontId="108" fillId="4" borderId="6" xfId="0" applyFont="1" applyFill="1" applyBorder="1" applyAlignment="1">
      <alignment horizontal="center" vertical="center"/>
    </xf>
    <xf numFmtId="0" fontId="108" fillId="4" borderId="62" xfId="0" applyFont="1" applyFill="1" applyBorder="1" applyAlignment="1">
      <alignment horizontal="center" vertical="center"/>
    </xf>
    <xf numFmtId="0" fontId="108" fillId="4" borderId="91" xfId="0" applyFont="1" applyFill="1" applyBorder="1" applyAlignment="1">
      <alignment horizontal="center" vertical="center"/>
    </xf>
    <xf numFmtId="0" fontId="108" fillId="4" borderId="66" xfId="0" applyFont="1" applyFill="1" applyBorder="1" applyAlignment="1">
      <alignment horizontal="center" vertical="center"/>
    </xf>
    <xf numFmtId="0" fontId="108" fillId="4" borderId="42" xfId="0" applyFont="1" applyFill="1" applyBorder="1" applyAlignment="1">
      <alignment horizontal="center" vertical="center"/>
    </xf>
    <xf numFmtId="9" fontId="108" fillId="4" borderId="48" xfId="0" applyNumberFormat="1" applyFont="1" applyFill="1" applyBorder="1" applyAlignment="1">
      <alignment horizontal="center" vertical="center"/>
    </xf>
    <xf numFmtId="9" fontId="108" fillId="4" borderId="6" xfId="0" applyNumberFormat="1" applyFont="1" applyFill="1" applyBorder="1" applyAlignment="1">
      <alignment horizontal="center" vertical="center"/>
    </xf>
    <xf numFmtId="9" fontId="108" fillId="4" borderId="62" xfId="0" applyNumberFormat="1" applyFont="1" applyFill="1" applyBorder="1" applyAlignment="1">
      <alignment horizontal="center" vertical="center"/>
    </xf>
    <xf numFmtId="41" fontId="84" fillId="4" borderId="27" xfId="0" applyNumberFormat="1" applyFont="1" applyFill="1" applyBorder="1">
      <alignment vertical="center"/>
    </xf>
    <xf numFmtId="41" fontId="84" fillId="4" borderId="1" xfId="0" applyNumberFormat="1" applyFont="1" applyFill="1" applyBorder="1">
      <alignment vertical="center"/>
    </xf>
    <xf numFmtId="41" fontId="84" fillId="4" borderId="1" xfId="0" applyNumberFormat="1" applyFont="1" applyFill="1" applyBorder="1" applyAlignment="1">
      <alignment horizontal="left" vertical="center"/>
    </xf>
    <xf numFmtId="41" fontId="84" fillId="4" borderId="5" xfId="0" applyNumberFormat="1" applyFont="1" applyFill="1" applyBorder="1" applyAlignment="1">
      <alignment horizontal="left" vertical="center"/>
    </xf>
    <xf numFmtId="0" fontId="108" fillId="4" borderId="63" xfId="0" applyFont="1" applyFill="1" applyBorder="1" applyAlignment="1">
      <alignment horizontal="center" vertical="center"/>
    </xf>
    <xf numFmtId="9" fontId="108" fillId="4" borderId="43" xfId="0" applyNumberFormat="1" applyFont="1" applyFill="1" applyBorder="1" applyAlignment="1">
      <alignment horizontal="center" vertical="center"/>
    </xf>
    <xf numFmtId="9" fontId="108" fillId="4" borderId="74" xfId="0" applyNumberFormat="1" applyFont="1" applyFill="1" applyBorder="1" applyAlignment="1">
      <alignment horizontal="center" vertical="center"/>
    </xf>
    <xf numFmtId="9" fontId="108" fillId="4" borderId="76" xfId="0" applyNumberFormat="1" applyFont="1" applyFill="1" applyBorder="1" applyAlignment="1">
      <alignment horizontal="center" vertical="center"/>
    </xf>
    <xf numFmtId="41" fontId="84" fillId="4" borderId="117" xfId="0" applyNumberFormat="1" applyFont="1" applyFill="1" applyBorder="1" applyAlignment="1">
      <alignment horizontal="center" vertical="center"/>
    </xf>
    <xf numFmtId="41" fontId="84" fillId="4" borderId="212" xfId="0" applyNumberFormat="1" applyFont="1" applyFill="1" applyBorder="1" applyAlignment="1">
      <alignment horizontal="center" vertical="center"/>
    </xf>
    <xf numFmtId="41" fontId="108" fillId="4" borderId="270" xfId="0" applyNumberFormat="1" applyFont="1" applyFill="1" applyBorder="1" applyAlignment="1">
      <alignment horizontal="center" vertical="top"/>
    </xf>
    <xf numFmtId="41" fontId="108" fillId="4" borderId="107" xfId="0" applyNumberFormat="1" applyFont="1" applyFill="1" applyBorder="1" applyAlignment="1">
      <alignment horizontal="center" vertical="top"/>
    </xf>
    <xf numFmtId="41" fontId="108" fillId="4" borderId="110" xfId="0" applyNumberFormat="1" applyFont="1" applyFill="1" applyBorder="1" applyAlignment="1">
      <alignment horizontal="center" vertical="top"/>
    </xf>
    <xf numFmtId="0" fontId="116" fillId="4" borderId="27" xfId="0" applyFont="1" applyFill="1" applyBorder="1" applyAlignment="1">
      <alignment horizontal="center" vertical="center"/>
    </xf>
    <xf numFmtId="0" fontId="116" fillId="4" borderId="5" xfId="0" applyFont="1" applyFill="1" applyBorder="1" applyAlignment="1">
      <alignment horizontal="center" vertical="center"/>
    </xf>
    <xf numFmtId="0" fontId="116" fillId="4" borderId="59" xfId="0" applyFont="1" applyFill="1" applyBorder="1" applyAlignment="1">
      <alignment horizontal="center" vertical="center"/>
    </xf>
    <xf numFmtId="0" fontId="116" fillId="4" borderId="1" xfId="0" applyFont="1" applyFill="1" applyBorder="1" applyAlignment="1">
      <alignment horizontal="center" vertical="center"/>
    </xf>
    <xf numFmtId="41" fontId="84" fillId="4" borderId="1" xfId="0" applyNumberFormat="1" applyFont="1" applyFill="1" applyBorder="1" applyAlignment="1">
      <alignment horizontal="left" vertical="top"/>
    </xf>
    <xf numFmtId="0" fontId="116" fillId="4" borderId="18" xfId="0" applyFont="1" applyFill="1" applyBorder="1" applyAlignment="1">
      <alignment horizontal="center" vertical="center"/>
    </xf>
    <xf numFmtId="0" fontId="108" fillId="4" borderId="270" xfId="0" applyFont="1" applyFill="1" applyBorder="1" applyAlignment="1">
      <alignment horizontal="center" vertical="center"/>
    </xf>
    <xf numFmtId="0" fontId="108" fillId="4" borderId="269" xfId="0" applyFont="1" applyFill="1" applyBorder="1" applyAlignment="1">
      <alignment horizontal="center" vertical="center"/>
    </xf>
    <xf numFmtId="0" fontId="108" fillId="4" borderId="267" xfId="0" applyFont="1" applyFill="1" applyBorder="1" applyAlignment="1">
      <alignment horizontal="center" vertical="center"/>
    </xf>
    <xf numFmtId="0" fontId="84" fillId="4" borderId="131" xfId="0" applyFont="1" applyFill="1" applyBorder="1" applyAlignment="1">
      <alignment horizontal="center" vertical="top"/>
    </xf>
    <xf numFmtId="0" fontId="84" fillId="4" borderId="212" xfId="0" applyFont="1" applyFill="1" applyBorder="1" applyAlignment="1">
      <alignment horizontal="center" vertical="top"/>
    </xf>
    <xf numFmtId="41" fontId="84" fillId="4" borderId="48" xfId="0" applyNumberFormat="1" applyFont="1" applyFill="1" applyBorder="1" applyAlignment="1">
      <alignment horizontal="center" vertical="center"/>
    </xf>
    <xf numFmtId="41" fontId="84" fillId="4" borderId="6" xfId="0" applyNumberFormat="1" applyFont="1" applyFill="1" applyBorder="1" applyAlignment="1">
      <alignment horizontal="center" vertical="center"/>
    </xf>
    <xf numFmtId="41" fontId="84" fillId="4" borderId="200" xfId="0" applyNumberFormat="1" applyFont="1" applyFill="1" applyBorder="1" applyAlignment="1">
      <alignment horizontal="center" vertical="center"/>
    </xf>
    <xf numFmtId="41" fontId="108" fillId="4" borderId="48" xfId="0" applyNumberFormat="1" applyFont="1" applyFill="1" applyBorder="1" applyAlignment="1">
      <alignment horizontal="center" vertical="top"/>
    </xf>
    <xf numFmtId="41" fontId="108" fillId="4" borderId="6" xfId="0" applyNumberFormat="1" applyFont="1" applyFill="1" applyBorder="1" applyAlignment="1">
      <alignment horizontal="center" vertical="top"/>
    </xf>
    <xf numFmtId="41" fontId="108" fillId="4" borderId="200" xfId="0" applyNumberFormat="1" applyFont="1" applyFill="1" applyBorder="1" applyAlignment="1">
      <alignment horizontal="center" vertical="top"/>
    </xf>
    <xf numFmtId="0" fontId="108" fillId="4" borderId="200" xfId="0" applyFont="1" applyFill="1" applyBorder="1" applyAlignment="1">
      <alignment horizontal="center" vertical="center"/>
    </xf>
    <xf numFmtId="0" fontId="108" fillId="4" borderId="42" xfId="0" applyFont="1" applyFill="1" applyBorder="1" applyAlignment="1">
      <alignment horizontal="center" vertical="top"/>
    </xf>
    <xf numFmtId="0" fontId="108" fillId="4" borderId="107" xfId="0" applyFont="1" applyFill="1" applyBorder="1" applyAlignment="1">
      <alignment horizontal="center" vertical="top"/>
    </xf>
    <xf numFmtId="0" fontId="108" fillId="4" borderId="110" xfId="0" applyFont="1" applyFill="1" applyBorder="1" applyAlignment="1">
      <alignment horizontal="center" vertical="top"/>
    </xf>
    <xf numFmtId="41" fontId="84" fillId="4" borderId="27" xfId="0" applyNumberFormat="1" applyFont="1" applyFill="1" applyBorder="1" applyAlignment="1">
      <alignment horizontal="left" vertical="top"/>
    </xf>
    <xf numFmtId="41" fontId="84" fillId="4" borderId="5" xfId="0" applyNumberFormat="1" applyFont="1" applyFill="1" applyBorder="1" applyAlignment="1">
      <alignment horizontal="left" vertical="top"/>
    </xf>
    <xf numFmtId="0" fontId="93" fillId="4" borderId="15" xfId="0" applyFont="1" applyFill="1" applyBorder="1" applyAlignment="1">
      <alignment horizontal="center" vertical="center"/>
    </xf>
    <xf numFmtId="0" fontId="93" fillId="4" borderId="45" xfId="0" applyFont="1" applyFill="1" applyBorder="1" applyAlignment="1">
      <alignment horizontal="center" vertical="center"/>
    </xf>
    <xf numFmtId="0" fontId="93" fillId="4" borderId="67" xfId="0" applyFont="1" applyFill="1" applyBorder="1" applyAlignment="1">
      <alignment horizontal="center" vertical="center"/>
    </xf>
    <xf numFmtId="0" fontId="116" fillId="2" borderId="18" xfId="0" applyFont="1" applyFill="1" applyBorder="1" applyAlignment="1">
      <alignment horizontal="center" vertical="center"/>
    </xf>
    <xf numFmtId="0" fontId="116" fillId="4" borderId="58" xfId="0" applyFont="1" applyFill="1" applyBorder="1" applyAlignment="1">
      <alignment horizontal="center" vertical="center"/>
    </xf>
    <xf numFmtId="0" fontId="116" fillId="4" borderId="55" xfId="0" applyFont="1" applyFill="1" applyBorder="1" applyAlignment="1">
      <alignment horizontal="center" vertical="center"/>
    </xf>
    <xf numFmtId="0" fontId="116" fillId="4" borderId="13" xfId="0" applyFont="1" applyFill="1" applyBorder="1" applyAlignment="1">
      <alignment horizontal="center" vertical="center"/>
    </xf>
    <xf numFmtId="0" fontId="116" fillId="2" borderId="27" xfId="0" applyFont="1" applyFill="1" applyBorder="1" applyAlignment="1">
      <alignment horizontal="center" vertical="center"/>
    </xf>
    <xf numFmtId="0" fontId="116" fillId="4" borderId="112" xfId="0" applyFont="1" applyFill="1" applyBorder="1" applyAlignment="1">
      <alignment horizontal="center" vertical="center"/>
    </xf>
    <xf numFmtId="41" fontId="108" fillId="4" borderId="27" xfId="0" applyNumberFormat="1" applyFont="1" applyFill="1" applyBorder="1" applyAlignment="1">
      <alignment horizontal="center" vertical="center"/>
    </xf>
    <xf numFmtId="0" fontId="116" fillId="4" borderId="190" xfId="0" applyFont="1" applyFill="1" applyBorder="1" applyAlignment="1">
      <alignment horizontal="center" vertical="center"/>
    </xf>
    <xf numFmtId="0" fontId="116" fillId="4" borderId="191" xfId="0" applyFont="1" applyFill="1" applyBorder="1" applyAlignment="1">
      <alignment horizontal="center" vertical="center"/>
    </xf>
    <xf numFmtId="9" fontId="108" fillId="4" borderId="287" xfId="0" applyNumberFormat="1" applyFont="1" applyFill="1" applyBorder="1" applyAlignment="1">
      <alignment horizontal="center" vertical="center" wrapText="1"/>
    </xf>
    <xf numFmtId="9" fontId="108" fillId="4" borderId="277" xfId="0" applyNumberFormat="1" applyFont="1" applyFill="1" applyBorder="1" applyAlignment="1">
      <alignment horizontal="center" vertical="center" wrapText="1"/>
    </xf>
    <xf numFmtId="9" fontId="108" fillId="4" borderId="276" xfId="0" applyNumberFormat="1" applyFont="1" applyFill="1" applyBorder="1" applyAlignment="1">
      <alignment horizontal="center" vertical="center" wrapText="1"/>
    </xf>
    <xf numFmtId="41" fontId="108" fillId="4" borderId="278" xfId="0" applyNumberFormat="1" applyFont="1" applyFill="1" applyBorder="1" applyAlignment="1">
      <alignment horizontal="center" vertical="center"/>
    </xf>
    <xf numFmtId="41" fontId="108" fillId="4" borderId="197" xfId="0" applyNumberFormat="1" applyFont="1" applyFill="1" applyBorder="1" applyAlignment="1">
      <alignment horizontal="center" vertical="center"/>
    </xf>
    <xf numFmtId="41" fontId="108" fillId="4" borderId="72" xfId="0" applyNumberFormat="1" applyFont="1" applyFill="1" applyBorder="1" applyAlignment="1">
      <alignment horizontal="center" vertical="center"/>
    </xf>
    <xf numFmtId="9" fontId="108" fillId="4" borderId="42" xfId="0" applyNumberFormat="1" applyFont="1" applyFill="1" applyBorder="1" applyAlignment="1">
      <alignment horizontal="center" vertical="center"/>
    </xf>
    <xf numFmtId="9" fontId="108" fillId="4" borderId="107" xfId="0" applyNumberFormat="1" applyFont="1" applyFill="1" applyBorder="1" applyAlignment="1">
      <alignment horizontal="center" vertical="center"/>
    </xf>
    <xf numFmtId="9" fontId="108" fillId="4" borderId="56" xfId="0" applyNumberFormat="1" applyFont="1" applyFill="1" applyBorder="1" applyAlignment="1">
      <alignment horizontal="center" vertical="center"/>
    </xf>
    <xf numFmtId="0" fontId="93" fillId="4" borderId="190" xfId="0" applyFont="1" applyFill="1" applyBorder="1" applyAlignment="1">
      <alignment horizontal="center" vertical="center"/>
    </xf>
    <xf numFmtId="0" fontId="93" fillId="4" borderId="191" xfId="0" applyFont="1" applyFill="1" applyBorder="1" applyAlignment="1">
      <alignment horizontal="center" vertical="center"/>
    </xf>
    <xf numFmtId="0" fontId="93" fillId="4" borderId="1" xfId="0" applyFont="1" applyFill="1" applyBorder="1" applyAlignment="1">
      <alignment horizontal="center" vertical="center"/>
    </xf>
    <xf numFmtId="0" fontId="93" fillId="4" borderId="5" xfId="0" applyFont="1" applyFill="1" applyBorder="1" applyAlignment="1">
      <alignment horizontal="center" vertical="center"/>
    </xf>
    <xf numFmtId="0" fontId="93" fillId="4" borderId="204" xfId="0" applyFont="1" applyFill="1" applyBorder="1" applyAlignment="1">
      <alignment horizontal="center" vertical="center"/>
    </xf>
    <xf numFmtId="0" fontId="93" fillId="4" borderId="205" xfId="0" applyFont="1" applyFill="1" applyBorder="1" applyAlignment="1">
      <alignment horizontal="center" vertical="center"/>
    </xf>
    <xf numFmtId="0" fontId="93" fillId="4" borderId="206" xfId="0" applyFont="1" applyFill="1" applyBorder="1" applyAlignment="1">
      <alignment horizontal="center" vertical="center"/>
    </xf>
    <xf numFmtId="0" fontId="37" fillId="3" borderId="0" xfId="0" applyFont="1" applyFill="1" applyAlignment="1">
      <alignment horizontal="center" vertical="center"/>
    </xf>
    <xf numFmtId="0" fontId="11" fillId="3" borderId="27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9" fillId="3" borderId="27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19" fillId="3" borderId="27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11" fillId="3" borderId="6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9" fillId="3" borderId="6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3" borderId="6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6" fillId="0" borderId="175" xfId="0" applyFont="1" applyBorder="1" applyAlignment="1">
      <alignment horizontal="center" vertical="center"/>
    </xf>
    <xf numFmtId="0" fontId="26" fillId="0" borderId="97" xfId="0" applyFont="1" applyBorder="1" applyAlignment="1">
      <alignment horizontal="center" vertical="center"/>
    </xf>
    <xf numFmtId="0" fontId="26" fillId="0" borderId="100" xfId="0" applyFont="1" applyBorder="1" applyAlignment="1">
      <alignment horizontal="center" vertical="center"/>
    </xf>
    <xf numFmtId="0" fontId="22" fillId="0" borderId="175" xfId="0" applyFont="1" applyBorder="1" applyAlignment="1">
      <alignment horizontal="center" vertical="center"/>
    </xf>
    <xf numFmtId="0" fontId="22" fillId="0" borderId="97" xfId="0" applyFont="1" applyBorder="1" applyAlignment="1">
      <alignment horizontal="center" vertical="center"/>
    </xf>
    <xf numFmtId="0" fontId="22" fillId="0" borderId="100" xfId="0" applyFont="1" applyBorder="1" applyAlignment="1">
      <alignment horizontal="center" vertical="center"/>
    </xf>
    <xf numFmtId="38" fontId="26" fillId="8" borderId="165" xfId="0" applyNumberFormat="1" applyFont="1" applyFill="1" applyBorder="1" applyAlignment="1">
      <alignment horizontal="center" vertical="center"/>
    </xf>
    <xf numFmtId="38" fontId="26" fillId="8" borderId="166" xfId="0" applyNumberFormat="1" applyFont="1" applyFill="1" applyBorder="1" applyAlignment="1">
      <alignment horizontal="center" vertical="center"/>
    </xf>
    <xf numFmtId="38" fontId="26" fillId="8" borderId="167" xfId="0" applyNumberFormat="1" applyFont="1" applyFill="1" applyBorder="1" applyAlignment="1">
      <alignment horizontal="center" vertical="center"/>
    </xf>
    <xf numFmtId="178" fontId="26" fillId="7" borderId="166" xfId="0" applyNumberFormat="1" applyFont="1" applyFill="1" applyBorder="1" applyAlignment="1">
      <alignment horizontal="center" vertical="center"/>
    </xf>
    <xf numFmtId="178" fontId="26" fillId="7" borderId="167" xfId="0" applyNumberFormat="1" applyFont="1" applyFill="1" applyBorder="1" applyAlignment="1">
      <alignment horizontal="center" vertical="center"/>
    </xf>
    <xf numFmtId="38" fontId="26" fillId="8" borderId="168" xfId="0" applyNumberFormat="1" applyFont="1" applyFill="1" applyBorder="1" applyAlignment="1">
      <alignment horizontal="center" vertical="center"/>
    </xf>
    <xf numFmtId="178" fontId="26" fillId="7" borderId="165" xfId="0" applyNumberFormat="1" applyFont="1" applyFill="1" applyBorder="1" applyAlignment="1">
      <alignment horizontal="center" vertical="center"/>
    </xf>
    <xf numFmtId="190" fontId="16" fillId="7" borderId="164" xfId="0" applyNumberFormat="1" applyFont="1" applyFill="1" applyBorder="1" applyAlignment="1">
      <alignment horizontal="center" vertical="center" wrapText="1"/>
    </xf>
    <xf numFmtId="190" fontId="16" fillId="7" borderId="146" xfId="0" applyNumberFormat="1" applyFont="1" applyFill="1" applyBorder="1" applyAlignment="1">
      <alignment horizontal="center" vertical="center"/>
    </xf>
    <xf numFmtId="190" fontId="16" fillId="7" borderId="162" xfId="0" applyNumberFormat="1" applyFont="1" applyFill="1" applyBorder="1" applyAlignment="1">
      <alignment horizontal="center" vertical="center" wrapText="1"/>
    </xf>
    <xf numFmtId="190" fontId="16" fillId="7" borderId="145" xfId="0" applyNumberFormat="1" applyFont="1" applyFill="1" applyBorder="1" applyAlignment="1">
      <alignment horizontal="center" vertical="center"/>
    </xf>
    <xf numFmtId="190" fontId="16" fillId="7" borderId="163" xfId="0" applyNumberFormat="1" applyFont="1" applyFill="1" applyBorder="1" applyAlignment="1">
      <alignment horizontal="center" vertical="center" wrapText="1"/>
    </xf>
    <xf numFmtId="190" fontId="16" fillId="7" borderId="28" xfId="0" applyNumberFormat="1" applyFont="1" applyFill="1" applyBorder="1" applyAlignment="1">
      <alignment horizontal="center" vertical="center"/>
    </xf>
    <xf numFmtId="0" fontId="26" fillId="7" borderId="153" xfId="0" applyFont="1" applyFill="1" applyBorder="1" applyAlignment="1">
      <alignment horizontal="center" vertical="center"/>
    </xf>
    <xf numFmtId="0" fontId="26" fillId="7" borderId="169" xfId="0" applyFont="1" applyFill="1" applyBorder="1" applyAlignment="1">
      <alignment horizontal="center" vertical="center"/>
    </xf>
    <xf numFmtId="0" fontId="16" fillId="7" borderId="102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0" fontId="116" fillId="4" borderId="3" xfId="0" applyFont="1" applyFill="1" applyBorder="1" applyAlignment="1">
      <alignment horizontal="center" vertical="center"/>
    </xf>
    <xf numFmtId="0" fontId="116" fillId="4" borderId="26" xfId="0" applyFont="1" applyFill="1" applyBorder="1" applyAlignment="1">
      <alignment horizontal="center" vertical="center"/>
    </xf>
    <xf numFmtId="0" fontId="116" fillId="4" borderId="10" xfId="0" applyFont="1" applyFill="1" applyBorder="1" applyAlignment="1">
      <alignment horizontal="center" vertical="center"/>
    </xf>
    <xf numFmtId="41" fontId="93" fillId="4" borderId="119" xfId="0" applyNumberFormat="1" applyFont="1" applyFill="1" applyBorder="1" applyAlignment="1">
      <alignment horizontal="center" vertical="center"/>
    </xf>
    <xf numFmtId="41" fontId="93" fillId="4" borderId="115" xfId="0" applyNumberFormat="1" applyFont="1" applyFill="1" applyBorder="1" applyAlignment="1">
      <alignment horizontal="center" vertical="center"/>
    </xf>
    <xf numFmtId="41" fontId="93" fillId="4" borderId="87" xfId="0" applyNumberFormat="1" applyFont="1" applyFill="1" applyBorder="1" applyAlignment="1">
      <alignment horizontal="center" vertical="center"/>
    </xf>
    <xf numFmtId="41" fontId="93" fillId="4" borderId="8" xfId="0" applyNumberFormat="1" applyFont="1" applyFill="1" applyBorder="1" applyAlignment="1">
      <alignment horizontal="center" vertical="center"/>
    </xf>
    <xf numFmtId="41" fontId="93" fillId="4" borderId="0" xfId="0" applyNumberFormat="1" applyFont="1" applyFill="1" applyAlignment="1">
      <alignment horizontal="center" vertical="center"/>
    </xf>
    <xf numFmtId="41" fontId="93" fillId="4" borderId="10" xfId="0" applyNumberFormat="1" applyFont="1" applyFill="1" applyBorder="1" applyAlignment="1">
      <alignment horizontal="center" vertical="center"/>
    </xf>
    <xf numFmtId="41" fontId="93" fillId="4" borderId="118" xfId="0" applyNumberFormat="1" applyFont="1" applyFill="1" applyBorder="1" applyAlignment="1">
      <alignment horizontal="center" vertical="center"/>
    </xf>
    <xf numFmtId="41" fontId="93" fillId="4" borderId="114" xfId="0" applyNumberFormat="1" applyFont="1" applyFill="1" applyBorder="1" applyAlignment="1">
      <alignment horizontal="center" vertical="center"/>
    </xf>
    <xf numFmtId="41" fontId="93" fillId="4" borderId="90" xfId="0" applyNumberFormat="1" applyFont="1" applyFill="1" applyBorder="1" applyAlignment="1">
      <alignment horizontal="center" vertical="center"/>
    </xf>
    <xf numFmtId="41" fontId="93" fillId="4" borderId="68" xfId="0" applyNumberFormat="1" applyFont="1" applyFill="1" applyBorder="1" applyAlignment="1">
      <alignment horizontal="center" vertical="center"/>
    </xf>
    <xf numFmtId="41" fontId="93" fillId="4" borderId="91" xfId="0" applyNumberFormat="1" applyFont="1" applyFill="1" applyBorder="1" applyAlignment="1">
      <alignment horizontal="center" vertical="center"/>
    </xf>
    <xf numFmtId="0" fontId="116" fillId="4" borderId="35" xfId="0" applyFont="1" applyFill="1" applyBorder="1" applyAlignment="1">
      <alignment horizontal="center" vertical="center"/>
    </xf>
    <xf numFmtId="0" fontId="116" fillId="4" borderId="65" xfId="0" applyFont="1" applyFill="1" applyBorder="1" applyAlignment="1">
      <alignment horizontal="center" vertical="center"/>
    </xf>
    <xf numFmtId="0" fontId="116" fillId="4" borderId="8" xfId="0" applyFont="1" applyFill="1" applyBorder="1" applyAlignment="1">
      <alignment horizontal="center" vertical="center"/>
    </xf>
    <xf numFmtId="0" fontId="116" fillId="4" borderId="42" xfId="0" applyFont="1" applyFill="1" applyBorder="1" applyAlignment="1">
      <alignment horizontal="center" vertical="center"/>
    </xf>
    <xf numFmtId="41" fontId="93" fillId="4" borderId="27" xfId="0" applyNumberFormat="1" applyFont="1" applyFill="1" applyBorder="1" applyAlignment="1">
      <alignment horizontal="left" vertical="center"/>
    </xf>
    <xf numFmtId="41" fontId="93" fillId="4" borderId="1" xfId="0" applyNumberFormat="1" applyFont="1" applyFill="1" applyBorder="1" applyAlignment="1">
      <alignment horizontal="left" vertical="center"/>
    </xf>
    <xf numFmtId="41" fontId="93" fillId="4" borderId="5" xfId="0" applyNumberFormat="1" applyFont="1" applyFill="1" applyBorder="1" applyAlignment="1">
      <alignment horizontal="left" vertical="center"/>
    </xf>
    <xf numFmtId="0" fontId="116" fillId="4" borderId="64" xfId="0" applyFont="1" applyFill="1" applyBorder="1" applyAlignment="1">
      <alignment horizontal="center" vertical="center"/>
    </xf>
    <xf numFmtId="0" fontId="116" fillId="4" borderId="63" xfId="0" applyFont="1" applyFill="1" applyBorder="1" applyAlignment="1">
      <alignment horizontal="center" vertical="center"/>
    </xf>
    <xf numFmtId="0" fontId="116" fillId="4" borderId="61" xfId="0" applyFont="1" applyFill="1" applyBorder="1" applyAlignment="1">
      <alignment horizontal="center" vertical="center"/>
    </xf>
    <xf numFmtId="187" fontId="93" fillId="4" borderId="34" xfId="0" applyNumberFormat="1" applyFont="1" applyFill="1" applyBorder="1" applyAlignment="1">
      <alignment horizontal="center" vertical="center" wrapText="1"/>
    </xf>
    <xf numFmtId="187" fontId="93" fillId="4" borderId="69" xfId="0" applyNumberFormat="1" applyFont="1" applyFill="1" applyBorder="1" applyAlignment="1">
      <alignment horizontal="center" vertical="center" wrapText="1"/>
    </xf>
    <xf numFmtId="187" fontId="93" fillId="4" borderId="46" xfId="0" applyNumberFormat="1" applyFont="1" applyFill="1" applyBorder="1" applyAlignment="1">
      <alignment horizontal="center" vertical="center" wrapText="1"/>
    </xf>
    <xf numFmtId="41" fontId="93" fillId="4" borderId="66" xfId="0" applyNumberFormat="1" applyFont="1" applyFill="1" applyBorder="1" applyAlignment="1">
      <alignment horizontal="center" vertical="center"/>
    </xf>
    <xf numFmtId="0" fontId="116" fillId="4" borderId="43" xfId="0" applyFont="1" applyFill="1" applyBorder="1" applyAlignment="1">
      <alignment horizontal="center" vertical="center"/>
    </xf>
    <xf numFmtId="0" fontId="116" fillId="4" borderId="20" xfId="0" applyFont="1" applyFill="1" applyBorder="1" applyAlignment="1">
      <alignment horizontal="center" vertical="center"/>
    </xf>
    <xf numFmtId="0" fontId="93" fillId="4" borderId="65" xfId="0" applyFont="1" applyFill="1" applyBorder="1" applyAlignment="1">
      <alignment horizontal="center" vertical="center"/>
    </xf>
    <xf numFmtId="0" fontId="93" fillId="4" borderId="50" xfId="0" applyFont="1" applyFill="1" applyBorder="1" applyAlignment="1">
      <alignment horizontal="center" vertical="center"/>
    </xf>
    <xf numFmtId="0" fontId="93" fillId="4" borderId="25" xfId="0" applyFont="1" applyFill="1" applyBorder="1" applyAlignment="1">
      <alignment horizontal="center" vertical="center"/>
    </xf>
    <xf numFmtId="0" fontId="93" fillId="4" borderId="8" xfId="0" applyFont="1" applyFill="1" applyBorder="1" applyAlignment="1">
      <alignment horizontal="center" vertical="center"/>
    </xf>
    <xf numFmtId="0" fontId="93" fillId="4" borderId="0" xfId="0" applyFont="1" applyFill="1" applyAlignment="1">
      <alignment horizontal="center" vertical="center"/>
    </xf>
    <xf numFmtId="0" fontId="93" fillId="4" borderId="24" xfId="0" applyFont="1" applyFill="1" applyBorder="1" applyAlignment="1">
      <alignment horizontal="center" vertical="center"/>
    </xf>
    <xf numFmtId="0" fontId="93" fillId="4" borderId="42" xfId="0" applyFont="1" applyFill="1" applyBorder="1" applyAlignment="1">
      <alignment horizontal="center" vertical="center"/>
    </xf>
    <xf numFmtId="0" fontId="93" fillId="4" borderId="107" xfId="0" applyFont="1" applyFill="1" applyBorder="1" applyAlignment="1">
      <alignment horizontal="center" vertical="center"/>
    </xf>
    <xf numFmtId="0" fontId="93" fillId="4" borderId="110" xfId="0" applyFont="1" applyFill="1" applyBorder="1" applyAlignment="1">
      <alignment horizontal="center" vertical="center"/>
    </xf>
    <xf numFmtId="0" fontId="93" fillId="4" borderId="38" xfId="0" applyFont="1" applyFill="1" applyBorder="1" applyAlignment="1">
      <alignment horizontal="center" vertical="center"/>
    </xf>
    <xf numFmtId="0" fontId="116" fillId="4" borderId="76" xfId="0" applyFont="1" applyFill="1" applyBorder="1" applyAlignment="1">
      <alignment horizontal="center" vertical="center"/>
    </xf>
    <xf numFmtId="0" fontId="93" fillId="4" borderId="21" xfId="0" applyFont="1" applyFill="1" applyBorder="1" applyAlignment="1">
      <alignment horizontal="center" vertical="center"/>
    </xf>
    <xf numFmtId="0" fontId="93" fillId="4" borderId="80" xfId="0" applyFont="1" applyFill="1" applyBorder="1" applyAlignment="1">
      <alignment horizontal="center" vertical="center"/>
    </xf>
    <xf numFmtId="0" fontId="116" fillId="8" borderId="36" xfId="0" applyFont="1" applyFill="1" applyBorder="1" applyAlignment="1">
      <alignment horizontal="center" vertical="center"/>
    </xf>
    <xf numFmtId="0" fontId="116" fillId="8" borderId="111" xfId="0" applyFont="1" applyFill="1" applyBorder="1" applyAlignment="1">
      <alignment horizontal="center" vertical="center"/>
    </xf>
    <xf numFmtId="0" fontId="116" fillId="8" borderId="84" xfId="0" applyFont="1" applyFill="1" applyBorder="1" applyAlignment="1">
      <alignment horizontal="center" vertical="center"/>
    </xf>
    <xf numFmtId="0" fontId="116" fillId="8" borderId="40" xfId="0" applyFont="1" applyFill="1" applyBorder="1" applyAlignment="1">
      <alignment horizontal="center" vertical="center"/>
    </xf>
    <xf numFmtId="0" fontId="116" fillId="8" borderId="74" xfId="0" applyFont="1" applyFill="1" applyBorder="1" applyAlignment="1">
      <alignment horizontal="center" vertical="center"/>
    </xf>
    <xf numFmtId="0" fontId="116" fillId="8" borderId="70" xfId="0" applyFont="1" applyFill="1" applyBorder="1" applyAlignment="1">
      <alignment horizontal="center" vertical="center"/>
    </xf>
    <xf numFmtId="41" fontId="93" fillId="4" borderId="65" xfId="0" applyNumberFormat="1" applyFont="1" applyFill="1" applyBorder="1" applyAlignment="1">
      <alignment horizontal="center" vertical="center"/>
    </xf>
    <xf numFmtId="41" fontId="93" fillId="4" borderId="50" xfId="0" applyNumberFormat="1" applyFont="1" applyFill="1" applyBorder="1" applyAlignment="1">
      <alignment horizontal="center" vertical="center"/>
    </xf>
    <xf numFmtId="41" fontId="116" fillId="4" borderId="43" xfId="0" applyNumberFormat="1" applyFont="1" applyFill="1" applyBorder="1" applyAlignment="1">
      <alignment horizontal="center" vertical="center"/>
    </xf>
    <xf numFmtId="41" fontId="116" fillId="4" borderId="74" xfId="0" applyNumberFormat="1" applyFont="1" applyFill="1" applyBorder="1" applyAlignment="1">
      <alignment horizontal="center" vertical="center"/>
    </xf>
    <xf numFmtId="41" fontId="116" fillId="4" borderId="70" xfId="0" applyNumberFormat="1" applyFont="1" applyFill="1" applyBorder="1" applyAlignment="1">
      <alignment horizontal="center" vertical="center"/>
    </xf>
    <xf numFmtId="41" fontId="116" fillId="4" borderId="6" xfId="0" applyNumberFormat="1" applyFont="1" applyFill="1" applyBorder="1" applyAlignment="1">
      <alignment horizontal="center" vertical="center"/>
    </xf>
    <xf numFmtId="0" fontId="116" fillId="4" borderId="68" xfId="0" applyFont="1" applyFill="1" applyBorder="1" applyAlignment="1">
      <alignment horizontal="center" vertical="center"/>
    </xf>
    <xf numFmtId="195" fontId="116" fillId="4" borderId="20" xfId="0" applyNumberFormat="1" applyFont="1" applyFill="1" applyBorder="1" applyAlignment="1">
      <alignment horizontal="center" vertical="center" wrapText="1"/>
    </xf>
    <xf numFmtId="195" fontId="116" fillId="4" borderId="16" xfId="0" applyNumberFormat="1" applyFont="1" applyFill="1" applyBorder="1" applyAlignment="1">
      <alignment horizontal="center" vertical="center" wrapText="1"/>
    </xf>
    <xf numFmtId="0" fontId="116" fillId="3" borderId="15" xfId="0" applyFont="1" applyFill="1" applyBorder="1" applyAlignment="1">
      <alignment horizontal="center" vertical="center"/>
    </xf>
    <xf numFmtId="0" fontId="116" fillId="3" borderId="45" xfId="0" applyFont="1" applyFill="1" applyBorder="1" applyAlignment="1">
      <alignment horizontal="center" vertical="center"/>
    </xf>
    <xf numFmtId="0" fontId="116" fillId="3" borderId="67" xfId="0" applyFont="1" applyFill="1" applyBorder="1" applyAlignment="1">
      <alignment horizontal="center" vertical="center"/>
    </xf>
    <xf numFmtId="0" fontId="116" fillId="4" borderId="43" xfId="0" applyFont="1" applyFill="1" applyBorder="1" applyAlignment="1">
      <alignment horizontal="left" vertical="center"/>
    </xf>
    <xf numFmtId="0" fontId="116" fillId="4" borderId="91" xfId="0" applyFont="1" applyFill="1" applyBorder="1" applyAlignment="1">
      <alignment horizontal="left" vertical="center"/>
    </xf>
    <xf numFmtId="0" fontId="116" fillId="4" borderId="66" xfId="0" applyFont="1" applyFill="1" applyBorder="1" applyAlignment="1">
      <alignment horizontal="left" vertical="center"/>
    </xf>
    <xf numFmtId="194" fontId="93" fillId="4" borderId="43" xfId="0" applyNumberFormat="1" applyFont="1" applyFill="1" applyBorder="1" applyAlignment="1">
      <alignment horizontal="center" vertical="center"/>
    </xf>
    <xf numFmtId="194" fontId="93" fillId="4" borderId="70" xfId="0" applyNumberFormat="1" applyFont="1" applyFill="1" applyBorder="1" applyAlignment="1">
      <alignment horizontal="center" vertical="center"/>
    </xf>
    <xf numFmtId="194" fontId="116" fillId="4" borderId="20" xfId="0" applyNumberFormat="1" applyFont="1" applyFill="1" applyBorder="1" applyAlignment="1">
      <alignment horizontal="center" vertical="center"/>
    </xf>
    <xf numFmtId="194" fontId="116" fillId="4" borderId="16" xfId="0" applyNumberFormat="1" applyFont="1" applyFill="1" applyBorder="1" applyAlignment="1">
      <alignment horizontal="center" vertical="center"/>
    </xf>
    <xf numFmtId="0" fontId="13" fillId="4" borderId="58" xfId="0" applyFont="1" applyFill="1" applyBorder="1" applyAlignment="1">
      <alignment horizontal="center" vertical="center" wrapText="1"/>
    </xf>
    <xf numFmtId="0" fontId="13" fillId="4" borderId="55" xfId="0" applyFont="1" applyFill="1" applyBorder="1" applyAlignment="1">
      <alignment horizontal="center" vertical="center" wrapText="1"/>
    </xf>
    <xf numFmtId="0" fontId="13" fillId="4" borderId="64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vertical="center"/>
    </xf>
    <xf numFmtId="0" fontId="12" fillId="4" borderId="45" xfId="0" applyFont="1" applyFill="1" applyBorder="1" applyAlignment="1">
      <alignment horizontal="center" vertical="center"/>
    </xf>
    <xf numFmtId="0" fontId="68" fillId="4" borderId="15" xfId="0" applyFont="1" applyFill="1" applyBorder="1" applyAlignment="1">
      <alignment horizontal="center" vertical="center"/>
    </xf>
    <xf numFmtId="0" fontId="68" fillId="4" borderId="45" xfId="0" applyFont="1" applyFill="1" applyBorder="1" applyAlignment="1">
      <alignment horizontal="center" vertical="center"/>
    </xf>
    <xf numFmtId="0" fontId="68" fillId="4" borderId="16" xfId="0" applyFont="1" applyFill="1" applyBorder="1" applyAlignment="1">
      <alignment horizontal="center" vertical="center"/>
    </xf>
    <xf numFmtId="182" fontId="16" fillId="4" borderId="15" xfId="0" applyNumberFormat="1" applyFont="1" applyFill="1" applyBorder="1" applyAlignment="1">
      <alignment horizontal="center" vertical="center"/>
    </xf>
    <xf numFmtId="182" fontId="16" fillId="4" borderId="45" xfId="0" applyNumberFormat="1" applyFont="1" applyFill="1" applyBorder="1" applyAlignment="1">
      <alignment horizontal="center" vertical="center"/>
    </xf>
    <xf numFmtId="182" fontId="16" fillId="4" borderId="16" xfId="0" applyNumberFormat="1" applyFont="1" applyFill="1" applyBorder="1" applyAlignment="1">
      <alignment horizontal="center" vertical="center"/>
    </xf>
    <xf numFmtId="41" fontId="13" fillId="4" borderId="15" xfId="0" applyNumberFormat="1" applyFont="1" applyFill="1" applyBorder="1" applyAlignment="1">
      <alignment horizontal="center" vertical="center"/>
    </xf>
    <xf numFmtId="41" fontId="13" fillId="4" borderId="67" xfId="0" applyNumberFormat="1" applyFont="1" applyFill="1" applyBorder="1" applyAlignment="1">
      <alignment horizontal="center" vertical="center"/>
    </xf>
    <xf numFmtId="41" fontId="13" fillId="4" borderId="80" xfId="0" applyNumberFormat="1" applyFont="1" applyFill="1" applyBorder="1" applyAlignment="1">
      <alignment horizontal="center" vertical="center"/>
    </xf>
    <xf numFmtId="41" fontId="13" fillId="4" borderId="21" xfId="0" applyNumberFormat="1" applyFont="1" applyFill="1" applyBorder="1" applyAlignment="1">
      <alignment horizontal="center" vertical="center"/>
    </xf>
    <xf numFmtId="41" fontId="13" fillId="4" borderId="38" xfId="0" applyNumberFormat="1" applyFont="1" applyFill="1" applyBorder="1" applyAlignment="1">
      <alignment horizontal="center" vertical="center"/>
    </xf>
    <xf numFmtId="0" fontId="13" fillId="4" borderId="45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left" vertical="center"/>
    </xf>
    <xf numFmtId="0" fontId="14" fillId="4" borderId="10" xfId="0" applyFont="1" applyFill="1" applyBorder="1" applyAlignment="1">
      <alignment horizontal="left" vertical="center"/>
    </xf>
    <xf numFmtId="0" fontId="13" fillId="4" borderId="67" xfId="0" applyFont="1" applyFill="1" applyBorder="1" applyAlignment="1">
      <alignment horizontal="center" vertical="center"/>
    </xf>
    <xf numFmtId="180" fontId="68" fillId="12" borderId="0" xfId="0" applyNumberFormat="1" applyFont="1" applyFill="1" applyAlignment="1">
      <alignment horizontal="center" vertical="center"/>
    </xf>
    <xf numFmtId="182" fontId="13" fillId="4" borderId="20" xfId="0" applyNumberFormat="1" applyFont="1" applyFill="1" applyBorder="1" applyAlignment="1">
      <alignment horizontal="center" vertical="center"/>
    </xf>
    <xf numFmtId="182" fontId="13" fillId="4" borderId="67" xfId="0" applyNumberFormat="1" applyFont="1" applyFill="1" applyBorder="1" applyAlignment="1">
      <alignment horizontal="center" vertical="center"/>
    </xf>
    <xf numFmtId="41" fontId="12" fillId="4" borderId="65" xfId="0" applyNumberFormat="1" applyFont="1" applyFill="1" applyBorder="1" applyAlignment="1">
      <alignment horizontal="center" vertical="top"/>
    </xf>
    <xf numFmtId="41" fontId="12" fillId="4" borderId="8" xfId="0" applyNumberFormat="1" applyFont="1" applyFill="1" applyBorder="1" applyAlignment="1">
      <alignment horizontal="center" vertical="top"/>
    </xf>
    <xf numFmtId="41" fontId="12" fillId="4" borderId="68" xfId="0" applyNumberFormat="1" applyFont="1" applyFill="1" applyBorder="1" applyAlignment="1">
      <alignment horizontal="center" vertical="top"/>
    </xf>
    <xf numFmtId="41" fontId="13" fillId="4" borderId="37" xfId="0" applyNumberFormat="1" applyFont="1" applyFill="1" applyBorder="1" applyAlignment="1">
      <alignment horizontal="center" vertical="center"/>
    </xf>
    <xf numFmtId="41" fontId="13" fillId="4" borderId="45" xfId="0" applyNumberFormat="1" applyFont="1" applyFill="1" applyBorder="1" applyAlignment="1">
      <alignment horizontal="center" vertical="center"/>
    </xf>
    <xf numFmtId="41" fontId="13" fillId="4" borderId="16" xfId="0" applyNumberFormat="1" applyFont="1" applyFill="1" applyBorder="1" applyAlignment="1">
      <alignment horizontal="center" vertical="center"/>
    </xf>
    <xf numFmtId="41" fontId="12" fillId="4" borderId="80" xfId="0" applyNumberFormat="1" applyFont="1" applyFill="1" applyBorder="1" applyAlignment="1">
      <alignment horizontal="center" vertical="top"/>
    </xf>
    <xf numFmtId="41" fontId="12" fillId="4" borderId="21" xfId="0" applyNumberFormat="1" applyFont="1" applyFill="1" applyBorder="1" applyAlignment="1">
      <alignment horizontal="center" vertical="top"/>
    </xf>
    <xf numFmtId="41" fontId="12" fillId="4" borderId="73" xfId="0" applyNumberFormat="1" applyFont="1" applyFill="1" applyBorder="1" applyAlignment="1">
      <alignment horizontal="center" vertical="top"/>
    </xf>
    <xf numFmtId="0" fontId="106" fillId="4" borderId="64" xfId="0" applyFont="1" applyFill="1" applyBorder="1" applyAlignment="1">
      <alignment horizontal="center" vertical="center"/>
    </xf>
    <xf numFmtId="0" fontId="106" fillId="4" borderId="35" xfId="0" applyFont="1" applyFill="1" applyBorder="1" applyAlignment="1">
      <alignment horizontal="center" vertical="center"/>
    </xf>
    <xf numFmtId="180" fontId="112" fillId="12" borderId="61" xfId="0" applyNumberFormat="1" applyFont="1" applyFill="1" applyBorder="1" applyAlignment="1">
      <alignment horizontal="center" vertical="center" wrapText="1"/>
    </xf>
    <xf numFmtId="180" fontId="112" fillId="12" borderId="5" xfId="0" applyNumberFormat="1" applyFont="1" applyFill="1" applyBorder="1" applyAlignment="1">
      <alignment horizontal="center" vertical="center" wrapText="1"/>
    </xf>
    <xf numFmtId="0" fontId="93" fillId="4" borderId="64" xfId="0" applyFont="1" applyFill="1" applyBorder="1" applyAlignment="1">
      <alignment horizontal="center" vertical="center"/>
    </xf>
    <xf numFmtId="0" fontId="93" fillId="4" borderId="35" xfId="0" applyFont="1" applyFill="1" applyBorder="1" applyAlignment="1">
      <alignment horizontal="center" vertical="center"/>
    </xf>
    <xf numFmtId="41" fontId="116" fillId="4" borderId="15" xfId="0" applyNumberFormat="1" applyFont="1" applyFill="1" applyBorder="1" applyAlignment="1">
      <alignment horizontal="center" vertical="center"/>
    </xf>
    <xf numFmtId="41" fontId="116" fillId="4" borderId="67" xfId="0" applyNumberFormat="1" applyFont="1" applyFill="1" applyBorder="1" applyAlignment="1">
      <alignment horizontal="center" vertical="center"/>
    </xf>
    <xf numFmtId="41" fontId="93" fillId="4" borderId="65" xfId="0" applyNumberFormat="1" applyFont="1" applyFill="1" applyBorder="1" applyAlignment="1">
      <alignment horizontal="center" vertical="top"/>
    </xf>
    <xf numFmtId="41" fontId="93" fillId="4" borderId="8" xfId="0" applyNumberFormat="1" applyFont="1" applyFill="1" applyBorder="1" applyAlignment="1">
      <alignment horizontal="center" vertical="top"/>
    </xf>
    <xf numFmtId="41" fontId="93" fillId="4" borderId="68" xfId="0" applyNumberFormat="1" applyFont="1" applyFill="1" applyBorder="1" applyAlignment="1">
      <alignment horizontal="center" vertical="top"/>
    </xf>
    <xf numFmtId="182" fontId="108" fillId="4" borderId="15" xfId="0" applyNumberFormat="1" applyFont="1" applyFill="1" applyBorder="1" applyAlignment="1">
      <alignment horizontal="center" vertical="center"/>
    </xf>
    <xf numFmtId="182" fontId="108" fillId="4" borderId="45" xfId="0" applyNumberFormat="1" applyFont="1" applyFill="1" applyBorder="1" applyAlignment="1">
      <alignment horizontal="center" vertical="center"/>
    </xf>
    <xf numFmtId="182" fontId="108" fillId="4" borderId="16" xfId="0" applyNumberFormat="1" applyFont="1" applyFill="1" applyBorder="1" applyAlignment="1">
      <alignment horizontal="center" vertical="center"/>
    </xf>
    <xf numFmtId="182" fontId="116" fillId="4" borderId="20" xfId="0" applyNumberFormat="1" applyFont="1" applyFill="1" applyBorder="1" applyAlignment="1">
      <alignment horizontal="center" vertical="center"/>
    </xf>
    <xf numFmtId="0" fontId="84" fillId="4" borderId="8" xfId="0" applyFont="1" applyFill="1" applyBorder="1" applyAlignment="1">
      <alignment horizontal="left" vertical="center"/>
    </xf>
    <xf numFmtId="0" fontId="84" fillId="4" borderId="10" xfId="0" applyFont="1" applyFill="1" applyBorder="1" applyAlignment="1">
      <alignment horizontal="left" vertical="center"/>
    </xf>
    <xf numFmtId="0" fontId="112" fillId="4" borderId="15" xfId="0" applyFont="1" applyFill="1" applyBorder="1" applyAlignment="1">
      <alignment horizontal="center" vertical="center"/>
    </xf>
    <xf numFmtId="0" fontId="112" fillId="4" borderId="45" xfId="0" applyFont="1" applyFill="1" applyBorder="1" applyAlignment="1">
      <alignment horizontal="center" vertical="center"/>
    </xf>
    <xf numFmtId="0" fontId="112" fillId="4" borderId="16" xfId="0" applyFont="1" applyFill="1" applyBorder="1" applyAlignment="1">
      <alignment horizontal="center" vertical="center"/>
    </xf>
    <xf numFmtId="41" fontId="116" fillId="4" borderId="58" xfId="0" applyNumberFormat="1" applyFont="1" applyFill="1" applyBorder="1" applyAlignment="1">
      <alignment horizontal="center" vertical="center"/>
    </xf>
    <xf numFmtId="41" fontId="116" fillId="4" borderId="55" xfId="0" applyNumberFormat="1" applyFont="1" applyFill="1" applyBorder="1" applyAlignment="1">
      <alignment horizontal="center" vertical="center"/>
    </xf>
    <xf numFmtId="41" fontId="116" fillId="4" borderId="38" xfId="0" applyNumberFormat="1" applyFont="1" applyFill="1" applyBorder="1" applyAlignment="1">
      <alignment horizontal="center" vertical="center"/>
    </xf>
    <xf numFmtId="41" fontId="116" fillId="4" borderId="37" xfId="0" applyNumberFormat="1" applyFont="1" applyFill="1" applyBorder="1" applyAlignment="1">
      <alignment horizontal="center" vertical="center"/>
    </xf>
    <xf numFmtId="41" fontId="116" fillId="4" borderId="21" xfId="0" applyNumberFormat="1" applyFont="1" applyFill="1" applyBorder="1" applyAlignment="1">
      <alignment horizontal="center" vertical="center"/>
    </xf>
    <xf numFmtId="41" fontId="116" fillId="4" borderId="45" xfId="0" applyNumberFormat="1" applyFont="1" applyFill="1" applyBorder="1" applyAlignment="1">
      <alignment horizontal="center" vertical="center"/>
    </xf>
    <xf numFmtId="41" fontId="116" fillId="4" borderId="16" xfId="0" applyNumberFormat="1" applyFont="1" applyFill="1" applyBorder="1" applyAlignment="1">
      <alignment horizontal="center" vertical="center"/>
    </xf>
    <xf numFmtId="0" fontId="116" fillId="4" borderId="58" xfId="0" applyFont="1" applyFill="1" applyBorder="1" applyAlignment="1">
      <alignment horizontal="center" vertical="center" wrapText="1"/>
    </xf>
    <xf numFmtId="0" fontId="116" fillId="4" borderId="55" xfId="0" applyFont="1" applyFill="1" applyBorder="1" applyAlignment="1">
      <alignment horizontal="center" vertical="center" wrapText="1"/>
    </xf>
    <xf numFmtId="0" fontId="116" fillId="4" borderId="64" xfId="0" applyFont="1" applyFill="1" applyBorder="1" applyAlignment="1">
      <alignment horizontal="center" vertical="center" wrapText="1"/>
    </xf>
    <xf numFmtId="182" fontId="114" fillId="4" borderId="80" xfId="0" applyNumberFormat="1" applyFont="1" applyFill="1" applyBorder="1" applyAlignment="1">
      <alignment horizontal="center" vertical="top"/>
    </xf>
    <xf numFmtId="182" fontId="114" fillId="4" borderId="50" xfId="0" applyNumberFormat="1" applyFont="1" applyFill="1" applyBorder="1" applyAlignment="1">
      <alignment horizontal="center" vertical="top"/>
    </xf>
    <xf numFmtId="182" fontId="114" fillId="4" borderId="25" xfId="0" applyNumberFormat="1" applyFont="1" applyFill="1" applyBorder="1" applyAlignment="1">
      <alignment horizontal="center" vertical="top"/>
    </xf>
    <xf numFmtId="0" fontId="114" fillId="4" borderId="80" xfId="0" applyFont="1" applyFill="1" applyBorder="1" applyAlignment="1">
      <alignment horizontal="center" vertical="top"/>
    </xf>
    <xf numFmtId="0" fontId="114" fillId="4" borderId="21" xfId="0" applyFont="1" applyFill="1" applyBorder="1" applyAlignment="1">
      <alignment horizontal="center" vertical="top"/>
    </xf>
    <xf numFmtId="182" fontId="113" fillId="4" borderId="65" xfId="0" applyNumberFormat="1" applyFont="1" applyFill="1" applyBorder="1" applyAlignment="1">
      <alignment horizontal="center" vertical="top"/>
    </xf>
    <xf numFmtId="182" fontId="113" fillId="4" borderId="8" xfId="0" applyNumberFormat="1" applyFont="1" applyFill="1" applyBorder="1" applyAlignment="1">
      <alignment horizontal="center" vertical="top"/>
    </xf>
    <xf numFmtId="182" fontId="112" fillId="4" borderId="45" xfId="0" applyNumberFormat="1" applyFont="1" applyFill="1" applyBorder="1" applyAlignment="1">
      <alignment horizontal="left" vertical="center"/>
    </xf>
    <xf numFmtId="0" fontId="114" fillId="4" borderId="38" xfId="0" applyFont="1" applyFill="1" applyBorder="1" applyAlignment="1">
      <alignment horizontal="center" vertical="top"/>
    </xf>
    <xf numFmtId="0" fontId="114" fillId="4" borderId="39" xfId="0" applyFont="1" applyFill="1" applyBorder="1" applyAlignment="1">
      <alignment horizontal="center" vertical="top"/>
    </xf>
    <xf numFmtId="0" fontId="114" fillId="4" borderId="40" xfId="0" applyFont="1" applyFill="1" applyBorder="1" applyAlignment="1">
      <alignment horizontal="center" vertical="top"/>
    </xf>
    <xf numFmtId="182" fontId="113" fillId="4" borderId="55" xfId="0" applyNumberFormat="1" applyFont="1" applyFill="1" applyBorder="1" applyAlignment="1">
      <alignment horizontal="center" vertical="top"/>
    </xf>
    <xf numFmtId="182" fontId="113" fillId="4" borderId="35" xfId="0" applyNumberFormat="1" applyFont="1" applyFill="1" applyBorder="1" applyAlignment="1">
      <alignment horizontal="center" vertical="top"/>
    </xf>
    <xf numFmtId="0" fontId="110" fillId="4" borderId="48" xfId="0" applyFont="1" applyFill="1" applyBorder="1" applyAlignment="1">
      <alignment horizontal="center" vertical="center"/>
    </xf>
    <xf numFmtId="0" fontId="110" fillId="4" borderId="62" xfId="0" applyFont="1" applyFill="1" applyBorder="1" applyAlignment="1">
      <alignment horizontal="center" vertical="center"/>
    </xf>
    <xf numFmtId="182" fontId="112" fillId="4" borderId="40" xfId="0" applyNumberFormat="1" applyFont="1" applyFill="1" applyBorder="1" applyAlignment="1">
      <alignment horizontal="center" vertical="center"/>
    </xf>
    <xf numFmtId="182" fontId="112" fillId="4" borderId="74" xfId="0" applyNumberFormat="1" applyFont="1" applyFill="1" applyBorder="1" applyAlignment="1">
      <alignment horizontal="center" vertical="center"/>
    </xf>
    <xf numFmtId="182" fontId="112" fillId="4" borderId="70" xfId="0" applyNumberFormat="1" applyFont="1" applyFill="1" applyBorder="1" applyAlignment="1">
      <alignment horizontal="center" vertical="center"/>
    </xf>
    <xf numFmtId="182" fontId="112" fillId="4" borderId="80" xfId="0" applyNumberFormat="1" applyFont="1" applyFill="1" applyBorder="1" applyAlignment="1">
      <alignment horizontal="center" vertical="center"/>
    </xf>
    <xf numFmtId="182" fontId="112" fillId="4" borderId="50" xfId="0" applyNumberFormat="1" applyFont="1" applyFill="1" applyBorder="1" applyAlignment="1">
      <alignment horizontal="center" vertical="center"/>
    </xf>
    <xf numFmtId="182" fontId="112" fillId="4" borderId="25" xfId="0" applyNumberFormat="1" applyFont="1" applyFill="1" applyBorder="1" applyAlignment="1">
      <alignment horizontal="center" vertical="center"/>
    </xf>
    <xf numFmtId="182" fontId="112" fillId="4" borderId="73" xfId="0" applyNumberFormat="1" applyFont="1" applyFill="1" applyBorder="1" applyAlignment="1">
      <alignment horizontal="center" vertical="center"/>
    </xf>
    <xf numFmtId="182" fontId="112" fillId="4" borderId="91" xfId="0" applyNumberFormat="1" applyFont="1" applyFill="1" applyBorder="1" applyAlignment="1">
      <alignment horizontal="center" vertical="center"/>
    </xf>
    <xf numFmtId="182" fontId="112" fillId="4" borderId="92" xfId="0" applyNumberFormat="1" applyFont="1" applyFill="1" applyBorder="1" applyAlignment="1">
      <alignment horizontal="center" vertical="center"/>
    </xf>
    <xf numFmtId="182" fontId="112" fillId="4" borderId="15" xfId="0" applyNumberFormat="1" applyFont="1" applyFill="1" applyBorder="1" applyAlignment="1">
      <alignment horizontal="center" vertical="center"/>
    </xf>
    <xf numFmtId="182" fontId="112" fillId="4" borderId="45" xfId="0" applyNumberFormat="1" applyFont="1" applyFill="1" applyBorder="1" applyAlignment="1">
      <alignment horizontal="center" vertical="center"/>
    </xf>
    <xf numFmtId="182" fontId="112" fillId="4" borderId="16" xfId="0" applyNumberFormat="1" applyFont="1" applyFill="1" applyBorder="1" applyAlignment="1">
      <alignment horizontal="center" vertical="center"/>
    </xf>
    <xf numFmtId="182" fontId="114" fillId="4" borderId="20" xfId="0" applyNumberFormat="1" applyFont="1" applyFill="1" applyBorder="1" applyAlignment="1">
      <alignment horizontal="center" vertical="center"/>
    </xf>
    <xf numFmtId="182" fontId="114" fillId="4" borderId="67" xfId="0" applyNumberFormat="1" applyFont="1" applyFill="1" applyBorder="1" applyAlignment="1">
      <alignment horizontal="center" vertical="center"/>
    </xf>
    <xf numFmtId="0" fontId="110" fillId="4" borderId="41" xfId="0" applyFont="1" applyFill="1" applyBorder="1" applyAlignment="1">
      <alignment horizontal="center" vertical="center"/>
    </xf>
    <xf numFmtId="0" fontId="110" fillId="4" borderId="113" xfId="0" applyFont="1" applyFill="1" applyBorder="1" applyAlignment="1">
      <alignment horizontal="center" vertical="center"/>
    </xf>
    <xf numFmtId="41" fontId="84" fillId="4" borderId="65" xfId="0" applyNumberFormat="1" applyFont="1" applyFill="1" applyBorder="1" applyAlignment="1">
      <alignment horizontal="center" vertical="center"/>
    </xf>
    <xf numFmtId="41" fontId="84" fillId="4" borderId="26" xfId="0" applyNumberFormat="1" applyFont="1" applyFill="1" applyBorder="1" applyAlignment="1">
      <alignment horizontal="center" vertical="center"/>
    </xf>
    <xf numFmtId="41" fontId="93" fillId="4" borderId="8" xfId="0" applyNumberFormat="1" applyFont="1" applyFill="1" applyBorder="1" applyAlignment="1">
      <alignment horizontal="left" vertical="center"/>
    </xf>
    <xf numFmtId="41" fontId="93" fillId="4" borderId="10" xfId="0" applyNumberFormat="1" applyFont="1" applyFill="1" applyBorder="1" applyAlignment="1">
      <alignment horizontal="left" vertical="center"/>
    </xf>
    <xf numFmtId="41" fontId="84" fillId="4" borderId="273" xfId="0" applyNumberFormat="1" applyFont="1" applyFill="1" applyBorder="1" applyAlignment="1">
      <alignment horizontal="center" vertical="center"/>
    </xf>
    <xf numFmtId="41" fontId="84" fillId="4" borderId="280" xfId="0" applyNumberFormat="1" applyFont="1" applyFill="1" applyBorder="1" applyAlignment="1">
      <alignment horizontal="center" vertical="center"/>
    </xf>
    <xf numFmtId="41" fontId="84" fillId="4" borderId="287" xfId="0" applyNumberFormat="1" applyFont="1" applyFill="1" applyBorder="1" applyAlignment="1">
      <alignment horizontal="center" vertical="center"/>
    </xf>
    <xf numFmtId="41" fontId="84" fillId="4" borderId="276" xfId="0" applyNumberFormat="1" applyFont="1" applyFill="1" applyBorder="1" applyAlignment="1">
      <alignment horizontal="center" vertical="center"/>
    </xf>
    <xf numFmtId="180" fontId="112" fillId="12" borderId="28" xfId="0" applyNumberFormat="1" applyFont="1" applyFill="1" applyBorder="1" applyAlignment="1">
      <alignment horizontal="center" vertical="center" wrapText="1"/>
    </xf>
    <xf numFmtId="41" fontId="84" fillId="4" borderId="43" xfId="0" applyNumberFormat="1" applyFont="1" applyFill="1" applyBorder="1" applyAlignment="1">
      <alignment horizontal="center" vertical="center"/>
    </xf>
    <xf numFmtId="41" fontId="84" fillId="4" borderId="74" xfId="0" applyNumberFormat="1" applyFont="1" applyFill="1" applyBorder="1" applyAlignment="1">
      <alignment horizontal="center" vertical="center"/>
    </xf>
    <xf numFmtId="41" fontId="84" fillId="4" borderId="50" xfId="0" applyNumberFormat="1" applyFont="1" applyFill="1" applyBorder="1" applyAlignment="1">
      <alignment horizontal="center" vertical="center"/>
    </xf>
    <xf numFmtId="41" fontId="84" fillId="4" borderId="0" xfId="0" applyNumberFormat="1" applyFont="1" applyFill="1" applyAlignment="1">
      <alignment horizontal="center" vertical="center"/>
    </xf>
    <xf numFmtId="41" fontId="84" fillId="4" borderId="274" xfId="0" applyNumberFormat="1" applyFont="1" applyFill="1" applyBorder="1" applyAlignment="1">
      <alignment horizontal="center" vertical="center"/>
    </xf>
    <xf numFmtId="0" fontId="116" fillId="4" borderId="274" xfId="0" applyFont="1" applyFill="1" applyBorder="1" applyAlignment="1">
      <alignment horizontal="center" vertical="center"/>
    </xf>
    <xf numFmtId="0" fontId="116" fillId="4" borderId="280" xfId="0" applyFont="1" applyFill="1" applyBorder="1" applyAlignment="1">
      <alignment horizontal="center" vertical="center"/>
    </xf>
    <xf numFmtId="41" fontId="84" fillId="4" borderId="68" xfId="0" applyNumberFormat="1" applyFont="1" applyFill="1" applyBorder="1" applyAlignment="1">
      <alignment horizontal="center" vertical="center"/>
    </xf>
    <xf numFmtId="41" fontId="84" fillId="4" borderId="91" xfId="0" applyNumberFormat="1" applyFont="1" applyFill="1" applyBorder="1" applyAlignment="1">
      <alignment horizontal="center" vertical="center"/>
    </xf>
    <xf numFmtId="41" fontId="84" fillId="4" borderId="41" xfId="0" applyNumberFormat="1" applyFont="1" applyFill="1" applyBorder="1" applyAlignment="1">
      <alignment horizontal="center" vertical="center"/>
    </xf>
    <xf numFmtId="41" fontId="84" fillId="4" borderId="113" xfId="0" applyNumberFormat="1" applyFont="1" applyFill="1" applyBorder="1" applyAlignment="1">
      <alignment horizontal="center" vertical="center"/>
    </xf>
    <xf numFmtId="41" fontId="84" fillId="4" borderId="42" xfId="0" applyNumberFormat="1" applyFont="1" applyFill="1" applyBorder="1" applyAlignment="1">
      <alignment horizontal="center" vertical="center"/>
    </xf>
    <xf numFmtId="41" fontId="84" fillId="4" borderId="56" xfId="0" applyNumberFormat="1" applyFont="1" applyFill="1" applyBorder="1" applyAlignment="1">
      <alignment horizontal="center" vertical="center"/>
    </xf>
    <xf numFmtId="180" fontId="112" fillId="12" borderId="28" xfId="0" applyNumberFormat="1" applyFont="1" applyFill="1" applyBorder="1" applyAlignment="1">
      <alignment horizontal="center" vertical="center"/>
    </xf>
    <xf numFmtId="182" fontId="108" fillId="4" borderId="27" xfId="0" applyNumberFormat="1" applyFont="1" applyFill="1" applyBorder="1" applyAlignment="1">
      <alignment horizontal="center" vertical="center"/>
    </xf>
    <xf numFmtId="182" fontId="108" fillId="4" borderId="1" xfId="0" applyNumberFormat="1" applyFont="1" applyFill="1" applyBorder="1" applyAlignment="1">
      <alignment horizontal="center" vertical="center"/>
    </xf>
    <xf numFmtId="182" fontId="108" fillId="4" borderId="5" xfId="0" applyNumberFormat="1" applyFont="1" applyFill="1" applyBorder="1" applyAlignment="1">
      <alignment horizontal="center" vertical="center"/>
    </xf>
    <xf numFmtId="0" fontId="84" fillId="4" borderId="41" xfId="0" applyFont="1" applyFill="1" applyBorder="1" applyAlignment="1">
      <alignment horizontal="center" vertical="center"/>
    </xf>
    <xf numFmtId="0" fontId="84" fillId="4" borderId="113" xfId="0" applyFont="1" applyFill="1" applyBorder="1" applyAlignment="1">
      <alignment horizontal="center" vertical="center"/>
    </xf>
    <xf numFmtId="0" fontId="84" fillId="4" borderId="65" xfId="0" applyFont="1" applyFill="1" applyBorder="1" applyAlignment="1">
      <alignment horizontal="center" vertical="center"/>
    </xf>
    <xf numFmtId="0" fontId="84" fillId="4" borderId="26" xfId="0" applyFont="1" applyFill="1" applyBorder="1" applyAlignment="1">
      <alignment horizontal="center" vertical="center"/>
    </xf>
    <xf numFmtId="0" fontId="84" fillId="4" borderId="68" xfId="0" applyFont="1" applyFill="1" applyBorder="1" applyAlignment="1">
      <alignment horizontal="center" vertical="center"/>
    </xf>
    <xf numFmtId="0" fontId="84" fillId="4" borderId="91" xfId="0" applyFont="1" applyFill="1" applyBorder="1" applyAlignment="1">
      <alignment horizontal="center" vertical="center"/>
    </xf>
    <xf numFmtId="41" fontId="84" fillId="4" borderId="201" xfId="0" applyNumberFormat="1" applyFont="1" applyFill="1" applyBorder="1" applyAlignment="1">
      <alignment horizontal="center" vertical="center"/>
    </xf>
    <xf numFmtId="41" fontId="84" fillId="4" borderId="197" xfId="0" applyNumberFormat="1" applyFont="1" applyFill="1" applyBorder="1" applyAlignment="1">
      <alignment horizontal="center" vertical="center"/>
    </xf>
    <xf numFmtId="41" fontId="84" fillId="4" borderId="72" xfId="0" applyNumberFormat="1" applyFont="1" applyFill="1" applyBorder="1" applyAlignment="1">
      <alignment horizontal="center" vertical="center"/>
    </xf>
    <xf numFmtId="182" fontId="108" fillId="4" borderId="59" xfId="0" applyNumberFormat="1" applyFont="1" applyFill="1" applyBorder="1" applyAlignment="1">
      <alignment horizontal="center" vertical="center"/>
    </xf>
    <xf numFmtId="41" fontId="84" fillId="4" borderId="66" xfId="0" applyNumberFormat="1" applyFont="1" applyFill="1" applyBorder="1" applyAlignment="1">
      <alignment horizontal="center" vertical="center"/>
    </xf>
    <xf numFmtId="41" fontId="93" fillId="4" borderId="278" xfId="0" applyNumberFormat="1" applyFont="1" applyFill="1" applyBorder="1" applyAlignment="1">
      <alignment horizontal="left" vertical="center"/>
    </xf>
    <xf numFmtId="41" fontId="93" fillId="4" borderId="279" xfId="0" applyNumberFormat="1" applyFont="1" applyFill="1" applyBorder="1" applyAlignment="1">
      <alignment horizontal="left" vertical="center"/>
    </xf>
    <xf numFmtId="41" fontId="84" fillId="4" borderId="20" xfId="0" applyNumberFormat="1" applyFont="1" applyFill="1" applyBorder="1" applyAlignment="1">
      <alignment horizontal="center" vertical="center"/>
    </xf>
    <xf numFmtId="41" fontId="84" fillId="4" borderId="67" xfId="0" applyNumberFormat="1" applyFont="1" applyFill="1" applyBorder="1" applyAlignment="1">
      <alignment horizontal="center" vertical="center"/>
    </xf>
    <xf numFmtId="41" fontId="84" fillId="4" borderId="63" xfId="0" applyNumberFormat="1" applyFont="1" applyFill="1" applyBorder="1" applyAlignment="1">
      <alignment horizontal="center" vertical="center"/>
    </xf>
    <xf numFmtId="41" fontId="84" fillId="4" borderId="85" xfId="0" applyNumberFormat="1" applyFont="1" applyFill="1" applyBorder="1" applyAlignment="1">
      <alignment horizontal="center" vertical="center"/>
    </xf>
    <xf numFmtId="0" fontId="108" fillId="4" borderId="274" xfId="0" applyFont="1" applyFill="1" applyBorder="1" applyAlignment="1">
      <alignment horizontal="center" vertical="center"/>
    </xf>
    <xf numFmtId="0" fontId="108" fillId="4" borderId="20" xfId="0" applyFont="1" applyFill="1" applyBorder="1" applyAlignment="1">
      <alignment horizontal="center" vertical="center"/>
    </xf>
    <xf numFmtId="41" fontId="93" fillId="4" borderId="27" xfId="0" applyNumberFormat="1" applyFont="1" applyFill="1" applyBorder="1" applyAlignment="1">
      <alignment horizontal="center" vertical="center"/>
    </xf>
    <xf numFmtId="41" fontId="93" fillId="4" borderId="1" xfId="0" applyNumberFormat="1" applyFont="1" applyFill="1" applyBorder="1" applyAlignment="1">
      <alignment horizontal="center" vertical="center"/>
    </xf>
    <xf numFmtId="41" fontId="93" fillId="4" borderId="9" xfId="0" applyNumberFormat="1" applyFont="1" applyFill="1" applyBorder="1" applyAlignment="1">
      <alignment horizontal="center" vertical="center"/>
    </xf>
    <xf numFmtId="0" fontId="116" fillId="4" borderId="77" xfId="0" applyFont="1" applyFill="1" applyBorder="1" applyAlignment="1">
      <alignment horizontal="center" vertical="center"/>
    </xf>
    <xf numFmtId="41" fontId="84" fillId="4" borderId="65" xfId="0" applyNumberFormat="1" applyFont="1" applyFill="1" applyBorder="1" applyAlignment="1">
      <alignment horizontal="center" vertical="center" wrapText="1"/>
    </xf>
    <xf numFmtId="41" fontId="84" fillId="4" borderId="26" xfId="0" applyNumberFormat="1" applyFont="1" applyFill="1" applyBorder="1" applyAlignment="1">
      <alignment horizontal="center" vertical="center" wrapText="1"/>
    </xf>
    <xf numFmtId="41" fontId="84" fillId="4" borderId="68" xfId="0" applyNumberFormat="1" applyFont="1" applyFill="1" applyBorder="1" applyAlignment="1">
      <alignment horizontal="center" vertical="center" wrapText="1"/>
    </xf>
    <xf numFmtId="41" fontId="84" fillId="4" borderId="91" xfId="0" applyNumberFormat="1" applyFont="1" applyFill="1" applyBorder="1" applyAlignment="1">
      <alignment horizontal="center" vertical="center" wrapText="1"/>
    </xf>
    <xf numFmtId="0" fontId="116" fillId="4" borderId="202" xfId="0" applyFont="1" applyFill="1" applyBorder="1" applyAlignment="1">
      <alignment horizontal="center" vertical="center"/>
    </xf>
    <xf numFmtId="41" fontId="84" fillId="4" borderId="257" xfId="0" applyNumberFormat="1" applyFont="1" applyFill="1" applyBorder="1" applyAlignment="1">
      <alignment horizontal="left" vertical="center"/>
    </xf>
    <xf numFmtId="0" fontId="116" fillId="4" borderId="256" xfId="0" applyFont="1" applyFill="1" applyBorder="1" applyAlignment="1">
      <alignment horizontal="center" vertical="center"/>
    </xf>
    <xf numFmtId="0" fontId="116" fillId="4" borderId="257" xfId="0" applyFont="1" applyFill="1" applyBorder="1" applyAlignment="1">
      <alignment horizontal="center" vertical="center"/>
    </xf>
    <xf numFmtId="41" fontId="93" fillId="4" borderId="11" xfId="0" applyNumberFormat="1" applyFont="1" applyFill="1" applyBorder="1" applyAlignment="1">
      <alignment horizontal="center" vertical="center"/>
    </xf>
    <xf numFmtId="41" fontId="93" fillId="4" borderId="5" xfId="0" applyNumberFormat="1" applyFont="1" applyFill="1" applyBorder="1" applyAlignment="1">
      <alignment horizontal="center" vertical="center"/>
    </xf>
    <xf numFmtId="41" fontId="84" fillId="4" borderId="50" xfId="0" applyNumberFormat="1" applyFont="1" applyFill="1" applyBorder="1" applyAlignment="1">
      <alignment horizontal="center" vertical="center" wrapText="1"/>
    </xf>
    <xf numFmtId="41" fontId="84" fillId="4" borderId="8" xfId="0" applyNumberFormat="1" applyFont="1" applyFill="1" applyBorder="1" applyAlignment="1">
      <alignment horizontal="center" vertical="center" wrapText="1"/>
    </xf>
    <xf numFmtId="41" fontId="84" fillId="4" borderId="0" xfId="0" applyNumberFormat="1" applyFont="1" applyFill="1" applyAlignment="1">
      <alignment horizontal="center" vertical="center" wrapText="1"/>
    </xf>
    <xf numFmtId="0" fontId="108" fillId="4" borderId="16" xfId="0" applyFont="1" applyFill="1" applyBorder="1" applyAlignment="1">
      <alignment horizontal="center" vertical="center"/>
    </xf>
    <xf numFmtId="41" fontId="84" fillId="4" borderId="10" xfId="0" applyNumberFormat="1" applyFont="1" applyFill="1" applyBorder="1" applyAlignment="1">
      <alignment horizontal="center" vertical="center" wrapText="1"/>
    </xf>
    <xf numFmtId="0" fontId="84" fillId="0" borderId="274" xfId="0" applyFont="1" applyBorder="1" applyAlignment="1">
      <alignment horizontal="center" vertical="center"/>
    </xf>
    <xf numFmtId="0" fontId="84" fillId="3" borderId="274" xfId="0" applyFont="1" applyFill="1" applyBorder="1" applyAlignment="1">
      <alignment horizontal="center" vertical="center"/>
    </xf>
    <xf numFmtId="0" fontId="108" fillId="4" borderId="58" xfId="0" applyFont="1" applyFill="1" applyBorder="1" applyAlignment="1">
      <alignment horizontal="center" vertical="top"/>
    </xf>
    <xf numFmtId="0" fontId="108" fillId="4" borderId="55" xfId="0" applyFont="1" applyFill="1" applyBorder="1" applyAlignment="1">
      <alignment horizontal="center" vertical="top"/>
    </xf>
    <xf numFmtId="0" fontId="108" fillId="4" borderId="13" xfId="0" applyFont="1" applyFill="1" applyBorder="1" applyAlignment="1">
      <alignment horizontal="center" vertical="top"/>
    </xf>
    <xf numFmtId="180" fontId="108" fillId="4" borderId="15" xfId="0" applyNumberFormat="1" applyFont="1" applyFill="1" applyBorder="1">
      <alignment vertical="center"/>
    </xf>
    <xf numFmtId="180" fontId="108" fillId="4" borderId="45" xfId="0" applyNumberFormat="1" applyFont="1" applyFill="1" applyBorder="1">
      <alignment vertical="center"/>
    </xf>
    <xf numFmtId="0" fontId="124" fillId="4" borderId="15" xfId="0" applyFont="1" applyFill="1" applyBorder="1" applyAlignment="1">
      <alignment horizontal="center" vertical="center"/>
    </xf>
    <xf numFmtId="0" fontId="124" fillId="4" borderId="45" xfId="0" applyFont="1" applyFill="1" applyBorder="1" applyAlignment="1">
      <alignment horizontal="center" vertical="center"/>
    </xf>
    <xf numFmtId="0" fontId="129" fillId="2" borderId="15" xfId="0" applyFont="1" applyFill="1" applyBorder="1" applyAlignment="1">
      <alignment horizontal="center" vertical="center"/>
    </xf>
    <xf numFmtId="0" fontId="129" fillId="2" borderId="45" xfId="0" applyFont="1" applyFill="1" applyBorder="1" applyAlignment="1">
      <alignment horizontal="center" vertical="center"/>
    </xf>
    <xf numFmtId="41" fontId="116" fillId="4" borderId="80" xfId="0" applyNumberFormat="1" applyFont="1" applyFill="1" applyBorder="1" applyAlignment="1">
      <alignment horizontal="center" vertical="center" wrapText="1"/>
    </xf>
    <xf numFmtId="41" fontId="116" fillId="4" borderId="26" xfId="0" applyNumberFormat="1" applyFont="1" applyFill="1" applyBorder="1" applyAlignment="1">
      <alignment horizontal="center" vertical="center" wrapText="1"/>
    </xf>
    <xf numFmtId="41" fontId="116" fillId="4" borderId="21" xfId="0" applyNumberFormat="1" applyFont="1" applyFill="1" applyBorder="1" applyAlignment="1">
      <alignment horizontal="center" vertical="center" wrapText="1"/>
    </xf>
    <xf numFmtId="41" fontId="116" fillId="4" borderId="10" xfId="0" applyNumberFormat="1" applyFont="1" applyFill="1" applyBorder="1" applyAlignment="1">
      <alignment horizontal="center" vertical="center" wrapText="1"/>
    </xf>
    <xf numFmtId="41" fontId="116" fillId="4" borderId="73" xfId="0" applyNumberFormat="1" applyFont="1" applyFill="1" applyBorder="1" applyAlignment="1">
      <alignment horizontal="center" vertical="center" wrapText="1"/>
    </xf>
    <xf numFmtId="41" fontId="116" fillId="4" borderId="66" xfId="0" applyNumberFormat="1" applyFont="1" applyFill="1" applyBorder="1" applyAlignment="1">
      <alignment horizontal="center" vertical="center" wrapText="1"/>
    </xf>
    <xf numFmtId="0" fontId="111" fillId="4" borderId="40" xfId="0" applyFont="1" applyFill="1" applyBorder="1" applyAlignment="1">
      <alignment horizontal="center" vertical="center"/>
    </xf>
    <xf numFmtId="0" fontId="111" fillId="4" borderId="74" xfId="0" applyFont="1" applyFill="1" applyBorder="1" applyAlignment="1">
      <alignment horizontal="center" vertical="center"/>
    </xf>
    <xf numFmtId="0" fontId="108" fillId="4" borderId="73" xfId="0" applyFont="1" applyFill="1" applyBorder="1" applyAlignment="1">
      <alignment horizontal="center" vertical="top"/>
    </xf>
    <xf numFmtId="0" fontId="86" fillId="21" borderId="45" xfId="0" applyFont="1" applyFill="1" applyBorder="1" applyAlignment="1">
      <alignment horizontal="center" vertical="center"/>
    </xf>
    <xf numFmtId="0" fontId="86" fillId="21" borderId="16" xfId="0" applyFont="1" applyFill="1" applyBorder="1" applyAlignment="1">
      <alignment horizontal="center" vertical="center"/>
    </xf>
    <xf numFmtId="41" fontId="93" fillId="4" borderId="21" xfId="0" applyNumberFormat="1" applyFont="1" applyFill="1" applyBorder="1" applyAlignment="1">
      <alignment horizontal="left" vertical="center"/>
    </xf>
    <xf numFmtId="41" fontId="93" fillId="4" borderId="0" xfId="0" applyNumberFormat="1" applyFont="1" applyFill="1" applyAlignment="1">
      <alignment horizontal="left" vertical="center"/>
    </xf>
    <xf numFmtId="41" fontId="93" fillId="4" borderId="80" xfId="0" applyNumberFormat="1" applyFont="1" applyFill="1" applyBorder="1" applyAlignment="1">
      <alignment horizontal="left" vertical="center"/>
    </xf>
    <xf numFmtId="41" fontId="93" fillId="4" borderId="50" xfId="0" applyNumberFormat="1" applyFont="1" applyFill="1" applyBorder="1" applyAlignment="1">
      <alignment horizontal="left" vertical="center"/>
    </xf>
    <xf numFmtId="41" fontId="93" fillId="4" borderId="26" xfId="0" applyNumberFormat="1" applyFont="1" applyFill="1" applyBorder="1" applyAlignment="1">
      <alignment horizontal="left" vertical="center"/>
    </xf>
    <xf numFmtId="41" fontId="93" fillId="4" borderId="262" xfId="0" applyNumberFormat="1" applyFont="1" applyFill="1" applyBorder="1" applyAlignment="1">
      <alignment horizontal="left" vertical="center"/>
    </xf>
    <xf numFmtId="41" fontId="93" fillId="4" borderId="274" xfId="0" applyNumberFormat="1" applyFont="1" applyFill="1" applyBorder="1" applyAlignment="1">
      <alignment horizontal="left" vertical="center"/>
    </xf>
    <xf numFmtId="41" fontId="93" fillId="4" borderId="280" xfId="0" applyNumberFormat="1" applyFont="1" applyFill="1" applyBorder="1" applyAlignment="1">
      <alignment horizontal="left" vertical="center"/>
    </xf>
    <xf numFmtId="0" fontId="86" fillId="21" borderId="274" xfId="0" applyFont="1" applyFill="1" applyBorder="1" applyAlignment="1">
      <alignment horizontal="center" vertical="center"/>
    </xf>
    <xf numFmtId="0" fontId="86" fillId="21" borderId="280" xfId="0" applyFont="1" applyFill="1" applyBorder="1" applyAlignment="1">
      <alignment horizontal="center" vertical="center"/>
    </xf>
    <xf numFmtId="0" fontId="206" fillId="21" borderId="15" xfId="0" applyFont="1" applyFill="1" applyBorder="1" applyAlignment="1">
      <alignment horizontal="center" vertical="center"/>
    </xf>
    <xf numFmtId="0" fontId="206" fillId="21" borderId="45" xfId="0" applyFont="1" applyFill="1" applyBorder="1" applyAlignment="1">
      <alignment horizontal="center" vertical="center"/>
    </xf>
    <xf numFmtId="0" fontId="206" fillId="21" borderId="16" xfId="0" applyFont="1" applyFill="1" applyBorder="1" applyAlignment="1">
      <alignment horizontal="center" vertical="center"/>
    </xf>
    <xf numFmtId="41" fontId="314" fillId="4" borderId="21" xfId="0" applyNumberFormat="1" applyFont="1" applyFill="1" applyBorder="1" applyAlignment="1">
      <alignment horizontal="left" vertical="center"/>
    </xf>
    <xf numFmtId="41" fontId="314" fillId="4" borderId="0" xfId="0" applyNumberFormat="1" applyFont="1" applyFill="1" applyAlignment="1">
      <alignment horizontal="left" vertical="center"/>
    </xf>
    <xf numFmtId="41" fontId="314" fillId="4" borderId="10" xfId="0" applyNumberFormat="1" applyFont="1" applyFill="1" applyBorder="1" applyAlignment="1">
      <alignment horizontal="left" vertical="center"/>
    </xf>
    <xf numFmtId="0" fontId="93" fillId="4" borderId="14" xfId="0" applyFont="1" applyFill="1" applyBorder="1" applyAlignment="1">
      <alignment horizontal="center" vertical="center" wrapText="1"/>
    </xf>
    <xf numFmtId="0" fontId="93" fillId="4" borderId="108" xfId="0" applyFont="1" applyFill="1" applyBorder="1" applyAlignment="1">
      <alignment horizontal="center" vertical="center" wrapText="1"/>
    </xf>
    <xf numFmtId="41" fontId="116" fillId="4" borderId="17" xfId="0" applyNumberFormat="1" applyFont="1" applyFill="1" applyBorder="1" applyAlignment="1">
      <alignment horizontal="center" vertical="center"/>
    </xf>
    <xf numFmtId="41" fontId="116" fillId="4" borderId="19" xfId="0" applyNumberFormat="1" applyFont="1" applyFill="1" applyBorder="1" applyAlignment="1">
      <alignment horizontal="center" vertical="center"/>
    </xf>
    <xf numFmtId="41" fontId="116" fillId="4" borderId="35" xfId="0" applyNumberFormat="1" applyFont="1" applyFill="1" applyBorder="1" applyAlignment="1">
      <alignment horizontal="center" vertical="center"/>
    </xf>
    <xf numFmtId="41" fontId="116" fillId="4" borderId="47" xfId="0" applyNumberFormat="1" applyFont="1" applyFill="1" applyBorder="1" applyAlignment="1">
      <alignment horizontal="center" vertical="center"/>
    </xf>
    <xf numFmtId="41" fontId="116" fillId="4" borderId="12" xfId="0" applyNumberFormat="1" applyFont="1" applyFill="1" applyBorder="1" applyAlignment="1">
      <alignment horizontal="center" vertical="center"/>
    </xf>
    <xf numFmtId="41" fontId="116" fillId="4" borderId="33" xfId="0" applyNumberFormat="1" applyFont="1" applyFill="1" applyBorder="1" applyAlignment="1">
      <alignment horizontal="center" vertical="center"/>
    </xf>
    <xf numFmtId="183" fontId="116" fillId="4" borderId="17" xfId="0" applyNumberFormat="1" applyFont="1" applyFill="1" applyBorder="1" applyAlignment="1">
      <alignment horizontal="center" vertical="center"/>
    </xf>
    <xf numFmtId="183" fontId="116" fillId="4" borderId="19" xfId="0" applyNumberFormat="1" applyFont="1" applyFill="1" applyBorder="1" applyAlignment="1">
      <alignment horizontal="center" vertical="center"/>
    </xf>
    <xf numFmtId="41" fontId="93" fillId="4" borderId="109" xfId="0" applyNumberFormat="1" applyFont="1" applyFill="1" applyBorder="1" applyAlignment="1">
      <alignment horizontal="center" vertical="center"/>
    </xf>
    <xf numFmtId="41" fontId="93" fillId="4" borderId="32" xfId="0" applyNumberFormat="1" applyFont="1" applyFill="1" applyBorder="1" applyAlignment="1">
      <alignment horizontal="center" vertical="center"/>
    </xf>
    <xf numFmtId="41" fontId="116" fillId="4" borderId="78" xfId="0" applyNumberFormat="1" applyFont="1" applyFill="1" applyBorder="1" applyAlignment="1">
      <alignment horizontal="center" vertical="center"/>
    </xf>
    <xf numFmtId="41" fontId="116" fillId="4" borderId="49" xfId="0" applyNumberFormat="1" applyFont="1" applyFill="1" applyBorder="1" applyAlignment="1">
      <alignment horizontal="center" vertical="center"/>
    </xf>
    <xf numFmtId="41" fontId="116" fillId="10" borderId="15" xfId="0" applyNumberFormat="1" applyFont="1" applyFill="1" applyBorder="1" applyAlignment="1">
      <alignment horizontal="center" vertical="center"/>
    </xf>
    <xf numFmtId="41" fontId="116" fillId="10" borderId="45" xfId="0" applyNumberFormat="1" applyFont="1" applyFill="1" applyBorder="1" applyAlignment="1">
      <alignment horizontal="center" vertical="center"/>
    </xf>
    <xf numFmtId="41" fontId="93" fillId="4" borderId="21" xfId="0" applyNumberFormat="1" applyFont="1" applyFill="1" applyBorder="1" applyAlignment="1">
      <alignment horizontal="center" vertical="center"/>
    </xf>
    <xf numFmtId="41" fontId="93" fillId="4" borderId="38" xfId="0" applyNumberFormat="1" applyFont="1" applyFill="1" applyBorder="1" applyAlignment="1">
      <alignment horizontal="center" vertical="center"/>
    </xf>
    <xf numFmtId="41" fontId="116" fillId="13" borderId="15" xfId="0" applyNumberFormat="1" applyFont="1" applyFill="1" applyBorder="1" applyAlignment="1">
      <alignment horizontal="center" vertical="center"/>
    </xf>
    <xf numFmtId="41" fontId="116" fillId="13" borderId="45" xfId="0" applyNumberFormat="1" applyFont="1" applyFill="1" applyBorder="1" applyAlignment="1">
      <alignment horizontal="center" vertical="center"/>
    </xf>
    <xf numFmtId="41" fontId="108" fillId="13" borderId="15" xfId="0" applyNumberFormat="1" applyFont="1" applyFill="1" applyBorder="1" applyAlignment="1">
      <alignment horizontal="center" vertical="center"/>
    </xf>
    <xf numFmtId="41" fontId="108" fillId="13" borderId="45" xfId="0" applyNumberFormat="1" applyFont="1" applyFill="1" applyBorder="1" applyAlignment="1">
      <alignment horizontal="center" vertical="center"/>
    </xf>
    <xf numFmtId="0" fontId="116" fillId="4" borderId="289" xfId="0" applyFont="1" applyFill="1" applyBorder="1" applyAlignment="1">
      <alignment horizontal="center" vertical="center"/>
    </xf>
    <xf numFmtId="182" fontId="116" fillId="4" borderId="27" xfId="0" applyNumberFormat="1" applyFont="1" applyFill="1" applyBorder="1" applyAlignment="1">
      <alignment horizontal="center" vertical="center"/>
    </xf>
    <xf numFmtId="182" fontId="116" fillId="4" borderId="263" xfId="0" applyNumberFormat="1" applyFont="1" applyFill="1" applyBorder="1" applyAlignment="1">
      <alignment horizontal="center" vertical="center"/>
    </xf>
    <xf numFmtId="0" fontId="116" fillId="4" borderId="263" xfId="0" applyFont="1" applyFill="1" applyBorder="1" applyAlignment="1">
      <alignment horizontal="center" vertical="center"/>
    </xf>
    <xf numFmtId="182" fontId="108" fillId="4" borderId="263" xfId="0" applyNumberFormat="1" applyFont="1" applyFill="1" applyBorder="1" applyAlignment="1">
      <alignment horizontal="center" vertical="center"/>
    </xf>
    <xf numFmtId="0" fontId="108" fillId="4" borderId="112" xfId="0" applyFont="1" applyFill="1" applyBorder="1" applyAlignment="1">
      <alignment horizontal="center" vertical="center"/>
    </xf>
    <xf numFmtId="0" fontId="108" fillId="4" borderId="32" xfId="0" applyFont="1" applyFill="1" applyBorder="1" applyAlignment="1">
      <alignment horizontal="center" vertical="center"/>
    </xf>
    <xf numFmtId="0" fontId="128" fillId="4" borderId="20" xfId="0" applyFont="1" applyFill="1" applyBorder="1" applyAlignment="1">
      <alignment horizontal="center" vertical="center"/>
    </xf>
    <xf numFmtId="0" fontId="128" fillId="4" borderId="45" xfId="0" applyFont="1" applyFill="1" applyBorder="1" applyAlignment="1">
      <alignment horizontal="center" vertical="center"/>
    </xf>
    <xf numFmtId="0" fontId="128" fillId="4" borderId="67" xfId="0" applyFont="1" applyFill="1" applyBorder="1" applyAlignment="1">
      <alignment horizontal="center" vertical="center"/>
    </xf>
    <xf numFmtId="0" fontId="108" fillId="4" borderId="113" xfId="0" applyFont="1" applyFill="1" applyBorder="1" applyAlignment="1">
      <alignment horizontal="center" vertical="center"/>
    </xf>
    <xf numFmtId="0" fontId="108" fillId="4" borderId="109" xfId="0" applyFont="1" applyFill="1" applyBorder="1" applyAlignment="1">
      <alignment horizontal="center" vertical="center"/>
    </xf>
    <xf numFmtId="0" fontId="108" fillId="4" borderId="41" xfId="0" applyFont="1" applyFill="1" applyBorder="1" applyAlignment="1">
      <alignment horizontal="center" vertical="center"/>
    </xf>
    <xf numFmtId="0" fontId="198" fillId="10" borderId="103" xfId="3" applyFont="1" applyFill="1" applyBorder="1" applyAlignment="1">
      <alignment horizontal="center" vertical="center"/>
    </xf>
    <xf numFmtId="0" fontId="198" fillId="10" borderId="139" xfId="3" applyFont="1" applyFill="1" applyBorder="1" applyAlignment="1">
      <alignment horizontal="center" vertical="center"/>
    </xf>
    <xf numFmtId="0" fontId="198" fillId="10" borderId="11" xfId="3" applyFont="1" applyFill="1" applyBorder="1" applyAlignment="1">
      <alignment horizontal="center" vertical="center"/>
    </xf>
    <xf numFmtId="0" fontId="198" fillId="10" borderId="134" xfId="3" applyFont="1" applyFill="1" applyBorder="1" applyAlignment="1">
      <alignment horizontal="center" vertical="center"/>
    </xf>
    <xf numFmtId="0" fontId="198" fillId="2" borderId="153" xfId="3" applyFont="1" applyFill="1" applyBorder="1" applyAlignment="1">
      <alignment horizontal="center" vertical="center"/>
    </xf>
    <xf numFmtId="0" fontId="198" fillId="2" borderId="151" xfId="3" applyFont="1" applyFill="1" applyBorder="1" applyAlignment="1">
      <alignment horizontal="center" vertical="center"/>
    </xf>
    <xf numFmtId="0" fontId="198" fillId="2" borderId="143" xfId="3" applyFont="1" applyFill="1" applyBorder="1" applyAlignment="1">
      <alignment horizontal="center" vertical="center"/>
    </xf>
    <xf numFmtId="0" fontId="198" fillId="10" borderId="3" xfId="3" applyFont="1" applyFill="1" applyBorder="1" applyAlignment="1">
      <alignment horizontal="center" vertical="center"/>
    </xf>
    <xf numFmtId="0" fontId="198" fillId="10" borderId="125" xfId="3" applyFont="1" applyFill="1" applyBorder="1" applyAlignment="1">
      <alignment horizontal="center" vertical="center"/>
    </xf>
    <xf numFmtId="0" fontId="198" fillId="40" borderId="103" xfId="3" applyFont="1" applyFill="1" applyBorder="1" applyAlignment="1">
      <alignment horizontal="center" vertical="center"/>
    </xf>
    <xf numFmtId="0" fontId="198" fillId="40" borderId="11" xfId="3" applyFont="1" applyFill="1" applyBorder="1" applyAlignment="1">
      <alignment horizontal="center" vertical="center"/>
    </xf>
    <xf numFmtId="0" fontId="199" fillId="10" borderId="103" xfId="2" applyFont="1" applyFill="1" applyBorder="1" applyAlignment="1">
      <alignment horizontal="center" vertical="center"/>
    </xf>
    <xf numFmtId="0" fontId="199" fillId="10" borderId="3" xfId="2" applyFont="1" applyFill="1" applyBorder="1" applyAlignment="1">
      <alignment horizontal="center" vertical="center"/>
    </xf>
    <xf numFmtId="0" fontId="199" fillId="10" borderId="125" xfId="2" applyFont="1" applyFill="1" applyBorder="1" applyAlignment="1">
      <alignment horizontal="center" vertical="center"/>
    </xf>
    <xf numFmtId="0" fontId="198" fillId="10" borderId="223" xfId="3" applyFont="1" applyFill="1" applyBorder="1" applyAlignment="1">
      <alignment horizontal="center" vertical="center"/>
    </xf>
    <xf numFmtId="0" fontId="198" fillId="10" borderId="155" xfId="3" applyFont="1" applyFill="1" applyBorder="1" applyAlignment="1">
      <alignment horizontal="center" vertical="center"/>
    </xf>
    <xf numFmtId="0" fontId="198" fillId="10" borderId="42" xfId="3" applyFont="1" applyFill="1" applyBorder="1" applyAlignment="1">
      <alignment horizontal="center" vertical="center"/>
    </xf>
    <xf numFmtId="0" fontId="198" fillId="10" borderId="224" xfId="3" applyFont="1" applyFill="1" applyBorder="1" applyAlignment="1">
      <alignment horizontal="center" vertical="center"/>
    </xf>
    <xf numFmtId="0" fontId="198" fillId="40" borderId="223" xfId="3" applyFont="1" applyFill="1" applyBorder="1" applyAlignment="1">
      <alignment horizontal="center" vertical="center"/>
    </xf>
    <xf numFmtId="0" fontId="198" fillId="40" borderId="104" xfId="3" applyFont="1" applyFill="1" applyBorder="1" applyAlignment="1">
      <alignment horizontal="center" vertical="center"/>
    </xf>
    <xf numFmtId="0" fontId="198" fillId="40" borderId="42" xfId="3" applyFont="1" applyFill="1" applyBorder="1" applyAlignment="1">
      <alignment horizontal="center" vertical="center"/>
    </xf>
    <xf numFmtId="0" fontId="198" fillId="40" borderId="56" xfId="3" applyFont="1" applyFill="1" applyBorder="1" applyAlignment="1">
      <alignment horizontal="center" vertical="center"/>
    </xf>
    <xf numFmtId="0" fontId="199" fillId="10" borderId="102" xfId="2" applyFont="1" applyFill="1" applyBorder="1" applyAlignment="1">
      <alignment horizontal="center" vertical="center"/>
    </xf>
    <xf numFmtId="0" fontId="199" fillId="10" borderId="1" xfId="2" applyFont="1" applyFill="1" applyBorder="1" applyAlignment="1">
      <alignment horizontal="center" vertical="center"/>
    </xf>
    <xf numFmtId="0" fontId="199" fillId="10" borderId="5" xfId="2" applyFont="1" applyFill="1" applyBorder="1" applyAlignment="1">
      <alignment horizontal="center" vertical="center"/>
    </xf>
    <xf numFmtId="0" fontId="187" fillId="4" borderId="36" xfId="0" applyFont="1" applyFill="1" applyBorder="1" applyAlignment="1">
      <alignment horizontal="center" vertical="center"/>
    </xf>
    <xf numFmtId="0" fontId="187" fillId="4" borderId="111" xfId="0" applyFont="1" applyFill="1" applyBorder="1" applyAlignment="1">
      <alignment horizontal="center" vertical="center"/>
    </xf>
    <xf numFmtId="0" fontId="187" fillId="4" borderId="84" xfId="0" applyFont="1" applyFill="1" applyBorder="1" applyAlignment="1">
      <alignment horizontal="center" vertical="center"/>
    </xf>
    <xf numFmtId="0" fontId="19" fillId="4" borderId="58" xfId="0" applyFont="1" applyFill="1" applyBorder="1" applyAlignment="1">
      <alignment horizontal="center" vertical="center"/>
    </xf>
    <xf numFmtId="0" fontId="19" fillId="4" borderId="35" xfId="0" applyFont="1" applyFill="1" applyBorder="1" applyAlignment="1">
      <alignment horizontal="center" vertical="center"/>
    </xf>
    <xf numFmtId="0" fontId="92" fillId="4" borderId="27" xfId="0" applyFont="1" applyFill="1" applyBorder="1" applyAlignment="1">
      <alignment horizontal="center" vertical="center"/>
    </xf>
    <xf numFmtId="0" fontId="92" fillId="4" borderId="5" xfId="0" applyFont="1" applyFill="1" applyBorder="1" applyAlignment="1">
      <alignment horizontal="center" vertical="center"/>
    </xf>
    <xf numFmtId="0" fontId="19" fillId="4" borderId="60" xfId="0" applyFont="1" applyFill="1" applyBorder="1" applyAlignment="1">
      <alignment horizontal="center" vertical="center"/>
    </xf>
    <xf numFmtId="0" fontId="19" fillId="4" borderId="47" xfId="0" applyFont="1" applyFill="1" applyBorder="1" applyAlignment="1">
      <alignment horizontal="center" vertical="center"/>
    </xf>
    <xf numFmtId="0" fontId="187" fillId="4" borderId="148" xfId="0" applyFont="1" applyFill="1" applyBorder="1" applyAlignment="1">
      <alignment horizontal="center" vertical="center"/>
    </xf>
    <xf numFmtId="0" fontId="187" fillId="4" borderId="36" xfId="0" applyFont="1" applyFill="1" applyBorder="1" applyAlignment="1">
      <alignment horizontal="center" vertical="center" wrapText="1"/>
    </xf>
    <xf numFmtId="0" fontId="19" fillId="4" borderId="64" xfId="0" applyFont="1" applyFill="1" applyBorder="1" applyAlignment="1">
      <alignment horizontal="center" vertical="center"/>
    </xf>
    <xf numFmtId="0" fontId="19" fillId="4" borderId="55" xfId="0" applyFont="1" applyFill="1" applyBorder="1" applyAlignment="1">
      <alignment horizontal="center" vertical="center"/>
    </xf>
    <xf numFmtId="0" fontId="92" fillId="4" borderId="202" xfId="0" applyFont="1" applyFill="1" applyBorder="1" applyAlignment="1">
      <alignment horizontal="center" vertical="center"/>
    </xf>
    <xf numFmtId="0" fontId="92" fillId="4" borderId="1" xfId="0" applyFont="1" applyFill="1" applyBorder="1" applyAlignment="1">
      <alignment horizontal="center" vertical="center"/>
    </xf>
    <xf numFmtId="180" fontId="0" fillId="14" borderId="63" xfId="0" applyNumberFormat="1" applyFill="1" applyBorder="1" applyAlignment="1">
      <alignment horizontal="center" wrapText="1"/>
    </xf>
    <xf numFmtId="180" fontId="0" fillId="14" borderId="42" xfId="0" applyNumberFormat="1" applyFill="1" applyBorder="1" applyAlignment="1">
      <alignment horizontal="center"/>
    </xf>
    <xf numFmtId="9" fontId="75" fillId="0" borderId="61" xfId="0" applyNumberFormat="1" applyFont="1" applyBorder="1" applyAlignment="1">
      <alignment horizontal="center" wrapText="1"/>
    </xf>
    <xf numFmtId="9" fontId="75" fillId="0" borderId="5" xfId="0" applyNumberFormat="1" applyFont="1" applyBorder="1" applyAlignment="1">
      <alignment horizontal="center"/>
    </xf>
    <xf numFmtId="0" fontId="9" fillId="0" borderId="6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8" fillId="14" borderId="63" xfId="0" applyFont="1" applyFill="1" applyBorder="1" applyAlignment="1">
      <alignment horizontal="center" vertical="center"/>
    </xf>
    <xf numFmtId="0" fontId="9" fillId="14" borderId="42" xfId="0" applyFont="1" applyFill="1" applyBorder="1" applyAlignment="1">
      <alignment horizontal="center" vertical="center"/>
    </xf>
    <xf numFmtId="0" fontId="9" fillId="14" borderId="39" xfId="0" applyFont="1" applyFill="1" applyBorder="1" applyAlignment="1">
      <alignment horizontal="center"/>
    </xf>
    <xf numFmtId="0" fontId="9" fillId="14" borderId="6" xfId="0" applyFont="1" applyFill="1" applyBorder="1" applyAlignment="1">
      <alignment horizontal="center"/>
    </xf>
    <xf numFmtId="0" fontId="9" fillId="14" borderId="83" xfId="0" applyFont="1" applyFill="1" applyBorder="1" applyAlignment="1">
      <alignment horizontal="center"/>
    </xf>
    <xf numFmtId="0" fontId="9" fillId="14" borderId="64" xfId="0" applyFont="1" applyFill="1" applyBorder="1" applyAlignment="1">
      <alignment horizontal="center" wrapText="1"/>
    </xf>
    <xf numFmtId="0" fontId="9" fillId="14" borderId="35" xfId="0" applyFont="1" applyFill="1" applyBorder="1" applyAlignment="1">
      <alignment horizontal="center"/>
    </xf>
    <xf numFmtId="0" fontId="9" fillId="14" borderId="34" xfId="0" applyFont="1" applyFill="1" applyBorder="1" applyAlignment="1">
      <alignment horizontal="center" wrapText="1"/>
    </xf>
    <xf numFmtId="0" fontId="9" fillId="14" borderId="47" xfId="0" applyFont="1" applyFill="1" applyBorder="1" applyAlignment="1">
      <alignment horizontal="center"/>
    </xf>
    <xf numFmtId="180" fontId="0" fillId="14" borderId="72" xfId="0" applyNumberFormat="1" applyFill="1" applyBorder="1" applyAlignment="1">
      <alignment horizontal="center" wrapText="1"/>
    </xf>
    <xf numFmtId="180" fontId="0" fillId="14" borderId="56" xfId="0" applyNumberFormat="1" applyFill="1" applyBorder="1" applyAlignment="1">
      <alignment horizontal="center"/>
    </xf>
    <xf numFmtId="1" fontId="14" fillId="3" borderId="270" xfId="0" applyNumberFormat="1" applyFont="1" applyFill="1" applyBorder="1" applyAlignment="1">
      <alignment horizontal="center" vertical="center"/>
    </xf>
    <xf numFmtId="1" fontId="14" fillId="3" borderId="261" xfId="0" applyNumberFormat="1" applyFont="1" applyFill="1" applyBorder="1" applyAlignment="1">
      <alignment horizontal="center" vertical="center"/>
    </xf>
    <xf numFmtId="219" fontId="14" fillId="3" borderId="270" xfId="0" applyNumberFormat="1" applyFont="1" applyFill="1" applyBorder="1" applyAlignment="1">
      <alignment horizontal="center" vertical="center"/>
    </xf>
    <xf numFmtId="219" fontId="14" fillId="3" borderId="261" xfId="0" applyNumberFormat="1" applyFont="1" applyFill="1" applyBorder="1" applyAlignment="1">
      <alignment horizontal="center" vertical="center"/>
    </xf>
    <xf numFmtId="0" fontId="14" fillId="3" borderId="270" xfId="0" applyFont="1" applyFill="1" applyBorder="1" applyAlignment="1">
      <alignment horizontal="center" vertical="center" wrapText="1"/>
    </xf>
    <xf numFmtId="0" fontId="14" fillId="3" borderId="261" xfId="0" applyFont="1" applyFill="1" applyBorder="1" applyAlignment="1">
      <alignment horizontal="center" vertical="center" wrapText="1"/>
    </xf>
    <xf numFmtId="0" fontId="14" fillId="3" borderId="270" xfId="0" applyFont="1" applyFill="1" applyBorder="1" applyAlignment="1">
      <alignment horizontal="center" vertical="center"/>
    </xf>
    <xf numFmtId="0" fontId="14" fillId="3" borderId="261" xfId="0" applyFont="1" applyFill="1" applyBorder="1" applyAlignment="1">
      <alignment horizontal="center" vertical="center"/>
    </xf>
  </cellXfs>
  <cellStyles count="50028">
    <cellStyle name="__" xfId="49842" xr:uid="{00000000-0005-0000-0000-000000000000}"/>
    <cellStyle name="____P62 LH meeting minutes on 4-1 R1" xfId="49843" xr:uid="{00000000-0005-0000-0000-000001000000}"/>
    <cellStyle name="___Czech P62 Capacity Plan V1" xfId="49844" xr:uid="{00000000-0005-0000-0000-000002000000}"/>
    <cellStyle name="___LH P62 AM Multiplex Line Document(UPH100)Rev.E 1-30 for DVT all" xfId="49845" xr:uid="{00000000-0005-0000-0000-000003000000}"/>
    <cellStyle name="___LH P62 AM Unique Line Document Rev-D 1-18" xfId="49846" xr:uid="{00000000-0005-0000-0000-000004000000}"/>
    <cellStyle name="___LH P62 AM Unique Line Document Rev-D 1-18_P62A capacity wkbk2" xfId="49847" xr:uid="{00000000-0005-0000-0000-000005000000}"/>
    <cellStyle name="___LH P62 AM Unique Line Document Rev-D 1-18_P62A Equiplistv1.6(OEM)6-6" xfId="49848" xr:uid="{00000000-0005-0000-0000-000006000000}"/>
    <cellStyle name="___LH P62 AM Unique Line Document Rev-D 1-18_P62A Invesmt-PlanVsAct(Rev7)_1031,02" xfId="49849" xr:uid="{00000000-0005-0000-0000-000007000000}"/>
    <cellStyle name="___LH P62 AM Unique Line Document Rev-D 1-18_P62A Investmest -Plv8)_1106,02" xfId="49850" xr:uid="{00000000-0005-0000-0000-000008000000}"/>
    <cellStyle name="___LH P62 AM Unique Line Document Rev-D 1-18_P62A Unique Line Document Rev-31  9-27" xfId="49851" xr:uid="{00000000-0005-0000-0000-000009000000}"/>
    <cellStyle name="___LH P62 AM Unique Line Document Rev-D 1-18_P62A Unique Line Document Rev-31 9-27" xfId="49852" xr:uid="{00000000-0005-0000-0000-00000A000000}"/>
    <cellStyle name="___LH P62 AM Unique Line Document Rev-D 1-18_P86 AMA-200uph-permV1-1" xfId="49853" xr:uid="{00000000-0005-0000-0000-00000B000000}"/>
    <cellStyle name="___LH P62 FATP Document Rev-08 12--28" xfId="49854" xr:uid="{00000000-0005-0000-0000-00000C000000}"/>
    <cellStyle name="___LH P62 FATP Document RI-8-T12 Rev_16 02-21" xfId="49855" xr:uid="{00000000-0005-0000-0000-00000D000000}"/>
    <cellStyle name="___LH P62 FATP Lead Time Check List Rev_10 1-9" xfId="49856" xr:uid="{00000000-0005-0000-0000-00000E000000}"/>
    <cellStyle name="___P62 AM leadtime  2-22" xfId="49857" xr:uid="{00000000-0005-0000-0000-00000F000000}"/>
    <cellStyle name="___P62 AM setup check list 1-23" xfId="49858" xr:uid="{00000000-0005-0000-0000-000010000000}"/>
    <cellStyle name="___P62-100engv(OEM)6-3-7" xfId="49859" xr:uid="{00000000-0005-0000-0000-000011000000}"/>
    <cellStyle name="___P62-100LH(OEM-Sub)6-3-5" xfId="49860" xr:uid="{00000000-0005-0000-0000-000012000000}"/>
    <cellStyle name="___P62A Unique Line Document Rev-F 2-27 With 2-2-6-2" xfId="49861" xr:uid="{00000000-0005-0000-0000-000013000000}"/>
    <cellStyle name="___P62A Unique Line Document Rev-F 2-27 With 2-2-6-2_P62A Unique Line Document Rev-29  8-14" xfId="49862" xr:uid="{00000000-0005-0000-0000-000014000000}"/>
    <cellStyle name="___P62A_Process_Flow(4.3)" xfId="49863" xr:uid="{00000000-0005-0000-0000-000015000000}"/>
    <cellStyle name="___P62A_Process_Flow(4.3)_P62A capacity wkbk2" xfId="49864" xr:uid="{00000000-0005-0000-0000-000016000000}"/>
    <cellStyle name="___P62A_Process_Flow(4.3)_P62A Invesmt-PlanVsAct(Rev7)_1031,02" xfId="49865" xr:uid="{00000000-0005-0000-0000-000017000000}"/>
    <cellStyle name="___P62A_Process_Flow(4.3)_P62A Investmest -Plv8)_1106,02" xfId="49866" xr:uid="{00000000-0005-0000-0000-000018000000}"/>
    <cellStyle name="___P62A_Process_Flow(4.3)_P62A Unique Line Document Rev-31  9-27" xfId="49867" xr:uid="{00000000-0005-0000-0000-000019000000}"/>
    <cellStyle name="___P62A_Process_Flow(4.3)_P62A Unique Line Document Rev-31 9-27" xfId="49868" xr:uid="{00000000-0005-0000-0000-00001A000000}"/>
    <cellStyle name="___P62A_Process_Flow(4.3)_P86 AMA-200uph-permV1-1" xfId="49869" xr:uid="{00000000-0005-0000-0000-00001B000000}"/>
    <cellStyle name="_AP--Pre-GB &amp; BB List" xfId="49870" xr:uid="{00000000-0005-0000-0000-00001C000000}"/>
    <cellStyle name="_CABLE--Pre-GB &amp; BB List" xfId="49871" xr:uid="{00000000-0005-0000-0000-00001D000000}"/>
    <cellStyle name="_CID--Pre-GB &amp; BB List" xfId="49872" xr:uid="{00000000-0005-0000-0000-00001E000000}"/>
    <cellStyle name="_CID--綠帶種子及黑帶名單" xfId="49873" xr:uid="{00000000-0005-0000-0000-00001F000000}"/>
    <cellStyle name="_Control balance PO &amp; DO 070721" xfId="13" xr:uid="{00000000-0005-0000-0000-000020000000}"/>
    <cellStyle name="_Control balance PO &amp; DO 070721 2" xfId="125" xr:uid="{00000000-0005-0000-0000-000021000000}"/>
    <cellStyle name="_Control balance PO &amp; DO 070721 3" xfId="146" xr:uid="{00000000-0005-0000-0000-000022000000}"/>
    <cellStyle name="_Cost reduction Sheets-Total" xfId="49874" xr:uid="{00000000-0005-0000-0000-000023000000}"/>
    <cellStyle name="_DS--Pre-GB &amp; BB List" xfId="49875" xr:uid="{00000000-0005-0000-0000-000024000000}"/>
    <cellStyle name="_DS華南0--Pre-GB &amp; BB List" xfId="49876" xr:uid="{00000000-0005-0000-0000-000025000000}"/>
    <cellStyle name="_DS華南--Pre-GB &amp; BB List" xfId="49877" xr:uid="{00000000-0005-0000-0000-000026000000}"/>
    <cellStyle name="_EM--Pre-GB &amp; BB List" xfId="49878" xr:uid="{00000000-0005-0000-0000-000027000000}"/>
    <cellStyle name="_GG from 18 to 22-Aug-2008" xfId="14" xr:uid="{00000000-0005-0000-0000-000028000000}"/>
    <cellStyle name="_GG from 18 to 22-Aug-2008 2" xfId="126" xr:uid="{00000000-0005-0000-0000-000029000000}"/>
    <cellStyle name="_GG from 18 to 22-Aug-2008 3" xfId="147" xr:uid="{00000000-0005-0000-0000-00002A000000}"/>
    <cellStyle name="_GG from 7 to 12 Jul 2008" xfId="15" xr:uid="{00000000-0005-0000-0000-00002B000000}"/>
    <cellStyle name="_GG from 7 to 12 Jul 2008 2" xfId="127" xr:uid="{00000000-0005-0000-0000-00002C000000}"/>
    <cellStyle name="_GG from 7 to 12 Jul 2008 3" xfId="148" xr:uid="{00000000-0005-0000-0000-00002D000000}"/>
    <cellStyle name="_HY0--Pre-GB &amp; BB List" xfId="49879" xr:uid="{00000000-0005-0000-0000-00002E000000}"/>
    <cellStyle name="_HY--Pre-GB &amp; BB List" xfId="49880" xr:uid="{00000000-0005-0000-0000-00002F000000}"/>
    <cellStyle name="_LG 비딩 (혜주)(1)" xfId="52" xr:uid="{00000000-0005-0000-0000-000030000000}"/>
    <cellStyle name="_LG 비딩 (혜주)(1)_PT ESH" xfId="51" xr:uid="{00000000-0005-0000-0000-000031000000}"/>
    <cellStyle name="_LG 비딩 (혜주)(1)_단가인하 관련 품의 양식(내부)" xfId="77" xr:uid="{00000000-0005-0000-0000-000032000000}"/>
    <cellStyle name="_LG 비딩 (혜주)(1)_보고용 0612271" xfId="55" xr:uid="{00000000-0005-0000-0000-000033000000}"/>
    <cellStyle name="_MH0--Pre-GB &amp; BB List" xfId="49881" xr:uid="{00000000-0005-0000-0000-000034000000}"/>
    <cellStyle name="_MH--Pre-GB &amp; BB List" xfId="49882" xr:uid="{00000000-0005-0000-0000-000035000000}"/>
    <cellStyle name="_NB--Pre-GB &amp; BB List" xfId="49883" xr:uid="{00000000-0005-0000-0000-000036000000}"/>
    <cellStyle name="_pc 품의용(1)" xfId="46" xr:uid="{00000000-0005-0000-0000-000037000000}"/>
    <cellStyle name="_pc 품의용(1)_PT ESH" xfId="56" xr:uid="{00000000-0005-0000-0000-000038000000}"/>
    <cellStyle name="_pc 품의용(1)_단가인하 관련 품의 양식(내부)" xfId="91" xr:uid="{00000000-0005-0000-0000-000039000000}"/>
    <cellStyle name="_pc 품의용(1)_보고용 0612271" xfId="86" xr:uid="{00000000-0005-0000-0000-00003A000000}"/>
    <cellStyle name="_TPE--Pre-GB &amp; BB List" xfId="49884" xr:uid="{00000000-0005-0000-0000-00003B000000}"/>
    <cellStyle name="_단가인하 관련 품의 양식(내부)" xfId="88" xr:uid="{00000000-0005-0000-0000-00003C000000}"/>
    <cellStyle name="_寶源廠區--Pre-GB &amp; BB List" xfId="49885" xr:uid="{00000000-0005-0000-0000-00003F000000}"/>
    <cellStyle name="_副本Shipment Fcst-2008-red" xfId="49886" xr:uid="{00000000-0005-0000-0000-00003E000000}"/>
    <cellStyle name="_은행 변경 관련 인감증명서 협조문 20061109" xfId="89" xr:uid="{00000000-0005-0000-0000-00003D000000}"/>
    <cellStyle name="_质量损失0812" xfId="49887" xr:uid="{00000000-0005-0000-0000-000040000000}"/>
    <cellStyle name="=C:\WINDOWS\SYSTEM32\COMMAND.COM" xfId="16" xr:uid="{00000000-0005-0000-0000-000041000000}"/>
    <cellStyle name="=C:\WINDOWS\SYSTEM32\COMMAND.COM 2" xfId="128" xr:uid="{00000000-0005-0000-0000-000042000000}"/>
    <cellStyle name="=C:\WINDOWS\SYSTEM32\COMMAND.COM 3" xfId="149" xr:uid="{00000000-0005-0000-0000-000043000000}"/>
    <cellStyle name="0,0_x000d__x000a_NA_x000d__x000a_" xfId="57" xr:uid="{00000000-0005-0000-0000-000044000000}"/>
    <cellStyle name="0,0_x000d__x000a_NA_x000d__x000a_ 2" xfId="49302" xr:uid="{00000000-0005-0000-0000-000045000000}"/>
    <cellStyle name="19990216" xfId="76" xr:uid="{00000000-0005-0000-0000-000046000000}"/>
    <cellStyle name="20" xfId="49303" xr:uid="{00000000-0005-0000-0000-000047000000}"/>
    <cellStyle name="20 2" xfId="49304" xr:uid="{00000000-0005-0000-0000-000048000000}"/>
    <cellStyle name="20 3" xfId="49305" xr:uid="{00000000-0005-0000-0000-000049000000}"/>
    <cellStyle name="20% - 强调文字颜色 1 2" xfId="49783" xr:uid="{00000000-0005-0000-0000-00004A000000}"/>
    <cellStyle name="20% - 强调文字颜色 2 2" xfId="49784" xr:uid="{00000000-0005-0000-0000-00004B000000}"/>
    <cellStyle name="20% - 强调文字颜色 3 2" xfId="49785" xr:uid="{00000000-0005-0000-0000-00004C000000}"/>
    <cellStyle name="20% - 强调文字颜色 4 2" xfId="49786" xr:uid="{00000000-0005-0000-0000-00004D000000}"/>
    <cellStyle name="20% - 强调文字颜色 5 2" xfId="49787" xr:uid="{00000000-0005-0000-0000-00004E000000}"/>
    <cellStyle name="20% - 强调文字颜色 6 2" xfId="49788" xr:uid="{00000000-0005-0000-0000-00004F000000}"/>
    <cellStyle name="40% - 强调文字颜色 1 2" xfId="49789" xr:uid="{00000000-0005-0000-0000-000050000000}"/>
    <cellStyle name="40% - 强调文字颜色 2 2" xfId="49790" xr:uid="{00000000-0005-0000-0000-000051000000}"/>
    <cellStyle name="40% - 强调文字颜色 3 2" xfId="49791" xr:uid="{00000000-0005-0000-0000-000052000000}"/>
    <cellStyle name="40% - 强调文字颜色 4 2" xfId="49792" xr:uid="{00000000-0005-0000-0000-000053000000}"/>
    <cellStyle name="40% - 强调文字颜色 5 2" xfId="49793" xr:uid="{00000000-0005-0000-0000-000054000000}"/>
    <cellStyle name="40% - 强调文字颜色 6 2" xfId="49794" xr:uid="{00000000-0005-0000-0000-000055000000}"/>
    <cellStyle name="60% - 强调文字颜色 1 2" xfId="49795" xr:uid="{00000000-0005-0000-0000-000056000000}"/>
    <cellStyle name="60% - 强调文字颜色 2 2" xfId="49796" xr:uid="{00000000-0005-0000-0000-000057000000}"/>
    <cellStyle name="60% - 强调文字颜色 3 2" xfId="49797" xr:uid="{00000000-0005-0000-0000-000058000000}"/>
    <cellStyle name="60% - 强调文字颜色 4 2" xfId="49798" xr:uid="{00000000-0005-0000-0000-000059000000}"/>
    <cellStyle name="60% - 强调文字颜色 5 2" xfId="49799" xr:uid="{00000000-0005-0000-0000-00005A000000}"/>
    <cellStyle name="60% - 强调文字颜色 6 2" xfId="49800" xr:uid="{00000000-0005-0000-0000-00005B000000}"/>
    <cellStyle name="A¨­￠￢￠O [0]_Ivc_SMXD" xfId="65" xr:uid="{00000000-0005-0000-0000-00005C000000}"/>
    <cellStyle name="accounting" xfId="49888" xr:uid="{00000000-0005-0000-0000-00005D000000}"/>
    <cellStyle name="AeE­ [0]_INQUIRY ¿μ¾÷AßAø " xfId="49889" xr:uid="{00000000-0005-0000-0000-00005E000000}"/>
    <cellStyle name="AeE­_INQUIRY ¿μ¾÷AßAø " xfId="49890" xr:uid="{00000000-0005-0000-0000-00005F000000}"/>
    <cellStyle name="AFE" xfId="58" xr:uid="{00000000-0005-0000-0000-000060000000}"/>
    <cellStyle name="AFE 2" xfId="59" xr:uid="{00000000-0005-0000-0000-000061000000}"/>
    <cellStyle name="AFE 2 2" xfId="60" xr:uid="{00000000-0005-0000-0000-000062000000}"/>
    <cellStyle name="AFE 3" xfId="61" xr:uid="{00000000-0005-0000-0000-000063000000}"/>
    <cellStyle name="AFE 3 2" xfId="82" xr:uid="{00000000-0005-0000-0000-000064000000}"/>
    <cellStyle name="AFE 4" xfId="62" xr:uid="{00000000-0005-0000-0000-000065000000}"/>
    <cellStyle name="AFE 4 2" xfId="63" xr:uid="{00000000-0005-0000-0000-000066000000}"/>
    <cellStyle name="args.style" xfId="49306" xr:uid="{00000000-0005-0000-0000-000067000000}"/>
    <cellStyle name="args.style 2" xfId="49891" xr:uid="{00000000-0005-0000-0000-000068000000}"/>
    <cellStyle name="AÞ¸¶ [0]_INQUIRY ¿?¾÷AßAø " xfId="49892" xr:uid="{00000000-0005-0000-0000-000069000000}"/>
    <cellStyle name="AÞ¸¶_INQUIRY ¿?¾÷AßAø " xfId="49893" xr:uid="{00000000-0005-0000-0000-00006A000000}"/>
    <cellStyle name="Body" xfId="49307" xr:uid="{00000000-0005-0000-0000-00006B000000}"/>
    <cellStyle name="Border" xfId="49894" xr:uid="{00000000-0005-0000-0000-00006C000000}"/>
    <cellStyle name="Border 2" xfId="50011" xr:uid="{00000000-0005-0000-0000-00006D000000}"/>
    <cellStyle name="C?AØ_¿?¾÷CoE² " xfId="49895" xr:uid="{00000000-0005-0000-0000-00006E000000}"/>
    <cellStyle name="C¡IA¨ª_Ivc_SMXD" xfId="78" xr:uid="{00000000-0005-0000-0000-00006F000000}"/>
    <cellStyle name="C￥AØ_¿μ¾÷CoE² " xfId="49308" xr:uid="{00000000-0005-0000-0000-000070000000}"/>
    <cellStyle name="Calc Currency (0)" xfId="49309" xr:uid="{00000000-0005-0000-0000-000071000000}"/>
    <cellStyle name="Calc Currency (0) 2" xfId="49310" xr:uid="{00000000-0005-0000-0000-000072000000}"/>
    <cellStyle name="Calc Currency (0) 3" xfId="49311" xr:uid="{00000000-0005-0000-0000-000073000000}"/>
    <cellStyle name="Calc Currency (0) 4" xfId="49896" xr:uid="{00000000-0005-0000-0000-000074000000}"/>
    <cellStyle name="Calc Currency (2)" xfId="49897" xr:uid="{00000000-0005-0000-0000-000075000000}"/>
    <cellStyle name="Calc Percent (0)" xfId="49898" xr:uid="{00000000-0005-0000-0000-000076000000}"/>
    <cellStyle name="Calc Percent (1)" xfId="49899" xr:uid="{00000000-0005-0000-0000-000077000000}"/>
    <cellStyle name="Calc Percent (2)" xfId="49900" xr:uid="{00000000-0005-0000-0000-000078000000}"/>
    <cellStyle name="Calc Units (0)" xfId="49901" xr:uid="{00000000-0005-0000-0000-000079000000}"/>
    <cellStyle name="Calc Units (1)" xfId="49902" xr:uid="{00000000-0005-0000-0000-00007A000000}"/>
    <cellStyle name="Calc Units (2)" xfId="49903" xr:uid="{00000000-0005-0000-0000-00007B000000}"/>
    <cellStyle name="category" xfId="54" xr:uid="{00000000-0005-0000-0000-00007C000000}"/>
    <cellStyle name="Comma  - Style1" xfId="49312" xr:uid="{00000000-0005-0000-0000-00007E000000}"/>
    <cellStyle name="Comma  - Style2" xfId="49313" xr:uid="{00000000-0005-0000-0000-00007F000000}"/>
    <cellStyle name="Comma  - Style3" xfId="49314" xr:uid="{00000000-0005-0000-0000-000080000000}"/>
    <cellStyle name="Comma  - Style4" xfId="49315" xr:uid="{00000000-0005-0000-0000-000081000000}"/>
    <cellStyle name="Comma  - Style5" xfId="49316" xr:uid="{00000000-0005-0000-0000-000082000000}"/>
    <cellStyle name="Comma  - Style6" xfId="49317" xr:uid="{00000000-0005-0000-0000-000083000000}"/>
    <cellStyle name="Comma  - Style7" xfId="49318" xr:uid="{00000000-0005-0000-0000-000084000000}"/>
    <cellStyle name="Comma  - Style8" xfId="49319" xr:uid="{00000000-0005-0000-0000-000085000000}"/>
    <cellStyle name="Comma [0] 2" xfId="4" xr:uid="{00000000-0005-0000-0000-000087000000}"/>
    <cellStyle name="Comma [0] 2 2" xfId="20" xr:uid="{00000000-0005-0000-0000-000088000000}"/>
    <cellStyle name="Comma [0] 2 2 2" xfId="49768" xr:uid="{00000000-0005-0000-0000-000089000000}"/>
    <cellStyle name="Comma [0] 2 3" xfId="49320" xr:uid="{00000000-0005-0000-0000-00008A000000}"/>
    <cellStyle name="Comma [0] 2 4" xfId="49295" xr:uid="{00000000-0005-0000-0000-00008B000000}"/>
    <cellStyle name="Comma [0] 2 5" xfId="19" xr:uid="{00000000-0005-0000-0000-00008C000000}"/>
    <cellStyle name="Comma [0] 3" xfId="3206" xr:uid="{00000000-0005-0000-0000-00008D000000}"/>
    <cellStyle name="Comma [0] 3 2" xfId="49321" xr:uid="{00000000-0005-0000-0000-00008E000000}"/>
    <cellStyle name="Comma [0] 4" xfId="49322" xr:uid="{00000000-0005-0000-0000-00008F000000}"/>
    <cellStyle name="Comma [0] 5" xfId="49781" xr:uid="{00000000-0005-0000-0000-000090000000}"/>
    <cellStyle name="Comma [0] 6" xfId="18" xr:uid="{00000000-0005-0000-0000-000091000000}"/>
    <cellStyle name="Comma [00]" xfId="49904" xr:uid="{00000000-0005-0000-0000-000092000000}"/>
    <cellStyle name="Comma 10" xfId="49323" xr:uid="{00000000-0005-0000-0000-000093000000}"/>
    <cellStyle name="Comma 10 2" xfId="49324" xr:uid="{00000000-0005-0000-0000-000094000000}"/>
    <cellStyle name="Comma 10 3" xfId="49325" xr:uid="{00000000-0005-0000-0000-000095000000}"/>
    <cellStyle name="Comma 11" xfId="49326" xr:uid="{00000000-0005-0000-0000-000096000000}"/>
    <cellStyle name="Comma 11 2" xfId="49327" xr:uid="{00000000-0005-0000-0000-000097000000}"/>
    <cellStyle name="Comma 11 3" xfId="49328" xr:uid="{00000000-0005-0000-0000-000098000000}"/>
    <cellStyle name="Comma 12" xfId="49329" xr:uid="{00000000-0005-0000-0000-000099000000}"/>
    <cellStyle name="Comma 12 2" xfId="49330" xr:uid="{00000000-0005-0000-0000-00009A000000}"/>
    <cellStyle name="Comma 12 3" xfId="49331" xr:uid="{00000000-0005-0000-0000-00009B000000}"/>
    <cellStyle name="Comma 13" xfId="49332" xr:uid="{00000000-0005-0000-0000-00009C000000}"/>
    <cellStyle name="Comma 13 2" xfId="49333" xr:uid="{00000000-0005-0000-0000-00009D000000}"/>
    <cellStyle name="Comma 14" xfId="49334" xr:uid="{00000000-0005-0000-0000-00009E000000}"/>
    <cellStyle name="Comma 14 2" xfId="49335" xr:uid="{00000000-0005-0000-0000-00009F000000}"/>
    <cellStyle name="Comma 15" xfId="49336" xr:uid="{00000000-0005-0000-0000-0000A0000000}"/>
    <cellStyle name="Comma 15 2" xfId="49337" xr:uid="{00000000-0005-0000-0000-0000A1000000}"/>
    <cellStyle name="Comma 16" xfId="49338" xr:uid="{00000000-0005-0000-0000-0000A2000000}"/>
    <cellStyle name="Comma 16 2" xfId="49339" xr:uid="{00000000-0005-0000-0000-0000A3000000}"/>
    <cellStyle name="Comma 17" xfId="49340" xr:uid="{00000000-0005-0000-0000-0000A4000000}"/>
    <cellStyle name="Comma 17 2" xfId="49341" xr:uid="{00000000-0005-0000-0000-0000A5000000}"/>
    <cellStyle name="Comma 18" xfId="49342" xr:uid="{00000000-0005-0000-0000-0000A6000000}"/>
    <cellStyle name="Comma 18 2" xfId="49343" xr:uid="{00000000-0005-0000-0000-0000A7000000}"/>
    <cellStyle name="Comma 19" xfId="49344" xr:uid="{00000000-0005-0000-0000-0000A8000000}"/>
    <cellStyle name="Comma 19 2" xfId="49345" xr:uid="{00000000-0005-0000-0000-0000A9000000}"/>
    <cellStyle name="Comma 2" xfId="6" xr:uid="{00000000-0005-0000-0000-0000AA000000}"/>
    <cellStyle name="Comma 2 10" xfId="49347" xr:uid="{00000000-0005-0000-0000-0000AB000000}"/>
    <cellStyle name="Comma 2 2" xfId="49348" xr:uid="{00000000-0005-0000-0000-0000AC000000}"/>
    <cellStyle name="Comma 2 2 18" xfId="49770" xr:uid="{00000000-0005-0000-0000-0000AD000000}"/>
    <cellStyle name="Comma 2 3" xfId="49349" xr:uid="{00000000-0005-0000-0000-0000AE000000}"/>
    <cellStyle name="Comma 2 4" xfId="49765" xr:uid="{00000000-0005-0000-0000-0000AF000000}"/>
    <cellStyle name="Comma 2 5" xfId="49905" xr:uid="{00000000-0005-0000-0000-0000B0000000}"/>
    <cellStyle name="Comma 2 6" xfId="49346" xr:uid="{00000000-0005-0000-0000-0000B1000000}"/>
    <cellStyle name="Comma 2 7" xfId="21" xr:uid="{00000000-0005-0000-0000-0000B2000000}"/>
    <cellStyle name="Comma 20" xfId="49350" xr:uid="{00000000-0005-0000-0000-0000B3000000}"/>
    <cellStyle name="Comma 20 2" xfId="49351" xr:uid="{00000000-0005-0000-0000-0000B4000000}"/>
    <cellStyle name="Comma 21" xfId="49352" xr:uid="{00000000-0005-0000-0000-0000B5000000}"/>
    <cellStyle name="Comma 21 2" xfId="49353" xr:uid="{00000000-0005-0000-0000-0000B6000000}"/>
    <cellStyle name="Comma 22" xfId="49354" xr:uid="{00000000-0005-0000-0000-0000B7000000}"/>
    <cellStyle name="Comma 22 2" xfId="49355" xr:uid="{00000000-0005-0000-0000-0000B8000000}"/>
    <cellStyle name="Comma 23" xfId="49356" xr:uid="{00000000-0005-0000-0000-0000B9000000}"/>
    <cellStyle name="Comma 23 2" xfId="49357" xr:uid="{00000000-0005-0000-0000-0000BA000000}"/>
    <cellStyle name="Comma 24" xfId="49358" xr:uid="{00000000-0005-0000-0000-0000BB000000}"/>
    <cellStyle name="Comma 24 2" xfId="49359" xr:uid="{00000000-0005-0000-0000-0000BC000000}"/>
    <cellStyle name="Comma 25" xfId="49360" xr:uid="{00000000-0005-0000-0000-0000BD000000}"/>
    <cellStyle name="Comma 25 2" xfId="49361" xr:uid="{00000000-0005-0000-0000-0000BE000000}"/>
    <cellStyle name="Comma 26" xfId="49362" xr:uid="{00000000-0005-0000-0000-0000BF000000}"/>
    <cellStyle name="Comma 26 2" xfId="49363" xr:uid="{00000000-0005-0000-0000-0000C0000000}"/>
    <cellStyle name="Comma 27" xfId="49364" xr:uid="{00000000-0005-0000-0000-0000C1000000}"/>
    <cellStyle name="Comma 27 2" xfId="49365" xr:uid="{00000000-0005-0000-0000-0000C2000000}"/>
    <cellStyle name="Comma 28" xfId="49366" xr:uid="{00000000-0005-0000-0000-0000C3000000}"/>
    <cellStyle name="Comma 28 2" xfId="49367" xr:uid="{00000000-0005-0000-0000-0000C4000000}"/>
    <cellStyle name="Comma 29" xfId="49368" xr:uid="{00000000-0005-0000-0000-0000C5000000}"/>
    <cellStyle name="Comma 29 2" xfId="49369" xr:uid="{00000000-0005-0000-0000-0000C6000000}"/>
    <cellStyle name="Comma 3" xfId="22" xr:uid="{00000000-0005-0000-0000-0000C7000000}"/>
    <cellStyle name="Comma 3 2" xfId="49371" xr:uid="{00000000-0005-0000-0000-0000C8000000}"/>
    <cellStyle name="Comma 3 3" xfId="49372" xr:uid="{00000000-0005-0000-0000-0000C9000000}"/>
    <cellStyle name="Comma 3 4" xfId="49767" xr:uid="{00000000-0005-0000-0000-0000CA000000}"/>
    <cellStyle name="Comma 3 5" xfId="49906" xr:uid="{00000000-0005-0000-0000-0000CB000000}"/>
    <cellStyle name="Comma 3 6" xfId="49370" xr:uid="{00000000-0005-0000-0000-0000CC000000}"/>
    <cellStyle name="Comma 30" xfId="49373" xr:uid="{00000000-0005-0000-0000-0000CD000000}"/>
    <cellStyle name="Comma 30 2" xfId="49374" xr:uid="{00000000-0005-0000-0000-0000CE000000}"/>
    <cellStyle name="Comma 31" xfId="49375" xr:uid="{00000000-0005-0000-0000-0000CF000000}"/>
    <cellStyle name="Comma 31 2" xfId="49376" xr:uid="{00000000-0005-0000-0000-0000D0000000}"/>
    <cellStyle name="Comma 32" xfId="49377" xr:uid="{00000000-0005-0000-0000-0000D1000000}"/>
    <cellStyle name="Comma 32 2" xfId="49378" xr:uid="{00000000-0005-0000-0000-0000D2000000}"/>
    <cellStyle name="Comma 33" xfId="49379" xr:uid="{00000000-0005-0000-0000-0000D3000000}"/>
    <cellStyle name="Comma 33 2" xfId="49380" xr:uid="{00000000-0005-0000-0000-0000D4000000}"/>
    <cellStyle name="Comma 34" xfId="49381" xr:uid="{00000000-0005-0000-0000-0000D5000000}"/>
    <cellStyle name="Comma 34 2" xfId="49382" xr:uid="{00000000-0005-0000-0000-0000D6000000}"/>
    <cellStyle name="Comma 35" xfId="49383" xr:uid="{00000000-0005-0000-0000-0000D7000000}"/>
    <cellStyle name="Comma 35 2" xfId="49384" xr:uid="{00000000-0005-0000-0000-0000D8000000}"/>
    <cellStyle name="Comma 36" xfId="49385" xr:uid="{00000000-0005-0000-0000-0000D9000000}"/>
    <cellStyle name="Comma 36 2" xfId="49386" xr:uid="{00000000-0005-0000-0000-0000DA000000}"/>
    <cellStyle name="Comma 37" xfId="49387" xr:uid="{00000000-0005-0000-0000-0000DB000000}"/>
    <cellStyle name="Comma 37 2" xfId="49388" xr:uid="{00000000-0005-0000-0000-0000DC000000}"/>
    <cellStyle name="Comma 38" xfId="49389" xr:uid="{00000000-0005-0000-0000-0000DD000000}"/>
    <cellStyle name="Comma 38 2" xfId="49390" xr:uid="{00000000-0005-0000-0000-0000DE000000}"/>
    <cellStyle name="Comma 39" xfId="49391" xr:uid="{00000000-0005-0000-0000-0000DF000000}"/>
    <cellStyle name="Comma 39 2" xfId="49392" xr:uid="{00000000-0005-0000-0000-0000E0000000}"/>
    <cellStyle name="Comma 4" xfId="43" xr:uid="{00000000-0005-0000-0000-0000E1000000}"/>
    <cellStyle name="Comma 40" xfId="49393" xr:uid="{00000000-0005-0000-0000-0000E2000000}"/>
    <cellStyle name="Comma 40 2" xfId="49394" xr:uid="{00000000-0005-0000-0000-0000E3000000}"/>
    <cellStyle name="Comma 41" xfId="49395" xr:uid="{00000000-0005-0000-0000-0000E4000000}"/>
    <cellStyle name="Comma 42" xfId="49396" xr:uid="{00000000-0005-0000-0000-0000E5000000}"/>
    <cellStyle name="Comma 43" xfId="49397" xr:uid="{00000000-0005-0000-0000-0000E6000000}"/>
    <cellStyle name="Comma 43 2" xfId="49398" xr:uid="{00000000-0005-0000-0000-0000E7000000}"/>
    <cellStyle name="Comma 43 3" xfId="49399" xr:uid="{00000000-0005-0000-0000-0000E8000000}"/>
    <cellStyle name="Comma 44" xfId="49400" xr:uid="{00000000-0005-0000-0000-0000E9000000}"/>
    <cellStyle name="Comma 44 2" xfId="49401" xr:uid="{00000000-0005-0000-0000-0000EA000000}"/>
    <cellStyle name="Comma 44 3" xfId="49402" xr:uid="{00000000-0005-0000-0000-0000EB000000}"/>
    <cellStyle name="Comma 45" xfId="49403" xr:uid="{00000000-0005-0000-0000-0000EC000000}"/>
    <cellStyle name="Comma 45 2" xfId="49404" xr:uid="{00000000-0005-0000-0000-0000ED000000}"/>
    <cellStyle name="Comma 45 3" xfId="49405" xr:uid="{00000000-0005-0000-0000-0000EE000000}"/>
    <cellStyle name="Comma 46" xfId="49406" xr:uid="{00000000-0005-0000-0000-0000EF000000}"/>
    <cellStyle name="Comma 46 2" xfId="49407" xr:uid="{00000000-0005-0000-0000-0000F0000000}"/>
    <cellStyle name="Comma 47" xfId="49408" xr:uid="{00000000-0005-0000-0000-0000F1000000}"/>
    <cellStyle name="Comma 47 2" xfId="49409" xr:uid="{00000000-0005-0000-0000-0000F2000000}"/>
    <cellStyle name="Comma 48" xfId="49410" xr:uid="{00000000-0005-0000-0000-0000F3000000}"/>
    <cellStyle name="Comma 48 2" xfId="49411" xr:uid="{00000000-0005-0000-0000-0000F4000000}"/>
    <cellStyle name="Comma 49" xfId="49412" xr:uid="{00000000-0005-0000-0000-0000F5000000}"/>
    <cellStyle name="Comma 49 2" xfId="49413" xr:uid="{00000000-0005-0000-0000-0000F6000000}"/>
    <cellStyle name="Comma 5" xfId="3207" xr:uid="{00000000-0005-0000-0000-0000F7000000}"/>
    <cellStyle name="Comma 5 2" xfId="49414" xr:uid="{00000000-0005-0000-0000-0000F8000000}"/>
    <cellStyle name="Comma 50" xfId="49415" xr:uid="{00000000-0005-0000-0000-0000F9000000}"/>
    <cellStyle name="Comma 51" xfId="49416" xr:uid="{00000000-0005-0000-0000-0000FA000000}"/>
    <cellStyle name="Comma 52" xfId="49417" xr:uid="{00000000-0005-0000-0000-0000FB000000}"/>
    <cellStyle name="Comma 53" xfId="49418" xr:uid="{00000000-0005-0000-0000-0000FC000000}"/>
    <cellStyle name="Comma 54" xfId="49978" xr:uid="{00000000-0005-0000-0000-0000FD000000}"/>
    <cellStyle name="Comma 55" xfId="49982" xr:uid="{00000000-0005-0000-0000-0000FE000000}"/>
    <cellStyle name="Comma 56" xfId="49984" xr:uid="{00000000-0005-0000-0000-0000FF000000}"/>
    <cellStyle name="Comma 57" xfId="50025" xr:uid="{00000000-0005-0000-0000-000000010000}"/>
    <cellStyle name="Comma 58" xfId="17" xr:uid="{00000000-0005-0000-0000-000001010000}"/>
    <cellStyle name="Comma 6" xfId="49419" xr:uid="{00000000-0005-0000-0000-000002010000}"/>
    <cellStyle name="Comma 6 2" xfId="49420" xr:uid="{00000000-0005-0000-0000-000003010000}"/>
    <cellStyle name="Comma 6 3" xfId="49421" xr:uid="{00000000-0005-0000-0000-000004010000}"/>
    <cellStyle name="Comma 7" xfId="49422" xr:uid="{00000000-0005-0000-0000-000005010000}"/>
    <cellStyle name="Comma 7 2" xfId="49423" xr:uid="{00000000-0005-0000-0000-000006010000}"/>
    <cellStyle name="Comma 7 3" xfId="49424" xr:uid="{00000000-0005-0000-0000-000007010000}"/>
    <cellStyle name="Comma 8" xfId="49425" xr:uid="{00000000-0005-0000-0000-000008010000}"/>
    <cellStyle name="Comma 8 2" xfId="49426" xr:uid="{00000000-0005-0000-0000-000009010000}"/>
    <cellStyle name="Comma 8 3" xfId="49427" xr:uid="{00000000-0005-0000-0000-00000A010000}"/>
    <cellStyle name="Comma 9" xfId="49428" xr:uid="{00000000-0005-0000-0000-00000B010000}"/>
    <cellStyle name="Comma 9 2" xfId="49429" xr:uid="{00000000-0005-0000-0000-00000C010000}"/>
    <cellStyle name="Comma 9 3" xfId="49430" xr:uid="{00000000-0005-0000-0000-00000D010000}"/>
    <cellStyle name="Comma0" xfId="49431" xr:uid="{00000000-0005-0000-0000-00000E010000}"/>
    <cellStyle name="Comma0 2" xfId="49907" xr:uid="{00000000-0005-0000-0000-00000F010000}"/>
    <cellStyle name="Copied" xfId="49432" xr:uid="{00000000-0005-0000-0000-000010010000}"/>
    <cellStyle name="Copied 2" xfId="49433" xr:uid="{00000000-0005-0000-0000-000011010000}"/>
    <cellStyle name="Copied 3" xfId="49434" xr:uid="{00000000-0005-0000-0000-000012010000}"/>
    <cellStyle name="Copied 4" xfId="49908" xr:uid="{00000000-0005-0000-0000-000013010000}"/>
    <cellStyle name="COST1" xfId="49909" xr:uid="{00000000-0005-0000-0000-000014010000}"/>
    <cellStyle name="Currency [00]" xfId="49910" xr:uid="{00000000-0005-0000-0000-000015010000}"/>
    <cellStyle name="Currency 2" xfId="42" xr:uid="{00000000-0005-0000-0000-000016010000}"/>
    <cellStyle name="Currency 3" xfId="49290" xr:uid="{00000000-0005-0000-0000-000017010000}"/>
    <cellStyle name="Currency 4" xfId="49717" xr:uid="{00000000-0005-0000-0000-000018010000}"/>
    <cellStyle name="Currency 5" xfId="50008" xr:uid="{00000000-0005-0000-0000-000019010000}"/>
    <cellStyle name="Currency 6" xfId="50002" xr:uid="{00000000-0005-0000-0000-00001A010000}"/>
    <cellStyle name="Currency 7" xfId="49993" xr:uid="{00000000-0005-0000-0000-00001B010000}"/>
    <cellStyle name="Currency 8" xfId="49994" xr:uid="{00000000-0005-0000-0000-00001C010000}"/>
    <cellStyle name="Currency 9" xfId="23" xr:uid="{00000000-0005-0000-0000-00001D010000}"/>
    <cellStyle name="Currency0" xfId="49435" xr:uid="{00000000-0005-0000-0000-00001E010000}"/>
    <cellStyle name="Currency0 2" xfId="49436" xr:uid="{00000000-0005-0000-0000-00001F010000}"/>
    <cellStyle name="Currency0 3" xfId="49437" xr:uid="{00000000-0005-0000-0000-000020010000}"/>
    <cellStyle name="Currency0 4" xfId="49911" xr:uid="{00000000-0005-0000-0000-000021010000}"/>
    <cellStyle name="custom" xfId="49912" xr:uid="{00000000-0005-0000-0000-000022010000}"/>
    <cellStyle name="Cyndie" xfId="49913" xr:uid="{00000000-0005-0000-0000-000023010000}"/>
    <cellStyle name="Date" xfId="49438" xr:uid="{00000000-0005-0000-0000-000024010000}"/>
    <cellStyle name="Date 2" xfId="49439" xr:uid="{00000000-0005-0000-0000-000025010000}"/>
    <cellStyle name="Date 3" xfId="49440" xr:uid="{00000000-0005-0000-0000-000026010000}"/>
    <cellStyle name="Date 4" xfId="49914" xr:uid="{00000000-0005-0000-0000-000027010000}"/>
    <cellStyle name="Date Short" xfId="49915" xr:uid="{00000000-0005-0000-0000-000028010000}"/>
    <cellStyle name="Date_Book1" xfId="49916" xr:uid="{00000000-0005-0000-0000-000029010000}"/>
    <cellStyle name="Dezimal [0]_35ERI8T2gbIEMixb4v26icuOo" xfId="49441" xr:uid="{00000000-0005-0000-0000-00002A010000}"/>
    <cellStyle name="Dezimal_35ERI8T2gbIEMixb4v26icuOo" xfId="49442" xr:uid="{00000000-0005-0000-0000-00002B010000}"/>
    <cellStyle name="Enter Currency (0)" xfId="49917" xr:uid="{00000000-0005-0000-0000-00002C010000}"/>
    <cellStyle name="Enter Currency (2)" xfId="49918" xr:uid="{00000000-0005-0000-0000-00002D010000}"/>
    <cellStyle name="Enter Units (0)" xfId="49919" xr:uid="{00000000-0005-0000-0000-00002E010000}"/>
    <cellStyle name="Enter Units (1)" xfId="49920" xr:uid="{00000000-0005-0000-0000-00002F010000}"/>
    <cellStyle name="Enter Units (2)" xfId="49921" xr:uid="{00000000-0005-0000-0000-000030010000}"/>
    <cellStyle name="Entered" xfId="49443" xr:uid="{00000000-0005-0000-0000-000031010000}"/>
    <cellStyle name="Entered 2" xfId="49444" xr:uid="{00000000-0005-0000-0000-000032010000}"/>
    <cellStyle name="Entered 3" xfId="49445" xr:uid="{00000000-0005-0000-0000-000033010000}"/>
    <cellStyle name="Entered 4" xfId="49922" xr:uid="{00000000-0005-0000-0000-000034010000}"/>
    <cellStyle name="Euro" xfId="49446" xr:uid="{00000000-0005-0000-0000-000035010000}"/>
    <cellStyle name="Fixed" xfId="49447" xr:uid="{00000000-0005-0000-0000-000036010000}"/>
    <cellStyle name="Grey" xfId="73" xr:uid="{00000000-0005-0000-0000-000037010000}"/>
    <cellStyle name="Grey 2" xfId="49448" xr:uid="{00000000-0005-0000-0000-000038010000}"/>
    <cellStyle name="Head 1" xfId="49449" xr:uid="{00000000-0005-0000-0000-000039010000}"/>
    <cellStyle name="HEADER" xfId="68" xr:uid="{00000000-0005-0000-0000-00003A010000}"/>
    <cellStyle name="Header1" xfId="84" xr:uid="{00000000-0005-0000-0000-00003B010000}"/>
    <cellStyle name="Header1 2" xfId="49450" xr:uid="{00000000-0005-0000-0000-00003C010000}"/>
    <cellStyle name="Header1 3" xfId="49451" xr:uid="{00000000-0005-0000-0000-00003D010000}"/>
    <cellStyle name="Header1 4" xfId="49923" xr:uid="{00000000-0005-0000-0000-00003E010000}"/>
    <cellStyle name="Header2" xfId="80" xr:uid="{00000000-0005-0000-0000-00003F010000}"/>
    <cellStyle name="Header2 2" xfId="49452" xr:uid="{00000000-0005-0000-0000-000040010000}"/>
    <cellStyle name="Header2 2 2" xfId="50017" xr:uid="{00000000-0005-0000-0000-000041010000}"/>
    <cellStyle name="Header2 3" xfId="49453" xr:uid="{00000000-0005-0000-0000-000042010000}"/>
    <cellStyle name="Header2 3 2" xfId="50003" xr:uid="{00000000-0005-0000-0000-000043010000}"/>
    <cellStyle name="Header2 4" xfId="49924" xr:uid="{00000000-0005-0000-0000-000044010000}"/>
    <cellStyle name="Header2 4 2" xfId="50001" xr:uid="{00000000-0005-0000-0000-000045010000}"/>
    <cellStyle name="Header2 5" xfId="50016" xr:uid="{00000000-0005-0000-0000-000046010000}"/>
    <cellStyle name="Heading 1 2" xfId="49925" xr:uid="{00000000-0005-0000-0000-000047010000}"/>
    <cellStyle name="Heading 2 2" xfId="49926" xr:uid="{00000000-0005-0000-0000-000048010000}"/>
    <cellStyle name="HEADINGS" xfId="49454" xr:uid="{00000000-0005-0000-0000-000049010000}"/>
    <cellStyle name="HEADINGSTOP" xfId="49455" xr:uid="{00000000-0005-0000-0000-00004A010000}"/>
    <cellStyle name="Hyperlink 2" xfId="49977" xr:uid="{00000000-0005-0000-0000-00004B010000}"/>
    <cellStyle name="Input [yellow]" xfId="64" xr:uid="{00000000-0005-0000-0000-00004C010000}"/>
    <cellStyle name="Input [yellow] 2" xfId="49780" xr:uid="{00000000-0005-0000-0000-00004D010000}"/>
    <cellStyle name="Input [yellow] 2 2" xfId="49986" xr:uid="{00000000-0005-0000-0000-00004E010000}"/>
    <cellStyle name="Input [yellow] 2 2 2" xfId="50020" xr:uid="{00000000-0005-0000-0000-00004F010000}"/>
    <cellStyle name="Input [yellow] 2 2 3" xfId="50023" xr:uid="{00000000-0005-0000-0000-000050010000}"/>
    <cellStyle name="Input [yellow] 3" xfId="49927" xr:uid="{00000000-0005-0000-0000-000051010000}"/>
    <cellStyle name="Input [yellow] 3 2" xfId="49992" xr:uid="{00000000-0005-0000-0000-000052010000}"/>
    <cellStyle name="Input [yellow] 3 2 2" xfId="50021" xr:uid="{00000000-0005-0000-0000-000053010000}"/>
    <cellStyle name="Input [yellow] 3 2 3" xfId="50024" xr:uid="{00000000-0005-0000-0000-000054010000}"/>
    <cellStyle name="Input [yellow] 4" xfId="49456" xr:uid="{00000000-0005-0000-0000-000055010000}"/>
    <cellStyle name="Input Cells" xfId="49928" xr:uid="{00000000-0005-0000-0000-000056010000}"/>
    <cellStyle name="Kien1" xfId="49457" xr:uid="{00000000-0005-0000-0000-000057010000}"/>
    <cellStyle name="Kien1 2" xfId="49458" xr:uid="{00000000-0005-0000-0000-000058010000}"/>
    <cellStyle name="Kien1 3" xfId="49459" xr:uid="{00000000-0005-0000-0000-000059010000}"/>
    <cellStyle name="left" xfId="49460" xr:uid="{00000000-0005-0000-0000-00005A010000}"/>
    <cellStyle name="left 2" xfId="49461" xr:uid="{00000000-0005-0000-0000-00005B010000}"/>
    <cellStyle name="left 3" xfId="49462" xr:uid="{00000000-0005-0000-0000-00005C010000}"/>
    <cellStyle name="Link Currency (0)" xfId="49929" xr:uid="{00000000-0005-0000-0000-00005D010000}"/>
    <cellStyle name="Link Currency (2)" xfId="49930" xr:uid="{00000000-0005-0000-0000-00005E010000}"/>
    <cellStyle name="Link Units (0)" xfId="49931" xr:uid="{00000000-0005-0000-0000-00005F010000}"/>
    <cellStyle name="Link Units (1)" xfId="49932" xr:uid="{00000000-0005-0000-0000-000060010000}"/>
    <cellStyle name="Link Units (2)" xfId="49933" xr:uid="{00000000-0005-0000-0000-000061010000}"/>
    <cellStyle name="Linked Cells" xfId="49934" xr:uid="{00000000-0005-0000-0000-000062010000}"/>
    <cellStyle name="Millares [0]_Well Timing" xfId="49463" xr:uid="{00000000-0005-0000-0000-000063010000}"/>
    <cellStyle name="Millares_Well Timing" xfId="49464" xr:uid="{00000000-0005-0000-0000-000064010000}"/>
    <cellStyle name="Milliers [0]_!!!GO" xfId="49935" xr:uid="{00000000-0005-0000-0000-000065010000}"/>
    <cellStyle name="Milliers_!!!GO" xfId="49936" xr:uid="{00000000-0005-0000-0000-000066010000}"/>
    <cellStyle name="Model" xfId="79" xr:uid="{00000000-0005-0000-0000-000067010000}"/>
    <cellStyle name="Moeda [0]_aola" xfId="49465" xr:uid="{00000000-0005-0000-0000-000068010000}"/>
    <cellStyle name="Moeda_aola" xfId="49466" xr:uid="{00000000-0005-0000-0000-000069010000}"/>
    <cellStyle name="Mon¨¦taire [0]_!!!GO" xfId="49937" xr:uid="{00000000-0005-0000-0000-00006A010000}"/>
    <cellStyle name="Mon¨¦taire_!!!GO" xfId="49938" xr:uid="{00000000-0005-0000-0000-00006B010000}"/>
    <cellStyle name="Moneda [0]_Well Timing" xfId="49467" xr:uid="{00000000-0005-0000-0000-00006C010000}"/>
    <cellStyle name="Moneda_Well Timing" xfId="49468" xr:uid="{00000000-0005-0000-0000-00006D010000}"/>
    <cellStyle name="Monétaire [0]_!!!GO" xfId="49939" xr:uid="{00000000-0005-0000-0000-00006E010000}"/>
    <cellStyle name="Monétaire_!!!GO" xfId="49940" xr:uid="{00000000-0005-0000-0000-00006F010000}"/>
    <cellStyle name="Mon閠aire [0]_!!!GO" xfId="49941" xr:uid="{00000000-0005-0000-0000-000070010000}"/>
    <cellStyle name="Mon閠aire_!!!GO" xfId="49942" xr:uid="{00000000-0005-0000-0000-000071010000}"/>
    <cellStyle name="Muster" xfId="49469" xr:uid="{00000000-0005-0000-0000-000072010000}"/>
    <cellStyle name="n" xfId="49470" xr:uid="{00000000-0005-0000-0000-000073010000}"/>
    <cellStyle name="n 2" xfId="49471" xr:uid="{00000000-0005-0000-0000-000074010000}"/>
    <cellStyle name="n 3" xfId="49472" xr:uid="{00000000-0005-0000-0000-000075010000}"/>
    <cellStyle name="New Times Roman" xfId="49943" xr:uid="{00000000-0005-0000-0000-000076010000}"/>
    <cellStyle name="no dec" xfId="49944" xr:uid="{00000000-0005-0000-0000-000077010000}"/>
    <cellStyle name="Norm੎੎" xfId="24" xr:uid="{00000000-0005-0000-0000-000078010000}"/>
    <cellStyle name="Norm੎੎ 2" xfId="129" xr:uid="{00000000-0005-0000-0000-000079010000}"/>
    <cellStyle name="Norm੎੎ 3" xfId="150" xr:uid="{00000000-0005-0000-0000-00007A010000}"/>
    <cellStyle name="Norm??" xfId="25" xr:uid="{00000000-0005-0000-0000-00007B010000}"/>
    <cellStyle name="Norm?? 2" xfId="130" xr:uid="{00000000-0005-0000-0000-00007C010000}"/>
    <cellStyle name="Norm?? 3" xfId="151" xr:uid="{00000000-0005-0000-0000-00007D010000}"/>
    <cellStyle name="Normal - Style1" xfId="66" xr:uid="{00000000-0005-0000-0000-00007F010000}"/>
    <cellStyle name="Normal - Style1 2" xfId="49474" xr:uid="{00000000-0005-0000-0000-000080010000}"/>
    <cellStyle name="Normal - Style1 3" xfId="49475" xr:uid="{00000000-0005-0000-0000-000081010000}"/>
    <cellStyle name="Normal - Style1 4" xfId="49476" xr:uid="{00000000-0005-0000-0000-000082010000}"/>
    <cellStyle name="Normal - Style1 5" xfId="49945" xr:uid="{00000000-0005-0000-0000-000083010000}"/>
    <cellStyle name="Normal - Style1 6" xfId="49473" xr:uid="{00000000-0005-0000-0000-000084010000}"/>
    <cellStyle name="Normal 10" xfId="196" xr:uid="{00000000-0005-0000-0000-000085010000}"/>
    <cellStyle name="Normal 10 2" xfId="49478" xr:uid="{00000000-0005-0000-0000-000086010000}"/>
    <cellStyle name="Normal 10 3" xfId="49479" xr:uid="{00000000-0005-0000-0000-000087010000}"/>
    <cellStyle name="Normal 10 4" xfId="49477" xr:uid="{00000000-0005-0000-0000-000088010000}"/>
    <cellStyle name="Normal 100" xfId="49480" xr:uid="{00000000-0005-0000-0000-000089010000}"/>
    <cellStyle name="Normal 101" xfId="49481" xr:uid="{00000000-0005-0000-0000-00008A010000}"/>
    <cellStyle name="Normal 102" xfId="49482" xr:uid="{00000000-0005-0000-0000-00008B010000}"/>
    <cellStyle name="Normal 103" xfId="49483" xr:uid="{00000000-0005-0000-0000-00008C010000}"/>
    <cellStyle name="Normal 104" xfId="49484" xr:uid="{00000000-0005-0000-0000-00008D010000}"/>
    <cellStyle name="Normal 105" xfId="49485" xr:uid="{00000000-0005-0000-0000-00008E010000}"/>
    <cellStyle name="Normal 106" xfId="49486" xr:uid="{00000000-0005-0000-0000-00008F010000}"/>
    <cellStyle name="Normal 107" xfId="49782" xr:uid="{00000000-0005-0000-0000-000090010000}"/>
    <cellStyle name="Normal 108" xfId="49980" xr:uid="{00000000-0005-0000-0000-000091010000}"/>
    <cellStyle name="Normal 109" xfId="49981" xr:uid="{00000000-0005-0000-0000-000092010000}"/>
    <cellStyle name="Normal 11" xfId="7" xr:uid="{00000000-0005-0000-0000-000093010000}"/>
    <cellStyle name="Normal 11 2" xfId="49488" xr:uid="{00000000-0005-0000-0000-000094010000}"/>
    <cellStyle name="Normal 11 3" xfId="49489" xr:uid="{00000000-0005-0000-0000-000095010000}"/>
    <cellStyle name="Normal 11 4" xfId="49775" xr:uid="{00000000-0005-0000-0000-000096010000}"/>
    <cellStyle name="Normal 11 5" xfId="49487" xr:uid="{00000000-0005-0000-0000-000097010000}"/>
    <cellStyle name="Normal 110" xfId="49289" xr:uid="{00000000-0005-0000-0000-000098010000}"/>
    <cellStyle name="Normal 111" xfId="49974" xr:uid="{00000000-0005-0000-0000-000099010000}"/>
    <cellStyle name="Normal 112" xfId="50012" xr:uid="{00000000-0005-0000-0000-00009A010000}"/>
    <cellStyle name="Normal 113" xfId="49999" xr:uid="{00000000-0005-0000-0000-00009B010000}"/>
    <cellStyle name="Normal 114" xfId="50006" xr:uid="{00000000-0005-0000-0000-00009C010000}"/>
    <cellStyle name="Normal 115" xfId="50015" xr:uid="{00000000-0005-0000-0000-00009D010000}"/>
    <cellStyle name="Normal 116" xfId="12" xr:uid="{00000000-0005-0000-0000-00009E010000}"/>
    <cellStyle name="Normal 12" xfId="3208" xr:uid="{00000000-0005-0000-0000-00009F010000}"/>
    <cellStyle name="Normal 12 2" xfId="49491" xr:uid="{00000000-0005-0000-0000-0000A0010000}"/>
    <cellStyle name="Normal 12 3" xfId="49492" xr:uid="{00000000-0005-0000-0000-0000A1010000}"/>
    <cellStyle name="Normal 12 4" xfId="49490" xr:uid="{00000000-0005-0000-0000-0000A2010000}"/>
    <cellStyle name="Normal 13" xfId="49493" xr:uid="{00000000-0005-0000-0000-0000A3010000}"/>
    <cellStyle name="Normal 13 2" xfId="49494" xr:uid="{00000000-0005-0000-0000-0000A4010000}"/>
    <cellStyle name="Normal 13 3" xfId="49495" xr:uid="{00000000-0005-0000-0000-0000A5010000}"/>
    <cellStyle name="Normal 13 4" xfId="49496" xr:uid="{00000000-0005-0000-0000-0000A6010000}"/>
    <cellStyle name="Normal 14" xfId="49497" xr:uid="{00000000-0005-0000-0000-0000A7010000}"/>
    <cellStyle name="Normal 14 2" xfId="49498" xr:uid="{00000000-0005-0000-0000-0000A8010000}"/>
    <cellStyle name="Normal 14 3" xfId="49499" xr:uid="{00000000-0005-0000-0000-0000A9010000}"/>
    <cellStyle name="Normal 15" xfId="49500" xr:uid="{00000000-0005-0000-0000-0000AA010000}"/>
    <cellStyle name="Normal 15 2" xfId="49501" xr:uid="{00000000-0005-0000-0000-0000AB010000}"/>
    <cellStyle name="Normal 15 3" xfId="49502" xr:uid="{00000000-0005-0000-0000-0000AC010000}"/>
    <cellStyle name="Normal 16" xfId="49503" xr:uid="{00000000-0005-0000-0000-0000AD010000}"/>
    <cellStyle name="Normal 16 2" xfId="49504" xr:uid="{00000000-0005-0000-0000-0000AE010000}"/>
    <cellStyle name="Normal 16 3" xfId="49505" xr:uid="{00000000-0005-0000-0000-0000AF010000}"/>
    <cellStyle name="Normal 17" xfId="49506" xr:uid="{00000000-0005-0000-0000-0000B0010000}"/>
    <cellStyle name="Normal 17 2" xfId="49507" xr:uid="{00000000-0005-0000-0000-0000B1010000}"/>
    <cellStyle name="Normal 17 2 2" xfId="49508" xr:uid="{00000000-0005-0000-0000-0000B2010000}"/>
    <cellStyle name="Normal 17 3" xfId="49509" xr:uid="{00000000-0005-0000-0000-0000B3010000}"/>
    <cellStyle name="Normal 18" xfId="49510" xr:uid="{00000000-0005-0000-0000-0000B4010000}"/>
    <cellStyle name="Normal 18 2" xfId="49511" xr:uid="{00000000-0005-0000-0000-0000B5010000}"/>
    <cellStyle name="Normal 18 2 2" xfId="49512" xr:uid="{00000000-0005-0000-0000-0000B6010000}"/>
    <cellStyle name="Normal 18 3" xfId="49513" xr:uid="{00000000-0005-0000-0000-0000B7010000}"/>
    <cellStyle name="Normal 19" xfId="49514" xr:uid="{00000000-0005-0000-0000-0000B8010000}"/>
    <cellStyle name="Normal 19 2" xfId="49515" xr:uid="{00000000-0005-0000-0000-0000B9010000}"/>
    <cellStyle name="Normal 19 2 2" xfId="49516" xr:uid="{00000000-0005-0000-0000-0000BA010000}"/>
    <cellStyle name="Normal 19 3" xfId="49517" xr:uid="{00000000-0005-0000-0000-0000BB010000}"/>
    <cellStyle name="Normal 2" xfId="2" xr:uid="{00000000-0005-0000-0000-0000BC010000}"/>
    <cellStyle name="Normal 2 10" xfId="49764" xr:uid="{00000000-0005-0000-0000-0000BD010000}"/>
    <cellStyle name="Normal 2 11" xfId="49774" xr:uid="{00000000-0005-0000-0000-0000BE010000}"/>
    <cellStyle name="Normal 2 12" xfId="49518" xr:uid="{00000000-0005-0000-0000-0000BF010000}"/>
    <cellStyle name="Normal 2 13" xfId="49801" xr:uid="{00000000-0005-0000-0000-0000C0010000}"/>
    <cellStyle name="Normal 2 14" xfId="49294" xr:uid="{00000000-0005-0000-0000-0000C1010000}"/>
    <cellStyle name="Normal 2 15" xfId="26" xr:uid="{00000000-0005-0000-0000-0000C2010000}"/>
    <cellStyle name="Normal 2 2" xfId="3" xr:uid="{00000000-0005-0000-0000-0000C3010000}"/>
    <cellStyle name="Normal 2 2 2" xfId="132" xr:uid="{00000000-0005-0000-0000-0000C4010000}"/>
    <cellStyle name="Normal 2 2 2 2" xfId="49520" xr:uid="{00000000-0005-0000-0000-0000C5010000}"/>
    <cellStyle name="Normal 2 2 2 2 3" xfId="49769" xr:uid="{00000000-0005-0000-0000-0000C6010000}"/>
    <cellStyle name="Normal 2 2 3" xfId="153" xr:uid="{00000000-0005-0000-0000-0000C7010000}"/>
    <cellStyle name="Normal 2 2 3 2" xfId="49521" xr:uid="{00000000-0005-0000-0000-0000C8010000}"/>
    <cellStyle name="Normal 2 2 4" xfId="49522" xr:uid="{00000000-0005-0000-0000-0000C9010000}"/>
    <cellStyle name="Normal 2 2 5" xfId="49519" xr:uid="{00000000-0005-0000-0000-0000CA010000}"/>
    <cellStyle name="Normal 2 2 6" xfId="27" xr:uid="{00000000-0005-0000-0000-0000CB010000}"/>
    <cellStyle name="Normal 2 3" xfId="131" xr:uid="{00000000-0005-0000-0000-0000CC010000}"/>
    <cellStyle name="Normal 2 3 2" xfId="49523" xr:uid="{00000000-0005-0000-0000-0000CD010000}"/>
    <cellStyle name="Normal 2 4" xfId="152" xr:uid="{00000000-0005-0000-0000-0000CE010000}"/>
    <cellStyle name="Normal 2 4 2" xfId="49524" xr:uid="{00000000-0005-0000-0000-0000CF010000}"/>
    <cellStyle name="Normal 2 5" xfId="49525" xr:uid="{00000000-0005-0000-0000-0000D0010000}"/>
    <cellStyle name="Normal 2 6" xfId="49526" xr:uid="{00000000-0005-0000-0000-0000D1010000}"/>
    <cellStyle name="Normal 2 7" xfId="49527" xr:uid="{00000000-0005-0000-0000-0000D2010000}"/>
    <cellStyle name="Normal 2 7 2" xfId="49528" xr:uid="{00000000-0005-0000-0000-0000D3010000}"/>
    <cellStyle name="Normal 2 7 3" xfId="49529" xr:uid="{00000000-0005-0000-0000-0000D4010000}"/>
    <cellStyle name="Normal 2 8" xfId="49530" xr:uid="{00000000-0005-0000-0000-0000D5010000}"/>
    <cellStyle name="Normal 2 8 2" xfId="49531" xr:uid="{00000000-0005-0000-0000-0000D6010000}"/>
    <cellStyle name="Normal 2 8 3" xfId="49532" xr:uid="{00000000-0005-0000-0000-0000D7010000}"/>
    <cellStyle name="Normal 2 9" xfId="49533" xr:uid="{00000000-0005-0000-0000-0000D8010000}"/>
    <cellStyle name="Normal 20" xfId="49534" xr:uid="{00000000-0005-0000-0000-0000D9010000}"/>
    <cellStyle name="Normal 20 2" xfId="49535" xr:uid="{00000000-0005-0000-0000-0000DA010000}"/>
    <cellStyle name="Normal 20 2 2" xfId="49536" xr:uid="{00000000-0005-0000-0000-0000DB010000}"/>
    <cellStyle name="Normal 20 3" xfId="49537" xr:uid="{00000000-0005-0000-0000-0000DC010000}"/>
    <cellStyle name="Normal 21" xfId="49538" xr:uid="{00000000-0005-0000-0000-0000DD010000}"/>
    <cellStyle name="Normal 22" xfId="49539" xr:uid="{00000000-0005-0000-0000-0000DE010000}"/>
    <cellStyle name="Normal 22 2" xfId="49540" xr:uid="{00000000-0005-0000-0000-0000DF010000}"/>
    <cellStyle name="Normal 22 2 2" xfId="49541" xr:uid="{00000000-0005-0000-0000-0000E0010000}"/>
    <cellStyle name="Normal 22 3" xfId="49542" xr:uid="{00000000-0005-0000-0000-0000E1010000}"/>
    <cellStyle name="Normal 23" xfId="49543" xr:uid="{00000000-0005-0000-0000-0000E2010000}"/>
    <cellStyle name="Normal 23 2" xfId="49544" xr:uid="{00000000-0005-0000-0000-0000E3010000}"/>
    <cellStyle name="Normal 23 2 2" xfId="49545" xr:uid="{00000000-0005-0000-0000-0000E4010000}"/>
    <cellStyle name="Normal 23 3" xfId="49546" xr:uid="{00000000-0005-0000-0000-0000E5010000}"/>
    <cellStyle name="Normal 24" xfId="49547" xr:uid="{00000000-0005-0000-0000-0000E6010000}"/>
    <cellStyle name="Normal 24 2" xfId="49548" xr:uid="{00000000-0005-0000-0000-0000E7010000}"/>
    <cellStyle name="Normal 24 2 2" xfId="49549" xr:uid="{00000000-0005-0000-0000-0000E8010000}"/>
    <cellStyle name="Normal 24 3" xfId="49550" xr:uid="{00000000-0005-0000-0000-0000E9010000}"/>
    <cellStyle name="Normal 25" xfId="49551" xr:uid="{00000000-0005-0000-0000-0000EA010000}"/>
    <cellStyle name="Normal 25 2" xfId="49552" xr:uid="{00000000-0005-0000-0000-0000EB010000}"/>
    <cellStyle name="Normal 25 2 2" xfId="49553" xr:uid="{00000000-0005-0000-0000-0000EC010000}"/>
    <cellStyle name="Normal 25 3" xfId="49554" xr:uid="{00000000-0005-0000-0000-0000ED010000}"/>
    <cellStyle name="Normal 26" xfId="49555" xr:uid="{00000000-0005-0000-0000-0000EE010000}"/>
    <cellStyle name="Normal 26 2" xfId="49556" xr:uid="{00000000-0005-0000-0000-0000EF010000}"/>
    <cellStyle name="Normal 26 2 2" xfId="49557" xr:uid="{00000000-0005-0000-0000-0000F0010000}"/>
    <cellStyle name="Normal 26 3" xfId="49558" xr:uid="{00000000-0005-0000-0000-0000F1010000}"/>
    <cellStyle name="Normal 27" xfId="49559" xr:uid="{00000000-0005-0000-0000-0000F2010000}"/>
    <cellStyle name="Normal 27 2" xfId="49560" xr:uid="{00000000-0005-0000-0000-0000F3010000}"/>
    <cellStyle name="Normal 27 2 2" xfId="49561" xr:uid="{00000000-0005-0000-0000-0000F4010000}"/>
    <cellStyle name="Normal 27 3" xfId="49562" xr:uid="{00000000-0005-0000-0000-0000F5010000}"/>
    <cellStyle name="Normal 28" xfId="49563" xr:uid="{00000000-0005-0000-0000-0000F6010000}"/>
    <cellStyle name="Normal 28 2" xfId="49564" xr:uid="{00000000-0005-0000-0000-0000F7010000}"/>
    <cellStyle name="Normal 28 3" xfId="49565" xr:uid="{00000000-0005-0000-0000-0000F8010000}"/>
    <cellStyle name="Normal 29" xfId="49566" xr:uid="{00000000-0005-0000-0000-0000F9010000}"/>
    <cellStyle name="Normal 29 2" xfId="49567" xr:uid="{00000000-0005-0000-0000-0000FA010000}"/>
    <cellStyle name="Normal 3" xfId="28" xr:uid="{00000000-0005-0000-0000-0000FB010000}"/>
    <cellStyle name="Normal 3 2" xfId="133" xr:uid="{00000000-0005-0000-0000-0000FC010000}"/>
    <cellStyle name="Normal 3 2 2" xfId="49569" xr:uid="{00000000-0005-0000-0000-0000FD010000}"/>
    <cellStyle name="Normal 3 3" xfId="154" xr:uid="{00000000-0005-0000-0000-0000FE010000}"/>
    <cellStyle name="Normal 3 3 2" xfId="49570" xr:uid="{00000000-0005-0000-0000-0000FF010000}"/>
    <cellStyle name="Normal 3 4" xfId="49571" xr:uid="{00000000-0005-0000-0000-000000020000}"/>
    <cellStyle name="Normal 3 5" xfId="49572" xr:uid="{00000000-0005-0000-0000-000001020000}"/>
    <cellStyle name="Normal 3 6" xfId="49766" xr:uid="{00000000-0005-0000-0000-000002020000}"/>
    <cellStyle name="Normal 3 7" xfId="49568" xr:uid="{00000000-0005-0000-0000-000003020000}"/>
    <cellStyle name="Normal 3 8" xfId="49946" xr:uid="{00000000-0005-0000-0000-000004020000}"/>
    <cellStyle name="Normal 3 9" xfId="49296" xr:uid="{00000000-0005-0000-0000-000005020000}"/>
    <cellStyle name="Normal 30" xfId="49573" xr:uid="{00000000-0005-0000-0000-000006020000}"/>
    <cellStyle name="Normal 30 2" xfId="49574" xr:uid="{00000000-0005-0000-0000-000007020000}"/>
    <cellStyle name="Normal 31" xfId="49575" xr:uid="{00000000-0005-0000-0000-000008020000}"/>
    <cellStyle name="Normal 31 2" xfId="49576" xr:uid="{00000000-0005-0000-0000-000009020000}"/>
    <cellStyle name="Normal 32" xfId="49577" xr:uid="{00000000-0005-0000-0000-00000A020000}"/>
    <cellStyle name="Normal 32 2" xfId="49578" xr:uid="{00000000-0005-0000-0000-00000B020000}"/>
    <cellStyle name="Normal 33" xfId="49579" xr:uid="{00000000-0005-0000-0000-00000C020000}"/>
    <cellStyle name="Normal 33 2" xfId="49580" xr:uid="{00000000-0005-0000-0000-00000D020000}"/>
    <cellStyle name="Normal 34" xfId="49581" xr:uid="{00000000-0005-0000-0000-00000E020000}"/>
    <cellStyle name="Normal 34 2" xfId="49582" xr:uid="{00000000-0005-0000-0000-00000F020000}"/>
    <cellStyle name="Normal 35" xfId="49583" xr:uid="{00000000-0005-0000-0000-000010020000}"/>
    <cellStyle name="Normal 35 2" xfId="49584" xr:uid="{00000000-0005-0000-0000-000011020000}"/>
    <cellStyle name="Normal 36" xfId="49585" xr:uid="{00000000-0005-0000-0000-000012020000}"/>
    <cellStyle name="Normal 36 2" xfId="49586" xr:uid="{00000000-0005-0000-0000-000013020000}"/>
    <cellStyle name="Normal 37" xfId="49587" xr:uid="{00000000-0005-0000-0000-000014020000}"/>
    <cellStyle name="Normal 37 2" xfId="49588" xr:uid="{00000000-0005-0000-0000-000015020000}"/>
    <cellStyle name="Normal 38" xfId="49589" xr:uid="{00000000-0005-0000-0000-000016020000}"/>
    <cellStyle name="Normal 38 2" xfId="49590" xr:uid="{00000000-0005-0000-0000-000017020000}"/>
    <cellStyle name="Normal 39" xfId="49591" xr:uid="{00000000-0005-0000-0000-000018020000}"/>
    <cellStyle name="Normal 39 2" xfId="49592" xr:uid="{00000000-0005-0000-0000-000019020000}"/>
    <cellStyle name="Normal 4" xfId="44" xr:uid="{00000000-0005-0000-0000-00001A020000}"/>
    <cellStyle name="Normal 4 10" xfId="261" xr:uid="{00000000-0005-0000-0000-00001B020000}"/>
    <cellStyle name="Normal 4 10 2" xfId="453" xr:uid="{00000000-0005-0000-0000-00001C020000}"/>
    <cellStyle name="Normal 4 10 2 2" xfId="837" xr:uid="{00000000-0005-0000-0000-00001D020000}"/>
    <cellStyle name="Normal 4 10 2 2 2" xfId="1605" xr:uid="{00000000-0005-0000-0000-00001E020000}"/>
    <cellStyle name="Normal 4 10 2 2 2 2" xfId="3141" xr:uid="{00000000-0005-0000-0000-00001F020000}"/>
    <cellStyle name="Normal 4 10 2 2 2 2 2" xfId="6217" xr:uid="{00000000-0005-0000-0000-000020020000}"/>
    <cellStyle name="Normal 4 10 2 2 2 2 2 2" xfId="12361" xr:uid="{00000000-0005-0000-0000-000021020000}"/>
    <cellStyle name="Normal 4 10 2 2 2 2 2 2 2" xfId="24649" xr:uid="{00000000-0005-0000-0000-000022020000}"/>
    <cellStyle name="Normal 4 10 2 2 2 2 2 2 2 2" xfId="49225" xr:uid="{00000000-0005-0000-0000-000023020000}"/>
    <cellStyle name="Normal 4 10 2 2 2 2 2 2 3" xfId="36937" xr:uid="{00000000-0005-0000-0000-000024020000}"/>
    <cellStyle name="Normal 4 10 2 2 2 2 2 3" xfId="18505" xr:uid="{00000000-0005-0000-0000-000025020000}"/>
    <cellStyle name="Normal 4 10 2 2 2 2 2 3 2" xfId="43081" xr:uid="{00000000-0005-0000-0000-000026020000}"/>
    <cellStyle name="Normal 4 10 2 2 2 2 2 4" xfId="30793" xr:uid="{00000000-0005-0000-0000-000027020000}"/>
    <cellStyle name="Normal 4 10 2 2 2 2 3" xfId="9289" xr:uid="{00000000-0005-0000-0000-000028020000}"/>
    <cellStyle name="Normal 4 10 2 2 2 2 3 2" xfId="21577" xr:uid="{00000000-0005-0000-0000-000029020000}"/>
    <cellStyle name="Normal 4 10 2 2 2 2 3 2 2" xfId="46153" xr:uid="{00000000-0005-0000-0000-00002A020000}"/>
    <cellStyle name="Normal 4 10 2 2 2 2 3 3" xfId="33865" xr:uid="{00000000-0005-0000-0000-00002B020000}"/>
    <cellStyle name="Normal 4 10 2 2 2 2 4" xfId="15433" xr:uid="{00000000-0005-0000-0000-00002C020000}"/>
    <cellStyle name="Normal 4 10 2 2 2 2 4 2" xfId="40009" xr:uid="{00000000-0005-0000-0000-00002D020000}"/>
    <cellStyle name="Normal 4 10 2 2 2 2 5" xfId="27721" xr:uid="{00000000-0005-0000-0000-00002E020000}"/>
    <cellStyle name="Normal 4 10 2 2 2 3" xfId="4681" xr:uid="{00000000-0005-0000-0000-00002F020000}"/>
    <cellStyle name="Normal 4 10 2 2 2 3 2" xfId="10825" xr:uid="{00000000-0005-0000-0000-000030020000}"/>
    <cellStyle name="Normal 4 10 2 2 2 3 2 2" xfId="23113" xr:uid="{00000000-0005-0000-0000-000031020000}"/>
    <cellStyle name="Normal 4 10 2 2 2 3 2 2 2" xfId="47689" xr:uid="{00000000-0005-0000-0000-000032020000}"/>
    <cellStyle name="Normal 4 10 2 2 2 3 2 3" xfId="35401" xr:uid="{00000000-0005-0000-0000-000033020000}"/>
    <cellStyle name="Normal 4 10 2 2 2 3 3" xfId="16969" xr:uid="{00000000-0005-0000-0000-000034020000}"/>
    <cellStyle name="Normal 4 10 2 2 2 3 3 2" xfId="41545" xr:uid="{00000000-0005-0000-0000-000035020000}"/>
    <cellStyle name="Normal 4 10 2 2 2 3 4" xfId="29257" xr:uid="{00000000-0005-0000-0000-000036020000}"/>
    <cellStyle name="Normal 4 10 2 2 2 4" xfId="7753" xr:uid="{00000000-0005-0000-0000-000037020000}"/>
    <cellStyle name="Normal 4 10 2 2 2 4 2" xfId="20041" xr:uid="{00000000-0005-0000-0000-000038020000}"/>
    <cellStyle name="Normal 4 10 2 2 2 4 2 2" xfId="44617" xr:uid="{00000000-0005-0000-0000-000039020000}"/>
    <cellStyle name="Normal 4 10 2 2 2 4 3" xfId="32329" xr:uid="{00000000-0005-0000-0000-00003A020000}"/>
    <cellStyle name="Normal 4 10 2 2 2 5" xfId="13897" xr:uid="{00000000-0005-0000-0000-00003B020000}"/>
    <cellStyle name="Normal 4 10 2 2 2 5 2" xfId="38473" xr:uid="{00000000-0005-0000-0000-00003C020000}"/>
    <cellStyle name="Normal 4 10 2 2 2 6" xfId="26185" xr:uid="{00000000-0005-0000-0000-00003D020000}"/>
    <cellStyle name="Normal 4 10 2 2 3" xfId="2373" xr:uid="{00000000-0005-0000-0000-00003E020000}"/>
    <cellStyle name="Normal 4 10 2 2 3 2" xfId="5449" xr:uid="{00000000-0005-0000-0000-00003F020000}"/>
    <cellStyle name="Normal 4 10 2 2 3 2 2" xfId="11593" xr:uid="{00000000-0005-0000-0000-000040020000}"/>
    <cellStyle name="Normal 4 10 2 2 3 2 2 2" xfId="23881" xr:uid="{00000000-0005-0000-0000-000041020000}"/>
    <cellStyle name="Normal 4 10 2 2 3 2 2 2 2" xfId="48457" xr:uid="{00000000-0005-0000-0000-000042020000}"/>
    <cellStyle name="Normal 4 10 2 2 3 2 2 3" xfId="36169" xr:uid="{00000000-0005-0000-0000-000043020000}"/>
    <cellStyle name="Normal 4 10 2 2 3 2 3" xfId="17737" xr:uid="{00000000-0005-0000-0000-000044020000}"/>
    <cellStyle name="Normal 4 10 2 2 3 2 3 2" xfId="42313" xr:uid="{00000000-0005-0000-0000-000045020000}"/>
    <cellStyle name="Normal 4 10 2 2 3 2 4" xfId="30025" xr:uid="{00000000-0005-0000-0000-000046020000}"/>
    <cellStyle name="Normal 4 10 2 2 3 3" xfId="8521" xr:uid="{00000000-0005-0000-0000-000047020000}"/>
    <cellStyle name="Normal 4 10 2 2 3 3 2" xfId="20809" xr:uid="{00000000-0005-0000-0000-000048020000}"/>
    <cellStyle name="Normal 4 10 2 2 3 3 2 2" xfId="45385" xr:uid="{00000000-0005-0000-0000-000049020000}"/>
    <cellStyle name="Normal 4 10 2 2 3 3 3" xfId="33097" xr:uid="{00000000-0005-0000-0000-00004A020000}"/>
    <cellStyle name="Normal 4 10 2 2 3 4" xfId="14665" xr:uid="{00000000-0005-0000-0000-00004B020000}"/>
    <cellStyle name="Normal 4 10 2 2 3 4 2" xfId="39241" xr:uid="{00000000-0005-0000-0000-00004C020000}"/>
    <cellStyle name="Normal 4 10 2 2 3 5" xfId="26953" xr:uid="{00000000-0005-0000-0000-00004D020000}"/>
    <cellStyle name="Normal 4 10 2 2 4" xfId="3913" xr:uid="{00000000-0005-0000-0000-00004E020000}"/>
    <cellStyle name="Normal 4 10 2 2 4 2" xfId="10057" xr:uid="{00000000-0005-0000-0000-00004F020000}"/>
    <cellStyle name="Normal 4 10 2 2 4 2 2" xfId="22345" xr:uid="{00000000-0005-0000-0000-000050020000}"/>
    <cellStyle name="Normal 4 10 2 2 4 2 2 2" xfId="46921" xr:uid="{00000000-0005-0000-0000-000051020000}"/>
    <cellStyle name="Normal 4 10 2 2 4 2 3" xfId="34633" xr:uid="{00000000-0005-0000-0000-000052020000}"/>
    <cellStyle name="Normal 4 10 2 2 4 3" xfId="16201" xr:uid="{00000000-0005-0000-0000-000053020000}"/>
    <cellStyle name="Normal 4 10 2 2 4 3 2" xfId="40777" xr:uid="{00000000-0005-0000-0000-000054020000}"/>
    <cellStyle name="Normal 4 10 2 2 4 4" xfId="28489" xr:uid="{00000000-0005-0000-0000-000055020000}"/>
    <cellStyle name="Normal 4 10 2 2 5" xfId="6985" xr:uid="{00000000-0005-0000-0000-000056020000}"/>
    <cellStyle name="Normal 4 10 2 2 5 2" xfId="19273" xr:uid="{00000000-0005-0000-0000-000057020000}"/>
    <cellStyle name="Normal 4 10 2 2 5 2 2" xfId="43849" xr:uid="{00000000-0005-0000-0000-000058020000}"/>
    <cellStyle name="Normal 4 10 2 2 5 3" xfId="31561" xr:uid="{00000000-0005-0000-0000-000059020000}"/>
    <cellStyle name="Normal 4 10 2 2 6" xfId="13129" xr:uid="{00000000-0005-0000-0000-00005A020000}"/>
    <cellStyle name="Normal 4 10 2 2 6 2" xfId="37705" xr:uid="{00000000-0005-0000-0000-00005B020000}"/>
    <cellStyle name="Normal 4 10 2 2 7" xfId="25417" xr:uid="{00000000-0005-0000-0000-00005C020000}"/>
    <cellStyle name="Normal 4 10 2 3" xfId="1221" xr:uid="{00000000-0005-0000-0000-00005D020000}"/>
    <cellStyle name="Normal 4 10 2 3 2" xfId="2757" xr:uid="{00000000-0005-0000-0000-00005E020000}"/>
    <cellStyle name="Normal 4 10 2 3 2 2" xfId="5833" xr:uid="{00000000-0005-0000-0000-00005F020000}"/>
    <cellStyle name="Normal 4 10 2 3 2 2 2" xfId="11977" xr:uid="{00000000-0005-0000-0000-000060020000}"/>
    <cellStyle name="Normal 4 10 2 3 2 2 2 2" xfId="24265" xr:uid="{00000000-0005-0000-0000-000061020000}"/>
    <cellStyle name="Normal 4 10 2 3 2 2 2 2 2" xfId="48841" xr:uid="{00000000-0005-0000-0000-000062020000}"/>
    <cellStyle name="Normal 4 10 2 3 2 2 2 3" xfId="36553" xr:uid="{00000000-0005-0000-0000-000063020000}"/>
    <cellStyle name="Normal 4 10 2 3 2 2 3" xfId="18121" xr:uid="{00000000-0005-0000-0000-000064020000}"/>
    <cellStyle name="Normal 4 10 2 3 2 2 3 2" xfId="42697" xr:uid="{00000000-0005-0000-0000-000065020000}"/>
    <cellStyle name="Normal 4 10 2 3 2 2 4" xfId="30409" xr:uid="{00000000-0005-0000-0000-000066020000}"/>
    <cellStyle name="Normal 4 10 2 3 2 3" xfId="8905" xr:uid="{00000000-0005-0000-0000-000067020000}"/>
    <cellStyle name="Normal 4 10 2 3 2 3 2" xfId="21193" xr:uid="{00000000-0005-0000-0000-000068020000}"/>
    <cellStyle name="Normal 4 10 2 3 2 3 2 2" xfId="45769" xr:uid="{00000000-0005-0000-0000-000069020000}"/>
    <cellStyle name="Normal 4 10 2 3 2 3 3" xfId="33481" xr:uid="{00000000-0005-0000-0000-00006A020000}"/>
    <cellStyle name="Normal 4 10 2 3 2 4" xfId="15049" xr:uid="{00000000-0005-0000-0000-00006B020000}"/>
    <cellStyle name="Normal 4 10 2 3 2 4 2" xfId="39625" xr:uid="{00000000-0005-0000-0000-00006C020000}"/>
    <cellStyle name="Normal 4 10 2 3 2 5" xfId="27337" xr:uid="{00000000-0005-0000-0000-00006D020000}"/>
    <cellStyle name="Normal 4 10 2 3 3" xfId="4297" xr:uid="{00000000-0005-0000-0000-00006E020000}"/>
    <cellStyle name="Normal 4 10 2 3 3 2" xfId="10441" xr:uid="{00000000-0005-0000-0000-00006F020000}"/>
    <cellStyle name="Normal 4 10 2 3 3 2 2" xfId="22729" xr:uid="{00000000-0005-0000-0000-000070020000}"/>
    <cellStyle name="Normal 4 10 2 3 3 2 2 2" xfId="47305" xr:uid="{00000000-0005-0000-0000-000071020000}"/>
    <cellStyle name="Normal 4 10 2 3 3 2 3" xfId="35017" xr:uid="{00000000-0005-0000-0000-000072020000}"/>
    <cellStyle name="Normal 4 10 2 3 3 3" xfId="16585" xr:uid="{00000000-0005-0000-0000-000073020000}"/>
    <cellStyle name="Normal 4 10 2 3 3 3 2" xfId="41161" xr:uid="{00000000-0005-0000-0000-000074020000}"/>
    <cellStyle name="Normal 4 10 2 3 3 4" xfId="28873" xr:uid="{00000000-0005-0000-0000-000075020000}"/>
    <cellStyle name="Normal 4 10 2 3 4" xfId="7369" xr:uid="{00000000-0005-0000-0000-000076020000}"/>
    <cellStyle name="Normal 4 10 2 3 4 2" xfId="19657" xr:uid="{00000000-0005-0000-0000-000077020000}"/>
    <cellStyle name="Normal 4 10 2 3 4 2 2" xfId="44233" xr:uid="{00000000-0005-0000-0000-000078020000}"/>
    <cellStyle name="Normal 4 10 2 3 4 3" xfId="31945" xr:uid="{00000000-0005-0000-0000-000079020000}"/>
    <cellStyle name="Normal 4 10 2 3 5" xfId="13513" xr:uid="{00000000-0005-0000-0000-00007A020000}"/>
    <cellStyle name="Normal 4 10 2 3 5 2" xfId="38089" xr:uid="{00000000-0005-0000-0000-00007B020000}"/>
    <cellStyle name="Normal 4 10 2 3 6" xfId="25801" xr:uid="{00000000-0005-0000-0000-00007C020000}"/>
    <cellStyle name="Normal 4 10 2 4" xfId="1989" xr:uid="{00000000-0005-0000-0000-00007D020000}"/>
    <cellStyle name="Normal 4 10 2 4 2" xfId="5065" xr:uid="{00000000-0005-0000-0000-00007E020000}"/>
    <cellStyle name="Normal 4 10 2 4 2 2" xfId="11209" xr:uid="{00000000-0005-0000-0000-00007F020000}"/>
    <cellStyle name="Normal 4 10 2 4 2 2 2" xfId="23497" xr:uid="{00000000-0005-0000-0000-000080020000}"/>
    <cellStyle name="Normal 4 10 2 4 2 2 2 2" xfId="48073" xr:uid="{00000000-0005-0000-0000-000081020000}"/>
    <cellStyle name="Normal 4 10 2 4 2 2 3" xfId="35785" xr:uid="{00000000-0005-0000-0000-000082020000}"/>
    <cellStyle name="Normal 4 10 2 4 2 3" xfId="17353" xr:uid="{00000000-0005-0000-0000-000083020000}"/>
    <cellStyle name="Normal 4 10 2 4 2 3 2" xfId="41929" xr:uid="{00000000-0005-0000-0000-000084020000}"/>
    <cellStyle name="Normal 4 10 2 4 2 4" xfId="29641" xr:uid="{00000000-0005-0000-0000-000085020000}"/>
    <cellStyle name="Normal 4 10 2 4 3" xfId="8137" xr:uid="{00000000-0005-0000-0000-000086020000}"/>
    <cellStyle name="Normal 4 10 2 4 3 2" xfId="20425" xr:uid="{00000000-0005-0000-0000-000087020000}"/>
    <cellStyle name="Normal 4 10 2 4 3 2 2" xfId="45001" xr:uid="{00000000-0005-0000-0000-000088020000}"/>
    <cellStyle name="Normal 4 10 2 4 3 3" xfId="32713" xr:uid="{00000000-0005-0000-0000-000089020000}"/>
    <cellStyle name="Normal 4 10 2 4 4" xfId="14281" xr:uid="{00000000-0005-0000-0000-00008A020000}"/>
    <cellStyle name="Normal 4 10 2 4 4 2" xfId="38857" xr:uid="{00000000-0005-0000-0000-00008B020000}"/>
    <cellStyle name="Normal 4 10 2 4 5" xfId="26569" xr:uid="{00000000-0005-0000-0000-00008C020000}"/>
    <cellStyle name="Normal 4 10 2 5" xfId="3529" xr:uid="{00000000-0005-0000-0000-00008D020000}"/>
    <cellStyle name="Normal 4 10 2 5 2" xfId="9673" xr:uid="{00000000-0005-0000-0000-00008E020000}"/>
    <cellStyle name="Normal 4 10 2 5 2 2" xfId="21961" xr:uid="{00000000-0005-0000-0000-00008F020000}"/>
    <cellStyle name="Normal 4 10 2 5 2 2 2" xfId="46537" xr:uid="{00000000-0005-0000-0000-000090020000}"/>
    <cellStyle name="Normal 4 10 2 5 2 3" xfId="34249" xr:uid="{00000000-0005-0000-0000-000091020000}"/>
    <cellStyle name="Normal 4 10 2 5 3" xfId="15817" xr:uid="{00000000-0005-0000-0000-000092020000}"/>
    <cellStyle name="Normal 4 10 2 5 3 2" xfId="40393" xr:uid="{00000000-0005-0000-0000-000093020000}"/>
    <cellStyle name="Normal 4 10 2 5 4" xfId="28105" xr:uid="{00000000-0005-0000-0000-000094020000}"/>
    <cellStyle name="Normal 4 10 2 6" xfId="6601" xr:uid="{00000000-0005-0000-0000-000095020000}"/>
    <cellStyle name="Normal 4 10 2 6 2" xfId="18889" xr:uid="{00000000-0005-0000-0000-000096020000}"/>
    <cellStyle name="Normal 4 10 2 6 2 2" xfId="43465" xr:uid="{00000000-0005-0000-0000-000097020000}"/>
    <cellStyle name="Normal 4 10 2 6 3" xfId="31177" xr:uid="{00000000-0005-0000-0000-000098020000}"/>
    <cellStyle name="Normal 4 10 2 7" xfId="12745" xr:uid="{00000000-0005-0000-0000-000099020000}"/>
    <cellStyle name="Normal 4 10 2 7 2" xfId="37321" xr:uid="{00000000-0005-0000-0000-00009A020000}"/>
    <cellStyle name="Normal 4 10 2 8" xfId="25033" xr:uid="{00000000-0005-0000-0000-00009B020000}"/>
    <cellStyle name="Normal 4 10 3" xfId="645" xr:uid="{00000000-0005-0000-0000-00009C020000}"/>
    <cellStyle name="Normal 4 10 3 2" xfId="1413" xr:uid="{00000000-0005-0000-0000-00009D020000}"/>
    <cellStyle name="Normal 4 10 3 2 2" xfId="2949" xr:uid="{00000000-0005-0000-0000-00009E020000}"/>
    <cellStyle name="Normal 4 10 3 2 2 2" xfId="6025" xr:uid="{00000000-0005-0000-0000-00009F020000}"/>
    <cellStyle name="Normal 4 10 3 2 2 2 2" xfId="12169" xr:uid="{00000000-0005-0000-0000-0000A0020000}"/>
    <cellStyle name="Normal 4 10 3 2 2 2 2 2" xfId="24457" xr:uid="{00000000-0005-0000-0000-0000A1020000}"/>
    <cellStyle name="Normal 4 10 3 2 2 2 2 2 2" xfId="49033" xr:uid="{00000000-0005-0000-0000-0000A2020000}"/>
    <cellStyle name="Normal 4 10 3 2 2 2 2 3" xfId="36745" xr:uid="{00000000-0005-0000-0000-0000A3020000}"/>
    <cellStyle name="Normal 4 10 3 2 2 2 3" xfId="18313" xr:uid="{00000000-0005-0000-0000-0000A4020000}"/>
    <cellStyle name="Normal 4 10 3 2 2 2 3 2" xfId="42889" xr:uid="{00000000-0005-0000-0000-0000A5020000}"/>
    <cellStyle name="Normal 4 10 3 2 2 2 4" xfId="30601" xr:uid="{00000000-0005-0000-0000-0000A6020000}"/>
    <cellStyle name="Normal 4 10 3 2 2 3" xfId="9097" xr:uid="{00000000-0005-0000-0000-0000A7020000}"/>
    <cellStyle name="Normal 4 10 3 2 2 3 2" xfId="21385" xr:uid="{00000000-0005-0000-0000-0000A8020000}"/>
    <cellStyle name="Normal 4 10 3 2 2 3 2 2" xfId="45961" xr:uid="{00000000-0005-0000-0000-0000A9020000}"/>
    <cellStyle name="Normal 4 10 3 2 2 3 3" xfId="33673" xr:uid="{00000000-0005-0000-0000-0000AA020000}"/>
    <cellStyle name="Normal 4 10 3 2 2 4" xfId="15241" xr:uid="{00000000-0005-0000-0000-0000AB020000}"/>
    <cellStyle name="Normal 4 10 3 2 2 4 2" xfId="39817" xr:uid="{00000000-0005-0000-0000-0000AC020000}"/>
    <cellStyle name="Normal 4 10 3 2 2 5" xfId="27529" xr:uid="{00000000-0005-0000-0000-0000AD020000}"/>
    <cellStyle name="Normal 4 10 3 2 3" xfId="4489" xr:uid="{00000000-0005-0000-0000-0000AE020000}"/>
    <cellStyle name="Normal 4 10 3 2 3 2" xfId="10633" xr:uid="{00000000-0005-0000-0000-0000AF020000}"/>
    <cellStyle name="Normal 4 10 3 2 3 2 2" xfId="22921" xr:uid="{00000000-0005-0000-0000-0000B0020000}"/>
    <cellStyle name="Normal 4 10 3 2 3 2 2 2" xfId="47497" xr:uid="{00000000-0005-0000-0000-0000B1020000}"/>
    <cellStyle name="Normal 4 10 3 2 3 2 3" xfId="35209" xr:uid="{00000000-0005-0000-0000-0000B2020000}"/>
    <cellStyle name="Normal 4 10 3 2 3 3" xfId="16777" xr:uid="{00000000-0005-0000-0000-0000B3020000}"/>
    <cellStyle name="Normal 4 10 3 2 3 3 2" xfId="41353" xr:uid="{00000000-0005-0000-0000-0000B4020000}"/>
    <cellStyle name="Normal 4 10 3 2 3 4" xfId="29065" xr:uid="{00000000-0005-0000-0000-0000B5020000}"/>
    <cellStyle name="Normal 4 10 3 2 4" xfId="7561" xr:uid="{00000000-0005-0000-0000-0000B6020000}"/>
    <cellStyle name="Normal 4 10 3 2 4 2" xfId="19849" xr:uid="{00000000-0005-0000-0000-0000B7020000}"/>
    <cellStyle name="Normal 4 10 3 2 4 2 2" xfId="44425" xr:uid="{00000000-0005-0000-0000-0000B8020000}"/>
    <cellStyle name="Normal 4 10 3 2 4 3" xfId="32137" xr:uid="{00000000-0005-0000-0000-0000B9020000}"/>
    <cellStyle name="Normal 4 10 3 2 5" xfId="13705" xr:uid="{00000000-0005-0000-0000-0000BA020000}"/>
    <cellStyle name="Normal 4 10 3 2 5 2" xfId="38281" xr:uid="{00000000-0005-0000-0000-0000BB020000}"/>
    <cellStyle name="Normal 4 10 3 2 6" xfId="25993" xr:uid="{00000000-0005-0000-0000-0000BC020000}"/>
    <cellStyle name="Normal 4 10 3 3" xfId="2181" xr:uid="{00000000-0005-0000-0000-0000BD020000}"/>
    <cellStyle name="Normal 4 10 3 3 2" xfId="5257" xr:uid="{00000000-0005-0000-0000-0000BE020000}"/>
    <cellStyle name="Normal 4 10 3 3 2 2" xfId="11401" xr:uid="{00000000-0005-0000-0000-0000BF020000}"/>
    <cellStyle name="Normal 4 10 3 3 2 2 2" xfId="23689" xr:uid="{00000000-0005-0000-0000-0000C0020000}"/>
    <cellStyle name="Normal 4 10 3 3 2 2 2 2" xfId="48265" xr:uid="{00000000-0005-0000-0000-0000C1020000}"/>
    <cellStyle name="Normal 4 10 3 3 2 2 3" xfId="35977" xr:uid="{00000000-0005-0000-0000-0000C2020000}"/>
    <cellStyle name="Normal 4 10 3 3 2 3" xfId="17545" xr:uid="{00000000-0005-0000-0000-0000C3020000}"/>
    <cellStyle name="Normal 4 10 3 3 2 3 2" xfId="42121" xr:uid="{00000000-0005-0000-0000-0000C4020000}"/>
    <cellStyle name="Normal 4 10 3 3 2 4" xfId="29833" xr:uid="{00000000-0005-0000-0000-0000C5020000}"/>
    <cellStyle name="Normal 4 10 3 3 3" xfId="8329" xr:uid="{00000000-0005-0000-0000-0000C6020000}"/>
    <cellStyle name="Normal 4 10 3 3 3 2" xfId="20617" xr:uid="{00000000-0005-0000-0000-0000C7020000}"/>
    <cellStyle name="Normal 4 10 3 3 3 2 2" xfId="45193" xr:uid="{00000000-0005-0000-0000-0000C8020000}"/>
    <cellStyle name="Normal 4 10 3 3 3 3" xfId="32905" xr:uid="{00000000-0005-0000-0000-0000C9020000}"/>
    <cellStyle name="Normal 4 10 3 3 4" xfId="14473" xr:uid="{00000000-0005-0000-0000-0000CA020000}"/>
    <cellStyle name="Normal 4 10 3 3 4 2" xfId="39049" xr:uid="{00000000-0005-0000-0000-0000CB020000}"/>
    <cellStyle name="Normal 4 10 3 3 5" xfId="26761" xr:uid="{00000000-0005-0000-0000-0000CC020000}"/>
    <cellStyle name="Normal 4 10 3 4" xfId="3721" xr:uid="{00000000-0005-0000-0000-0000CD020000}"/>
    <cellStyle name="Normal 4 10 3 4 2" xfId="9865" xr:uid="{00000000-0005-0000-0000-0000CE020000}"/>
    <cellStyle name="Normal 4 10 3 4 2 2" xfId="22153" xr:uid="{00000000-0005-0000-0000-0000CF020000}"/>
    <cellStyle name="Normal 4 10 3 4 2 2 2" xfId="46729" xr:uid="{00000000-0005-0000-0000-0000D0020000}"/>
    <cellStyle name="Normal 4 10 3 4 2 3" xfId="34441" xr:uid="{00000000-0005-0000-0000-0000D1020000}"/>
    <cellStyle name="Normal 4 10 3 4 3" xfId="16009" xr:uid="{00000000-0005-0000-0000-0000D2020000}"/>
    <cellStyle name="Normal 4 10 3 4 3 2" xfId="40585" xr:uid="{00000000-0005-0000-0000-0000D3020000}"/>
    <cellStyle name="Normal 4 10 3 4 4" xfId="28297" xr:uid="{00000000-0005-0000-0000-0000D4020000}"/>
    <cellStyle name="Normal 4 10 3 5" xfId="6793" xr:uid="{00000000-0005-0000-0000-0000D5020000}"/>
    <cellStyle name="Normal 4 10 3 5 2" xfId="19081" xr:uid="{00000000-0005-0000-0000-0000D6020000}"/>
    <cellStyle name="Normal 4 10 3 5 2 2" xfId="43657" xr:uid="{00000000-0005-0000-0000-0000D7020000}"/>
    <cellStyle name="Normal 4 10 3 5 3" xfId="31369" xr:uid="{00000000-0005-0000-0000-0000D8020000}"/>
    <cellStyle name="Normal 4 10 3 6" xfId="12937" xr:uid="{00000000-0005-0000-0000-0000D9020000}"/>
    <cellStyle name="Normal 4 10 3 6 2" xfId="37513" xr:uid="{00000000-0005-0000-0000-0000DA020000}"/>
    <cellStyle name="Normal 4 10 3 7" xfId="25225" xr:uid="{00000000-0005-0000-0000-0000DB020000}"/>
    <cellStyle name="Normal 4 10 4" xfId="1029" xr:uid="{00000000-0005-0000-0000-0000DC020000}"/>
    <cellStyle name="Normal 4 10 4 2" xfId="2565" xr:uid="{00000000-0005-0000-0000-0000DD020000}"/>
    <cellStyle name="Normal 4 10 4 2 2" xfId="5641" xr:uid="{00000000-0005-0000-0000-0000DE020000}"/>
    <cellStyle name="Normal 4 10 4 2 2 2" xfId="11785" xr:uid="{00000000-0005-0000-0000-0000DF020000}"/>
    <cellStyle name="Normal 4 10 4 2 2 2 2" xfId="24073" xr:uid="{00000000-0005-0000-0000-0000E0020000}"/>
    <cellStyle name="Normal 4 10 4 2 2 2 2 2" xfId="48649" xr:uid="{00000000-0005-0000-0000-0000E1020000}"/>
    <cellStyle name="Normal 4 10 4 2 2 2 3" xfId="36361" xr:uid="{00000000-0005-0000-0000-0000E2020000}"/>
    <cellStyle name="Normal 4 10 4 2 2 3" xfId="17929" xr:uid="{00000000-0005-0000-0000-0000E3020000}"/>
    <cellStyle name="Normal 4 10 4 2 2 3 2" xfId="42505" xr:uid="{00000000-0005-0000-0000-0000E4020000}"/>
    <cellStyle name="Normal 4 10 4 2 2 4" xfId="30217" xr:uid="{00000000-0005-0000-0000-0000E5020000}"/>
    <cellStyle name="Normal 4 10 4 2 3" xfId="8713" xr:uid="{00000000-0005-0000-0000-0000E6020000}"/>
    <cellStyle name="Normal 4 10 4 2 3 2" xfId="21001" xr:uid="{00000000-0005-0000-0000-0000E7020000}"/>
    <cellStyle name="Normal 4 10 4 2 3 2 2" xfId="45577" xr:uid="{00000000-0005-0000-0000-0000E8020000}"/>
    <cellStyle name="Normal 4 10 4 2 3 3" xfId="33289" xr:uid="{00000000-0005-0000-0000-0000E9020000}"/>
    <cellStyle name="Normal 4 10 4 2 4" xfId="14857" xr:uid="{00000000-0005-0000-0000-0000EA020000}"/>
    <cellStyle name="Normal 4 10 4 2 4 2" xfId="39433" xr:uid="{00000000-0005-0000-0000-0000EB020000}"/>
    <cellStyle name="Normal 4 10 4 2 5" xfId="27145" xr:uid="{00000000-0005-0000-0000-0000EC020000}"/>
    <cellStyle name="Normal 4 10 4 3" xfId="4105" xr:uid="{00000000-0005-0000-0000-0000ED020000}"/>
    <cellStyle name="Normal 4 10 4 3 2" xfId="10249" xr:uid="{00000000-0005-0000-0000-0000EE020000}"/>
    <cellStyle name="Normal 4 10 4 3 2 2" xfId="22537" xr:uid="{00000000-0005-0000-0000-0000EF020000}"/>
    <cellStyle name="Normal 4 10 4 3 2 2 2" xfId="47113" xr:uid="{00000000-0005-0000-0000-0000F0020000}"/>
    <cellStyle name="Normal 4 10 4 3 2 3" xfId="34825" xr:uid="{00000000-0005-0000-0000-0000F1020000}"/>
    <cellStyle name="Normal 4 10 4 3 3" xfId="16393" xr:uid="{00000000-0005-0000-0000-0000F2020000}"/>
    <cellStyle name="Normal 4 10 4 3 3 2" xfId="40969" xr:uid="{00000000-0005-0000-0000-0000F3020000}"/>
    <cellStyle name="Normal 4 10 4 3 4" xfId="28681" xr:uid="{00000000-0005-0000-0000-0000F4020000}"/>
    <cellStyle name="Normal 4 10 4 4" xfId="7177" xr:uid="{00000000-0005-0000-0000-0000F5020000}"/>
    <cellStyle name="Normal 4 10 4 4 2" xfId="19465" xr:uid="{00000000-0005-0000-0000-0000F6020000}"/>
    <cellStyle name="Normal 4 10 4 4 2 2" xfId="44041" xr:uid="{00000000-0005-0000-0000-0000F7020000}"/>
    <cellStyle name="Normal 4 10 4 4 3" xfId="31753" xr:uid="{00000000-0005-0000-0000-0000F8020000}"/>
    <cellStyle name="Normal 4 10 4 5" xfId="13321" xr:uid="{00000000-0005-0000-0000-0000F9020000}"/>
    <cellStyle name="Normal 4 10 4 5 2" xfId="37897" xr:uid="{00000000-0005-0000-0000-0000FA020000}"/>
    <cellStyle name="Normal 4 10 4 6" xfId="25609" xr:uid="{00000000-0005-0000-0000-0000FB020000}"/>
    <cellStyle name="Normal 4 10 5" xfId="1797" xr:uid="{00000000-0005-0000-0000-0000FC020000}"/>
    <cellStyle name="Normal 4 10 5 2" xfId="4873" xr:uid="{00000000-0005-0000-0000-0000FD020000}"/>
    <cellStyle name="Normal 4 10 5 2 2" xfId="11017" xr:uid="{00000000-0005-0000-0000-0000FE020000}"/>
    <cellStyle name="Normal 4 10 5 2 2 2" xfId="23305" xr:uid="{00000000-0005-0000-0000-0000FF020000}"/>
    <cellStyle name="Normal 4 10 5 2 2 2 2" xfId="47881" xr:uid="{00000000-0005-0000-0000-000000030000}"/>
    <cellStyle name="Normal 4 10 5 2 2 3" xfId="35593" xr:uid="{00000000-0005-0000-0000-000001030000}"/>
    <cellStyle name="Normal 4 10 5 2 3" xfId="17161" xr:uid="{00000000-0005-0000-0000-000002030000}"/>
    <cellStyle name="Normal 4 10 5 2 3 2" xfId="41737" xr:uid="{00000000-0005-0000-0000-000003030000}"/>
    <cellStyle name="Normal 4 10 5 2 4" xfId="29449" xr:uid="{00000000-0005-0000-0000-000004030000}"/>
    <cellStyle name="Normal 4 10 5 3" xfId="7945" xr:uid="{00000000-0005-0000-0000-000005030000}"/>
    <cellStyle name="Normal 4 10 5 3 2" xfId="20233" xr:uid="{00000000-0005-0000-0000-000006030000}"/>
    <cellStyle name="Normal 4 10 5 3 2 2" xfId="44809" xr:uid="{00000000-0005-0000-0000-000007030000}"/>
    <cellStyle name="Normal 4 10 5 3 3" xfId="32521" xr:uid="{00000000-0005-0000-0000-000008030000}"/>
    <cellStyle name="Normal 4 10 5 4" xfId="14089" xr:uid="{00000000-0005-0000-0000-000009030000}"/>
    <cellStyle name="Normal 4 10 5 4 2" xfId="38665" xr:uid="{00000000-0005-0000-0000-00000A030000}"/>
    <cellStyle name="Normal 4 10 5 5" xfId="26377" xr:uid="{00000000-0005-0000-0000-00000B030000}"/>
    <cellStyle name="Normal 4 10 6" xfId="3337" xr:uid="{00000000-0005-0000-0000-00000C030000}"/>
    <cellStyle name="Normal 4 10 6 2" xfId="9481" xr:uid="{00000000-0005-0000-0000-00000D030000}"/>
    <cellStyle name="Normal 4 10 6 2 2" xfId="21769" xr:uid="{00000000-0005-0000-0000-00000E030000}"/>
    <cellStyle name="Normal 4 10 6 2 2 2" xfId="46345" xr:uid="{00000000-0005-0000-0000-00000F030000}"/>
    <cellStyle name="Normal 4 10 6 2 3" xfId="34057" xr:uid="{00000000-0005-0000-0000-000010030000}"/>
    <cellStyle name="Normal 4 10 6 3" xfId="15625" xr:uid="{00000000-0005-0000-0000-000011030000}"/>
    <cellStyle name="Normal 4 10 6 3 2" xfId="40201" xr:uid="{00000000-0005-0000-0000-000012030000}"/>
    <cellStyle name="Normal 4 10 6 4" xfId="27913" xr:uid="{00000000-0005-0000-0000-000013030000}"/>
    <cellStyle name="Normal 4 10 7" xfId="6409" xr:uid="{00000000-0005-0000-0000-000014030000}"/>
    <cellStyle name="Normal 4 10 7 2" xfId="18697" xr:uid="{00000000-0005-0000-0000-000015030000}"/>
    <cellStyle name="Normal 4 10 7 2 2" xfId="43273" xr:uid="{00000000-0005-0000-0000-000016030000}"/>
    <cellStyle name="Normal 4 10 7 3" xfId="30985" xr:uid="{00000000-0005-0000-0000-000017030000}"/>
    <cellStyle name="Normal 4 10 8" xfId="12553" xr:uid="{00000000-0005-0000-0000-000018030000}"/>
    <cellStyle name="Normal 4 10 8 2" xfId="37129" xr:uid="{00000000-0005-0000-0000-000019030000}"/>
    <cellStyle name="Normal 4 10 9" xfId="24841" xr:uid="{00000000-0005-0000-0000-00001A030000}"/>
    <cellStyle name="Normal 4 11" xfId="325" xr:uid="{00000000-0005-0000-0000-00001B030000}"/>
    <cellStyle name="Normal 4 11 2" xfId="709" xr:uid="{00000000-0005-0000-0000-00001C030000}"/>
    <cellStyle name="Normal 4 11 2 2" xfId="1477" xr:uid="{00000000-0005-0000-0000-00001D030000}"/>
    <cellStyle name="Normal 4 11 2 2 2" xfId="3013" xr:uid="{00000000-0005-0000-0000-00001E030000}"/>
    <cellStyle name="Normal 4 11 2 2 2 2" xfId="6089" xr:uid="{00000000-0005-0000-0000-00001F030000}"/>
    <cellStyle name="Normal 4 11 2 2 2 2 2" xfId="12233" xr:uid="{00000000-0005-0000-0000-000020030000}"/>
    <cellStyle name="Normal 4 11 2 2 2 2 2 2" xfId="24521" xr:uid="{00000000-0005-0000-0000-000021030000}"/>
    <cellStyle name="Normal 4 11 2 2 2 2 2 2 2" xfId="49097" xr:uid="{00000000-0005-0000-0000-000022030000}"/>
    <cellStyle name="Normal 4 11 2 2 2 2 2 3" xfId="36809" xr:uid="{00000000-0005-0000-0000-000023030000}"/>
    <cellStyle name="Normal 4 11 2 2 2 2 3" xfId="18377" xr:uid="{00000000-0005-0000-0000-000024030000}"/>
    <cellStyle name="Normal 4 11 2 2 2 2 3 2" xfId="42953" xr:uid="{00000000-0005-0000-0000-000025030000}"/>
    <cellStyle name="Normal 4 11 2 2 2 2 4" xfId="30665" xr:uid="{00000000-0005-0000-0000-000026030000}"/>
    <cellStyle name="Normal 4 11 2 2 2 3" xfId="9161" xr:uid="{00000000-0005-0000-0000-000027030000}"/>
    <cellStyle name="Normal 4 11 2 2 2 3 2" xfId="21449" xr:uid="{00000000-0005-0000-0000-000028030000}"/>
    <cellStyle name="Normal 4 11 2 2 2 3 2 2" xfId="46025" xr:uid="{00000000-0005-0000-0000-000029030000}"/>
    <cellStyle name="Normal 4 11 2 2 2 3 3" xfId="33737" xr:uid="{00000000-0005-0000-0000-00002A030000}"/>
    <cellStyle name="Normal 4 11 2 2 2 4" xfId="15305" xr:uid="{00000000-0005-0000-0000-00002B030000}"/>
    <cellStyle name="Normal 4 11 2 2 2 4 2" xfId="39881" xr:uid="{00000000-0005-0000-0000-00002C030000}"/>
    <cellStyle name="Normal 4 11 2 2 2 5" xfId="27593" xr:uid="{00000000-0005-0000-0000-00002D030000}"/>
    <cellStyle name="Normal 4 11 2 2 3" xfId="4553" xr:uid="{00000000-0005-0000-0000-00002E030000}"/>
    <cellStyle name="Normal 4 11 2 2 3 2" xfId="10697" xr:uid="{00000000-0005-0000-0000-00002F030000}"/>
    <cellStyle name="Normal 4 11 2 2 3 2 2" xfId="22985" xr:uid="{00000000-0005-0000-0000-000030030000}"/>
    <cellStyle name="Normal 4 11 2 2 3 2 2 2" xfId="47561" xr:uid="{00000000-0005-0000-0000-000031030000}"/>
    <cellStyle name="Normal 4 11 2 2 3 2 3" xfId="35273" xr:uid="{00000000-0005-0000-0000-000032030000}"/>
    <cellStyle name="Normal 4 11 2 2 3 3" xfId="16841" xr:uid="{00000000-0005-0000-0000-000033030000}"/>
    <cellStyle name="Normal 4 11 2 2 3 3 2" xfId="41417" xr:uid="{00000000-0005-0000-0000-000034030000}"/>
    <cellStyle name="Normal 4 11 2 2 3 4" xfId="29129" xr:uid="{00000000-0005-0000-0000-000035030000}"/>
    <cellStyle name="Normal 4 11 2 2 4" xfId="7625" xr:uid="{00000000-0005-0000-0000-000036030000}"/>
    <cellStyle name="Normal 4 11 2 2 4 2" xfId="19913" xr:uid="{00000000-0005-0000-0000-000037030000}"/>
    <cellStyle name="Normal 4 11 2 2 4 2 2" xfId="44489" xr:uid="{00000000-0005-0000-0000-000038030000}"/>
    <cellStyle name="Normal 4 11 2 2 4 3" xfId="32201" xr:uid="{00000000-0005-0000-0000-000039030000}"/>
    <cellStyle name="Normal 4 11 2 2 5" xfId="13769" xr:uid="{00000000-0005-0000-0000-00003A030000}"/>
    <cellStyle name="Normal 4 11 2 2 5 2" xfId="38345" xr:uid="{00000000-0005-0000-0000-00003B030000}"/>
    <cellStyle name="Normal 4 11 2 2 6" xfId="26057" xr:uid="{00000000-0005-0000-0000-00003C030000}"/>
    <cellStyle name="Normal 4 11 2 3" xfId="2245" xr:uid="{00000000-0005-0000-0000-00003D030000}"/>
    <cellStyle name="Normal 4 11 2 3 2" xfId="5321" xr:uid="{00000000-0005-0000-0000-00003E030000}"/>
    <cellStyle name="Normal 4 11 2 3 2 2" xfId="11465" xr:uid="{00000000-0005-0000-0000-00003F030000}"/>
    <cellStyle name="Normal 4 11 2 3 2 2 2" xfId="23753" xr:uid="{00000000-0005-0000-0000-000040030000}"/>
    <cellStyle name="Normal 4 11 2 3 2 2 2 2" xfId="48329" xr:uid="{00000000-0005-0000-0000-000041030000}"/>
    <cellStyle name="Normal 4 11 2 3 2 2 3" xfId="36041" xr:uid="{00000000-0005-0000-0000-000042030000}"/>
    <cellStyle name="Normal 4 11 2 3 2 3" xfId="17609" xr:uid="{00000000-0005-0000-0000-000043030000}"/>
    <cellStyle name="Normal 4 11 2 3 2 3 2" xfId="42185" xr:uid="{00000000-0005-0000-0000-000044030000}"/>
    <cellStyle name="Normal 4 11 2 3 2 4" xfId="29897" xr:uid="{00000000-0005-0000-0000-000045030000}"/>
    <cellStyle name="Normal 4 11 2 3 3" xfId="8393" xr:uid="{00000000-0005-0000-0000-000046030000}"/>
    <cellStyle name="Normal 4 11 2 3 3 2" xfId="20681" xr:uid="{00000000-0005-0000-0000-000047030000}"/>
    <cellStyle name="Normal 4 11 2 3 3 2 2" xfId="45257" xr:uid="{00000000-0005-0000-0000-000048030000}"/>
    <cellStyle name="Normal 4 11 2 3 3 3" xfId="32969" xr:uid="{00000000-0005-0000-0000-000049030000}"/>
    <cellStyle name="Normal 4 11 2 3 4" xfId="14537" xr:uid="{00000000-0005-0000-0000-00004A030000}"/>
    <cellStyle name="Normal 4 11 2 3 4 2" xfId="39113" xr:uid="{00000000-0005-0000-0000-00004B030000}"/>
    <cellStyle name="Normal 4 11 2 3 5" xfId="26825" xr:uid="{00000000-0005-0000-0000-00004C030000}"/>
    <cellStyle name="Normal 4 11 2 4" xfId="3785" xr:uid="{00000000-0005-0000-0000-00004D030000}"/>
    <cellStyle name="Normal 4 11 2 4 2" xfId="9929" xr:uid="{00000000-0005-0000-0000-00004E030000}"/>
    <cellStyle name="Normal 4 11 2 4 2 2" xfId="22217" xr:uid="{00000000-0005-0000-0000-00004F030000}"/>
    <cellStyle name="Normal 4 11 2 4 2 2 2" xfId="46793" xr:uid="{00000000-0005-0000-0000-000050030000}"/>
    <cellStyle name="Normal 4 11 2 4 2 3" xfId="34505" xr:uid="{00000000-0005-0000-0000-000051030000}"/>
    <cellStyle name="Normal 4 11 2 4 3" xfId="16073" xr:uid="{00000000-0005-0000-0000-000052030000}"/>
    <cellStyle name="Normal 4 11 2 4 3 2" xfId="40649" xr:uid="{00000000-0005-0000-0000-000053030000}"/>
    <cellStyle name="Normal 4 11 2 4 4" xfId="28361" xr:uid="{00000000-0005-0000-0000-000054030000}"/>
    <cellStyle name="Normal 4 11 2 5" xfId="6857" xr:uid="{00000000-0005-0000-0000-000055030000}"/>
    <cellStyle name="Normal 4 11 2 5 2" xfId="19145" xr:uid="{00000000-0005-0000-0000-000056030000}"/>
    <cellStyle name="Normal 4 11 2 5 2 2" xfId="43721" xr:uid="{00000000-0005-0000-0000-000057030000}"/>
    <cellStyle name="Normal 4 11 2 5 3" xfId="31433" xr:uid="{00000000-0005-0000-0000-000058030000}"/>
    <cellStyle name="Normal 4 11 2 6" xfId="13001" xr:uid="{00000000-0005-0000-0000-000059030000}"/>
    <cellStyle name="Normal 4 11 2 6 2" xfId="37577" xr:uid="{00000000-0005-0000-0000-00005A030000}"/>
    <cellStyle name="Normal 4 11 2 7" xfId="25289" xr:uid="{00000000-0005-0000-0000-00005B030000}"/>
    <cellStyle name="Normal 4 11 3" xfId="1093" xr:uid="{00000000-0005-0000-0000-00005C030000}"/>
    <cellStyle name="Normal 4 11 3 2" xfId="2629" xr:uid="{00000000-0005-0000-0000-00005D030000}"/>
    <cellStyle name="Normal 4 11 3 2 2" xfId="5705" xr:uid="{00000000-0005-0000-0000-00005E030000}"/>
    <cellStyle name="Normal 4 11 3 2 2 2" xfId="11849" xr:uid="{00000000-0005-0000-0000-00005F030000}"/>
    <cellStyle name="Normal 4 11 3 2 2 2 2" xfId="24137" xr:uid="{00000000-0005-0000-0000-000060030000}"/>
    <cellStyle name="Normal 4 11 3 2 2 2 2 2" xfId="48713" xr:uid="{00000000-0005-0000-0000-000061030000}"/>
    <cellStyle name="Normal 4 11 3 2 2 2 3" xfId="36425" xr:uid="{00000000-0005-0000-0000-000062030000}"/>
    <cellStyle name="Normal 4 11 3 2 2 3" xfId="17993" xr:uid="{00000000-0005-0000-0000-000063030000}"/>
    <cellStyle name="Normal 4 11 3 2 2 3 2" xfId="42569" xr:uid="{00000000-0005-0000-0000-000064030000}"/>
    <cellStyle name="Normal 4 11 3 2 2 4" xfId="30281" xr:uid="{00000000-0005-0000-0000-000065030000}"/>
    <cellStyle name="Normal 4 11 3 2 3" xfId="8777" xr:uid="{00000000-0005-0000-0000-000066030000}"/>
    <cellStyle name="Normal 4 11 3 2 3 2" xfId="21065" xr:uid="{00000000-0005-0000-0000-000067030000}"/>
    <cellStyle name="Normal 4 11 3 2 3 2 2" xfId="45641" xr:uid="{00000000-0005-0000-0000-000068030000}"/>
    <cellStyle name="Normal 4 11 3 2 3 3" xfId="33353" xr:uid="{00000000-0005-0000-0000-000069030000}"/>
    <cellStyle name="Normal 4 11 3 2 4" xfId="14921" xr:uid="{00000000-0005-0000-0000-00006A030000}"/>
    <cellStyle name="Normal 4 11 3 2 4 2" xfId="39497" xr:uid="{00000000-0005-0000-0000-00006B030000}"/>
    <cellStyle name="Normal 4 11 3 2 5" xfId="27209" xr:uid="{00000000-0005-0000-0000-00006C030000}"/>
    <cellStyle name="Normal 4 11 3 3" xfId="4169" xr:uid="{00000000-0005-0000-0000-00006D030000}"/>
    <cellStyle name="Normal 4 11 3 3 2" xfId="10313" xr:uid="{00000000-0005-0000-0000-00006E030000}"/>
    <cellStyle name="Normal 4 11 3 3 2 2" xfId="22601" xr:uid="{00000000-0005-0000-0000-00006F030000}"/>
    <cellStyle name="Normal 4 11 3 3 2 2 2" xfId="47177" xr:uid="{00000000-0005-0000-0000-000070030000}"/>
    <cellStyle name="Normal 4 11 3 3 2 3" xfId="34889" xr:uid="{00000000-0005-0000-0000-000071030000}"/>
    <cellStyle name="Normal 4 11 3 3 3" xfId="16457" xr:uid="{00000000-0005-0000-0000-000072030000}"/>
    <cellStyle name="Normal 4 11 3 3 3 2" xfId="41033" xr:uid="{00000000-0005-0000-0000-000073030000}"/>
    <cellStyle name="Normal 4 11 3 3 4" xfId="28745" xr:uid="{00000000-0005-0000-0000-000074030000}"/>
    <cellStyle name="Normal 4 11 3 4" xfId="7241" xr:uid="{00000000-0005-0000-0000-000075030000}"/>
    <cellStyle name="Normal 4 11 3 4 2" xfId="19529" xr:uid="{00000000-0005-0000-0000-000076030000}"/>
    <cellStyle name="Normal 4 11 3 4 2 2" xfId="44105" xr:uid="{00000000-0005-0000-0000-000077030000}"/>
    <cellStyle name="Normal 4 11 3 4 3" xfId="31817" xr:uid="{00000000-0005-0000-0000-000078030000}"/>
    <cellStyle name="Normal 4 11 3 5" xfId="13385" xr:uid="{00000000-0005-0000-0000-000079030000}"/>
    <cellStyle name="Normal 4 11 3 5 2" xfId="37961" xr:uid="{00000000-0005-0000-0000-00007A030000}"/>
    <cellStyle name="Normal 4 11 3 6" xfId="25673" xr:uid="{00000000-0005-0000-0000-00007B030000}"/>
    <cellStyle name="Normal 4 11 4" xfId="1861" xr:uid="{00000000-0005-0000-0000-00007C030000}"/>
    <cellStyle name="Normal 4 11 4 2" xfId="4937" xr:uid="{00000000-0005-0000-0000-00007D030000}"/>
    <cellStyle name="Normal 4 11 4 2 2" xfId="11081" xr:uid="{00000000-0005-0000-0000-00007E030000}"/>
    <cellStyle name="Normal 4 11 4 2 2 2" xfId="23369" xr:uid="{00000000-0005-0000-0000-00007F030000}"/>
    <cellStyle name="Normal 4 11 4 2 2 2 2" xfId="47945" xr:uid="{00000000-0005-0000-0000-000080030000}"/>
    <cellStyle name="Normal 4 11 4 2 2 3" xfId="35657" xr:uid="{00000000-0005-0000-0000-000081030000}"/>
    <cellStyle name="Normal 4 11 4 2 3" xfId="17225" xr:uid="{00000000-0005-0000-0000-000082030000}"/>
    <cellStyle name="Normal 4 11 4 2 3 2" xfId="41801" xr:uid="{00000000-0005-0000-0000-000083030000}"/>
    <cellStyle name="Normal 4 11 4 2 4" xfId="29513" xr:uid="{00000000-0005-0000-0000-000084030000}"/>
    <cellStyle name="Normal 4 11 4 3" xfId="8009" xr:uid="{00000000-0005-0000-0000-000085030000}"/>
    <cellStyle name="Normal 4 11 4 3 2" xfId="20297" xr:uid="{00000000-0005-0000-0000-000086030000}"/>
    <cellStyle name="Normal 4 11 4 3 2 2" xfId="44873" xr:uid="{00000000-0005-0000-0000-000087030000}"/>
    <cellStyle name="Normal 4 11 4 3 3" xfId="32585" xr:uid="{00000000-0005-0000-0000-000088030000}"/>
    <cellStyle name="Normal 4 11 4 4" xfId="14153" xr:uid="{00000000-0005-0000-0000-000089030000}"/>
    <cellStyle name="Normal 4 11 4 4 2" xfId="38729" xr:uid="{00000000-0005-0000-0000-00008A030000}"/>
    <cellStyle name="Normal 4 11 4 5" xfId="26441" xr:uid="{00000000-0005-0000-0000-00008B030000}"/>
    <cellStyle name="Normal 4 11 5" xfId="3401" xr:uid="{00000000-0005-0000-0000-00008C030000}"/>
    <cellStyle name="Normal 4 11 5 2" xfId="9545" xr:uid="{00000000-0005-0000-0000-00008D030000}"/>
    <cellStyle name="Normal 4 11 5 2 2" xfId="21833" xr:uid="{00000000-0005-0000-0000-00008E030000}"/>
    <cellStyle name="Normal 4 11 5 2 2 2" xfId="46409" xr:uid="{00000000-0005-0000-0000-00008F030000}"/>
    <cellStyle name="Normal 4 11 5 2 3" xfId="34121" xr:uid="{00000000-0005-0000-0000-000090030000}"/>
    <cellStyle name="Normal 4 11 5 3" xfId="15689" xr:uid="{00000000-0005-0000-0000-000091030000}"/>
    <cellStyle name="Normal 4 11 5 3 2" xfId="40265" xr:uid="{00000000-0005-0000-0000-000092030000}"/>
    <cellStyle name="Normal 4 11 5 4" xfId="27977" xr:uid="{00000000-0005-0000-0000-000093030000}"/>
    <cellStyle name="Normal 4 11 6" xfId="6473" xr:uid="{00000000-0005-0000-0000-000094030000}"/>
    <cellStyle name="Normal 4 11 6 2" xfId="18761" xr:uid="{00000000-0005-0000-0000-000095030000}"/>
    <cellStyle name="Normal 4 11 6 2 2" xfId="43337" xr:uid="{00000000-0005-0000-0000-000096030000}"/>
    <cellStyle name="Normal 4 11 6 3" xfId="31049" xr:uid="{00000000-0005-0000-0000-000097030000}"/>
    <cellStyle name="Normal 4 11 7" xfId="12617" xr:uid="{00000000-0005-0000-0000-000098030000}"/>
    <cellStyle name="Normal 4 11 7 2" xfId="37193" xr:uid="{00000000-0005-0000-0000-000099030000}"/>
    <cellStyle name="Normal 4 11 8" xfId="24905" xr:uid="{00000000-0005-0000-0000-00009A030000}"/>
    <cellStyle name="Normal 4 12" xfId="517" xr:uid="{00000000-0005-0000-0000-00009B030000}"/>
    <cellStyle name="Normal 4 12 2" xfId="1285" xr:uid="{00000000-0005-0000-0000-00009C030000}"/>
    <cellStyle name="Normal 4 12 2 2" xfId="2821" xr:uid="{00000000-0005-0000-0000-00009D030000}"/>
    <cellStyle name="Normal 4 12 2 2 2" xfId="5897" xr:uid="{00000000-0005-0000-0000-00009E030000}"/>
    <cellStyle name="Normal 4 12 2 2 2 2" xfId="12041" xr:uid="{00000000-0005-0000-0000-00009F030000}"/>
    <cellStyle name="Normal 4 12 2 2 2 2 2" xfId="24329" xr:uid="{00000000-0005-0000-0000-0000A0030000}"/>
    <cellStyle name="Normal 4 12 2 2 2 2 2 2" xfId="48905" xr:uid="{00000000-0005-0000-0000-0000A1030000}"/>
    <cellStyle name="Normal 4 12 2 2 2 2 3" xfId="36617" xr:uid="{00000000-0005-0000-0000-0000A2030000}"/>
    <cellStyle name="Normal 4 12 2 2 2 3" xfId="18185" xr:uid="{00000000-0005-0000-0000-0000A3030000}"/>
    <cellStyle name="Normal 4 12 2 2 2 3 2" xfId="42761" xr:uid="{00000000-0005-0000-0000-0000A4030000}"/>
    <cellStyle name="Normal 4 12 2 2 2 4" xfId="30473" xr:uid="{00000000-0005-0000-0000-0000A5030000}"/>
    <cellStyle name="Normal 4 12 2 2 3" xfId="8969" xr:uid="{00000000-0005-0000-0000-0000A6030000}"/>
    <cellStyle name="Normal 4 12 2 2 3 2" xfId="21257" xr:uid="{00000000-0005-0000-0000-0000A7030000}"/>
    <cellStyle name="Normal 4 12 2 2 3 2 2" xfId="45833" xr:uid="{00000000-0005-0000-0000-0000A8030000}"/>
    <cellStyle name="Normal 4 12 2 2 3 3" xfId="33545" xr:uid="{00000000-0005-0000-0000-0000A9030000}"/>
    <cellStyle name="Normal 4 12 2 2 4" xfId="15113" xr:uid="{00000000-0005-0000-0000-0000AA030000}"/>
    <cellStyle name="Normal 4 12 2 2 4 2" xfId="39689" xr:uid="{00000000-0005-0000-0000-0000AB030000}"/>
    <cellStyle name="Normal 4 12 2 2 5" xfId="27401" xr:uid="{00000000-0005-0000-0000-0000AC030000}"/>
    <cellStyle name="Normal 4 12 2 3" xfId="4361" xr:uid="{00000000-0005-0000-0000-0000AD030000}"/>
    <cellStyle name="Normal 4 12 2 3 2" xfId="10505" xr:uid="{00000000-0005-0000-0000-0000AE030000}"/>
    <cellStyle name="Normal 4 12 2 3 2 2" xfId="22793" xr:uid="{00000000-0005-0000-0000-0000AF030000}"/>
    <cellStyle name="Normal 4 12 2 3 2 2 2" xfId="47369" xr:uid="{00000000-0005-0000-0000-0000B0030000}"/>
    <cellStyle name="Normal 4 12 2 3 2 3" xfId="35081" xr:uid="{00000000-0005-0000-0000-0000B1030000}"/>
    <cellStyle name="Normal 4 12 2 3 3" xfId="16649" xr:uid="{00000000-0005-0000-0000-0000B2030000}"/>
    <cellStyle name="Normal 4 12 2 3 3 2" xfId="41225" xr:uid="{00000000-0005-0000-0000-0000B3030000}"/>
    <cellStyle name="Normal 4 12 2 3 4" xfId="28937" xr:uid="{00000000-0005-0000-0000-0000B4030000}"/>
    <cellStyle name="Normal 4 12 2 4" xfId="7433" xr:uid="{00000000-0005-0000-0000-0000B5030000}"/>
    <cellStyle name="Normal 4 12 2 4 2" xfId="19721" xr:uid="{00000000-0005-0000-0000-0000B6030000}"/>
    <cellStyle name="Normal 4 12 2 4 2 2" xfId="44297" xr:uid="{00000000-0005-0000-0000-0000B7030000}"/>
    <cellStyle name="Normal 4 12 2 4 3" xfId="32009" xr:uid="{00000000-0005-0000-0000-0000B8030000}"/>
    <cellStyle name="Normal 4 12 2 5" xfId="13577" xr:uid="{00000000-0005-0000-0000-0000B9030000}"/>
    <cellStyle name="Normal 4 12 2 5 2" xfId="38153" xr:uid="{00000000-0005-0000-0000-0000BA030000}"/>
    <cellStyle name="Normal 4 12 2 6" xfId="25865" xr:uid="{00000000-0005-0000-0000-0000BB030000}"/>
    <cellStyle name="Normal 4 12 3" xfId="2053" xr:uid="{00000000-0005-0000-0000-0000BC030000}"/>
    <cellStyle name="Normal 4 12 3 2" xfId="5129" xr:uid="{00000000-0005-0000-0000-0000BD030000}"/>
    <cellStyle name="Normal 4 12 3 2 2" xfId="11273" xr:uid="{00000000-0005-0000-0000-0000BE030000}"/>
    <cellStyle name="Normal 4 12 3 2 2 2" xfId="23561" xr:uid="{00000000-0005-0000-0000-0000BF030000}"/>
    <cellStyle name="Normal 4 12 3 2 2 2 2" xfId="48137" xr:uid="{00000000-0005-0000-0000-0000C0030000}"/>
    <cellStyle name="Normal 4 12 3 2 2 3" xfId="35849" xr:uid="{00000000-0005-0000-0000-0000C1030000}"/>
    <cellStyle name="Normal 4 12 3 2 3" xfId="17417" xr:uid="{00000000-0005-0000-0000-0000C2030000}"/>
    <cellStyle name="Normal 4 12 3 2 3 2" xfId="41993" xr:uid="{00000000-0005-0000-0000-0000C3030000}"/>
    <cellStyle name="Normal 4 12 3 2 4" xfId="29705" xr:uid="{00000000-0005-0000-0000-0000C4030000}"/>
    <cellStyle name="Normal 4 12 3 3" xfId="8201" xr:uid="{00000000-0005-0000-0000-0000C5030000}"/>
    <cellStyle name="Normal 4 12 3 3 2" xfId="20489" xr:uid="{00000000-0005-0000-0000-0000C6030000}"/>
    <cellStyle name="Normal 4 12 3 3 2 2" xfId="45065" xr:uid="{00000000-0005-0000-0000-0000C7030000}"/>
    <cellStyle name="Normal 4 12 3 3 3" xfId="32777" xr:uid="{00000000-0005-0000-0000-0000C8030000}"/>
    <cellStyle name="Normal 4 12 3 4" xfId="14345" xr:uid="{00000000-0005-0000-0000-0000C9030000}"/>
    <cellStyle name="Normal 4 12 3 4 2" xfId="38921" xr:uid="{00000000-0005-0000-0000-0000CA030000}"/>
    <cellStyle name="Normal 4 12 3 5" xfId="26633" xr:uid="{00000000-0005-0000-0000-0000CB030000}"/>
    <cellStyle name="Normal 4 12 4" xfId="3593" xr:uid="{00000000-0005-0000-0000-0000CC030000}"/>
    <cellStyle name="Normal 4 12 4 2" xfId="9737" xr:uid="{00000000-0005-0000-0000-0000CD030000}"/>
    <cellStyle name="Normal 4 12 4 2 2" xfId="22025" xr:uid="{00000000-0005-0000-0000-0000CE030000}"/>
    <cellStyle name="Normal 4 12 4 2 2 2" xfId="46601" xr:uid="{00000000-0005-0000-0000-0000CF030000}"/>
    <cellStyle name="Normal 4 12 4 2 3" xfId="34313" xr:uid="{00000000-0005-0000-0000-0000D0030000}"/>
    <cellStyle name="Normal 4 12 4 3" xfId="15881" xr:uid="{00000000-0005-0000-0000-0000D1030000}"/>
    <cellStyle name="Normal 4 12 4 3 2" xfId="40457" xr:uid="{00000000-0005-0000-0000-0000D2030000}"/>
    <cellStyle name="Normal 4 12 4 4" xfId="28169" xr:uid="{00000000-0005-0000-0000-0000D3030000}"/>
    <cellStyle name="Normal 4 12 5" xfId="6665" xr:uid="{00000000-0005-0000-0000-0000D4030000}"/>
    <cellStyle name="Normal 4 12 5 2" xfId="18953" xr:uid="{00000000-0005-0000-0000-0000D5030000}"/>
    <cellStyle name="Normal 4 12 5 2 2" xfId="43529" xr:uid="{00000000-0005-0000-0000-0000D6030000}"/>
    <cellStyle name="Normal 4 12 5 3" xfId="31241" xr:uid="{00000000-0005-0000-0000-0000D7030000}"/>
    <cellStyle name="Normal 4 12 6" xfId="12809" xr:uid="{00000000-0005-0000-0000-0000D8030000}"/>
    <cellStyle name="Normal 4 12 6 2" xfId="37385" xr:uid="{00000000-0005-0000-0000-0000D9030000}"/>
    <cellStyle name="Normal 4 12 7" xfId="25097" xr:uid="{00000000-0005-0000-0000-0000DA030000}"/>
    <cellStyle name="Normal 4 13" xfId="901" xr:uid="{00000000-0005-0000-0000-0000DB030000}"/>
    <cellStyle name="Normal 4 13 2" xfId="2437" xr:uid="{00000000-0005-0000-0000-0000DC030000}"/>
    <cellStyle name="Normal 4 13 2 2" xfId="5513" xr:uid="{00000000-0005-0000-0000-0000DD030000}"/>
    <cellStyle name="Normal 4 13 2 2 2" xfId="11657" xr:uid="{00000000-0005-0000-0000-0000DE030000}"/>
    <cellStyle name="Normal 4 13 2 2 2 2" xfId="23945" xr:uid="{00000000-0005-0000-0000-0000DF030000}"/>
    <cellStyle name="Normal 4 13 2 2 2 2 2" xfId="48521" xr:uid="{00000000-0005-0000-0000-0000E0030000}"/>
    <cellStyle name="Normal 4 13 2 2 2 3" xfId="36233" xr:uid="{00000000-0005-0000-0000-0000E1030000}"/>
    <cellStyle name="Normal 4 13 2 2 3" xfId="17801" xr:uid="{00000000-0005-0000-0000-0000E2030000}"/>
    <cellStyle name="Normal 4 13 2 2 3 2" xfId="42377" xr:uid="{00000000-0005-0000-0000-0000E3030000}"/>
    <cellStyle name="Normal 4 13 2 2 4" xfId="30089" xr:uid="{00000000-0005-0000-0000-0000E4030000}"/>
    <cellStyle name="Normal 4 13 2 3" xfId="8585" xr:uid="{00000000-0005-0000-0000-0000E5030000}"/>
    <cellStyle name="Normal 4 13 2 3 2" xfId="20873" xr:uid="{00000000-0005-0000-0000-0000E6030000}"/>
    <cellStyle name="Normal 4 13 2 3 2 2" xfId="45449" xr:uid="{00000000-0005-0000-0000-0000E7030000}"/>
    <cellStyle name="Normal 4 13 2 3 3" xfId="33161" xr:uid="{00000000-0005-0000-0000-0000E8030000}"/>
    <cellStyle name="Normal 4 13 2 4" xfId="14729" xr:uid="{00000000-0005-0000-0000-0000E9030000}"/>
    <cellStyle name="Normal 4 13 2 4 2" xfId="39305" xr:uid="{00000000-0005-0000-0000-0000EA030000}"/>
    <cellStyle name="Normal 4 13 2 5" xfId="27017" xr:uid="{00000000-0005-0000-0000-0000EB030000}"/>
    <cellStyle name="Normal 4 13 3" xfId="3977" xr:uid="{00000000-0005-0000-0000-0000EC030000}"/>
    <cellStyle name="Normal 4 13 3 2" xfId="10121" xr:uid="{00000000-0005-0000-0000-0000ED030000}"/>
    <cellStyle name="Normal 4 13 3 2 2" xfId="22409" xr:uid="{00000000-0005-0000-0000-0000EE030000}"/>
    <cellStyle name="Normal 4 13 3 2 2 2" xfId="46985" xr:uid="{00000000-0005-0000-0000-0000EF030000}"/>
    <cellStyle name="Normal 4 13 3 2 3" xfId="34697" xr:uid="{00000000-0005-0000-0000-0000F0030000}"/>
    <cellStyle name="Normal 4 13 3 3" xfId="16265" xr:uid="{00000000-0005-0000-0000-0000F1030000}"/>
    <cellStyle name="Normal 4 13 3 3 2" xfId="40841" xr:uid="{00000000-0005-0000-0000-0000F2030000}"/>
    <cellStyle name="Normal 4 13 3 4" xfId="28553" xr:uid="{00000000-0005-0000-0000-0000F3030000}"/>
    <cellStyle name="Normal 4 13 4" xfId="7049" xr:uid="{00000000-0005-0000-0000-0000F4030000}"/>
    <cellStyle name="Normal 4 13 4 2" xfId="19337" xr:uid="{00000000-0005-0000-0000-0000F5030000}"/>
    <cellStyle name="Normal 4 13 4 2 2" xfId="43913" xr:uid="{00000000-0005-0000-0000-0000F6030000}"/>
    <cellStyle name="Normal 4 13 4 3" xfId="31625" xr:uid="{00000000-0005-0000-0000-0000F7030000}"/>
    <cellStyle name="Normal 4 13 5" xfId="13193" xr:uid="{00000000-0005-0000-0000-0000F8030000}"/>
    <cellStyle name="Normal 4 13 5 2" xfId="37769" xr:uid="{00000000-0005-0000-0000-0000F9030000}"/>
    <cellStyle name="Normal 4 13 6" xfId="25481" xr:uid="{00000000-0005-0000-0000-0000FA030000}"/>
    <cellStyle name="Normal 4 14" xfId="1669" xr:uid="{00000000-0005-0000-0000-0000FB030000}"/>
    <cellStyle name="Normal 4 14 2" xfId="4745" xr:uid="{00000000-0005-0000-0000-0000FC030000}"/>
    <cellStyle name="Normal 4 14 2 2" xfId="10889" xr:uid="{00000000-0005-0000-0000-0000FD030000}"/>
    <cellStyle name="Normal 4 14 2 2 2" xfId="23177" xr:uid="{00000000-0005-0000-0000-0000FE030000}"/>
    <cellStyle name="Normal 4 14 2 2 2 2" xfId="47753" xr:uid="{00000000-0005-0000-0000-0000FF030000}"/>
    <cellStyle name="Normal 4 14 2 2 3" xfId="35465" xr:uid="{00000000-0005-0000-0000-000000040000}"/>
    <cellStyle name="Normal 4 14 2 3" xfId="17033" xr:uid="{00000000-0005-0000-0000-000001040000}"/>
    <cellStyle name="Normal 4 14 2 3 2" xfId="41609" xr:uid="{00000000-0005-0000-0000-000002040000}"/>
    <cellStyle name="Normal 4 14 2 4" xfId="29321" xr:uid="{00000000-0005-0000-0000-000003040000}"/>
    <cellStyle name="Normal 4 14 3" xfId="7817" xr:uid="{00000000-0005-0000-0000-000004040000}"/>
    <cellStyle name="Normal 4 14 3 2" xfId="20105" xr:uid="{00000000-0005-0000-0000-000005040000}"/>
    <cellStyle name="Normal 4 14 3 2 2" xfId="44681" xr:uid="{00000000-0005-0000-0000-000006040000}"/>
    <cellStyle name="Normal 4 14 3 3" xfId="32393" xr:uid="{00000000-0005-0000-0000-000007040000}"/>
    <cellStyle name="Normal 4 14 4" xfId="13961" xr:uid="{00000000-0005-0000-0000-000008040000}"/>
    <cellStyle name="Normal 4 14 4 2" xfId="38537" xr:uid="{00000000-0005-0000-0000-000009040000}"/>
    <cellStyle name="Normal 4 14 5" xfId="26249" xr:uid="{00000000-0005-0000-0000-00000A040000}"/>
    <cellStyle name="Normal 4 15" xfId="3209" xr:uid="{00000000-0005-0000-0000-00000B040000}"/>
    <cellStyle name="Normal 4 15 2" xfId="9353" xr:uid="{00000000-0005-0000-0000-00000C040000}"/>
    <cellStyle name="Normal 4 15 2 2" xfId="21641" xr:uid="{00000000-0005-0000-0000-00000D040000}"/>
    <cellStyle name="Normal 4 15 2 2 2" xfId="46217" xr:uid="{00000000-0005-0000-0000-00000E040000}"/>
    <cellStyle name="Normal 4 15 2 3" xfId="33929" xr:uid="{00000000-0005-0000-0000-00000F040000}"/>
    <cellStyle name="Normal 4 15 3" xfId="15497" xr:uid="{00000000-0005-0000-0000-000010040000}"/>
    <cellStyle name="Normal 4 15 3 2" xfId="40073" xr:uid="{00000000-0005-0000-0000-000011040000}"/>
    <cellStyle name="Normal 4 15 4" xfId="27785" xr:uid="{00000000-0005-0000-0000-000012040000}"/>
    <cellStyle name="Normal 4 16" xfId="6281" xr:uid="{00000000-0005-0000-0000-000013040000}"/>
    <cellStyle name="Normal 4 16 2" xfId="18569" xr:uid="{00000000-0005-0000-0000-000014040000}"/>
    <cellStyle name="Normal 4 16 2 2" xfId="43145" xr:uid="{00000000-0005-0000-0000-000015040000}"/>
    <cellStyle name="Normal 4 16 3" xfId="30857" xr:uid="{00000000-0005-0000-0000-000016040000}"/>
    <cellStyle name="Normal 4 17" xfId="12425" xr:uid="{00000000-0005-0000-0000-000017040000}"/>
    <cellStyle name="Normal 4 17 2" xfId="37001" xr:uid="{00000000-0005-0000-0000-000018040000}"/>
    <cellStyle name="Normal 4 18" xfId="24713" xr:uid="{00000000-0005-0000-0000-000019040000}"/>
    <cellStyle name="Normal 4 2" xfId="93" xr:uid="{00000000-0005-0000-0000-00001A040000}"/>
    <cellStyle name="Normal 4 2 2" xfId="49593" xr:uid="{00000000-0005-0000-0000-00001B040000}"/>
    <cellStyle name="Normal 4 3" xfId="94" xr:uid="{00000000-0005-0000-0000-00001C040000}"/>
    <cellStyle name="Normal 4 3 10" xfId="903" xr:uid="{00000000-0005-0000-0000-00001D040000}"/>
    <cellStyle name="Normal 4 3 10 2" xfId="2439" xr:uid="{00000000-0005-0000-0000-00001E040000}"/>
    <cellStyle name="Normal 4 3 10 2 2" xfId="5515" xr:uid="{00000000-0005-0000-0000-00001F040000}"/>
    <cellStyle name="Normal 4 3 10 2 2 2" xfId="11659" xr:uid="{00000000-0005-0000-0000-000020040000}"/>
    <cellStyle name="Normal 4 3 10 2 2 2 2" xfId="23947" xr:uid="{00000000-0005-0000-0000-000021040000}"/>
    <cellStyle name="Normal 4 3 10 2 2 2 2 2" xfId="48523" xr:uid="{00000000-0005-0000-0000-000022040000}"/>
    <cellStyle name="Normal 4 3 10 2 2 2 3" xfId="36235" xr:uid="{00000000-0005-0000-0000-000023040000}"/>
    <cellStyle name="Normal 4 3 10 2 2 3" xfId="17803" xr:uid="{00000000-0005-0000-0000-000024040000}"/>
    <cellStyle name="Normal 4 3 10 2 2 3 2" xfId="42379" xr:uid="{00000000-0005-0000-0000-000025040000}"/>
    <cellStyle name="Normal 4 3 10 2 2 4" xfId="30091" xr:uid="{00000000-0005-0000-0000-000026040000}"/>
    <cellStyle name="Normal 4 3 10 2 3" xfId="8587" xr:uid="{00000000-0005-0000-0000-000027040000}"/>
    <cellStyle name="Normal 4 3 10 2 3 2" xfId="20875" xr:uid="{00000000-0005-0000-0000-000028040000}"/>
    <cellStyle name="Normal 4 3 10 2 3 2 2" xfId="45451" xr:uid="{00000000-0005-0000-0000-000029040000}"/>
    <cellStyle name="Normal 4 3 10 2 3 3" xfId="33163" xr:uid="{00000000-0005-0000-0000-00002A040000}"/>
    <cellStyle name="Normal 4 3 10 2 4" xfId="14731" xr:uid="{00000000-0005-0000-0000-00002B040000}"/>
    <cellStyle name="Normal 4 3 10 2 4 2" xfId="39307" xr:uid="{00000000-0005-0000-0000-00002C040000}"/>
    <cellStyle name="Normal 4 3 10 2 5" xfId="27019" xr:uid="{00000000-0005-0000-0000-00002D040000}"/>
    <cellStyle name="Normal 4 3 10 3" xfId="3979" xr:uid="{00000000-0005-0000-0000-00002E040000}"/>
    <cellStyle name="Normal 4 3 10 3 2" xfId="10123" xr:uid="{00000000-0005-0000-0000-00002F040000}"/>
    <cellStyle name="Normal 4 3 10 3 2 2" xfId="22411" xr:uid="{00000000-0005-0000-0000-000030040000}"/>
    <cellStyle name="Normal 4 3 10 3 2 2 2" xfId="46987" xr:uid="{00000000-0005-0000-0000-000031040000}"/>
    <cellStyle name="Normal 4 3 10 3 2 3" xfId="34699" xr:uid="{00000000-0005-0000-0000-000032040000}"/>
    <cellStyle name="Normal 4 3 10 3 3" xfId="16267" xr:uid="{00000000-0005-0000-0000-000033040000}"/>
    <cellStyle name="Normal 4 3 10 3 3 2" xfId="40843" xr:uid="{00000000-0005-0000-0000-000034040000}"/>
    <cellStyle name="Normal 4 3 10 3 4" xfId="28555" xr:uid="{00000000-0005-0000-0000-000035040000}"/>
    <cellStyle name="Normal 4 3 10 4" xfId="7051" xr:uid="{00000000-0005-0000-0000-000036040000}"/>
    <cellStyle name="Normal 4 3 10 4 2" xfId="19339" xr:uid="{00000000-0005-0000-0000-000037040000}"/>
    <cellStyle name="Normal 4 3 10 4 2 2" xfId="43915" xr:uid="{00000000-0005-0000-0000-000038040000}"/>
    <cellStyle name="Normal 4 3 10 4 3" xfId="31627" xr:uid="{00000000-0005-0000-0000-000039040000}"/>
    <cellStyle name="Normal 4 3 10 5" xfId="13195" xr:uid="{00000000-0005-0000-0000-00003A040000}"/>
    <cellStyle name="Normal 4 3 10 5 2" xfId="37771" xr:uid="{00000000-0005-0000-0000-00003B040000}"/>
    <cellStyle name="Normal 4 3 10 6" xfId="25483" xr:uid="{00000000-0005-0000-0000-00003C040000}"/>
    <cellStyle name="Normal 4 3 11" xfId="1671" xr:uid="{00000000-0005-0000-0000-00003D040000}"/>
    <cellStyle name="Normal 4 3 11 2" xfId="4747" xr:uid="{00000000-0005-0000-0000-00003E040000}"/>
    <cellStyle name="Normal 4 3 11 2 2" xfId="10891" xr:uid="{00000000-0005-0000-0000-00003F040000}"/>
    <cellStyle name="Normal 4 3 11 2 2 2" xfId="23179" xr:uid="{00000000-0005-0000-0000-000040040000}"/>
    <cellStyle name="Normal 4 3 11 2 2 2 2" xfId="47755" xr:uid="{00000000-0005-0000-0000-000041040000}"/>
    <cellStyle name="Normal 4 3 11 2 2 3" xfId="35467" xr:uid="{00000000-0005-0000-0000-000042040000}"/>
    <cellStyle name="Normal 4 3 11 2 3" xfId="17035" xr:uid="{00000000-0005-0000-0000-000043040000}"/>
    <cellStyle name="Normal 4 3 11 2 3 2" xfId="41611" xr:uid="{00000000-0005-0000-0000-000044040000}"/>
    <cellStyle name="Normal 4 3 11 2 4" xfId="29323" xr:uid="{00000000-0005-0000-0000-000045040000}"/>
    <cellStyle name="Normal 4 3 11 3" xfId="7819" xr:uid="{00000000-0005-0000-0000-000046040000}"/>
    <cellStyle name="Normal 4 3 11 3 2" xfId="20107" xr:uid="{00000000-0005-0000-0000-000047040000}"/>
    <cellStyle name="Normal 4 3 11 3 2 2" xfId="44683" xr:uid="{00000000-0005-0000-0000-000048040000}"/>
    <cellStyle name="Normal 4 3 11 3 3" xfId="32395" xr:uid="{00000000-0005-0000-0000-000049040000}"/>
    <cellStyle name="Normal 4 3 11 4" xfId="13963" xr:uid="{00000000-0005-0000-0000-00004A040000}"/>
    <cellStyle name="Normal 4 3 11 4 2" xfId="38539" xr:uid="{00000000-0005-0000-0000-00004B040000}"/>
    <cellStyle name="Normal 4 3 11 5" xfId="26251" xr:uid="{00000000-0005-0000-0000-00004C040000}"/>
    <cellStyle name="Normal 4 3 12" xfId="3211" xr:uid="{00000000-0005-0000-0000-00004D040000}"/>
    <cellStyle name="Normal 4 3 12 2" xfId="9355" xr:uid="{00000000-0005-0000-0000-00004E040000}"/>
    <cellStyle name="Normal 4 3 12 2 2" xfId="21643" xr:uid="{00000000-0005-0000-0000-00004F040000}"/>
    <cellStyle name="Normal 4 3 12 2 2 2" xfId="46219" xr:uid="{00000000-0005-0000-0000-000050040000}"/>
    <cellStyle name="Normal 4 3 12 2 3" xfId="33931" xr:uid="{00000000-0005-0000-0000-000051040000}"/>
    <cellStyle name="Normal 4 3 12 3" xfId="15499" xr:uid="{00000000-0005-0000-0000-000052040000}"/>
    <cellStyle name="Normal 4 3 12 3 2" xfId="40075" xr:uid="{00000000-0005-0000-0000-000053040000}"/>
    <cellStyle name="Normal 4 3 12 4" xfId="27787" xr:uid="{00000000-0005-0000-0000-000054040000}"/>
    <cellStyle name="Normal 4 3 13" xfId="6283" xr:uid="{00000000-0005-0000-0000-000055040000}"/>
    <cellStyle name="Normal 4 3 13 2" xfId="18571" xr:uid="{00000000-0005-0000-0000-000056040000}"/>
    <cellStyle name="Normal 4 3 13 2 2" xfId="43147" xr:uid="{00000000-0005-0000-0000-000057040000}"/>
    <cellStyle name="Normal 4 3 13 3" xfId="30859" xr:uid="{00000000-0005-0000-0000-000058040000}"/>
    <cellStyle name="Normal 4 3 14" xfId="12427" xr:uid="{00000000-0005-0000-0000-000059040000}"/>
    <cellStyle name="Normal 4 3 14 2" xfId="37003" xr:uid="{00000000-0005-0000-0000-00005A040000}"/>
    <cellStyle name="Normal 4 3 15" xfId="24715" xr:uid="{00000000-0005-0000-0000-00005B040000}"/>
    <cellStyle name="Normal 4 3 16" xfId="49594" xr:uid="{00000000-0005-0000-0000-00005C040000}"/>
    <cellStyle name="Normal 4 3 2" xfId="98" xr:uid="{00000000-0005-0000-0000-00005D040000}"/>
    <cellStyle name="Normal 4 3 2 10" xfId="1675" xr:uid="{00000000-0005-0000-0000-00005E040000}"/>
    <cellStyle name="Normal 4 3 2 10 2" xfId="4751" xr:uid="{00000000-0005-0000-0000-00005F040000}"/>
    <cellStyle name="Normal 4 3 2 10 2 2" xfId="10895" xr:uid="{00000000-0005-0000-0000-000060040000}"/>
    <cellStyle name="Normal 4 3 2 10 2 2 2" xfId="23183" xr:uid="{00000000-0005-0000-0000-000061040000}"/>
    <cellStyle name="Normal 4 3 2 10 2 2 2 2" xfId="47759" xr:uid="{00000000-0005-0000-0000-000062040000}"/>
    <cellStyle name="Normal 4 3 2 10 2 2 3" xfId="35471" xr:uid="{00000000-0005-0000-0000-000063040000}"/>
    <cellStyle name="Normal 4 3 2 10 2 3" xfId="17039" xr:uid="{00000000-0005-0000-0000-000064040000}"/>
    <cellStyle name="Normal 4 3 2 10 2 3 2" xfId="41615" xr:uid="{00000000-0005-0000-0000-000065040000}"/>
    <cellStyle name="Normal 4 3 2 10 2 4" xfId="29327" xr:uid="{00000000-0005-0000-0000-000066040000}"/>
    <cellStyle name="Normal 4 3 2 10 3" xfId="7823" xr:uid="{00000000-0005-0000-0000-000067040000}"/>
    <cellStyle name="Normal 4 3 2 10 3 2" xfId="20111" xr:uid="{00000000-0005-0000-0000-000068040000}"/>
    <cellStyle name="Normal 4 3 2 10 3 2 2" xfId="44687" xr:uid="{00000000-0005-0000-0000-000069040000}"/>
    <cellStyle name="Normal 4 3 2 10 3 3" xfId="32399" xr:uid="{00000000-0005-0000-0000-00006A040000}"/>
    <cellStyle name="Normal 4 3 2 10 4" xfId="13967" xr:uid="{00000000-0005-0000-0000-00006B040000}"/>
    <cellStyle name="Normal 4 3 2 10 4 2" xfId="38543" xr:uid="{00000000-0005-0000-0000-00006C040000}"/>
    <cellStyle name="Normal 4 3 2 10 5" xfId="26255" xr:uid="{00000000-0005-0000-0000-00006D040000}"/>
    <cellStyle name="Normal 4 3 2 11" xfId="3215" xr:uid="{00000000-0005-0000-0000-00006E040000}"/>
    <cellStyle name="Normal 4 3 2 11 2" xfId="9359" xr:uid="{00000000-0005-0000-0000-00006F040000}"/>
    <cellStyle name="Normal 4 3 2 11 2 2" xfId="21647" xr:uid="{00000000-0005-0000-0000-000070040000}"/>
    <cellStyle name="Normal 4 3 2 11 2 2 2" xfId="46223" xr:uid="{00000000-0005-0000-0000-000071040000}"/>
    <cellStyle name="Normal 4 3 2 11 2 3" xfId="33935" xr:uid="{00000000-0005-0000-0000-000072040000}"/>
    <cellStyle name="Normal 4 3 2 11 3" xfId="15503" xr:uid="{00000000-0005-0000-0000-000073040000}"/>
    <cellStyle name="Normal 4 3 2 11 3 2" xfId="40079" xr:uid="{00000000-0005-0000-0000-000074040000}"/>
    <cellStyle name="Normal 4 3 2 11 4" xfId="27791" xr:uid="{00000000-0005-0000-0000-000075040000}"/>
    <cellStyle name="Normal 4 3 2 12" xfId="6287" xr:uid="{00000000-0005-0000-0000-000076040000}"/>
    <cellStyle name="Normal 4 3 2 12 2" xfId="18575" xr:uid="{00000000-0005-0000-0000-000077040000}"/>
    <cellStyle name="Normal 4 3 2 12 2 2" xfId="43151" xr:uid="{00000000-0005-0000-0000-000078040000}"/>
    <cellStyle name="Normal 4 3 2 12 3" xfId="30863" xr:uid="{00000000-0005-0000-0000-000079040000}"/>
    <cellStyle name="Normal 4 3 2 13" xfId="12431" xr:uid="{00000000-0005-0000-0000-00007A040000}"/>
    <cellStyle name="Normal 4 3 2 13 2" xfId="37007" xr:uid="{00000000-0005-0000-0000-00007B040000}"/>
    <cellStyle name="Normal 4 3 2 14" xfId="24719" xr:uid="{00000000-0005-0000-0000-00007C040000}"/>
    <cellStyle name="Normal 4 3 2 2" xfId="106" xr:uid="{00000000-0005-0000-0000-00007D040000}"/>
    <cellStyle name="Normal 4 3 2 2 10" xfId="3223" xr:uid="{00000000-0005-0000-0000-00007E040000}"/>
    <cellStyle name="Normal 4 3 2 2 10 2" xfId="9367" xr:uid="{00000000-0005-0000-0000-00007F040000}"/>
    <cellStyle name="Normal 4 3 2 2 10 2 2" xfId="21655" xr:uid="{00000000-0005-0000-0000-000080040000}"/>
    <cellStyle name="Normal 4 3 2 2 10 2 2 2" xfId="46231" xr:uid="{00000000-0005-0000-0000-000081040000}"/>
    <cellStyle name="Normal 4 3 2 2 10 2 3" xfId="33943" xr:uid="{00000000-0005-0000-0000-000082040000}"/>
    <cellStyle name="Normal 4 3 2 2 10 3" xfId="15511" xr:uid="{00000000-0005-0000-0000-000083040000}"/>
    <cellStyle name="Normal 4 3 2 2 10 3 2" xfId="40087" xr:uid="{00000000-0005-0000-0000-000084040000}"/>
    <cellStyle name="Normal 4 3 2 2 10 4" xfId="27799" xr:uid="{00000000-0005-0000-0000-000085040000}"/>
    <cellStyle name="Normal 4 3 2 2 11" xfId="6295" xr:uid="{00000000-0005-0000-0000-000086040000}"/>
    <cellStyle name="Normal 4 3 2 2 11 2" xfId="18583" xr:uid="{00000000-0005-0000-0000-000087040000}"/>
    <cellStyle name="Normal 4 3 2 2 11 2 2" xfId="43159" xr:uid="{00000000-0005-0000-0000-000088040000}"/>
    <cellStyle name="Normal 4 3 2 2 11 3" xfId="30871" xr:uid="{00000000-0005-0000-0000-000089040000}"/>
    <cellStyle name="Normal 4 3 2 2 12" xfId="12439" xr:uid="{00000000-0005-0000-0000-00008A040000}"/>
    <cellStyle name="Normal 4 3 2 2 12 2" xfId="37015" xr:uid="{00000000-0005-0000-0000-00008B040000}"/>
    <cellStyle name="Normal 4 3 2 2 13" xfId="24727" xr:uid="{00000000-0005-0000-0000-00008C040000}"/>
    <cellStyle name="Normal 4 3 2 2 2" xfId="122" xr:uid="{00000000-0005-0000-0000-00008D040000}"/>
    <cellStyle name="Normal 4 3 2 2 2 10" xfId="6311" xr:uid="{00000000-0005-0000-0000-00008E040000}"/>
    <cellStyle name="Normal 4 3 2 2 2 10 2" xfId="18599" xr:uid="{00000000-0005-0000-0000-00008F040000}"/>
    <cellStyle name="Normal 4 3 2 2 2 10 2 2" xfId="43175" xr:uid="{00000000-0005-0000-0000-000090040000}"/>
    <cellStyle name="Normal 4 3 2 2 2 10 3" xfId="30887" xr:uid="{00000000-0005-0000-0000-000091040000}"/>
    <cellStyle name="Normal 4 3 2 2 2 11" xfId="12455" xr:uid="{00000000-0005-0000-0000-000092040000}"/>
    <cellStyle name="Normal 4 3 2 2 2 11 2" xfId="37031" xr:uid="{00000000-0005-0000-0000-000093040000}"/>
    <cellStyle name="Normal 4 3 2 2 2 12" xfId="24743" xr:uid="{00000000-0005-0000-0000-000094040000}"/>
    <cellStyle name="Normal 4 3 2 2 2 2" xfId="194" xr:uid="{00000000-0005-0000-0000-000095040000}"/>
    <cellStyle name="Normal 4 3 2 2 2 2 10" xfId="12487" xr:uid="{00000000-0005-0000-0000-000096040000}"/>
    <cellStyle name="Normal 4 3 2 2 2 2 10 2" xfId="37063" xr:uid="{00000000-0005-0000-0000-000097040000}"/>
    <cellStyle name="Normal 4 3 2 2 2 2 11" xfId="24775" xr:uid="{00000000-0005-0000-0000-000098040000}"/>
    <cellStyle name="Normal 4 3 2 2 2 2 2" xfId="259" xr:uid="{00000000-0005-0000-0000-000099040000}"/>
    <cellStyle name="Normal 4 3 2 2 2 2 2 2" xfId="451" xr:uid="{00000000-0005-0000-0000-00009A040000}"/>
    <cellStyle name="Normal 4 3 2 2 2 2 2 2 2" xfId="835" xr:uid="{00000000-0005-0000-0000-00009B040000}"/>
    <cellStyle name="Normal 4 3 2 2 2 2 2 2 2 2" xfId="1603" xr:uid="{00000000-0005-0000-0000-00009C040000}"/>
    <cellStyle name="Normal 4 3 2 2 2 2 2 2 2 2 2" xfId="3139" xr:uid="{00000000-0005-0000-0000-00009D040000}"/>
    <cellStyle name="Normal 4 3 2 2 2 2 2 2 2 2 2 2" xfId="6215" xr:uid="{00000000-0005-0000-0000-00009E040000}"/>
    <cellStyle name="Normal 4 3 2 2 2 2 2 2 2 2 2 2 2" xfId="12359" xr:uid="{00000000-0005-0000-0000-00009F040000}"/>
    <cellStyle name="Normal 4 3 2 2 2 2 2 2 2 2 2 2 2 2" xfId="24647" xr:uid="{00000000-0005-0000-0000-0000A0040000}"/>
    <cellStyle name="Normal 4 3 2 2 2 2 2 2 2 2 2 2 2 2 2" xfId="49223" xr:uid="{00000000-0005-0000-0000-0000A1040000}"/>
    <cellStyle name="Normal 4 3 2 2 2 2 2 2 2 2 2 2 2 3" xfId="36935" xr:uid="{00000000-0005-0000-0000-0000A2040000}"/>
    <cellStyle name="Normal 4 3 2 2 2 2 2 2 2 2 2 2 3" xfId="18503" xr:uid="{00000000-0005-0000-0000-0000A3040000}"/>
    <cellStyle name="Normal 4 3 2 2 2 2 2 2 2 2 2 2 3 2" xfId="43079" xr:uid="{00000000-0005-0000-0000-0000A4040000}"/>
    <cellStyle name="Normal 4 3 2 2 2 2 2 2 2 2 2 2 4" xfId="30791" xr:uid="{00000000-0005-0000-0000-0000A5040000}"/>
    <cellStyle name="Normal 4 3 2 2 2 2 2 2 2 2 2 3" xfId="9287" xr:uid="{00000000-0005-0000-0000-0000A6040000}"/>
    <cellStyle name="Normal 4 3 2 2 2 2 2 2 2 2 2 3 2" xfId="21575" xr:uid="{00000000-0005-0000-0000-0000A7040000}"/>
    <cellStyle name="Normal 4 3 2 2 2 2 2 2 2 2 2 3 2 2" xfId="46151" xr:uid="{00000000-0005-0000-0000-0000A8040000}"/>
    <cellStyle name="Normal 4 3 2 2 2 2 2 2 2 2 2 3 3" xfId="33863" xr:uid="{00000000-0005-0000-0000-0000A9040000}"/>
    <cellStyle name="Normal 4 3 2 2 2 2 2 2 2 2 2 4" xfId="15431" xr:uid="{00000000-0005-0000-0000-0000AA040000}"/>
    <cellStyle name="Normal 4 3 2 2 2 2 2 2 2 2 2 4 2" xfId="40007" xr:uid="{00000000-0005-0000-0000-0000AB040000}"/>
    <cellStyle name="Normal 4 3 2 2 2 2 2 2 2 2 2 5" xfId="27719" xr:uid="{00000000-0005-0000-0000-0000AC040000}"/>
    <cellStyle name="Normal 4 3 2 2 2 2 2 2 2 2 3" xfId="4679" xr:uid="{00000000-0005-0000-0000-0000AD040000}"/>
    <cellStyle name="Normal 4 3 2 2 2 2 2 2 2 2 3 2" xfId="10823" xr:uid="{00000000-0005-0000-0000-0000AE040000}"/>
    <cellStyle name="Normal 4 3 2 2 2 2 2 2 2 2 3 2 2" xfId="23111" xr:uid="{00000000-0005-0000-0000-0000AF040000}"/>
    <cellStyle name="Normal 4 3 2 2 2 2 2 2 2 2 3 2 2 2" xfId="47687" xr:uid="{00000000-0005-0000-0000-0000B0040000}"/>
    <cellStyle name="Normal 4 3 2 2 2 2 2 2 2 2 3 2 3" xfId="35399" xr:uid="{00000000-0005-0000-0000-0000B1040000}"/>
    <cellStyle name="Normal 4 3 2 2 2 2 2 2 2 2 3 3" xfId="16967" xr:uid="{00000000-0005-0000-0000-0000B2040000}"/>
    <cellStyle name="Normal 4 3 2 2 2 2 2 2 2 2 3 3 2" xfId="41543" xr:uid="{00000000-0005-0000-0000-0000B3040000}"/>
    <cellStyle name="Normal 4 3 2 2 2 2 2 2 2 2 3 4" xfId="29255" xr:uid="{00000000-0005-0000-0000-0000B4040000}"/>
    <cellStyle name="Normal 4 3 2 2 2 2 2 2 2 2 4" xfId="7751" xr:uid="{00000000-0005-0000-0000-0000B5040000}"/>
    <cellStyle name="Normal 4 3 2 2 2 2 2 2 2 2 4 2" xfId="20039" xr:uid="{00000000-0005-0000-0000-0000B6040000}"/>
    <cellStyle name="Normal 4 3 2 2 2 2 2 2 2 2 4 2 2" xfId="44615" xr:uid="{00000000-0005-0000-0000-0000B7040000}"/>
    <cellStyle name="Normal 4 3 2 2 2 2 2 2 2 2 4 3" xfId="32327" xr:uid="{00000000-0005-0000-0000-0000B8040000}"/>
    <cellStyle name="Normal 4 3 2 2 2 2 2 2 2 2 5" xfId="13895" xr:uid="{00000000-0005-0000-0000-0000B9040000}"/>
    <cellStyle name="Normal 4 3 2 2 2 2 2 2 2 2 5 2" xfId="38471" xr:uid="{00000000-0005-0000-0000-0000BA040000}"/>
    <cellStyle name="Normal 4 3 2 2 2 2 2 2 2 2 6" xfId="26183" xr:uid="{00000000-0005-0000-0000-0000BB040000}"/>
    <cellStyle name="Normal 4 3 2 2 2 2 2 2 2 3" xfId="2371" xr:uid="{00000000-0005-0000-0000-0000BC040000}"/>
    <cellStyle name="Normal 4 3 2 2 2 2 2 2 2 3 2" xfId="5447" xr:uid="{00000000-0005-0000-0000-0000BD040000}"/>
    <cellStyle name="Normal 4 3 2 2 2 2 2 2 2 3 2 2" xfId="11591" xr:uid="{00000000-0005-0000-0000-0000BE040000}"/>
    <cellStyle name="Normal 4 3 2 2 2 2 2 2 2 3 2 2 2" xfId="23879" xr:uid="{00000000-0005-0000-0000-0000BF040000}"/>
    <cellStyle name="Normal 4 3 2 2 2 2 2 2 2 3 2 2 2 2" xfId="48455" xr:uid="{00000000-0005-0000-0000-0000C0040000}"/>
    <cellStyle name="Normal 4 3 2 2 2 2 2 2 2 3 2 2 3" xfId="36167" xr:uid="{00000000-0005-0000-0000-0000C1040000}"/>
    <cellStyle name="Normal 4 3 2 2 2 2 2 2 2 3 2 3" xfId="17735" xr:uid="{00000000-0005-0000-0000-0000C2040000}"/>
    <cellStyle name="Normal 4 3 2 2 2 2 2 2 2 3 2 3 2" xfId="42311" xr:uid="{00000000-0005-0000-0000-0000C3040000}"/>
    <cellStyle name="Normal 4 3 2 2 2 2 2 2 2 3 2 4" xfId="30023" xr:uid="{00000000-0005-0000-0000-0000C4040000}"/>
    <cellStyle name="Normal 4 3 2 2 2 2 2 2 2 3 3" xfId="8519" xr:uid="{00000000-0005-0000-0000-0000C5040000}"/>
    <cellStyle name="Normal 4 3 2 2 2 2 2 2 2 3 3 2" xfId="20807" xr:uid="{00000000-0005-0000-0000-0000C6040000}"/>
    <cellStyle name="Normal 4 3 2 2 2 2 2 2 2 3 3 2 2" xfId="45383" xr:uid="{00000000-0005-0000-0000-0000C7040000}"/>
    <cellStyle name="Normal 4 3 2 2 2 2 2 2 2 3 3 3" xfId="33095" xr:uid="{00000000-0005-0000-0000-0000C8040000}"/>
    <cellStyle name="Normal 4 3 2 2 2 2 2 2 2 3 4" xfId="14663" xr:uid="{00000000-0005-0000-0000-0000C9040000}"/>
    <cellStyle name="Normal 4 3 2 2 2 2 2 2 2 3 4 2" xfId="39239" xr:uid="{00000000-0005-0000-0000-0000CA040000}"/>
    <cellStyle name="Normal 4 3 2 2 2 2 2 2 2 3 5" xfId="26951" xr:uid="{00000000-0005-0000-0000-0000CB040000}"/>
    <cellStyle name="Normal 4 3 2 2 2 2 2 2 2 4" xfId="3911" xr:uid="{00000000-0005-0000-0000-0000CC040000}"/>
    <cellStyle name="Normal 4 3 2 2 2 2 2 2 2 4 2" xfId="10055" xr:uid="{00000000-0005-0000-0000-0000CD040000}"/>
    <cellStyle name="Normal 4 3 2 2 2 2 2 2 2 4 2 2" xfId="22343" xr:uid="{00000000-0005-0000-0000-0000CE040000}"/>
    <cellStyle name="Normal 4 3 2 2 2 2 2 2 2 4 2 2 2" xfId="46919" xr:uid="{00000000-0005-0000-0000-0000CF040000}"/>
    <cellStyle name="Normal 4 3 2 2 2 2 2 2 2 4 2 3" xfId="34631" xr:uid="{00000000-0005-0000-0000-0000D0040000}"/>
    <cellStyle name="Normal 4 3 2 2 2 2 2 2 2 4 3" xfId="16199" xr:uid="{00000000-0005-0000-0000-0000D1040000}"/>
    <cellStyle name="Normal 4 3 2 2 2 2 2 2 2 4 3 2" xfId="40775" xr:uid="{00000000-0005-0000-0000-0000D2040000}"/>
    <cellStyle name="Normal 4 3 2 2 2 2 2 2 2 4 4" xfId="28487" xr:uid="{00000000-0005-0000-0000-0000D3040000}"/>
    <cellStyle name="Normal 4 3 2 2 2 2 2 2 2 5" xfId="6983" xr:uid="{00000000-0005-0000-0000-0000D4040000}"/>
    <cellStyle name="Normal 4 3 2 2 2 2 2 2 2 5 2" xfId="19271" xr:uid="{00000000-0005-0000-0000-0000D5040000}"/>
    <cellStyle name="Normal 4 3 2 2 2 2 2 2 2 5 2 2" xfId="43847" xr:uid="{00000000-0005-0000-0000-0000D6040000}"/>
    <cellStyle name="Normal 4 3 2 2 2 2 2 2 2 5 3" xfId="31559" xr:uid="{00000000-0005-0000-0000-0000D7040000}"/>
    <cellStyle name="Normal 4 3 2 2 2 2 2 2 2 6" xfId="13127" xr:uid="{00000000-0005-0000-0000-0000D8040000}"/>
    <cellStyle name="Normal 4 3 2 2 2 2 2 2 2 6 2" xfId="37703" xr:uid="{00000000-0005-0000-0000-0000D9040000}"/>
    <cellStyle name="Normal 4 3 2 2 2 2 2 2 2 7" xfId="25415" xr:uid="{00000000-0005-0000-0000-0000DA040000}"/>
    <cellStyle name="Normal 4 3 2 2 2 2 2 2 3" xfId="1219" xr:uid="{00000000-0005-0000-0000-0000DB040000}"/>
    <cellStyle name="Normal 4 3 2 2 2 2 2 2 3 2" xfId="2755" xr:uid="{00000000-0005-0000-0000-0000DC040000}"/>
    <cellStyle name="Normal 4 3 2 2 2 2 2 2 3 2 2" xfId="5831" xr:uid="{00000000-0005-0000-0000-0000DD040000}"/>
    <cellStyle name="Normal 4 3 2 2 2 2 2 2 3 2 2 2" xfId="11975" xr:uid="{00000000-0005-0000-0000-0000DE040000}"/>
    <cellStyle name="Normal 4 3 2 2 2 2 2 2 3 2 2 2 2" xfId="24263" xr:uid="{00000000-0005-0000-0000-0000DF040000}"/>
    <cellStyle name="Normal 4 3 2 2 2 2 2 2 3 2 2 2 2 2" xfId="48839" xr:uid="{00000000-0005-0000-0000-0000E0040000}"/>
    <cellStyle name="Normal 4 3 2 2 2 2 2 2 3 2 2 2 3" xfId="36551" xr:uid="{00000000-0005-0000-0000-0000E1040000}"/>
    <cellStyle name="Normal 4 3 2 2 2 2 2 2 3 2 2 3" xfId="18119" xr:uid="{00000000-0005-0000-0000-0000E2040000}"/>
    <cellStyle name="Normal 4 3 2 2 2 2 2 2 3 2 2 3 2" xfId="42695" xr:uid="{00000000-0005-0000-0000-0000E3040000}"/>
    <cellStyle name="Normal 4 3 2 2 2 2 2 2 3 2 2 4" xfId="30407" xr:uid="{00000000-0005-0000-0000-0000E4040000}"/>
    <cellStyle name="Normal 4 3 2 2 2 2 2 2 3 2 3" xfId="8903" xr:uid="{00000000-0005-0000-0000-0000E5040000}"/>
    <cellStyle name="Normal 4 3 2 2 2 2 2 2 3 2 3 2" xfId="21191" xr:uid="{00000000-0005-0000-0000-0000E6040000}"/>
    <cellStyle name="Normal 4 3 2 2 2 2 2 2 3 2 3 2 2" xfId="45767" xr:uid="{00000000-0005-0000-0000-0000E7040000}"/>
    <cellStyle name="Normal 4 3 2 2 2 2 2 2 3 2 3 3" xfId="33479" xr:uid="{00000000-0005-0000-0000-0000E8040000}"/>
    <cellStyle name="Normal 4 3 2 2 2 2 2 2 3 2 4" xfId="15047" xr:uid="{00000000-0005-0000-0000-0000E9040000}"/>
    <cellStyle name="Normal 4 3 2 2 2 2 2 2 3 2 4 2" xfId="39623" xr:uid="{00000000-0005-0000-0000-0000EA040000}"/>
    <cellStyle name="Normal 4 3 2 2 2 2 2 2 3 2 5" xfId="27335" xr:uid="{00000000-0005-0000-0000-0000EB040000}"/>
    <cellStyle name="Normal 4 3 2 2 2 2 2 2 3 3" xfId="4295" xr:uid="{00000000-0005-0000-0000-0000EC040000}"/>
    <cellStyle name="Normal 4 3 2 2 2 2 2 2 3 3 2" xfId="10439" xr:uid="{00000000-0005-0000-0000-0000ED040000}"/>
    <cellStyle name="Normal 4 3 2 2 2 2 2 2 3 3 2 2" xfId="22727" xr:uid="{00000000-0005-0000-0000-0000EE040000}"/>
    <cellStyle name="Normal 4 3 2 2 2 2 2 2 3 3 2 2 2" xfId="47303" xr:uid="{00000000-0005-0000-0000-0000EF040000}"/>
    <cellStyle name="Normal 4 3 2 2 2 2 2 2 3 3 2 3" xfId="35015" xr:uid="{00000000-0005-0000-0000-0000F0040000}"/>
    <cellStyle name="Normal 4 3 2 2 2 2 2 2 3 3 3" xfId="16583" xr:uid="{00000000-0005-0000-0000-0000F1040000}"/>
    <cellStyle name="Normal 4 3 2 2 2 2 2 2 3 3 3 2" xfId="41159" xr:uid="{00000000-0005-0000-0000-0000F2040000}"/>
    <cellStyle name="Normal 4 3 2 2 2 2 2 2 3 3 4" xfId="28871" xr:uid="{00000000-0005-0000-0000-0000F3040000}"/>
    <cellStyle name="Normal 4 3 2 2 2 2 2 2 3 4" xfId="7367" xr:uid="{00000000-0005-0000-0000-0000F4040000}"/>
    <cellStyle name="Normal 4 3 2 2 2 2 2 2 3 4 2" xfId="19655" xr:uid="{00000000-0005-0000-0000-0000F5040000}"/>
    <cellStyle name="Normal 4 3 2 2 2 2 2 2 3 4 2 2" xfId="44231" xr:uid="{00000000-0005-0000-0000-0000F6040000}"/>
    <cellStyle name="Normal 4 3 2 2 2 2 2 2 3 4 3" xfId="31943" xr:uid="{00000000-0005-0000-0000-0000F7040000}"/>
    <cellStyle name="Normal 4 3 2 2 2 2 2 2 3 5" xfId="13511" xr:uid="{00000000-0005-0000-0000-0000F8040000}"/>
    <cellStyle name="Normal 4 3 2 2 2 2 2 2 3 5 2" xfId="38087" xr:uid="{00000000-0005-0000-0000-0000F9040000}"/>
    <cellStyle name="Normal 4 3 2 2 2 2 2 2 3 6" xfId="25799" xr:uid="{00000000-0005-0000-0000-0000FA040000}"/>
    <cellStyle name="Normal 4 3 2 2 2 2 2 2 4" xfId="1987" xr:uid="{00000000-0005-0000-0000-0000FB040000}"/>
    <cellStyle name="Normal 4 3 2 2 2 2 2 2 4 2" xfId="5063" xr:uid="{00000000-0005-0000-0000-0000FC040000}"/>
    <cellStyle name="Normal 4 3 2 2 2 2 2 2 4 2 2" xfId="11207" xr:uid="{00000000-0005-0000-0000-0000FD040000}"/>
    <cellStyle name="Normal 4 3 2 2 2 2 2 2 4 2 2 2" xfId="23495" xr:uid="{00000000-0005-0000-0000-0000FE040000}"/>
    <cellStyle name="Normal 4 3 2 2 2 2 2 2 4 2 2 2 2" xfId="48071" xr:uid="{00000000-0005-0000-0000-0000FF040000}"/>
    <cellStyle name="Normal 4 3 2 2 2 2 2 2 4 2 2 3" xfId="35783" xr:uid="{00000000-0005-0000-0000-000000050000}"/>
    <cellStyle name="Normal 4 3 2 2 2 2 2 2 4 2 3" xfId="17351" xr:uid="{00000000-0005-0000-0000-000001050000}"/>
    <cellStyle name="Normal 4 3 2 2 2 2 2 2 4 2 3 2" xfId="41927" xr:uid="{00000000-0005-0000-0000-000002050000}"/>
    <cellStyle name="Normal 4 3 2 2 2 2 2 2 4 2 4" xfId="29639" xr:uid="{00000000-0005-0000-0000-000003050000}"/>
    <cellStyle name="Normal 4 3 2 2 2 2 2 2 4 3" xfId="8135" xr:uid="{00000000-0005-0000-0000-000004050000}"/>
    <cellStyle name="Normal 4 3 2 2 2 2 2 2 4 3 2" xfId="20423" xr:uid="{00000000-0005-0000-0000-000005050000}"/>
    <cellStyle name="Normal 4 3 2 2 2 2 2 2 4 3 2 2" xfId="44999" xr:uid="{00000000-0005-0000-0000-000006050000}"/>
    <cellStyle name="Normal 4 3 2 2 2 2 2 2 4 3 3" xfId="32711" xr:uid="{00000000-0005-0000-0000-000007050000}"/>
    <cellStyle name="Normal 4 3 2 2 2 2 2 2 4 4" xfId="14279" xr:uid="{00000000-0005-0000-0000-000008050000}"/>
    <cellStyle name="Normal 4 3 2 2 2 2 2 2 4 4 2" xfId="38855" xr:uid="{00000000-0005-0000-0000-000009050000}"/>
    <cellStyle name="Normal 4 3 2 2 2 2 2 2 4 5" xfId="26567" xr:uid="{00000000-0005-0000-0000-00000A050000}"/>
    <cellStyle name="Normal 4 3 2 2 2 2 2 2 5" xfId="3527" xr:uid="{00000000-0005-0000-0000-00000B050000}"/>
    <cellStyle name="Normal 4 3 2 2 2 2 2 2 5 2" xfId="9671" xr:uid="{00000000-0005-0000-0000-00000C050000}"/>
    <cellStyle name="Normal 4 3 2 2 2 2 2 2 5 2 2" xfId="21959" xr:uid="{00000000-0005-0000-0000-00000D050000}"/>
    <cellStyle name="Normal 4 3 2 2 2 2 2 2 5 2 2 2" xfId="46535" xr:uid="{00000000-0005-0000-0000-00000E050000}"/>
    <cellStyle name="Normal 4 3 2 2 2 2 2 2 5 2 3" xfId="34247" xr:uid="{00000000-0005-0000-0000-00000F050000}"/>
    <cellStyle name="Normal 4 3 2 2 2 2 2 2 5 3" xfId="15815" xr:uid="{00000000-0005-0000-0000-000010050000}"/>
    <cellStyle name="Normal 4 3 2 2 2 2 2 2 5 3 2" xfId="40391" xr:uid="{00000000-0005-0000-0000-000011050000}"/>
    <cellStyle name="Normal 4 3 2 2 2 2 2 2 5 4" xfId="28103" xr:uid="{00000000-0005-0000-0000-000012050000}"/>
    <cellStyle name="Normal 4 3 2 2 2 2 2 2 6" xfId="6599" xr:uid="{00000000-0005-0000-0000-000013050000}"/>
    <cellStyle name="Normal 4 3 2 2 2 2 2 2 6 2" xfId="18887" xr:uid="{00000000-0005-0000-0000-000014050000}"/>
    <cellStyle name="Normal 4 3 2 2 2 2 2 2 6 2 2" xfId="43463" xr:uid="{00000000-0005-0000-0000-000015050000}"/>
    <cellStyle name="Normal 4 3 2 2 2 2 2 2 6 3" xfId="31175" xr:uid="{00000000-0005-0000-0000-000016050000}"/>
    <cellStyle name="Normal 4 3 2 2 2 2 2 2 7" xfId="12743" xr:uid="{00000000-0005-0000-0000-000017050000}"/>
    <cellStyle name="Normal 4 3 2 2 2 2 2 2 7 2" xfId="37319" xr:uid="{00000000-0005-0000-0000-000018050000}"/>
    <cellStyle name="Normal 4 3 2 2 2 2 2 2 8" xfId="25031" xr:uid="{00000000-0005-0000-0000-000019050000}"/>
    <cellStyle name="Normal 4 3 2 2 2 2 2 3" xfId="643" xr:uid="{00000000-0005-0000-0000-00001A050000}"/>
    <cellStyle name="Normal 4 3 2 2 2 2 2 3 2" xfId="1411" xr:uid="{00000000-0005-0000-0000-00001B050000}"/>
    <cellStyle name="Normal 4 3 2 2 2 2 2 3 2 2" xfId="2947" xr:uid="{00000000-0005-0000-0000-00001C050000}"/>
    <cellStyle name="Normal 4 3 2 2 2 2 2 3 2 2 2" xfId="6023" xr:uid="{00000000-0005-0000-0000-00001D050000}"/>
    <cellStyle name="Normal 4 3 2 2 2 2 2 3 2 2 2 2" xfId="12167" xr:uid="{00000000-0005-0000-0000-00001E050000}"/>
    <cellStyle name="Normal 4 3 2 2 2 2 2 3 2 2 2 2 2" xfId="24455" xr:uid="{00000000-0005-0000-0000-00001F050000}"/>
    <cellStyle name="Normal 4 3 2 2 2 2 2 3 2 2 2 2 2 2" xfId="49031" xr:uid="{00000000-0005-0000-0000-000020050000}"/>
    <cellStyle name="Normal 4 3 2 2 2 2 2 3 2 2 2 2 3" xfId="36743" xr:uid="{00000000-0005-0000-0000-000021050000}"/>
    <cellStyle name="Normal 4 3 2 2 2 2 2 3 2 2 2 3" xfId="18311" xr:uid="{00000000-0005-0000-0000-000022050000}"/>
    <cellStyle name="Normal 4 3 2 2 2 2 2 3 2 2 2 3 2" xfId="42887" xr:uid="{00000000-0005-0000-0000-000023050000}"/>
    <cellStyle name="Normal 4 3 2 2 2 2 2 3 2 2 2 4" xfId="30599" xr:uid="{00000000-0005-0000-0000-000024050000}"/>
    <cellStyle name="Normal 4 3 2 2 2 2 2 3 2 2 3" xfId="9095" xr:uid="{00000000-0005-0000-0000-000025050000}"/>
    <cellStyle name="Normal 4 3 2 2 2 2 2 3 2 2 3 2" xfId="21383" xr:uid="{00000000-0005-0000-0000-000026050000}"/>
    <cellStyle name="Normal 4 3 2 2 2 2 2 3 2 2 3 2 2" xfId="45959" xr:uid="{00000000-0005-0000-0000-000027050000}"/>
    <cellStyle name="Normal 4 3 2 2 2 2 2 3 2 2 3 3" xfId="33671" xr:uid="{00000000-0005-0000-0000-000028050000}"/>
    <cellStyle name="Normal 4 3 2 2 2 2 2 3 2 2 4" xfId="15239" xr:uid="{00000000-0005-0000-0000-000029050000}"/>
    <cellStyle name="Normal 4 3 2 2 2 2 2 3 2 2 4 2" xfId="39815" xr:uid="{00000000-0005-0000-0000-00002A050000}"/>
    <cellStyle name="Normal 4 3 2 2 2 2 2 3 2 2 5" xfId="27527" xr:uid="{00000000-0005-0000-0000-00002B050000}"/>
    <cellStyle name="Normal 4 3 2 2 2 2 2 3 2 3" xfId="4487" xr:uid="{00000000-0005-0000-0000-00002C050000}"/>
    <cellStyle name="Normal 4 3 2 2 2 2 2 3 2 3 2" xfId="10631" xr:uid="{00000000-0005-0000-0000-00002D050000}"/>
    <cellStyle name="Normal 4 3 2 2 2 2 2 3 2 3 2 2" xfId="22919" xr:uid="{00000000-0005-0000-0000-00002E050000}"/>
    <cellStyle name="Normal 4 3 2 2 2 2 2 3 2 3 2 2 2" xfId="47495" xr:uid="{00000000-0005-0000-0000-00002F050000}"/>
    <cellStyle name="Normal 4 3 2 2 2 2 2 3 2 3 2 3" xfId="35207" xr:uid="{00000000-0005-0000-0000-000030050000}"/>
    <cellStyle name="Normal 4 3 2 2 2 2 2 3 2 3 3" xfId="16775" xr:uid="{00000000-0005-0000-0000-000031050000}"/>
    <cellStyle name="Normal 4 3 2 2 2 2 2 3 2 3 3 2" xfId="41351" xr:uid="{00000000-0005-0000-0000-000032050000}"/>
    <cellStyle name="Normal 4 3 2 2 2 2 2 3 2 3 4" xfId="29063" xr:uid="{00000000-0005-0000-0000-000033050000}"/>
    <cellStyle name="Normal 4 3 2 2 2 2 2 3 2 4" xfId="7559" xr:uid="{00000000-0005-0000-0000-000034050000}"/>
    <cellStyle name="Normal 4 3 2 2 2 2 2 3 2 4 2" xfId="19847" xr:uid="{00000000-0005-0000-0000-000035050000}"/>
    <cellStyle name="Normal 4 3 2 2 2 2 2 3 2 4 2 2" xfId="44423" xr:uid="{00000000-0005-0000-0000-000036050000}"/>
    <cellStyle name="Normal 4 3 2 2 2 2 2 3 2 4 3" xfId="32135" xr:uid="{00000000-0005-0000-0000-000037050000}"/>
    <cellStyle name="Normal 4 3 2 2 2 2 2 3 2 5" xfId="13703" xr:uid="{00000000-0005-0000-0000-000038050000}"/>
    <cellStyle name="Normal 4 3 2 2 2 2 2 3 2 5 2" xfId="38279" xr:uid="{00000000-0005-0000-0000-000039050000}"/>
    <cellStyle name="Normal 4 3 2 2 2 2 2 3 2 6" xfId="25991" xr:uid="{00000000-0005-0000-0000-00003A050000}"/>
    <cellStyle name="Normal 4 3 2 2 2 2 2 3 3" xfId="2179" xr:uid="{00000000-0005-0000-0000-00003B050000}"/>
    <cellStyle name="Normal 4 3 2 2 2 2 2 3 3 2" xfId="5255" xr:uid="{00000000-0005-0000-0000-00003C050000}"/>
    <cellStyle name="Normal 4 3 2 2 2 2 2 3 3 2 2" xfId="11399" xr:uid="{00000000-0005-0000-0000-00003D050000}"/>
    <cellStyle name="Normal 4 3 2 2 2 2 2 3 3 2 2 2" xfId="23687" xr:uid="{00000000-0005-0000-0000-00003E050000}"/>
    <cellStyle name="Normal 4 3 2 2 2 2 2 3 3 2 2 2 2" xfId="48263" xr:uid="{00000000-0005-0000-0000-00003F050000}"/>
    <cellStyle name="Normal 4 3 2 2 2 2 2 3 3 2 2 3" xfId="35975" xr:uid="{00000000-0005-0000-0000-000040050000}"/>
    <cellStyle name="Normal 4 3 2 2 2 2 2 3 3 2 3" xfId="17543" xr:uid="{00000000-0005-0000-0000-000041050000}"/>
    <cellStyle name="Normal 4 3 2 2 2 2 2 3 3 2 3 2" xfId="42119" xr:uid="{00000000-0005-0000-0000-000042050000}"/>
    <cellStyle name="Normal 4 3 2 2 2 2 2 3 3 2 4" xfId="29831" xr:uid="{00000000-0005-0000-0000-000043050000}"/>
    <cellStyle name="Normal 4 3 2 2 2 2 2 3 3 3" xfId="8327" xr:uid="{00000000-0005-0000-0000-000044050000}"/>
    <cellStyle name="Normal 4 3 2 2 2 2 2 3 3 3 2" xfId="20615" xr:uid="{00000000-0005-0000-0000-000045050000}"/>
    <cellStyle name="Normal 4 3 2 2 2 2 2 3 3 3 2 2" xfId="45191" xr:uid="{00000000-0005-0000-0000-000046050000}"/>
    <cellStyle name="Normal 4 3 2 2 2 2 2 3 3 3 3" xfId="32903" xr:uid="{00000000-0005-0000-0000-000047050000}"/>
    <cellStyle name="Normal 4 3 2 2 2 2 2 3 3 4" xfId="14471" xr:uid="{00000000-0005-0000-0000-000048050000}"/>
    <cellStyle name="Normal 4 3 2 2 2 2 2 3 3 4 2" xfId="39047" xr:uid="{00000000-0005-0000-0000-000049050000}"/>
    <cellStyle name="Normal 4 3 2 2 2 2 2 3 3 5" xfId="26759" xr:uid="{00000000-0005-0000-0000-00004A050000}"/>
    <cellStyle name="Normal 4 3 2 2 2 2 2 3 4" xfId="3719" xr:uid="{00000000-0005-0000-0000-00004B050000}"/>
    <cellStyle name="Normal 4 3 2 2 2 2 2 3 4 2" xfId="9863" xr:uid="{00000000-0005-0000-0000-00004C050000}"/>
    <cellStyle name="Normal 4 3 2 2 2 2 2 3 4 2 2" xfId="22151" xr:uid="{00000000-0005-0000-0000-00004D050000}"/>
    <cellStyle name="Normal 4 3 2 2 2 2 2 3 4 2 2 2" xfId="46727" xr:uid="{00000000-0005-0000-0000-00004E050000}"/>
    <cellStyle name="Normal 4 3 2 2 2 2 2 3 4 2 3" xfId="34439" xr:uid="{00000000-0005-0000-0000-00004F050000}"/>
    <cellStyle name="Normal 4 3 2 2 2 2 2 3 4 3" xfId="16007" xr:uid="{00000000-0005-0000-0000-000050050000}"/>
    <cellStyle name="Normal 4 3 2 2 2 2 2 3 4 3 2" xfId="40583" xr:uid="{00000000-0005-0000-0000-000051050000}"/>
    <cellStyle name="Normal 4 3 2 2 2 2 2 3 4 4" xfId="28295" xr:uid="{00000000-0005-0000-0000-000052050000}"/>
    <cellStyle name="Normal 4 3 2 2 2 2 2 3 5" xfId="6791" xr:uid="{00000000-0005-0000-0000-000053050000}"/>
    <cellStyle name="Normal 4 3 2 2 2 2 2 3 5 2" xfId="19079" xr:uid="{00000000-0005-0000-0000-000054050000}"/>
    <cellStyle name="Normal 4 3 2 2 2 2 2 3 5 2 2" xfId="43655" xr:uid="{00000000-0005-0000-0000-000055050000}"/>
    <cellStyle name="Normal 4 3 2 2 2 2 2 3 5 3" xfId="31367" xr:uid="{00000000-0005-0000-0000-000056050000}"/>
    <cellStyle name="Normal 4 3 2 2 2 2 2 3 6" xfId="12935" xr:uid="{00000000-0005-0000-0000-000057050000}"/>
    <cellStyle name="Normal 4 3 2 2 2 2 2 3 6 2" xfId="37511" xr:uid="{00000000-0005-0000-0000-000058050000}"/>
    <cellStyle name="Normal 4 3 2 2 2 2 2 3 7" xfId="25223" xr:uid="{00000000-0005-0000-0000-000059050000}"/>
    <cellStyle name="Normal 4 3 2 2 2 2 2 4" xfId="1027" xr:uid="{00000000-0005-0000-0000-00005A050000}"/>
    <cellStyle name="Normal 4 3 2 2 2 2 2 4 2" xfId="2563" xr:uid="{00000000-0005-0000-0000-00005B050000}"/>
    <cellStyle name="Normal 4 3 2 2 2 2 2 4 2 2" xfId="5639" xr:uid="{00000000-0005-0000-0000-00005C050000}"/>
    <cellStyle name="Normal 4 3 2 2 2 2 2 4 2 2 2" xfId="11783" xr:uid="{00000000-0005-0000-0000-00005D050000}"/>
    <cellStyle name="Normal 4 3 2 2 2 2 2 4 2 2 2 2" xfId="24071" xr:uid="{00000000-0005-0000-0000-00005E050000}"/>
    <cellStyle name="Normal 4 3 2 2 2 2 2 4 2 2 2 2 2" xfId="48647" xr:uid="{00000000-0005-0000-0000-00005F050000}"/>
    <cellStyle name="Normal 4 3 2 2 2 2 2 4 2 2 2 3" xfId="36359" xr:uid="{00000000-0005-0000-0000-000060050000}"/>
    <cellStyle name="Normal 4 3 2 2 2 2 2 4 2 2 3" xfId="17927" xr:uid="{00000000-0005-0000-0000-000061050000}"/>
    <cellStyle name="Normal 4 3 2 2 2 2 2 4 2 2 3 2" xfId="42503" xr:uid="{00000000-0005-0000-0000-000062050000}"/>
    <cellStyle name="Normal 4 3 2 2 2 2 2 4 2 2 4" xfId="30215" xr:uid="{00000000-0005-0000-0000-000063050000}"/>
    <cellStyle name="Normal 4 3 2 2 2 2 2 4 2 3" xfId="8711" xr:uid="{00000000-0005-0000-0000-000064050000}"/>
    <cellStyle name="Normal 4 3 2 2 2 2 2 4 2 3 2" xfId="20999" xr:uid="{00000000-0005-0000-0000-000065050000}"/>
    <cellStyle name="Normal 4 3 2 2 2 2 2 4 2 3 2 2" xfId="45575" xr:uid="{00000000-0005-0000-0000-000066050000}"/>
    <cellStyle name="Normal 4 3 2 2 2 2 2 4 2 3 3" xfId="33287" xr:uid="{00000000-0005-0000-0000-000067050000}"/>
    <cellStyle name="Normal 4 3 2 2 2 2 2 4 2 4" xfId="14855" xr:uid="{00000000-0005-0000-0000-000068050000}"/>
    <cellStyle name="Normal 4 3 2 2 2 2 2 4 2 4 2" xfId="39431" xr:uid="{00000000-0005-0000-0000-000069050000}"/>
    <cellStyle name="Normal 4 3 2 2 2 2 2 4 2 5" xfId="27143" xr:uid="{00000000-0005-0000-0000-00006A050000}"/>
    <cellStyle name="Normal 4 3 2 2 2 2 2 4 3" xfId="4103" xr:uid="{00000000-0005-0000-0000-00006B050000}"/>
    <cellStyle name="Normal 4 3 2 2 2 2 2 4 3 2" xfId="10247" xr:uid="{00000000-0005-0000-0000-00006C050000}"/>
    <cellStyle name="Normal 4 3 2 2 2 2 2 4 3 2 2" xfId="22535" xr:uid="{00000000-0005-0000-0000-00006D050000}"/>
    <cellStyle name="Normal 4 3 2 2 2 2 2 4 3 2 2 2" xfId="47111" xr:uid="{00000000-0005-0000-0000-00006E050000}"/>
    <cellStyle name="Normal 4 3 2 2 2 2 2 4 3 2 3" xfId="34823" xr:uid="{00000000-0005-0000-0000-00006F050000}"/>
    <cellStyle name="Normal 4 3 2 2 2 2 2 4 3 3" xfId="16391" xr:uid="{00000000-0005-0000-0000-000070050000}"/>
    <cellStyle name="Normal 4 3 2 2 2 2 2 4 3 3 2" xfId="40967" xr:uid="{00000000-0005-0000-0000-000071050000}"/>
    <cellStyle name="Normal 4 3 2 2 2 2 2 4 3 4" xfId="28679" xr:uid="{00000000-0005-0000-0000-000072050000}"/>
    <cellStyle name="Normal 4 3 2 2 2 2 2 4 4" xfId="7175" xr:uid="{00000000-0005-0000-0000-000073050000}"/>
    <cellStyle name="Normal 4 3 2 2 2 2 2 4 4 2" xfId="19463" xr:uid="{00000000-0005-0000-0000-000074050000}"/>
    <cellStyle name="Normal 4 3 2 2 2 2 2 4 4 2 2" xfId="44039" xr:uid="{00000000-0005-0000-0000-000075050000}"/>
    <cellStyle name="Normal 4 3 2 2 2 2 2 4 4 3" xfId="31751" xr:uid="{00000000-0005-0000-0000-000076050000}"/>
    <cellStyle name="Normal 4 3 2 2 2 2 2 4 5" xfId="13319" xr:uid="{00000000-0005-0000-0000-000077050000}"/>
    <cellStyle name="Normal 4 3 2 2 2 2 2 4 5 2" xfId="37895" xr:uid="{00000000-0005-0000-0000-000078050000}"/>
    <cellStyle name="Normal 4 3 2 2 2 2 2 4 6" xfId="25607" xr:uid="{00000000-0005-0000-0000-000079050000}"/>
    <cellStyle name="Normal 4 3 2 2 2 2 2 5" xfId="1795" xr:uid="{00000000-0005-0000-0000-00007A050000}"/>
    <cellStyle name="Normal 4 3 2 2 2 2 2 5 2" xfId="4871" xr:uid="{00000000-0005-0000-0000-00007B050000}"/>
    <cellStyle name="Normal 4 3 2 2 2 2 2 5 2 2" xfId="11015" xr:uid="{00000000-0005-0000-0000-00007C050000}"/>
    <cellStyle name="Normal 4 3 2 2 2 2 2 5 2 2 2" xfId="23303" xr:uid="{00000000-0005-0000-0000-00007D050000}"/>
    <cellStyle name="Normal 4 3 2 2 2 2 2 5 2 2 2 2" xfId="47879" xr:uid="{00000000-0005-0000-0000-00007E050000}"/>
    <cellStyle name="Normal 4 3 2 2 2 2 2 5 2 2 3" xfId="35591" xr:uid="{00000000-0005-0000-0000-00007F050000}"/>
    <cellStyle name="Normal 4 3 2 2 2 2 2 5 2 3" xfId="17159" xr:uid="{00000000-0005-0000-0000-000080050000}"/>
    <cellStyle name="Normal 4 3 2 2 2 2 2 5 2 3 2" xfId="41735" xr:uid="{00000000-0005-0000-0000-000081050000}"/>
    <cellStyle name="Normal 4 3 2 2 2 2 2 5 2 4" xfId="29447" xr:uid="{00000000-0005-0000-0000-000082050000}"/>
    <cellStyle name="Normal 4 3 2 2 2 2 2 5 3" xfId="7943" xr:uid="{00000000-0005-0000-0000-000083050000}"/>
    <cellStyle name="Normal 4 3 2 2 2 2 2 5 3 2" xfId="20231" xr:uid="{00000000-0005-0000-0000-000084050000}"/>
    <cellStyle name="Normal 4 3 2 2 2 2 2 5 3 2 2" xfId="44807" xr:uid="{00000000-0005-0000-0000-000085050000}"/>
    <cellStyle name="Normal 4 3 2 2 2 2 2 5 3 3" xfId="32519" xr:uid="{00000000-0005-0000-0000-000086050000}"/>
    <cellStyle name="Normal 4 3 2 2 2 2 2 5 4" xfId="14087" xr:uid="{00000000-0005-0000-0000-000087050000}"/>
    <cellStyle name="Normal 4 3 2 2 2 2 2 5 4 2" xfId="38663" xr:uid="{00000000-0005-0000-0000-000088050000}"/>
    <cellStyle name="Normal 4 3 2 2 2 2 2 5 5" xfId="26375" xr:uid="{00000000-0005-0000-0000-000089050000}"/>
    <cellStyle name="Normal 4 3 2 2 2 2 2 6" xfId="3335" xr:uid="{00000000-0005-0000-0000-00008A050000}"/>
    <cellStyle name="Normal 4 3 2 2 2 2 2 6 2" xfId="9479" xr:uid="{00000000-0005-0000-0000-00008B050000}"/>
    <cellStyle name="Normal 4 3 2 2 2 2 2 6 2 2" xfId="21767" xr:uid="{00000000-0005-0000-0000-00008C050000}"/>
    <cellStyle name="Normal 4 3 2 2 2 2 2 6 2 2 2" xfId="46343" xr:uid="{00000000-0005-0000-0000-00008D050000}"/>
    <cellStyle name="Normal 4 3 2 2 2 2 2 6 2 3" xfId="34055" xr:uid="{00000000-0005-0000-0000-00008E050000}"/>
    <cellStyle name="Normal 4 3 2 2 2 2 2 6 3" xfId="15623" xr:uid="{00000000-0005-0000-0000-00008F050000}"/>
    <cellStyle name="Normal 4 3 2 2 2 2 2 6 3 2" xfId="40199" xr:uid="{00000000-0005-0000-0000-000090050000}"/>
    <cellStyle name="Normal 4 3 2 2 2 2 2 6 4" xfId="27911" xr:uid="{00000000-0005-0000-0000-000091050000}"/>
    <cellStyle name="Normal 4 3 2 2 2 2 2 7" xfId="6407" xr:uid="{00000000-0005-0000-0000-000092050000}"/>
    <cellStyle name="Normal 4 3 2 2 2 2 2 7 2" xfId="18695" xr:uid="{00000000-0005-0000-0000-000093050000}"/>
    <cellStyle name="Normal 4 3 2 2 2 2 2 7 2 2" xfId="43271" xr:uid="{00000000-0005-0000-0000-000094050000}"/>
    <cellStyle name="Normal 4 3 2 2 2 2 2 7 3" xfId="30983" xr:uid="{00000000-0005-0000-0000-000095050000}"/>
    <cellStyle name="Normal 4 3 2 2 2 2 2 8" xfId="12551" xr:uid="{00000000-0005-0000-0000-000096050000}"/>
    <cellStyle name="Normal 4 3 2 2 2 2 2 8 2" xfId="37127" xr:uid="{00000000-0005-0000-0000-000097050000}"/>
    <cellStyle name="Normal 4 3 2 2 2 2 2 9" xfId="24839" xr:uid="{00000000-0005-0000-0000-000098050000}"/>
    <cellStyle name="Normal 4 3 2 2 2 2 3" xfId="323" xr:uid="{00000000-0005-0000-0000-000099050000}"/>
    <cellStyle name="Normal 4 3 2 2 2 2 3 2" xfId="515" xr:uid="{00000000-0005-0000-0000-00009A050000}"/>
    <cellStyle name="Normal 4 3 2 2 2 2 3 2 2" xfId="899" xr:uid="{00000000-0005-0000-0000-00009B050000}"/>
    <cellStyle name="Normal 4 3 2 2 2 2 3 2 2 2" xfId="1667" xr:uid="{00000000-0005-0000-0000-00009C050000}"/>
    <cellStyle name="Normal 4 3 2 2 2 2 3 2 2 2 2" xfId="3203" xr:uid="{00000000-0005-0000-0000-00009D050000}"/>
    <cellStyle name="Normal 4 3 2 2 2 2 3 2 2 2 2 2" xfId="6279" xr:uid="{00000000-0005-0000-0000-00009E050000}"/>
    <cellStyle name="Normal 4 3 2 2 2 2 3 2 2 2 2 2 2" xfId="12423" xr:uid="{00000000-0005-0000-0000-00009F050000}"/>
    <cellStyle name="Normal 4 3 2 2 2 2 3 2 2 2 2 2 2 2" xfId="24711" xr:uid="{00000000-0005-0000-0000-0000A0050000}"/>
    <cellStyle name="Normal 4 3 2 2 2 2 3 2 2 2 2 2 2 2 2" xfId="49287" xr:uid="{00000000-0005-0000-0000-0000A1050000}"/>
    <cellStyle name="Normal 4 3 2 2 2 2 3 2 2 2 2 2 2 3" xfId="36999" xr:uid="{00000000-0005-0000-0000-0000A2050000}"/>
    <cellStyle name="Normal 4 3 2 2 2 2 3 2 2 2 2 2 3" xfId="18567" xr:uid="{00000000-0005-0000-0000-0000A3050000}"/>
    <cellStyle name="Normal 4 3 2 2 2 2 3 2 2 2 2 2 3 2" xfId="43143" xr:uid="{00000000-0005-0000-0000-0000A4050000}"/>
    <cellStyle name="Normal 4 3 2 2 2 2 3 2 2 2 2 2 4" xfId="30855" xr:uid="{00000000-0005-0000-0000-0000A5050000}"/>
    <cellStyle name="Normal 4 3 2 2 2 2 3 2 2 2 2 3" xfId="9351" xr:uid="{00000000-0005-0000-0000-0000A6050000}"/>
    <cellStyle name="Normal 4 3 2 2 2 2 3 2 2 2 2 3 2" xfId="21639" xr:uid="{00000000-0005-0000-0000-0000A7050000}"/>
    <cellStyle name="Normal 4 3 2 2 2 2 3 2 2 2 2 3 2 2" xfId="46215" xr:uid="{00000000-0005-0000-0000-0000A8050000}"/>
    <cellStyle name="Normal 4 3 2 2 2 2 3 2 2 2 2 3 3" xfId="33927" xr:uid="{00000000-0005-0000-0000-0000A9050000}"/>
    <cellStyle name="Normal 4 3 2 2 2 2 3 2 2 2 2 4" xfId="15495" xr:uid="{00000000-0005-0000-0000-0000AA050000}"/>
    <cellStyle name="Normal 4 3 2 2 2 2 3 2 2 2 2 4 2" xfId="40071" xr:uid="{00000000-0005-0000-0000-0000AB050000}"/>
    <cellStyle name="Normal 4 3 2 2 2 2 3 2 2 2 2 5" xfId="27783" xr:uid="{00000000-0005-0000-0000-0000AC050000}"/>
    <cellStyle name="Normal 4 3 2 2 2 2 3 2 2 2 3" xfId="4743" xr:uid="{00000000-0005-0000-0000-0000AD050000}"/>
    <cellStyle name="Normal 4 3 2 2 2 2 3 2 2 2 3 2" xfId="10887" xr:uid="{00000000-0005-0000-0000-0000AE050000}"/>
    <cellStyle name="Normal 4 3 2 2 2 2 3 2 2 2 3 2 2" xfId="23175" xr:uid="{00000000-0005-0000-0000-0000AF050000}"/>
    <cellStyle name="Normal 4 3 2 2 2 2 3 2 2 2 3 2 2 2" xfId="47751" xr:uid="{00000000-0005-0000-0000-0000B0050000}"/>
    <cellStyle name="Normal 4 3 2 2 2 2 3 2 2 2 3 2 3" xfId="35463" xr:uid="{00000000-0005-0000-0000-0000B1050000}"/>
    <cellStyle name="Normal 4 3 2 2 2 2 3 2 2 2 3 3" xfId="17031" xr:uid="{00000000-0005-0000-0000-0000B2050000}"/>
    <cellStyle name="Normal 4 3 2 2 2 2 3 2 2 2 3 3 2" xfId="41607" xr:uid="{00000000-0005-0000-0000-0000B3050000}"/>
    <cellStyle name="Normal 4 3 2 2 2 2 3 2 2 2 3 4" xfId="29319" xr:uid="{00000000-0005-0000-0000-0000B4050000}"/>
    <cellStyle name="Normal 4 3 2 2 2 2 3 2 2 2 4" xfId="7815" xr:uid="{00000000-0005-0000-0000-0000B5050000}"/>
    <cellStyle name="Normal 4 3 2 2 2 2 3 2 2 2 4 2" xfId="20103" xr:uid="{00000000-0005-0000-0000-0000B6050000}"/>
    <cellStyle name="Normal 4 3 2 2 2 2 3 2 2 2 4 2 2" xfId="44679" xr:uid="{00000000-0005-0000-0000-0000B7050000}"/>
    <cellStyle name="Normal 4 3 2 2 2 2 3 2 2 2 4 3" xfId="32391" xr:uid="{00000000-0005-0000-0000-0000B8050000}"/>
    <cellStyle name="Normal 4 3 2 2 2 2 3 2 2 2 5" xfId="13959" xr:uid="{00000000-0005-0000-0000-0000B9050000}"/>
    <cellStyle name="Normal 4 3 2 2 2 2 3 2 2 2 5 2" xfId="38535" xr:uid="{00000000-0005-0000-0000-0000BA050000}"/>
    <cellStyle name="Normal 4 3 2 2 2 2 3 2 2 2 6" xfId="26247" xr:uid="{00000000-0005-0000-0000-0000BB050000}"/>
    <cellStyle name="Normal 4 3 2 2 2 2 3 2 2 3" xfId="2435" xr:uid="{00000000-0005-0000-0000-0000BC050000}"/>
    <cellStyle name="Normal 4 3 2 2 2 2 3 2 2 3 2" xfId="5511" xr:uid="{00000000-0005-0000-0000-0000BD050000}"/>
    <cellStyle name="Normal 4 3 2 2 2 2 3 2 2 3 2 2" xfId="11655" xr:uid="{00000000-0005-0000-0000-0000BE050000}"/>
    <cellStyle name="Normal 4 3 2 2 2 2 3 2 2 3 2 2 2" xfId="23943" xr:uid="{00000000-0005-0000-0000-0000BF050000}"/>
    <cellStyle name="Normal 4 3 2 2 2 2 3 2 2 3 2 2 2 2" xfId="48519" xr:uid="{00000000-0005-0000-0000-0000C0050000}"/>
    <cellStyle name="Normal 4 3 2 2 2 2 3 2 2 3 2 2 3" xfId="36231" xr:uid="{00000000-0005-0000-0000-0000C1050000}"/>
    <cellStyle name="Normal 4 3 2 2 2 2 3 2 2 3 2 3" xfId="17799" xr:uid="{00000000-0005-0000-0000-0000C2050000}"/>
    <cellStyle name="Normal 4 3 2 2 2 2 3 2 2 3 2 3 2" xfId="42375" xr:uid="{00000000-0005-0000-0000-0000C3050000}"/>
    <cellStyle name="Normal 4 3 2 2 2 2 3 2 2 3 2 4" xfId="30087" xr:uid="{00000000-0005-0000-0000-0000C4050000}"/>
    <cellStyle name="Normal 4 3 2 2 2 2 3 2 2 3 3" xfId="8583" xr:uid="{00000000-0005-0000-0000-0000C5050000}"/>
    <cellStyle name="Normal 4 3 2 2 2 2 3 2 2 3 3 2" xfId="20871" xr:uid="{00000000-0005-0000-0000-0000C6050000}"/>
    <cellStyle name="Normal 4 3 2 2 2 2 3 2 2 3 3 2 2" xfId="45447" xr:uid="{00000000-0005-0000-0000-0000C7050000}"/>
    <cellStyle name="Normal 4 3 2 2 2 2 3 2 2 3 3 3" xfId="33159" xr:uid="{00000000-0005-0000-0000-0000C8050000}"/>
    <cellStyle name="Normal 4 3 2 2 2 2 3 2 2 3 4" xfId="14727" xr:uid="{00000000-0005-0000-0000-0000C9050000}"/>
    <cellStyle name="Normal 4 3 2 2 2 2 3 2 2 3 4 2" xfId="39303" xr:uid="{00000000-0005-0000-0000-0000CA050000}"/>
    <cellStyle name="Normal 4 3 2 2 2 2 3 2 2 3 5" xfId="27015" xr:uid="{00000000-0005-0000-0000-0000CB050000}"/>
    <cellStyle name="Normal 4 3 2 2 2 2 3 2 2 4" xfId="3975" xr:uid="{00000000-0005-0000-0000-0000CC050000}"/>
    <cellStyle name="Normal 4 3 2 2 2 2 3 2 2 4 2" xfId="10119" xr:uid="{00000000-0005-0000-0000-0000CD050000}"/>
    <cellStyle name="Normal 4 3 2 2 2 2 3 2 2 4 2 2" xfId="22407" xr:uid="{00000000-0005-0000-0000-0000CE050000}"/>
    <cellStyle name="Normal 4 3 2 2 2 2 3 2 2 4 2 2 2" xfId="46983" xr:uid="{00000000-0005-0000-0000-0000CF050000}"/>
    <cellStyle name="Normal 4 3 2 2 2 2 3 2 2 4 2 3" xfId="34695" xr:uid="{00000000-0005-0000-0000-0000D0050000}"/>
    <cellStyle name="Normal 4 3 2 2 2 2 3 2 2 4 3" xfId="16263" xr:uid="{00000000-0005-0000-0000-0000D1050000}"/>
    <cellStyle name="Normal 4 3 2 2 2 2 3 2 2 4 3 2" xfId="40839" xr:uid="{00000000-0005-0000-0000-0000D2050000}"/>
    <cellStyle name="Normal 4 3 2 2 2 2 3 2 2 4 4" xfId="28551" xr:uid="{00000000-0005-0000-0000-0000D3050000}"/>
    <cellStyle name="Normal 4 3 2 2 2 2 3 2 2 5" xfId="7047" xr:uid="{00000000-0005-0000-0000-0000D4050000}"/>
    <cellStyle name="Normal 4 3 2 2 2 2 3 2 2 5 2" xfId="19335" xr:uid="{00000000-0005-0000-0000-0000D5050000}"/>
    <cellStyle name="Normal 4 3 2 2 2 2 3 2 2 5 2 2" xfId="43911" xr:uid="{00000000-0005-0000-0000-0000D6050000}"/>
    <cellStyle name="Normal 4 3 2 2 2 2 3 2 2 5 3" xfId="31623" xr:uid="{00000000-0005-0000-0000-0000D7050000}"/>
    <cellStyle name="Normal 4 3 2 2 2 2 3 2 2 6" xfId="13191" xr:uid="{00000000-0005-0000-0000-0000D8050000}"/>
    <cellStyle name="Normal 4 3 2 2 2 2 3 2 2 6 2" xfId="37767" xr:uid="{00000000-0005-0000-0000-0000D9050000}"/>
    <cellStyle name="Normal 4 3 2 2 2 2 3 2 2 7" xfId="25479" xr:uid="{00000000-0005-0000-0000-0000DA050000}"/>
    <cellStyle name="Normal 4 3 2 2 2 2 3 2 3" xfId="1283" xr:uid="{00000000-0005-0000-0000-0000DB050000}"/>
    <cellStyle name="Normal 4 3 2 2 2 2 3 2 3 2" xfId="2819" xr:uid="{00000000-0005-0000-0000-0000DC050000}"/>
    <cellStyle name="Normal 4 3 2 2 2 2 3 2 3 2 2" xfId="5895" xr:uid="{00000000-0005-0000-0000-0000DD050000}"/>
    <cellStyle name="Normal 4 3 2 2 2 2 3 2 3 2 2 2" xfId="12039" xr:uid="{00000000-0005-0000-0000-0000DE050000}"/>
    <cellStyle name="Normal 4 3 2 2 2 2 3 2 3 2 2 2 2" xfId="24327" xr:uid="{00000000-0005-0000-0000-0000DF050000}"/>
    <cellStyle name="Normal 4 3 2 2 2 2 3 2 3 2 2 2 2 2" xfId="48903" xr:uid="{00000000-0005-0000-0000-0000E0050000}"/>
    <cellStyle name="Normal 4 3 2 2 2 2 3 2 3 2 2 2 3" xfId="36615" xr:uid="{00000000-0005-0000-0000-0000E1050000}"/>
    <cellStyle name="Normal 4 3 2 2 2 2 3 2 3 2 2 3" xfId="18183" xr:uid="{00000000-0005-0000-0000-0000E2050000}"/>
    <cellStyle name="Normal 4 3 2 2 2 2 3 2 3 2 2 3 2" xfId="42759" xr:uid="{00000000-0005-0000-0000-0000E3050000}"/>
    <cellStyle name="Normal 4 3 2 2 2 2 3 2 3 2 2 4" xfId="30471" xr:uid="{00000000-0005-0000-0000-0000E4050000}"/>
    <cellStyle name="Normal 4 3 2 2 2 2 3 2 3 2 3" xfId="8967" xr:uid="{00000000-0005-0000-0000-0000E5050000}"/>
    <cellStyle name="Normal 4 3 2 2 2 2 3 2 3 2 3 2" xfId="21255" xr:uid="{00000000-0005-0000-0000-0000E6050000}"/>
    <cellStyle name="Normal 4 3 2 2 2 2 3 2 3 2 3 2 2" xfId="45831" xr:uid="{00000000-0005-0000-0000-0000E7050000}"/>
    <cellStyle name="Normal 4 3 2 2 2 2 3 2 3 2 3 3" xfId="33543" xr:uid="{00000000-0005-0000-0000-0000E8050000}"/>
    <cellStyle name="Normal 4 3 2 2 2 2 3 2 3 2 4" xfId="15111" xr:uid="{00000000-0005-0000-0000-0000E9050000}"/>
    <cellStyle name="Normal 4 3 2 2 2 2 3 2 3 2 4 2" xfId="39687" xr:uid="{00000000-0005-0000-0000-0000EA050000}"/>
    <cellStyle name="Normal 4 3 2 2 2 2 3 2 3 2 5" xfId="27399" xr:uid="{00000000-0005-0000-0000-0000EB050000}"/>
    <cellStyle name="Normal 4 3 2 2 2 2 3 2 3 3" xfId="4359" xr:uid="{00000000-0005-0000-0000-0000EC050000}"/>
    <cellStyle name="Normal 4 3 2 2 2 2 3 2 3 3 2" xfId="10503" xr:uid="{00000000-0005-0000-0000-0000ED050000}"/>
    <cellStyle name="Normal 4 3 2 2 2 2 3 2 3 3 2 2" xfId="22791" xr:uid="{00000000-0005-0000-0000-0000EE050000}"/>
    <cellStyle name="Normal 4 3 2 2 2 2 3 2 3 3 2 2 2" xfId="47367" xr:uid="{00000000-0005-0000-0000-0000EF050000}"/>
    <cellStyle name="Normal 4 3 2 2 2 2 3 2 3 3 2 3" xfId="35079" xr:uid="{00000000-0005-0000-0000-0000F0050000}"/>
    <cellStyle name="Normal 4 3 2 2 2 2 3 2 3 3 3" xfId="16647" xr:uid="{00000000-0005-0000-0000-0000F1050000}"/>
    <cellStyle name="Normal 4 3 2 2 2 2 3 2 3 3 3 2" xfId="41223" xr:uid="{00000000-0005-0000-0000-0000F2050000}"/>
    <cellStyle name="Normal 4 3 2 2 2 2 3 2 3 3 4" xfId="28935" xr:uid="{00000000-0005-0000-0000-0000F3050000}"/>
    <cellStyle name="Normal 4 3 2 2 2 2 3 2 3 4" xfId="7431" xr:uid="{00000000-0005-0000-0000-0000F4050000}"/>
    <cellStyle name="Normal 4 3 2 2 2 2 3 2 3 4 2" xfId="19719" xr:uid="{00000000-0005-0000-0000-0000F5050000}"/>
    <cellStyle name="Normal 4 3 2 2 2 2 3 2 3 4 2 2" xfId="44295" xr:uid="{00000000-0005-0000-0000-0000F6050000}"/>
    <cellStyle name="Normal 4 3 2 2 2 2 3 2 3 4 3" xfId="32007" xr:uid="{00000000-0005-0000-0000-0000F7050000}"/>
    <cellStyle name="Normal 4 3 2 2 2 2 3 2 3 5" xfId="13575" xr:uid="{00000000-0005-0000-0000-0000F8050000}"/>
    <cellStyle name="Normal 4 3 2 2 2 2 3 2 3 5 2" xfId="38151" xr:uid="{00000000-0005-0000-0000-0000F9050000}"/>
    <cellStyle name="Normal 4 3 2 2 2 2 3 2 3 6" xfId="25863" xr:uid="{00000000-0005-0000-0000-0000FA050000}"/>
    <cellStyle name="Normal 4 3 2 2 2 2 3 2 4" xfId="2051" xr:uid="{00000000-0005-0000-0000-0000FB050000}"/>
    <cellStyle name="Normal 4 3 2 2 2 2 3 2 4 2" xfId="5127" xr:uid="{00000000-0005-0000-0000-0000FC050000}"/>
    <cellStyle name="Normal 4 3 2 2 2 2 3 2 4 2 2" xfId="11271" xr:uid="{00000000-0005-0000-0000-0000FD050000}"/>
    <cellStyle name="Normal 4 3 2 2 2 2 3 2 4 2 2 2" xfId="23559" xr:uid="{00000000-0005-0000-0000-0000FE050000}"/>
    <cellStyle name="Normal 4 3 2 2 2 2 3 2 4 2 2 2 2" xfId="48135" xr:uid="{00000000-0005-0000-0000-0000FF050000}"/>
    <cellStyle name="Normal 4 3 2 2 2 2 3 2 4 2 2 3" xfId="35847" xr:uid="{00000000-0005-0000-0000-000000060000}"/>
    <cellStyle name="Normal 4 3 2 2 2 2 3 2 4 2 3" xfId="17415" xr:uid="{00000000-0005-0000-0000-000001060000}"/>
    <cellStyle name="Normal 4 3 2 2 2 2 3 2 4 2 3 2" xfId="41991" xr:uid="{00000000-0005-0000-0000-000002060000}"/>
    <cellStyle name="Normal 4 3 2 2 2 2 3 2 4 2 4" xfId="29703" xr:uid="{00000000-0005-0000-0000-000003060000}"/>
    <cellStyle name="Normal 4 3 2 2 2 2 3 2 4 3" xfId="8199" xr:uid="{00000000-0005-0000-0000-000004060000}"/>
    <cellStyle name="Normal 4 3 2 2 2 2 3 2 4 3 2" xfId="20487" xr:uid="{00000000-0005-0000-0000-000005060000}"/>
    <cellStyle name="Normal 4 3 2 2 2 2 3 2 4 3 2 2" xfId="45063" xr:uid="{00000000-0005-0000-0000-000006060000}"/>
    <cellStyle name="Normal 4 3 2 2 2 2 3 2 4 3 3" xfId="32775" xr:uid="{00000000-0005-0000-0000-000007060000}"/>
    <cellStyle name="Normal 4 3 2 2 2 2 3 2 4 4" xfId="14343" xr:uid="{00000000-0005-0000-0000-000008060000}"/>
    <cellStyle name="Normal 4 3 2 2 2 2 3 2 4 4 2" xfId="38919" xr:uid="{00000000-0005-0000-0000-000009060000}"/>
    <cellStyle name="Normal 4 3 2 2 2 2 3 2 4 5" xfId="26631" xr:uid="{00000000-0005-0000-0000-00000A060000}"/>
    <cellStyle name="Normal 4 3 2 2 2 2 3 2 5" xfId="3591" xr:uid="{00000000-0005-0000-0000-00000B060000}"/>
    <cellStyle name="Normal 4 3 2 2 2 2 3 2 5 2" xfId="9735" xr:uid="{00000000-0005-0000-0000-00000C060000}"/>
    <cellStyle name="Normal 4 3 2 2 2 2 3 2 5 2 2" xfId="22023" xr:uid="{00000000-0005-0000-0000-00000D060000}"/>
    <cellStyle name="Normal 4 3 2 2 2 2 3 2 5 2 2 2" xfId="46599" xr:uid="{00000000-0005-0000-0000-00000E060000}"/>
    <cellStyle name="Normal 4 3 2 2 2 2 3 2 5 2 3" xfId="34311" xr:uid="{00000000-0005-0000-0000-00000F060000}"/>
    <cellStyle name="Normal 4 3 2 2 2 2 3 2 5 3" xfId="15879" xr:uid="{00000000-0005-0000-0000-000010060000}"/>
    <cellStyle name="Normal 4 3 2 2 2 2 3 2 5 3 2" xfId="40455" xr:uid="{00000000-0005-0000-0000-000011060000}"/>
    <cellStyle name="Normal 4 3 2 2 2 2 3 2 5 4" xfId="28167" xr:uid="{00000000-0005-0000-0000-000012060000}"/>
    <cellStyle name="Normal 4 3 2 2 2 2 3 2 6" xfId="6663" xr:uid="{00000000-0005-0000-0000-000013060000}"/>
    <cellStyle name="Normal 4 3 2 2 2 2 3 2 6 2" xfId="18951" xr:uid="{00000000-0005-0000-0000-000014060000}"/>
    <cellStyle name="Normal 4 3 2 2 2 2 3 2 6 2 2" xfId="43527" xr:uid="{00000000-0005-0000-0000-000015060000}"/>
    <cellStyle name="Normal 4 3 2 2 2 2 3 2 6 3" xfId="31239" xr:uid="{00000000-0005-0000-0000-000016060000}"/>
    <cellStyle name="Normal 4 3 2 2 2 2 3 2 7" xfId="12807" xr:uid="{00000000-0005-0000-0000-000017060000}"/>
    <cellStyle name="Normal 4 3 2 2 2 2 3 2 7 2" xfId="37383" xr:uid="{00000000-0005-0000-0000-000018060000}"/>
    <cellStyle name="Normal 4 3 2 2 2 2 3 2 8" xfId="25095" xr:uid="{00000000-0005-0000-0000-000019060000}"/>
    <cellStyle name="Normal 4 3 2 2 2 2 3 3" xfId="707" xr:uid="{00000000-0005-0000-0000-00001A060000}"/>
    <cellStyle name="Normal 4 3 2 2 2 2 3 3 2" xfId="1475" xr:uid="{00000000-0005-0000-0000-00001B060000}"/>
    <cellStyle name="Normal 4 3 2 2 2 2 3 3 2 2" xfId="3011" xr:uid="{00000000-0005-0000-0000-00001C060000}"/>
    <cellStyle name="Normal 4 3 2 2 2 2 3 3 2 2 2" xfId="6087" xr:uid="{00000000-0005-0000-0000-00001D060000}"/>
    <cellStyle name="Normal 4 3 2 2 2 2 3 3 2 2 2 2" xfId="12231" xr:uid="{00000000-0005-0000-0000-00001E060000}"/>
    <cellStyle name="Normal 4 3 2 2 2 2 3 3 2 2 2 2 2" xfId="24519" xr:uid="{00000000-0005-0000-0000-00001F060000}"/>
    <cellStyle name="Normal 4 3 2 2 2 2 3 3 2 2 2 2 2 2" xfId="49095" xr:uid="{00000000-0005-0000-0000-000020060000}"/>
    <cellStyle name="Normal 4 3 2 2 2 2 3 3 2 2 2 2 3" xfId="36807" xr:uid="{00000000-0005-0000-0000-000021060000}"/>
    <cellStyle name="Normal 4 3 2 2 2 2 3 3 2 2 2 3" xfId="18375" xr:uid="{00000000-0005-0000-0000-000022060000}"/>
    <cellStyle name="Normal 4 3 2 2 2 2 3 3 2 2 2 3 2" xfId="42951" xr:uid="{00000000-0005-0000-0000-000023060000}"/>
    <cellStyle name="Normal 4 3 2 2 2 2 3 3 2 2 2 4" xfId="30663" xr:uid="{00000000-0005-0000-0000-000024060000}"/>
    <cellStyle name="Normal 4 3 2 2 2 2 3 3 2 2 3" xfId="9159" xr:uid="{00000000-0005-0000-0000-000025060000}"/>
    <cellStyle name="Normal 4 3 2 2 2 2 3 3 2 2 3 2" xfId="21447" xr:uid="{00000000-0005-0000-0000-000026060000}"/>
    <cellStyle name="Normal 4 3 2 2 2 2 3 3 2 2 3 2 2" xfId="46023" xr:uid="{00000000-0005-0000-0000-000027060000}"/>
    <cellStyle name="Normal 4 3 2 2 2 2 3 3 2 2 3 3" xfId="33735" xr:uid="{00000000-0005-0000-0000-000028060000}"/>
    <cellStyle name="Normal 4 3 2 2 2 2 3 3 2 2 4" xfId="15303" xr:uid="{00000000-0005-0000-0000-000029060000}"/>
    <cellStyle name="Normal 4 3 2 2 2 2 3 3 2 2 4 2" xfId="39879" xr:uid="{00000000-0005-0000-0000-00002A060000}"/>
    <cellStyle name="Normal 4 3 2 2 2 2 3 3 2 2 5" xfId="27591" xr:uid="{00000000-0005-0000-0000-00002B060000}"/>
    <cellStyle name="Normal 4 3 2 2 2 2 3 3 2 3" xfId="4551" xr:uid="{00000000-0005-0000-0000-00002C060000}"/>
    <cellStyle name="Normal 4 3 2 2 2 2 3 3 2 3 2" xfId="10695" xr:uid="{00000000-0005-0000-0000-00002D060000}"/>
    <cellStyle name="Normal 4 3 2 2 2 2 3 3 2 3 2 2" xfId="22983" xr:uid="{00000000-0005-0000-0000-00002E060000}"/>
    <cellStyle name="Normal 4 3 2 2 2 2 3 3 2 3 2 2 2" xfId="47559" xr:uid="{00000000-0005-0000-0000-00002F060000}"/>
    <cellStyle name="Normal 4 3 2 2 2 2 3 3 2 3 2 3" xfId="35271" xr:uid="{00000000-0005-0000-0000-000030060000}"/>
    <cellStyle name="Normal 4 3 2 2 2 2 3 3 2 3 3" xfId="16839" xr:uid="{00000000-0005-0000-0000-000031060000}"/>
    <cellStyle name="Normal 4 3 2 2 2 2 3 3 2 3 3 2" xfId="41415" xr:uid="{00000000-0005-0000-0000-000032060000}"/>
    <cellStyle name="Normal 4 3 2 2 2 2 3 3 2 3 4" xfId="29127" xr:uid="{00000000-0005-0000-0000-000033060000}"/>
    <cellStyle name="Normal 4 3 2 2 2 2 3 3 2 4" xfId="7623" xr:uid="{00000000-0005-0000-0000-000034060000}"/>
    <cellStyle name="Normal 4 3 2 2 2 2 3 3 2 4 2" xfId="19911" xr:uid="{00000000-0005-0000-0000-000035060000}"/>
    <cellStyle name="Normal 4 3 2 2 2 2 3 3 2 4 2 2" xfId="44487" xr:uid="{00000000-0005-0000-0000-000036060000}"/>
    <cellStyle name="Normal 4 3 2 2 2 2 3 3 2 4 3" xfId="32199" xr:uid="{00000000-0005-0000-0000-000037060000}"/>
    <cellStyle name="Normal 4 3 2 2 2 2 3 3 2 5" xfId="13767" xr:uid="{00000000-0005-0000-0000-000038060000}"/>
    <cellStyle name="Normal 4 3 2 2 2 2 3 3 2 5 2" xfId="38343" xr:uid="{00000000-0005-0000-0000-000039060000}"/>
    <cellStyle name="Normal 4 3 2 2 2 2 3 3 2 6" xfId="26055" xr:uid="{00000000-0005-0000-0000-00003A060000}"/>
    <cellStyle name="Normal 4 3 2 2 2 2 3 3 3" xfId="2243" xr:uid="{00000000-0005-0000-0000-00003B060000}"/>
    <cellStyle name="Normal 4 3 2 2 2 2 3 3 3 2" xfId="5319" xr:uid="{00000000-0005-0000-0000-00003C060000}"/>
    <cellStyle name="Normal 4 3 2 2 2 2 3 3 3 2 2" xfId="11463" xr:uid="{00000000-0005-0000-0000-00003D060000}"/>
    <cellStyle name="Normal 4 3 2 2 2 2 3 3 3 2 2 2" xfId="23751" xr:uid="{00000000-0005-0000-0000-00003E060000}"/>
    <cellStyle name="Normal 4 3 2 2 2 2 3 3 3 2 2 2 2" xfId="48327" xr:uid="{00000000-0005-0000-0000-00003F060000}"/>
    <cellStyle name="Normal 4 3 2 2 2 2 3 3 3 2 2 3" xfId="36039" xr:uid="{00000000-0005-0000-0000-000040060000}"/>
    <cellStyle name="Normal 4 3 2 2 2 2 3 3 3 2 3" xfId="17607" xr:uid="{00000000-0005-0000-0000-000041060000}"/>
    <cellStyle name="Normal 4 3 2 2 2 2 3 3 3 2 3 2" xfId="42183" xr:uid="{00000000-0005-0000-0000-000042060000}"/>
    <cellStyle name="Normal 4 3 2 2 2 2 3 3 3 2 4" xfId="29895" xr:uid="{00000000-0005-0000-0000-000043060000}"/>
    <cellStyle name="Normal 4 3 2 2 2 2 3 3 3 3" xfId="8391" xr:uid="{00000000-0005-0000-0000-000044060000}"/>
    <cellStyle name="Normal 4 3 2 2 2 2 3 3 3 3 2" xfId="20679" xr:uid="{00000000-0005-0000-0000-000045060000}"/>
    <cellStyle name="Normal 4 3 2 2 2 2 3 3 3 3 2 2" xfId="45255" xr:uid="{00000000-0005-0000-0000-000046060000}"/>
    <cellStyle name="Normal 4 3 2 2 2 2 3 3 3 3 3" xfId="32967" xr:uid="{00000000-0005-0000-0000-000047060000}"/>
    <cellStyle name="Normal 4 3 2 2 2 2 3 3 3 4" xfId="14535" xr:uid="{00000000-0005-0000-0000-000048060000}"/>
    <cellStyle name="Normal 4 3 2 2 2 2 3 3 3 4 2" xfId="39111" xr:uid="{00000000-0005-0000-0000-000049060000}"/>
    <cellStyle name="Normal 4 3 2 2 2 2 3 3 3 5" xfId="26823" xr:uid="{00000000-0005-0000-0000-00004A060000}"/>
    <cellStyle name="Normal 4 3 2 2 2 2 3 3 4" xfId="3783" xr:uid="{00000000-0005-0000-0000-00004B060000}"/>
    <cellStyle name="Normal 4 3 2 2 2 2 3 3 4 2" xfId="9927" xr:uid="{00000000-0005-0000-0000-00004C060000}"/>
    <cellStyle name="Normal 4 3 2 2 2 2 3 3 4 2 2" xfId="22215" xr:uid="{00000000-0005-0000-0000-00004D060000}"/>
    <cellStyle name="Normal 4 3 2 2 2 2 3 3 4 2 2 2" xfId="46791" xr:uid="{00000000-0005-0000-0000-00004E060000}"/>
    <cellStyle name="Normal 4 3 2 2 2 2 3 3 4 2 3" xfId="34503" xr:uid="{00000000-0005-0000-0000-00004F060000}"/>
    <cellStyle name="Normal 4 3 2 2 2 2 3 3 4 3" xfId="16071" xr:uid="{00000000-0005-0000-0000-000050060000}"/>
    <cellStyle name="Normal 4 3 2 2 2 2 3 3 4 3 2" xfId="40647" xr:uid="{00000000-0005-0000-0000-000051060000}"/>
    <cellStyle name="Normal 4 3 2 2 2 2 3 3 4 4" xfId="28359" xr:uid="{00000000-0005-0000-0000-000052060000}"/>
    <cellStyle name="Normal 4 3 2 2 2 2 3 3 5" xfId="6855" xr:uid="{00000000-0005-0000-0000-000053060000}"/>
    <cellStyle name="Normal 4 3 2 2 2 2 3 3 5 2" xfId="19143" xr:uid="{00000000-0005-0000-0000-000054060000}"/>
    <cellStyle name="Normal 4 3 2 2 2 2 3 3 5 2 2" xfId="43719" xr:uid="{00000000-0005-0000-0000-000055060000}"/>
    <cellStyle name="Normal 4 3 2 2 2 2 3 3 5 3" xfId="31431" xr:uid="{00000000-0005-0000-0000-000056060000}"/>
    <cellStyle name="Normal 4 3 2 2 2 2 3 3 6" xfId="12999" xr:uid="{00000000-0005-0000-0000-000057060000}"/>
    <cellStyle name="Normal 4 3 2 2 2 2 3 3 6 2" xfId="37575" xr:uid="{00000000-0005-0000-0000-000058060000}"/>
    <cellStyle name="Normal 4 3 2 2 2 2 3 3 7" xfId="25287" xr:uid="{00000000-0005-0000-0000-000059060000}"/>
    <cellStyle name="Normal 4 3 2 2 2 2 3 4" xfId="1091" xr:uid="{00000000-0005-0000-0000-00005A060000}"/>
    <cellStyle name="Normal 4 3 2 2 2 2 3 4 2" xfId="2627" xr:uid="{00000000-0005-0000-0000-00005B060000}"/>
    <cellStyle name="Normal 4 3 2 2 2 2 3 4 2 2" xfId="5703" xr:uid="{00000000-0005-0000-0000-00005C060000}"/>
    <cellStyle name="Normal 4 3 2 2 2 2 3 4 2 2 2" xfId="11847" xr:uid="{00000000-0005-0000-0000-00005D060000}"/>
    <cellStyle name="Normal 4 3 2 2 2 2 3 4 2 2 2 2" xfId="24135" xr:uid="{00000000-0005-0000-0000-00005E060000}"/>
    <cellStyle name="Normal 4 3 2 2 2 2 3 4 2 2 2 2 2" xfId="48711" xr:uid="{00000000-0005-0000-0000-00005F060000}"/>
    <cellStyle name="Normal 4 3 2 2 2 2 3 4 2 2 2 3" xfId="36423" xr:uid="{00000000-0005-0000-0000-000060060000}"/>
    <cellStyle name="Normal 4 3 2 2 2 2 3 4 2 2 3" xfId="17991" xr:uid="{00000000-0005-0000-0000-000061060000}"/>
    <cellStyle name="Normal 4 3 2 2 2 2 3 4 2 2 3 2" xfId="42567" xr:uid="{00000000-0005-0000-0000-000062060000}"/>
    <cellStyle name="Normal 4 3 2 2 2 2 3 4 2 2 4" xfId="30279" xr:uid="{00000000-0005-0000-0000-000063060000}"/>
    <cellStyle name="Normal 4 3 2 2 2 2 3 4 2 3" xfId="8775" xr:uid="{00000000-0005-0000-0000-000064060000}"/>
    <cellStyle name="Normal 4 3 2 2 2 2 3 4 2 3 2" xfId="21063" xr:uid="{00000000-0005-0000-0000-000065060000}"/>
    <cellStyle name="Normal 4 3 2 2 2 2 3 4 2 3 2 2" xfId="45639" xr:uid="{00000000-0005-0000-0000-000066060000}"/>
    <cellStyle name="Normal 4 3 2 2 2 2 3 4 2 3 3" xfId="33351" xr:uid="{00000000-0005-0000-0000-000067060000}"/>
    <cellStyle name="Normal 4 3 2 2 2 2 3 4 2 4" xfId="14919" xr:uid="{00000000-0005-0000-0000-000068060000}"/>
    <cellStyle name="Normal 4 3 2 2 2 2 3 4 2 4 2" xfId="39495" xr:uid="{00000000-0005-0000-0000-000069060000}"/>
    <cellStyle name="Normal 4 3 2 2 2 2 3 4 2 5" xfId="27207" xr:uid="{00000000-0005-0000-0000-00006A060000}"/>
    <cellStyle name="Normal 4 3 2 2 2 2 3 4 3" xfId="4167" xr:uid="{00000000-0005-0000-0000-00006B060000}"/>
    <cellStyle name="Normal 4 3 2 2 2 2 3 4 3 2" xfId="10311" xr:uid="{00000000-0005-0000-0000-00006C060000}"/>
    <cellStyle name="Normal 4 3 2 2 2 2 3 4 3 2 2" xfId="22599" xr:uid="{00000000-0005-0000-0000-00006D060000}"/>
    <cellStyle name="Normal 4 3 2 2 2 2 3 4 3 2 2 2" xfId="47175" xr:uid="{00000000-0005-0000-0000-00006E060000}"/>
    <cellStyle name="Normal 4 3 2 2 2 2 3 4 3 2 3" xfId="34887" xr:uid="{00000000-0005-0000-0000-00006F060000}"/>
    <cellStyle name="Normal 4 3 2 2 2 2 3 4 3 3" xfId="16455" xr:uid="{00000000-0005-0000-0000-000070060000}"/>
    <cellStyle name="Normal 4 3 2 2 2 2 3 4 3 3 2" xfId="41031" xr:uid="{00000000-0005-0000-0000-000071060000}"/>
    <cellStyle name="Normal 4 3 2 2 2 2 3 4 3 4" xfId="28743" xr:uid="{00000000-0005-0000-0000-000072060000}"/>
    <cellStyle name="Normal 4 3 2 2 2 2 3 4 4" xfId="7239" xr:uid="{00000000-0005-0000-0000-000073060000}"/>
    <cellStyle name="Normal 4 3 2 2 2 2 3 4 4 2" xfId="19527" xr:uid="{00000000-0005-0000-0000-000074060000}"/>
    <cellStyle name="Normal 4 3 2 2 2 2 3 4 4 2 2" xfId="44103" xr:uid="{00000000-0005-0000-0000-000075060000}"/>
    <cellStyle name="Normal 4 3 2 2 2 2 3 4 4 3" xfId="31815" xr:uid="{00000000-0005-0000-0000-000076060000}"/>
    <cellStyle name="Normal 4 3 2 2 2 2 3 4 5" xfId="13383" xr:uid="{00000000-0005-0000-0000-000077060000}"/>
    <cellStyle name="Normal 4 3 2 2 2 2 3 4 5 2" xfId="37959" xr:uid="{00000000-0005-0000-0000-000078060000}"/>
    <cellStyle name="Normal 4 3 2 2 2 2 3 4 6" xfId="25671" xr:uid="{00000000-0005-0000-0000-000079060000}"/>
    <cellStyle name="Normal 4 3 2 2 2 2 3 5" xfId="1859" xr:uid="{00000000-0005-0000-0000-00007A060000}"/>
    <cellStyle name="Normal 4 3 2 2 2 2 3 5 2" xfId="4935" xr:uid="{00000000-0005-0000-0000-00007B060000}"/>
    <cellStyle name="Normal 4 3 2 2 2 2 3 5 2 2" xfId="11079" xr:uid="{00000000-0005-0000-0000-00007C060000}"/>
    <cellStyle name="Normal 4 3 2 2 2 2 3 5 2 2 2" xfId="23367" xr:uid="{00000000-0005-0000-0000-00007D060000}"/>
    <cellStyle name="Normal 4 3 2 2 2 2 3 5 2 2 2 2" xfId="47943" xr:uid="{00000000-0005-0000-0000-00007E060000}"/>
    <cellStyle name="Normal 4 3 2 2 2 2 3 5 2 2 3" xfId="35655" xr:uid="{00000000-0005-0000-0000-00007F060000}"/>
    <cellStyle name="Normal 4 3 2 2 2 2 3 5 2 3" xfId="17223" xr:uid="{00000000-0005-0000-0000-000080060000}"/>
    <cellStyle name="Normal 4 3 2 2 2 2 3 5 2 3 2" xfId="41799" xr:uid="{00000000-0005-0000-0000-000081060000}"/>
    <cellStyle name="Normal 4 3 2 2 2 2 3 5 2 4" xfId="29511" xr:uid="{00000000-0005-0000-0000-000082060000}"/>
    <cellStyle name="Normal 4 3 2 2 2 2 3 5 3" xfId="8007" xr:uid="{00000000-0005-0000-0000-000083060000}"/>
    <cellStyle name="Normal 4 3 2 2 2 2 3 5 3 2" xfId="20295" xr:uid="{00000000-0005-0000-0000-000084060000}"/>
    <cellStyle name="Normal 4 3 2 2 2 2 3 5 3 2 2" xfId="44871" xr:uid="{00000000-0005-0000-0000-000085060000}"/>
    <cellStyle name="Normal 4 3 2 2 2 2 3 5 3 3" xfId="32583" xr:uid="{00000000-0005-0000-0000-000086060000}"/>
    <cellStyle name="Normal 4 3 2 2 2 2 3 5 4" xfId="14151" xr:uid="{00000000-0005-0000-0000-000087060000}"/>
    <cellStyle name="Normal 4 3 2 2 2 2 3 5 4 2" xfId="38727" xr:uid="{00000000-0005-0000-0000-000088060000}"/>
    <cellStyle name="Normal 4 3 2 2 2 2 3 5 5" xfId="26439" xr:uid="{00000000-0005-0000-0000-000089060000}"/>
    <cellStyle name="Normal 4 3 2 2 2 2 3 6" xfId="3399" xr:uid="{00000000-0005-0000-0000-00008A060000}"/>
    <cellStyle name="Normal 4 3 2 2 2 2 3 6 2" xfId="9543" xr:uid="{00000000-0005-0000-0000-00008B060000}"/>
    <cellStyle name="Normal 4 3 2 2 2 2 3 6 2 2" xfId="21831" xr:uid="{00000000-0005-0000-0000-00008C060000}"/>
    <cellStyle name="Normal 4 3 2 2 2 2 3 6 2 2 2" xfId="46407" xr:uid="{00000000-0005-0000-0000-00008D060000}"/>
    <cellStyle name="Normal 4 3 2 2 2 2 3 6 2 3" xfId="34119" xr:uid="{00000000-0005-0000-0000-00008E060000}"/>
    <cellStyle name="Normal 4 3 2 2 2 2 3 6 3" xfId="15687" xr:uid="{00000000-0005-0000-0000-00008F060000}"/>
    <cellStyle name="Normal 4 3 2 2 2 2 3 6 3 2" xfId="40263" xr:uid="{00000000-0005-0000-0000-000090060000}"/>
    <cellStyle name="Normal 4 3 2 2 2 2 3 6 4" xfId="27975" xr:uid="{00000000-0005-0000-0000-000091060000}"/>
    <cellStyle name="Normal 4 3 2 2 2 2 3 7" xfId="6471" xr:uid="{00000000-0005-0000-0000-000092060000}"/>
    <cellStyle name="Normal 4 3 2 2 2 2 3 7 2" xfId="18759" xr:uid="{00000000-0005-0000-0000-000093060000}"/>
    <cellStyle name="Normal 4 3 2 2 2 2 3 7 2 2" xfId="43335" xr:uid="{00000000-0005-0000-0000-000094060000}"/>
    <cellStyle name="Normal 4 3 2 2 2 2 3 7 3" xfId="31047" xr:uid="{00000000-0005-0000-0000-000095060000}"/>
    <cellStyle name="Normal 4 3 2 2 2 2 3 8" xfId="12615" xr:uid="{00000000-0005-0000-0000-000096060000}"/>
    <cellStyle name="Normal 4 3 2 2 2 2 3 8 2" xfId="37191" xr:uid="{00000000-0005-0000-0000-000097060000}"/>
    <cellStyle name="Normal 4 3 2 2 2 2 3 9" xfId="24903" xr:uid="{00000000-0005-0000-0000-000098060000}"/>
    <cellStyle name="Normal 4 3 2 2 2 2 4" xfId="387" xr:uid="{00000000-0005-0000-0000-000099060000}"/>
    <cellStyle name="Normal 4 3 2 2 2 2 4 2" xfId="771" xr:uid="{00000000-0005-0000-0000-00009A060000}"/>
    <cellStyle name="Normal 4 3 2 2 2 2 4 2 2" xfId="1539" xr:uid="{00000000-0005-0000-0000-00009B060000}"/>
    <cellStyle name="Normal 4 3 2 2 2 2 4 2 2 2" xfId="3075" xr:uid="{00000000-0005-0000-0000-00009C060000}"/>
    <cellStyle name="Normal 4 3 2 2 2 2 4 2 2 2 2" xfId="6151" xr:uid="{00000000-0005-0000-0000-00009D060000}"/>
    <cellStyle name="Normal 4 3 2 2 2 2 4 2 2 2 2 2" xfId="12295" xr:uid="{00000000-0005-0000-0000-00009E060000}"/>
    <cellStyle name="Normal 4 3 2 2 2 2 4 2 2 2 2 2 2" xfId="24583" xr:uid="{00000000-0005-0000-0000-00009F060000}"/>
    <cellStyle name="Normal 4 3 2 2 2 2 4 2 2 2 2 2 2 2" xfId="49159" xr:uid="{00000000-0005-0000-0000-0000A0060000}"/>
    <cellStyle name="Normal 4 3 2 2 2 2 4 2 2 2 2 2 3" xfId="36871" xr:uid="{00000000-0005-0000-0000-0000A1060000}"/>
    <cellStyle name="Normal 4 3 2 2 2 2 4 2 2 2 2 3" xfId="18439" xr:uid="{00000000-0005-0000-0000-0000A2060000}"/>
    <cellStyle name="Normal 4 3 2 2 2 2 4 2 2 2 2 3 2" xfId="43015" xr:uid="{00000000-0005-0000-0000-0000A3060000}"/>
    <cellStyle name="Normal 4 3 2 2 2 2 4 2 2 2 2 4" xfId="30727" xr:uid="{00000000-0005-0000-0000-0000A4060000}"/>
    <cellStyle name="Normal 4 3 2 2 2 2 4 2 2 2 3" xfId="9223" xr:uid="{00000000-0005-0000-0000-0000A5060000}"/>
    <cellStyle name="Normal 4 3 2 2 2 2 4 2 2 2 3 2" xfId="21511" xr:uid="{00000000-0005-0000-0000-0000A6060000}"/>
    <cellStyle name="Normal 4 3 2 2 2 2 4 2 2 2 3 2 2" xfId="46087" xr:uid="{00000000-0005-0000-0000-0000A7060000}"/>
    <cellStyle name="Normal 4 3 2 2 2 2 4 2 2 2 3 3" xfId="33799" xr:uid="{00000000-0005-0000-0000-0000A8060000}"/>
    <cellStyle name="Normal 4 3 2 2 2 2 4 2 2 2 4" xfId="15367" xr:uid="{00000000-0005-0000-0000-0000A9060000}"/>
    <cellStyle name="Normal 4 3 2 2 2 2 4 2 2 2 4 2" xfId="39943" xr:uid="{00000000-0005-0000-0000-0000AA060000}"/>
    <cellStyle name="Normal 4 3 2 2 2 2 4 2 2 2 5" xfId="27655" xr:uid="{00000000-0005-0000-0000-0000AB060000}"/>
    <cellStyle name="Normal 4 3 2 2 2 2 4 2 2 3" xfId="4615" xr:uid="{00000000-0005-0000-0000-0000AC060000}"/>
    <cellStyle name="Normal 4 3 2 2 2 2 4 2 2 3 2" xfId="10759" xr:uid="{00000000-0005-0000-0000-0000AD060000}"/>
    <cellStyle name="Normal 4 3 2 2 2 2 4 2 2 3 2 2" xfId="23047" xr:uid="{00000000-0005-0000-0000-0000AE060000}"/>
    <cellStyle name="Normal 4 3 2 2 2 2 4 2 2 3 2 2 2" xfId="47623" xr:uid="{00000000-0005-0000-0000-0000AF060000}"/>
    <cellStyle name="Normal 4 3 2 2 2 2 4 2 2 3 2 3" xfId="35335" xr:uid="{00000000-0005-0000-0000-0000B0060000}"/>
    <cellStyle name="Normal 4 3 2 2 2 2 4 2 2 3 3" xfId="16903" xr:uid="{00000000-0005-0000-0000-0000B1060000}"/>
    <cellStyle name="Normal 4 3 2 2 2 2 4 2 2 3 3 2" xfId="41479" xr:uid="{00000000-0005-0000-0000-0000B2060000}"/>
    <cellStyle name="Normal 4 3 2 2 2 2 4 2 2 3 4" xfId="29191" xr:uid="{00000000-0005-0000-0000-0000B3060000}"/>
    <cellStyle name="Normal 4 3 2 2 2 2 4 2 2 4" xfId="7687" xr:uid="{00000000-0005-0000-0000-0000B4060000}"/>
    <cellStyle name="Normal 4 3 2 2 2 2 4 2 2 4 2" xfId="19975" xr:uid="{00000000-0005-0000-0000-0000B5060000}"/>
    <cellStyle name="Normal 4 3 2 2 2 2 4 2 2 4 2 2" xfId="44551" xr:uid="{00000000-0005-0000-0000-0000B6060000}"/>
    <cellStyle name="Normal 4 3 2 2 2 2 4 2 2 4 3" xfId="32263" xr:uid="{00000000-0005-0000-0000-0000B7060000}"/>
    <cellStyle name="Normal 4 3 2 2 2 2 4 2 2 5" xfId="13831" xr:uid="{00000000-0005-0000-0000-0000B8060000}"/>
    <cellStyle name="Normal 4 3 2 2 2 2 4 2 2 5 2" xfId="38407" xr:uid="{00000000-0005-0000-0000-0000B9060000}"/>
    <cellStyle name="Normal 4 3 2 2 2 2 4 2 2 6" xfId="26119" xr:uid="{00000000-0005-0000-0000-0000BA060000}"/>
    <cellStyle name="Normal 4 3 2 2 2 2 4 2 3" xfId="2307" xr:uid="{00000000-0005-0000-0000-0000BB060000}"/>
    <cellStyle name="Normal 4 3 2 2 2 2 4 2 3 2" xfId="5383" xr:uid="{00000000-0005-0000-0000-0000BC060000}"/>
    <cellStyle name="Normal 4 3 2 2 2 2 4 2 3 2 2" xfId="11527" xr:uid="{00000000-0005-0000-0000-0000BD060000}"/>
    <cellStyle name="Normal 4 3 2 2 2 2 4 2 3 2 2 2" xfId="23815" xr:uid="{00000000-0005-0000-0000-0000BE060000}"/>
    <cellStyle name="Normal 4 3 2 2 2 2 4 2 3 2 2 2 2" xfId="48391" xr:uid="{00000000-0005-0000-0000-0000BF060000}"/>
    <cellStyle name="Normal 4 3 2 2 2 2 4 2 3 2 2 3" xfId="36103" xr:uid="{00000000-0005-0000-0000-0000C0060000}"/>
    <cellStyle name="Normal 4 3 2 2 2 2 4 2 3 2 3" xfId="17671" xr:uid="{00000000-0005-0000-0000-0000C1060000}"/>
    <cellStyle name="Normal 4 3 2 2 2 2 4 2 3 2 3 2" xfId="42247" xr:uid="{00000000-0005-0000-0000-0000C2060000}"/>
    <cellStyle name="Normal 4 3 2 2 2 2 4 2 3 2 4" xfId="29959" xr:uid="{00000000-0005-0000-0000-0000C3060000}"/>
    <cellStyle name="Normal 4 3 2 2 2 2 4 2 3 3" xfId="8455" xr:uid="{00000000-0005-0000-0000-0000C4060000}"/>
    <cellStyle name="Normal 4 3 2 2 2 2 4 2 3 3 2" xfId="20743" xr:uid="{00000000-0005-0000-0000-0000C5060000}"/>
    <cellStyle name="Normal 4 3 2 2 2 2 4 2 3 3 2 2" xfId="45319" xr:uid="{00000000-0005-0000-0000-0000C6060000}"/>
    <cellStyle name="Normal 4 3 2 2 2 2 4 2 3 3 3" xfId="33031" xr:uid="{00000000-0005-0000-0000-0000C7060000}"/>
    <cellStyle name="Normal 4 3 2 2 2 2 4 2 3 4" xfId="14599" xr:uid="{00000000-0005-0000-0000-0000C8060000}"/>
    <cellStyle name="Normal 4 3 2 2 2 2 4 2 3 4 2" xfId="39175" xr:uid="{00000000-0005-0000-0000-0000C9060000}"/>
    <cellStyle name="Normal 4 3 2 2 2 2 4 2 3 5" xfId="26887" xr:uid="{00000000-0005-0000-0000-0000CA060000}"/>
    <cellStyle name="Normal 4 3 2 2 2 2 4 2 4" xfId="3847" xr:uid="{00000000-0005-0000-0000-0000CB060000}"/>
    <cellStyle name="Normal 4 3 2 2 2 2 4 2 4 2" xfId="9991" xr:uid="{00000000-0005-0000-0000-0000CC060000}"/>
    <cellStyle name="Normal 4 3 2 2 2 2 4 2 4 2 2" xfId="22279" xr:uid="{00000000-0005-0000-0000-0000CD060000}"/>
    <cellStyle name="Normal 4 3 2 2 2 2 4 2 4 2 2 2" xfId="46855" xr:uid="{00000000-0005-0000-0000-0000CE060000}"/>
    <cellStyle name="Normal 4 3 2 2 2 2 4 2 4 2 3" xfId="34567" xr:uid="{00000000-0005-0000-0000-0000CF060000}"/>
    <cellStyle name="Normal 4 3 2 2 2 2 4 2 4 3" xfId="16135" xr:uid="{00000000-0005-0000-0000-0000D0060000}"/>
    <cellStyle name="Normal 4 3 2 2 2 2 4 2 4 3 2" xfId="40711" xr:uid="{00000000-0005-0000-0000-0000D1060000}"/>
    <cellStyle name="Normal 4 3 2 2 2 2 4 2 4 4" xfId="28423" xr:uid="{00000000-0005-0000-0000-0000D2060000}"/>
    <cellStyle name="Normal 4 3 2 2 2 2 4 2 5" xfId="6919" xr:uid="{00000000-0005-0000-0000-0000D3060000}"/>
    <cellStyle name="Normal 4 3 2 2 2 2 4 2 5 2" xfId="19207" xr:uid="{00000000-0005-0000-0000-0000D4060000}"/>
    <cellStyle name="Normal 4 3 2 2 2 2 4 2 5 2 2" xfId="43783" xr:uid="{00000000-0005-0000-0000-0000D5060000}"/>
    <cellStyle name="Normal 4 3 2 2 2 2 4 2 5 3" xfId="31495" xr:uid="{00000000-0005-0000-0000-0000D6060000}"/>
    <cellStyle name="Normal 4 3 2 2 2 2 4 2 6" xfId="13063" xr:uid="{00000000-0005-0000-0000-0000D7060000}"/>
    <cellStyle name="Normal 4 3 2 2 2 2 4 2 6 2" xfId="37639" xr:uid="{00000000-0005-0000-0000-0000D8060000}"/>
    <cellStyle name="Normal 4 3 2 2 2 2 4 2 7" xfId="25351" xr:uid="{00000000-0005-0000-0000-0000D9060000}"/>
    <cellStyle name="Normal 4 3 2 2 2 2 4 3" xfId="1155" xr:uid="{00000000-0005-0000-0000-0000DA060000}"/>
    <cellStyle name="Normal 4 3 2 2 2 2 4 3 2" xfId="2691" xr:uid="{00000000-0005-0000-0000-0000DB060000}"/>
    <cellStyle name="Normal 4 3 2 2 2 2 4 3 2 2" xfId="5767" xr:uid="{00000000-0005-0000-0000-0000DC060000}"/>
    <cellStyle name="Normal 4 3 2 2 2 2 4 3 2 2 2" xfId="11911" xr:uid="{00000000-0005-0000-0000-0000DD060000}"/>
    <cellStyle name="Normal 4 3 2 2 2 2 4 3 2 2 2 2" xfId="24199" xr:uid="{00000000-0005-0000-0000-0000DE060000}"/>
    <cellStyle name="Normal 4 3 2 2 2 2 4 3 2 2 2 2 2" xfId="48775" xr:uid="{00000000-0005-0000-0000-0000DF060000}"/>
    <cellStyle name="Normal 4 3 2 2 2 2 4 3 2 2 2 3" xfId="36487" xr:uid="{00000000-0005-0000-0000-0000E0060000}"/>
    <cellStyle name="Normal 4 3 2 2 2 2 4 3 2 2 3" xfId="18055" xr:uid="{00000000-0005-0000-0000-0000E1060000}"/>
    <cellStyle name="Normal 4 3 2 2 2 2 4 3 2 2 3 2" xfId="42631" xr:uid="{00000000-0005-0000-0000-0000E2060000}"/>
    <cellStyle name="Normal 4 3 2 2 2 2 4 3 2 2 4" xfId="30343" xr:uid="{00000000-0005-0000-0000-0000E3060000}"/>
    <cellStyle name="Normal 4 3 2 2 2 2 4 3 2 3" xfId="8839" xr:uid="{00000000-0005-0000-0000-0000E4060000}"/>
    <cellStyle name="Normal 4 3 2 2 2 2 4 3 2 3 2" xfId="21127" xr:uid="{00000000-0005-0000-0000-0000E5060000}"/>
    <cellStyle name="Normal 4 3 2 2 2 2 4 3 2 3 2 2" xfId="45703" xr:uid="{00000000-0005-0000-0000-0000E6060000}"/>
    <cellStyle name="Normal 4 3 2 2 2 2 4 3 2 3 3" xfId="33415" xr:uid="{00000000-0005-0000-0000-0000E7060000}"/>
    <cellStyle name="Normal 4 3 2 2 2 2 4 3 2 4" xfId="14983" xr:uid="{00000000-0005-0000-0000-0000E8060000}"/>
    <cellStyle name="Normal 4 3 2 2 2 2 4 3 2 4 2" xfId="39559" xr:uid="{00000000-0005-0000-0000-0000E9060000}"/>
    <cellStyle name="Normal 4 3 2 2 2 2 4 3 2 5" xfId="27271" xr:uid="{00000000-0005-0000-0000-0000EA060000}"/>
    <cellStyle name="Normal 4 3 2 2 2 2 4 3 3" xfId="4231" xr:uid="{00000000-0005-0000-0000-0000EB060000}"/>
    <cellStyle name="Normal 4 3 2 2 2 2 4 3 3 2" xfId="10375" xr:uid="{00000000-0005-0000-0000-0000EC060000}"/>
    <cellStyle name="Normal 4 3 2 2 2 2 4 3 3 2 2" xfId="22663" xr:uid="{00000000-0005-0000-0000-0000ED060000}"/>
    <cellStyle name="Normal 4 3 2 2 2 2 4 3 3 2 2 2" xfId="47239" xr:uid="{00000000-0005-0000-0000-0000EE060000}"/>
    <cellStyle name="Normal 4 3 2 2 2 2 4 3 3 2 3" xfId="34951" xr:uid="{00000000-0005-0000-0000-0000EF060000}"/>
    <cellStyle name="Normal 4 3 2 2 2 2 4 3 3 3" xfId="16519" xr:uid="{00000000-0005-0000-0000-0000F0060000}"/>
    <cellStyle name="Normal 4 3 2 2 2 2 4 3 3 3 2" xfId="41095" xr:uid="{00000000-0005-0000-0000-0000F1060000}"/>
    <cellStyle name="Normal 4 3 2 2 2 2 4 3 3 4" xfId="28807" xr:uid="{00000000-0005-0000-0000-0000F2060000}"/>
    <cellStyle name="Normal 4 3 2 2 2 2 4 3 4" xfId="7303" xr:uid="{00000000-0005-0000-0000-0000F3060000}"/>
    <cellStyle name="Normal 4 3 2 2 2 2 4 3 4 2" xfId="19591" xr:uid="{00000000-0005-0000-0000-0000F4060000}"/>
    <cellStyle name="Normal 4 3 2 2 2 2 4 3 4 2 2" xfId="44167" xr:uid="{00000000-0005-0000-0000-0000F5060000}"/>
    <cellStyle name="Normal 4 3 2 2 2 2 4 3 4 3" xfId="31879" xr:uid="{00000000-0005-0000-0000-0000F6060000}"/>
    <cellStyle name="Normal 4 3 2 2 2 2 4 3 5" xfId="13447" xr:uid="{00000000-0005-0000-0000-0000F7060000}"/>
    <cellStyle name="Normal 4 3 2 2 2 2 4 3 5 2" xfId="38023" xr:uid="{00000000-0005-0000-0000-0000F8060000}"/>
    <cellStyle name="Normal 4 3 2 2 2 2 4 3 6" xfId="25735" xr:uid="{00000000-0005-0000-0000-0000F9060000}"/>
    <cellStyle name="Normal 4 3 2 2 2 2 4 4" xfId="1923" xr:uid="{00000000-0005-0000-0000-0000FA060000}"/>
    <cellStyle name="Normal 4 3 2 2 2 2 4 4 2" xfId="4999" xr:uid="{00000000-0005-0000-0000-0000FB060000}"/>
    <cellStyle name="Normal 4 3 2 2 2 2 4 4 2 2" xfId="11143" xr:uid="{00000000-0005-0000-0000-0000FC060000}"/>
    <cellStyle name="Normal 4 3 2 2 2 2 4 4 2 2 2" xfId="23431" xr:uid="{00000000-0005-0000-0000-0000FD060000}"/>
    <cellStyle name="Normal 4 3 2 2 2 2 4 4 2 2 2 2" xfId="48007" xr:uid="{00000000-0005-0000-0000-0000FE060000}"/>
    <cellStyle name="Normal 4 3 2 2 2 2 4 4 2 2 3" xfId="35719" xr:uid="{00000000-0005-0000-0000-0000FF060000}"/>
    <cellStyle name="Normal 4 3 2 2 2 2 4 4 2 3" xfId="17287" xr:uid="{00000000-0005-0000-0000-000000070000}"/>
    <cellStyle name="Normal 4 3 2 2 2 2 4 4 2 3 2" xfId="41863" xr:uid="{00000000-0005-0000-0000-000001070000}"/>
    <cellStyle name="Normal 4 3 2 2 2 2 4 4 2 4" xfId="29575" xr:uid="{00000000-0005-0000-0000-000002070000}"/>
    <cellStyle name="Normal 4 3 2 2 2 2 4 4 3" xfId="8071" xr:uid="{00000000-0005-0000-0000-000003070000}"/>
    <cellStyle name="Normal 4 3 2 2 2 2 4 4 3 2" xfId="20359" xr:uid="{00000000-0005-0000-0000-000004070000}"/>
    <cellStyle name="Normal 4 3 2 2 2 2 4 4 3 2 2" xfId="44935" xr:uid="{00000000-0005-0000-0000-000005070000}"/>
    <cellStyle name="Normal 4 3 2 2 2 2 4 4 3 3" xfId="32647" xr:uid="{00000000-0005-0000-0000-000006070000}"/>
    <cellStyle name="Normal 4 3 2 2 2 2 4 4 4" xfId="14215" xr:uid="{00000000-0005-0000-0000-000007070000}"/>
    <cellStyle name="Normal 4 3 2 2 2 2 4 4 4 2" xfId="38791" xr:uid="{00000000-0005-0000-0000-000008070000}"/>
    <cellStyle name="Normal 4 3 2 2 2 2 4 4 5" xfId="26503" xr:uid="{00000000-0005-0000-0000-000009070000}"/>
    <cellStyle name="Normal 4 3 2 2 2 2 4 5" xfId="3463" xr:uid="{00000000-0005-0000-0000-00000A070000}"/>
    <cellStyle name="Normal 4 3 2 2 2 2 4 5 2" xfId="9607" xr:uid="{00000000-0005-0000-0000-00000B070000}"/>
    <cellStyle name="Normal 4 3 2 2 2 2 4 5 2 2" xfId="21895" xr:uid="{00000000-0005-0000-0000-00000C070000}"/>
    <cellStyle name="Normal 4 3 2 2 2 2 4 5 2 2 2" xfId="46471" xr:uid="{00000000-0005-0000-0000-00000D070000}"/>
    <cellStyle name="Normal 4 3 2 2 2 2 4 5 2 3" xfId="34183" xr:uid="{00000000-0005-0000-0000-00000E070000}"/>
    <cellStyle name="Normal 4 3 2 2 2 2 4 5 3" xfId="15751" xr:uid="{00000000-0005-0000-0000-00000F070000}"/>
    <cellStyle name="Normal 4 3 2 2 2 2 4 5 3 2" xfId="40327" xr:uid="{00000000-0005-0000-0000-000010070000}"/>
    <cellStyle name="Normal 4 3 2 2 2 2 4 5 4" xfId="28039" xr:uid="{00000000-0005-0000-0000-000011070000}"/>
    <cellStyle name="Normal 4 3 2 2 2 2 4 6" xfId="6535" xr:uid="{00000000-0005-0000-0000-000012070000}"/>
    <cellStyle name="Normal 4 3 2 2 2 2 4 6 2" xfId="18823" xr:uid="{00000000-0005-0000-0000-000013070000}"/>
    <cellStyle name="Normal 4 3 2 2 2 2 4 6 2 2" xfId="43399" xr:uid="{00000000-0005-0000-0000-000014070000}"/>
    <cellStyle name="Normal 4 3 2 2 2 2 4 6 3" xfId="31111" xr:uid="{00000000-0005-0000-0000-000015070000}"/>
    <cellStyle name="Normal 4 3 2 2 2 2 4 7" xfId="12679" xr:uid="{00000000-0005-0000-0000-000016070000}"/>
    <cellStyle name="Normal 4 3 2 2 2 2 4 7 2" xfId="37255" xr:uid="{00000000-0005-0000-0000-000017070000}"/>
    <cellStyle name="Normal 4 3 2 2 2 2 4 8" xfId="24967" xr:uid="{00000000-0005-0000-0000-000018070000}"/>
    <cellStyle name="Normal 4 3 2 2 2 2 5" xfId="579" xr:uid="{00000000-0005-0000-0000-000019070000}"/>
    <cellStyle name="Normal 4 3 2 2 2 2 5 2" xfId="1347" xr:uid="{00000000-0005-0000-0000-00001A070000}"/>
    <cellStyle name="Normal 4 3 2 2 2 2 5 2 2" xfId="2883" xr:uid="{00000000-0005-0000-0000-00001B070000}"/>
    <cellStyle name="Normal 4 3 2 2 2 2 5 2 2 2" xfId="5959" xr:uid="{00000000-0005-0000-0000-00001C070000}"/>
    <cellStyle name="Normal 4 3 2 2 2 2 5 2 2 2 2" xfId="12103" xr:uid="{00000000-0005-0000-0000-00001D070000}"/>
    <cellStyle name="Normal 4 3 2 2 2 2 5 2 2 2 2 2" xfId="24391" xr:uid="{00000000-0005-0000-0000-00001E070000}"/>
    <cellStyle name="Normal 4 3 2 2 2 2 5 2 2 2 2 2 2" xfId="48967" xr:uid="{00000000-0005-0000-0000-00001F070000}"/>
    <cellStyle name="Normal 4 3 2 2 2 2 5 2 2 2 2 3" xfId="36679" xr:uid="{00000000-0005-0000-0000-000020070000}"/>
    <cellStyle name="Normal 4 3 2 2 2 2 5 2 2 2 3" xfId="18247" xr:uid="{00000000-0005-0000-0000-000021070000}"/>
    <cellStyle name="Normal 4 3 2 2 2 2 5 2 2 2 3 2" xfId="42823" xr:uid="{00000000-0005-0000-0000-000022070000}"/>
    <cellStyle name="Normal 4 3 2 2 2 2 5 2 2 2 4" xfId="30535" xr:uid="{00000000-0005-0000-0000-000023070000}"/>
    <cellStyle name="Normal 4 3 2 2 2 2 5 2 2 3" xfId="9031" xr:uid="{00000000-0005-0000-0000-000024070000}"/>
    <cellStyle name="Normal 4 3 2 2 2 2 5 2 2 3 2" xfId="21319" xr:uid="{00000000-0005-0000-0000-000025070000}"/>
    <cellStyle name="Normal 4 3 2 2 2 2 5 2 2 3 2 2" xfId="45895" xr:uid="{00000000-0005-0000-0000-000026070000}"/>
    <cellStyle name="Normal 4 3 2 2 2 2 5 2 2 3 3" xfId="33607" xr:uid="{00000000-0005-0000-0000-000027070000}"/>
    <cellStyle name="Normal 4 3 2 2 2 2 5 2 2 4" xfId="15175" xr:uid="{00000000-0005-0000-0000-000028070000}"/>
    <cellStyle name="Normal 4 3 2 2 2 2 5 2 2 4 2" xfId="39751" xr:uid="{00000000-0005-0000-0000-000029070000}"/>
    <cellStyle name="Normal 4 3 2 2 2 2 5 2 2 5" xfId="27463" xr:uid="{00000000-0005-0000-0000-00002A070000}"/>
    <cellStyle name="Normal 4 3 2 2 2 2 5 2 3" xfId="4423" xr:uid="{00000000-0005-0000-0000-00002B070000}"/>
    <cellStyle name="Normal 4 3 2 2 2 2 5 2 3 2" xfId="10567" xr:uid="{00000000-0005-0000-0000-00002C070000}"/>
    <cellStyle name="Normal 4 3 2 2 2 2 5 2 3 2 2" xfId="22855" xr:uid="{00000000-0005-0000-0000-00002D070000}"/>
    <cellStyle name="Normal 4 3 2 2 2 2 5 2 3 2 2 2" xfId="47431" xr:uid="{00000000-0005-0000-0000-00002E070000}"/>
    <cellStyle name="Normal 4 3 2 2 2 2 5 2 3 2 3" xfId="35143" xr:uid="{00000000-0005-0000-0000-00002F070000}"/>
    <cellStyle name="Normal 4 3 2 2 2 2 5 2 3 3" xfId="16711" xr:uid="{00000000-0005-0000-0000-000030070000}"/>
    <cellStyle name="Normal 4 3 2 2 2 2 5 2 3 3 2" xfId="41287" xr:uid="{00000000-0005-0000-0000-000031070000}"/>
    <cellStyle name="Normal 4 3 2 2 2 2 5 2 3 4" xfId="28999" xr:uid="{00000000-0005-0000-0000-000032070000}"/>
    <cellStyle name="Normal 4 3 2 2 2 2 5 2 4" xfId="7495" xr:uid="{00000000-0005-0000-0000-000033070000}"/>
    <cellStyle name="Normal 4 3 2 2 2 2 5 2 4 2" xfId="19783" xr:uid="{00000000-0005-0000-0000-000034070000}"/>
    <cellStyle name="Normal 4 3 2 2 2 2 5 2 4 2 2" xfId="44359" xr:uid="{00000000-0005-0000-0000-000035070000}"/>
    <cellStyle name="Normal 4 3 2 2 2 2 5 2 4 3" xfId="32071" xr:uid="{00000000-0005-0000-0000-000036070000}"/>
    <cellStyle name="Normal 4 3 2 2 2 2 5 2 5" xfId="13639" xr:uid="{00000000-0005-0000-0000-000037070000}"/>
    <cellStyle name="Normal 4 3 2 2 2 2 5 2 5 2" xfId="38215" xr:uid="{00000000-0005-0000-0000-000038070000}"/>
    <cellStyle name="Normal 4 3 2 2 2 2 5 2 6" xfId="25927" xr:uid="{00000000-0005-0000-0000-000039070000}"/>
    <cellStyle name="Normal 4 3 2 2 2 2 5 3" xfId="2115" xr:uid="{00000000-0005-0000-0000-00003A070000}"/>
    <cellStyle name="Normal 4 3 2 2 2 2 5 3 2" xfId="5191" xr:uid="{00000000-0005-0000-0000-00003B070000}"/>
    <cellStyle name="Normal 4 3 2 2 2 2 5 3 2 2" xfId="11335" xr:uid="{00000000-0005-0000-0000-00003C070000}"/>
    <cellStyle name="Normal 4 3 2 2 2 2 5 3 2 2 2" xfId="23623" xr:uid="{00000000-0005-0000-0000-00003D070000}"/>
    <cellStyle name="Normal 4 3 2 2 2 2 5 3 2 2 2 2" xfId="48199" xr:uid="{00000000-0005-0000-0000-00003E070000}"/>
    <cellStyle name="Normal 4 3 2 2 2 2 5 3 2 2 3" xfId="35911" xr:uid="{00000000-0005-0000-0000-00003F070000}"/>
    <cellStyle name="Normal 4 3 2 2 2 2 5 3 2 3" xfId="17479" xr:uid="{00000000-0005-0000-0000-000040070000}"/>
    <cellStyle name="Normal 4 3 2 2 2 2 5 3 2 3 2" xfId="42055" xr:uid="{00000000-0005-0000-0000-000041070000}"/>
    <cellStyle name="Normal 4 3 2 2 2 2 5 3 2 4" xfId="29767" xr:uid="{00000000-0005-0000-0000-000042070000}"/>
    <cellStyle name="Normal 4 3 2 2 2 2 5 3 3" xfId="8263" xr:uid="{00000000-0005-0000-0000-000043070000}"/>
    <cellStyle name="Normal 4 3 2 2 2 2 5 3 3 2" xfId="20551" xr:uid="{00000000-0005-0000-0000-000044070000}"/>
    <cellStyle name="Normal 4 3 2 2 2 2 5 3 3 2 2" xfId="45127" xr:uid="{00000000-0005-0000-0000-000045070000}"/>
    <cellStyle name="Normal 4 3 2 2 2 2 5 3 3 3" xfId="32839" xr:uid="{00000000-0005-0000-0000-000046070000}"/>
    <cellStyle name="Normal 4 3 2 2 2 2 5 3 4" xfId="14407" xr:uid="{00000000-0005-0000-0000-000047070000}"/>
    <cellStyle name="Normal 4 3 2 2 2 2 5 3 4 2" xfId="38983" xr:uid="{00000000-0005-0000-0000-000048070000}"/>
    <cellStyle name="Normal 4 3 2 2 2 2 5 3 5" xfId="26695" xr:uid="{00000000-0005-0000-0000-000049070000}"/>
    <cellStyle name="Normal 4 3 2 2 2 2 5 4" xfId="3655" xr:uid="{00000000-0005-0000-0000-00004A070000}"/>
    <cellStyle name="Normal 4 3 2 2 2 2 5 4 2" xfId="9799" xr:uid="{00000000-0005-0000-0000-00004B070000}"/>
    <cellStyle name="Normal 4 3 2 2 2 2 5 4 2 2" xfId="22087" xr:uid="{00000000-0005-0000-0000-00004C070000}"/>
    <cellStyle name="Normal 4 3 2 2 2 2 5 4 2 2 2" xfId="46663" xr:uid="{00000000-0005-0000-0000-00004D070000}"/>
    <cellStyle name="Normal 4 3 2 2 2 2 5 4 2 3" xfId="34375" xr:uid="{00000000-0005-0000-0000-00004E070000}"/>
    <cellStyle name="Normal 4 3 2 2 2 2 5 4 3" xfId="15943" xr:uid="{00000000-0005-0000-0000-00004F070000}"/>
    <cellStyle name="Normal 4 3 2 2 2 2 5 4 3 2" xfId="40519" xr:uid="{00000000-0005-0000-0000-000050070000}"/>
    <cellStyle name="Normal 4 3 2 2 2 2 5 4 4" xfId="28231" xr:uid="{00000000-0005-0000-0000-000051070000}"/>
    <cellStyle name="Normal 4 3 2 2 2 2 5 5" xfId="6727" xr:uid="{00000000-0005-0000-0000-000052070000}"/>
    <cellStyle name="Normal 4 3 2 2 2 2 5 5 2" xfId="19015" xr:uid="{00000000-0005-0000-0000-000053070000}"/>
    <cellStyle name="Normal 4 3 2 2 2 2 5 5 2 2" xfId="43591" xr:uid="{00000000-0005-0000-0000-000054070000}"/>
    <cellStyle name="Normal 4 3 2 2 2 2 5 5 3" xfId="31303" xr:uid="{00000000-0005-0000-0000-000055070000}"/>
    <cellStyle name="Normal 4 3 2 2 2 2 5 6" xfId="12871" xr:uid="{00000000-0005-0000-0000-000056070000}"/>
    <cellStyle name="Normal 4 3 2 2 2 2 5 6 2" xfId="37447" xr:uid="{00000000-0005-0000-0000-000057070000}"/>
    <cellStyle name="Normal 4 3 2 2 2 2 5 7" xfId="25159" xr:uid="{00000000-0005-0000-0000-000058070000}"/>
    <cellStyle name="Normal 4 3 2 2 2 2 6" xfId="963" xr:uid="{00000000-0005-0000-0000-000059070000}"/>
    <cellStyle name="Normal 4 3 2 2 2 2 6 2" xfId="2499" xr:uid="{00000000-0005-0000-0000-00005A070000}"/>
    <cellStyle name="Normal 4 3 2 2 2 2 6 2 2" xfId="5575" xr:uid="{00000000-0005-0000-0000-00005B070000}"/>
    <cellStyle name="Normal 4 3 2 2 2 2 6 2 2 2" xfId="11719" xr:uid="{00000000-0005-0000-0000-00005C070000}"/>
    <cellStyle name="Normal 4 3 2 2 2 2 6 2 2 2 2" xfId="24007" xr:uid="{00000000-0005-0000-0000-00005D070000}"/>
    <cellStyle name="Normal 4 3 2 2 2 2 6 2 2 2 2 2" xfId="48583" xr:uid="{00000000-0005-0000-0000-00005E070000}"/>
    <cellStyle name="Normal 4 3 2 2 2 2 6 2 2 2 3" xfId="36295" xr:uid="{00000000-0005-0000-0000-00005F070000}"/>
    <cellStyle name="Normal 4 3 2 2 2 2 6 2 2 3" xfId="17863" xr:uid="{00000000-0005-0000-0000-000060070000}"/>
    <cellStyle name="Normal 4 3 2 2 2 2 6 2 2 3 2" xfId="42439" xr:uid="{00000000-0005-0000-0000-000061070000}"/>
    <cellStyle name="Normal 4 3 2 2 2 2 6 2 2 4" xfId="30151" xr:uid="{00000000-0005-0000-0000-000062070000}"/>
    <cellStyle name="Normal 4 3 2 2 2 2 6 2 3" xfId="8647" xr:uid="{00000000-0005-0000-0000-000063070000}"/>
    <cellStyle name="Normal 4 3 2 2 2 2 6 2 3 2" xfId="20935" xr:uid="{00000000-0005-0000-0000-000064070000}"/>
    <cellStyle name="Normal 4 3 2 2 2 2 6 2 3 2 2" xfId="45511" xr:uid="{00000000-0005-0000-0000-000065070000}"/>
    <cellStyle name="Normal 4 3 2 2 2 2 6 2 3 3" xfId="33223" xr:uid="{00000000-0005-0000-0000-000066070000}"/>
    <cellStyle name="Normal 4 3 2 2 2 2 6 2 4" xfId="14791" xr:uid="{00000000-0005-0000-0000-000067070000}"/>
    <cellStyle name="Normal 4 3 2 2 2 2 6 2 4 2" xfId="39367" xr:uid="{00000000-0005-0000-0000-000068070000}"/>
    <cellStyle name="Normal 4 3 2 2 2 2 6 2 5" xfId="27079" xr:uid="{00000000-0005-0000-0000-000069070000}"/>
    <cellStyle name="Normal 4 3 2 2 2 2 6 3" xfId="4039" xr:uid="{00000000-0005-0000-0000-00006A070000}"/>
    <cellStyle name="Normal 4 3 2 2 2 2 6 3 2" xfId="10183" xr:uid="{00000000-0005-0000-0000-00006B070000}"/>
    <cellStyle name="Normal 4 3 2 2 2 2 6 3 2 2" xfId="22471" xr:uid="{00000000-0005-0000-0000-00006C070000}"/>
    <cellStyle name="Normal 4 3 2 2 2 2 6 3 2 2 2" xfId="47047" xr:uid="{00000000-0005-0000-0000-00006D070000}"/>
    <cellStyle name="Normal 4 3 2 2 2 2 6 3 2 3" xfId="34759" xr:uid="{00000000-0005-0000-0000-00006E070000}"/>
    <cellStyle name="Normal 4 3 2 2 2 2 6 3 3" xfId="16327" xr:uid="{00000000-0005-0000-0000-00006F070000}"/>
    <cellStyle name="Normal 4 3 2 2 2 2 6 3 3 2" xfId="40903" xr:uid="{00000000-0005-0000-0000-000070070000}"/>
    <cellStyle name="Normal 4 3 2 2 2 2 6 3 4" xfId="28615" xr:uid="{00000000-0005-0000-0000-000071070000}"/>
    <cellStyle name="Normal 4 3 2 2 2 2 6 4" xfId="7111" xr:uid="{00000000-0005-0000-0000-000072070000}"/>
    <cellStyle name="Normal 4 3 2 2 2 2 6 4 2" xfId="19399" xr:uid="{00000000-0005-0000-0000-000073070000}"/>
    <cellStyle name="Normal 4 3 2 2 2 2 6 4 2 2" xfId="43975" xr:uid="{00000000-0005-0000-0000-000074070000}"/>
    <cellStyle name="Normal 4 3 2 2 2 2 6 4 3" xfId="31687" xr:uid="{00000000-0005-0000-0000-000075070000}"/>
    <cellStyle name="Normal 4 3 2 2 2 2 6 5" xfId="13255" xr:uid="{00000000-0005-0000-0000-000076070000}"/>
    <cellStyle name="Normal 4 3 2 2 2 2 6 5 2" xfId="37831" xr:uid="{00000000-0005-0000-0000-000077070000}"/>
    <cellStyle name="Normal 4 3 2 2 2 2 6 6" xfId="25543" xr:uid="{00000000-0005-0000-0000-000078070000}"/>
    <cellStyle name="Normal 4 3 2 2 2 2 7" xfId="1731" xr:uid="{00000000-0005-0000-0000-000079070000}"/>
    <cellStyle name="Normal 4 3 2 2 2 2 7 2" xfId="4807" xr:uid="{00000000-0005-0000-0000-00007A070000}"/>
    <cellStyle name="Normal 4 3 2 2 2 2 7 2 2" xfId="10951" xr:uid="{00000000-0005-0000-0000-00007B070000}"/>
    <cellStyle name="Normal 4 3 2 2 2 2 7 2 2 2" xfId="23239" xr:uid="{00000000-0005-0000-0000-00007C070000}"/>
    <cellStyle name="Normal 4 3 2 2 2 2 7 2 2 2 2" xfId="47815" xr:uid="{00000000-0005-0000-0000-00007D070000}"/>
    <cellStyle name="Normal 4 3 2 2 2 2 7 2 2 3" xfId="35527" xr:uid="{00000000-0005-0000-0000-00007E070000}"/>
    <cellStyle name="Normal 4 3 2 2 2 2 7 2 3" xfId="17095" xr:uid="{00000000-0005-0000-0000-00007F070000}"/>
    <cellStyle name="Normal 4 3 2 2 2 2 7 2 3 2" xfId="41671" xr:uid="{00000000-0005-0000-0000-000080070000}"/>
    <cellStyle name="Normal 4 3 2 2 2 2 7 2 4" xfId="29383" xr:uid="{00000000-0005-0000-0000-000081070000}"/>
    <cellStyle name="Normal 4 3 2 2 2 2 7 3" xfId="7879" xr:uid="{00000000-0005-0000-0000-000082070000}"/>
    <cellStyle name="Normal 4 3 2 2 2 2 7 3 2" xfId="20167" xr:uid="{00000000-0005-0000-0000-000083070000}"/>
    <cellStyle name="Normal 4 3 2 2 2 2 7 3 2 2" xfId="44743" xr:uid="{00000000-0005-0000-0000-000084070000}"/>
    <cellStyle name="Normal 4 3 2 2 2 2 7 3 3" xfId="32455" xr:uid="{00000000-0005-0000-0000-000085070000}"/>
    <cellStyle name="Normal 4 3 2 2 2 2 7 4" xfId="14023" xr:uid="{00000000-0005-0000-0000-000086070000}"/>
    <cellStyle name="Normal 4 3 2 2 2 2 7 4 2" xfId="38599" xr:uid="{00000000-0005-0000-0000-000087070000}"/>
    <cellStyle name="Normal 4 3 2 2 2 2 7 5" xfId="26311" xr:uid="{00000000-0005-0000-0000-000088070000}"/>
    <cellStyle name="Normal 4 3 2 2 2 2 8" xfId="3271" xr:uid="{00000000-0005-0000-0000-000089070000}"/>
    <cellStyle name="Normal 4 3 2 2 2 2 8 2" xfId="9415" xr:uid="{00000000-0005-0000-0000-00008A070000}"/>
    <cellStyle name="Normal 4 3 2 2 2 2 8 2 2" xfId="21703" xr:uid="{00000000-0005-0000-0000-00008B070000}"/>
    <cellStyle name="Normal 4 3 2 2 2 2 8 2 2 2" xfId="46279" xr:uid="{00000000-0005-0000-0000-00008C070000}"/>
    <cellStyle name="Normal 4 3 2 2 2 2 8 2 3" xfId="33991" xr:uid="{00000000-0005-0000-0000-00008D070000}"/>
    <cellStyle name="Normal 4 3 2 2 2 2 8 3" xfId="15559" xr:uid="{00000000-0005-0000-0000-00008E070000}"/>
    <cellStyle name="Normal 4 3 2 2 2 2 8 3 2" xfId="40135" xr:uid="{00000000-0005-0000-0000-00008F070000}"/>
    <cellStyle name="Normal 4 3 2 2 2 2 8 4" xfId="27847" xr:uid="{00000000-0005-0000-0000-000090070000}"/>
    <cellStyle name="Normal 4 3 2 2 2 2 9" xfId="6343" xr:uid="{00000000-0005-0000-0000-000091070000}"/>
    <cellStyle name="Normal 4 3 2 2 2 2 9 2" xfId="18631" xr:uid="{00000000-0005-0000-0000-000092070000}"/>
    <cellStyle name="Normal 4 3 2 2 2 2 9 2 2" xfId="43207" xr:uid="{00000000-0005-0000-0000-000093070000}"/>
    <cellStyle name="Normal 4 3 2 2 2 2 9 3" xfId="30919" xr:uid="{00000000-0005-0000-0000-000094070000}"/>
    <cellStyle name="Normal 4 3 2 2 2 3" xfId="227" xr:uid="{00000000-0005-0000-0000-000095070000}"/>
    <cellStyle name="Normal 4 3 2 2 2 3 2" xfId="419" xr:uid="{00000000-0005-0000-0000-000096070000}"/>
    <cellStyle name="Normal 4 3 2 2 2 3 2 2" xfId="803" xr:uid="{00000000-0005-0000-0000-000097070000}"/>
    <cellStyle name="Normal 4 3 2 2 2 3 2 2 2" xfId="1571" xr:uid="{00000000-0005-0000-0000-000098070000}"/>
    <cellStyle name="Normal 4 3 2 2 2 3 2 2 2 2" xfId="3107" xr:uid="{00000000-0005-0000-0000-000099070000}"/>
    <cellStyle name="Normal 4 3 2 2 2 3 2 2 2 2 2" xfId="6183" xr:uid="{00000000-0005-0000-0000-00009A070000}"/>
    <cellStyle name="Normal 4 3 2 2 2 3 2 2 2 2 2 2" xfId="12327" xr:uid="{00000000-0005-0000-0000-00009B070000}"/>
    <cellStyle name="Normal 4 3 2 2 2 3 2 2 2 2 2 2 2" xfId="24615" xr:uid="{00000000-0005-0000-0000-00009C070000}"/>
    <cellStyle name="Normal 4 3 2 2 2 3 2 2 2 2 2 2 2 2" xfId="49191" xr:uid="{00000000-0005-0000-0000-00009D070000}"/>
    <cellStyle name="Normal 4 3 2 2 2 3 2 2 2 2 2 2 3" xfId="36903" xr:uid="{00000000-0005-0000-0000-00009E070000}"/>
    <cellStyle name="Normal 4 3 2 2 2 3 2 2 2 2 2 3" xfId="18471" xr:uid="{00000000-0005-0000-0000-00009F070000}"/>
    <cellStyle name="Normal 4 3 2 2 2 3 2 2 2 2 2 3 2" xfId="43047" xr:uid="{00000000-0005-0000-0000-0000A0070000}"/>
    <cellStyle name="Normal 4 3 2 2 2 3 2 2 2 2 2 4" xfId="30759" xr:uid="{00000000-0005-0000-0000-0000A1070000}"/>
    <cellStyle name="Normal 4 3 2 2 2 3 2 2 2 2 3" xfId="9255" xr:uid="{00000000-0005-0000-0000-0000A2070000}"/>
    <cellStyle name="Normal 4 3 2 2 2 3 2 2 2 2 3 2" xfId="21543" xr:uid="{00000000-0005-0000-0000-0000A3070000}"/>
    <cellStyle name="Normal 4 3 2 2 2 3 2 2 2 2 3 2 2" xfId="46119" xr:uid="{00000000-0005-0000-0000-0000A4070000}"/>
    <cellStyle name="Normal 4 3 2 2 2 3 2 2 2 2 3 3" xfId="33831" xr:uid="{00000000-0005-0000-0000-0000A5070000}"/>
    <cellStyle name="Normal 4 3 2 2 2 3 2 2 2 2 4" xfId="15399" xr:uid="{00000000-0005-0000-0000-0000A6070000}"/>
    <cellStyle name="Normal 4 3 2 2 2 3 2 2 2 2 4 2" xfId="39975" xr:uid="{00000000-0005-0000-0000-0000A7070000}"/>
    <cellStyle name="Normal 4 3 2 2 2 3 2 2 2 2 5" xfId="27687" xr:uid="{00000000-0005-0000-0000-0000A8070000}"/>
    <cellStyle name="Normal 4 3 2 2 2 3 2 2 2 3" xfId="4647" xr:uid="{00000000-0005-0000-0000-0000A9070000}"/>
    <cellStyle name="Normal 4 3 2 2 2 3 2 2 2 3 2" xfId="10791" xr:uid="{00000000-0005-0000-0000-0000AA070000}"/>
    <cellStyle name="Normal 4 3 2 2 2 3 2 2 2 3 2 2" xfId="23079" xr:uid="{00000000-0005-0000-0000-0000AB070000}"/>
    <cellStyle name="Normal 4 3 2 2 2 3 2 2 2 3 2 2 2" xfId="47655" xr:uid="{00000000-0005-0000-0000-0000AC070000}"/>
    <cellStyle name="Normal 4 3 2 2 2 3 2 2 2 3 2 3" xfId="35367" xr:uid="{00000000-0005-0000-0000-0000AD070000}"/>
    <cellStyle name="Normal 4 3 2 2 2 3 2 2 2 3 3" xfId="16935" xr:uid="{00000000-0005-0000-0000-0000AE070000}"/>
    <cellStyle name="Normal 4 3 2 2 2 3 2 2 2 3 3 2" xfId="41511" xr:uid="{00000000-0005-0000-0000-0000AF070000}"/>
    <cellStyle name="Normal 4 3 2 2 2 3 2 2 2 3 4" xfId="29223" xr:uid="{00000000-0005-0000-0000-0000B0070000}"/>
    <cellStyle name="Normal 4 3 2 2 2 3 2 2 2 4" xfId="7719" xr:uid="{00000000-0005-0000-0000-0000B1070000}"/>
    <cellStyle name="Normal 4 3 2 2 2 3 2 2 2 4 2" xfId="20007" xr:uid="{00000000-0005-0000-0000-0000B2070000}"/>
    <cellStyle name="Normal 4 3 2 2 2 3 2 2 2 4 2 2" xfId="44583" xr:uid="{00000000-0005-0000-0000-0000B3070000}"/>
    <cellStyle name="Normal 4 3 2 2 2 3 2 2 2 4 3" xfId="32295" xr:uid="{00000000-0005-0000-0000-0000B4070000}"/>
    <cellStyle name="Normal 4 3 2 2 2 3 2 2 2 5" xfId="13863" xr:uid="{00000000-0005-0000-0000-0000B5070000}"/>
    <cellStyle name="Normal 4 3 2 2 2 3 2 2 2 5 2" xfId="38439" xr:uid="{00000000-0005-0000-0000-0000B6070000}"/>
    <cellStyle name="Normal 4 3 2 2 2 3 2 2 2 6" xfId="26151" xr:uid="{00000000-0005-0000-0000-0000B7070000}"/>
    <cellStyle name="Normal 4 3 2 2 2 3 2 2 3" xfId="2339" xr:uid="{00000000-0005-0000-0000-0000B8070000}"/>
    <cellStyle name="Normal 4 3 2 2 2 3 2 2 3 2" xfId="5415" xr:uid="{00000000-0005-0000-0000-0000B9070000}"/>
    <cellStyle name="Normal 4 3 2 2 2 3 2 2 3 2 2" xfId="11559" xr:uid="{00000000-0005-0000-0000-0000BA070000}"/>
    <cellStyle name="Normal 4 3 2 2 2 3 2 2 3 2 2 2" xfId="23847" xr:uid="{00000000-0005-0000-0000-0000BB070000}"/>
    <cellStyle name="Normal 4 3 2 2 2 3 2 2 3 2 2 2 2" xfId="48423" xr:uid="{00000000-0005-0000-0000-0000BC070000}"/>
    <cellStyle name="Normal 4 3 2 2 2 3 2 2 3 2 2 3" xfId="36135" xr:uid="{00000000-0005-0000-0000-0000BD070000}"/>
    <cellStyle name="Normal 4 3 2 2 2 3 2 2 3 2 3" xfId="17703" xr:uid="{00000000-0005-0000-0000-0000BE070000}"/>
    <cellStyle name="Normal 4 3 2 2 2 3 2 2 3 2 3 2" xfId="42279" xr:uid="{00000000-0005-0000-0000-0000BF070000}"/>
    <cellStyle name="Normal 4 3 2 2 2 3 2 2 3 2 4" xfId="29991" xr:uid="{00000000-0005-0000-0000-0000C0070000}"/>
    <cellStyle name="Normal 4 3 2 2 2 3 2 2 3 3" xfId="8487" xr:uid="{00000000-0005-0000-0000-0000C1070000}"/>
    <cellStyle name="Normal 4 3 2 2 2 3 2 2 3 3 2" xfId="20775" xr:uid="{00000000-0005-0000-0000-0000C2070000}"/>
    <cellStyle name="Normal 4 3 2 2 2 3 2 2 3 3 2 2" xfId="45351" xr:uid="{00000000-0005-0000-0000-0000C3070000}"/>
    <cellStyle name="Normal 4 3 2 2 2 3 2 2 3 3 3" xfId="33063" xr:uid="{00000000-0005-0000-0000-0000C4070000}"/>
    <cellStyle name="Normal 4 3 2 2 2 3 2 2 3 4" xfId="14631" xr:uid="{00000000-0005-0000-0000-0000C5070000}"/>
    <cellStyle name="Normal 4 3 2 2 2 3 2 2 3 4 2" xfId="39207" xr:uid="{00000000-0005-0000-0000-0000C6070000}"/>
    <cellStyle name="Normal 4 3 2 2 2 3 2 2 3 5" xfId="26919" xr:uid="{00000000-0005-0000-0000-0000C7070000}"/>
    <cellStyle name="Normal 4 3 2 2 2 3 2 2 4" xfId="3879" xr:uid="{00000000-0005-0000-0000-0000C8070000}"/>
    <cellStyle name="Normal 4 3 2 2 2 3 2 2 4 2" xfId="10023" xr:uid="{00000000-0005-0000-0000-0000C9070000}"/>
    <cellStyle name="Normal 4 3 2 2 2 3 2 2 4 2 2" xfId="22311" xr:uid="{00000000-0005-0000-0000-0000CA070000}"/>
    <cellStyle name="Normal 4 3 2 2 2 3 2 2 4 2 2 2" xfId="46887" xr:uid="{00000000-0005-0000-0000-0000CB070000}"/>
    <cellStyle name="Normal 4 3 2 2 2 3 2 2 4 2 3" xfId="34599" xr:uid="{00000000-0005-0000-0000-0000CC070000}"/>
    <cellStyle name="Normal 4 3 2 2 2 3 2 2 4 3" xfId="16167" xr:uid="{00000000-0005-0000-0000-0000CD070000}"/>
    <cellStyle name="Normal 4 3 2 2 2 3 2 2 4 3 2" xfId="40743" xr:uid="{00000000-0005-0000-0000-0000CE070000}"/>
    <cellStyle name="Normal 4 3 2 2 2 3 2 2 4 4" xfId="28455" xr:uid="{00000000-0005-0000-0000-0000CF070000}"/>
    <cellStyle name="Normal 4 3 2 2 2 3 2 2 5" xfId="6951" xr:uid="{00000000-0005-0000-0000-0000D0070000}"/>
    <cellStyle name="Normal 4 3 2 2 2 3 2 2 5 2" xfId="19239" xr:uid="{00000000-0005-0000-0000-0000D1070000}"/>
    <cellStyle name="Normal 4 3 2 2 2 3 2 2 5 2 2" xfId="43815" xr:uid="{00000000-0005-0000-0000-0000D2070000}"/>
    <cellStyle name="Normal 4 3 2 2 2 3 2 2 5 3" xfId="31527" xr:uid="{00000000-0005-0000-0000-0000D3070000}"/>
    <cellStyle name="Normal 4 3 2 2 2 3 2 2 6" xfId="13095" xr:uid="{00000000-0005-0000-0000-0000D4070000}"/>
    <cellStyle name="Normal 4 3 2 2 2 3 2 2 6 2" xfId="37671" xr:uid="{00000000-0005-0000-0000-0000D5070000}"/>
    <cellStyle name="Normal 4 3 2 2 2 3 2 2 7" xfId="25383" xr:uid="{00000000-0005-0000-0000-0000D6070000}"/>
    <cellStyle name="Normal 4 3 2 2 2 3 2 3" xfId="1187" xr:uid="{00000000-0005-0000-0000-0000D7070000}"/>
    <cellStyle name="Normal 4 3 2 2 2 3 2 3 2" xfId="2723" xr:uid="{00000000-0005-0000-0000-0000D8070000}"/>
    <cellStyle name="Normal 4 3 2 2 2 3 2 3 2 2" xfId="5799" xr:uid="{00000000-0005-0000-0000-0000D9070000}"/>
    <cellStyle name="Normal 4 3 2 2 2 3 2 3 2 2 2" xfId="11943" xr:uid="{00000000-0005-0000-0000-0000DA070000}"/>
    <cellStyle name="Normal 4 3 2 2 2 3 2 3 2 2 2 2" xfId="24231" xr:uid="{00000000-0005-0000-0000-0000DB070000}"/>
    <cellStyle name="Normal 4 3 2 2 2 3 2 3 2 2 2 2 2" xfId="48807" xr:uid="{00000000-0005-0000-0000-0000DC070000}"/>
    <cellStyle name="Normal 4 3 2 2 2 3 2 3 2 2 2 3" xfId="36519" xr:uid="{00000000-0005-0000-0000-0000DD070000}"/>
    <cellStyle name="Normal 4 3 2 2 2 3 2 3 2 2 3" xfId="18087" xr:uid="{00000000-0005-0000-0000-0000DE070000}"/>
    <cellStyle name="Normal 4 3 2 2 2 3 2 3 2 2 3 2" xfId="42663" xr:uid="{00000000-0005-0000-0000-0000DF070000}"/>
    <cellStyle name="Normal 4 3 2 2 2 3 2 3 2 2 4" xfId="30375" xr:uid="{00000000-0005-0000-0000-0000E0070000}"/>
    <cellStyle name="Normal 4 3 2 2 2 3 2 3 2 3" xfId="8871" xr:uid="{00000000-0005-0000-0000-0000E1070000}"/>
    <cellStyle name="Normal 4 3 2 2 2 3 2 3 2 3 2" xfId="21159" xr:uid="{00000000-0005-0000-0000-0000E2070000}"/>
    <cellStyle name="Normal 4 3 2 2 2 3 2 3 2 3 2 2" xfId="45735" xr:uid="{00000000-0005-0000-0000-0000E3070000}"/>
    <cellStyle name="Normal 4 3 2 2 2 3 2 3 2 3 3" xfId="33447" xr:uid="{00000000-0005-0000-0000-0000E4070000}"/>
    <cellStyle name="Normal 4 3 2 2 2 3 2 3 2 4" xfId="15015" xr:uid="{00000000-0005-0000-0000-0000E5070000}"/>
    <cellStyle name="Normal 4 3 2 2 2 3 2 3 2 4 2" xfId="39591" xr:uid="{00000000-0005-0000-0000-0000E6070000}"/>
    <cellStyle name="Normal 4 3 2 2 2 3 2 3 2 5" xfId="27303" xr:uid="{00000000-0005-0000-0000-0000E7070000}"/>
    <cellStyle name="Normal 4 3 2 2 2 3 2 3 3" xfId="4263" xr:uid="{00000000-0005-0000-0000-0000E8070000}"/>
    <cellStyle name="Normal 4 3 2 2 2 3 2 3 3 2" xfId="10407" xr:uid="{00000000-0005-0000-0000-0000E9070000}"/>
    <cellStyle name="Normal 4 3 2 2 2 3 2 3 3 2 2" xfId="22695" xr:uid="{00000000-0005-0000-0000-0000EA070000}"/>
    <cellStyle name="Normal 4 3 2 2 2 3 2 3 3 2 2 2" xfId="47271" xr:uid="{00000000-0005-0000-0000-0000EB070000}"/>
    <cellStyle name="Normal 4 3 2 2 2 3 2 3 3 2 3" xfId="34983" xr:uid="{00000000-0005-0000-0000-0000EC070000}"/>
    <cellStyle name="Normal 4 3 2 2 2 3 2 3 3 3" xfId="16551" xr:uid="{00000000-0005-0000-0000-0000ED070000}"/>
    <cellStyle name="Normal 4 3 2 2 2 3 2 3 3 3 2" xfId="41127" xr:uid="{00000000-0005-0000-0000-0000EE070000}"/>
    <cellStyle name="Normal 4 3 2 2 2 3 2 3 3 4" xfId="28839" xr:uid="{00000000-0005-0000-0000-0000EF070000}"/>
    <cellStyle name="Normal 4 3 2 2 2 3 2 3 4" xfId="7335" xr:uid="{00000000-0005-0000-0000-0000F0070000}"/>
    <cellStyle name="Normal 4 3 2 2 2 3 2 3 4 2" xfId="19623" xr:uid="{00000000-0005-0000-0000-0000F1070000}"/>
    <cellStyle name="Normal 4 3 2 2 2 3 2 3 4 2 2" xfId="44199" xr:uid="{00000000-0005-0000-0000-0000F2070000}"/>
    <cellStyle name="Normal 4 3 2 2 2 3 2 3 4 3" xfId="31911" xr:uid="{00000000-0005-0000-0000-0000F3070000}"/>
    <cellStyle name="Normal 4 3 2 2 2 3 2 3 5" xfId="13479" xr:uid="{00000000-0005-0000-0000-0000F4070000}"/>
    <cellStyle name="Normal 4 3 2 2 2 3 2 3 5 2" xfId="38055" xr:uid="{00000000-0005-0000-0000-0000F5070000}"/>
    <cellStyle name="Normal 4 3 2 2 2 3 2 3 6" xfId="25767" xr:uid="{00000000-0005-0000-0000-0000F6070000}"/>
    <cellStyle name="Normal 4 3 2 2 2 3 2 4" xfId="1955" xr:uid="{00000000-0005-0000-0000-0000F7070000}"/>
    <cellStyle name="Normal 4 3 2 2 2 3 2 4 2" xfId="5031" xr:uid="{00000000-0005-0000-0000-0000F8070000}"/>
    <cellStyle name="Normal 4 3 2 2 2 3 2 4 2 2" xfId="11175" xr:uid="{00000000-0005-0000-0000-0000F9070000}"/>
    <cellStyle name="Normal 4 3 2 2 2 3 2 4 2 2 2" xfId="23463" xr:uid="{00000000-0005-0000-0000-0000FA070000}"/>
    <cellStyle name="Normal 4 3 2 2 2 3 2 4 2 2 2 2" xfId="48039" xr:uid="{00000000-0005-0000-0000-0000FB070000}"/>
    <cellStyle name="Normal 4 3 2 2 2 3 2 4 2 2 3" xfId="35751" xr:uid="{00000000-0005-0000-0000-0000FC070000}"/>
    <cellStyle name="Normal 4 3 2 2 2 3 2 4 2 3" xfId="17319" xr:uid="{00000000-0005-0000-0000-0000FD070000}"/>
    <cellStyle name="Normal 4 3 2 2 2 3 2 4 2 3 2" xfId="41895" xr:uid="{00000000-0005-0000-0000-0000FE070000}"/>
    <cellStyle name="Normal 4 3 2 2 2 3 2 4 2 4" xfId="29607" xr:uid="{00000000-0005-0000-0000-0000FF070000}"/>
    <cellStyle name="Normal 4 3 2 2 2 3 2 4 3" xfId="8103" xr:uid="{00000000-0005-0000-0000-000000080000}"/>
    <cellStyle name="Normal 4 3 2 2 2 3 2 4 3 2" xfId="20391" xr:uid="{00000000-0005-0000-0000-000001080000}"/>
    <cellStyle name="Normal 4 3 2 2 2 3 2 4 3 2 2" xfId="44967" xr:uid="{00000000-0005-0000-0000-000002080000}"/>
    <cellStyle name="Normal 4 3 2 2 2 3 2 4 3 3" xfId="32679" xr:uid="{00000000-0005-0000-0000-000003080000}"/>
    <cellStyle name="Normal 4 3 2 2 2 3 2 4 4" xfId="14247" xr:uid="{00000000-0005-0000-0000-000004080000}"/>
    <cellStyle name="Normal 4 3 2 2 2 3 2 4 4 2" xfId="38823" xr:uid="{00000000-0005-0000-0000-000005080000}"/>
    <cellStyle name="Normal 4 3 2 2 2 3 2 4 5" xfId="26535" xr:uid="{00000000-0005-0000-0000-000006080000}"/>
    <cellStyle name="Normal 4 3 2 2 2 3 2 5" xfId="3495" xr:uid="{00000000-0005-0000-0000-000007080000}"/>
    <cellStyle name="Normal 4 3 2 2 2 3 2 5 2" xfId="9639" xr:uid="{00000000-0005-0000-0000-000008080000}"/>
    <cellStyle name="Normal 4 3 2 2 2 3 2 5 2 2" xfId="21927" xr:uid="{00000000-0005-0000-0000-000009080000}"/>
    <cellStyle name="Normal 4 3 2 2 2 3 2 5 2 2 2" xfId="46503" xr:uid="{00000000-0005-0000-0000-00000A080000}"/>
    <cellStyle name="Normal 4 3 2 2 2 3 2 5 2 3" xfId="34215" xr:uid="{00000000-0005-0000-0000-00000B080000}"/>
    <cellStyle name="Normal 4 3 2 2 2 3 2 5 3" xfId="15783" xr:uid="{00000000-0005-0000-0000-00000C080000}"/>
    <cellStyle name="Normal 4 3 2 2 2 3 2 5 3 2" xfId="40359" xr:uid="{00000000-0005-0000-0000-00000D080000}"/>
    <cellStyle name="Normal 4 3 2 2 2 3 2 5 4" xfId="28071" xr:uid="{00000000-0005-0000-0000-00000E080000}"/>
    <cellStyle name="Normal 4 3 2 2 2 3 2 6" xfId="6567" xr:uid="{00000000-0005-0000-0000-00000F080000}"/>
    <cellStyle name="Normal 4 3 2 2 2 3 2 6 2" xfId="18855" xr:uid="{00000000-0005-0000-0000-000010080000}"/>
    <cellStyle name="Normal 4 3 2 2 2 3 2 6 2 2" xfId="43431" xr:uid="{00000000-0005-0000-0000-000011080000}"/>
    <cellStyle name="Normal 4 3 2 2 2 3 2 6 3" xfId="31143" xr:uid="{00000000-0005-0000-0000-000012080000}"/>
    <cellStyle name="Normal 4 3 2 2 2 3 2 7" xfId="12711" xr:uid="{00000000-0005-0000-0000-000013080000}"/>
    <cellStyle name="Normal 4 3 2 2 2 3 2 7 2" xfId="37287" xr:uid="{00000000-0005-0000-0000-000014080000}"/>
    <cellStyle name="Normal 4 3 2 2 2 3 2 8" xfId="24999" xr:uid="{00000000-0005-0000-0000-000015080000}"/>
    <cellStyle name="Normal 4 3 2 2 2 3 3" xfId="611" xr:uid="{00000000-0005-0000-0000-000016080000}"/>
    <cellStyle name="Normal 4 3 2 2 2 3 3 2" xfId="1379" xr:uid="{00000000-0005-0000-0000-000017080000}"/>
    <cellStyle name="Normal 4 3 2 2 2 3 3 2 2" xfId="2915" xr:uid="{00000000-0005-0000-0000-000018080000}"/>
    <cellStyle name="Normal 4 3 2 2 2 3 3 2 2 2" xfId="5991" xr:uid="{00000000-0005-0000-0000-000019080000}"/>
    <cellStyle name="Normal 4 3 2 2 2 3 3 2 2 2 2" xfId="12135" xr:uid="{00000000-0005-0000-0000-00001A080000}"/>
    <cellStyle name="Normal 4 3 2 2 2 3 3 2 2 2 2 2" xfId="24423" xr:uid="{00000000-0005-0000-0000-00001B080000}"/>
    <cellStyle name="Normal 4 3 2 2 2 3 3 2 2 2 2 2 2" xfId="48999" xr:uid="{00000000-0005-0000-0000-00001C080000}"/>
    <cellStyle name="Normal 4 3 2 2 2 3 3 2 2 2 2 3" xfId="36711" xr:uid="{00000000-0005-0000-0000-00001D080000}"/>
    <cellStyle name="Normal 4 3 2 2 2 3 3 2 2 2 3" xfId="18279" xr:uid="{00000000-0005-0000-0000-00001E080000}"/>
    <cellStyle name="Normal 4 3 2 2 2 3 3 2 2 2 3 2" xfId="42855" xr:uid="{00000000-0005-0000-0000-00001F080000}"/>
    <cellStyle name="Normal 4 3 2 2 2 3 3 2 2 2 4" xfId="30567" xr:uid="{00000000-0005-0000-0000-000020080000}"/>
    <cellStyle name="Normal 4 3 2 2 2 3 3 2 2 3" xfId="9063" xr:uid="{00000000-0005-0000-0000-000021080000}"/>
    <cellStyle name="Normal 4 3 2 2 2 3 3 2 2 3 2" xfId="21351" xr:uid="{00000000-0005-0000-0000-000022080000}"/>
    <cellStyle name="Normal 4 3 2 2 2 3 3 2 2 3 2 2" xfId="45927" xr:uid="{00000000-0005-0000-0000-000023080000}"/>
    <cellStyle name="Normal 4 3 2 2 2 3 3 2 2 3 3" xfId="33639" xr:uid="{00000000-0005-0000-0000-000024080000}"/>
    <cellStyle name="Normal 4 3 2 2 2 3 3 2 2 4" xfId="15207" xr:uid="{00000000-0005-0000-0000-000025080000}"/>
    <cellStyle name="Normal 4 3 2 2 2 3 3 2 2 4 2" xfId="39783" xr:uid="{00000000-0005-0000-0000-000026080000}"/>
    <cellStyle name="Normal 4 3 2 2 2 3 3 2 2 5" xfId="27495" xr:uid="{00000000-0005-0000-0000-000027080000}"/>
    <cellStyle name="Normal 4 3 2 2 2 3 3 2 3" xfId="4455" xr:uid="{00000000-0005-0000-0000-000028080000}"/>
    <cellStyle name="Normal 4 3 2 2 2 3 3 2 3 2" xfId="10599" xr:uid="{00000000-0005-0000-0000-000029080000}"/>
    <cellStyle name="Normal 4 3 2 2 2 3 3 2 3 2 2" xfId="22887" xr:uid="{00000000-0005-0000-0000-00002A080000}"/>
    <cellStyle name="Normal 4 3 2 2 2 3 3 2 3 2 2 2" xfId="47463" xr:uid="{00000000-0005-0000-0000-00002B080000}"/>
    <cellStyle name="Normal 4 3 2 2 2 3 3 2 3 2 3" xfId="35175" xr:uid="{00000000-0005-0000-0000-00002C080000}"/>
    <cellStyle name="Normal 4 3 2 2 2 3 3 2 3 3" xfId="16743" xr:uid="{00000000-0005-0000-0000-00002D080000}"/>
    <cellStyle name="Normal 4 3 2 2 2 3 3 2 3 3 2" xfId="41319" xr:uid="{00000000-0005-0000-0000-00002E080000}"/>
    <cellStyle name="Normal 4 3 2 2 2 3 3 2 3 4" xfId="29031" xr:uid="{00000000-0005-0000-0000-00002F080000}"/>
    <cellStyle name="Normal 4 3 2 2 2 3 3 2 4" xfId="7527" xr:uid="{00000000-0005-0000-0000-000030080000}"/>
    <cellStyle name="Normal 4 3 2 2 2 3 3 2 4 2" xfId="19815" xr:uid="{00000000-0005-0000-0000-000031080000}"/>
    <cellStyle name="Normal 4 3 2 2 2 3 3 2 4 2 2" xfId="44391" xr:uid="{00000000-0005-0000-0000-000032080000}"/>
    <cellStyle name="Normal 4 3 2 2 2 3 3 2 4 3" xfId="32103" xr:uid="{00000000-0005-0000-0000-000033080000}"/>
    <cellStyle name="Normal 4 3 2 2 2 3 3 2 5" xfId="13671" xr:uid="{00000000-0005-0000-0000-000034080000}"/>
    <cellStyle name="Normal 4 3 2 2 2 3 3 2 5 2" xfId="38247" xr:uid="{00000000-0005-0000-0000-000035080000}"/>
    <cellStyle name="Normal 4 3 2 2 2 3 3 2 6" xfId="25959" xr:uid="{00000000-0005-0000-0000-000036080000}"/>
    <cellStyle name="Normal 4 3 2 2 2 3 3 3" xfId="2147" xr:uid="{00000000-0005-0000-0000-000037080000}"/>
    <cellStyle name="Normal 4 3 2 2 2 3 3 3 2" xfId="5223" xr:uid="{00000000-0005-0000-0000-000038080000}"/>
    <cellStyle name="Normal 4 3 2 2 2 3 3 3 2 2" xfId="11367" xr:uid="{00000000-0005-0000-0000-000039080000}"/>
    <cellStyle name="Normal 4 3 2 2 2 3 3 3 2 2 2" xfId="23655" xr:uid="{00000000-0005-0000-0000-00003A080000}"/>
    <cellStyle name="Normal 4 3 2 2 2 3 3 3 2 2 2 2" xfId="48231" xr:uid="{00000000-0005-0000-0000-00003B080000}"/>
    <cellStyle name="Normal 4 3 2 2 2 3 3 3 2 2 3" xfId="35943" xr:uid="{00000000-0005-0000-0000-00003C080000}"/>
    <cellStyle name="Normal 4 3 2 2 2 3 3 3 2 3" xfId="17511" xr:uid="{00000000-0005-0000-0000-00003D080000}"/>
    <cellStyle name="Normal 4 3 2 2 2 3 3 3 2 3 2" xfId="42087" xr:uid="{00000000-0005-0000-0000-00003E080000}"/>
    <cellStyle name="Normal 4 3 2 2 2 3 3 3 2 4" xfId="29799" xr:uid="{00000000-0005-0000-0000-00003F080000}"/>
    <cellStyle name="Normal 4 3 2 2 2 3 3 3 3" xfId="8295" xr:uid="{00000000-0005-0000-0000-000040080000}"/>
    <cellStyle name="Normal 4 3 2 2 2 3 3 3 3 2" xfId="20583" xr:uid="{00000000-0005-0000-0000-000041080000}"/>
    <cellStyle name="Normal 4 3 2 2 2 3 3 3 3 2 2" xfId="45159" xr:uid="{00000000-0005-0000-0000-000042080000}"/>
    <cellStyle name="Normal 4 3 2 2 2 3 3 3 3 3" xfId="32871" xr:uid="{00000000-0005-0000-0000-000043080000}"/>
    <cellStyle name="Normal 4 3 2 2 2 3 3 3 4" xfId="14439" xr:uid="{00000000-0005-0000-0000-000044080000}"/>
    <cellStyle name="Normal 4 3 2 2 2 3 3 3 4 2" xfId="39015" xr:uid="{00000000-0005-0000-0000-000045080000}"/>
    <cellStyle name="Normal 4 3 2 2 2 3 3 3 5" xfId="26727" xr:uid="{00000000-0005-0000-0000-000046080000}"/>
    <cellStyle name="Normal 4 3 2 2 2 3 3 4" xfId="3687" xr:uid="{00000000-0005-0000-0000-000047080000}"/>
    <cellStyle name="Normal 4 3 2 2 2 3 3 4 2" xfId="9831" xr:uid="{00000000-0005-0000-0000-000048080000}"/>
    <cellStyle name="Normal 4 3 2 2 2 3 3 4 2 2" xfId="22119" xr:uid="{00000000-0005-0000-0000-000049080000}"/>
    <cellStyle name="Normal 4 3 2 2 2 3 3 4 2 2 2" xfId="46695" xr:uid="{00000000-0005-0000-0000-00004A080000}"/>
    <cellStyle name="Normal 4 3 2 2 2 3 3 4 2 3" xfId="34407" xr:uid="{00000000-0005-0000-0000-00004B080000}"/>
    <cellStyle name="Normal 4 3 2 2 2 3 3 4 3" xfId="15975" xr:uid="{00000000-0005-0000-0000-00004C080000}"/>
    <cellStyle name="Normal 4 3 2 2 2 3 3 4 3 2" xfId="40551" xr:uid="{00000000-0005-0000-0000-00004D080000}"/>
    <cellStyle name="Normal 4 3 2 2 2 3 3 4 4" xfId="28263" xr:uid="{00000000-0005-0000-0000-00004E080000}"/>
    <cellStyle name="Normal 4 3 2 2 2 3 3 5" xfId="6759" xr:uid="{00000000-0005-0000-0000-00004F080000}"/>
    <cellStyle name="Normal 4 3 2 2 2 3 3 5 2" xfId="19047" xr:uid="{00000000-0005-0000-0000-000050080000}"/>
    <cellStyle name="Normal 4 3 2 2 2 3 3 5 2 2" xfId="43623" xr:uid="{00000000-0005-0000-0000-000051080000}"/>
    <cellStyle name="Normal 4 3 2 2 2 3 3 5 3" xfId="31335" xr:uid="{00000000-0005-0000-0000-000052080000}"/>
    <cellStyle name="Normal 4 3 2 2 2 3 3 6" xfId="12903" xr:uid="{00000000-0005-0000-0000-000053080000}"/>
    <cellStyle name="Normal 4 3 2 2 2 3 3 6 2" xfId="37479" xr:uid="{00000000-0005-0000-0000-000054080000}"/>
    <cellStyle name="Normal 4 3 2 2 2 3 3 7" xfId="25191" xr:uid="{00000000-0005-0000-0000-000055080000}"/>
    <cellStyle name="Normal 4 3 2 2 2 3 4" xfId="995" xr:uid="{00000000-0005-0000-0000-000056080000}"/>
    <cellStyle name="Normal 4 3 2 2 2 3 4 2" xfId="2531" xr:uid="{00000000-0005-0000-0000-000057080000}"/>
    <cellStyle name="Normal 4 3 2 2 2 3 4 2 2" xfId="5607" xr:uid="{00000000-0005-0000-0000-000058080000}"/>
    <cellStyle name="Normal 4 3 2 2 2 3 4 2 2 2" xfId="11751" xr:uid="{00000000-0005-0000-0000-000059080000}"/>
    <cellStyle name="Normal 4 3 2 2 2 3 4 2 2 2 2" xfId="24039" xr:uid="{00000000-0005-0000-0000-00005A080000}"/>
    <cellStyle name="Normal 4 3 2 2 2 3 4 2 2 2 2 2" xfId="48615" xr:uid="{00000000-0005-0000-0000-00005B080000}"/>
    <cellStyle name="Normal 4 3 2 2 2 3 4 2 2 2 3" xfId="36327" xr:uid="{00000000-0005-0000-0000-00005C080000}"/>
    <cellStyle name="Normal 4 3 2 2 2 3 4 2 2 3" xfId="17895" xr:uid="{00000000-0005-0000-0000-00005D080000}"/>
    <cellStyle name="Normal 4 3 2 2 2 3 4 2 2 3 2" xfId="42471" xr:uid="{00000000-0005-0000-0000-00005E080000}"/>
    <cellStyle name="Normal 4 3 2 2 2 3 4 2 2 4" xfId="30183" xr:uid="{00000000-0005-0000-0000-00005F080000}"/>
    <cellStyle name="Normal 4 3 2 2 2 3 4 2 3" xfId="8679" xr:uid="{00000000-0005-0000-0000-000060080000}"/>
    <cellStyle name="Normal 4 3 2 2 2 3 4 2 3 2" xfId="20967" xr:uid="{00000000-0005-0000-0000-000061080000}"/>
    <cellStyle name="Normal 4 3 2 2 2 3 4 2 3 2 2" xfId="45543" xr:uid="{00000000-0005-0000-0000-000062080000}"/>
    <cellStyle name="Normal 4 3 2 2 2 3 4 2 3 3" xfId="33255" xr:uid="{00000000-0005-0000-0000-000063080000}"/>
    <cellStyle name="Normal 4 3 2 2 2 3 4 2 4" xfId="14823" xr:uid="{00000000-0005-0000-0000-000064080000}"/>
    <cellStyle name="Normal 4 3 2 2 2 3 4 2 4 2" xfId="39399" xr:uid="{00000000-0005-0000-0000-000065080000}"/>
    <cellStyle name="Normal 4 3 2 2 2 3 4 2 5" xfId="27111" xr:uid="{00000000-0005-0000-0000-000066080000}"/>
    <cellStyle name="Normal 4 3 2 2 2 3 4 3" xfId="4071" xr:uid="{00000000-0005-0000-0000-000067080000}"/>
    <cellStyle name="Normal 4 3 2 2 2 3 4 3 2" xfId="10215" xr:uid="{00000000-0005-0000-0000-000068080000}"/>
    <cellStyle name="Normal 4 3 2 2 2 3 4 3 2 2" xfId="22503" xr:uid="{00000000-0005-0000-0000-000069080000}"/>
    <cellStyle name="Normal 4 3 2 2 2 3 4 3 2 2 2" xfId="47079" xr:uid="{00000000-0005-0000-0000-00006A080000}"/>
    <cellStyle name="Normal 4 3 2 2 2 3 4 3 2 3" xfId="34791" xr:uid="{00000000-0005-0000-0000-00006B080000}"/>
    <cellStyle name="Normal 4 3 2 2 2 3 4 3 3" xfId="16359" xr:uid="{00000000-0005-0000-0000-00006C080000}"/>
    <cellStyle name="Normal 4 3 2 2 2 3 4 3 3 2" xfId="40935" xr:uid="{00000000-0005-0000-0000-00006D080000}"/>
    <cellStyle name="Normal 4 3 2 2 2 3 4 3 4" xfId="28647" xr:uid="{00000000-0005-0000-0000-00006E080000}"/>
    <cellStyle name="Normal 4 3 2 2 2 3 4 4" xfId="7143" xr:uid="{00000000-0005-0000-0000-00006F080000}"/>
    <cellStyle name="Normal 4 3 2 2 2 3 4 4 2" xfId="19431" xr:uid="{00000000-0005-0000-0000-000070080000}"/>
    <cellStyle name="Normal 4 3 2 2 2 3 4 4 2 2" xfId="44007" xr:uid="{00000000-0005-0000-0000-000071080000}"/>
    <cellStyle name="Normal 4 3 2 2 2 3 4 4 3" xfId="31719" xr:uid="{00000000-0005-0000-0000-000072080000}"/>
    <cellStyle name="Normal 4 3 2 2 2 3 4 5" xfId="13287" xr:uid="{00000000-0005-0000-0000-000073080000}"/>
    <cellStyle name="Normal 4 3 2 2 2 3 4 5 2" xfId="37863" xr:uid="{00000000-0005-0000-0000-000074080000}"/>
    <cellStyle name="Normal 4 3 2 2 2 3 4 6" xfId="25575" xr:uid="{00000000-0005-0000-0000-000075080000}"/>
    <cellStyle name="Normal 4 3 2 2 2 3 5" xfId="1763" xr:uid="{00000000-0005-0000-0000-000076080000}"/>
    <cellStyle name="Normal 4 3 2 2 2 3 5 2" xfId="4839" xr:uid="{00000000-0005-0000-0000-000077080000}"/>
    <cellStyle name="Normal 4 3 2 2 2 3 5 2 2" xfId="10983" xr:uid="{00000000-0005-0000-0000-000078080000}"/>
    <cellStyle name="Normal 4 3 2 2 2 3 5 2 2 2" xfId="23271" xr:uid="{00000000-0005-0000-0000-000079080000}"/>
    <cellStyle name="Normal 4 3 2 2 2 3 5 2 2 2 2" xfId="47847" xr:uid="{00000000-0005-0000-0000-00007A080000}"/>
    <cellStyle name="Normal 4 3 2 2 2 3 5 2 2 3" xfId="35559" xr:uid="{00000000-0005-0000-0000-00007B080000}"/>
    <cellStyle name="Normal 4 3 2 2 2 3 5 2 3" xfId="17127" xr:uid="{00000000-0005-0000-0000-00007C080000}"/>
    <cellStyle name="Normal 4 3 2 2 2 3 5 2 3 2" xfId="41703" xr:uid="{00000000-0005-0000-0000-00007D080000}"/>
    <cellStyle name="Normal 4 3 2 2 2 3 5 2 4" xfId="29415" xr:uid="{00000000-0005-0000-0000-00007E080000}"/>
    <cellStyle name="Normal 4 3 2 2 2 3 5 3" xfId="7911" xr:uid="{00000000-0005-0000-0000-00007F080000}"/>
    <cellStyle name="Normal 4 3 2 2 2 3 5 3 2" xfId="20199" xr:uid="{00000000-0005-0000-0000-000080080000}"/>
    <cellStyle name="Normal 4 3 2 2 2 3 5 3 2 2" xfId="44775" xr:uid="{00000000-0005-0000-0000-000081080000}"/>
    <cellStyle name="Normal 4 3 2 2 2 3 5 3 3" xfId="32487" xr:uid="{00000000-0005-0000-0000-000082080000}"/>
    <cellStyle name="Normal 4 3 2 2 2 3 5 4" xfId="14055" xr:uid="{00000000-0005-0000-0000-000083080000}"/>
    <cellStyle name="Normal 4 3 2 2 2 3 5 4 2" xfId="38631" xr:uid="{00000000-0005-0000-0000-000084080000}"/>
    <cellStyle name="Normal 4 3 2 2 2 3 5 5" xfId="26343" xr:uid="{00000000-0005-0000-0000-000085080000}"/>
    <cellStyle name="Normal 4 3 2 2 2 3 6" xfId="3303" xr:uid="{00000000-0005-0000-0000-000086080000}"/>
    <cellStyle name="Normal 4 3 2 2 2 3 6 2" xfId="9447" xr:uid="{00000000-0005-0000-0000-000087080000}"/>
    <cellStyle name="Normal 4 3 2 2 2 3 6 2 2" xfId="21735" xr:uid="{00000000-0005-0000-0000-000088080000}"/>
    <cellStyle name="Normal 4 3 2 2 2 3 6 2 2 2" xfId="46311" xr:uid="{00000000-0005-0000-0000-000089080000}"/>
    <cellStyle name="Normal 4 3 2 2 2 3 6 2 3" xfId="34023" xr:uid="{00000000-0005-0000-0000-00008A080000}"/>
    <cellStyle name="Normal 4 3 2 2 2 3 6 3" xfId="15591" xr:uid="{00000000-0005-0000-0000-00008B080000}"/>
    <cellStyle name="Normal 4 3 2 2 2 3 6 3 2" xfId="40167" xr:uid="{00000000-0005-0000-0000-00008C080000}"/>
    <cellStyle name="Normal 4 3 2 2 2 3 6 4" xfId="27879" xr:uid="{00000000-0005-0000-0000-00008D080000}"/>
    <cellStyle name="Normal 4 3 2 2 2 3 7" xfId="6375" xr:uid="{00000000-0005-0000-0000-00008E080000}"/>
    <cellStyle name="Normal 4 3 2 2 2 3 7 2" xfId="18663" xr:uid="{00000000-0005-0000-0000-00008F080000}"/>
    <cellStyle name="Normal 4 3 2 2 2 3 7 2 2" xfId="43239" xr:uid="{00000000-0005-0000-0000-000090080000}"/>
    <cellStyle name="Normal 4 3 2 2 2 3 7 3" xfId="30951" xr:uid="{00000000-0005-0000-0000-000091080000}"/>
    <cellStyle name="Normal 4 3 2 2 2 3 8" xfId="12519" xr:uid="{00000000-0005-0000-0000-000092080000}"/>
    <cellStyle name="Normal 4 3 2 2 2 3 8 2" xfId="37095" xr:uid="{00000000-0005-0000-0000-000093080000}"/>
    <cellStyle name="Normal 4 3 2 2 2 3 9" xfId="24807" xr:uid="{00000000-0005-0000-0000-000094080000}"/>
    <cellStyle name="Normal 4 3 2 2 2 4" xfId="291" xr:uid="{00000000-0005-0000-0000-000095080000}"/>
    <cellStyle name="Normal 4 3 2 2 2 4 2" xfId="483" xr:uid="{00000000-0005-0000-0000-000096080000}"/>
    <cellStyle name="Normal 4 3 2 2 2 4 2 2" xfId="867" xr:uid="{00000000-0005-0000-0000-000097080000}"/>
    <cellStyle name="Normal 4 3 2 2 2 4 2 2 2" xfId="1635" xr:uid="{00000000-0005-0000-0000-000098080000}"/>
    <cellStyle name="Normal 4 3 2 2 2 4 2 2 2 2" xfId="3171" xr:uid="{00000000-0005-0000-0000-000099080000}"/>
    <cellStyle name="Normal 4 3 2 2 2 4 2 2 2 2 2" xfId="6247" xr:uid="{00000000-0005-0000-0000-00009A080000}"/>
    <cellStyle name="Normal 4 3 2 2 2 4 2 2 2 2 2 2" xfId="12391" xr:uid="{00000000-0005-0000-0000-00009B080000}"/>
    <cellStyle name="Normal 4 3 2 2 2 4 2 2 2 2 2 2 2" xfId="24679" xr:uid="{00000000-0005-0000-0000-00009C080000}"/>
    <cellStyle name="Normal 4 3 2 2 2 4 2 2 2 2 2 2 2 2" xfId="49255" xr:uid="{00000000-0005-0000-0000-00009D080000}"/>
    <cellStyle name="Normal 4 3 2 2 2 4 2 2 2 2 2 2 3" xfId="36967" xr:uid="{00000000-0005-0000-0000-00009E080000}"/>
    <cellStyle name="Normal 4 3 2 2 2 4 2 2 2 2 2 3" xfId="18535" xr:uid="{00000000-0005-0000-0000-00009F080000}"/>
    <cellStyle name="Normal 4 3 2 2 2 4 2 2 2 2 2 3 2" xfId="43111" xr:uid="{00000000-0005-0000-0000-0000A0080000}"/>
    <cellStyle name="Normal 4 3 2 2 2 4 2 2 2 2 2 4" xfId="30823" xr:uid="{00000000-0005-0000-0000-0000A1080000}"/>
    <cellStyle name="Normal 4 3 2 2 2 4 2 2 2 2 3" xfId="9319" xr:uid="{00000000-0005-0000-0000-0000A2080000}"/>
    <cellStyle name="Normal 4 3 2 2 2 4 2 2 2 2 3 2" xfId="21607" xr:uid="{00000000-0005-0000-0000-0000A3080000}"/>
    <cellStyle name="Normal 4 3 2 2 2 4 2 2 2 2 3 2 2" xfId="46183" xr:uid="{00000000-0005-0000-0000-0000A4080000}"/>
    <cellStyle name="Normal 4 3 2 2 2 4 2 2 2 2 3 3" xfId="33895" xr:uid="{00000000-0005-0000-0000-0000A5080000}"/>
    <cellStyle name="Normal 4 3 2 2 2 4 2 2 2 2 4" xfId="15463" xr:uid="{00000000-0005-0000-0000-0000A6080000}"/>
    <cellStyle name="Normal 4 3 2 2 2 4 2 2 2 2 4 2" xfId="40039" xr:uid="{00000000-0005-0000-0000-0000A7080000}"/>
    <cellStyle name="Normal 4 3 2 2 2 4 2 2 2 2 5" xfId="27751" xr:uid="{00000000-0005-0000-0000-0000A8080000}"/>
    <cellStyle name="Normal 4 3 2 2 2 4 2 2 2 3" xfId="4711" xr:uid="{00000000-0005-0000-0000-0000A9080000}"/>
    <cellStyle name="Normal 4 3 2 2 2 4 2 2 2 3 2" xfId="10855" xr:uid="{00000000-0005-0000-0000-0000AA080000}"/>
    <cellStyle name="Normal 4 3 2 2 2 4 2 2 2 3 2 2" xfId="23143" xr:uid="{00000000-0005-0000-0000-0000AB080000}"/>
    <cellStyle name="Normal 4 3 2 2 2 4 2 2 2 3 2 2 2" xfId="47719" xr:uid="{00000000-0005-0000-0000-0000AC080000}"/>
    <cellStyle name="Normal 4 3 2 2 2 4 2 2 2 3 2 3" xfId="35431" xr:uid="{00000000-0005-0000-0000-0000AD080000}"/>
    <cellStyle name="Normal 4 3 2 2 2 4 2 2 2 3 3" xfId="16999" xr:uid="{00000000-0005-0000-0000-0000AE080000}"/>
    <cellStyle name="Normal 4 3 2 2 2 4 2 2 2 3 3 2" xfId="41575" xr:uid="{00000000-0005-0000-0000-0000AF080000}"/>
    <cellStyle name="Normal 4 3 2 2 2 4 2 2 2 3 4" xfId="29287" xr:uid="{00000000-0005-0000-0000-0000B0080000}"/>
    <cellStyle name="Normal 4 3 2 2 2 4 2 2 2 4" xfId="7783" xr:uid="{00000000-0005-0000-0000-0000B1080000}"/>
    <cellStyle name="Normal 4 3 2 2 2 4 2 2 2 4 2" xfId="20071" xr:uid="{00000000-0005-0000-0000-0000B2080000}"/>
    <cellStyle name="Normal 4 3 2 2 2 4 2 2 2 4 2 2" xfId="44647" xr:uid="{00000000-0005-0000-0000-0000B3080000}"/>
    <cellStyle name="Normal 4 3 2 2 2 4 2 2 2 4 3" xfId="32359" xr:uid="{00000000-0005-0000-0000-0000B4080000}"/>
    <cellStyle name="Normal 4 3 2 2 2 4 2 2 2 5" xfId="13927" xr:uid="{00000000-0005-0000-0000-0000B5080000}"/>
    <cellStyle name="Normal 4 3 2 2 2 4 2 2 2 5 2" xfId="38503" xr:uid="{00000000-0005-0000-0000-0000B6080000}"/>
    <cellStyle name="Normal 4 3 2 2 2 4 2 2 2 6" xfId="26215" xr:uid="{00000000-0005-0000-0000-0000B7080000}"/>
    <cellStyle name="Normal 4 3 2 2 2 4 2 2 3" xfId="2403" xr:uid="{00000000-0005-0000-0000-0000B8080000}"/>
    <cellStyle name="Normal 4 3 2 2 2 4 2 2 3 2" xfId="5479" xr:uid="{00000000-0005-0000-0000-0000B9080000}"/>
    <cellStyle name="Normal 4 3 2 2 2 4 2 2 3 2 2" xfId="11623" xr:uid="{00000000-0005-0000-0000-0000BA080000}"/>
    <cellStyle name="Normal 4 3 2 2 2 4 2 2 3 2 2 2" xfId="23911" xr:uid="{00000000-0005-0000-0000-0000BB080000}"/>
    <cellStyle name="Normal 4 3 2 2 2 4 2 2 3 2 2 2 2" xfId="48487" xr:uid="{00000000-0005-0000-0000-0000BC080000}"/>
    <cellStyle name="Normal 4 3 2 2 2 4 2 2 3 2 2 3" xfId="36199" xr:uid="{00000000-0005-0000-0000-0000BD080000}"/>
    <cellStyle name="Normal 4 3 2 2 2 4 2 2 3 2 3" xfId="17767" xr:uid="{00000000-0005-0000-0000-0000BE080000}"/>
    <cellStyle name="Normal 4 3 2 2 2 4 2 2 3 2 3 2" xfId="42343" xr:uid="{00000000-0005-0000-0000-0000BF080000}"/>
    <cellStyle name="Normal 4 3 2 2 2 4 2 2 3 2 4" xfId="30055" xr:uid="{00000000-0005-0000-0000-0000C0080000}"/>
    <cellStyle name="Normal 4 3 2 2 2 4 2 2 3 3" xfId="8551" xr:uid="{00000000-0005-0000-0000-0000C1080000}"/>
    <cellStyle name="Normal 4 3 2 2 2 4 2 2 3 3 2" xfId="20839" xr:uid="{00000000-0005-0000-0000-0000C2080000}"/>
    <cellStyle name="Normal 4 3 2 2 2 4 2 2 3 3 2 2" xfId="45415" xr:uid="{00000000-0005-0000-0000-0000C3080000}"/>
    <cellStyle name="Normal 4 3 2 2 2 4 2 2 3 3 3" xfId="33127" xr:uid="{00000000-0005-0000-0000-0000C4080000}"/>
    <cellStyle name="Normal 4 3 2 2 2 4 2 2 3 4" xfId="14695" xr:uid="{00000000-0005-0000-0000-0000C5080000}"/>
    <cellStyle name="Normal 4 3 2 2 2 4 2 2 3 4 2" xfId="39271" xr:uid="{00000000-0005-0000-0000-0000C6080000}"/>
    <cellStyle name="Normal 4 3 2 2 2 4 2 2 3 5" xfId="26983" xr:uid="{00000000-0005-0000-0000-0000C7080000}"/>
    <cellStyle name="Normal 4 3 2 2 2 4 2 2 4" xfId="3943" xr:uid="{00000000-0005-0000-0000-0000C8080000}"/>
    <cellStyle name="Normal 4 3 2 2 2 4 2 2 4 2" xfId="10087" xr:uid="{00000000-0005-0000-0000-0000C9080000}"/>
    <cellStyle name="Normal 4 3 2 2 2 4 2 2 4 2 2" xfId="22375" xr:uid="{00000000-0005-0000-0000-0000CA080000}"/>
    <cellStyle name="Normal 4 3 2 2 2 4 2 2 4 2 2 2" xfId="46951" xr:uid="{00000000-0005-0000-0000-0000CB080000}"/>
    <cellStyle name="Normal 4 3 2 2 2 4 2 2 4 2 3" xfId="34663" xr:uid="{00000000-0005-0000-0000-0000CC080000}"/>
    <cellStyle name="Normal 4 3 2 2 2 4 2 2 4 3" xfId="16231" xr:uid="{00000000-0005-0000-0000-0000CD080000}"/>
    <cellStyle name="Normal 4 3 2 2 2 4 2 2 4 3 2" xfId="40807" xr:uid="{00000000-0005-0000-0000-0000CE080000}"/>
    <cellStyle name="Normal 4 3 2 2 2 4 2 2 4 4" xfId="28519" xr:uid="{00000000-0005-0000-0000-0000CF080000}"/>
    <cellStyle name="Normal 4 3 2 2 2 4 2 2 5" xfId="7015" xr:uid="{00000000-0005-0000-0000-0000D0080000}"/>
    <cellStyle name="Normal 4 3 2 2 2 4 2 2 5 2" xfId="19303" xr:uid="{00000000-0005-0000-0000-0000D1080000}"/>
    <cellStyle name="Normal 4 3 2 2 2 4 2 2 5 2 2" xfId="43879" xr:uid="{00000000-0005-0000-0000-0000D2080000}"/>
    <cellStyle name="Normal 4 3 2 2 2 4 2 2 5 3" xfId="31591" xr:uid="{00000000-0005-0000-0000-0000D3080000}"/>
    <cellStyle name="Normal 4 3 2 2 2 4 2 2 6" xfId="13159" xr:uid="{00000000-0005-0000-0000-0000D4080000}"/>
    <cellStyle name="Normal 4 3 2 2 2 4 2 2 6 2" xfId="37735" xr:uid="{00000000-0005-0000-0000-0000D5080000}"/>
    <cellStyle name="Normal 4 3 2 2 2 4 2 2 7" xfId="25447" xr:uid="{00000000-0005-0000-0000-0000D6080000}"/>
    <cellStyle name="Normal 4 3 2 2 2 4 2 3" xfId="1251" xr:uid="{00000000-0005-0000-0000-0000D7080000}"/>
    <cellStyle name="Normal 4 3 2 2 2 4 2 3 2" xfId="2787" xr:uid="{00000000-0005-0000-0000-0000D8080000}"/>
    <cellStyle name="Normal 4 3 2 2 2 4 2 3 2 2" xfId="5863" xr:uid="{00000000-0005-0000-0000-0000D9080000}"/>
    <cellStyle name="Normal 4 3 2 2 2 4 2 3 2 2 2" xfId="12007" xr:uid="{00000000-0005-0000-0000-0000DA080000}"/>
    <cellStyle name="Normal 4 3 2 2 2 4 2 3 2 2 2 2" xfId="24295" xr:uid="{00000000-0005-0000-0000-0000DB080000}"/>
    <cellStyle name="Normal 4 3 2 2 2 4 2 3 2 2 2 2 2" xfId="48871" xr:uid="{00000000-0005-0000-0000-0000DC080000}"/>
    <cellStyle name="Normal 4 3 2 2 2 4 2 3 2 2 2 3" xfId="36583" xr:uid="{00000000-0005-0000-0000-0000DD080000}"/>
    <cellStyle name="Normal 4 3 2 2 2 4 2 3 2 2 3" xfId="18151" xr:uid="{00000000-0005-0000-0000-0000DE080000}"/>
    <cellStyle name="Normal 4 3 2 2 2 4 2 3 2 2 3 2" xfId="42727" xr:uid="{00000000-0005-0000-0000-0000DF080000}"/>
    <cellStyle name="Normal 4 3 2 2 2 4 2 3 2 2 4" xfId="30439" xr:uid="{00000000-0005-0000-0000-0000E0080000}"/>
    <cellStyle name="Normal 4 3 2 2 2 4 2 3 2 3" xfId="8935" xr:uid="{00000000-0005-0000-0000-0000E1080000}"/>
    <cellStyle name="Normal 4 3 2 2 2 4 2 3 2 3 2" xfId="21223" xr:uid="{00000000-0005-0000-0000-0000E2080000}"/>
    <cellStyle name="Normal 4 3 2 2 2 4 2 3 2 3 2 2" xfId="45799" xr:uid="{00000000-0005-0000-0000-0000E3080000}"/>
    <cellStyle name="Normal 4 3 2 2 2 4 2 3 2 3 3" xfId="33511" xr:uid="{00000000-0005-0000-0000-0000E4080000}"/>
    <cellStyle name="Normal 4 3 2 2 2 4 2 3 2 4" xfId="15079" xr:uid="{00000000-0005-0000-0000-0000E5080000}"/>
    <cellStyle name="Normal 4 3 2 2 2 4 2 3 2 4 2" xfId="39655" xr:uid="{00000000-0005-0000-0000-0000E6080000}"/>
    <cellStyle name="Normal 4 3 2 2 2 4 2 3 2 5" xfId="27367" xr:uid="{00000000-0005-0000-0000-0000E7080000}"/>
    <cellStyle name="Normal 4 3 2 2 2 4 2 3 3" xfId="4327" xr:uid="{00000000-0005-0000-0000-0000E8080000}"/>
    <cellStyle name="Normal 4 3 2 2 2 4 2 3 3 2" xfId="10471" xr:uid="{00000000-0005-0000-0000-0000E9080000}"/>
    <cellStyle name="Normal 4 3 2 2 2 4 2 3 3 2 2" xfId="22759" xr:uid="{00000000-0005-0000-0000-0000EA080000}"/>
    <cellStyle name="Normal 4 3 2 2 2 4 2 3 3 2 2 2" xfId="47335" xr:uid="{00000000-0005-0000-0000-0000EB080000}"/>
    <cellStyle name="Normal 4 3 2 2 2 4 2 3 3 2 3" xfId="35047" xr:uid="{00000000-0005-0000-0000-0000EC080000}"/>
    <cellStyle name="Normal 4 3 2 2 2 4 2 3 3 3" xfId="16615" xr:uid="{00000000-0005-0000-0000-0000ED080000}"/>
    <cellStyle name="Normal 4 3 2 2 2 4 2 3 3 3 2" xfId="41191" xr:uid="{00000000-0005-0000-0000-0000EE080000}"/>
    <cellStyle name="Normal 4 3 2 2 2 4 2 3 3 4" xfId="28903" xr:uid="{00000000-0005-0000-0000-0000EF080000}"/>
    <cellStyle name="Normal 4 3 2 2 2 4 2 3 4" xfId="7399" xr:uid="{00000000-0005-0000-0000-0000F0080000}"/>
    <cellStyle name="Normal 4 3 2 2 2 4 2 3 4 2" xfId="19687" xr:uid="{00000000-0005-0000-0000-0000F1080000}"/>
    <cellStyle name="Normal 4 3 2 2 2 4 2 3 4 2 2" xfId="44263" xr:uid="{00000000-0005-0000-0000-0000F2080000}"/>
    <cellStyle name="Normal 4 3 2 2 2 4 2 3 4 3" xfId="31975" xr:uid="{00000000-0005-0000-0000-0000F3080000}"/>
    <cellStyle name="Normal 4 3 2 2 2 4 2 3 5" xfId="13543" xr:uid="{00000000-0005-0000-0000-0000F4080000}"/>
    <cellStyle name="Normal 4 3 2 2 2 4 2 3 5 2" xfId="38119" xr:uid="{00000000-0005-0000-0000-0000F5080000}"/>
    <cellStyle name="Normal 4 3 2 2 2 4 2 3 6" xfId="25831" xr:uid="{00000000-0005-0000-0000-0000F6080000}"/>
    <cellStyle name="Normal 4 3 2 2 2 4 2 4" xfId="2019" xr:uid="{00000000-0005-0000-0000-0000F7080000}"/>
    <cellStyle name="Normal 4 3 2 2 2 4 2 4 2" xfId="5095" xr:uid="{00000000-0005-0000-0000-0000F8080000}"/>
    <cellStyle name="Normal 4 3 2 2 2 4 2 4 2 2" xfId="11239" xr:uid="{00000000-0005-0000-0000-0000F9080000}"/>
    <cellStyle name="Normal 4 3 2 2 2 4 2 4 2 2 2" xfId="23527" xr:uid="{00000000-0005-0000-0000-0000FA080000}"/>
    <cellStyle name="Normal 4 3 2 2 2 4 2 4 2 2 2 2" xfId="48103" xr:uid="{00000000-0005-0000-0000-0000FB080000}"/>
    <cellStyle name="Normal 4 3 2 2 2 4 2 4 2 2 3" xfId="35815" xr:uid="{00000000-0005-0000-0000-0000FC080000}"/>
    <cellStyle name="Normal 4 3 2 2 2 4 2 4 2 3" xfId="17383" xr:uid="{00000000-0005-0000-0000-0000FD080000}"/>
    <cellStyle name="Normal 4 3 2 2 2 4 2 4 2 3 2" xfId="41959" xr:uid="{00000000-0005-0000-0000-0000FE080000}"/>
    <cellStyle name="Normal 4 3 2 2 2 4 2 4 2 4" xfId="29671" xr:uid="{00000000-0005-0000-0000-0000FF080000}"/>
    <cellStyle name="Normal 4 3 2 2 2 4 2 4 3" xfId="8167" xr:uid="{00000000-0005-0000-0000-000000090000}"/>
    <cellStyle name="Normal 4 3 2 2 2 4 2 4 3 2" xfId="20455" xr:uid="{00000000-0005-0000-0000-000001090000}"/>
    <cellStyle name="Normal 4 3 2 2 2 4 2 4 3 2 2" xfId="45031" xr:uid="{00000000-0005-0000-0000-000002090000}"/>
    <cellStyle name="Normal 4 3 2 2 2 4 2 4 3 3" xfId="32743" xr:uid="{00000000-0005-0000-0000-000003090000}"/>
    <cellStyle name="Normal 4 3 2 2 2 4 2 4 4" xfId="14311" xr:uid="{00000000-0005-0000-0000-000004090000}"/>
    <cellStyle name="Normal 4 3 2 2 2 4 2 4 4 2" xfId="38887" xr:uid="{00000000-0005-0000-0000-000005090000}"/>
    <cellStyle name="Normal 4 3 2 2 2 4 2 4 5" xfId="26599" xr:uid="{00000000-0005-0000-0000-000006090000}"/>
    <cellStyle name="Normal 4 3 2 2 2 4 2 5" xfId="3559" xr:uid="{00000000-0005-0000-0000-000007090000}"/>
    <cellStyle name="Normal 4 3 2 2 2 4 2 5 2" xfId="9703" xr:uid="{00000000-0005-0000-0000-000008090000}"/>
    <cellStyle name="Normal 4 3 2 2 2 4 2 5 2 2" xfId="21991" xr:uid="{00000000-0005-0000-0000-000009090000}"/>
    <cellStyle name="Normal 4 3 2 2 2 4 2 5 2 2 2" xfId="46567" xr:uid="{00000000-0005-0000-0000-00000A090000}"/>
    <cellStyle name="Normal 4 3 2 2 2 4 2 5 2 3" xfId="34279" xr:uid="{00000000-0005-0000-0000-00000B090000}"/>
    <cellStyle name="Normal 4 3 2 2 2 4 2 5 3" xfId="15847" xr:uid="{00000000-0005-0000-0000-00000C090000}"/>
    <cellStyle name="Normal 4 3 2 2 2 4 2 5 3 2" xfId="40423" xr:uid="{00000000-0005-0000-0000-00000D090000}"/>
    <cellStyle name="Normal 4 3 2 2 2 4 2 5 4" xfId="28135" xr:uid="{00000000-0005-0000-0000-00000E090000}"/>
    <cellStyle name="Normal 4 3 2 2 2 4 2 6" xfId="6631" xr:uid="{00000000-0005-0000-0000-00000F090000}"/>
    <cellStyle name="Normal 4 3 2 2 2 4 2 6 2" xfId="18919" xr:uid="{00000000-0005-0000-0000-000010090000}"/>
    <cellStyle name="Normal 4 3 2 2 2 4 2 6 2 2" xfId="43495" xr:uid="{00000000-0005-0000-0000-000011090000}"/>
    <cellStyle name="Normal 4 3 2 2 2 4 2 6 3" xfId="31207" xr:uid="{00000000-0005-0000-0000-000012090000}"/>
    <cellStyle name="Normal 4 3 2 2 2 4 2 7" xfId="12775" xr:uid="{00000000-0005-0000-0000-000013090000}"/>
    <cellStyle name="Normal 4 3 2 2 2 4 2 7 2" xfId="37351" xr:uid="{00000000-0005-0000-0000-000014090000}"/>
    <cellStyle name="Normal 4 3 2 2 2 4 2 8" xfId="25063" xr:uid="{00000000-0005-0000-0000-000015090000}"/>
    <cellStyle name="Normal 4 3 2 2 2 4 3" xfId="675" xr:uid="{00000000-0005-0000-0000-000016090000}"/>
    <cellStyle name="Normal 4 3 2 2 2 4 3 2" xfId="1443" xr:uid="{00000000-0005-0000-0000-000017090000}"/>
    <cellStyle name="Normal 4 3 2 2 2 4 3 2 2" xfId="2979" xr:uid="{00000000-0005-0000-0000-000018090000}"/>
    <cellStyle name="Normal 4 3 2 2 2 4 3 2 2 2" xfId="6055" xr:uid="{00000000-0005-0000-0000-000019090000}"/>
    <cellStyle name="Normal 4 3 2 2 2 4 3 2 2 2 2" xfId="12199" xr:uid="{00000000-0005-0000-0000-00001A090000}"/>
    <cellStyle name="Normal 4 3 2 2 2 4 3 2 2 2 2 2" xfId="24487" xr:uid="{00000000-0005-0000-0000-00001B090000}"/>
    <cellStyle name="Normal 4 3 2 2 2 4 3 2 2 2 2 2 2" xfId="49063" xr:uid="{00000000-0005-0000-0000-00001C090000}"/>
    <cellStyle name="Normal 4 3 2 2 2 4 3 2 2 2 2 3" xfId="36775" xr:uid="{00000000-0005-0000-0000-00001D090000}"/>
    <cellStyle name="Normal 4 3 2 2 2 4 3 2 2 2 3" xfId="18343" xr:uid="{00000000-0005-0000-0000-00001E090000}"/>
    <cellStyle name="Normal 4 3 2 2 2 4 3 2 2 2 3 2" xfId="42919" xr:uid="{00000000-0005-0000-0000-00001F090000}"/>
    <cellStyle name="Normal 4 3 2 2 2 4 3 2 2 2 4" xfId="30631" xr:uid="{00000000-0005-0000-0000-000020090000}"/>
    <cellStyle name="Normal 4 3 2 2 2 4 3 2 2 3" xfId="9127" xr:uid="{00000000-0005-0000-0000-000021090000}"/>
    <cellStyle name="Normal 4 3 2 2 2 4 3 2 2 3 2" xfId="21415" xr:uid="{00000000-0005-0000-0000-000022090000}"/>
    <cellStyle name="Normal 4 3 2 2 2 4 3 2 2 3 2 2" xfId="45991" xr:uid="{00000000-0005-0000-0000-000023090000}"/>
    <cellStyle name="Normal 4 3 2 2 2 4 3 2 2 3 3" xfId="33703" xr:uid="{00000000-0005-0000-0000-000024090000}"/>
    <cellStyle name="Normal 4 3 2 2 2 4 3 2 2 4" xfId="15271" xr:uid="{00000000-0005-0000-0000-000025090000}"/>
    <cellStyle name="Normal 4 3 2 2 2 4 3 2 2 4 2" xfId="39847" xr:uid="{00000000-0005-0000-0000-000026090000}"/>
    <cellStyle name="Normal 4 3 2 2 2 4 3 2 2 5" xfId="27559" xr:uid="{00000000-0005-0000-0000-000027090000}"/>
    <cellStyle name="Normal 4 3 2 2 2 4 3 2 3" xfId="4519" xr:uid="{00000000-0005-0000-0000-000028090000}"/>
    <cellStyle name="Normal 4 3 2 2 2 4 3 2 3 2" xfId="10663" xr:uid="{00000000-0005-0000-0000-000029090000}"/>
    <cellStyle name="Normal 4 3 2 2 2 4 3 2 3 2 2" xfId="22951" xr:uid="{00000000-0005-0000-0000-00002A090000}"/>
    <cellStyle name="Normal 4 3 2 2 2 4 3 2 3 2 2 2" xfId="47527" xr:uid="{00000000-0005-0000-0000-00002B090000}"/>
    <cellStyle name="Normal 4 3 2 2 2 4 3 2 3 2 3" xfId="35239" xr:uid="{00000000-0005-0000-0000-00002C090000}"/>
    <cellStyle name="Normal 4 3 2 2 2 4 3 2 3 3" xfId="16807" xr:uid="{00000000-0005-0000-0000-00002D090000}"/>
    <cellStyle name="Normal 4 3 2 2 2 4 3 2 3 3 2" xfId="41383" xr:uid="{00000000-0005-0000-0000-00002E090000}"/>
    <cellStyle name="Normal 4 3 2 2 2 4 3 2 3 4" xfId="29095" xr:uid="{00000000-0005-0000-0000-00002F090000}"/>
    <cellStyle name="Normal 4 3 2 2 2 4 3 2 4" xfId="7591" xr:uid="{00000000-0005-0000-0000-000030090000}"/>
    <cellStyle name="Normal 4 3 2 2 2 4 3 2 4 2" xfId="19879" xr:uid="{00000000-0005-0000-0000-000031090000}"/>
    <cellStyle name="Normal 4 3 2 2 2 4 3 2 4 2 2" xfId="44455" xr:uid="{00000000-0005-0000-0000-000032090000}"/>
    <cellStyle name="Normal 4 3 2 2 2 4 3 2 4 3" xfId="32167" xr:uid="{00000000-0005-0000-0000-000033090000}"/>
    <cellStyle name="Normal 4 3 2 2 2 4 3 2 5" xfId="13735" xr:uid="{00000000-0005-0000-0000-000034090000}"/>
    <cellStyle name="Normal 4 3 2 2 2 4 3 2 5 2" xfId="38311" xr:uid="{00000000-0005-0000-0000-000035090000}"/>
    <cellStyle name="Normal 4 3 2 2 2 4 3 2 6" xfId="26023" xr:uid="{00000000-0005-0000-0000-000036090000}"/>
    <cellStyle name="Normal 4 3 2 2 2 4 3 3" xfId="2211" xr:uid="{00000000-0005-0000-0000-000037090000}"/>
    <cellStyle name="Normal 4 3 2 2 2 4 3 3 2" xfId="5287" xr:uid="{00000000-0005-0000-0000-000038090000}"/>
    <cellStyle name="Normal 4 3 2 2 2 4 3 3 2 2" xfId="11431" xr:uid="{00000000-0005-0000-0000-000039090000}"/>
    <cellStyle name="Normal 4 3 2 2 2 4 3 3 2 2 2" xfId="23719" xr:uid="{00000000-0005-0000-0000-00003A090000}"/>
    <cellStyle name="Normal 4 3 2 2 2 4 3 3 2 2 2 2" xfId="48295" xr:uid="{00000000-0005-0000-0000-00003B090000}"/>
    <cellStyle name="Normal 4 3 2 2 2 4 3 3 2 2 3" xfId="36007" xr:uid="{00000000-0005-0000-0000-00003C090000}"/>
    <cellStyle name="Normal 4 3 2 2 2 4 3 3 2 3" xfId="17575" xr:uid="{00000000-0005-0000-0000-00003D090000}"/>
    <cellStyle name="Normal 4 3 2 2 2 4 3 3 2 3 2" xfId="42151" xr:uid="{00000000-0005-0000-0000-00003E090000}"/>
    <cellStyle name="Normal 4 3 2 2 2 4 3 3 2 4" xfId="29863" xr:uid="{00000000-0005-0000-0000-00003F090000}"/>
    <cellStyle name="Normal 4 3 2 2 2 4 3 3 3" xfId="8359" xr:uid="{00000000-0005-0000-0000-000040090000}"/>
    <cellStyle name="Normal 4 3 2 2 2 4 3 3 3 2" xfId="20647" xr:uid="{00000000-0005-0000-0000-000041090000}"/>
    <cellStyle name="Normal 4 3 2 2 2 4 3 3 3 2 2" xfId="45223" xr:uid="{00000000-0005-0000-0000-000042090000}"/>
    <cellStyle name="Normal 4 3 2 2 2 4 3 3 3 3" xfId="32935" xr:uid="{00000000-0005-0000-0000-000043090000}"/>
    <cellStyle name="Normal 4 3 2 2 2 4 3 3 4" xfId="14503" xr:uid="{00000000-0005-0000-0000-000044090000}"/>
    <cellStyle name="Normal 4 3 2 2 2 4 3 3 4 2" xfId="39079" xr:uid="{00000000-0005-0000-0000-000045090000}"/>
    <cellStyle name="Normal 4 3 2 2 2 4 3 3 5" xfId="26791" xr:uid="{00000000-0005-0000-0000-000046090000}"/>
    <cellStyle name="Normal 4 3 2 2 2 4 3 4" xfId="3751" xr:uid="{00000000-0005-0000-0000-000047090000}"/>
    <cellStyle name="Normal 4 3 2 2 2 4 3 4 2" xfId="9895" xr:uid="{00000000-0005-0000-0000-000048090000}"/>
    <cellStyle name="Normal 4 3 2 2 2 4 3 4 2 2" xfId="22183" xr:uid="{00000000-0005-0000-0000-000049090000}"/>
    <cellStyle name="Normal 4 3 2 2 2 4 3 4 2 2 2" xfId="46759" xr:uid="{00000000-0005-0000-0000-00004A090000}"/>
    <cellStyle name="Normal 4 3 2 2 2 4 3 4 2 3" xfId="34471" xr:uid="{00000000-0005-0000-0000-00004B090000}"/>
    <cellStyle name="Normal 4 3 2 2 2 4 3 4 3" xfId="16039" xr:uid="{00000000-0005-0000-0000-00004C090000}"/>
    <cellStyle name="Normal 4 3 2 2 2 4 3 4 3 2" xfId="40615" xr:uid="{00000000-0005-0000-0000-00004D090000}"/>
    <cellStyle name="Normal 4 3 2 2 2 4 3 4 4" xfId="28327" xr:uid="{00000000-0005-0000-0000-00004E090000}"/>
    <cellStyle name="Normal 4 3 2 2 2 4 3 5" xfId="6823" xr:uid="{00000000-0005-0000-0000-00004F090000}"/>
    <cellStyle name="Normal 4 3 2 2 2 4 3 5 2" xfId="19111" xr:uid="{00000000-0005-0000-0000-000050090000}"/>
    <cellStyle name="Normal 4 3 2 2 2 4 3 5 2 2" xfId="43687" xr:uid="{00000000-0005-0000-0000-000051090000}"/>
    <cellStyle name="Normal 4 3 2 2 2 4 3 5 3" xfId="31399" xr:uid="{00000000-0005-0000-0000-000052090000}"/>
    <cellStyle name="Normal 4 3 2 2 2 4 3 6" xfId="12967" xr:uid="{00000000-0005-0000-0000-000053090000}"/>
    <cellStyle name="Normal 4 3 2 2 2 4 3 6 2" xfId="37543" xr:uid="{00000000-0005-0000-0000-000054090000}"/>
    <cellStyle name="Normal 4 3 2 2 2 4 3 7" xfId="25255" xr:uid="{00000000-0005-0000-0000-000055090000}"/>
    <cellStyle name="Normal 4 3 2 2 2 4 4" xfId="1059" xr:uid="{00000000-0005-0000-0000-000056090000}"/>
    <cellStyle name="Normal 4 3 2 2 2 4 4 2" xfId="2595" xr:uid="{00000000-0005-0000-0000-000057090000}"/>
    <cellStyle name="Normal 4 3 2 2 2 4 4 2 2" xfId="5671" xr:uid="{00000000-0005-0000-0000-000058090000}"/>
    <cellStyle name="Normal 4 3 2 2 2 4 4 2 2 2" xfId="11815" xr:uid="{00000000-0005-0000-0000-000059090000}"/>
    <cellStyle name="Normal 4 3 2 2 2 4 4 2 2 2 2" xfId="24103" xr:uid="{00000000-0005-0000-0000-00005A090000}"/>
    <cellStyle name="Normal 4 3 2 2 2 4 4 2 2 2 2 2" xfId="48679" xr:uid="{00000000-0005-0000-0000-00005B090000}"/>
    <cellStyle name="Normal 4 3 2 2 2 4 4 2 2 2 3" xfId="36391" xr:uid="{00000000-0005-0000-0000-00005C090000}"/>
    <cellStyle name="Normal 4 3 2 2 2 4 4 2 2 3" xfId="17959" xr:uid="{00000000-0005-0000-0000-00005D090000}"/>
    <cellStyle name="Normal 4 3 2 2 2 4 4 2 2 3 2" xfId="42535" xr:uid="{00000000-0005-0000-0000-00005E090000}"/>
    <cellStyle name="Normal 4 3 2 2 2 4 4 2 2 4" xfId="30247" xr:uid="{00000000-0005-0000-0000-00005F090000}"/>
    <cellStyle name="Normal 4 3 2 2 2 4 4 2 3" xfId="8743" xr:uid="{00000000-0005-0000-0000-000060090000}"/>
    <cellStyle name="Normal 4 3 2 2 2 4 4 2 3 2" xfId="21031" xr:uid="{00000000-0005-0000-0000-000061090000}"/>
    <cellStyle name="Normal 4 3 2 2 2 4 4 2 3 2 2" xfId="45607" xr:uid="{00000000-0005-0000-0000-000062090000}"/>
    <cellStyle name="Normal 4 3 2 2 2 4 4 2 3 3" xfId="33319" xr:uid="{00000000-0005-0000-0000-000063090000}"/>
    <cellStyle name="Normal 4 3 2 2 2 4 4 2 4" xfId="14887" xr:uid="{00000000-0005-0000-0000-000064090000}"/>
    <cellStyle name="Normal 4 3 2 2 2 4 4 2 4 2" xfId="39463" xr:uid="{00000000-0005-0000-0000-000065090000}"/>
    <cellStyle name="Normal 4 3 2 2 2 4 4 2 5" xfId="27175" xr:uid="{00000000-0005-0000-0000-000066090000}"/>
    <cellStyle name="Normal 4 3 2 2 2 4 4 3" xfId="4135" xr:uid="{00000000-0005-0000-0000-000067090000}"/>
    <cellStyle name="Normal 4 3 2 2 2 4 4 3 2" xfId="10279" xr:uid="{00000000-0005-0000-0000-000068090000}"/>
    <cellStyle name="Normal 4 3 2 2 2 4 4 3 2 2" xfId="22567" xr:uid="{00000000-0005-0000-0000-000069090000}"/>
    <cellStyle name="Normal 4 3 2 2 2 4 4 3 2 2 2" xfId="47143" xr:uid="{00000000-0005-0000-0000-00006A090000}"/>
    <cellStyle name="Normal 4 3 2 2 2 4 4 3 2 3" xfId="34855" xr:uid="{00000000-0005-0000-0000-00006B090000}"/>
    <cellStyle name="Normal 4 3 2 2 2 4 4 3 3" xfId="16423" xr:uid="{00000000-0005-0000-0000-00006C090000}"/>
    <cellStyle name="Normal 4 3 2 2 2 4 4 3 3 2" xfId="40999" xr:uid="{00000000-0005-0000-0000-00006D090000}"/>
    <cellStyle name="Normal 4 3 2 2 2 4 4 3 4" xfId="28711" xr:uid="{00000000-0005-0000-0000-00006E090000}"/>
    <cellStyle name="Normal 4 3 2 2 2 4 4 4" xfId="7207" xr:uid="{00000000-0005-0000-0000-00006F090000}"/>
    <cellStyle name="Normal 4 3 2 2 2 4 4 4 2" xfId="19495" xr:uid="{00000000-0005-0000-0000-000070090000}"/>
    <cellStyle name="Normal 4 3 2 2 2 4 4 4 2 2" xfId="44071" xr:uid="{00000000-0005-0000-0000-000071090000}"/>
    <cellStyle name="Normal 4 3 2 2 2 4 4 4 3" xfId="31783" xr:uid="{00000000-0005-0000-0000-000072090000}"/>
    <cellStyle name="Normal 4 3 2 2 2 4 4 5" xfId="13351" xr:uid="{00000000-0005-0000-0000-000073090000}"/>
    <cellStyle name="Normal 4 3 2 2 2 4 4 5 2" xfId="37927" xr:uid="{00000000-0005-0000-0000-000074090000}"/>
    <cellStyle name="Normal 4 3 2 2 2 4 4 6" xfId="25639" xr:uid="{00000000-0005-0000-0000-000075090000}"/>
    <cellStyle name="Normal 4 3 2 2 2 4 5" xfId="1827" xr:uid="{00000000-0005-0000-0000-000076090000}"/>
    <cellStyle name="Normal 4 3 2 2 2 4 5 2" xfId="4903" xr:uid="{00000000-0005-0000-0000-000077090000}"/>
    <cellStyle name="Normal 4 3 2 2 2 4 5 2 2" xfId="11047" xr:uid="{00000000-0005-0000-0000-000078090000}"/>
    <cellStyle name="Normal 4 3 2 2 2 4 5 2 2 2" xfId="23335" xr:uid="{00000000-0005-0000-0000-000079090000}"/>
    <cellStyle name="Normal 4 3 2 2 2 4 5 2 2 2 2" xfId="47911" xr:uid="{00000000-0005-0000-0000-00007A090000}"/>
    <cellStyle name="Normal 4 3 2 2 2 4 5 2 2 3" xfId="35623" xr:uid="{00000000-0005-0000-0000-00007B090000}"/>
    <cellStyle name="Normal 4 3 2 2 2 4 5 2 3" xfId="17191" xr:uid="{00000000-0005-0000-0000-00007C090000}"/>
    <cellStyle name="Normal 4 3 2 2 2 4 5 2 3 2" xfId="41767" xr:uid="{00000000-0005-0000-0000-00007D090000}"/>
    <cellStyle name="Normal 4 3 2 2 2 4 5 2 4" xfId="29479" xr:uid="{00000000-0005-0000-0000-00007E090000}"/>
    <cellStyle name="Normal 4 3 2 2 2 4 5 3" xfId="7975" xr:uid="{00000000-0005-0000-0000-00007F090000}"/>
    <cellStyle name="Normal 4 3 2 2 2 4 5 3 2" xfId="20263" xr:uid="{00000000-0005-0000-0000-000080090000}"/>
    <cellStyle name="Normal 4 3 2 2 2 4 5 3 2 2" xfId="44839" xr:uid="{00000000-0005-0000-0000-000081090000}"/>
    <cellStyle name="Normal 4 3 2 2 2 4 5 3 3" xfId="32551" xr:uid="{00000000-0005-0000-0000-000082090000}"/>
    <cellStyle name="Normal 4 3 2 2 2 4 5 4" xfId="14119" xr:uid="{00000000-0005-0000-0000-000083090000}"/>
    <cellStyle name="Normal 4 3 2 2 2 4 5 4 2" xfId="38695" xr:uid="{00000000-0005-0000-0000-000084090000}"/>
    <cellStyle name="Normal 4 3 2 2 2 4 5 5" xfId="26407" xr:uid="{00000000-0005-0000-0000-000085090000}"/>
    <cellStyle name="Normal 4 3 2 2 2 4 6" xfId="3367" xr:uid="{00000000-0005-0000-0000-000086090000}"/>
    <cellStyle name="Normal 4 3 2 2 2 4 6 2" xfId="9511" xr:uid="{00000000-0005-0000-0000-000087090000}"/>
    <cellStyle name="Normal 4 3 2 2 2 4 6 2 2" xfId="21799" xr:uid="{00000000-0005-0000-0000-000088090000}"/>
    <cellStyle name="Normal 4 3 2 2 2 4 6 2 2 2" xfId="46375" xr:uid="{00000000-0005-0000-0000-000089090000}"/>
    <cellStyle name="Normal 4 3 2 2 2 4 6 2 3" xfId="34087" xr:uid="{00000000-0005-0000-0000-00008A090000}"/>
    <cellStyle name="Normal 4 3 2 2 2 4 6 3" xfId="15655" xr:uid="{00000000-0005-0000-0000-00008B090000}"/>
    <cellStyle name="Normal 4 3 2 2 2 4 6 3 2" xfId="40231" xr:uid="{00000000-0005-0000-0000-00008C090000}"/>
    <cellStyle name="Normal 4 3 2 2 2 4 6 4" xfId="27943" xr:uid="{00000000-0005-0000-0000-00008D090000}"/>
    <cellStyle name="Normal 4 3 2 2 2 4 7" xfId="6439" xr:uid="{00000000-0005-0000-0000-00008E090000}"/>
    <cellStyle name="Normal 4 3 2 2 2 4 7 2" xfId="18727" xr:uid="{00000000-0005-0000-0000-00008F090000}"/>
    <cellStyle name="Normal 4 3 2 2 2 4 7 2 2" xfId="43303" xr:uid="{00000000-0005-0000-0000-000090090000}"/>
    <cellStyle name="Normal 4 3 2 2 2 4 7 3" xfId="31015" xr:uid="{00000000-0005-0000-0000-000091090000}"/>
    <cellStyle name="Normal 4 3 2 2 2 4 8" xfId="12583" xr:uid="{00000000-0005-0000-0000-000092090000}"/>
    <cellStyle name="Normal 4 3 2 2 2 4 8 2" xfId="37159" xr:uid="{00000000-0005-0000-0000-000093090000}"/>
    <cellStyle name="Normal 4 3 2 2 2 4 9" xfId="24871" xr:uid="{00000000-0005-0000-0000-000094090000}"/>
    <cellStyle name="Normal 4 3 2 2 2 5" xfId="355" xr:uid="{00000000-0005-0000-0000-000095090000}"/>
    <cellStyle name="Normal 4 3 2 2 2 5 2" xfId="739" xr:uid="{00000000-0005-0000-0000-000096090000}"/>
    <cellStyle name="Normal 4 3 2 2 2 5 2 2" xfId="1507" xr:uid="{00000000-0005-0000-0000-000097090000}"/>
    <cellStyle name="Normal 4 3 2 2 2 5 2 2 2" xfId="3043" xr:uid="{00000000-0005-0000-0000-000098090000}"/>
    <cellStyle name="Normal 4 3 2 2 2 5 2 2 2 2" xfId="6119" xr:uid="{00000000-0005-0000-0000-000099090000}"/>
    <cellStyle name="Normal 4 3 2 2 2 5 2 2 2 2 2" xfId="12263" xr:uid="{00000000-0005-0000-0000-00009A090000}"/>
    <cellStyle name="Normal 4 3 2 2 2 5 2 2 2 2 2 2" xfId="24551" xr:uid="{00000000-0005-0000-0000-00009B090000}"/>
    <cellStyle name="Normal 4 3 2 2 2 5 2 2 2 2 2 2 2" xfId="49127" xr:uid="{00000000-0005-0000-0000-00009C090000}"/>
    <cellStyle name="Normal 4 3 2 2 2 5 2 2 2 2 2 3" xfId="36839" xr:uid="{00000000-0005-0000-0000-00009D090000}"/>
    <cellStyle name="Normal 4 3 2 2 2 5 2 2 2 2 3" xfId="18407" xr:uid="{00000000-0005-0000-0000-00009E090000}"/>
    <cellStyle name="Normal 4 3 2 2 2 5 2 2 2 2 3 2" xfId="42983" xr:uid="{00000000-0005-0000-0000-00009F090000}"/>
    <cellStyle name="Normal 4 3 2 2 2 5 2 2 2 2 4" xfId="30695" xr:uid="{00000000-0005-0000-0000-0000A0090000}"/>
    <cellStyle name="Normal 4 3 2 2 2 5 2 2 2 3" xfId="9191" xr:uid="{00000000-0005-0000-0000-0000A1090000}"/>
    <cellStyle name="Normal 4 3 2 2 2 5 2 2 2 3 2" xfId="21479" xr:uid="{00000000-0005-0000-0000-0000A2090000}"/>
    <cellStyle name="Normal 4 3 2 2 2 5 2 2 2 3 2 2" xfId="46055" xr:uid="{00000000-0005-0000-0000-0000A3090000}"/>
    <cellStyle name="Normal 4 3 2 2 2 5 2 2 2 3 3" xfId="33767" xr:uid="{00000000-0005-0000-0000-0000A4090000}"/>
    <cellStyle name="Normal 4 3 2 2 2 5 2 2 2 4" xfId="15335" xr:uid="{00000000-0005-0000-0000-0000A5090000}"/>
    <cellStyle name="Normal 4 3 2 2 2 5 2 2 2 4 2" xfId="39911" xr:uid="{00000000-0005-0000-0000-0000A6090000}"/>
    <cellStyle name="Normal 4 3 2 2 2 5 2 2 2 5" xfId="27623" xr:uid="{00000000-0005-0000-0000-0000A7090000}"/>
    <cellStyle name="Normal 4 3 2 2 2 5 2 2 3" xfId="4583" xr:uid="{00000000-0005-0000-0000-0000A8090000}"/>
    <cellStyle name="Normal 4 3 2 2 2 5 2 2 3 2" xfId="10727" xr:uid="{00000000-0005-0000-0000-0000A9090000}"/>
    <cellStyle name="Normal 4 3 2 2 2 5 2 2 3 2 2" xfId="23015" xr:uid="{00000000-0005-0000-0000-0000AA090000}"/>
    <cellStyle name="Normal 4 3 2 2 2 5 2 2 3 2 2 2" xfId="47591" xr:uid="{00000000-0005-0000-0000-0000AB090000}"/>
    <cellStyle name="Normal 4 3 2 2 2 5 2 2 3 2 3" xfId="35303" xr:uid="{00000000-0005-0000-0000-0000AC090000}"/>
    <cellStyle name="Normal 4 3 2 2 2 5 2 2 3 3" xfId="16871" xr:uid="{00000000-0005-0000-0000-0000AD090000}"/>
    <cellStyle name="Normal 4 3 2 2 2 5 2 2 3 3 2" xfId="41447" xr:uid="{00000000-0005-0000-0000-0000AE090000}"/>
    <cellStyle name="Normal 4 3 2 2 2 5 2 2 3 4" xfId="29159" xr:uid="{00000000-0005-0000-0000-0000AF090000}"/>
    <cellStyle name="Normal 4 3 2 2 2 5 2 2 4" xfId="7655" xr:uid="{00000000-0005-0000-0000-0000B0090000}"/>
    <cellStyle name="Normal 4 3 2 2 2 5 2 2 4 2" xfId="19943" xr:uid="{00000000-0005-0000-0000-0000B1090000}"/>
    <cellStyle name="Normal 4 3 2 2 2 5 2 2 4 2 2" xfId="44519" xr:uid="{00000000-0005-0000-0000-0000B2090000}"/>
    <cellStyle name="Normal 4 3 2 2 2 5 2 2 4 3" xfId="32231" xr:uid="{00000000-0005-0000-0000-0000B3090000}"/>
    <cellStyle name="Normal 4 3 2 2 2 5 2 2 5" xfId="13799" xr:uid="{00000000-0005-0000-0000-0000B4090000}"/>
    <cellStyle name="Normal 4 3 2 2 2 5 2 2 5 2" xfId="38375" xr:uid="{00000000-0005-0000-0000-0000B5090000}"/>
    <cellStyle name="Normal 4 3 2 2 2 5 2 2 6" xfId="26087" xr:uid="{00000000-0005-0000-0000-0000B6090000}"/>
    <cellStyle name="Normal 4 3 2 2 2 5 2 3" xfId="2275" xr:uid="{00000000-0005-0000-0000-0000B7090000}"/>
    <cellStyle name="Normal 4 3 2 2 2 5 2 3 2" xfId="5351" xr:uid="{00000000-0005-0000-0000-0000B8090000}"/>
    <cellStyle name="Normal 4 3 2 2 2 5 2 3 2 2" xfId="11495" xr:uid="{00000000-0005-0000-0000-0000B9090000}"/>
    <cellStyle name="Normal 4 3 2 2 2 5 2 3 2 2 2" xfId="23783" xr:uid="{00000000-0005-0000-0000-0000BA090000}"/>
    <cellStyle name="Normal 4 3 2 2 2 5 2 3 2 2 2 2" xfId="48359" xr:uid="{00000000-0005-0000-0000-0000BB090000}"/>
    <cellStyle name="Normal 4 3 2 2 2 5 2 3 2 2 3" xfId="36071" xr:uid="{00000000-0005-0000-0000-0000BC090000}"/>
    <cellStyle name="Normal 4 3 2 2 2 5 2 3 2 3" xfId="17639" xr:uid="{00000000-0005-0000-0000-0000BD090000}"/>
    <cellStyle name="Normal 4 3 2 2 2 5 2 3 2 3 2" xfId="42215" xr:uid="{00000000-0005-0000-0000-0000BE090000}"/>
    <cellStyle name="Normal 4 3 2 2 2 5 2 3 2 4" xfId="29927" xr:uid="{00000000-0005-0000-0000-0000BF090000}"/>
    <cellStyle name="Normal 4 3 2 2 2 5 2 3 3" xfId="8423" xr:uid="{00000000-0005-0000-0000-0000C0090000}"/>
    <cellStyle name="Normal 4 3 2 2 2 5 2 3 3 2" xfId="20711" xr:uid="{00000000-0005-0000-0000-0000C1090000}"/>
    <cellStyle name="Normal 4 3 2 2 2 5 2 3 3 2 2" xfId="45287" xr:uid="{00000000-0005-0000-0000-0000C2090000}"/>
    <cellStyle name="Normal 4 3 2 2 2 5 2 3 3 3" xfId="32999" xr:uid="{00000000-0005-0000-0000-0000C3090000}"/>
    <cellStyle name="Normal 4 3 2 2 2 5 2 3 4" xfId="14567" xr:uid="{00000000-0005-0000-0000-0000C4090000}"/>
    <cellStyle name="Normal 4 3 2 2 2 5 2 3 4 2" xfId="39143" xr:uid="{00000000-0005-0000-0000-0000C5090000}"/>
    <cellStyle name="Normal 4 3 2 2 2 5 2 3 5" xfId="26855" xr:uid="{00000000-0005-0000-0000-0000C6090000}"/>
    <cellStyle name="Normal 4 3 2 2 2 5 2 4" xfId="3815" xr:uid="{00000000-0005-0000-0000-0000C7090000}"/>
    <cellStyle name="Normal 4 3 2 2 2 5 2 4 2" xfId="9959" xr:uid="{00000000-0005-0000-0000-0000C8090000}"/>
    <cellStyle name="Normal 4 3 2 2 2 5 2 4 2 2" xfId="22247" xr:uid="{00000000-0005-0000-0000-0000C9090000}"/>
    <cellStyle name="Normal 4 3 2 2 2 5 2 4 2 2 2" xfId="46823" xr:uid="{00000000-0005-0000-0000-0000CA090000}"/>
    <cellStyle name="Normal 4 3 2 2 2 5 2 4 2 3" xfId="34535" xr:uid="{00000000-0005-0000-0000-0000CB090000}"/>
    <cellStyle name="Normal 4 3 2 2 2 5 2 4 3" xfId="16103" xr:uid="{00000000-0005-0000-0000-0000CC090000}"/>
    <cellStyle name="Normal 4 3 2 2 2 5 2 4 3 2" xfId="40679" xr:uid="{00000000-0005-0000-0000-0000CD090000}"/>
    <cellStyle name="Normal 4 3 2 2 2 5 2 4 4" xfId="28391" xr:uid="{00000000-0005-0000-0000-0000CE090000}"/>
    <cellStyle name="Normal 4 3 2 2 2 5 2 5" xfId="6887" xr:uid="{00000000-0005-0000-0000-0000CF090000}"/>
    <cellStyle name="Normal 4 3 2 2 2 5 2 5 2" xfId="19175" xr:uid="{00000000-0005-0000-0000-0000D0090000}"/>
    <cellStyle name="Normal 4 3 2 2 2 5 2 5 2 2" xfId="43751" xr:uid="{00000000-0005-0000-0000-0000D1090000}"/>
    <cellStyle name="Normal 4 3 2 2 2 5 2 5 3" xfId="31463" xr:uid="{00000000-0005-0000-0000-0000D2090000}"/>
    <cellStyle name="Normal 4 3 2 2 2 5 2 6" xfId="13031" xr:uid="{00000000-0005-0000-0000-0000D3090000}"/>
    <cellStyle name="Normal 4 3 2 2 2 5 2 6 2" xfId="37607" xr:uid="{00000000-0005-0000-0000-0000D4090000}"/>
    <cellStyle name="Normal 4 3 2 2 2 5 2 7" xfId="25319" xr:uid="{00000000-0005-0000-0000-0000D5090000}"/>
    <cellStyle name="Normal 4 3 2 2 2 5 3" xfId="1123" xr:uid="{00000000-0005-0000-0000-0000D6090000}"/>
    <cellStyle name="Normal 4 3 2 2 2 5 3 2" xfId="2659" xr:uid="{00000000-0005-0000-0000-0000D7090000}"/>
    <cellStyle name="Normal 4 3 2 2 2 5 3 2 2" xfId="5735" xr:uid="{00000000-0005-0000-0000-0000D8090000}"/>
    <cellStyle name="Normal 4 3 2 2 2 5 3 2 2 2" xfId="11879" xr:uid="{00000000-0005-0000-0000-0000D9090000}"/>
    <cellStyle name="Normal 4 3 2 2 2 5 3 2 2 2 2" xfId="24167" xr:uid="{00000000-0005-0000-0000-0000DA090000}"/>
    <cellStyle name="Normal 4 3 2 2 2 5 3 2 2 2 2 2" xfId="48743" xr:uid="{00000000-0005-0000-0000-0000DB090000}"/>
    <cellStyle name="Normal 4 3 2 2 2 5 3 2 2 2 3" xfId="36455" xr:uid="{00000000-0005-0000-0000-0000DC090000}"/>
    <cellStyle name="Normal 4 3 2 2 2 5 3 2 2 3" xfId="18023" xr:uid="{00000000-0005-0000-0000-0000DD090000}"/>
    <cellStyle name="Normal 4 3 2 2 2 5 3 2 2 3 2" xfId="42599" xr:uid="{00000000-0005-0000-0000-0000DE090000}"/>
    <cellStyle name="Normal 4 3 2 2 2 5 3 2 2 4" xfId="30311" xr:uid="{00000000-0005-0000-0000-0000DF090000}"/>
    <cellStyle name="Normal 4 3 2 2 2 5 3 2 3" xfId="8807" xr:uid="{00000000-0005-0000-0000-0000E0090000}"/>
    <cellStyle name="Normal 4 3 2 2 2 5 3 2 3 2" xfId="21095" xr:uid="{00000000-0005-0000-0000-0000E1090000}"/>
    <cellStyle name="Normal 4 3 2 2 2 5 3 2 3 2 2" xfId="45671" xr:uid="{00000000-0005-0000-0000-0000E2090000}"/>
    <cellStyle name="Normal 4 3 2 2 2 5 3 2 3 3" xfId="33383" xr:uid="{00000000-0005-0000-0000-0000E3090000}"/>
    <cellStyle name="Normal 4 3 2 2 2 5 3 2 4" xfId="14951" xr:uid="{00000000-0005-0000-0000-0000E4090000}"/>
    <cellStyle name="Normal 4 3 2 2 2 5 3 2 4 2" xfId="39527" xr:uid="{00000000-0005-0000-0000-0000E5090000}"/>
    <cellStyle name="Normal 4 3 2 2 2 5 3 2 5" xfId="27239" xr:uid="{00000000-0005-0000-0000-0000E6090000}"/>
    <cellStyle name="Normal 4 3 2 2 2 5 3 3" xfId="4199" xr:uid="{00000000-0005-0000-0000-0000E7090000}"/>
    <cellStyle name="Normal 4 3 2 2 2 5 3 3 2" xfId="10343" xr:uid="{00000000-0005-0000-0000-0000E8090000}"/>
    <cellStyle name="Normal 4 3 2 2 2 5 3 3 2 2" xfId="22631" xr:uid="{00000000-0005-0000-0000-0000E9090000}"/>
    <cellStyle name="Normal 4 3 2 2 2 5 3 3 2 2 2" xfId="47207" xr:uid="{00000000-0005-0000-0000-0000EA090000}"/>
    <cellStyle name="Normal 4 3 2 2 2 5 3 3 2 3" xfId="34919" xr:uid="{00000000-0005-0000-0000-0000EB090000}"/>
    <cellStyle name="Normal 4 3 2 2 2 5 3 3 3" xfId="16487" xr:uid="{00000000-0005-0000-0000-0000EC090000}"/>
    <cellStyle name="Normal 4 3 2 2 2 5 3 3 3 2" xfId="41063" xr:uid="{00000000-0005-0000-0000-0000ED090000}"/>
    <cellStyle name="Normal 4 3 2 2 2 5 3 3 4" xfId="28775" xr:uid="{00000000-0005-0000-0000-0000EE090000}"/>
    <cellStyle name="Normal 4 3 2 2 2 5 3 4" xfId="7271" xr:uid="{00000000-0005-0000-0000-0000EF090000}"/>
    <cellStyle name="Normal 4 3 2 2 2 5 3 4 2" xfId="19559" xr:uid="{00000000-0005-0000-0000-0000F0090000}"/>
    <cellStyle name="Normal 4 3 2 2 2 5 3 4 2 2" xfId="44135" xr:uid="{00000000-0005-0000-0000-0000F1090000}"/>
    <cellStyle name="Normal 4 3 2 2 2 5 3 4 3" xfId="31847" xr:uid="{00000000-0005-0000-0000-0000F2090000}"/>
    <cellStyle name="Normal 4 3 2 2 2 5 3 5" xfId="13415" xr:uid="{00000000-0005-0000-0000-0000F3090000}"/>
    <cellStyle name="Normal 4 3 2 2 2 5 3 5 2" xfId="37991" xr:uid="{00000000-0005-0000-0000-0000F4090000}"/>
    <cellStyle name="Normal 4 3 2 2 2 5 3 6" xfId="25703" xr:uid="{00000000-0005-0000-0000-0000F5090000}"/>
    <cellStyle name="Normal 4 3 2 2 2 5 4" xfId="1891" xr:uid="{00000000-0005-0000-0000-0000F6090000}"/>
    <cellStyle name="Normal 4 3 2 2 2 5 4 2" xfId="4967" xr:uid="{00000000-0005-0000-0000-0000F7090000}"/>
    <cellStyle name="Normal 4 3 2 2 2 5 4 2 2" xfId="11111" xr:uid="{00000000-0005-0000-0000-0000F8090000}"/>
    <cellStyle name="Normal 4 3 2 2 2 5 4 2 2 2" xfId="23399" xr:uid="{00000000-0005-0000-0000-0000F9090000}"/>
    <cellStyle name="Normal 4 3 2 2 2 5 4 2 2 2 2" xfId="47975" xr:uid="{00000000-0005-0000-0000-0000FA090000}"/>
    <cellStyle name="Normal 4 3 2 2 2 5 4 2 2 3" xfId="35687" xr:uid="{00000000-0005-0000-0000-0000FB090000}"/>
    <cellStyle name="Normal 4 3 2 2 2 5 4 2 3" xfId="17255" xr:uid="{00000000-0005-0000-0000-0000FC090000}"/>
    <cellStyle name="Normal 4 3 2 2 2 5 4 2 3 2" xfId="41831" xr:uid="{00000000-0005-0000-0000-0000FD090000}"/>
    <cellStyle name="Normal 4 3 2 2 2 5 4 2 4" xfId="29543" xr:uid="{00000000-0005-0000-0000-0000FE090000}"/>
    <cellStyle name="Normal 4 3 2 2 2 5 4 3" xfId="8039" xr:uid="{00000000-0005-0000-0000-0000FF090000}"/>
    <cellStyle name="Normal 4 3 2 2 2 5 4 3 2" xfId="20327" xr:uid="{00000000-0005-0000-0000-0000000A0000}"/>
    <cellStyle name="Normal 4 3 2 2 2 5 4 3 2 2" xfId="44903" xr:uid="{00000000-0005-0000-0000-0000010A0000}"/>
    <cellStyle name="Normal 4 3 2 2 2 5 4 3 3" xfId="32615" xr:uid="{00000000-0005-0000-0000-0000020A0000}"/>
    <cellStyle name="Normal 4 3 2 2 2 5 4 4" xfId="14183" xr:uid="{00000000-0005-0000-0000-0000030A0000}"/>
    <cellStyle name="Normal 4 3 2 2 2 5 4 4 2" xfId="38759" xr:uid="{00000000-0005-0000-0000-0000040A0000}"/>
    <cellStyle name="Normal 4 3 2 2 2 5 4 5" xfId="26471" xr:uid="{00000000-0005-0000-0000-0000050A0000}"/>
    <cellStyle name="Normal 4 3 2 2 2 5 5" xfId="3431" xr:uid="{00000000-0005-0000-0000-0000060A0000}"/>
    <cellStyle name="Normal 4 3 2 2 2 5 5 2" xfId="9575" xr:uid="{00000000-0005-0000-0000-0000070A0000}"/>
    <cellStyle name="Normal 4 3 2 2 2 5 5 2 2" xfId="21863" xr:uid="{00000000-0005-0000-0000-0000080A0000}"/>
    <cellStyle name="Normal 4 3 2 2 2 5 5 2 2 2" xfId="46439" xr:uid="{00000000-0005-0000-0000-0000090A0000}"/>
    <cellStyle name="Normal 4 3 2 2 2 5 5 2 3" xfId="34151" xr:uid="{00000000-0005-0000-0000-00000A0A0000}"/>
    <cellStyle name="Normal 4 3 2 2 2 5 5 3" xfId="15719" xr:uid="{00000000-0005-0000-0000-00000B0A0000}"/>
    <cellStyle name="Normal 4 3 2 2 2 5 5 3 2" xfId="40295" xr:uid="{00000000-0005-0000-0000-00000C0A0000}"/>
    <cellStyle name="Normal 4 3 2 2 2 5 5 4" xfId="28007" xr:uid="{00000000-0005-0000-0000-00000D0A0000}"/>
    <cellStyle name="Normal 4 3 2 2 2 5 6" xfId="6503" xr:uid="{00000000-0005-0000-0000-00000E0A0000}"/>
    <cellStyle name="Normal 4 3 2 2 2 5 6 2" xfId="18791" xr:uid="{00000000-0005-0000-0000-00000F0A0000}"/>
    <cellStyle name="Normal 4 3 2 2 2 5 6 2 2" xfId="43367" xr:uid="{00000000-0005-0000-0000-0000100A0000}"/>
    <cellStyle name="Normal 4 3 2 2 2 5 6 3" xfId="31079" xr:uid="{00000000-0005-0000-0000-0000110A0000}"/>
    <cellStyle name="Normal 4 3 2 2 2 5 7" xfId="12647" xr:uid="{00000000-0005-0000-0000-0000120A0000}"/>
    <cellStyle name="Normal 4 3 2 2 2 5 7 2" xfId="37223" xr:uid="{00000000-0005-0000-0000-0000130A0000}"/>
    <cellStyle name="Normal 4 3 2 2 2 5 8" xfId="24935" xr:uid="{00000000-0005-0000-0000-0000140A0000}"/>
    <cellStyle name="Normal 4 3 2 2 2 6" xfId="547" xr:uid="{00000000-0005-0000-0000-0000150A0000}"/>
    <cellStyle name="Normal 4 3 2 2 2 6 2" xfId="1315" xr:uid="{00000000-0005-0000-0000-0000160A0000}"/>
    <cellStyle name="Normal 4 3 2 2 2 6 2 2" xfId="2851" xr:uid="{00000000-0005-0000-0000-0000170A0000}"/>
    <cellStyle name="Normal 4 3 2 2 2 6 2 2 2" xfId="5927" xr:uid="{00000000-0005-0000-0000-0000180A0000}"/>
    <cellStyle name="Normal 4 3 2 2 2 6 2 2 2 2" xfId="12071" xr:uid="{00000000-0005-0000-0000-0000190A0000}"/>
    <cellStyle name="Normal 4 3 2 2 2 6 2 2 2 2 2" xfId="24359" xr:uid="{00000000-0005-0000-0000-00001A0A0000}"/>
    <cellStyle name="Normal 4 3 2 2 2 6 2 2 2 2 2 2" xfId="48935" xr:uid="{00000000-0005-0000-0000-00001B0A0000}"/>
    <cellStyle name="Normal 4 3 2 2 2 6 2 2 2 2 3" xfId="36647" xr:uid="{00000000-0005-0000-0000-00001C0A0000}"/>
    <cellStyle name="Normal 4 3 2 2 2 6 2 2 2 3" xfId="18215" xr:uid="{00000000-0005-0000-0000-00001D0A0000}"/>
    <cellStyle name="Normal 4 3 2 2 2 6 2 2 2 3 2" xfId="42791" xr:uid="{00000000-0005-0000-0000-00001E0A0000}"/>
    <cellStyle name="Normal 4 3 2 2 2 6 2 2 2 4" xfId="30503" xr:uid="{00000000-0005-0000-0000-00001F0A0000}"/>
    <cellStyle name="Normal 4 3 2 2 2 6 2 2 3" xfId="8999" xr:uid="{00000000-0005-0000-0000-0000200A0000}"/>
    <cellStyle name="Normal 4 3 2 2 2 6 2 2 3 2" xfId="21287" xr:uid="{00000000-0005-0000-0000-0000210A0000}"/>
    <cellStyle name="Normal 4 3 2 2 2 6 2 2 3 2 2" xfId="45863" xr:uid="{00000000-0005-0000-0000-0000220A0000}"/>
    <cellStyle name="Normal 4 3 2 2 2 6 2 2 3 3" xfId="33575" xr:uid="{00000000-0005-0000-0000-0000230A0000}"/>
    <cellStyle name="Normal 4 3 2 2 2 6 2 2 4" xfId="15143" xr:uid="{00000000-0005-0000-0000-0000240A0000}"/>
    <cellStyle name="Normal 4 3 2 2 2 6 2 2 4 2" xfId="39719" xr:uid="{00000000-0005-0000-0000-0000250A0000}"/>
    <cellStyle name="Normal 4 3 2 2 2 6 2 2 5" xfId="27431" xr:uid="{00000000-0005-0000-0000-0000260A0000}"/>
    <cellStyle name="Normal 4 3 2 2 2 6 2 3" xfId="4391" xr:uid="{00000000-0005-0000-0000-0000270A0000}"/>
    <cellStyle name="Normal 4 3 2 2 2 6 2 3 2" xfId="10535" xr:uid="{00000000-0005-0000-0000-0000280A0000}"/>
    <cellStyle name="Normal 4 3 2 2 2 6 2 3 2 2" xfId="22823" xr:uid="{00000000-0005-0000-0000-0000290A0000}"/>
    <cellStyle name="Normal 4 3 2 2 2 6 2 3 2 2 2" xfId="47399" xr:uid="{00000000-0005-0000-0000-00002A0A0000}"/>
    <cellStyle name="Normal 4 3 2 2 2 6 2 3 2 3" xfId="35111" xr:uid="{00000000-0005-0000-0000-00002B0A0000}"/>
    <cellStyle name="Normal 4 3 2 2 2 6 2 3 3" xfId="16679" xr:uid="{00000000-0005-0000-0000-00002C0A0000}"/>
    <cellStyle name="Normal 4 3 2 2 2 6 2 3 3 2" xfId="41255" xr:uid="{00000000-0005-0000-0000-00002D0A0000}"/>
    <cellStyle name="Normal 4 3 2 2 2 6 2 3 4" xfId="28967" xr:uid="{00000000-0005-0000-0000-00002E0A0000}"/>
    <cellStyle name="Normal 4 3 2 2 2 6 2 4" xfId="7463" xr:uid="{00000000-0005-0000-0000-00002F0A0000}"/>
    <cellStyle name="Normal 4 3 2 2 2 6 2 4 2" xfId="19751" xr:uid="{00000000-0005-0000-0000-0000300A0000}"/>
    <cellStyle name="Normal 4 3 2 2 2 6 2 4 2 2" xfId="44327" xr:uid="{00000000-0005-0000-0000-0000310A0000}"/>
    <cellStyle name="Normal 4 3 2 2 2 6 2 4 3" xfId="32039" xr:uid="{00000000-0005-0000-0000-0000320A0000}"/>
    <cellStyle name="Normal 4 3 2 2 2 6 2 5" xfId="13607" xr:uid="{00000000-0005-0000-0000-0000330A0000}"/>
    <cellStyle name="Normal 4 3 2 2 2 6 2 5 2" xfId="38183" xr:uid="{00000000-0005-0000-0000-0000340A0000}"/>
    <cellStyle name="Normal 4 3 2 2 2 6 2 6" xfId="25895" xr:uid="{00000000-0005-0000-0000-0000350A0000}"/>
    <cellStyle name="Normal 4 3 2 2 2 6 3" xfId="2083" xr:uid="{00000000-0005-0000-0000-0000360A0000}"/>
    <cellStyle name="Normal 4 3 2 2 2 6 3 2" xfId="5159" xr:uid="{00000000-0005-0000-0000-0000370A0000}"/>
    <cellStyle name="Normal 4 3 2 2 2 6 3 2 2" xfId="11303" xr:uid="{00000000-0005-0000-0000-0000380A0000}"/>
    <cellStyle name="Normal 4 3 2 2 2 6 3 2 2 2" xfId="23591" xr:uid="{00000000-0005-0000-0000-0000390A0000}"/>
    <cellStyle name="Normal 4 3 2 2 2 6 3 2 2 2 2" xfId="48167" xr:uid="{00000000-0005-0000-0000-00003A0A0000}"/>
    <cellStyle name="Normal 4 3 2 2 2 6 3 2 2 3" xfId="35879" xr:uid="{00000000-0005-0000-0000-00003B0A0000}"/>
    <cellStyle name="Normal 4 3 2 2 2 6 3 2 3" xfId="17447" xr:uid="{00000000-0005-0000-0000-00003C0A0000}"/>
    <cellStyle name="Normal 4 3 2 2 2 6 3 2 3 2" xfId="42023" xr:uid="{00000000-0005-0000-0000-00003D0A0000}"/>
    <cellStyle name="Normal 4 3 2 2 2 6 3 2 4" xfId="29735" xr:uid="{00000000-0005-0000-0000-00003E0A0000}"/>
    <cellStyle name="Normal 4 3 2 2 2 6 3 3" xfId="8231" xr:uid="{00000000-0005-0000-0000-00003F0A0000}"/>
    <cellStyle name="Normal 4 3 2 2 2 6 3 3 2" xfId="20519" xr:uid="{00000000-0005-0000-0000-0000400A0000}"/>
    <cellStyle name="Normal 4 3 2 2 2 6 3 3 2 2" xfId="45095" xr:uid="{00000000-0005-0000-0000-0000410A0000}"/>
    <cellStyle name="Normal 4 3 2 2 2 6 3 3 3" xfId="32807" xr:uid="{00000000-0005-0000-0000-0000420A0000}"/>
    <cellStyle name="Normal 4 3 2 2 2 6 3 4" xfId="14375" xr:uid="{00000000-0005-0000-0000-0000430A0000}"/>
    <cellStyle name="Normal 4 3 2 2 2 6 3 4 2" xfId="38951" xr:uid="{00000000-0005-0000-0000-0000440A0000}"/>
    <cellStyle name="Normal 4 3 2 2 2 6 3 5" xfId="26663" xr:uid="{00000000-0005-0000-0000-0000450A0000}"/>
    <cellStyle name="Normal 4 3 2 2 2 6 4" xfId="3623" xr:uid="{00000000-0005-0000-0000-0000460A0000}"/>
    <cellStyle name="Normal 4 3 2 2 2 6 4 2" xfId="9767" xr:uid="{00000000-0005-0000-0000-0000470A0000}"/>
    <cellStyle name="Normal 4 3 2 2 2 6 4 2 2" xfId="22055" xr:uid="{00000000-0005-0000-0000-0000480A0000}"/>
    <cellStyle name="Normal 4 3 2 2 2 6 4 2 2 2" xfId="46631" xr:uid="{00000000-0005-0000-0000-0000490A0000}"/>
    <cellStyle name="Normal 4 3 2 2 2 6 4 2 3" xfId="34343" xr:uid="{00000000-0005-0000-0000-00004A0A0000}"/>
    <cellStyle name="Normal 4 3 2 2 2 6 4 3" xfId="15911" xr:uid="{00000000-0005-0000-0000-00004B0A0000}"/>
    <cellStyle name="Normal 4 3 2 2 2 6 4 3 2" xfId="40487" xr:uid="{00000000-0005-0000-0000-00004C0A0000}"/>
    <cellStyle name="Normal 4 3 2 2 2 6 4 4" xfId="28199" xr:uid="{00000000-0005-0000-0000-00004D0A0000}"/>
    <cellStyle name="Normal 4 3 2 2 2 6 5" xfId="6695" xr:uid="{00000000-0005-0000-0000-00004E0A0000}"/>
    <cellStyle name="Normal 4 3 2 2 2 6 5 2" xfId="18983" xr:uid="{00000000-0005-0000-0000-00004F0A0000}"/>
    <cellStyle name="Normal 4 3 2 2 2 6 5 2 2" xfId="43559" xr:uid="{00000000-0005-0000-0000-0000500A0000}"/>
    <cellStyle name="Normal 4 3 2 2 2 6 5 3" xfId="31271" xr:uid="{00000000-0005-0000-0000-0000510A0000}"/>
    <cellStyle name="Normal 4 3 2 2 2 6 6" xfId="12839" xr:uid="{00000000-0005-0000-0000-0000520A0000}"/>
    <cellStyle name="Normal 4 3 2 2 2 6 6 2" xfId="37415" xr:uid="{00000000-0005-0000-0000-0000530A0000}"/>
    <cellStyle name="Normal 4 3 2 2 2 6 7" xfId="25127" xr:uid="{00000000-0005-0000-0000-0000540A0000}"/>
    <cellStyle name="Normal 4 3 2 2 2 7" xfId="931" xr:uid="{00000000-0005-0000-0000-0000550A0000}"/>
    <cellStyle name="Normal 4 3 2 2 2 7 2" xfId="2467" xr:uid="{00000000-0005-0000-0000-0000560A0000}"/>
    <cellStyle name="Normal 4 3 2 2 2 7 2 2" xfId="5543" xr:uid="{00000000-0005-0000-0000-0000570A0000}"/>
    <cellStyle name="Normal 4 3 2 2 2 7 2 2 2" xfId="11687" xr:uid="{00000000-0005-0000-0000-0000580A0000}"/>
    <cellStyle name="Normal 4 3 2 2 2 7 2 2 2 2" xfId="23975" xr:uid="{00000000-0005-0000-0000-0000590A0000}"/>
    <cellStyle name="Normal 4 3 2 2 2 7 2 2 2 2 2" xfId="48551" xr:uid="{00000000-0005-0000-0000-00005A0A0000}"/>
    <cellStyle name="Normal 4 3 2 2 2 7 2 2 2 3" xfId="36263" xr:uid="{00000000-0005-0000-0000-00005B0A0000}"/>
    <cellStyle name="Normal 4 3 2 2 2 7 2 2 3" xfId="17831" xr:uid="{00000000-0005-0000-0000-00005C0A0000}"/>
    <cellStyle name="Normal 4 3 2 2 2 7 2 2 3 2" xfId="42407" xr:uid="{00000000-0005-0000-0000-00005D0A0000}"/>
    <cellStyle name="Normal 4 3 2 2 2 7 2 2 4" xfId="30119" xr:uid="{00000000-0005-0000-0000-00005E0A0000}"/>
    <cellStyle name="Normal 4 3 2 2 2 7 2 3" xfId="8615" xr:uid="{00000000-0005-0000-0000-00005F0A0000}"/>
    <cellStyle name="Normal 4 3 2 2 2 7 2 3 2" xfId="20903" xr:uid="{00000000-0005-0000-0000-0000600A0000}"/>
    <cellStyle name="Normal 4 3 2 2 2 7 2 3 2 2" xfId="45479" xr:uid="{00000000-0005-0000-0000-0000610A0000}"/>
    <cellStyle name="Normal 4 3 2 2 2 7 2 3 3" xfId="33191" xr:uid="{00000000-0005-0000-0000-0000620A0000}"/>
    <cellStyle name="Normal 4 3 2 2 2 7 2 4" xfId="14759" xr:uid="{00000000-0005-0000-0000-0000630A0000}"/>
    <cellStyle name="Normal 4 3 2 2 2 7 2 4 2" xfId="39335" xr:uid="{00000000-0005-0000-0000-0000640A0000}"/>
    <cellStyle name="Normal 4 3 2 2 2 7 2 5" xfId="27047" xr:uid="{00000000-0005-0000-0000-0000650A0000}"/>
    <cellStyle name="Normal 4 3 2 2 2 7 3" xfId="4007" xr:uid="{00000000-0005-0000-0000-0000660A0000}"/>
    <cellStyle name="Normal 4 3 2 2 2 7 3 2" xfId="10151" xr:uid="{00000000-0005-0000-0000-0000670A0000}"/>
    <cellStyle name="Normal 4 3 2 2 2 7 3 2 2" xfId="22439" xr:uid="{00000000-0005-0000-0000-0000680A0000}"/>
    <cellStyle name="Normal 4 3 2 2 2 7 3 2 2 2" xfId="47015" xr:uid="{00000000-0005-0000-0000-0000690A0000}"/>
    <cellStyle name="Normal 4 3 2 2 2 7 3 2 3" xfId="34727" xr:uid="{00000000-0005-0000-0000-00006A0A0000}"/>
    <cellStyle name="Normal 4 3 2 2 2 7 3 3" xfId="16295" xr:uid="{00000000-0005-0000-0000-00006B0A0000}"/>
    <cellStyle name="Normal 4 3 2 2 2 7 3 3 2" xfId="40871" xr:uid="{00000000-0005-0000-0000-00006C0A0000}"/>
    <cellStyle name="Normal 4 3 2 2 2 7 3 4" xfId="28583" xr:uid="{00000000-0005-0000-0000-00006D0A0000}"/>
    <cellStyle name="Normal 4 3 2 2 2 7 4" xfId="7079" xr:uid="{00000000-0005-0000-0000-00006E0A0000}"/>
    <cellStyle name="Normal 4 3 2 2 2 7 4 2" xfId="19367" xr:uid="{00000000-0005-0000-0000-00006F0A0000}"/>
    <cellStyle name="Normal 4 3 2 2 2 7 4 2 2" xfId="43943" xr:uid="{00000000-0005-0000-0000-0000700A0000}"/>
    <cellStyle name="Normal 4 3 2 2 2 7 4 3" xfId="31655" xr:uid="{00000000-0005-0000-0000-0000710A0000}"/>
    <cellStyle name="Normal 4 3 2 2 2 7 5" xfId="13223" xr:uid="{00000000-0005-0000-0000-0000720A0000}"/>
    <cellStyle name="Normal 4 3 2 2 2 7 5 2" xfId="37799" xr:uid="{00000000-0005-0000-0000-0000730A0000}"/>
    <cellStyle name="Normal 4 3 2 2 2 7 6" xfId="25511" xr:uid="{00000000-0005-0000-0000-0000740A0000}"/>
    <cellStyle name="Normal 4 3 2 2 2 8" xfId="1699" xr:uid="{00000000-0005-0000-0000-0000750A0000}"/>
    <cellStyle name="Normal 4 3 2 2 2 8 2" xfId="4775" xr:uid="{00000000-0005-0000-0000-0000760A0000}"/>
    <cellStyle name="Normal 4 3 2 2 2 8 2 2" xfId="10919" xr:uid="{00000000-0005-0000-0000-0000770A0000}"/>
    <cellStyle name="Normal 4 3 2 2 2 8 2 2 2" xfId="23207" xr:uid="{00000000-0005-0000-0000-0000780A0000}"/>
    <cellStyle name="Normal 4 3 2 2 2 8 2 2 2 2" xfId="47783" xr:uid="{00000000-0005-0000-0000-0000790A0000}"/>
    <cellStyle name="Normal 4 3 2 2 2 8 2 2 3" xfId="35495" xr:uid="{00000000-0005-0000-0000-00007A0A0000}"/>
    <cellStyle name="Normal 4 3 2 2 2 8 2 3" xfId="17063" xr:uid="{00000000-0005-0000-0000-00007B0A0000}"/>
    <cellStyle name="Normal 4 3 2 2 2 8 2 3 2" xfId="41639" xr:uid="{00000000-0005-0000-0000-00007C0A0000}"/>
    <cellStyle name="Normal 4 3 2 2 2 8 2 4" xfId="29351" xr:uid="{00000000-0005-0000-0000-00007D0A0000}"/>
    <cellStyle name="Normal 4 3 2 2 2 8 3" xfId="7847" xr:uid="{00000000-0005-0000-0000-00007E0A0000}"/>
    <cellStyle name="Normal 4 3 2 2 2 8 3 2" xfId="20135" xr:uid="{00000000-0005-0000-0000-00007F0A0000}"/>
    <cellStyle name="Normal 4 3 2 2 2 8 3 2 2" xfId="44711" xr:uid="{00000000-0005-0000-0000-0000800A0000}"/>
    <cellStyle name="Normal 4 3 2 2 2 8 3 3" xfId="32423" xr:uid="{00000000-0005-0000-0000-0000810A0000}"/>
    <cellStyle name="Normal 4 3 2 2 2 8 4" xfId="13991" xr:uid="{00000000-0005-0000-0000-0000820A0000}"/>
    <cellStyle name="Normal 4 3 2 2 2 8 4 2" xfId="38567" xr:uid="{00000000-0005-0000-0000-0000830A0000}"/>
    <cellStyle name="Normal 4 3 2 2 2 8 5" xfId="26279" xr:uid="{00000000-0005-0000-0000-0000840A0000}"/>
    <cellStyle name="Normal 4 3 2 2 2 9" xfId="3239" xr:uid="{00000000-0005-0000-0000-0000850A0000}"/>
    <cellStyle name="Normal 4 3 2 2 2 9 2" xfId="9383" xr:uid="{00000000-0005-0000-0000-0000860A0000}"/>
    <cellStyle name="Normal 4 3 2 2 2 9 2 2" xfId="21671" xr:uid="{00000000-0005-0000-0000-0000870A0000}"/>
    <cellStyle name="Normal 4 3 2 2 2 9 2 2 2" xfId="46247" xr:uid="{00000000-0005-0000-0000-0000880A0000}"/>
    <cellStyle name="Normal 4 3 2 2 2 9 2 3" xfId="33959" xr:uid="{00000000-0005-0000-0000-0000890A0000}"/>
    <cellStyle name="Normal 4 3 2 2 2 9 3" xfId="15527" xr:uid="{00000000-0005-0000-0000-00008A0A0000}"/>
    <cellStyle name="Normal 4 3 2 2 2 9 3 2" xfId="40103" xr:uid="{00000000-0005-0000-0000-00008B0A0000}"/>
    <cellStyle name="Normal 4 3 2 2 2 9 4" xfId="27815" xr:uid="{00000000-0005-0000-0000-00008C0A0000}"/>
    <cellStyle name="Normal 4 3 2 2 3" xfId="178" xr:uid="{00000000-0005-0000-0000-00008D0A0000}"/>
    <cellStyle name="Normal 4 3 2 2 3 10" xfId="12471" xr:uid="{00000000-0005-0000-0000-00008E0A0000}"/>
    <cellStyle name="Normal 4 3 2 2 3 10 2" xfId="37047" xr:uid="{00000000-0005-0000-0000-00008F0A0000}"/>
    <cellStyle name="Normal 4 3 2 2 3 11" xfId="24759" xr:uid="{00000000-0005-0000-0000-0000900A0000}"/>
    <cellStyle name="Normal 4 3 2 2 3 2" xfId="243" xr:uid="{00000000-0005-0000-0000-0000910A0000}"/>
    <cellStyle name="Normal 4 3 2 2 3 2 2" xfId="435" xr:uid="{00000000-0005-0000-0000-0000920A0000}"/>
    <cellStyle name="Normal 4 3 2 2 3 2 2 2" xfId="819" xr:uid="{00000000-0005-0000-0000-0000930A0000}"/>
    <cellStyle name="Normal 4 3 2 2 3 2 2 2 2" xfId="1587" xr:uid="{00000000-0005-0000-0000-0000940A0000}"/>
    <cellStyle name="Normal 4 3 2 2 3 2 2 2 2 2" xfId="3123" xr:uid="{00000000-0005-0000-0000-0000950A0000}"/>
    <cellStyle name="Normal 4 3 2 2 3 2 2 2 2 2 2" xfId="6199" xr:uid="{00000000-0005-0000-0000-0000960A0000}"/>
    <cellStyle name="Normal 4 3 2 2 3 2 2 2 2 2 2 2" xfId="12343" xr:uid="{00000000-0005-0000-0000-0000970A0000}"/>
    <cellStyle name="Normal 4 3 2 2 3 2 2 2 2 2 2 2 2" xfId="24631" xr:uid="{00000000-0005-0000-0000-0000980A0000}"/>
    <cellStyle name="Normal 4 3 2 2 3 2 2 2 2 2 2 2 2 2" xfId="49207" xr:uid="{00000000-0005-0000-0000-0000990A0000}"/>
    <cellStyle name="Normal 4 3 2 2 3 2 2 2 2 2 2 2 3" xfId="36919" xr:uid="{00000000-0005-0000-0000-00009A0A0000}"/>
    <cellStyle name="Normal 4 3 2 2 3 2 2 2 2 2 2 3" xfId="18487" xr:uid="{00000000-0005-0000-0000-00009B0A0000}"/>
    <cellStyle name="Normal 4 3 2 2 3 2 2 2 2 2 2 3 2" xfId="43063" xr:uid="{00000000-0005-0000-0000-00009C0A0000}"/>
    <cellStyle name="Normal 4 3 2 2 3 2 2 2 2 2 2 4" xfId="30775" xr:uid="{00000000-0005-0000-0000-00009D0A0000}"/>
    <cellStyle name="Normal 4 3 2 2 3 2 2 2 2 2 3" xfId="9271" xr:uid="{00000000-0005-0000-0000-00009E0A0000}"/>
    <cellStyle name="Normal 4 3 2 2 3 2 2 2 2 2 3 2" xfId="21559" xr:uid="{00000000-0005-0000-0000-00009F0A0000}"/>
    <cellStyle name="Normal 4 3 2 2 3 2 2 2 2 2 3 2 2" xfId="46135" xr:uid="{00000000-0005-0000-0000-0000A00A0000}"/>
    <cellStyle name="Normal 4 3 2 2 3 2 2 2 2 2 3 3" xfId="33847" xr:uid="{00000000-0005-0000-0000-0000A10A0000}"/>
    <cellStyle name="Normal 4 3 2 2 3 2 2 2 2 2 4" xfId="15415" xr:uid="{00000000-0005-0000-0000-0000A20A0000}"/>
    <cellStyle name="Normal 4 3 2 2 3 2 2 2 2 2 4 2" xfId="39991" xr:uid="{00000000-0005-0000-0000-0000A30A0000}"/>
    <cellStyle name="Normal 4 3 2 2 3 2 2 2 2 2 5" xfId="27703" xr:uid="{00000000-0005-0000-0000-0000A40A0000}"/>
    <cellStyle name="Normal 4 3 2 2 3 2 2 2 2 3" xfId="4663" xr:uid="{00000000-0005-0000-0000-0000A50A0000}"/>
    <cellStyle name="Normal 4 3 2 2 3 2 2 2 2 3 2" xfId="10807" xr:uid="{00000000-0005-0000-0000-0000A60A0000}"/>
    <cellStyle name="Normal 4 3 2 2 3 2 2 2 2 3 2 2" xfId="23095" xr:uid="{00000000-0005-0000-0000-0000A70A0000}"/>
    <cellStyle name="Normal 4 3 2 2 3 2 2 2 2 3 2 2 2" xfId="47671" xr:uid="{00000000-0005-0000-0000-0000A80A0000}"/>
    <cellStyle name="Normal 4 3 2 2 3 2 2 2 2 3 2 3" xfId="35383" xr:uid="{00000000-0005-0000-0000-0000A90A0000}"/>
    <cellStyle name="Normal 4 3 2 2 3 2 2 2 2 3 3" xfId="16951" xr:uid="{00000000-0005-0000-0000-0000AA0A0000}"/>
    <cellStyle name="Normal 4 3 2 2 3 2 2 2 2 3 3 2" xfId="41527" xr:uid="{00000000-0005-0000-0000-0000AB0A0000}"/>
    <cellStyle name="Normal 4 3 2 2 3 2 2 2 2 3 4" xfId="29239" xr:uid="{00000000-0005-0000-0000-0000AC0A0000}"/>
    <cellStyle name="Normal 4 3 2 2 3 2 2 2 2 4" xfId="7735" xr:uid="{00000000-0005-0000-0000-0000AD0A0000}"/>
    <cellStyle name="Normal 4 3 2 2 3 2 2 2 2 4 2" xfId="20023" xr:uid="{00000000-0005-0000-0000-0000AE0A0000}"/>
    <cellStyle name="Normal 4 3 2 2 3 2 2 2 2 4 2 2" xfId="44599" xr:uid="{00000000-0005-0000-0000-0000AF0A0000}"/>
    <cellStyle name="Normal 4 3 2 2 3 2 2 2 2 4 3" xfId="32311" xr:uid="{00000000-0005-0000-0000-0000B00A0000}"/>
    <cellStyle name="Normal 4 3 2 2 3 2 2 2 2 5" xfId="13879" xr:uid="{00000000-0005-0000-0000-0000B10A0000}"/>
    <cellStyle name="Normal 4 3 2 2 3 2 2 2 2 5 2" xfId="38455" xr:uid="{00000000-0005-0000-0000-0000B20A0000}"/>
    <cellStyle name="Normal 4 3 2 2 3 2 2 2 2 6" xfId="26167" xr:uid="{00000000-0005-0000-0000-0000B30A0000}"/>
    <cellStyle name="Normal 4 3 2 2 3 2 2 2 3" xfId="2355" xr:uid="{00000000-0005-0000-0000-0000B40A0000}"/>
    <cellStyle name="Normal 4 3 2 2 3 2 2 2 3 2" xfId="5431" xr:uid="{00000000-0005-0000-0000-0000B50A0000}"/>
    <cellStyle name="Normal 4 3 2 2 3 2 2 2 3 2 2" xfId="11575" xr:uid="{00000000-0005-0000-0000-0000B60A0000}"/>
    <cellStyle name="Normal 4 3 2 2 3 2 2 2 3 2 2 2" xfId="23863" xr:uid="{00000000-0005-0000-0000-0000B70A0000}"/>
    <cellStyle name="Normal 4 3 2 2 3 2 2 2 3 2 2 2 2" xfId="48439" xr:uid="{00000000-0005-0000-0000-0000B80A0000}"/>
    <cellStyle name="Normal 4 3 2 2 3 2 2 2 3 2 2 3" xfId="36151" xr:uid="{00000000-0005-0000-0000-0000B90A0000}"/>
    <cellStyle name="Normal 4 3 2 2 3 2 2 2 3 2 3" xfId="17719" xr:uid="{00000000-0005-0000-0000-0000BA0A0000}"/>
    <cellStyle name="Normal 4 3 2 2 3 2 2 2 3 2 3 2" xfId="42295" xr:uid="{00000000-0005-0000-0000-0000BB0A0000}"/>
    <cellStyle name="Normal 4 3 2 2 3 2 2 2 3 2 4" xfId="30007" xr:uid="{00000000-0005-0000-0000-0000BC0A0000}"/>
    <cellStyle name="Normal 4 3 2 2 3 2 2 2 3 3" xfId="8503" xr:uid="{00000000-0005-0000-0000-0000BD0A0000}"/>
    <cellStyle name="Normal 4 3 2 2 3 2 2 2 3 3 2" xfId="20791" xr:uid="{00000000-0005-0000-0000-0000BE0A0000}"/>
    <cellStyle name="Normal 4 3 2 2 3 2 2 2 3 3 2 2" xfId="45367" xr:uid="{00000000-0005-0000-0000-0000BF0A0000}"/>
    <cellStyle name="Normal 4 3 2 2 3 2 2 2 3 3 3" xfId="33079" xr:uid="{00000000-0005-0000-0000-0000C00A0000}"/>
    <cellStyle name="Normal 4 3 2 2 3 2 2 2 3 4" xfId="14647" xr:uid="{00000000-0005-0000-0000-0000C10A0000}"/>
    <cellStyle name="Normal 4 3 2 2 3 2 2 2 3 4 2" xfId="39223" xr:uid="{00000000-0005-0000-0000-0000C20A0000}"/>
    <cellStyle name="Normal 4 3 2 2 3 2 2 2 3 5" xfId="26935" xr:uid="{00000000-0005-0000-0000-0000C30A0000}"/>
    <cellStyle name="Normal 4 3 2 2 3 2 2 2 4" xfId="3895" xr:uid="{00000000-0005-0000-0000-0000C40A0000}"/>
    <cellStyle name="Normal 4 3 2 2 3 2 2 2 4 2" xfId="10039" xr:uid="{00000000-0005-0000-0000-0000C50A0000}"/>
    <cellStyle name="Normal 4 3 2 2 3 2 2 2 4 2 2" xfId="22327" xr:uid="{00000000-0005-0000-0000-0000C60A0000}"/>
    <cellStyle name="Normal 4 3 2 2 3 2 2 2 4 2 2 2" xfId="46903" xr:uid="{00000000-0005-0000-0000-0000C70A0000}"/>
    <cellStyle name="Normal 4 3 2 2 3 2 2 2 4 2 3" xfId="34615" xr:uid="{00000000-0005-0000-0000-0000C80A0000}"/>
    <cellStyle name="Normal 4 3 2 2 3 2 2 2 4 3" xfId="16183" xr:uid="{00000000-0005-0000-0000-0000C90A0000}"/>
    <cellStyle name="Normal 4 3 2 2 3 2 2 2 4 3 2" xfId="40759" xr:uid="{00000000-0005-0000-0000-0000CA0A0000}"/>
    <cellStyle name="Normal 4 3 2 2 3 2 2 2 4 4" xfId="28471" xr:uid="{00000000-0005-0000-0000-0000CB0A0000}"/>
    <cellStyle name="Normal 4 3 2 2 3 2 2 2 5" xfId="6967" xr:uid="{00000000-0005-0000-0000-0000CC0A0000}"/>
    <cellStyle name="Normal 4 3 2 2 3 2 2 2 5 2" xfId="19255" xr:uid="{00000000-0005-0000-0000-0000CD0A0000}"/>
    <cellStyle name="Normal 4 3 2 2 3 2 2 2 5 2 2" xfId="43831" xr:uid="{00000000-0005-0000-0000-0000CE0A0000}"/>
    <cellStyle name="Normal 4 3 2 2 3 2 2 2 5 3" xfId="31543" xr:uid="{00000000-0005-0000-0000-0000CF0A0000}"/>
    <cellStyle name="Normal 4 3 2 2 3 2 2 2 6" xfId="13111" xr:uid="{00000000-0005-0000-0000-0000D00A0000}"/>
    <cellStyle name="Normal 4 3 2 2 3 2 2 2 6 2" xfId="37687" xr:uid="{00000000-0005-0000-0000-0000D10A0000}"/>
    <cellStyle name="Normal 4 3 2 2 3 2 2 2 7" xfId="25399" xr:uid="{00000000-0005-0000-0000-0000D20A0000}"/>
    <cellStyle name="Normal 4 3 2 2 3 2 2 3" xfId="1203" xr:uid="{00000000-0005-0000-0000-0000D30A0000}"/>
    <cellStyle name="Normal 4 3 2 2 3 2 2 3 2" xfId="2739" xr:uid="{00000000-0005-0000-0000-0000D40A0000}"/>
    <cellStyle name="Normal 4 3 2 2 3 2 2 3 2 2" xfId="5815" xr:uid="{00000000-0005-0000-0000-0000D50A0000}"/>
    <cellStyle name="Normal 4 3 2 2 3 2 2 3 2 2 2" xfId="11959" xr:uid="{00000000-0005-0000-0000-0000D60A0000}"/>
    <cellStyle name="Normal 4 3 2 2 3 2 2 3 2 2 2 2" xfId="24247" xr:uid="{00000000-0005-0000-0000-0000D70A0000}"/>
    <cellStyle name="Normal 4 3 2 2 3 2 2 3 2 2 2 2 2" xfId="48823" xr:uid="{00000000-0005-0000-0000-0000D80A0000}"/>
    <cellStyle name="Normal 4 3 2 2 3 2 2 3 2 2 2 3" xfId="36535" xr:uid="{00000000-0005-0000-0000-0000D90A0000}"/>
    <cellStyle name="Normal 4 3 2 2 3 2 2 3 2 2 3" xfId="18103" xr:uid="{00000000-0005-0000-0000-0000DA0A0000}"/>
    <cellStyle name="Normal 4 3 2 2 3 2 2 3 2 2 3 2" xfId="42679" xr:uid="{00000000-0005-0000-0000-0000DB0A0000}"/>
    <cellStyle name="Normal 4 3 2 2 3 2 2 3 2 2 4" xfId="30391" xr:uid="{00000000-0005-0000-0000-0000DC0A0000}"/>
    <cellStyle name="Normal 4 3 2 2 3 2 2 3 2 3" xfId="8887" xr:uid="{00000000-0005-0000-0000-0000DD0A0000}"/>
    <cellStyle name="Normal 4 3 2 2 3 2 2 3 2 3 2" xfId="21175" xr:uid="{00000000-0005-0000-0000-0000DE0A0000}"/>
    <cellStyle name="Normal 4 3 2 2 3 2 2 3 2 3 2 2" xfId="45751" xr:uid="{00000000-0005-0000-0000-0000DF0A0000}"/>
    <cellStyle name="Normal 4 3 2 2 3 2 2 3 2 3 3" xfId="33463" xr:uid="{00000000-0005-0000-0000-0000E00A0000}"/>
    <cellStyle name="Normal 4 3 2 2 3 2 2 3 2 4" xfId="15031" xr:uid="{00000000-0005-0000-0000-0000E10A0000}"/>
    <cellStyle name="Normal 4 3 2 2 3 2 2 3 2 4 2" xfId="39607" xr:uid="{00000000-0005-0000-0000-0000E20A0000}"/>
    <cellStyle name="Normal 4 3 2 2 3 2 2 3 2 5" xfId="27319" xr:uid="{00000000-0005-0000-0000-0000E30A0000}"/>
    <cellStyle name="Normal 4 3 2 2 3 2 2 3 3" xfId="4279" xr:uid="{00000000-0005-0000-0000-0000E40A0000}"/>
    <cellStyle name="Normal 4 3 2 2 3 2 2 3 3 2" xfId="10423" xr:uid="{00000000-0005-0000-0000-0000E50A0000}"/>
    <cellStyle name="Normal 4 3 2 2 3 2 2 3 3 2 2" xfId="22711" xr:uid="{00000000-0005-0000-0000-0000E60A0000}"/>
    <cellStyle name="Normal 4 3 2 2 3 2 2 3 3 2 2 2" xfId="47287" xr:uid="{00000000-0005-0000-0000-0000E70A0000}"/>
    <cellStyle name="Normal 4 3 2 2 3 2 2 3 3 2 3" xfId="34999" xr:uid="{00000000-0005-0000-0000-0000E80A0000}"/>
    <cellStyle name="Normal 4 3 2 2 3 2 2 3 3 3" xfId="16567" xr:uid="{00000000-0005-0000-0000-0000E90A0000}"/>
    <cellStyle name="Normal 4 3 2 2 3 2 2 3 3 3 2" xfId="41143" xr:uid="{00000000-0005-0000-0000-0000EA0A0000}"/>
    <cellStyle name="Normal 4 3 2 2 3 2 2 3 3 4" xfId="28855" xr:uid="{00000000-0005-0000-0000-0000EB0A0000}"/>
    <cellStyle name="Normal 4 3 2 2 3 2 2 3 4" xfId="7351" xr:uid="{00000000-0005-0000-0000-0000EC0A0000}"/>
    <cellStyle name="Normal 4 3 2 2 3 2 2 3 4 2" xfId="19639" xr:uid="{00000000-0005-0000-0000-0000ED0A0000}"/>
    <cellStyle name="Normal 4 3 2 2 3 2 2 3 4 2 2" xfId="44215" xr:uid="{00000000-0005-0000-0000-0000EE0A0000}"/>
    <cellStyle name="Normal 4 3 2 2 3 2 2 3 4 3" xfId="31927" xr:uid="{00000000-0005-0000-0000-0000EF0A0000}"/>
    <cellStyle name="Normal 4 3 2 2 3 2 2 3 5" xfId="13495" xr:uid="{00000000-0005-0000-0000-0000F00A0000}"/>
    <cellStyle name="Normal 4 3 2 2 3 2 2 3 5 2" xfId="38071" xr:uid="{00000000-0005-0000-0000-0000F10A0000}"/>
    <cellStyle name="Normal 4 3 2 2 3 2 2 3 6" xfId="25783" xr:uid="{00000000-0005-0000-0000-0000F20A0000}"/>
    <cellStyle name="Normal 4 3 2 2 3 2 2 4" xfId="1971" xr:uid="{00000000-0005-0000-0000-0000F30A0000}"/>
    <cellStyle name="Normal 4 3 2 2 3 2 2 4 2" xfId="5047" xr:uid="{00000000-0005-0000-0000-0000F40A0000}"/>
    <cellStyle name="Normal 4 3 2 2 3 2 2 4 2 2" xfId="11191" xr:uid="{00000000-0005-0000-0000-0000F50A0000}"/>
    <cellStyle name="Normal 4 3 2 2 3 2 2 4 2 2 2" xfId="23479" xr:uid="{00000000-0005-0000-0000-0000F60A0000}"/>
    <cellStyle name="Normal 4 3 2 2 3 2 2 4 2 2 2 2" xfId="48055" xr:uid="{00000000-0005-0000-0000-0000F70A0000}"/>
    <cellStyle name="Normal 4 3 2 2 3 2 2 4 2 2 3" xfId="35767" xr:uid="{00000000-0005-0000-0000-0000F80A0000}"/>
    <cellStyle name="Normal 4 3 2 2 3 2 2 4 2 3" xfId="17335" xr:uid="{00000000-0005-0000-0000-0000F90A0000}"/>
    <cellStyle name="Normal 4 3 2 2 3 2 2 4 2 3 2" xfId="41911" xr:uid="{00000000-0005-0000-0000-0000FA0A0000}"/>
    <cellStyle name="Normal 4 3 2 2 3 2 2 4 2 4" xfId="29623" xr:uid="{00000000-0005-0000-0000-0000FB0A0000}"/>
    <cellStyle name="Normal 4 3 2 2 3 2 2 4 3" xfId="8119" xr:uid="{00000000-0005-0000-0000-0000FC0A0000}"/>
    <cellStyle name="Normal 4 3 2 2 3 2 2 4 3 2" xfId="20407" xr:uid="{00000000-0005-0000-0000-0000FD0A0000}"/>
    <cellStyle name="Normal 4 3 2 2 3 2 2 4 3 2 2" xfId="44983" xr:uid="{00000000-0005-0000-0000-0000FE0A0000}"/>
    <cellStyle name="Normal 4 3 2 2 3 2 2 4 3 3" xfId="32695" xr:uid="{00000000-0005-0000-0000-0000FF0A0000}"/>
    <cellStyle name="Normal 4 3 2 2 3 2 2 4 4" xfId="14263" xr:uid="{00000000-0005-0000-0000-0000000B0000}"/>
    <cellStyle name="Normal 4 3 2 2 3 2 2 4 4 2" xfId="38839" xr:uid="{00000000-0005-0000-0000-0000010B0000}"/>
    <cellStyle name="Normal 4 3 2 2 3 2 2 4 5" xfId="26551" xr:uid="{00000000-0005-0000-0000-0000020B0000}"/>
    <cellStyle name="Normal 4 3 2 2 3 2 2 5" xfId="3511" xr:uid="{00000000-0005-0000-0000-0000030B0000}"/>
    <cellStyle name="Normal 4 3 2 2 3 2 2 5 2" xfId="9655" xr:uid="{00000000-0005-0000-0000-0000040B0000}"/>
    <cellStyle name="Normal 4 3 2 2 3 2 2 5 2 2" xfId="21943" xr:uid="{00000000-0005-0000-0000-0000050B0000}"/>
    <cellStyle name="Normal 4 3 2 2 3 2 2 5 2 2 2" xfId="46519" xr:uid="{00000000-0005-0000-0000-0000060B0000}"/>
    <cellStyle name="Normal 4 3 2 2 3 2 2 5 2 3" xfId="34231" xr:uid="{00000000-0005-0000-0000-0000070B0000}"/>
    <cellStyle name="Normal 4 3 2 2 3 2 2 5 3" xfId="15799" xr:uid="{00000000-0005-0000-0000-0000080B0000}"/>
    <cellStyle name="Normal 4 3 2 2 3 2 2 5 3 2" xfId="40375" xr:uid="{00000000-0005-0000-0000-0000090B0000}"/>
    <cellStyle name="Normal 4 3 2 2 3 2 2 5 4" xfId="28087" xr:uid="{00000000-0005-0000-0000-00000A0B0000}"/>
    <cellStyle name="Normal 4 3 2 2 3 2 2 6" xfId="6583" xr:uid="{00000000-0005-0000-0000-00000B0B0000}"/>
    <cellStyle name="Normal 4 3 2 2 3 2 2 6 2" xfId="18871" xr:uid="{00000000-0005-0000-0000-00000C0B0000}"/>
    <cellStyle name="Normal 4 3 2 2 3 2 2 6 2 2" xfId="43447" xr:uid="{00000000-0005-0000-0000-00000D0B0000}"/>
    <cellStyle name="Normal 4 3 2 2 3 2 2 6 3" xfId="31159" xr:uid="{00000000-0005-0000-0000-00000E0B0000}"/>
    <cellStyle name="Normal 4 3 2 2 3 2 2 7" xfId="12727" xr:uid="{00000000-0005-0000-0000-00000F0B0000}"/>
    <cellStyle name="Normal 4 3 2 2 3 2 2 7 2" xfId="37303" xr:uid="{00000000-0005-0000-0000-0000100B0000}"/>
    <cellStyle name="Normal 4 3 2 2 3 2 2 8" xfId="25015" xr:uid="{00000000-0005-0000-0000-0000110B0000}"/>
    <cellStyle name="Normal 4 3 2 2 3 2 3" xfId="627" xr:uid="{00000000-0005-0000-0000-0000120B0000}"/>
    <cellStyle name="Normal 4 3 2 2 3 2 3 2" xfId="1395" xr:uid="{00000000-0005-0000-0000-0000130B0000}"/>
    <cellStyle name="Normal 4 3 2 2 3 2 3 2 2" xfId="2931" xr:uid="{00000000-0005-0000-0000-0000140B0000}"/>
    <cellStyle name="Normal 4 3 2 2 3 2 3 2 2 2" xfId="6007" xr:uid="{00000000-0005-0000-0000-0000150B0000}"/>
    <cellStyle name="Normal 4 3 2 2 3 2 3 2 2 2 2" xfId="12151" xr:uid="{00000000-0005-0000-0000-0000160B0000}"/>
    <cellStyle name="Normal 4 3 2 2 3 2 3 2 2 2 2 2" xfId="24439" xr:uid="{00000000-0005-0000-0000-0000170B0000}"/>
    <cellStyle name="Normal 4 3 2 2 3 2 3 2 2 2 2 2 2" xfId="49015" xr:uid="{00000000-0005-0000-0000-0000180B0000}"/>
    <cellStyle name="Normal 4 3 2 2 3 2 3 2 2 2 2 3" xfId="36727" xr:uid="{00000000-0005-0000-0000-0000190B0000}"/>
    <cellStyle name="Normal 4 3 2 2 3 2 3 2 2 2 3" xfId="18295" xr:uid="{00000000-0005-0000-0000-00001A0B0000}"/>
    <cellStyle name="Normal 4 3 2 2 3 2 3 2 2 2 3 2" xfId="42871" xr:uid="{00000000-0005-0000-0000-00001B0B0000}"/>
    <cellStyle name="Normal 4 3 2 2 3 2 3 2 2 2 4" xfId="30583" xr:uid="{00000000-0005-0000-0000-00001C0B0000}"/>
    <cellStyle name="Normal 4 3 2 2 3 2 3 2 2 3" xfId="9079" xr:uid="{00000000-0005-0000-0000-00001D0B0000}"/>
    <cellStyle name="Normal 4 3 2 2 3 2 3 2 2 3 2" xfId="21367" xr:uid="{00000000-0005-0000-0000-00001E0B0000}"/>
    <cellStyle name="Normal 4 3 2 2 3 2 3 2 2 3 2 2" xfId="45943" xr:uid="{00000000-0005-0000-0000-00001F0B0000}"/>
    <cellStyle name="Normal 4 3 2 2 3 2 3 2 2 3 3" xfId="33655" xr:uid="{00000000-0005-0000-0000-0000200B0000}"/>
    <cellStyle name="Normal 4 3 2 2 3 2 3 2 2 4" xfId="15223" xr:uid="{00000000-0005-0000-0000-0000210B0000}"/>
    <cellStyle name="Normal 4 3 2 2 3 2 3 2 2 4 2" xfId="39799" xr:uid="{00000000-0005-0000-0000-0000220B0000}"/>
    <cellStyle name="Normal 4 3 2 2 3 2 3 2 2 5" xfId="27511" xr:uid="{00000000-0005-0000-0000-0000230B0000}"/>
    <cellStyle name="Normal 4 3 2 2 3 2 3 2 3" xfId="4471" xr:uid="{00000000-0005-0000-0000-0000240B0000}"/>
    <cellStyle name="Normal 4 3 2 2 3 2 3 2 3 2" xfId="10615" xr:uid="{00000000-0005-0000-0000-0000250B0000}"/>
    <cellStyle name="Normal 4 3 2 2 3 2 3 2 3 2 2" xfId="22903" xr:uid="{00000000-0005-0000-0000-0000260B0000}"/>
    <cellStyle name="Normal 4 3 2 2 3 2 3 2 3 2 2 2" xfId="47479" xr:uid="{00000000-0005-0000-0000-0000270B0000}"/>
    <cellStyle name="Normal 4 3 2 2 3 2 3 2 3 2 3" xfId="35191" xr:uid="{00000000-0005-0000-0000-0000280B0000}"/>
    <cellStyle name="Normal 4 3 2 2 3 2 3 2 3 3" xfId="16759" xr:uid="{00000000-0005-0000-0000-0000290B0000}"/>
    <cellStyle name="Normal 4 3 2 2 3 2 3 2 3 3 2" xfId="41335" xr:uid="{00000000-0005-0000-0000-00002A0B0000}"/>
    <cellStyle name="Normal 4 3 2 2 3 2 3 2 3 4" xfId="29047" xr:uid="{00000000-0005-0000-0000-00002B0B0000}"/>
    <cellStyle name="Normal 4 3 2 2 3 2 3 2 4" xfId="7543" xr:uid="{00000000-0005-0000-0000-00002C0B0000}"/>
    <cellStyle name="Normal 4 3 2 2 3 2 3 2 4 2" xfId="19831" xr:uid="{00000000-0005-0000-0000-00002D0B0000}"/>
    <cellStyle name="Normal 4 3 2 2 3 2 3 2 4 2 2" xfId="44407" xr:uid="{00000000-0005-0000-0000-00002E0B0000}"/>
    <cellStyle name="Normal 4 3 2 2 3 2 3 2 4 3" xfId="32119" xr:uid="{00000000-0005-0000-0000-00002F0B0000}"/>
    <cellStyle name="Normal 4 3 2 2 3 2 3 2 5" xfId="13687" xr:uid="{00000000-0005-0000-0000-0000300B0000}"/>
    <cellStyle name="Normal 4 3 2 2 3 2 3 2 5 2" xfId="38263" xr:uid="{00000000-0005-0000-0000-0000310B0000}"/>
    <cellStyle name="Normal 4 3 2 2 3 2 3 2 6" xfId="25975" xr:uid="{00000000-0005-0000-0000-0000320B0000}"/>
    <cellStyle name="Normal 4 3 2 2 3 2 3 3" xfId="2163" xr:uid="{00000000-0005-0000-0000-0000330B0000}"/>
    <cellStyle name="Normal 4 3 2 2 3 2 3 3 2" xfId="5239" xr:uid="{00000000-0005-0000-0000-0000340B0000}"/>
    <cellStyle name="Normal 4 3 2 2 3 2 3 3 2 2" xfId="11383" xr:uid="{00000000-0005-0000-0000-0000350B0000}"/>
    <cellStyle name="Normal 4 3 2 2 3 2 3 3 2 2 2" xfId="23671" xr:uid="{00000000-0005-0000-0000-0000360B0000}"/>
    <cellStyle name="Normal 4 3 2 2 3 2 3 3 2 2 2 2" xfId="48247" xr:uid="{00000000-0005-0000-0000-0000370B0000}"/>
    <cellStyle name="Normal 4 3 2 2 3 2 3 3 2 2 3" xfId="35959" xr:uid="{00000000-0005-0000-0000-0000380B0000}"/>
    <cellStyle name="Normal 4 3 2 2 3 2 3 3 2 3" xfId="17527" xr:uid="{00000000-0005-0000-0000-0000390B0000}"/>
    <cellStyle name="Normal 4 3 2 2 3 2 3 3 2 3 2" xfId="42103" xr:uid="{00000000-0005-0000-0000-00003A0B0000}"/>
    <cellStyle name="Normal 4 3 2 2 3 2 3 3 2 4" xfId="29815" xr:uid="{00000000-0005-0000-0000-00003B0B0000}"/>
    <cellStyle name="Normal 4 3 2 2 3 2 3 3 3" xfId="8311" xr:uid="{00000000-0005-0000-0000-00003C0B0000}"/>
    <cellStyle name="Normal 4 3 2 2 3 2 3 3 3 2" xfId="20599" xr:uid="{00000000-0005-0000-0000-00003D0B0000}"/>
    <cellStyle name="Normal 4 3 2 2 3 2 3 3 3 2 2" xfId="45175" xr:uid="{00000000-0005-0000-0000-00003E0B0000}"/>
    <cellStyle name="Normal 4 3 2 2 3 2 3 3 3 3" xfId="32887" xr:uid="{00000000-0005-0000-0000-00003F0B0000}"/>
    <cellStyle name="Normal 4 3 2 2 3 2 3 3 4" xfId="14455" xr:uid="{00000000-0005-0000-0000-0000400B0000}"/>
    <cellStyle name="Normal 4 3 2 2 3 2 3 3 4 2" xfId="39031" xr:uid="{00000000-0005-0000-0000-0000410B0000}"/>
    <cellStyle name="Normal 4 3 2 2 3 2 3 3 5" xfId="26743" xr:uid="{00000000-0005-0000-0000-0000420B0000}"/>
    <cellStyle name="Normal 4 3 2 2 3 2 3 4" xfId="3703" xr:uid="{00000000-0005-0000-0000-0000430B0000}"/>
    <cellStyle name="Normal 4 3 2 2 3 2 3 4 2" xfId="9847" xr:uid="{00000000-0005-0000-0000-0000440B0000}"/>
    <cellStyle name="Normal 4 3 2 2 3 2 3 4 2 2" xfId="22135" xr:uid="{00000000-0005-0000-0000-0000450B0000}"/>
    <cellStyle name="Normal 4 3 2 2 3 2 3 4 2 2 2" xfId="46711" xr:uid="{00000000-0005-0000-0000-0000460B0000}"/>
    <cellStyle name="Normal 4 3 2 2 3 2 3 4 2 3" xfId="34423" xr:uid="{00000000-0005-0000-0000-0000470B0000}"/>
    <cellStyle name="Normal 4 3 2 2 3 2 3 4 3" xfId="15991" xr:uid="{00000000-0005-0000-0000-0000480B0000}"/>
    <cellStyle name="Normal 4 3 2 2 3 2 3 4 3 2" xfId="40567" xr:uid="{00000000-0005-0000-0000-0000490B0000}"/>
    <cellStyle name="Normal 4 3 2 2 3 2 3 4 4" xfId="28279" xr:uid="{00000000-0005-0000-0000-00004A0B0000}"/>
    <cellStyle name="Normal 4 3 2 2 3 2 3 5" xfId="6775" xr:uid="{00000000-0005-0000-0000-00004B0B0000}"/>
    <cellStyle name="Normal 4 3 2 2 3 2 3 5 2" xfId="19063" xr:uid="{00000000-0005-0000-0000-00004C0B0000}"/>
    <cellStyle name="Normal 4 3 2 2 3 2 3 5 2 2" xfId="43639" xr:uid="{00000000-0005-0000-0000-00004D0B0000}"/>
    <cellStyle name="Normal 4 3 2 2 3 2 3 5 3" xfId="31351" xr:uid="{00000000-0005-0000-0000-00004E0B0000}"/>
    <cellStyle name="Normal 4 3 2 2 3 2 3 6" xfId="12919" xr:uid="{00000000-0005-0000-0000-00004F0B0000}"/>
    <cellStyle name="Normal 4 3 2 2 3 2 3 6 2" xfId="37495" xr:uid="{00000000-0005-0000-0000-0000500B0000}"/>
    <cellStyle name="Normal 4 3 2 2 3 2 3 7" xfId="25207" xr:uid="{00000000-0005-0000-0000-0000510B0000}"/>
    <cellStyle name="Normal 4 3 2 2 3 2 4" xfId="1011" xr:uid="{00000000-0005-0000-0000-0000520B0000}"/>
    <cellStyle name="Normal 4 3 2 2 3 2 4 2" xfId="2547" xr:uid="{00000000-0005-0000-0000-0000530B0000}"/>
    <cellStyle name="Normal 4 3 2 2 3 2 4 2 2" xfId="5623" xr:uid="{00000000-0005-0000-0000-0000540B0000}"/>
    <cellStyle name="Normal 4 3 2 2 3 2 4 2 2 2" xfId="11767" xr:uid="{00000000-0005-0000-0000-0000550B0000}"/>
    <cellStyle name="Normal 4 3 2 2 3 2 4 2 2 2 2" xfId="24055" xr:uid="{00000000-0005-0000-0000-0000560B0000}"/>
    <cellStyle name="Normal 4 3 2 2 3 2 4 2 2 2 2 2" xfId="48631" xr:uid="{00000000-0005-0000-0000-0000570B0000}"/>
    <cellStyle name="Normal 4 3 2 2 3 2 4 2 2 2 3" xfId="36343" xr:uid="{00000000-0005-0000-0000-0000580B0000}"/>
    <cellStyle name="Normal 4 3 2 2 3 2 4 2 2 3" xfId="17911" xr:uid="{00000000-0005-0000-0000-0000590B0000}"/>
    <cellStyle name="Normal 4 3 2 2 3 2 4 2 2 3 2" xfId="42487" xr:uid="{00000000-0005-0000-0000-00005A0B0000}"/>
    <cellStyle name="Normal 4 3 2 2 3 2 4 2 2 4" xfId="30199" xr:uid="{00000000-0005-0000-0000-00005B0B0000}"/>
    <cellStyle name="Normal 4 3 2 2 3 2 4 2 3" xfId="8695" xr:uid="{00000000-0005-0000-0000-00005C0B0000}"/>
    <cellStyle name="Normal 4 3 2 2 3 2 4 2 3 2" xfId="20983" xr:uid="{00000000-0005-0000-0000-00005D0B0000}"/>
    <cellStyle name="Normal 4 3 2 2 3 2 4 2 3 2 2" xfId="45559" xr:uid="{00000000-0005-0000-0000-00005E0B0000}"/>
    <cellStyle name="Normal 4 3 2 2 3 2 4 2 3 3" xfId="33271" xr:uid="{00000000-0005-0000-0000-00005F0B0000}"/>
    <cellStyle name="Normal 4 3 2 2 3 2 4 2 4" xfId="14839" xr:uid="{00000000-0005-0000-0000-0000600B0000}"/>
    <cellStyle name="Normal 4 3 2 2 3 2 4 2 4 2" xfId="39415" xr:uid="{00000000-0005-0000-0000-0000610B0000}"/>
    <cellStyle name="Normal 4 3 2 2 3 2 4 2 5" xfId="27127" xr:uid="{00000000-0005-0000-0000-0000620B0000}"/>
    <cellStyle name="Normal 4 3 2 2 3 2 4 3" xfId="4087" xr:uid="{00000000-0005-0000-0000-0000630B0000}"/>
    <cellStyle name="Normal 4 3 2 2 3 2 4 3 2" xfId="10231" xr:uid="{00000000-0005-0000-0000-0000640B0000}"/>
    <cellStyle name="Normal 4 3 2 2 3 2 4 3 2 2" xfId="22519" xr:uid="{00000000-0005-0000-0000-0000650B0000}"/>
    <cellStyle name="Normal 4 3 2 2 3 2 4 3 2 2 2" xfId="47095" xr:uid="{00000000-0005-0000-0000-0000660B0000}"/>
    <cellStyle name="Normal 4 3 2 2 3 2 4 3 2 3" xfId="34807" xr:uid="{00000000-0005-0000-0000-0000670B0000}"/>
    <cellStyle name="Normal 4 3 2 2 3 2 4 3 3" xfId="16375" xr:uid="{00000000-0005-0000-0000-0000680B0000}"/>
    <cellStyle name="Normal 4 3 2 2 3 2 4 3 3 2" xfId="40951" xr:uid="{00000000-0005-0000-0000-0000690B0000}"/>
    <cellStyle name="Normal 4 3 2 2 3 2 4 3 4" xfId="28663" xr:uid="{00000000-0005-0000-0000-00006A0B0000}"/>
    <cellStyle name="Normal 4 3 2 2 3 2 4 4" xfId="7159" xr:uid="{00000000-0005-0000-0000-00006B0B0000}"/>
    <cellStyle name="Normal 4 3 2 2 3 2 4 4 2" xfId="19447" xr:uid="{00000000-0005-0000-0000-00006C0B0000}"/>
    <cellStyle name="Normal 4 3 2 2 3 2 4 4 2 2" xfId="44023" xr:uid="{00000000-0005-0000-0000-00006D0B0000}"/>
    <cellStyle name="Normal 4 3 2 2 3 2 4 4 3" xfId="31735" xr:uid="{00000000-0005-0000-0000-00006E0B0000}"/>
    <cellStyle name="Normal 4 3 2 2 3 2 4 5" xfId="13303" xr:uid="{00000000-0005-0000-0000-00006F0B0000}"/>
    <cellStyle name="Normal 4 3 2 2 3 2 4 5 2" xfId="37879" xr:uid="{00000000-0005-0000-0000-0000700B0000}"/>
    <cellStyle name="Normal 4 3 2 2 3 2 4 6" xfId="25591" xr:uid="{00000000-0005-0000-0000-0000710B0000}"/>
    <cellStyle name="Normal 4 3 2 2 3 2 5" xfId="1779" xr:uid="{00000000-0005-0000-0000-0000720B0000}"/>
    <cellStyle name="Normal 4 3 2 2 3 2 5 2" xfId="4855" xr:uid="{00000000-0005-0000-0000-0000730B0000}"/>
    <cellStyle name="Normal 4 3 2 2 3 2 5 2 2" xfId="10999" xr:uid="{00000000-0005-0000-0000-0000740B0000}"/>
    <cellStyle name="Normal 4 3 2 2 3 2 5 2 2 2" xfId="23287" xr:uid="{00000000-0005-0000-0000-0000750B0000}"/>
    <cellStyle name="Normal 4 3 2 2 3 2 5 2 2 2 2" xfId="47863" xr:uid="{00000000-0005-0000-0000-0000760B0000}"/>
    <cellStyle name="Normal 4 3 2 2 3 2 5 2 2 3" xfId="35575" xr:uid="{00000000-0005-0000-0000-0000770B0000}"/>
    <cellStyle name="Normal 4 3 2 2 3 2 5 2 3" xfId="17143" xr:uid="{00000000-0005-0000-0000-0000780B0000}"/>
    <cellStyle name="Normal 4 3 2 2 3 2 5 2 3 2" xfId="41719" xr:uid="{00000000-0005-0000-0000-0000790B0000}"/>
    <cellStyle name="Normal 4 3 2 2 3 2 5 2 4" xfId="29431" xr:uid="{00000000-0005-0000-0000-00007A0B0000}"/>
    <cellStyle name="Normal 4 3 2 2 3 2 5 3" xfId="7927" xr:uid="{00000000-0005-0000-0000-00007B0B0000}"/>
    <cellStyle name="Normal 4 3 2 2 3 2 5 3 2" xfId="20215" xr:uid="{00000000-0005-0000-0000-00007C0B0000}"/>
    <cellStyle name="Normal 4 3 2 2 3 2 5 3 2 2" xfId="44791" xr:uid="{00000000-0005-0000-0000-00007D0B0000}"/>
    <cellStyle name="Normal 4 3 2 2 3 2 5 3 3" xfId="32503" xr:uid="{00000000-0005-0000-0000-00007E0B0000}"/>
    <cellStyle name="Normal 4 3 2 2 3 2 5 4" xfId="14071" xr:uid="{00000000-0005-0000-0000-00007F0B0000}"/>
    <cellStyle name="Normal 4 3 2 2 3 2 5 4 2" xfId="38647" xr:uid="{00000000-0005-0000-0000-0000800B0000}"/>
    <cellStyle name="Normal 4 3 2 2 3 2 5 5" xfId="26359" xr:uid="{00000000-0005-0000-0000-0000810B0000}"/>
    <cellStyle name="Normal 4 3 2 2 3 2 6" xfId="3319" xr:uid="{00000000-0005-0000-0000-0000820B0000}"/>
    <cellStyle name="Normal 4 3 2 2 3 2 6 2" xfId="9463" xr:uid="{00000000-0005-0000-0000-0000830B0000}"/>
    <cellStyle name="Normal 4 3 2 2 3 2 6 2 2" xfId="21751" xr:uid="{00000000-0005-0000-0000-0000840B0000}"/>
    <cellStyle name="Normal 4 3 2 2 3 2 6 2 2 2" xfId="46327" xr:uid="{00000000-0005-0000-0000-0000850B0000}"/>
    <cellStyle name="Normal 4 3 2 2 3 2 6 2 3" xfId="34039" xr:uid="{00000000-0005-0000-0000-0000860B0000}"/>
    <cellStyle name="Normal 4 3 2 2 3 2 6 3" xfId="15607" xr:uid="{00000000-0005-0000-0000-0000870B0000}"/>
    <cellStyle name="Normal 4 3 2 2 3 2 6 3 2" xfId="40183" xr:uid="{00000000-0005-0000-0000-0000880B0000}"/>
    <cellStyle name="Normal 4 3 2 2 3 2 6 4" xfId="27895" xr:uid="{00000000-0005-0000-0000-0000890B0000}"/>
    <cellStyle name="Normal 4 3 2 2 3 2 7" xfId="6391" xr:uid="{00000000-0005-0000-0000-00008A0B0000}"/>
    <cellStyle name="Normal 4 3 2 2 3 2 7 2" xfId="18679" xr:uid="{00000000-0005-0000-0000-00008B0B0000}"/>
    <cellStyle name="Normal 4 3 2 2 3 2 7 2 2" xfId="43255" xr:uid="{00000000-0005-0000-0000-00008C0B0000}"/>
    <cellStyle name="Normal 4 3 2 2 3 2 7 3" xfId="30967" xr:uid="{00000000-0005-0000-0000-00008D0B0000}"/>
    <cellStyle name="Normal 4 3 2 2 3 2 8" xfId="12535" xr:uid="{00000000-0005-0000-0000-00008E0B0000}"/>
    <cellStyle name="Normal 4 3 2 2 3 2 8 2" xfId="37111" xr:uid="{00000000-0005-0000-0000-00008F0B0000}"/>
    <cellStyle name="Normal 4 3 2 2 3 2 9" xfId="24823" xr:uid="{00000000-0005-0000-0000-0000900B0000}"/>
    <cellStyle name="Normal 4 3 2 2 3 3" xfId="307" xr:uid="{00000000-0005-0000-0000-0000910B0000}"/>
    <cellStyle name="Normal 4 3 2 2 3 3 2" xfId="499" xr:uid="{00000000-0005-0000-0000-0000920B0000}"/>
    <cellStyle name="Normal 4 3 2 2 3 3 2 2" xfId="883" xr:uid="{00000000-0005-0000-0000-0000930B0000}"/>
    <cellStyle name="Normal 4 3 2 2 3 3 2 2 2" xfId="1651" xr:uid="{00000000-0005-0000-0000-0000940B0000}"/>
    <cellStyle name="Normal 4 3 2 2 3 3 2 2 2 2" xfId="3187" xr:uid="{00000000-0005-0000-0000-0000950B0000}"/>
    <cellStyle name="Normal 4 3 2 2 3 3 2 2 2 2 2" xfId="6263" xr:uid="{00000000-0005-0000-0000-0000960B0000}"/>
    <cellStyle name="Normal 4 3 2 2 3 3 2 2 2 2 2 2" xfId="12407" xr:uid="{00000000-0005-0000-0000-0000970B0000}"/>
    <cellStyle name="Normal 4 3 2 2 3 3 2 2 2 2 2 2 2" xfId="24695" xr:uid="{00000000-0005-0000-0000-0000980B0000}"/>
    <cellStyle name="Normal 4 3 2 2 3 3 2 2 2 2 2 2 2 2" xfId="49271" xr:uid="{00000000-0005-0000-0000-0000990B0000}"/>
    <cellStyle name="Normal 4 3 2 2 3 3 2 2 2 2 2 2 3" xfId="36983" xr:uid="{00000000-0005-0000-0000-00009A0B0000}"/>
    <cellStyle name="Normal 4 3 2 2 3 3 2 2 2 2 2 3" xfId="18551" xr:uid="{00000000-0005-0000-0000-00009B0B0000}"/>
    <cellStyle name="Normal 4 3 2 2 3 3 2 2 2 2 2 3 2" xfId="43127" xr:uid="{00000000-0005-0000-0000-00009C0B0000}"/>
    <cellStyle name="Normal 4 3 2 2 3 3 2 2 2 2 2 4" xfId="30839" xr:uid="{00000000-0005-0000-0000-00009D0B0000}"/>
    <cellStyle name="Normal 4 3 2 2 3 3 2 2 2 2 3" xfId="9335" xr:uid="{00000000-0005-0000-0000-00009E0B0000}"/>
    <cellStyle name="Normal 4 3 2 2 3 3 2 2 2 2 3 2" xfId="21623" xr:uid="{00000000-0005-0000-0000-00009F0B0000}"/>
    <cellStyle name="Normal 4 3 2 2 3 3 2 2 2 2 3 2 2" xfId="46199" xr:uid="{00000000-0005-0000-0000-0000A00B0000}"/>
    <cellStyle name="Normal 4 3 2 2 3 3 2 2 2 2 3 3" xfId="33911" xr:uid="{00000000-0005-0000-0000-0000A10B0000}"/>
    <cellStyle name="Normal 4 3 2 2 3 3 2 2 2 2 4" xfId="15479" xr:uid="{00000000-0005-0000-0000-0000A20B0000}"/>
    <cellStyle name="Normal 4 3 2 2 3 3 2 2 2 2 4 2" xfId="40055" xr:uid="{00000000-0005-0000-0000-0000A30B0000}"/>
    <cellStyle name="Normal 4 3 2 2 3 3 2 2 2 2 5" xfId="27767" xr:uid="{00000000-0005-0000-0000-0000A40B0000}"/>
    <cellStyle name="Normal 4 3 2 2 3 3 2 2 2 3" xfId="4727" xr:uid="{00000000-0005-0000-0000-0000A50B0000}"/>
    <cellStyle name="Normal 4 3 2 2 3 3 2 2 2 3 2" xfId="10871" xr:uid="{00000000-0005-0000-0000-0000A60B0000}"/>
    <cellStyle name="Normal 4 3 2 2 3 3 2 2 2 3 2 2" xfId="23159" xr:uid="{00000000-0005-0000-0000-0000A70B0000}"/>
    <cellStyle name="Normal 4 3 2 2 3 3 2 2 2 3 2 2 2" xfId="47735" xr:uid="{00000000-0005-0000-0000-0000A80B0000}"/>
    <cellStyle name="Normal 4 3 2 2 3 3 2 2 2 3 2 3" xfId="35447" xr:uid="{00000000-0005-0000-0000-0000A90B0000}"/>
    <cellStyle name="Normal 4 3 2 2 3 3 2 2 2 3 3" xfId="17015" xr:uid="{00000000-0005-0000-0000-0000AA0B0000}"/>
    <cellStyle name="Normal 4 3 2 2 3 3 2 2 2 3 3 2" xfId="41591" xr:uid="{00000000-0005-0000-0000-0000AB0B0000}"/>
    <cellStyle name="Normal 4 3 2 2 3 3 2 2 2 3 4" xfId="29303" xr:uid="{00000000-0005-0000-0000-0000AC0B0000}"/>
    <cellStyle name="Normal 4 3 2 2 3 3 2 2 2 4" xfId="7799" xr:uid="{00000000-0005-0000-0000-0000AD0B0000}"/>
    <cellStyle name="Normal 4 3 2 2 3 3 2 2 2 4 2" xfId="20087" xr:uid="{00000000-0005-0000-0000-0000AE0B0000}"/>
    <cellStyle name="Normal 4 3 2 2 3 3 2 2 2 4 2 2" xfId="44663" xr:uid="{00000000-0005-0000-0000-0000AF0B0000}"/>
    <cellStyle name="Normal 4 3 2 2 3 3 2 2 2 4 3" xfId="32375" xr:uid="{00000000-0005-0000-0000-0000B00B0000}"/>
    <cellStyle name="Normal 4 3 2 2 3 3 2 2 2 5" xfId="13943" xr:uid="{00000000-0005-0000-0000-0000B10B0000}"/>
    <cellStyle name="Normal 4 3 2 2 3 3 2 2 2 5 2" xfId="38519" xr:uid="{00000000-0005-0000-0000-0000B20B0000}"/>
    <cellStyle name="Normal 4 3 2 2 3 3 2 2 2 6" xfId="26231" xr:uid="{00000000-0005-0000-0000-0000B30B0000}"/>
    <cellStyle name="Normal 4 3 2 2 3 3 2 2 3" xfId="2419" xr:uid="{00000000-0005-0000-0000-0000B40B0000}"/>
    <cellStyle name="Normal 4 3 2 2 3 3 2 2 3 2" xfId="5495" xr:uid="{00000000-0005-0000-0000-0000B50B0000}"/>
    <cellStyle name="Normal 4 3 2 2 3 3 2 2 3 2 2" xfId="11639" xr:uid="{00000000-0005-0000-0000-0000B60B0000}"/>
    <cellStyle name="Normal 4 3 2 2 3 3 2 2 3 2 2 2" xfId="23927" xr:uid="{00000000-0005-0000-0000-0000B70B0000}"/>
    <cellStyle name="Normal 4 3 2 2 3 3 2 2 3 2 2 2 2" xfId="48503" xr:uid="{00000000-0005-0000-0000-0000B80B0000}"/>
    <cellStyle name="Normal 4 3 2 2 3 3 2 2 3 2 2 3" xfId="36215" xr:uid="{00000000-0005-0000-0000-0000B90B0000}"/>
    <cellStyle name="Normal 4 3 2 2 3 3 2 2 3 2 3" xfId="17783" xr:uid="{00000000-0005-0000-0000-0000BA0B0000}"/>
    <cellStyle name="Normal 4 3 2 2 3 3 2 2 3 2 3 2" xfId="42359" xr:uid="{00000000-0005-0000-0000-0000BB0B0000}"/>
    <cellStyle name="Normal 4 3 2 2 3 3 2 2 3 2 4" xfId="30071" xr:uid="{00000000-0005-0000-0000-0000BC0B0000}"/>
    <cellStyle name="Normal 4 3 2 2 3 3 2 2 3 3" xfId="8567" xr:uid="{00000000-0005-0000-0000-0000BD0B0000}"/>
    <cellStyle name="Normal 4 3 2 2 3 3 2 2 3 3 2" xfId="20855" xr:uid="{00000000-0005-0000-0000-0000BE0B0000}"/>
    <cellStyle name="Normal 4 3 2 2 3 3 2 2 3 3 2 2" xfId="45431" xr:uid="{00000000-0005-0000-0000-0000BF0B0000}"/>
    <cellStyle name="Normal 4 3 2 2 3 3 2 2 3 3 3" xfId="33143" xr:uid="{00000000-0005-0000-0000-0000C00B0000}"/>
    <cellStyle name="Normal 4 3 2 2 3 3 2 2 3 4" xfId="14711" xr:uid="{00000000-0005-0000-0000-0000C10B0000}"/>
    <cellStyle name="Normal 4 3 2 2 3 3 2 2 3 4 2" xfId="39287" xr:uid="{00000000-0005-0000-0000-0000C20B0000}"/>
    <cellStyle name="Normal 4 3 2 2 3 3 2 2 3 5" xfId="26999" xr:uid="{00000000-0005-0000-0000-0000C30B0000}"/>
    <cellStyle name="Normal 4 3 2 2 3 3 2 2 4" xfId="3959" xr:uid="{00000000-0005-0000-0000-0000C40B0000}"/>
    <cellStyle name="Normal 4 3 2 2 3 3 2 2 4 2" xfId="10103" xr:uid="{00000000-0005-0000-0000-0000C50B0000}"/>
    <cellStyle name="Normal 4 3 2 2 3 3 2 2 4 2 2" xfId="22391" xr:uid="{00000000-0005-0000-0000-0000C60B0000}"/>
    <cellStyle name="Normal 4 3 2 2 3 3 2 2 4 2 2 2" xfId="46967" xr:uid="{00000000-0005-0000-0000-0000C70B0000}"/>
    <cellStyle name="Normal 4 3 2 2 3 3 2 2 4 2 3" xfId="34679" xr:uid="{00000000-0005-0000-0000-0000C80B0000}"/>
    <cellStyle name="Normal 4 3 2 2 3 3 2 2 4 3" xfId="16247" xr:uid="{00000000-0005-0000-0000-0000C90B0000}"/>
    <cellStyle name="Normal 4 3 2 2 3 3 2 2 4 3 2" xfId="40823" xr:uid="{00000000-0005-0000-0000-0000CA0B0000}"/>
    <cellStyle name="Normal 4 3 2 2 3 3 2 2 4 4" xfId="28535" xr:uid="{00000000-0005-0000-0000-0000CB0B0000}"/>
    <cellStyle name="Normal 4 3 2 2 3 3 2 2 5" xfId="7031" xr:uid="{00000000-0005-0000-0000-0000CC0B0000}"/>
    <cellStyle name="Normal 4 3 2 2 3 3 2 2 5 2" xfId="19319" xr:uid="{00000000-0005-0000-0000-0000CD0B0000}"/>
    <cellStyle name="Normal 4 3 2 2 3 3 2 2 5 2 2" xfId="43895" xr:uid="{00000000-0005-0000-0000-0000CE0B0000}"/>
    <cellStyle name="Normal 4 3 2 2 3 3 2 2 5 3" xfId="31607" xr:uid="{00000000-0005-0000-0000-0000CF0B0000}"/>
    <cellStyle name="Normal 4 3 2 2 3 3 2 2 6" xfId="13175" xr:uid="{00000000-0005-0000-0000-0000D00B0000}"/>
    <cellStyle name="Normal 4 3 2 2 3 3 2 2 6 2" xfId="37751" xr:uid="{00000000-0005-0000-0000-0000D10B0000}"/>
    <cellStyle name="Normal 4 3 2 2 3 3 2 2 7" xfId="25463" xr:uid="{00000000-0005-0000-0000-0000D20B0000}"/>
    <cellStyle name="Normal 4 3 2 2 3 3 2 3" xfId="1267" xr:uid="{00000000-0005-0000-0000-0000D30B0000}"/>
    <cellStyle name="Normal 4 3 2 2 3 3 2 3 2" xfId="2803" xr:uid="{00000000-0005-0000-0000-0000D40B0000}"/>
    <cellStyle name="Normal 4 3 2 2 3 3 2 3 2 2" xfId="5879" xr:uid="{00000000-0005-0000-0000-0000D50B0000}"/>
    <cellStyle name="Normal 4 3 2 2 3 3 2 3 2 2 2" xfId="12023" xr:uid="{00000000-0005-0000-0000-0000D60B0000}"/>
    <cellStyle name="Normal 4 3 2 2 3 3 2 3 2 2 2 2" xfId="24311" xr:uid="{00000000-0005-0000-0000-0000D70B0000}"/>
    <cellStyle name="Normal 4 3 2 2 3 3 2 3 2 2 2 2 2" xfId="48887" xr:uid="{00000000-0005-0000-0000-0000D80B0000}"/>
    <cellStyle name="Normal 4 3 2 2 3 3 2 3 2 2 2 3" xfId="36599" xr:uid="{00000000-0005-0000-0000-0000D90B0000}"/>
    <cellStyle name="Normal 4 3 2 2 3 3 2 3 2 2 3" xfId="18167" xr:uid="{00000000-0005-0000-0000-0000DA0B0000}"/>
    <cellStyle name="Normal 4 3 2 2 3 3 2 3 2 2 3 2" xfId="42743" xr:uid="{00000000-0005-0000-0000-0000DB0B0000}"/>
    <cellStyle name="Normal 4 3 2 2 3 3 2 3 2 2 4" xfId="30455" xr:uid="{00000000-0005-0000-0000-0000DC0B0000}"/>
    <cellStyle name="Normal 4 3 2 2 3 3 2 3 2 3" xfId="8951" xr:uid="{00000000-0005-0000-0000-0000DD0B0000}"/>
    <cellStyle name="Normal 4 3 2 2 3 3 2 3 2 3 2" xfId="21239" xr:uid="{00000000-0005-0000-0000-0000DE0B0000}"/>
    <cellStyle name="Normal 4 3 2 2 3 3 2 3 2 3 2 2" xfId="45815" xr:uid="{00000000-0005-0000-0000-0000DF0B0000}"/>
    <cellStyle name="Normal 4 3 2 2 3 3 2 3 2 3 3" xfId="33527" xr:uid="{00000000-0005-0000-0000-0000E00B0000}"/>
    <cellStyle name="Normal 4 3 2 2 3 3 2 3 2 4" xfId="15095" xr:uid="{00000000-0005-0000-0000-0000E10B0000}"/>
    <cellStyle name="Normal 4 3 2 2 3 3 2 3 2 4 2" xfId="39671" xr:uid="{00000000-0005-0000-0000-0000E20B0000}"/>
    <cellStyle name="Normal 4 3 2 2 3 3 2 3 2 5" xfId="27383" xr:uid="{00000000-0005-0000-0000-0000E30B0000}"/>
    <cellStyle name="Normal 4 3 2 2 3 3 2 3 3" xfId="4343" xr:uid="{00000000-0005-0000-0000-0000E40B0000}"/>
    <cellStyle name="Normal 4 3 2 2 3 3 2 3 3 2" xfId="10487" xr:uid="{00000000-0005-0000-0000-0000E50B0000}"/>
    <cellStyle name="Normal 4 3 2 2 3 3 2 3 3 2 2" xfId="22775" xr:uid="{00000000-0005-0000-0000-0000E60B0000}"/>
    <cellStyle name="Normal 4 3 2 2 3 3 2 3 3 2 2 2" xfId="47351" xr:uid="{00000000-0005-0000-0000-0000E70B0000}"/>
    <cellStyle name="Normal 4 3 2 2 3 3 2 3 3 2 3" xfId="35063" xr:uid="{00000000-0005-0000-0000-0000E80B0000}"/>
    <cellStyle name="Normal 4 3 2 2 3 3 2 3 3 3" xfId="16631" xr:uid="{00000000-0005-0000-0000-0000E90B0000}"/>
    <cellStyle name="Normal 4 3 2 2 3 3 2 3 3 3 2" xfId="41207" xr:uid="{00000000-0005-0000-0000-0000EA0B0000}"/>
    <cellStyle name="Normal 4 3 2 2 3 3 2 3 3 4" xfId="28919" xr:uid="{00000000-0005-0000-0000-0000EB0B0000}"/>
    <cellStyle name="Normal 4 3 2 2 3 3 2 3 4" xfId="7415" xr:uid="{00000000-0005-0000-0000-0000EC0B0000}"/>
    <cellStyle name="Normal 4 3 2 2 3 3 2 3 4 2" xfId="19703" xr:uid="{00000000-0005-0000-0000-0000ED0B0000}"/>
    <cellStyle name="Normal 4 3 2 2 3 3 2 3 4 2 2" xfId="44279" xr:uid="{00000000-0005-0000-0000-0000EE0B0000}"/>
    <cellStyle name="Normal 4 3 2 2 3 3 2 3 4 3" xfId="31991" xr:uid="{00000000-0005-0000-0000-0000EF0B0000}"/>
    <cellStyle name="Normal 4 3 2 2 3 3 2 3 5" xfId="13559" xr:uid="{00000000-0005-0000-0000-0000F00B0000}"/>
    <cellStyle name="Normal 4 3 2 2 3 3 2 3 5 2" xfId="38135" xr:uid="{00000000-0005-0000-0000-0000F10B0000}"/>
    <cellStyle name="Normal 4 3 2 2 3 3 2 3 6" xfId="25847" xr:uid="{00000000-0005-0000-0000-0000F20B0000}"/>
    <cellStyle name="Normal 4 3 2 2 3 3 2 4" xfId="2035" xr:uid="{00000000-0005-0000-0000-0000F30B0000}"/>
    <cellStyle name="Normal 4 3 2 2 3 3 2 4 2" xfId="5111" xr:uid="{00000000-0005-0000-0000-0000F40B0000}"/>
    <cellStyle name="Normal 4 3 2 2 3 3 2 4 2 2" xfId="11255" xr:uid="{00000000-0005-0000-0000-0000F50B0000}"/>
    <cellStyle name="Normal 4 3 2 2 3 3 2 4 2 2 2" xfId="23543" xr:uid="{00000000-0005-0000-0000-0000F60B0000}"/>
    <cellStyle name="Normal 4 3 2 2 3 3 2 4 2 2 2 2" xfId="48119" xr:uid="{00000000-0005-0000-0000-0000F70B0000}"/>
    <cellStyle name="Normal 4 3 2 2 3 3 2 4 2 2 3" xfId="35831" xr:uid="{00000000-0005-0000-0000-0000F80B0000}"/>
    <cellStyle name="Normal 4 3 2 2 3 3 2 4 2 3" xfId="17399" xr:uid="{00000000-0005-0000-0000-0000F90B0000}"/>
    <cellStyle name="Normal 4 3 2 2 3 3 2 4 2 3 2" xfId="41975" xr:uid="{00000000-0005-0000-0000-0000FA0B0000}"/>
    <cellStyle name="Normal 4 3 2 2 3 3 2 4 2 4" xfId="29687" xr:uid="{00000000-0005-0000-0000-0000FB0B0000}"/>
    <cellStyle name="Normal 4 3 2 2 3 3 2 4 3" xfId="8183" xr:uid="{00000000-0005-0000-0000-0000FC0B0000}"/>
    <cellStyle name="Normal 4 3 2 2 3 3 2 4 3 2" xfId="20471" xr:uid="{00000000-0005-0000-0000-0000FD0B0000}"/>
    <cellStyle name="Normal 4 3 2 2 3 3 2 4 3 2 2" xfId="45047" xr:uid="{00000000-0005-0000-0000-0000FE0B0000}"/>
    <cellStyle name="Normal 4 3 2 2 3 3 2 4 3 3" xfId="32759" xr:uid="{00000000-0005-0000-0000-0000FF0B0000}"/>
    <cellStyle name="Normal 4 3 2 2 3 3 2 4 4" xfId="14327" xr:uid="{00000000-0005-0000-0000-0000000C0000}"/>
    <cellStyle name="Normal 4 3 2 2 3 3 2 4 4 2" xfId="38903" xr:uid="{00000000-0005-0000-0000-0000010C0000}"/>
    <cellStyle name="Normal 4 3 2 2 3 3 2 4 5" xfId="26615" xr:uid="{00000000-0005-0000-0000-0000020C0000}"/>
    <cellStyle name="Normal 4 3 2 2 3 3 2 5" xfId="3575" xr:uid="{00000000-0005-0000-0000-0000030C0000}"/>
    <cellStyle name="Normal 4 3 2 2 3 3 2 5 2" xfId="9719" xr:uid="{00000000-0005-0000-0000-0000040C0000}"/>
    <cellStyle name="Normal 4 3 2 2 3 3 2 5 2 2" xfId="22007" xr:uid="{00000000-0005-0000-0000-0000050C0000}"/>
    <cellStyle name="Normal 4 3 2 2 3 3 2 5 2 2 2" xfId="46583" xr:uid="{00000000-0005-0000-0000-0000060C0000}"/>
    <cellStyle name="Normal 4 3 2 2 3 3 2 5 2 3" xfId="34295" xr:uid="{00000000-0005-0000-0000-0000070C0000}"/>
    <cellStyle name="Normal 4 3 2 2 3 3 2 5 3" xfId="15863" xr:uid="{00000000-0005-0000-0000-0000080C0000}"/>
    <cellStyle name="Normal 4 3 2 2 3 3 2 5 3 2" xfId="40439" xr:uid="{00000000-0005-0000-0000-0000090C0000}"/>
    <cellStyle name="Normal 4 3 2 2 3 3 2 5 4" xfId="28151" xr:uid="{00000000-0005-0000-0000-00000A0C0000}"/>
    <cellStyle name="Normal 4 3 2 2 3 3 2 6" xfId="6647" xr:uid="{00000000-0005-0000-0000-00000B0C0000}"/>
    <cellStyle name="Normal 4 3 2 2 3 3 2 6 2" xfId="18935" xr:uid="{00000000-0005-0000-0000-00000C0C0000}"/>
    <cellStyle name="Normal 4 3 2 2 3 3 2 6 2 2" xfId="43511" xr:uid="{00000000-0005-0000-0000-00000D0C0000}"/>
    <cellStyle name="Normal 4 3 2 2 3 3 2 6 3" xfId="31223" xr:uid="{00000000-0005-0000-0000-00000E0C0000}"/>
    <cellStyle name="Normal 4 3 2 2 3 3 2 7" xfId="12791" xr:uid="{00000000-0005-0000-0000-00000F0C0000}"/>
    <cellStyle name="Normal 4 3 2 2 3 3 2 7 2" xfId="37367" xr:uid="{00000000-0005-0000-0000-0000100C0000}"/>
    <cellStyle name="Normal 4 3 2 2 3 3 2 8" xfId="25079" xr:uid="{00000000-0005-0000-0000-0000110C0000}"/>
    <cellStyle name="Normal 4 3 2 2 3 3 3" xfId="691" xr:uid="{00000000-0005-0000-0000-0000120C0000}"/>
    <cellStyle name="Normal 4 3 2 2 3 3 3 2" xfId="1459" xr:uid="{00000000-0005-0000-0000-0000130C0000}"/>
    <cellStyle name="Normal 4 3 2 2 3 3 3 2 2" xfId="2995" xr:uid="{00000000-0005-0000-0000-0000140C0000}"/>
    <cellStyle name="Normal 4 3 2 2 3 3 3 2 2 2" xfId="6071" xr:uid="{00000000-0005-0000-0000-0000150C0000}"/>
    <cellStyle name="Normal 4 3 2 2 3 3 3 2 2 2 2" xfId="12215" xr:uid="{00000000-0005-0000-0000-0000160C0000}"/>
    <cellStyle name="Normal 4 3 2 2 3 3 3 2 2 2 2 2" xfId="24503" xr:uid="{00000000-0005-0000-0000-0000170C0000}"/>
    <cellStyle name="Normal 4 3 2 2 3 3 3 2 2 2 2 2 2" xfId="49079" xr:uid="{00000000-0005-0000-0000-0000180C0000}"/>
    <cellStyle name="Normal 4 3 2 2 3 3 3 2 2 2 2 3" xfId="36791" xr:uid="{00000000-0005-0000-0000-0000190C0000}"/>
    <cellStyle name="Normal 4 3 2 2 3 3 3 2 2 2 3" xfId="18359" xr:uid="{00000000-0005-0000-0000-00001A0C0000}"/>
    <cellStyle name="Normal 4 3 2 2 3 3 3 2 2 2 3 2" xfId="42935" xr:uid="{00000000-0005-0000-0000-00001B0C0000}"/>
    <cellStyle name="Normal 4 3 2 2 3 3 3 2 2 2 4" xfId="30647" xr:uid="{00000000-0005-0000-0000-00001C0C0000}"/>
    <cellStyle name="Normal 4 3 2 2 3 3 3 2 2 3" xfId="9143" xr:uid="{00000000-0005-0000-0000-00001D0C0000}"/>
    <cellStyle name="Normal 4 3 2 2 3 3 3 2 2 3 2" xfId="21431" xr:uid="{00000000-0005-0000-0000-00001E0C0000}"/>
    <cellStyle name="Normal 4 3 2 2 3 3 3 2 2 3 2 2" xfId="46007" xr:uid="{00000000-0005-0000-0000-00001F0C0000}"/>
    <cellStyle name="Normal 4 3 2 2 3 3 3 2 2 3 3" xfId="33719" xr:uid="{00000000-0005-0000-0000-0000200C0000}"/>
    <cellStyle name="Normal 4 3 2 2 3 3 3 2 2 4" xfId="15287" xr:uid="{00000000-0005-0000-0000-0000210C0000}"/>
    <cellStyle name="Normal 4 3 2 2 3 3 3 2 2 4 2" xfId="39863" xr:uid="{00000000-0005-0000-0000-0000220C0000}"/>
    <cellStyle name="Normal 4 3 2 2 3 3 3 2 2 5" xfId="27575" xr:uid="{00000000-0005-0000-0000-0000230C0000}"/>
    <cellStyle name="Normal 4 3 2 2 3 3 3 2 3" xfId="4535" xr:uid="{00000000-0005-0000-0000-0000240C0000}"/>
    <cellStyle name="Normal 4 3 2 2 3 3 3 2 3 2" xfId="10679" xr:uid="{00000000-0005-0000-0000-0000250C0000}"/>
    <cellStyle name="Normal 4 3 2 2 3 3 3 2 3 2 2" xfId="22967" xr:uid="{00000000-0005-0000-0000-0000260C0000}"/>
    <cellStyle name="Normal 4 3 2 2 3 3 3 2 3 2 2 2" xfId="47543" xr:uid="{00000000-0005-0000-0000-0000270C0000}"/>
    <cellStyle name="Normal 4 3 2 2 3 3 3 2 3 2 3" xfId="35255" xr:uid="{00000000-0005-0000-0000-0000280C0000}"/>
    <cellStyle name="Normal 4 3 2 2 3 3 3 2 3 3" xfId="16823" xr:uid="{00000000-0005-0000-0000-0000290C0000}"/>
    <cellStyle name="Normal 4 3 2 2 3 3 3 2 3 3 2" xfId="41399" xr:uid="{00000000-0005-0000-0000-00002A0C0000}"/>
    <cellStyle name="Normal 4 3 2 2 3 3 3 2 3 4" xfId="29111" xr:uid="{00000000-0005-0000-0000-00002B0C0000}"/>
    <cellStyle name="Normal 4 3 2 2 3 3 3 2 4" xfId="7607" xr:uid="{00000000-0005-0000-0000-00002C0C0000}"/>
    <cellStyle name="Normal 4 3 2 2 3 3 3 2 4 2" xfId="19895" xr:uid="{00000000-0005-0000-0000-00002D0C0000}"/>
    <cellStyle name="Normal 4 3 2 2 3 3 3 2 4 2 2" xfId="44471" xr:uid="{00000000-0005-0000-0000-00002E0C0000}"/>
    <cellStyle name="Normal 4 3 2 2 3 3 3 2 4 3" xfId="32183" xr:uid="{00000000-0005-0000-0000-00002F0C0000}"/>
    <cellStyle name="Normal 4 3 2 2 3 3 3 2 5" xfId="13751" xr:uid="{00000000-0005-0000-0000-0000300C0000}"/>
    <cellStyle name="Normal 4 3 2 2 3 3 3 2 5 2" xfId="38327" xr:uid="{00000000-0005-0000-0000-0000310C0000}"/>
    <cellStyle name="Normal 4 3 2 2 3 3 3 2 6" xfId="26039" xr:uid="{00000000-0005-0000-0000-0000320C0000}"/>
    <cellStyle name="Normal 4 3 2 2 3 3 3 3" xfId="2227" xr:uid="{00000000-0005-0000-0000-0000330C0000}"/>
    <cellStyle name="Normal 4 3 2 2 3 3 3 3 2" xfId="5303" xr:uid="{00000000-0005-0000-0000-0000340C0000}"/>
    <cellStyle name="Normal 4 3 2 2 3 3 3 3 2 2" xfId="11447" xr:uid="{00000000-0005-0000-0000-0000350C0000}"/>
    <cellStyle name="Normal 4 3 2 2 3 3 3 3 2 2 2" xfId="23735" xr:uid="{00000000-0005-0000-0000-0000360C0000}"/>
    <cellStyle name="Normal 4 3 2 2 3 3 3 3 2 2 2 2" xfId="48311" xr:uid="{00000000-0005-0000-0000-0000370C0000}"/>
    <cellStyle name="Normal 4 3 2 2 3 3 3 3 2 2 3" xfId="36023" xr:uid="{00000000-0005-0000-0000-0000380C0000}"/>
    <cellStyle name="Normal 4 3 2 2 3 3 3 3 2 3" xfId="17591" xr:uid="{00000000-0005-0000-0000-0000390C0000}"/>
    <cellStyle name="Normal 4 3 2 2 3 3 3 3 2 3 2" xfId="42167" xr:uid="{00000000-0005-0000-0000-00003A0C0000}"/>
    <cellStyle name="Normal 4 3 2 2 3 3 3 3 2 4" xfId="29879" xr:uid="{00000000-0005-0000-0000-00003B0C0000}"/>
    <cellStyle name="Normal 4 3 2 2 3 3 3 3 3" xfId="8375" xr:uid="{00000000-0005-0000-0000-00003C0C0000}"/>
    <cellStyle name="Normal 4 3 2 2 3 3 3 3 3 2" xfId="20663" xr:uid="{00000000-0005-0000-0000-00003D0C0000}"/>
    <cellStyle name="Normal 4 3 2 2 3 3 3 3 3 2 2" xfId="45239" xr:uid="{00000000-0005-0000-0000-00003E0C0000}"/>
    <cellStyle name="Normal 4 3 2 2 3 3 3 3 3 3" xfId="32951" xr:uid="{00000000-0005-0000-0000-00003F0C0000}"/>
    <cellStyle name="Normal 4 3 2 2 3 3 3 3 4" xfId="14519" xr:uid="{00000000-0005-0000-0000-0000400C0000}"/>
    <cellStyle name="Normal 4 3 2 2 3 3 3 3 4 2" xfId="39095" xr:uid="{00000000-0005-0000-0000-0000410C0000}"/>
    <cellStyle name="Normal 4 3 2 2 3 3 3 3 5" xfId="26807" xr:uid="{00000000-0005-0000-0000-0000420C0000}"/>
    <cellStyle name="Normal 4 3 2 2 3 3 3 4" xfId="3767" xr:uid="{00000000-0005-0000-0000-0000430C0000}"/>
    <cellStyle name="Normal 4 3 2 2 3 3 3 4 2" xfId="9911" xr:uid="{00000000-0005-0000-0000-0000440C0000}"/>
    <cellStyle name="Normal 4 3 2 2 3 3 3 4 2 2" xfId="22199" xr:uid="{00000000-0005-0000-0000-0000450C0000}"/>
    <cellStyle name="Normal 4 3 2 2 3 3 3 4 2 2 2" xfId="46775" xr:uid="{00000000-0005-0000-0000-0000460C0000}"/>
    <cellStyle name="Normal 4 3 2 2 3 3 3 4 2 3" xfId="34487" xr:uid="{00000000-0005-0000-0000-0000470C0000}"/>
    <cellStyle name="Normal 4 3 2 2 3 3 3 4 3" xfId="16055" xr:uid="{00000000-0005-0000-0000-0000480C0000}"/>
    <cellStyle name="Normal 4 3 2 2 3 3 3 4 3 2" xfId="40631" xr:uid="{00000000-0005-0000-0000-0000490C0000}"/>
    <cellStyle name="Normal 4 3 2 2 3 3 3 4 4" xfId="28343" xr:uid="{00000000-0005-0000-0000-00004A0C0000}"/>
    <cellStyle name="Normal 4 3 2 2 3 3 3 5" xfId="6839" xr:uid="{00000000-0005-0000-0000-00004B0C0000}"/>
    <cellStyle name="Normal 4 3 2 2 3 3 3 5 2" xfId="19127" xr:uid="{00000000-0005-0000-0000-00004C0C0000}"/>
    <cellStyle name="Normal 4 3 2 2 3 3 3 5 2 2" xfId="43703" xr:uid="{00000000-0005-0000-0000-00004D0C0000}"/>
    <cellStyle name="Normal 4 3 2 2 3 3 3 5 3" xfId="31415" xr:uid="{00000000-0005-0000-0000-00004E0C0000}"/>
    <cellStyle name="Normal 4 3 2 2 3 3 3 6" xfId="12983" xr:uid="{00000000-0005-0000-0000-00004F0C0000}"/>
    <cellStyle name="Normal 4 3 2 2 3 3 3 6 2" xfId="37559" xr:uid="{00000000-0005-0000-0000-0000500C0000}"/>
    <cellStyle name="Normal 4 3 2 2 3 3 3 7" xfId="25271" xr:uid="{00000000-0005-0000-0000-0000510C0000}"/>
    <cellStyle name="Normal 4 3 2 2 3 3 4" xfId="1075" xr:uid="{00000000-0005-0000-0000-0000520C0000}"/>
    <cellStyle name="Normal 4 3 2 2 3 3 4 2" xfId="2611" xr:uid="{00000000-0005-0000-0000-0000530C0000}"/>
    <cellStyle name="Normal 4 3 2 2 3 3 4 2 2" xfId="5687" xr:uid="{00000000-0005-0000-0000-0000540C0000}"/>
    <cellStyle name="Normal 4 3 2 2 3 3 4 2 2 2" xfId="11831" xr:uid="{00000000-0005-0000-0000-0000550C0000}"/>
    <cellStyle name="Normal 4 3 2 2 3 3 4 2 2 2 2" xfId="24119" xr:uid="{00000000-0005-0000-0000-0000560C0000}"/>
    <cellStyle name="Normal 4 3 2 2 3 3 4 2 2 2 2 2" xfId="48695" xr:uid="{00000000-0005-0000-0000-0000570C0000}"/>
    <cellStyle name="Normal 4 3 2 2 3 3 4 2 2 2 3" xfId="36407" xr:uid="{00000000-0005-0000-0000-0000580C0000}"/>
    <cellStyle name="Normal 4 3 2 2 3 3 4 2 2 3" xfId="17975" xr:uid="{00000000-0005-0000-0000-0000590C0000}"/>
    <cellStyle name="Normal 4 3 2 2 3 3 4 2 2 3 2" xfId="42551" xr:uid="{00000000-0005-0000-0000-00005A0C0000}"/>
    <cellStyle name="Normal 4 3 2 2 3 3 4 2 2 4" xfId="30263" xr:uid="{00000000-0005-0000-0000-00005B0C0000}"/>
    <cellStyle name="Normal 4 3 2 2 3 3 4 2 3" xfId="8759" xr:uid="{00000000-0005-0000-0000-00005C0C0000}"/>
    <cellStyle name="Normal 4 3 2 2 3 3 4 2 3 2" xfId="21047" xr:uid="{00000000-0005-0000-0000-00005D0C0000}"/>
    <cellStyle name="Normal 4 3 2 2 3 3 4 2 3 2 2" xfId="45623" xr:uid="{00000000-0005-0000-0000-00005E0C0000}"/>
    <cellStyle name="Normal 4 3 2 2 3 3 4 2 3 3" xfId="33335" xr:uid="{00000000-0005-0000-0000-00005F0C0000}"/>
    <cellStyle name="Normal 4 3 2 2 3 3 4 2 4" xfId="14903" xr:uid="{00000000-0005-0000-0000-0000600C0000}"/>
    <cellStyle name="Normal 4 3 2 2 3 3 4 2 4 2" xfId="39479" xr:uid="{00000000-0005-0000-0000-0000610C0000}"/>
    <cellStyle name="Normal 4 3 2 2 3 3 4 2 5" xfId="27191" xr:uid="{00000000-0005-0000-0000-0000620C0000}"/>
    <cellStyle name="Normal 4 3 2 2 3 3 4 3" xfId="4151" xr:uid="{00000000-0005-0000-0000-0000630C0000}"/>
    <cellStyle name="Normal 4 3 2 2 3 3 4 3 2" xfId="10295" xr:uid="{00000000-0005-0000-0000-0000640C0000}"/>
    <cellStyle name="Normal 4 3 2 2 3 3 4 3 2 2" xfId="22583" xr:uid="{00000000-0005-0000-0000-0000650C0000}"/>
    <cellStyle name="Normal 4 3 2 2 3 3 4 3 2 2 2" xfId="47159" xr:uid="{00000000-0005-0000-0000-0000660C0000}"/>
    <cellStyle name="Normal 4 3 2 2 3 3 4 3 2 3" xfId="34871" xr:uid="{00000000-0005-0000-0000-0000670C0000}"/>
    <cellStyle name="Normal 4 3 2 2 3 3 4 3 3" xfId="16439" xr:uid="{00000000-0005-0000-0000-0000680C0000}"/>
    <cellStyle name="Normal 4 3 2 2 3 3 4 3 3 2" xfId="41015" xr:uid="{00000000-0005-0000-0000-0000690C0000}"/>
    <cellStyle name="Normal 4 3 2 2 3 3 4 3 4" xfId="28727" xr:uid="{00000000-0005-0000-0000-00006A0C0000}"/>
    <cellStyle name="Normal 4 3 2 2 3 3 4 4" xfId="7223" xr:uid="{00000000-0005-0000-0000-00006B0C0000}"/>
    <cellStyle name="Normal 4 3 2 2 3 3 4 4 2" xfId="19511" xr:uid="{00000000-0005-0000-0000-00006C0C0000}"/>
    <cellStyle name="Normal 4 3 2 2 3 3 4 4 2 2" xfId="44087" xr:uid="{00000000-0005-0000-0000-00006D0C0000}"/>
    <cellStyle name="Normal 4 3 2 2 3 3 4 4 3" xfId="31799" xr:uid="{00000000-0005-0000-0000-00006E0C0000}"/>
    <cellStyle name="Normal 4 3 2 2 3 3 4 5" xfId="13367" xr:uid="{00000000-0005-0000-0000-00006F0C0000}"/>
    <cellStyle name="Normal 4 3 2 2 3 3 4 5 2" xfId="37943" xr:uid="{00000000-0005-0000-0000-0000700C0000}"/>
    <cellStyle name="Normal 4 3 2 2 3 3 4 6" xfId="25655" xr:uid="{00000000-0005-0000-0000-0000710C0000}"/>
    <cellStyle name="Normal 4 3 2 2 3 3 5" xfId="1843" xr:uid="{00000000-0005-0000-0000-0000720C0000}"/>
    <cellStyle name="Normal 4 3 2 2 3 3 5 2" xfId="4919" xr:uid="{00000000-0005-0000-0000-0000730C0000}"/>
    <cellStyle name="Normal 4 3 2 2 3 3 5 2 2" xfId="11063" xr:uid="{00000000-0005-0000-0000-0000740C0000}"/>
    <cellStyle name="Normal 4 3 2 2 3 3 5 2 2 2" xfId="23351" xr:uid="{00000000-0005-0000-0000-0000750C0000}"/>
    <cellStyle name="Normal 4 3 2 2 3 3 5 2 2 2 2" xfId="47927" xr:uid="{00000000-0005-0000-0000-0000760C0000}"/>
    <cellStyle name="Normal 4 3 2 2 3 3 5 2 2 3" xfId="35639" xr:uid="{00000000-0005-0000-0000-0000770C0000}"/>
    <cellStyle name="Normal 4 3 2 2 3 3 5 2 3" xfId="17207" xr:uid="{00000000-0005-0000-0000-0000780C0000}"/>
    <cellStyle name="Normal 4 3 2 2 3 3 5 2 3 2" xfId="41783" xr:uid="{00000000-0005-0000-0000-0000790C0000}"/>
    <cellStyle name="Normal 4 3 2 2 3 3 5 2 4" xfId="29495" xr:uid="{00000000-0005-0000-0000-00007A0C0000}"/>
    <cellStyle name="Normal 4 3 2 2 3 3 5 3" xfId="7991" xr:uid="{00000000-0005-0000-0000-00007B0C0000}"/>
    <cellStyle name="Normal 4 3 2 2 3 3 5 3 2" xfId="20279" xr:uid="{00000000-0005-0000-0000-00007C0C0000}"/>
    <cellStyle name="Normal 4 3 2 2 3 3 5 3 2 2" xfId="44855" xr:uid="{00000000-0005-0000-0000-00007D0C0000}"/>
    <cellStyle name="Normal 4 3 2 2 3 3 5 3 3" xfId="32567" xr:uid="{00000000-0005-0000-0000-00007E0C0000}"/>
    <cellStyle name="Normal 4 3 2 2 3 3 5 4" xfId="14135" xr:uid="{00000000-0005-0000-0000-00007F0C0000}"/>
    <cellStyle name="Normal 4 3 2 2 3 3 5 4 2" xfId="38711" xr:uid="{00000000-0005-0000-0000-0000800C0000}"/>
    <cellStyle name="Normal 4 3 2 2 3 3 5 5" xfId="26423" xr:uid="{00000000-0005-0000-0000-0000810C0000}"/>
    <cellStyle name="Normal 4 3 2 2 3 3 6" xfId="3383" xr:uid="{00000000-0005-0000-0000-0000820C0000}"/>
    <cellStyle name="Normal 4 3 2 2 3 3 6 2" xfId="9527" xr:uid="{00000000-0005-0000-0000-0000830C0000}"/>
    <cellStyle name="Normal 4 3 2 2 3 3 6 2 2" xfId="21815" xr:uid="{00000000-0005-0000-0000-0000840C0000}"/>
    <cellStyle name="Normal 4 3 2 2 3 3 6 2 2 2" xfId="46391" xr:uid="{00000000-0005-0000-0000-0000850C0000}"/>
    <cellStyle name="Normal 4 3 2 2 3 3 6 2 3" xfId="34103" xr:uid="{00000000-0005-0000-0000-0000860C0000}"/>
    <cellStyle name="Normal 4 3 2 2 3 3 6 3" xfId="15671" xr:uid="{00000000-0005-0000-0000-0000870C0000}"/>
    <cellStyle name="Normal 4 3 2 2 3 3 6 3 2" xfId="40247" xr:uid="{00000000-0005-0000-0000-0000880C0000}"/>
    <cellStyle name="Normal 4 3 2 2 3 3 6 4" xfId="27959" xr:uid="{00000000-0005-0000-0000-0000890C0000}"/>
    <cellStyle name="Normal 4 3 2 2 3 3 7" xfId="6455" xr:uid="{00000000-0005-0000-0000-00008A0C0000}"/>
    <cellStyle name="Normal 4 3 2 2 3 3 7 2" xfId="18743" xr:uid="{00000000-0005-0000-0000-00008B0C0000}"/>
    <cellStyle name="Normal 4 3 2 2 3 3 7 2 2" xfId="43319" xr:uid="{00000000-0005-0000-0000-00008C0C0000}"/>
    <cellStyle name="Normal 4 3 2 2 3 3 7 3" xfId="31031" xr:uid="{00000000-0005-0000-0000-00008D0C0000}"/>
    <cellStyle name="Normal 4 3 2 2 3 3 8" xfId="12599" xr:uid="{00000000-0005-0000-0000-00008E0C0000}"/>
    <cellStyle name="Normal 4 3 2 2 3 3 8 2" xfId="37175" xr:uid="{00000000-0005-0000-0000-00008F0C0000}"/>
    <cellStyle name="Normal 4 3 2 2 3 3 9" xfId="24887" xr:uid="{00000000-0005-0000-0000-0000900C0000}"/>
    <cellStyle name="Normal 4 3 2 2 3 4" xfId="371" xr:uid="{00000000-0005-0000-0000-0000910C0000}"/>
    <cellStyle name="Normal 4 3 2 2 3 4 2" xfId="755" xr:uid="{00000000-0005-0000-0000-0000920C0000}"/>
    <cellStyle name="Normal 4 3 2 2 3 4 2 2" xfId="1523" xr:uid="{00000000-0005-0000-0000-0000930C0000}"/>
    <cellStyle name="Normal 4 3 2 2 3 4 2 2 2" xfId="3059" xr:uid="{00000000-0005-0000-0000-0000940C0000}"/>
    <cellStyle name="Normal 4 3 2 2 3 4 2 2 2 2" xfId="6135" xr:uid="{00000000-0005-0000-0000-0000950C0000}"/>
    <cellStyle name="Normal 4 3 2 2 3 4 2 2 2 2 2" xfId="12279" xr:uid="{00000000-0005-0000-0000-0000960C0000}"/>
    <cellStyle name="Normal 4 3 2 2 3 4 2 2 2 2 2 2" xfId="24567" xr:uid="{00000000-0005-0000-0000-0000970C0000}"/>
    <cellStyle name="Normal 4 3 2 2 3 4 2 2 2 2 2 2 2" xfId="49143" xr:uid="{00000000-0005-0000-0000-0000980C0000}"/>
    <cellStyle name="Normal 4 3 2 2 3 4 2 2 2 2 2 3" xfId="36855" xr:uid="{00000000-0005-0000-0000-0000990C0000}"/>
    <cellStyle name="Normal 4 3 2 2 3 4 2 2 2 2 3" xfId="18423" xr:uid="{00000000-0005-0000-0000-00009A0C0000}"/>
    <cellStyle name="Normal 4 3 2 2 3 4 2 2 2 2 3 2" xfId="42999" xr:uid="{00000000-0005-0000-0000-00009B0C0000}"/>
    <cellStyle name="Normal 4 3 2 2 3 4 2 2 2 2 4" xfId="30711" xr:uid="{00000000-0005-0000-0000-00009C0C0000}"/>
    <cellStyle name="Normal 4 3 2 2 3 4 2 2 2 3" xfId="9207" xr:uid="{00000000-0005-0000-0000-00009D0C0000}"/>
    <cellStyle name="Normal 4 3 2 2 3 4 2 2 2 3 2" xfId="21495" xr:uid="{00000000-0005-0000-0000-00009E0C0000}"/>
    <cellStyle name="Normal 4 3 2 2 3 4 2 2 2 3 2 2" xfId="46071" xr:uid="{00000000-0005-0000-0000-00009F0C0000}"/>
    <cellStyle name="Normal 4 3 2 2 3 4 2 2 2 3 3" xfId="33783" xr:uid="{00000000-0005-0000-0000-0000A00C0000}"/>
    <cellStyle name="Normal 4 3 2 2 3 4 2 2 2 4" xfId="15351" xr:uid="{00000000-0005-0000-0000-0000A10C0000}"/>
    <cellStyle name="Normal 4 3 2 2 3 4 2 2 2 4 2" xfId="39927" xr:uid="{00000000-0005-0000-0000-0000A20C0000}"/>
    <cellStyle name="Normal 4 3 2 2 3 4 2 2 2 5" xfId="27639" xr:uid="{00000000-0005-0000-0000-0000A30C0000}"/>
    <cellStyle name="Normal 4 3 2 2 3 4 2 2 3" xfId="4599" xr:uid="{00000000-0005-0000-0000-0000A40C0000}"/>
    <cellStyle name="Normal 4 3 2 2 3 4 2 2 3 2" xfId="10743" xr:uid="{00000000-0005-0000-0000-0000A50C0000}"/>
    <cellStyle name="Normal 4 3 2 2 3 4 2 2 3 2 2" xfId="23031" xr:uid="{00000000-0005-0000-0000-0000A60C0000}"/>
    <cellStyle name="Normal 4 3 2 2 3 4 2 2 3 2 2 2" xfId="47607" xr:uid="{00000000-0005-0000-0000-0000A70C0000}"/>
    <cellStyle name="Normal 4 3 2 2 3 4 2 2 3 2 3" xfId="35319" xr:uid="{00000000-0005-0000-0000-0000A80C0000}"/>
    <cellStyle name="Normal 4 3 2 2 3 4 2 2 3 3" xfId="16887" xr:uid="{00000000-0005-0000-0000-0000A90C0000}"/>
    <cellStyle name="Normal 4 3 2 2 3 4 2 2 3 3 2" xfId="41463" xr:uid="{00000000-0005-0000-0000-0000AA0C0000}"/>
    <cellStyle name="Normal 4 3 2 2 3 4 2 2 3 4" xfId="29175" xr:uid="{00000000-0005-0000-0000-0000AB0C0000}"/>
    <cellStyle name="Normal 4 3 2 2 3 4 2 2 4" xfId="7671" xr:uid="{00000000-0005-0000-0000-0000AC0C0000}"/>
    <cellStyle name="Normal 4 3 2 2 3 4 2 2 4 2" xfId="19959" xr:uid="{00000000-0005-0000-0000-0000AD0C0000}"/>
    <cellStyle name="Normal 4 3 2 2 3 4 2 2 4 2 2" xfId="44535" xr:uid="{00000000-0005-0000-0000-0000AE0C0000}"/>
    <cellStyle name="Normal 4 3 2 2 3 4 2 2 4 3" xfId="32247" xr:uid="{00000000-0005-0000-0000-0000AF0C0000}"/>
    <cellStyle name="Normal 4 3 2 2 3 4 2 2 5" xfId="13815" xr:uid="{00000000-0005-0000-0000-0000B00C0000}"/>
    <cellStyle name="Normal 4 3 2 2 3 4 2 2 5 2" xfId="38391" xr:uid="{00000000-0005-0000-0000-0000B10C0000}"/>
    <cellStyle name="Normal 4 3 2 2 3 4 2 2 6" xfId="26103" xr:uid="{00000000-0005-0000-0000-0000B20C0000}"/>
    <cellStyle name="Normal 4 3 2 2 3 4 2 3" xfId="2291" xr:uid="{00000000-0005-0000-0000-0000B30C0000}"/>
    <cellStyle name="Normal 4 3 2 2 3 4 2 3 2" xfId="5367" xr:uid="{00000000-0005-0000-0000-0000B40C0000}"/>
    <cellStyle name="Normal 4 3 2 2 3 4 2 3 2 2" xfId="11511" xr:uid="{00000000-0005-0000-0000-0000B50C0000}"/>
    <cellStyle name="Normal 4 3 2 2 3 4 2 3 2 2 2" xfId="23799" xr:uid="{00000000-0005-0000-0000-0000B60C0000}"/>
    <cellStyle name="Normal 4 3 2 2 3 4 2 3 2 2 2 2" xfId="48375" xr:uid="{00000000-0005-0000-0000-0000B70C0000}"/>
    <cellStyle name="Normal 4 3 2 2 3 4 2 3 2 2 3" xfId="36087" xr:uid="{00000000-0005-0000-0000-0000B80C0000}"/>
    <cellStyle name="Normal 4 3 2 2 3 4 2 3 2 3" xfId="17655" xr:uid="{00000000-0005-0000-0000-0000B90C0000}"/>
    <cellStyle name="Normal 4 3 2 2 3 4 2 3 2 3 2" xfId="42231" xr:uid="{00000000-0005-0000-0000-0000BA0C0000}"/>
    <cellStyle name="Normal 4 3 2 2 3 4 2 3 2 4" xfId="29943" xr:uid="{00000000-0005-0000-0000-0000BB0C0000}"/>
    <cellStyle name="Normal 4 3 2 2 3 4 2 3 3" xfId="8439" xr:uid="{00000000-0005-0000-0000-0000BC0C0000}"/>
    <cellStyle name="Normal 4 3 2 2 3 4 2 3 3 2" xfId="20727" xr:uid="{00000000-0005-0000-0000-0000BD0C0000}"/>
    <cellStyle name="Normal 4 3 2 2 3 4 2 3 3 2 2" xfId="45303" xr:uid="{00000000-0005-0000-0000-0000BE0C0000}"/>
    <cellStyle name="Normal 4 3 2 2 3 4 2 3 3 3" xfId="33015" xr:uid="{00000000-0005-0000-0000-0000BF0C0000}"/>
    <cellStyle name="Normal 4 3 2 2 3 4 2 3 4" xfId="14583" xr:uid="{00000000-0005-0000-0000-0000C00C0000}"/>
    <cellStyle name="Normal 4 3 2 2 3 4 2 3 4 2" xfId="39159" xr:uid="{00000000-0005-0000-0000-0000C10C0000}"/>
    <cellStyle name="Normal 4 3 2 2 3 4 2 3 5" xfId="26871" xr:uid="{00000000-0005-0000-0000-0000C20C0000}"/>
    <cellStyle name="Normal 4 3 2 2 3 4 2 4" xfId="3831" xr:uid="{00000000-0005-0000-0000-0000C30C0000}"/>
    <cellStyle name="Normal 4 3 2 2 3 4 2 4 2" xfId="9975" xr:uid="{00000000-0005-0000-0000-0000C40C0000}"/>
    <cellStyle name="Normal 4 3 2 2 3 4 2 4 2 2" xfId="22263" xr:uid="{00000000-0005-0000-0000-0000C50C0000}"/>
    <cellStyle name="Normal 4 3 2 2 3 4 2 4 2 2 2" xfId="46839" xr:uid="{00000000-0005-0000-0000-0000C60C0000}"/>
    <cellStyle name="Normal 4 3 2 2 3 4 2 4 2 3" xfId="34551" xr:uid="{00000000-0005-0000-0000-0000C70C0000}"/>
    <cellStyle name="Normal 4 3 2 2 3 4 2 4 3" xfId="16119" xr:uid="{00000000-0005-0000-0000-0000C80C0000}"/>
    <cellStyle name="Normal 4 3 2 2 3 4 2 4 3 2" xfId="40695" xr:uid="{00000000-0005-0000-0000-0000C90C0000}"/>
    <cellStyle name="Normal 4 3 2 2 3 4 2 4 4" xfId="28407" xr:uid="{00000000-0005-0000-0000-0000CA0C0000}"/>
    <cellStyle name="Normal 4 3 2 2 3 4 2 5" xfId="6903" xr:uid="{00000000-0005-0000-0000-0000CB0C0000}"/>
    <cellStyle name="Normal 4 3 2 2 3 4 2 5 2" xfId="19191" xr:uid="{00000000-0005-0000-0000-0000CC0C0000}"/>
    <cellStyle name="Normal 4 3 2 2 3 4 2 5 2 2" xfId="43767" xr:uid="{00000000-0005-0000-0000-0000CD0C0000}"/>
    <cellStyle name="Normal 4 3 2 2 3 4 2 5 3" xfId="31479" xr:uid="{00000000-0005-0000-0000-0000CE0C0000}"/>
    <cellStyle name="Normal 4 3 2 2 3 4 2 6" xfId="13047" xr:uid="{00000000-0005-0000-0000-0000CF0C0000}"/>
    <cellStyle name="Normal 4 3 2 2 3 4 2 6 2" xfId="37623" xr:uid="{00000000-0005-0000-0000-0000D00C0000}"/>
    <cellStyle name="Normal 4 3 2 2 3 4 2 7" xfId="25335" xr:uid="{00000000-0005-0000-0000-0000D10C0000}"/>
    <cellStyle name="Normal 4 3 2 2 3 4 3" xfId="1139" xr:uid="{00000000-0005-0000-0000-0000D20C0000}"/>
    <cellStyle name="Normal 4 3 2 2 3 4 3 2" xfId="2675" xr:uid="{00000000-0005-0000-0000-0000D30C0000}"/>
    <cellStyle name="Normal 4 3 2 2 3 4 3 2 2" xfId="5751" xr:uid="{00000000-0005-0000-0000-0000D40C0000}"/>
    <cellStyle name="Normal 4 3 2 2 3 4 3 2 2 2" xfId="11895" xr:uid="{00000000-0005-0000-0000-0000D50C0000}"/>
    <cellStyle name="Normal 4 3 2 2 3 4 3 2 2 2 2" xfId="24183" xr:uid="{00000000-0005-0000-0000-0000D60C0000}"/>
    <cellStyle name="Normal 4 3 2 2 3 4 3 2 2 2 2 2" xfId="48759" xr:uid="{00000000-0005-0000-0000-0000D70C0000}"/>
    <cellStyle name="Normal 4 3 2 2 3 4 3 2 2 2 3" xfId="36471" xr:uid="{00000000-0005-0000-0000-0000D80C0000}"/>
    <cellStyle name="Normal 4 3 2 2 3 4 3 2 2 3" xfId="18039" xr:uid="{00000000-0005-0000-0000-0000D90C0000}"/>
    <cellStyle name="Normal 4 3 2 2 3 4 3 2 2 3 2" xfId="42615" xr:uid="{00000000-0005-0000-0000-0000DA0C0000}"/>
    <cellStyle name="Normal 4 3 2 2 3 4 3 2 2 4" xfId="30327" xr:uid="{00000000-0005-0000-0000-0000DB0C0000}"/>
    <cellStyle name="Normal 4 3 2 2 3 4 3 2 3" xfId="8823" xr:uid="{00000000-0005-0000-0000-0000DC0C0000}"/>
    <cellStyle name="Normal 4 3 2 2 3 4 3 2 3 2" xfId="21111" xr:uid="{00000000-0005-0000-0000-0000DD0C0000}"/>
    <cellStyle name="Normal 4 3 2 2 3 4 3 2 3 2 2" xfId="45687" xr:uid="{00000000-0005-0000-0000-0000DE0C0000}"/>
    <cellStyle name="Normal 4 3 2 2 3 4 3 2 3 3" xfId="33399" xr:uid="{00000000-0005-0000-0000-0000DF0C0000}"/>
    <cellStyle name="Normal 4 3 2 2 3 4 3 2 4" xfId="14967" xr:uid="{00000000-0005-0000-0000-0000E00C0000}"/>
    <cellStyle name="Normal 4 3 2 2 3 4 3 2 4 2" xfId="39543" xr:uid="{00000000-0005-0000-0000-0000E10C0000}"/>
    <cellStyle name="Normal 4 3 2 2 3 4 3 2 5" xfId="27255" xr:uid="{00000000-0005-0000-0000-0000E20C0000}"/>
    <cellStyle name="Normal 4 3 2 2 3 4 3 3" xfId="4215" xr:uid="{00000000-0005-0000-0000-0000E30C0000}"/>
    <cellStyle name="Normal 4 3 2 2 3 4 3 3 2" xfId="10359" xr:uid="{00000000-0005-0000-0000-0000E40C0000}"/>
    <cellStyle name="Normal 4 3 2 2 3 4 3 3 2 2" xfId="22647" xr:uid="{00000000-0005-0000-0000-0000E50C0000}"/>
    <cellStyle name="Normal 4 3 2 2 3 4 3 3 2 2 2" xfId="47223" xr:uid="{00000000-0005-0000-0000-0000E60C0000}"/>
    <cellStyle name="Normal 4 3 2 2 3 4 3 3 2 3" xfId="34935" xr:uid="{00000000-0005-0000-0000-0000E70C0000}"/>
    <cellStyle name="Normal 4 3 2 2 3 4 3 3 3" xfId="16503" xr:uid="{00000000-0005-0000-0000-0000E80C0000}"/>
    <cellStyle name="Normal 4 3 2 2 3 4 3 3 3 2" xfId="41079" xr:uid="{00000000-0005-0000-0000-0000E90C0000}"/>
    <cellStyle name="Normal 4 3 2 2 3 4 3 3 4" xfId="28791" xr:uid="{00000000-0005-0000-0000-0000EA0C0000}"/>
    <cellStyle name="Normal 4 3 2 2 3 4 3 4" xfId="7287" xr:uid="{00000000-0005-0000-0000-0000EB0C0000}"/>
    <cellStyle name="Normal 4 3 2 2 3 4 3 4 2" xfId="19575" xr:uid="{00000000-0005-0000-0000-0000EC0C0000}"/>
    <cellStyle name="Normal 4 3 2 2 3 4 3 4 2 2" xfId="44151" xr:uid="{00000000-0005-0000-0000-0000ED0C0000}"/>
    <cellStyle name="Normal 4 3 2 2 3 4 3 4 3" xfId="31863" xr:uid="{00000000-0005-0000-0000-0000EE0C0000}"/>
    <cellStyle name="Normal 4 3 2 2 3 4 3 5" xfId="13431" xr:uid="{00000000-0005-0000-0000-0000EF0C0000}"/>
    <cellStyle name="Normal 4 3 2 2 3 4 3 5 2" xfId="38007" xr:uid="{00000000-0005-0000-0000-0000F00C0000}"/>
    <cellStyle name="Normal 4 3 2 2 3 4 3 6" xfId="25719" xr:uid="{00000000-0005-0000-0000-0000F10C0000}"/>
    <cellStyle name="Normal 4 3 2 2 3 4 4" xfId="1907" xr:uid="{00000000-0005-0000-0000-0000F20C0000}"/>
    <cellStyle name="Normal 4 3 2 2 3 4 4 2" xfId="4983" xr:uid="{00000000-0005-0000-0000-0000F30C0000}"/>
    <cellStyle name="Normal 4 3 2 2 3 4 4 2 2" xfId="11127" xr:uid="{00000000-0005-0000-0000-0000F40C0000}"/>
    <cellStyle name="Normal 4 3 2 2 3 4 4 2 2 2" xfId="23415" xr:uid="{00000000-0005-0000-0000-0000F50C0000}"/>
    <cellStyle name="Normal 4 3 2 2 3 4 4 2 2 2 2" xfId="47991" xr:uid="{00000000-0005-0000-0000-0000F60C0000}"/>
    <cellStyle name="Normal 4 3 2 2 3 4 4 2 2 3" xfId="35703" xr:uid="{00000000-0005-0000-0000-0000F70C0000}"/>
    <cellStyle name="Normal 4 3 2 2 3 4 4 2 3" xfId="17271" xr:uid="{00000000-0005-0000-0000-0000F80C0000}"/>
    <cellStyle name="Normal 4 3 2 2 3 4 4 2 3 2" xfId="41847" xr:uid="{00000000-0005-0000-0000-0000F90C0000}"/>
    <cellStyle name="Normal 4 3 2 2 3 4 4 2 4" xfId="29559" xr:uid="{00000000-0005-0000-0000-0000FA0C0000}"/>
    <cellStyle name="Normal 4 3 2 2 3 4 4 3" xfId="8055" xr:uid="{00000000-0005-0000-0000-0000FB0C0000}"/>
    <cellStyle name="Normal 4 3 2 2 3 4 4 3 2" xfId="20343" xr:uid="{00000000-0005-0000-0000-0000FC0C0000}"/>
    <cellStyle name="Normal 4 3 2 2 3 4 4 3 2 2" xfId="44919" xr:uid="{00000000-0005-0000-0000-0000FD0C0000}"/>
    <cellStyle name="Normal 4 3 2 2 3 4 4 3 3" xfId="32631" xr:uid="{00000000-0005-0000-0000-0000FE0C0000}"/>
    <cellStyle name="Normal 4 3 2 2 3 4 4 4" xfId="14199" xr:uid="{00000000-0005-0000-0000-0000FF0C0000}"/>
    <cellStyle name="Normal 4 3 2 2 3 4 4 4 2" xfId="38775" xr:uid="{00000000-0005-0000-0000-0000000D0000}"/>
    <cellStyle name="Normal 4 3 2 2 3 4 4 5" xfId="26487" xr:uid="{00000000-0005-0000-0000-0000010D0000}"/>
    <cellStyle name="Normal 4 3 2 2 3 4 5" xfId="3447" xr:uid="{00000000-0005-0000-0000-0000020D0000}"/>
    <cellStyle name="Normal 4 3 2 2 3 4 5 2" xfId="9591" xr:uid="{00000000-0005-0000-0000-0000030D0000}"/>
    <cellStyle name="Normal 4 3 2 2 3 4 5 2 2" xfId="21879" xr:uid="{00000000-0005-0000-0000-0000040D0000}"/>
    <cellStyle name="Normal 4 3 2 2 3 4 5 2 2 2" xfId="46455" xr:uid="{00000000-0005-0000-0000-0000050D0000}"/>
    <cellStyle name="Normal 4 3 2 2 3 4 5 2 3" xfId="34167" xr:uid="{00000000-0005-0000-0000-0000060D0000}"/>
    <cellStyle name="Normal 4 3 2 2 3 4 5 3" xfId="15735" xr:uid="{00000000-0005-0000-0000-0000070D0000}"/>
    <cellStyle name="Normal 4 3 2 2 3 4 5 3 2" xfId="40311" xr:uid="{00000000-0005-0000-0000-0000080D0000}"/>
    <cellStyle name="Normal 4 3 2 2 3 4 5 4" xfId="28023" xr:uid="{00000000-0005-0000-0000-0000090D0000}"/>
    <cellStyle name="Normal 4 3 2 2 3 4 6" xfId="6519" xr:uid="{00000000-0005-0000-0000-00000A0D0000}"/>
    <cellStyle name="Normal 4 3 2 2 3 4 6 2" xfId="18807" xr:uid="{00000000-0005-0000-0000-00000B0D0000}"/>
    <cellStyle name="Normal 4 3 2 2 3 4 6 2 2" xfId="43383" xr:uid="{00000000-0005-0000-0000-00000C0D0000}"/>
    <cellStyle name="Normal 4 3 2 2 3 4 6 3" xfId="31095" xr:uid="{00000000-0005-0000-0000-00000D0D0000}"/>
    <cellStyle name="Normal 4 3 2 2 3 4 7" xfId="12663" xr:uid="{00000000-0005-0000-0000-00000E0D0000}"/>
    <cellStyle name="Normal 4 3 2 2 3 4 7 2" xfId="37239" xr:uid="{00000000-0005-0000-0000-00000F0D0000}"/>
    <cellStyle name="Normal 4 3 2 2 3 4 8" xfId="24951" xr:uid="{00000000-0005-0000-0000-0000100D0000}"/>
    <cellStyle name="Normal 4 3 2 2 3 5" xfId="563" xr:uid="{00000000-0005-0000-0000-0000110D0000}"/>
    <cellStyle name="Normal 4 3 2 2 3 5 2" xfId="1331" xr:uid="{00000000-0005-0000-0000-0000120D0000}"/>
    <cellStyle name="Normal 4 3 2 2 3 5 2 2" xfId="2867" xr:uid="{00000000-0005-0000-0000-0000130D0000}"/>
    <cellStyle name="Normal 4 3 2 2 3 5 2 2 2" xfId="5943" xr:uid="{00000000-0005-0000-0000-0000140D0000}"/>
    <cellStyle name="Normal 4 3 2 2 3 5 2 2 2 2" xfId="12087" xr:uid="{00000000-0005-0000-0000-0000150D0000}"/>
    <cellStyle name="Normal 4 3 2 2 3 5 2 2 2 2 2" xfId="24375" xr:uid="{00000000-0005-0000-0000-0000160D0000}"/>
    <cellStyle name="Normal 4 3 2 2 3 5 2 2 2 2 2 2" xfId="48951" xr:uid="{00000000-0005-0000-0000-0000170D0000}"/>
    <cellStyle name="Normal 4 3 2 2 3 5 2 2 2 2 3" xfId="36663" xr:uid="{00000000-0005-0000-0000-0000180D0000}"/>
    <cellStyle name="Normal 4 3 2 2 3 5 2 2 2 3" xfId="18231" xr:uid="{00000000-0005-0000-0000-0000190D0000}"/>
    <cellStyle name="Normal 4 3 2 2 3 5 2 2 2 3 2" xfId="42807" xr:uid="{00000000-0005-0000-0000-00001A0D0000}"/>
    <cellStyle name="Normal 4 3 2 2 3 5 2 2 2 4" xfId="30519" xr:uid="{00000000-0005-0000-0000-00001B0D0000}"/>
    <cellStyle name="Normal 4 3 2 2 3 5 2 2 3" xfId="9015" xr:uid="{00000000-0005-0000-0000-00001C0D0000}"/>
    <cellStyle name="Normal 4 3 2 2 3 5 2 2 3 2" xfId="21303" xr:uid="{00000000-0005-0000-0000-00001D0D0000}"/>
    <cellStyle name="Normal 4 3 2 2 3 5 2 2 3 2 2" xfId="45879" xr:uid="{00000000-0005-0000-0000-00001E0D0000}"/>
    <cellStyle name="Normal 4 3 2 2 3 5 2 2 3 3" xfId="33591" xr:uid="{00000000-0005-0000-0000-00001F0D0000}"/>
    <cellStyle name="Normal 4 3 2 2 3 5 2 2 4" xfId="15159" xr:uid="{00000000-0005-0000-0000-0000200D0000}"/>
    <cellStyle name="Normal 4 3 2 2 3 5 2 2 4 2" xfId="39735" xr:uid="{00000000-0005-0000-0000-0000210D0000}"/>
    <cellStyle name="Normal 4 3 2 2 3 5 2 2 5" xfId="27447" xr:uid="{00000000-0005-0000-0000-0000220D0000}"/>
    <cellStyle name="Normal 4 3 2 2 3 5 2 3" xfId="4407" xr:uid="{00000000-0005-0000-0000-0000230D0000}"/>
    <cellStyle name="Normal 4 3 2 2 3 5 2 3 2" xfId="10551" xr:uid="{00000000-0005-0000-0000-0000240D0000}"/>
    <cellStyle name="Normal 4 3 2 2 3 5 2 3 2 2" xfId="22839" xr:uid="{00000000-0005-0000-0000-0000250D0000}"/>
    <cellStyle name="Normal 4 3 2 2 3 5 2 3 2 2 2" xfId="47415" xr:uid="{00000000-0005-0000-0000-0000260D0000}"/>
    <cellStyle name="Normal 4 3 2 2 3 5 2 3 2 3" xfId="35127" xr:uid="{00000000-0005-0000-0000-0000270D0000}"/>
    <cellStyle name="Normal 4 3 2 2 3 5 2 3 3" xfId="16695" xr:uid="{00000000-0005-0000-0000-0000280D0000}"/>
    <cellStyle name="Normal 4 3 2 2 3 5 2 3 3 2" xfId="41271" xr:uid="{00000000-0005-0000-0000-0000290D0000}"/>
    <cellStyle name="Normal 4 3 2 2 3 5 2 3 4" xfId="28983" xr:uid="{00000000-0005-0000-0000-00002A0D0000}"/>
    <cellStyle name="Normal 4 3 2 2 3 5 2 4" xfId="7479" xr:uid="{00000000-0005-0000-0000-00002B0D0000}"/>
    <cellStyle name="Normal 4 3 2 2 3 5 2 4 2" xfId="19767" xr:uid="{00000000-0005-0000-0000-00002C0D0000}"/>
    <cellStyle name="Normal 4 3 2 2 3 5 2 4 2 2" xfId="44343" xr:uid="{00000000-0005-0000-0000-00002D0D0000}"/>
    <cellStyle name="Normal 4 3 2 2 3 5 2 4 3" xfId="32055" xr:uid="{00000000-0005-0000-0000-00002E0D0000}"/>
    <cellStyle name="Normal 4 3 2 2 3 5 2 5" xfId="13623" xr:uid="{00000000-0005-0000-0000-00002F0D0000}"/>
    <cellStyle name="Normal 4 3 2 2 3 5 2 5 2" xfId="38199" xr:uid="{00000000-0005-0000-0000-0000300D0000}"/>
    <cellStyle name="Normal 4 3 2 2 3 5 2 6" xfId="25911" xr:uid="{00000000-0005-0000-0000-0000310D0000}"/>
    <cellStyle name="Normal 4 3 2 2 3 5 3" xfId="2099" xr:uid="{00000000-0005-0000-0000-0000320D0000}"/>
    <cellStyle name="Normal 4 3 2 2 3 5 3 2" xfId="5175" xr:uid="{00000000-0005-0000-0000-0000330D0000}"/>
    <cellStyle name="Normal 4 3 2 2 3 5 3 2 2" xfId="11319" xr:uid="{00000000-0005-0000-0000-0000340D0000}"/>
    <cellStyle name="Normal 4 3 2 2 3 5 3 2 2 2" xfId="23607" xr:uid="{00000000-0005-0000-0000-0000350D0000}"/>
    <cellStyle name="Normal 4 3 2 2 3 5 3 2 2 2 2" xfId="48183" xr:uid="{00000000-0005-0000-0000-0000360D0000}"/>
    <cellStyle name="Normal 4 3 2 2 3 5 3 2 2 3" xfId="35895" xr:uid="{00000000-0005-0000-0000-0000370D0000}"/>
    <cellStyle name="Normal 4 3 2 2 3 5 3 2 3" xfId="17463" xr:uid="{00000000-0005-0000-0000-0000380D0000}"/>
    <cellStyle name="Normal 4 3 2 2 3 5 3 2 3 2" xfId="42039" xr:uid="{00000000-0005-0000-0000-0000390D0000}"/>
    <cellStyle name="Normal 4 3 2 2 3 5 3 2 4" xfId="29751" xr:uid="{00000000-0005-0000-0000-00003A0D0000}"/>
    <cellStyle name="Normal 4 3 2 2 3 5 3 3" xfId="8247" xr:uid="{00000000-0005-0000-0000-00003B0D0000}"/>
    <cellStyle name="Normal 4 3 2 2 3 5 3 3 2" xfId="20535" xr:uid="{00000000-0005-0000-0000-00003C0D0000}"/>
    <cellStyle name="Normal 4 3 2 2 3 5 3 3 2 2" xfId="45111" xr:uid="{00000000-0005-0000-0000-00003D0D0000}"/>
    <cellStyle name="Normal 4 3 2 2 3 5 3 3 3" xfId="32823" xr:uid="{00000000-0005-0000-0000-00003E0D0000}"/>
    <cellStyle name="Normal 4 3 2 2 3 5 3 4" xfId="14391" xr:uid="{00000000-0005-0000-0000-00003F0D0000}"/>
    <cellStyle name="Normal 4 3 2 2 3 5 3 4 2" xfId="38967" xr:uid="{00000000-0005-0000-0000-0000400D0000}"/>
    <cellStyle name="Normal 4 3 2 2 3 5 3 5" xfId="26679" xr:uid="{00000000-0005-0000-0000-0000410D0000}"/>
    <cellStyle name="Normal 4 3 2 2 3 5 4" xfId="3639" xr:uid="{00000000-0005-0000-0000-0000420D0000}"/>
    <cellStyle name="Normal 4 3 2 2 3 5 4 2" xfId="9783" xr:uid="{00000000-0005-0000-0000-0000430D0000}"/>
    <cellStyle name="Normal 4 3 2 2 3 5 4 2 2" xfId="22071" xr:uid="{00000000-0005-0000-0000-0000440D0000}"/>
    <cellStyle name="Normal 4 3 2 2 3 5 4 2 2 2" xfId="46647" xr:uid="{00000000-0005-0000-0000-0000450D0000}"/>
    <cellStyle name="Normal 4 3 2 2 3 5 4 2 3" xfId="34359" xr:uid="{00000000-0005-0000-0000-0000460D0000}"/>
    <cellStyle name="Normal 4 3 2 2 3 5 4 3" xfId="15927" xr:uid="{00000000-0005-0000-0000-0000470D0000}"/>
    <cellStyle name="Normal 4 3 2 2 3 5 4 3 2" xfId="40503" xr:uid="{00000000-0005-0000-0000-0000480D0000}"/>
    <cellStyle name="Normal 4 3 2 2 3 5 4 4" xfId="28215" xr:uid="{00000000-0005-0000-0000-0000490D0000}"/>
    <cellStyle name="Normal 4 3 2 2 3 5 5" xfId="6711" xr:uid="{00000000-0005-0000-0000-00004A0D0000}"/>
    <cellStyle name="Normal 4 3 2 2 3 5 5 2" xfId="18999" xr:uid="{00000000-0005-0000-0000-00004B0D0000}"/>
    <cellStyle name="Normal 4 3 2 2 3 5 5 2 2" xfId="43575" xr:uid="{00000000-0005-0000-0000-00004C0D0000}"/>
    <cellStyle name="Normal 4 3 2 2 3 5 5 3" xfId="31287" xr:uid="{00000000-0005-0000-0000-00004D0D0000}"/>
    <cellStyle name="Normal 4 3 2 2 3 5 6" xfId="12855" xr:uid="{00000000-0005-0000-0000-00004E0D0000}"/>
    <cellStyle name="Normal 4 3 2 2 3 5 6 2" xfId="37431" xr:uid="{00000000-0005-0000-0000-00004F0D0000}"/>
    <cellStyle name="Normal 4 3 2 2 3 5 7" xfId="25143" xr:uid="{00000000-0005-0000-0000-0000500D0000}"/>
    <cellStyle name="Normal 4 3 2 2 3 6" xfId="947" xr:uid="{00000000-0005-0000-0000-0000510D0000}"/>
    <cellStyle name="Normal 4 3 2 2 3 6 2" xfId="2483" xr:uid="{00000000-0005-0000-0000-0000520D0000}"/>
    <cellStyle name="Normal 4 3 2 2 3 6 2 2" xfId="5559" xr:uid="{00000000-0005-0000-0000-0000530D0000}"/>
    <cellStyle name="Normal 4 3 2 2 3 6 2 2 2" xfId="11703" xr:uid="{00000000-0005-0000-0000-0000540D0000}"/>
    <cellStyle name="Normal 4 3 2 2 3 6 2 2 2 2" xfId="23991" xr:uid="{00000000-0005-0000-0000-0000550D0000}"/>
    <cellStyle name="Normal 4 3 2 2 3 6 2 2 2 2 2" xfId="48567" xr:uid="{00000000-0005-0000-0000-0000560D0000}"/>
    <cellStyle name="Normal 4 3 2 2 3 6 2 2 2 3" xfId="36279" xr:uid="{00000000-0005-0000-0000-0000570D0000}"/>
    <cellStyle name="Normal 4 3 2 2 3 6 2 2 3" xfId="17847" xr:uid="{00000000-0005-0000-0000-0000580D0000}"/>
    <cellStyle name="Normal 4 3 2 2 3 6 2 2 3 2" xfId="42423" xr:uid="{00000000-0005-0000-0000-0000590D0000}"/>
    <cellStyle name="Normal 4 3 2 2 3 6 2 2 4" xfId="30135" xr:uid="{00000000-0005-0000-0000-00005A0D0000}"/>
    <cellStyle name="Normal 4 3 2 2 3 6 2 3" xfId="8631" xr:uid="{00000000-0005-0000-0000-00005B0D0000}"/>
    <cellStyle name="Normal 4 3 2 2 3 6 2 3 2" xfId="20919" xr:uid="{00000000-0005-0000-0000-00005C0D0000}"/>
    <cellStyle name="Normal 4 3 2 2 3 6 2 3 2 2" xfId="45495" xr:uid="{00000000-0005-0000-0000-00005D0D0000}"/>
    <cellStyle name="Normal 4 3 2 2 3 6 2 3 3" xfId="33207" xr:uid="{00000000-0005-0000-0000-00005E0D0000}"/>
    <cellStyle name="Normal 4 3 2 2 3 6 2 4" xfId="14775" xr:uid="{00000000-0005-0000-0000-00005F0D0000}"/>
    <cellStyle name="Normal 4 3 2 2 3 6 2 4 2" xfId="39351" xr:uid="{00000000-0005-0000-0000-0000600D0000}"/>
    <cellStyle name="Normal 4 3 2 2 3 6 2 5" xfId="27063" xr:uid="{00000000-0005-0000-0000-0000610D0000}"/>
    <cellStyle name="Normal 4 3 2 2 3 6 3" xfId="4023" xr:uid="{00000000-0005-0000-0000-0000620D0000}"/>
    <cellStyle name="Normal 4 3 2 2 3 6 3 2" xfId="10167" xr:uid="{00000000-0005-0000-0000-0000630D0000}"/>
    <cellStyle name="Normal 4 3 2 2 3 6 3 2 2" xfId="22455" xr:uid="{00000000-0005-0000-0000-0000640D0000}"/>
    <cellStyle name="Normal 4 3 2 2 3 6 3 2 2 2" xfId="47031" xr:uid="{00000000-0005-0000-0000-0000650D0000}"/>
    <cellStyle name="Normal 4 3 2 2 3 6 3 2 3" xfId="34743" xr:uid="{00000000-0005-0000-0000-0000660D0000}"/>
    <cellStyle name="Normal 4 3 2 2 3 6 3 3" xfId="16311" xr:uid="{00000000-0005-0000-0000-0000670D0000}"/>
    <cellStyle name="Normal 4 3 2 2 3 6 3 3 2" xfId="40887" xr:uid="{00000000-0005-0000-0000-0000680D0000}"/>
    <cellStyle name="Normal 4 3 2 2 3 6 3 4" xfId="28599" xr:uid="{00000000-0005-0000-0000-0000690D0000}"/>
    <cellStyle name="Normal 4 3 2 2 3 6 4" xfId="7095" xr:uid="{00000000-0005-0000-0000-00006A0D0000}"/>
    <cellStyle name="Normal 4 3 2 2 3 6 4 2" xfId="19383" xr:uid="{00000000-0005-0000-0000-00006B0D0000}"/>
    <cellStyle name="Normal 4 3 2 2 3 6 4 2 2" xfId="43959" xr:uid="{00000000-0005-0000-0000-00006C0D0000}"/>
    <cellStyle name="Normal 4 3 2 2 3 6 4 3" xfId="31671" xr:uid="{00000000-0005-0000-0000-00006D0D0000}"/>
    <cellStyle name="Normal 4 3 2 2 3 6 5" xfId="13239" xr:uid="{00000000-0005-0000-0000-00006E0D0000}"/>
    <cellStyle name="Normal 4 3 2 2 3 6 5 2" xfId="37815" xr:uid="{00000000-0005-0000-0000-00006F0D0000}"/>
    <cellStyle name="Normal 4 3 2 2 3 6 6" xfId="25527" xr:uid="{00000000-0005-0000-0000-0000700D0000}"/>
    <cellStyle name="Normal 4 3 2 2 3 7" xfId="1715" xr:uid="{00000000-0005-0000-0000-0000710D0000}"/>
    <cellStyle name="Normal 4 3 2 2 3 7 2" xfId="4791" xr:uid="{00000000-0005-0000-0000-0000720D0000}"/>
    <cellStyle name="Normal 4 3 2 2 3 7 2 2" xfId="10935" xr:uid="{00000000-0005-0000-0000-0000730D0000}"/>
    <cellStyle name="Normal 4 3 2 2 3 7 2 2 2" xfId="23223" xr:uid="{00000000-0005-0000-0000-0000740D0000}"/>
    <cellStyle name="Normal 4 3 2 2 3 7 2 2 2 2" xfId="47799" xr:uid="{00000000-0005-0000-0000-0000750D0000}"/>
    <cellStyle name="Normal 4 3 2 2 3 7 2 2 3" xfId="35511" xr:uid="{00000000-0005-0000-0000-0000760D0000}"/>
    <cellStyle name="Normal 4 3 2 2 3 7 2 3" xfId="17079" xr:uid="{00000000-0005-0000-0000-0000770D0000}"/>
    <cellStyle name="Normal 4 3 2 2 3 7 2 3 2" xfId="41655" xr:uid="{00000000-0005-0000-0000-0000780D0000}"/>
    <cellStyle name="Normal 4 3 2 2 3 7 2 4" xfId="29367" xr:uid="{00000000-0005-0000-0000-0000790D0000}"/>
    <cellStyle name="Normal 4 3 2 2 3 7 3" xfId="7863" xr:uid="{00000000-0005-0000-0000-00007A0D0000}"/>
    <cellStyle name="Normal 4 3 2 2 3 7 3 2" xfId="20151" xr:uid="{00000000-0005-0000-0000-00007B0D0000}"/>
    <cellStyle name="Normal 4 3 2 2 3 7 3 2 2" xfId="44727" xr:uid="{00000000-0005-0000-0000-00007C0D0000}"/>
    <cellStyle name="Normal 4 3 2 2 3 7 3 3" xfId="32439" xr:uid="{00000000-0005-0000-0000-00007D0D0000}"/>
    <cellStyle name="Normal 4 3 2 2 3 7 4" xfId="14007" xr:uid="{00000000-0005-0000-0000-00007E0D0000}"/>
    <cellStyle name="Normal 4 3 2 2 3 7 4 2" xfId="38583" xr:uid="{00000000-0005-0000-0000-00007F0D0000}"/>
    <cellStyle name="Normal 4 3 2 2 3 7 5" xfId="26295" xr:uid="{00000000-0005-0000-0000-0000800D0000}"/>
    <cellStyle name="Normal 4 3 2 2 3 8" xfId="3255" xr:uid="{00000000-0005-0000-0000-0000810D0000}"/>
    <cellStyle name="Normal 4 3 2 2 3 8 2" xfId="9399" xr:uid="{00000000-0005-0000-0000-0000820D0000}"/>
    <cellStyle name="Normal 4 3 2 2 3 8 2 2" xfId="21687" xr:uid="{00000000-0005-0000-0000-0000830D0000}"/>
    <cellStyle name="Normal 4 3 2 2 3 8 2 2 2" xfId="46263" xr:uid="{00000000-0005-0000-0000-0000840D0000}"/>
    <cellStyle name="Normal 4 3 2 2 3 8 2 3" xfId="33975" xr:uid="{00000000-0005-0000-0000-0000850D0000}"/>
    <cellStyle name="Normal 4 3 2 2 3 8 3" xfId="15543" xr:uid="{00000000-0005-0000-0000-0000860D0000}"/>
    <cellStyle name="Normal 4 3 2 2 3 8 3 2" xfId="40119" xr:uid="{00000000-0005-0000-0000-0000870D0000}"/>
    <cellStyle name="Normal 4 3 2 2 3 8 4" xfId="27831" xr:uid="{00000000-0005-0000-0000-0000880D0000}"/>
    <cellStyle name="Normal 4 3 2 2 3 9" xfId="6327" xr:uid="{00000000-0005-0000-0000-0000890D0000}"/>
    <cellStyle name="Normal 4 3 2 2 3 9 2" xfId="18615" xr:uid="{00000000-0005-0000-0000-00008A0D0000}"/>
    <cellStyle name="Normal 4 3 2 2 3 9 2 2" xfId="43191" xr:uid="{00000000-0005-0000-0000-00008B0D0000}"/>
    <cellStyle name="Normal 4 3 2 2 3 9 3" xfId="30903" xr:uid="{00000000-0005-0000-0000-00008C0D0000}"/>
    <cellStyle name="Normal 4 3 2 2 4" xfId="211" xr:uid="{00000000-0005-0000-0000-00008D0D0000}"/>
    <cellStyle name="Normal 4 3 2 2 4 2" xfId="403" xr:uid="{00000000-0005-0000-0000-00008E0D0000}"/>
    <cellStyle name="Normal 4 3 2 2 4 2 2" xfId="787" xr:uid="{00000000-0005-0000-0000-00008F0D0000}"/>
    <cellStyle name="Normal 4 3 2 2 4 2 2 2" xfId="1555" xr:uid="{00000000-0005-0000-0000-0000900D0000}"/>
    <cellStyle name="Normal 4 3 2 2 4 2 2 2 2" xfId="3091" xr:uid="{00000000-0005-0000-0000-0000910D0000}"/>
    <cellStyle name="Normal 4 3 2 2 4 2 2 2 2 2" xfId="6167" xr:uid="{00000000-0005-0000-0000-0000920D0000}"/>
    <cellStyle name="Normal 4 3 2 2 4 2 2 2 2 2 2" xfId="12311" xr:uid="{00000000-0005-0000-0000-0000930D0000}"/>
    <cellStyle name="Normal 4 3 2 2 4 2 2 2 2 2 2 2" xfId="24599" xr:uid="{00000000-0005-0000-0000-0000940D0000}"/>
    <cellStyle name="Normal 4 3 2 2 4 2 2 2 2 2 2 2 2" xfId="49175" xr:uid="{00000000-0005-0000-0000-0000950D0000}"/>
    <cellStyle name="Normal 4 3 2 2 4 2 2 2 2 2 2 3" xfId="36887" xr:uid="{00000000-0005-0000-0000-0000960D0000}"/>
    <cellStyle name="Normal 4 3 2 2 4 2 2 2 2 2 3" xfId="18455" xr:uid="{00000000-0005-0000-0000-0000970D0000}"/>
    <cellStyle name="Normal 4 3 2 2 4 2 2 2 2 2 3 2" xfId="43031" xr:uid="{00000000-0005-0000-0000-0000980D0000}"/>
    <cellStyle name="Normal 4 3 2 2 4 2 2 2 2 2 4" xfId="30743" xr:uid="{00000000-0005-0000-0000-0000990D0000}"/>
    <cellStyle name="Normal 4 3 2 2 4 2 2 2 2 3" xfId="9239" xr:uid="{00000000-0005-0000-0000-00009A0D0000}"/>
    <cellStyle name="Normal 4 3 2 2 4 2 2 2 2 3 2" xfId="21527" xr:uid="{00000000-0005-0000-0000-00009B0D0000}"/>
    <cellStyle name="Normal 4 3 2 2 4 2 2 2 2 3 2 2" xfId="46103" xr:uid="{00000000-0005-0000-0000-00009C0D0000}"/>
    <cellStyle name="Normal 4 3 2 2 4 2 2 2 2 3 3" xfId="33815" xr:uid="{00000000-0005-0000-0000-00009D0D0000}"/>
    <cellStyle name="Normal 4 3 2 2 4 2 2 2 2 4" xfId="15383" xr:uid="{00000000-0005-0000-0000-00009E0D0000}"/>
    <cellStyle name="Normal 4 3 2 2 4 2 2 2 2 4 2" xfId="39959" xr:uid="{00000000-0005-0000-0000-00009F0D0000}"/>
    <cellStyle name="Normal 4 3 2 2 4 2 2 2 2 5" xfId="27671" xr:uid="{00000000-0005-0000-0000-0000A00D0000}"/>
    <cellStyle name="Normal 4 3 2 2 4 2 2 2 3" xfId="4631" xr:uid="{00000000-0005-0000-0000-0000A10D0000}"/>
    <cellStyle name="Normal 4 3 2 2 4 2 2 2 3 2" xfId="10775" xr:uid="{00000000-0005-0000-0000-0000A20D0000}"/>
    <cellStyle name="Normal 4 3 2 2 4 2 2 2 3 2 2" xfId="23063" xr:uid="{00000000-0005-0000-0000-0000A30D0000}"/>
    <cellStyle name="Normal 4 3 2 2 4 2 2 2 3 2 2 2" xfId="47639" xr:uid="{00000000-0005-0000-0000-0000A40D0000}"/>
    <cellStyle name="Normal 4 3 2 2 4 2 2 2 3 2 3" xfId="35351" xr:uid="{00000000-0005-0000-0000-0000A50D0000}"/>
    <cellStyle name="Normal 4 3 2 2 4 2 2 2 3 3" xfId="16919" xr:uid="{00000000-0005-0000-0000-0000A60D0000}"/>
    <cellStyle name="Normal 4 3 2 2 4 2 2 2 3 3 2" xfId="41495" xr:uid="{00000000-0005-0000-0000-0000A70D0000}"/>
    <cellStyle name="Normal 4 3 2 2 4 2 2 2 3 4" xfId="29207" xr:uid="{00000000-0005-0000-0000-0000A80D0000}"/>
    <cellStyle name="Normal 4 3 2 2 4 2 2 2 4" xfId="7703" xr:uid="{00000000-0005-0000-0000-0000A90D0000}"/>
    <cellStyle name="Normal 4 3 2 2 4 2 2 2 4 2" xfId="19991" xr:uid="{00000000-0005-0000-0000-0000AA0D0000}"/>
    <cellStyle name="Normal 4 3 2 2 4 2 2 2 4 2 2" xfId="44567" xr:uid="{00000000-0005-0000-0000-0000AB0D0000}"/>
    <cellStyle name="Normal 4 3 2 2 4 2 2 2 4 3" xfId="32279" xr:uid="{00000000-0005-0000-0000-0000AC0D0000}"/>
    <cellStyle name="Normal 4 3 2 2 4 2 2 2 5" xfId="13847" xr:uid="{00000000-0005-0000-0000-0000AD0D0000}"/>
    <cellStyle name="Normal 4 3 2 2 4 2 2 2 5 2" xfId="38423" xr:uid="{00000000-0005-0000-0000-0000AE0D0000}"/>
    <cellStyle name="Normal 4 3 2 2 4 2 2 2 6" xfId="26135" xr:uid="{00000000-0005-0000-0000-0000AF0D0000}"/>
    <cellStyle name="Normal 4 3 2 2 4 2 2 3" xfId="2323" xr:uid="{00000000-0005-0000-0000-0000B00D0000}"/>
    <cellStyle name="Normal 4 3 2 2 4 2 2 3 2" xfId="5399" xr:uid="{00000000-0005-0000-0000-0000B10D0000}"/>
    <cellStyle name="Normal 4 3 2 2 4 2 2 3 2 2" xfId="11543" xr:uid="{00000000-0005-0000-0000-0000B20D0000}"/>
    <cellStyle name="Normal 4 3 2 2 4 2 2 3 2 2 2" xfId="23831" xr:uid="{00000000-0005-0000-0000-0000B30D0000}"/>
    <cellStyle name="Normal 4 3 2 2 4 2 2 3 2 2 2 2" xfId="48407" xr:uid="{00000000-0005-0000-0000-0000B40D0000}"/>
    <cellStyle name="Normal 4 3 2 2 4 2 2 3 2 2 3" xfId="36119" xr:uid="{00000000-0005-0000-0000-0000B50D0000}"/>
    <cellStyle name="Normal 4 3 2 2 4 2 2 3 2 3" xfId="17687" xr:uid="{00000000-0005-0000-0000-0000B60D0000}"/>
    <cellStyle name="Normal 4 3 2 2 4 2 2 3 2 3 2" xfId="42263" xr:uid="{00000000-0005-0000-0000-0000B70D0000}"/>
    <cellStyle name="Normal 4 3 2 2 4 2 2 3 2 4" xfId="29975" xr:uid="{00000000-0005-0000-0000-0000B80D0000}"/>
    <cellStyle name="Normal 4 3 2 2 4 2 2 3 3" xfId="8471" xr:uid="{00000000-0005-0000-0000-0000B90D0000}"/>
    <cellStyle name="Normal 4 3 2 2 4 2 2 3 3 2" xfId="20759" xr:uid="{00000000-0005-0000-0000-0000BA0D0000}"/>
    <cellStyle name="Normal 4 3 2 2 4 2 2 3 3 2 2" xfId="45335" xr:uid="{00000000-0005-0000-0000-0000BB0D0000}"/>
    <cellStyle name="Normal 4 3 2 2 4 2 2 3 3 3" xfId="33047" xr:uid="{00000000-0005-0000-0000-0000BC0D0000}"/>
    <cellStyle name="Normal 4 3 2 2 4 2 2 3 4" xfId="14615" xr:uid="{00000000-0005-0000-0000-0000BD0D0000}"/>
    <cellStyle name="Normal 4 3 2 2 4 2 2 3 4 2" xfId="39191" xr:uid="{00000000-0005-0000-0000-0000BE0D0000}"/>
    <cellStyle name="Normal 4 3 2 2 4 2 2 3 5" xfId="26903" xr:uid="{00000000-0005-0000-0000-0000BF0D0000}"/>
    <cellStyle name="Normal 4 3 2 2 4 2 2 4" xfId="3863" xr:uid="{00000000-0005-0000-0000-0000C00D0000}"/>
    <cellStyle name="Normal 4 3 2 2 4 2 2 4 2" xfId="10007" xr:uid="{00000000-0005-0000-0000-0000C10D0000}"/>
    <cellStyle name="Normal 4 3 2 2 4 2 2 4 2 2" xfId="22295" xr:uid="{00000000-0005-0000-0000-0000C20D0000}"/>
    <cellStyle name="Normal 4 3 2 2 4 2 2 4 2 2 2" xfId="46871" xr:uid="{00000000-0005-0000-0000-0000C30D0000}"/>
    <cellStyle name="Normal 4 3 2 2 4 2 2 4 2 3" xfId="34583" xr:uid="{00000000-0005-0000-0000-0000C40D0000}"/>
    <cellStyle name="Normal 4 3 2 2 4 2 2 4 3" xfId="16151" xr:uid="{00000000-0005-0000-0000-0000C50D0000}"/>
    <cellStyle name="Normal 4 3 2 2 4 2 2 4 3 2" xfId="40727" xr:uid="{00000000-0005-0000-0000-0000C60D0000}"/>
    <cellStyle name="Normal 4 3 2 2 4 2 2 4 4" xfId="28439" xr:uid="{00000000-0005-0000-0000-0000C70D0000}"/>
    <cellStyle name="Normal 4 3 2 2 4 2 2 5" xfId="6935" xr:uid="{00000000-0005-0000-0000-0000C80D0000}"/>
    <cellStyle name="Normal 4 3 2 2 4 2 2 5 2" xfId="19223" xr:uid="{00000000-0005-0000-0000-0000C90D0000}"/>
    <cellStyle name="Normal 4 3 2 2 4 2 2 5 2 2" xfId="43799" xr:uid="{00000000-0005-0000-0000-0000CA0D0000}"/>
    <cellStyle name="Normal 4 3 2 2 4 2 2 5 3" xfId="31511" xr:uid="{00000000-0005-0000-0000-0000CB0D0000}"/>
    <cellStyle name="Normal 4 3 2 2 4 2 2 6" xfId="13079" xr:uid="{00000000-0005-0000-0000-0000CC0D0000}"/>
    <cellStyle name="Normal 4 3 2 2 4 2 2 6 2" xfId="37655" xr:uid="{00000000-0005-0000-0000-0000CD0D0000}"/>
    <cellStyle name="Normal 4 3 2 2 4 2 2 7" xfId="25367" xr:uid="{00000000-0005-0000-0000-0000CE0D0000}"/>
    <cellStyle name="Normal 4 3 2 2 4 2 3" xfId="1171" xr:uid="{00000000-0005-0000-0000-0000CF0D0000}"/>
    <cellStyle name="Normal 4 3 2 2 4 2 3 2" xfId="2707" xr:uid="{00000000-0005-0000-0000-0000D00D0000}"/>
    <cellStyle name="Normal 4 3 2 2 4 2 3 2 2" xfId="5783" xr:uid="{00000000-0005-0000-0000-0000D10D0000}"/>
    <cellStyle name="Normal 4 3 2 2 4 2 3 2 2 2" xfId="11927" xr:uid="{00000000-0005-0000-0000-0000D20D0000}"/>
    <cellStyle name="Normal 4 3 2 2 4 2 3 2 2 2 2" xfId="24215" xr:uid="{00000000-0005-0000-0000-0000D30D0000}"/>
    <cellStyle name="Normal 4 3 2 2 4 2 3 2 2 2 2 2" xfId="48791" xr:uid="{00000000-0005-0000-0000-0000D40D0000}"/>
    <cellStyle name="Normal 4 3 2 2 4 2 3 2 2 2 3" xfId="36503" xr:uid="{00000000-0005-0000-0000-0000D50D0000}"/>
    <cellStyle name="Normal 4 3 2 2 4 2 3 2 2 3" xfId="18071" xr:uid="{00000000-0005-0000-0000-0000D60D0000}"/>
    <cellStyle name="Normal 4 3 2 2 4 2 3 2 2 3 2" xfId="42647" xr:uid="{00000000-0005-0000-0000-0000D70D0000}"/>
    <cellStyle name="Normal 4 3 2 2 4 2 3 2 2 4" xfId="30359" xr:uid="{00000000-0005-0000-0000-0000D80D0000}"/>
    <cellStyle name="Normal 4 3 2 2 4 2 3 2 3" xfId="8855" xr:uid="{00000000-0005-0000-0000-0000D90D0000}"/>
    <cellStyle name="Normal 4 3 2 2 4 2 3 2 3 2" xfId="21143" xr:uid="{00000000-0005-0000-0000-0000DA0D0000}"/>
    <cellStyle name="Normal 4 3 2 2 4 2 3 2 3 2 2" xfId="45719" xr:uid="{00000000-0005-0000-0000-0000DB0D0000}"/>
    <cellStyle name="Normal 4 3 2 2 4 2 3 2 3 3" xfId="33431" xr:uid="{00000000-0005-0000-0000-0000DC0D0000}"/>
    <cellStyle name="Normal 4 3 2 2 4 2 3 2 4" xfId="14999" xr:uid="{00000000-0005-0000-0000-0000DD0D0000}"/>
    <cellStyle name="Normal 4 3 2 2 4 2 3 2 4 2" xfId="39575" xr:uid="{00000000-0005-0000-0000-0000DE0D0000}"/>
    <cellStyle name="Normal 4 3 2 2 4 2 3 2 5" xfId="27287" xr:uid="{00000000-0005-0000-0000-0000DF0D0000}"/>
    <cellStyle name="Normal 4 3 2 2 4 2 3 3" xfId="4247" xr:uid="{00000000-0005-0000-0000-0000E00D0000}"/>
    <cellStyle name="Normal 4 3 2 2 4 2 3 3 2" xfId="10391" xr:uid="{00000000-0005-0000-0000-0000E10D0000}"/>
    <cellStyle name="Normal 4 3 2 2 4 2 3 3 2 2" xfId="22679" xr:uid="{00000000-0005-0000-0000-0000E20D0000}"/>
    <cellStyle name="Normal 4 3 2 2 4 2 3 3 2 2 2" xfId="47255" xr:uid="{00000000-0005-0000-0000-0000E30D0000}"/>
    <cellStyle name="Normal 4 3 2 2 4 2 3 3 2 3" xfId="34967" xr:uid="{00000000-0005-0000-0000-0000E40D0000}"/>
    <cellStyle name="Normal 4 3 2 2 4 2 3 3 3" xfId="16535" xr:uid="{00000000-0005-0000-0000-0000E50D0000}"/>
    <cellStyle name="Normal 4 3 2 2 4 2 3 3 3 2" xfId="41111" xr:uid="{00000000-0005-0000-0000-0000E60D0000}"/>
    <cellStyle name="Normal 4 3 2 2 4 2 3 3 4" xfId="28823" xr:uid="{00000000-0005-0000-0000-0000E70D0000}"/>
    <cellStyle name="Normal 4 3 2 2 4 2 3 4" xfId="7319" xr:uid="{00000000-0005-0000-0000-0000E80D0000}"/>
    <cellStyle name="Normal 4 3 2 2 4 2 3 4 2" xfId="19607" xr:uid="{00000000-0005-0000-0000-0000E90D0000}"/>
    <cellStyle name="Normal 4 3 2 2 4 2 3 4 2 2" xfId="44183" xr:uid="{00000000-0005-0000-0000-0000EA0D0000}"/>
    <cellStyle name="Normal 4 3 2 2 4 2 3 4 3" xfId="31895" xr:uid="{00000000-0005-0000-0000-0000EB0D0000}"/>
    <cellStyle name="Normal 4 3 2 2 4 2 3 5" xfId="13463" xr:uid="{00000000-0005-0000-0000-0000EC0D0000}"/>
    <cellStyle name="Normal 4 3 2 2 4 2 3 5 2" xfId="38039" xr:uid="{00000000-0005-0000-0000-0000ED0D0000}"/>
    <cellStyle name="Normal 4 3 2 2 4 2 3 6" xfId="25751" xr:uid="{00000000-0005-0000-0000-0000EE0D0000}"/>
    <cellStyle name="Normal 4 3 2 2 4 2 4" xfId="1939" xr:uid="{00000000-0005-0000-0000-0000EF0D0000}"/>
    <cellStyle name="Normal 4 3 2 2 4 2 4 2" xfId="5015" xr:uid="{00000000-0005-0000-0000-0000F00D0000}"/>
    <cellStyle name="Normal 4 3 2 2 4 2 4 2 2" xfId="11159" xr:uid="{00000000-0005-0000-0000-0000F10D0000}"/>
    <cellStyle name="Normal 4 3 2 2 4 2 4 2 2 2" xfId="23447" xr:uid="{00000000-0005-0000-0000-0000F20D0000}"/>
    <cellStyle name="Normal 4 3 2 2 4 2 4 2 2 2 2" xfId="48023" xr:uid="{00000000-0005-0000-0000-0000F30D0000}"/>
    <cellStyle name="Normal 4 3 2 2 4 2 4 2 2 3" xfId="35735" xr:uid="{00000000-0005-0000-0000-0000F40D0000}"/>
    <cellStyle name="Normal 4 3 2 2 4 2 4 2 3" xfId="17303" xr:uid="{00000000-0005-0000-0000-0000F50D0000}"/>
    <cellStyle name="Normal 4 3 2 2 4 2 4 2 3 2" xfId="41879" xr:uid="{00000000-0005-0000-0000-0000F60D0000}"/>
    <cellStyle name="Normal 4 3 2 2 4 2 4 2 4" xfId="29591" xr:uid="{00000000-0005-0000-0000-0000F70D0000}"/>
    <cellStyle name="Normal 4 3 2 2 4 2 4 3" xfId="8087" xr:uid="{00000000-0005-0000-0000-0000F80D0000}"/>
    <cellStyle name="Normal 4 3 2 2 4 2 4 3 2" xfId="20375" xr:uid="{00000000-0005-0000-0000-0000F90D0000}"/>
    <cellStyle name="Normal 4 3 2 2 4 2 4 3 2 2" xfId="44951" xr:uid="{00000000-0005-0000-0000-0000FA0D0000}"/>
    <cellStyle name="Normal 4 3 2 2 4 2 4 3 3" xfId="32663" xr:uid="{00000000-0005-0000-0000-0000FB0D0000}"/>
    <cellStyle name="Normal 4 3 2 2 4 2 4 4" xfId="14231" xr:uid="{00000000-0005-0000-0000-0000FC0D0000}"/>
    <cellStyle name="Normal 4 3 2 2 4 2 4 4 2" xfId="38807" xr:uid="{00000000-0005-0000-0000-0000FD0D0000}"/>
    <cellStyle name="Normal 4 3 2 2 4 2 4 5" xfId="26519" xr:uid="{00000000-0005-0000-0000-0000FE0D0000}"/>
    <cellStyle name="Normal 4 3 2 2 4 2 5" xfId="3479" xr:uid="{00000000-0005-0000-0000-0000FF0D0000}"/>
    <cellStyle name="Normal 4 3 2 2 4 2 5 2" xfId="9623" xr:uid="{00000000-0005-0000-0000-0000000E0000}"/>
    <cellStyle name="Normal 4 3 2 2 4 2 5 2 2" xfId="21911" xr:uid="{00000000-0005-0000-0000-0000010E0000}"/>
    <cellStyle name="Normal 4 3 2 2 4 2 5 2 2 2" xfId="46487" xr:uid="{00000000-0005-0000-0000-0000020E0000}"/>
    <cellStyle name="Normal 4 3 2 2 4 2 5 2 3" xfId="34199" xr:uid="{00000000-0005-0000-0000-0000030E0000}"/>
    <cellStyle name="Normal 4 3 2 2 4 2 5 3" xfId="15767" xr:uid="{00000000-0005-0000-0000-0000040E0000}"/>
    <cellStyle name="Normal 4 3 2 2 4 2 5 3 2" xfId="40343" xr:uid="{00000000-0005-0000-0000-0000050E0000}"/>
    <cellStyle name="Normal 4 3 2 2 4 2 5 4" xfId="28055" xr:uid="{00000000-0005-0000-0000-0000060E0000}"/>
    <cellStyle name="Normal 4 3 2 2 4 2 6" xfId="6551" xr:uid="{00000000-0005-0000-0000-0000070E0000}"/>
    <cellStyle name="Normal 4 3 2 2 4 2 6 2" xfId="18839" xr:uid="{00000000-0005-0000-0000-0000080E0000}"/>
    <cellStyle name="Normal 4 3 2 2 4 2 6 2 2" xfId="43415" xr:uid="{00000000-0005-0000-0000-0000090E0000}"/>
    <cellStyle name="Normal 4 3 2 2 4 2 6 3" xfId="31127" xr:uid="{00000000-0005-0000-0000-00000A0E0000}"/>
    <cellStyle name="Normal 4 3 2 2 4 2 7" xfId="12695" xr:uid="{00000000-0005-0000-0000-00000B0E0000}"/>
    <cellStyle name="Normal 4 3 2 2 4 2 7 2" xfId="37271" xr:uid="{00000000-0005-0000-0000-00000C0E0000}"/>
    <cellStyle name="Normal 4 3 2 2 4 2 8" xfId="24983" xr:uid="{00000000-0005-0000-0000-00000D0E0000}"/>
    <cellStyle name="Normal 4 3 2 2 4 3" xfId="595" xr:uid="{00000000-0005-0000-0000-00000E0E0000}"/>
    <cellStyle name="Normal 4 3 2 2 4 3 2" xfId="1363" xr:uid="{00000000-0005-0000-0000-00000F0E0000}"/>
    <cellStyle name="Normal 4 3 2 2 4 3 2 2" xfId="2899" xr:uid="{00000000-0005-0000-0000-0000100E0000}"/>
    <cellStyle name="Normal 4 3 2 2 4 3 2 2 2" xfId="5975" xr:uid="{00000000-0005-0000-0000-0000110E0000}"/>
    <cellStyle name="Normal 4 3 2 2 4 3 2 2 2 2" xfId="12119" xr:uid="{00000000-0005-0000-0000-0000120E0000}"/>
    <cellStyle name="Normal 4 3 2 2 4 3 2 2 2 2 2" xfId="24407" xr:uid="{00000000-0005-0000-0000-0000130E0000}"/>
    <cellStyle name="Normal 4 3 2 2 4 3 2 2 2 2 2 2" xfId="48983" xr:uid="{00000000-0005-0000-0000-0000140E0000}"/>
    <cellStyle name="Normal 4 3 2 2 4 3 2 2 2 2 3" xfId="36695" xr:uid="{00000000-0005-0000-0000-0000150E0000}"/>
    <cellStyle name="Normal 4 3 2 2 4 3 2 2 2 3" xfId="18263" xr:uid="{00000000-0005-0000-0000-0000160E0000}"/>
    <cellStyle name="Normal 4 3 2 2 4 3 2 2 2 3 2" xfId="42839" xr:uid="{00000000-0005-0000-0000-0000170E0000}"/>
    <cellStyle name="Normal 4 3 2 2 4 3 2 2 2 4" xfId="30551" xr:uid="{00000000-0005-0000-0000-0000180E0000}"/>
    <cellStyle name="Normal 4 3 2 2 4 3 2 2 3" xfId="9047" xr:uid="{00000000-0005-0000-0000-0000190E0000}"/>
    <cellStyle name="Normal 4 3 2 2 4 3 2 2 3 2" xfId="21335" xr:uid="{00000000-0005-0000-0000-00001A0E0000}"/>
    <cellStyle name="Normal 4 3 2 2 4 3 2 2 3 2 2" xfId="45911" xr:uid="{00000000-0005-0000-0000-00001B0E0000}"/>
    <cellStyle name="Normal 4 3 2 2 4 3 2 2 3 3" xfId="33623" xr:uid="{00000000-0005-0000-0000-00001C0E0000}"/>
    <cellStyle name="Normal 4 3 2 2 4 3 2 2 4" xfId="15191" xr:uid="{00000000-0005-0000-0000-00001D0E0000}"/>
    <cellStyle name="Normal 4 3 2 2 4 3 2 2 4 2" xfId="39767" xr:uid="{00000000-0005-0000-0000-00001E0E0000}"/>
    <cellStyle name="Normal 4 3 2 2 4 3 2 2 5" xfId="27479" xr:uid="{00000000-0005-0000-0000-00001F0E0000}"/>
    <cellStyle name="Normal 4 3 2 2 4 3 2 3" xfId="4439" xr:uid="{00000000-0005-0000-0000-0000200E0000}"/>
    <cellStyle name="Normal 4 3 2 2 4 3 2 3 2" xfId="10583" xr:uid="{00000000-0005-0000-0000-0000210E0000}"/>
    <cellStyle name="Normal 4 3 2 2 4 3 2 3 2 2" xfId="22871" xr:uid="{00000000-0005-0000-0000-0000220E0000}"/>
    <cellStyle name="Normal 4 3 2 2 4 3 2 3 2 2 2" xfId="47447" xr:uid="{00000000-0005-0000-0000-0000230E0000}"/>
    <cellStyle name="Normal 4 3 2 2 4 3 2 3 2 3" xfId="35159" xr:uid="{00000000-0005-0000-0000-0000240E0000}"/>
    <cellStyle name="Normal 4 3 2 2 4 3 2 3 3" xfId="16727" xr:uid="{00000000-0005-0000-0000-0000250E0000}"/>
    <cellStyle name="Normal 4 3 2 2 4 3 2 3 3 2" xfId="41303" xr:uid="{00000000-0005-0000-0000-0000260E0000}"/>
    <cellStyle name="Normal 4 3 2 2 4 3 2 3 4" xfId="29015" xr:uid="{00000000-0005-0000-0000-0000270E0000}"/>
    <cellStyle name="Normal 4 3 2 2 4 3 2 4" xfId="7511" xr:uid="{00000000-0005-0000-0000-0000280E0000}"/>
    <cellStyle name="Normal 4 3 2 2 4 3 2 4 2" xfId="19799" xr:uid="{00000000-0005-0000-0000-0000290E0000}"/>
    <cellStyle name="Normal 4 3 2 2 4 3 2 4 2 2" xfId="44375" xr:uid="{00000000-0005-0000-0000-00002A0E0000}"/>
    <cellStyle name="Normal 4 3 2 2 4 3 2 4 3" xfId="32087" xr:uid="{00000000-0005-0000-0000-00002B0E0000}"/>
    <cellStyle name="Normal 4 3 2 2 4 3 2 5" xfId="13655" xr:uid="{00000000-0005-0000-0000-00002C0E0000}"/>
    <cellStyle name="Normal 4 3 2 2 4 3 2 5 2" xfId="38231" xr:uid="{00000000-0005-0000-0000-00002D0E0000}"/>
    <cellStyle name="Normal 4 3 2 2 4 3 2 6" xfId="25943" xr:uid="{00000000-0005-0000-0000-00002E0E0000}"/>
    <cellStyle name="Normal 4 3 2 2 4 3 3" xfId="2131" xr:uid="{00000000-0005-0000-0000-00002F0E0000}"/>
    <cellStyle name="Normal 4 3 2 2 4 3 3 2" xfId="5207" xr:uid="{00000000-0005-0000-0000-0000300E0000}"/>
    <cellStyle name="Normal 4 3 2 2 4 3 3 2 2" xfId="11351" xr:uid="{00000000-0005-0000-0000-0000310E0000}"/>
    <cellStyle name="Normal 4 3 2 2 4 3 3 2 2 2" xfId="23639" xr:uid="{00000000-0005-0000-0000-0000320E0000}"/>
    <cellStyle name="Normal 4 3 2 2 4 3 3 2 2 2 2" xfId="48215" xr:uid="{00000000-0005-0000-0000-0000330E0000}"/>
    <cellStyle name="Normal 4 3 2 2 4 3 3 2 2 3" xfId="35927" xr:uid="{00000000-0005-0000-0000-0000340E0000}"/>
    <cellStyle name="Normal 4 3 2 2 4 3 3 2 3" xfId="17495" xr:uid="{00000000-0005-0000-0000-0000350E0000}"/>
    <cellStyle name="Normal 4 3 2 2 4 3 3 2 3 2" xfId="42071" xr:uid="{00000000-0005-0000-0000-0000360E0000}"/>
    <cellStyle name="Normal 4 3 2 2 4 3 3 2 4" xfId="29783" xr:uid="{00000000-0005-0000-0000-0000370E0000}"/>
    <cellStyle name="Normal 4 3 2 2 4 3 3 3" xfId="8279" xr:uid="{00000000-0005-0000-0000-0000380E0000}"/>
    <cellStyle name="Normal 4 3 2 2 4 3 3 3 2" xfId="20567" xr:uid="{00000000-0005-0000-0000-0000390E0000}"/>
    <cellStyle name="Normal 4 3 2 2 4 3 3 3 2 2" xfId="45143" xr:uid="{00000000-0005-0000-0000-00003A0E0000}"/>
    <cellStyle name="Normal 4 3 2 2 4 3 3 3 3" xfId="32855" xr:uid="{00000000-0005-0000-0000-00003B0E0000}"/>
    <cellStyle name="Normal 4 3 2 2 4 3 3 4" xfId="14423" xr:uid="{00000000-0005-0000-0000-00003C0E0000}"/>
    <cellStyle name="Normal 4 3 2 2 4 3 3 4 2" xfId="38999" xr:uid="{00000000-0005-0000-0000-00003D0E0000}"/>
    <cellStyle name="Normal 4 3 2 2 4 3 3 5" xfId="26711" xr:uid="{00000000-0005-0000-0000-00003E0E0000}"/>
    <cellStyle name="Normal 4 3 2 2 4 3 4" xfId="3671" xr:uid="{00000000-0005-0000-0000-00003F0E0000}"/>
    <cellStyle name="Normal 4 3 2 2 4 3 4 2" xfId="9815" xr:uid="{00000000-0005-0000-0000-0000400E0000}"/>
    <cellStyle name="Normal 4 3 2 2 4 3 4 2 2" xfId="22103" xr:uid="{00000000-0005-0000-0000-0000410E0000}"/>
    <cellStyle name="Normal 4 3 2 2 4 3 4 2 2 2" xfId="46679" xr:uid="{00000000-0005-0000-0000-0000420E0000}"/>
    <cellStyle name="Normal 4 3 2 2 4 3 4 2 3" xfId="34391" xr:uid="{00000000-0005-0000-0000-0000430E0000}"/>
    <cellStyle name="Normal 4 3 2 2 4 3 4 3" xfId="15959" xr:uid="{00000000-0005-0000-0000-0000440E0000}"/>
    <cellStyle name="Normal 4 3 2 2 4 3 4 3 2" xfId="40535" xr:uid="{00000000-0005-0000-0000-0000450E0000}"/>
    <cellStyle name="Normal 4 3 2 2 4 3 4 4" xfId="28247" xr:uid="{00000000-0005-0000-0000-0000460E0000}"/>
    <cellStyle name="Normal 4 3 2 2 4 3 5" xfId="6743" xr:uid="{00000000-0005-0000-0000-0000470E0000}"/>
    <cellStyle name="Normal 4 3 2 2 4 3 5 2" xfId="19031" xr:uid="{00000000-0005-0000-0000-0000480E0000}"/>
    <cellStyle name="Normal 4 3 2 2 4 3 5 2 2" xfId="43607" xr:uid="{00000000-0005-0000-0000-0000490E0000}"/>
    <cellStyle name="Normal 4 3 2 2 4 3 5 3" xfId="31319" xr:uid="{00000000-0005-0000-0000-00004A0E0000}"/>
    <cellStyle name="Normal 4 3 2 2 4 3 6" xfId="12887" xr:uid="{00000000-0005-0000-0000-00004B0E0000}"/>
    <cellStyle name="Normal 4 3 2 2 4 3 6 2" xfId="37463" xr:uid="{00000000-0005-0000-0000-00004C0E0000}"/>
    <cellStyle name="Normal 4 3 2 2 4 3 7" xfId="25175" xr:uid="{00000000-0005-0000-0000-00004D0E0000}"/>
    <cellStyle name="Normal 4 3 2 2 4 4" xfId="979" xr:uid="{00000000-0005-0000-0000-00004E0E0000}"/>
    <cellStyle name="Normal 4 3 2 2 4 4 2" xfId="2515" xr:uid="{00000000-0005-0000-0000-00004F0E0000}"/>
    <cellStyle name="Normal 4 3 2 2 4 4 2 2" xfId="5591" xr:uid="{00000000-0005-0000-0000-0000500E0000}"/>
    <cellStyle name="Normal 4 3 2 2 4 4 2 2 2" xfId="11735" xr:uid="{00000000-0005-0000-0000-0000510E0000}"/>
    <cellStyle name="Normal 4 3 2 2 4 4 2 2 2 2" xfId="24023" xr:uid="{00000000-0005-0000-0000-0000520E0000}"/>
    <cellStyle name="Normal 4 3 2 2 4 4 2 2 2 2 2" xfId="48599" xr:uid="{00000000-0005-0000-0000-0000530E0000}"/>
    <cellStyle name="Normal 4 3 2 2 4 4 2 2 2 3" xfId="36311" xr:uid="{00000000-0005-0000-0000-0000540E0000}"/>
    <cellStyle name="Normal 4 3 2 2 4 4 2 2 3" xfId="17879" xr:uid="{00000000-0005-0000-0000-0000550E0000}"/>
    <cellStyle name="Normal 4 3 2 2 4 4 2 2 3 2" xfId="42455" xr:uid="{00000000-0005-0000-0000-0000560E0000}"/>
    <cellStyle name="Normal 4 3 2 2 4 4 2 2 4" xfId="30167" xr:uid="{00000000-0005-0000-0000-0000570E0000}"/>
    <cellStyle name="Normal 4 3 2 2 4 4 2 3" xfId="8663" xr:uid="{00000000-0005-0000-0000-0000580E0000}"/>
    <cellStyle name="Normal 4 3 2 2 4 4 2 3 2" xfId="20951" xr:uid="{00000000-0005-0000-0000-0000590E0000}"/>
    <cellStyle name="Normal 4 3 2 2 4 4 2 3 2 2" xfId="45527" xr:uid="{00000000-0005-0000-0000-00005A0E0000}"/>
    <cellStyle name="Normal 4 3 2 2 4 4 2 3 3" xfId="33239" xr:uid="{00000000-0005-0000-0000-00005B0E0000}"/>
    <cellStyle name="Normal 4 3 2 2 4 4 2 4" xfId="14807" xr:uid="{00000000-0005-0000-0000-00005C0E0000}"/>
    <cellStyle name="Normal 4 3 2 2 4 4 2 4 2" xfId="39383" xr:uid="{00000000-0005-0000-0000-00005D0E0000}"/>
    <cellStyle name="Normal 4 3 2 2 4 4 2 5" xfId="27095" xr:uid="{00000000-0005-0000-0000-00005E0E0000}"/>
    <cellStyle name="Normal 4 3 2 2 4 4 3" xfId="4055" xr:uid="{00000000-0005-0000-0000-00005F0E0000}"/>
    <cellStyle name="Normal 4 3 2 2 4 4 3 2" xfId="10199" xr:uid="{00000000-0005-0000-0000-0000600E0000}"/>
    <cellStyle name="Normal 4 3 2 2 4 4 3 2 2" xfId="22487" xr:uid="{00000000-0005-0000-0000-0000610E0000}"/>
    <cellStyle name="Normal 4 3 2 2 4 4 3 2 2 2" xfId="47063" xr:uid="{00000000-0005-0000-0000-0000620E0000}"/>
    <cellStyle name="Normal 4 3 2 2 4 4 3 2 3" xfId="34775" xr:uid="{00000000-0005-0000-0000-0000630E0000}"/>
    <cellStyle name="Normal 4 3 2 2 4 4 3 3" xfId="16343" xr:uid="{00000000-0005-0000-0000-0000640E0000}"/>
    <cellStyle name="Normal 4 3 2 2 4 4 3 3 2" xfId="40919" xr:uid="{00000000-0005-0000-0000-0000650E0000}"/>
    <cellStyle name="Normal 4 3 2 2 4 4 3 4" xfId="28631" xr:uid="{00000000-0005-0000-0000-0000660E0000}"/>
    <cellStyle name="Normal 4 3 2 2 4 4 4" xfId="7127" xr:uid="{00000000-0005-0000-0000-0000670E0000}"/>
    <cellStyle name="Normal 4 3 2 2 4 4 4 2" xfId="19415" xr:uid="{00000000-0005-0000-0000-0000680E0000}"/>
    <cellStyle name="Normal 4 3 2 2 4 4 4 2 2" xfId="43991" xr:uid="{00000000-0005-0000-0000-0000690E0000}"/>
    <cellStyle name="Normal 4 3 2 2 4 4 4 3" xfId="31703" xr:uid="{00000000-0005-0000-0000-00006A0E0000}"/>
    <cellStyle name="Normal 4 3 2 2 4 4 5" xfId="13271" xr:uid="{00000000-0005-0000-0000-00006B0E0000}"/>
    <cellStyle name="Normal 4 3 2 2 4 4 5 2" xfId="37847" xr:uid="{00000000-0005-0000-0000-00006C0E0000}"/>
    <cellStyle name="Normal 4 3 2 2 4 4 6" xfId="25559" xr:uid="{00000000-0005-0000-0000-00006D0E0000}"/>
    <cellStyle name="Normal 4 3 2 2 4 5" xfId="1747" xr:uid="{00000000-0005-0000-0000-00006E0E0000}"/>
    <cellStyle name="Normal 4 3 2 2 4 5 2" xfId="4823" xr:uid="{00000000-0005-0000-0000-00006F0E0000}"/>
    <cellStyle name="Normal 4 3 2 2 4 5 2 2" xfId="10967" xr:uid="{00000000-0005-0000-0000-0000700E0000}"/>
    <cellStyle name="Normal 4 3 2 2 4 5 2 2 2" xfId="23255" xr:uid="{00000000-0005-0000-0000-0000710E0000}"/>
    <cellStyle name="Normal 4 3 2 2 4 5 2 2 2 2" xfId="47831" xr:uid="{00000000-0005-0000-0000-0000720E0000}"/>
    <cellStyle name="Normal 4 3 2 2 4 5 2 2 3" xfId="35543" xr:uid="{00000000-0005-0000-0000-0000730E0000}"/>
    <cellStyle name="Normal 4 3 2 2 4 5 2 3" xfId="17111" xr:uid="{00000000-0005-0000-0000-0000740E0000}"/>
    <cellStyle name="Normal 4 3 2 2 4 5 2 3 2" xfId="41687" xr:uid="{00000000-0005-0000-0000-0000750E0000}"/>
    <cellStyle name="Normal 4 3 2 2 4 5 2 4" xfId="29399" xr:uid="{00000000-0005-0000-0000-0000760E0000}"/>
    <cellStyle name="Normal 4 3 2 2 4 5 3" xfId="7895" xr:uid="{00000000-0005-0000-0000-0000770E0000}"/>
    <cellStyle name="Normal 4 3 2 2 4 5 3 2" xfId="20183" xr:uid="{00000000-0005-0000-0000-0000780E0000}"/>
    <cellStyle name="Normal 4 3 2 2 4 5 3 2 2" xfId="44759" xr:uid="{00000000-0005-0000-0000-0000790E0000}"/>
    <cellStyle name="Normal 4 3 2 2 4 5 3 3" xfId="32471" xr:uid="{00000000-0005-0000-0000-00007A0E0000}"/>
    <cellStyle name="Normal 4 3 2 2 4 5 4" xfId="14039" xr:uid="{00000000-0005-0000-0000-00007B0E0000}"/>
    <cellStyle name="Normal 4 3 2 2 4 5 4 2" xfId="38615" xr:uid="{00000000-0005-0000-0000-00007C0E0000}"/>
    <cellStyle name="Normal 4 3 2 2 4 5 5" xfId="26327" xr:uid="{00000000-0005-0000-0000-00007D0E0000}"/>
    <cellStyle name="Normal 4 3 2 2 4 6" xfId="3287" xr:uid="{00000000-0005-0000-0000-00007E0E0000}"/>
    <cellStyle name="Normal 4 3 2 2 4 6 2" xfId="9431" xr:uid="{00000000-0005-0000-0000-00007F0E0000}"/>
    <cellStyle name="Normal 4 3 2 2 4 6 2 2" xfId="21719" xr:uid="{00000000-0005-0000-0000-0000800E0000}"/>
    <cellStyle name="Normal 4 3 2 2 4 6 2 2 2" xfId="46295" xr:uid="{00000000-0005-0000-0000-0000810E0000}"/>
    <cellStyle name="Normal 4 3 2 2 4 6 2 3" xfId="34007" xr:uid="{00000000-0005-0000-0000-0000820E0000}"/>
    <cellStyle name="Normal 4 3 2 2 4 6 3" xfId="15575" xr:uid="{00000000-0005-0000-0000-0000830E0000}"/>
    <cellStyle name="Normal 4 3 2 2 4 6 3 2" xfId="40151" xr:uid="{00000000-0005-0000-0000-0000840E0000}"/>
    <cellStyle name="Normal 4 3 2 2 4 6 4" xfId="27863" xr:uid="{00000000-0005-0000-0000-0000850E0000}"/>
    <cellStyle name="Normal 4 3 2 2 4 7" xfId="6359" xr:uid="{00000000-0005-0000-0000-0000860E0000}"/>
    <cellStyle name="Normal 4 3 2 2 4 7 2" xfId="18647" xr:uid="{00000000-0005-0000-0000-0000870E0000}"/>
    <cellStyle name="Normal 4 3 2 2 4 7 2 2" xfId="43223" xr:uid="{00000000-0005-0000-0000-0000880E0000}"/>
    <cellStyle name="Normal 4 3 2 2 4 7 3" xfId="30935" xr:uid="{00000000-0005-0000-0000-0000890E0000}"/>
    <cellStyle name="Normal 4 3 2 2 4 8" xfId="12503" xr:uid="{00000000-0005-0000-0000-00008A0E0000}"/>
    <cellStyle name="Normal 4 3 2 2 4 8 2" xfId="37079" xr:uid="{00000000-0005-0000-0000-00008B0E0000}"/>
    <cellStyle name="Normal 4 3 2 2 4 9" xfId="24791" xr:uid="{00000000-0005-0000-0000-00008C0E0000}"/>
    <cellStyle name="Normal 4 3 2 2 5" xfId="275" xr:uid="{00000000-0005-0000-0000-00008D0E0000}"/>
    <cellStyle name="Normal 4 3 2 2 5 2" xfId="467" xr:uid="{00000000-0005-0000-0000-00008E0E0000}"/>
    <cellStyle name="Normal 4 3 2 2 5 2 2" xfId="851" xr:uid="{00000000-0005-0000-0000-00008F0E0000}"/>
    <cellStyle name="Normal 4 3 2 2 5 2 2 2" xfId="1619" xr:uid="{00000000-0005-0000-0000-0000900E0000}"/>
    <cellStyle name="Normal 4 3 2 2 5 2 2 2 2" xfId="3155" xr:uid="{00000000-0005-0000-0000-0000910E0000}"/>
    <cellStyle name="Normal 4 3 2 2 5 2 2 2 2 2" xfId="6231" xr:uid="{00000000-0005-0000-0000-0000920E0000}"/>
    <cellStyle name="Normal 4 3 2 2 5 2 2 2 2 2 2" xfId="12375" xr:uid="{00000000-0005-0000-0000-0000930E0000}"/>
    <cellStyle name="Normal 4 3 2 2 5 2 2 2 2 2 2 2" xfId="24663" xr:uid="{00000000-0005-0000-0000-0000940E0000}"/>
    <cellStyle name="Normal 4 3 2 2 5 2 2 2 2 2 2 2 2" xfId="49239" xr:uid="{00000000-0005-0000-0000-0000950E0000}"/>
    <cellStyle name="Normal 4 3 2 2 5 2 2 2 2 2 2 3" xfId="36951" xr:uid="{00000000-0005-0000-0000-0000960E0000}"/>
    <cellStyle name="Normal 4 3 2 2 5 2 2 2 2 2 3" xfId="18519" xr:uid="{00000000-0005-0000-0000-0000970E0000}"/>
    <cellStyle name="Normal 4 3 2 2 5 2 2 2 2 2 3 2" xfId="43095" xr:uid="{00000000-0005-0000-0000-0000980E0000}"/>
    <cellStyle name="Normal 4 3 2 2 5 2 2 2 2 2 4" xfId="30807" xr:uid="{00000000-0005-0000-0000-0000990E0000}"/>
    <cellStyle name="Normal 4 3 2 2 5 2 2 2 2 3" xfId="9303" xr:uid="{00000000-0005-0000-0000-00009A0E0000}"/>
    <cellStyle name="Normal 4 3 2 2 5 2 2 2 2 3 2" xfId="21591" xr:uid="{00000000-0005-0000-0000-00009B0E0000}"/>
    <cellStyle name="Normal 4 3 2 2 5 2 2 2 2 3 2 2" xfId="46167" xr:uid="{00000000-0005-0000-0000-00009C0E0000}"/>
    <cellStyle name="Normal 4 3 2 2 5 2 2 2 2 3 3" xfId="33879" xr:uid="{00000000-0005-0000-0000-00009D0E0000}"/>
    <cellStyle name="Normal 4 3 2 2 5 2 2 2 2 4" xfId="15447" xr:uid="{00000000-0005-0000-0000-00009E0E0000}"/>
    <cellStyle name="Normal 4 3 2 2 5 2 2 2 2 4 2" xfId="40023" xr:uid="{00000000-0005-0000-0000-00009F0E0000}"/>
    <cellStyle name="Normal 4 3 2 2 5 2 2 2 2 5" xfId="27735" xr:uid="{00000000-0005-0000-0000-0000A00E0000}"/>
    <cellStyle name="Normal 4 3 2 2 5 2 2 2 3" xfId="4695" xr:uid="{00000000-0005-0000-0000-0000A10E0000}"/>
    <cellStyle name="Normal 4 3 2 2 5 2 2 2 3 2" xfId="10839" xr:uid="{00000000-0005-0000-0000-0000A20E0000}"/>
    <cellStyle name="Normal 4 3 2 2 5 2 2 2 3 2 2" xfId="23127" xr:uid="{00000000-0005-0000-0000-0000A30E0000}"/>
    <cellStyle name="Normal 4 3 2 2 5 2 2 2 3 2 2 2" xfId="47703" xr:uid="{00000000-0005-0000-0000-0000A40E0000}"/>
    <cellStyle name="Normal 4 3 2 2 5 2 2 2 3 2 3" xfId="35415" xr:uid="{00000000-0005-0000-0000-0000A50E0000}"/>
    <cellStyle name="Normal 4 3 2 2 5 2 2 2 3 3" xfId="16983" xr:uid="{00000000-0005-0000-0000-0000A60E0000}"/>
    <cellStyle name="Normal 4 3 2 2 5 2 2 2 3 3 2" xfId="41559" xr:uid="{00000000-0005-0000-0000-0000A70E0000}"/>
    <cellStyle name="Normal 4 3 2 2 5 2 2 2 3 4" xfId="29271" xr:uid="{00000000-0005-0000-0000-0000A80E0000}"/>
    <cellStyle name="Normal 4 3 2 2 5 2 2 2 4" xfId="7767" xr:uid="{00000000-0005-0000-0000-0000A90E0000}"/>
    <cellStyle name="Normal 4 3 2 2 5 2 2 2 4 2" xfId="20055" xr:uid="{00000000-0005-0000-0000-0000AA0E0000}"/>
    <cellStyle name="Normal 4 3 2 2 5 2 2 2 4 2 2" xfId="44631" xr:uid="{00000000-0005-0000-0000-0000AB0E0000}"/>
    <cellStyle name="Normal 4 3 2 2 5 2 2 2 4 3" xfId="32343" xr:uid="{00000000-0005-0000-0000-0000AC0E0000}"/>
    <cellStyle name="Normal 4 3 2 2 5 2 2 2 5" xfId="13911" xr:uid="{00000000-0005-0000-0000-0000AD0E0000}"/>
    <cellStyle name="Normal 4 3 2 2 5 2 2 2 5 2" xfId="38487" xr:uid="{00000000-0005-0000-0000-0000AE0E0000}"/>
    <cellStyle name="Normal 4 3 2 2 5 2 2 2 6" xfId="26199" xr:uid="{00000000-0005-0000-0000-0000AF0E0000}"/>
    <cellStyle name="Normal 4 3 2 2 5 2 2 3" xfId="2387" xr:uid="{00000000-0005-0000-0000-0000B00E0000}"/>
    <cellStyle name="Normal 4 3 2 2 5 2 2 3 2" xfId="5463" xr:uid="{00000000-0005-0000-0000-0000B10E0000}"/>
    <cellStyle name="Normal 4 3 2 2 5 2 2 3 2 2" xfId="11607" xr:uid="{00000000-0005-0000-0000-0000B20E0000}"/>
    <cellStyle name="Normal 4 3 2 2 5 2 2 3 2 2 2" xfId="23895" xr:uid="{00000000-0005-0000-0000-0000B30E0000}"/>
    <cellStyle name="Normal 4 3 2 2 5 2 2 3 2 2 2 2" xfId="48471" xr:uid="{00000000-0005-0000-0000-0000B40E0000}"/>
    <cellStyle name="Normal 4 3 2 2 5 2 2 3 2 2 3" xfId="36183" xr:uid="{00000000-0005-0000-0000-0000B50E0000}"/>
    <cellStyle name="Normal 4 3 2 2 5 2 2 3 2 3" xfId="17751" xr:uid="{00000000-0005-0000-0000-0000B60E0000}"/>
    <cellStyle name="Normal 4 3 2 2 5 2 2 3 2 3 2" xfId="42327" xr:uid="{00000000-0005-0000-0000-0000B70E0000}"/>
    <cellStyle name="Normal 4 3 2 2 5 2 2 3 2 4" xfId="30039" xr:uid="{00000000-0005-0000-0000-0000B80E0000}"/>
    <cellStyle name="Normal 4 3 2 2 5 2 2 3 3" xfId="8535" xr:uid="{00000000-0005-0000-0000-0000B90E0000}"/>
    <cellStyle name="Normal 4 3 2 2 5 2 2 3 3 2" xfId="20823" xr:uid="{00000000-0005-0000-0000-0000BA0E0000}"/>
    <cellStyle name="Normal 4 3 2 2 5 2 2 3 3 2 2" xfId="45399" xr:uid="{00000000-0005-0000-0000-0000BB0E0000}"/>
    <cellStyle name="Normal 4 3 2 2 5 2 2 3 3 3" xfId="33111" xr:uid="{00000000-0005-0000-0000-0000BC0E0000}"/>
    <cellStyle name="Normal 4 3 2 2 5 2 2 3 4" xfId="14679" xr:uid="{00000000-0005-0000-0000-0000BD0E0000}"/>
    <cellStyle name="Normal 4 3 2 2 5 2 2 3 4 2" xfId="39255" xr:uid="{00000000-0005-0000-0000-0000BE0E0000}"/>
    <cellStyle name="Normal 4 3 2 2 5 2 2 3 5" xfId="26967" xr:uid="{00000000-0005-0000-0000-0000BF0E0000}"/>
    <cellStyle name="Normal 4 3 2 2 5 2 2 4" xfId="3927" xr:uid="{00000000-0005-0000-0000-0000C00E0000}"/>
    <cellStyle name="Normal 4 3 2 2 5 2 2 4 2" xfId="10071" xr:uid="{00000000-0005-0000-0000-0000C10E0000}"/>
    <cellStyle name="Normal 4 3 2 2 5 2 2 4 2 2" xfId="22359" xr:uid="{00000000-0005-0000-0000-0000C20E0000}"/>
    <cellStyle name="Normal 4 3 2 2 5 2 2 4 2 2 2" xfId="46935" xr:uid="{00000000-0005-0000-0000-0000C30E0000}"/>
    <cellStyle name="Normal 4 3 2 2 5 2 2 4 2 3" xfId="34647" xr:uid="{00000000-0005-0000-0000-0000C40E0000}"/>
    <cellStyle name="Normal 4 3 2 2 5 2 2 4 3" xfId="16215" xr:uid="{00000000-0005-0000-0000-0000C50E0000}"/>
    <cellStyle name="Normal 4 3 2 2 5 2 2 4 3 2" xfId="40791" xr:uid="{00000000-0005-0000-0000-0000C60E0000}"/>
    <cellStyle name="Normal 4 3 2 2 5 2 2 4 4" xfId="28503" xr:uid="{00000000-0005-0000-0000-0000C70E0000}"/>
    <cellStyle name="Normal 4 3 2 2 5 2 2 5" xfId="6999" xr:uid="{00000000-0005-0000-0000-0000C80E0000}"/>
    <cellStyle name="Normal 4 3 2 2 5 2 2 5 2" xfId="19287" xr:uid="{00000000-0005-0000-0000-0000C90E0000}"/>
    <cellStyle name="Normal 4 3 2 2 5 2 2 5 2 2" xfId="43863" xr:uid="{00000000-0005-0000-0000-0000CA0E0000}"/>
    <cellStyle name="Normal 4 3 2 2 5 2 2 5 3" xfId="31575" xr:uid="{00000000-0005-0000-0000-0000CB0E0000}"/>
    <cellStyle name="Normal 4 3 2 2 5 2 2 6" xfId="13143" xr:uid="{00000000-0005-0000-0000-0000CC0E0000}"/>
    <cellStyle name="Normal 4 3 2 2 5 2 2 6 2" xfId="37719" xr:uid="{00000000-0005-0000-0000-0000CD0E0000}"/>
    <cellStyle name="Normal 4 3 2 2 5 2 2 7" xfId="25431" xr:uid="{00000000-0005-0000-0000-0000CE0E0000}"/>
    <cellStyle name="Normal 4 3 2 2 5 2 3" xfId="1235" xr:uid="{00000000-0005-0000-0000-0000CF0E0000}"/>
    <cellStyle name="Normal 4 3 2 2 5 2 3 2" xfId="2771" xr:uid="{00000000-0005-0000-0000-0000D00E0000}"/>
    <cellStyle name="Normal 4 3 2 2 5 2 3 2 2" xfId="5847" xr:uid="{00000000-0005-0000-0000-0000D10E0000}"/>
    <cellStyle name="Normal 4 3 2 2 5 2 3 2 2 2" xfId="11991" xr:uid="{00000000-0005-0000-0000-0000D20E0000}"/>
    <cellStyle name="Normal 4 3 2 2 5 2 3 2 2 2 2" xfId="24279" xr:uid="{00000000-0005-0000-0000-0000D30E0000}"/>
    <cellStyle name="Normal 4 3 2 2 5 2 3 2 2 2 2 2" xfId="48855" xr:uid="{00000000-0005-0000-0000-0000D40E0000}"/>
    <cellStyle name="Normal 4 3 2 2 5 2 3 2 2 2 3" xfId="36567" xr:uid="{00000000-0005-0000-0000-0000D50E0000}"/>
    <cellStyle name="Normal 4 3 2 2 5 2 3 2 2 3" xfId="18135" xr:uid="{00000000-0005-0000-0000-0000D60E0000}"/>
    <cellStyle name="Normal 4 3 2 2 5 2 3 2 2 3 2" xfId="42711" xr:uid="{00000000-0005-0000-0000-0000D70E0000}"/>
    <cellStyle name="Normal 4 3 2 2 5 2 3 2 2 4" xfId="30423" xr:uid="{00000000-0005-0000-0000-0000D80E0000}"/>
    <cellStyle name="Normal 4 3 2 2 5 2 3 2 3" xfId="8919" xr:uid="{00000000-0005-0000-0000-0000D90E0000}"/>
    <cellStyle name="Normal 4 3 2 2 5 2 3 2 3 2" xfId="21207" xr:uid="{00000000-0005-0000-0000-0000DA0E0000}"/>
    <cellStyle name="Normal 4 3 2 2 5 2 3 2 3 2 2" xfId="45783" xr:uid="{00000000-0005-0000-0000-0000DB0E0000}"/>
    <cellStyle name="Normal 4 3 2 2 5 2 3 2 3 3" xfId="33495" xr:uid="{00000000-0005-0000-0000-0000DC0E0000}"/>
    <cellStyle name="Normal 4 3 2 2 5 2 3 2 4" xfId="15063" xr:uid="{00000000-0005-0000-0000-0000DD0E0000}"/>
    <cellStyle name="Normal 4 3 2 2 5 2 3 2 4 2" xfId="39639" xr:uid="{00000000-0005-0000-0000-0000DE0E0000}"/>
    <cellStyle name="Normal 4 3 2 2 5 2 3 2 5" xfId="27351" xr:uid="{00000000-0005-0000-0000-0000DF0E0000}"/>
    <cellStyle name="Normal 4 3 2 2 5 2 3 3" xfId="4311" xr:uid="{00000000-0005-0000-0000-0000E00E0000}"/>
    <cellStyle name="Normal 4 3 2 2 5 2 3 3 2" xfId="10455" xr:uid="{00000000-0005-0000-0000-0000E10E0000}"/>
    <cellStyle name="Normal 4 3 2 2 5 2 3 3 2 2" xfId="22743" xr:uid="{00000000-0005-0000-0000-0000E20E0000}"/>
    <cellStyle name="Normal 4 3 2 2 5 2 3 3 2 2 2" xfId="47319" xr:uid="{00000000-0005-0000-0000-0000E30E0000}"/>
    <cellStyle name="Normal 4 3 2 2 5 2 3 3 2 3" xfId="35031" xr:uid="{00000000-0005-0000-0000-0000E40E0000}"/>
    <cellStyle name="Normal 4 3 2 2 5 2 3 3 3" xfId="16599" xr:uid="{00000000-0005-0000-0000-0000E50E0000}"/>
    <cellStyle name="Normal 4 3 2 2 5 2 3 3 3 2" xfId="41175" xr:uid="{00000000-0005-0000-0000-0000E60E0000}"/>
    <cellStyle name="Normal 4 3 2 2 5 2 3 3 4" xfId="28887" xr:uid="{00000000-0005-0000-0000-0000E70E0000}"/>
    <cellStyle name="Normal 4 3 2 2 5 2 3 4" xfId="7383" xr:uid="{00000000-0005-0000-0000-0000E80E0000}"/>
    <cellStyle name="Normal 4 3 2 2 5 2 3 4 2" xfId="19671" xr:uid="{00000000-0005-0000-0000-0000E90E0000}"/>
    <cellStyle name="Normal 4 3 2 2 5 2 3 4 2 2" xfId="44247" xr:uid="{00000000-0005-0000-0000-0000EA0E0000}"/>
    <cellStyle name="Normal 4 3 2 2 5 2 3 4 3" xfId="31959" xr:uid="{00000000-0005-0000-0000-0000EB0E0000}"/>
    <cellStyle name="Normal 4 3 2 2 5 2 3 5" xfId="13527" xr:uid="{00000000-0005-0000-0000-0000EC0E0000}"/>
    <cellStyle name="Normal 4 3 2 2 5 2 3 5 2" xfId="38103" xr:uid="{00000000-0005-0000-0000-0000ED0E0000}"/>
    <cellStyle name="Normal 4 3 2 2 5 2 3 6" xfId="25815" xr:uid="{00000000-0005-0000-0000-0000EE0E0000}"/>
    <cellStyle name="Normal 4 3 2 2 5 2 4" xfId="2003" xr:uid="{00000000-0005-0000-0000-0000EF0E0000}"/>
    <cellStyle name="Normal 4 3 2 2 5 2 4 2" xfId="5079" xr:uid="{00000000-0005-0000-0000-0000F00E0000}"/>
    <cellStyle name="Normal 4 3 2 2 5 2 4 2 2" xfId="11223" xr:uid="{00000000-0005-0000-0000-0000F10E0000}"/>
    <cellStyle name="Normal 4 3 2 2 5 2 4 2 2 2" xfId="23511" xr:uid="{00000000-0005-0000-0000-0000F20E0000}"/>
    <cellStyle name="Normal 4 3 2 2 5 2 4 2 2 2 2" xfId="48087" xr:uid="{00000000-0005-0000-0000-0000F30E0000}"/>
    <cellStyle name="Normal 4 3 2 2 5 2 4 2 2 3" xfId="35799" xr:uid="{00000000-0005-0000-0000-0000F40E0000}"/>
    <cellStyle name="Normal 4 3 2 2 5 2 4 2 3" xfId="17367" xr:uid="{00000000-0005-0000-0000-0000F50E0000}"/>
    <cellStyle name="Normal 4 3 2 2 5 2 4 2 3 2" xfId="41943" xr:uid="{00000000-0005-0000-0000-0000F60E0000}"/>
    <cellStyle name="Normal 4 3 2 2 5 2 4 2 4" xfId="29655" xr:uid="{00000000-0005-0000-0000-0000F70E0000}"/>
    <cellStyle name="Normal 4 3 2 2 5 2 4 3" xfId="8151" xr:uid="{00000000-0005-0000-0000-0000F80E0000}"/>
    <cellStyle name="Normal 4 3 2 2 5 2 4 3 2" xfId="20439" xr:uid="{00000000-0005-0000-0000-0000F90E0000}"/>
    <cellStyle name="Normal 4 3 2 2 5 2 4 3 2 2" xfId="45015" xr:uid="{00000000-0005-0000-0000-0000FA0E0000}"/>
    <cellStyle name="Normal 4 3 2 2 5 2 4 3 3" xfId="32727" xr:uid="{00000000-0005-0000-0000-0000FB0E0000}"/>
    <cellStyle name="Normal 4 3 2 2 5 2 4 4" xfId="14295" xr:uid="{00000000-0005-0000-0000-0000FC0E0000}"/>
    <cellStyle name="Normal 4 3 2 2 5 2 4 4 2" xfId="38871" xr:uid="{00000000-0005-0000-0000-0000FD0E0000}"/>
    <cellStyle name="Normal 4 3 2 2 5 2 4 5" xfId="26583" xr:uid="{00000000-0005-0000-0000-0000FE0E0000}"/>
    <cellStyle name="Normal 4 3 2 2 5 2 5" xfId="3543" xr:uid="{00000000-0005-0000-0000-0000FF0E0000}"/>
    <cellStyle name="Normal 4 3 2 2 5 2 5 2" xfId="9687" xr:uid="{00000000-0005-0000-0000-0000000F0000}"/>
    <cellStyle name="Normal 4 3 2 2 5 2 5 2 2" xfId="21975" xr:uid="{00000000-0005-0000-0000-0000010F0000}"/>
    <cellStyle name="Normal 4 3 2 2 5 2 5 2 2 2" xfId="46551" xr:uid="{00000000-0005-0000-0000-0000020F0000}"/>
    <cellStyle name="Normal 4 3 2 2 5 2 5 2 3" xfId="34263" xr:uid="{00000000-0005-0000-0000-0000030F0000}"/>
    <cellStyle name="Normal 4 3 2 2 5 2 5 3" xfId="15831" xr:uid="{00000000-0005-0000-0000-0000040F0000}"/>
    <cellStyle name="Normal 4 3 2 2 5 2 5 3 2" xfId="40407" xr:uid="{00000000-0005-0000-0000-0000050F0000}"/>
    <cellStyle name="Normal 4 3 2 2 5 2 5 4" xfId="28119" xr:uid="{00000000-0005-0000-0000-0000060F0000}"/>
    <cellStyle name="Normal 4 3 2 2 5 2 6" xfId="6615" xr:uid="{00000000-0005-0000-0000-0000070F0000}"/>
    <cellStyle name="Normal 4 3 2 2 5 2 6 2" xfId="18903" xr:uid="{00000000-0005-0000-0000-0000080F0000}"/>
    <cellStyle name="Normal 4 3 2 2 5 2 6 2 2" xfId="43479" xr:uid="{00000000-0005-0000-0000-0000090F0000}"/>
    <cellStyle name="Normal 4 3 2 2 5 2 6 3" xfId="31191" xr:uid="{00000000-0005-0000-0000-00000A0F0000}"/>
    <cellStyle name="Normal 4 3 2 2 5 2 7" xfId="12759" xr:uid="{00000000-0005-0000-0000-00000B0F0000}"/>
    <cellStyle name="Normal 4 3 2 2 5 2 7 2" xfId="37335" xr:uid="{00000000-0005-0000-0000-00000C0F0000}"/>
    <cellStyle name="Normal 4 3 2 2 5 2 8" xfId="25047" xr:uid="{00000000-0005-0000-0000-00000D0F0000}"/>
    <cellStyle name="Normal 4 3 2 2 5 3" xfId="659" xr:uid="{00000000-0005-0000-0000-00000E0F0000}"/>
    <cellStyle name="Normal 4 3 2 2 5 3 2" xfId="1427" xr:uid="{00000000-0005-0000-0000-00000F0F0000}"/>
    <cellStyle name="Normal 4 3 2 2 5 3 2 2" xfId="2963" xr:uid="{00000000-0005-0000-0000-0000100F0000}"/>
    <cellStyle name="Normal 4 3 2 2 5 3 2 2 2" xfId="6039" xr:uid="{00000000-0005-0000-0000-0000110F0000}"/>
    <cellStyle name="Normal 4 3 2 2 5 3 2 2 2 2" xfId="12183" xr:uid="{00000000-0005-0000-0000-0000120F0000}"/>
    <cellStyle name="Normal 4 3 2 2 5 3 2 2 2 2 2" xfId="24471" xr:uid="{00000000-0005-0000-0000-0000130F0000}"/>
    <cellStyle name="Normal 4 3 2 2 5 3 2 2 2 2 2 2" xfId="49047" xr:uid="{00000000-0005-0000-0000-0000140F0000}"/>
    <cellStyle name="Normal 4 3 2 2 5 3 2 2 2 2 3" xfId="36759" xr:uid="{00000000-0005-0000-0000-0000150F0000}"/>
    <cellStyle name="Normal 4 3 2 2 5 3 2 2 2 3" xfId="18327" xr:uid="{00000000-0005-0000-0000-0000160F0000}"/>
    <cellStyle name="Normal 4 3 2 2 5 3 2 2 2 3 2" xfId="42903" xr:uid="{00000000-0005-0000-0000-0000170F0000}"/>
    <cellStyle name="Normal 4 3 2 2 5 3 2 2 2 4" xfId="30615" xr:uid="{00000000-0005-0000-0000-0000180F0000}"/>
    <cellStyle name="Normal 4 3 2 2 5 3 2 2 3" xfId="9111" xr:uid="{00000000-0005-0000-0000-0000190F0000}"/>
    <cellStyle name="Normal 4 3 2 2 5 3 2 2 3 2" xfId="21399" xr:uid="{00000000-0005-0000-0000-00001A0F0000}"/>
    <cellStyle name="Normal 4 3 2 2 5 3 2 2 3 2 2" xfId="45975" xr:uid="{00000000-0005-0000-0000-00001B0F0000}"/>
    <cellStyle name="Normal 4 3 2 2 5 3 2 2 3 3" xfId="33687" xr:uid="{00000000-0005-0000-0000-00001C0F0000}"/>
    <cellStyle name="Normal 4 3 2 2 5 3 2 2 4" xfId="15255" xr:uid="{00000000-0005-0000-0000-00001D0F0000}"/>
    <cellStyle name="Normal 4 3 2 2 5 3 2 2 4 2" xfId="39831" xr:uid="{00000000-0005-0000-0000-00001E0F0000}"/>
    <cellStyle name="Normal 4 3 2 2 5 3 2 2 5" xfId="27543" xr:uid="{00000000-0005-0000-0000-00001F0F0000}"/>
    <cellStyle name="Normal 4 3 2 2 5 3 2 3" xfId="4503" xr:uid="{00000000-0005-0000-0000-0000200F0000}"/>
    <cellStyle name="Normal 4 3 2 2 5 3 2 3 2" xfId="10647" xr:uid="{00000000-0005-0000-0000-0000210F0000}"/>
    <cellStyle name="Normal 4 3 2 2 5 3 2 3 2 2" xfId="22935" xr:uid="{00000000-0005-0000-0000-0000220F0000}"/>
    <cellStyle name="Normal 4 3 2 2 5 3 2 3 2 2 2" xfId="47511" xr:uid="{00000000-0005-0000-0000-0000230F0000}"/>
    <cellStyle name="Normal 4 3 2 2 5 3 2 3 2 3" xfId="35223" xr:uid="{00000000-0005-0000-0000-0000240F0000}"/>
    <cellStyle name="Normal 4 3 2 2 5 3 2 3 3" xfId="16791" xr:uid="{00000000-0005-0000-0000-0000250F0000}"/>
    <cellStyle name="Normal 4 3 2 2 5 3 2 3 3 2" xfId="41367" xr:uid="{00000000-0005-0000-0000-0000260F0000}"/>
    <cellStyle name="Normal 4 3 2 2 5 3 2 3 4" xfId="29079" xr:uid="{00000000-0005-0000-0000-0000270F0000}"/>
    <cellStyle name="Normal 4 3 2 2 5 3 2 4" xfId="7575" xr:uid="{00000000-0005-0000-0000-0000280F0000}"/>
    <cellStyle name="Normal 4 3 2 2 5 3 2 4 2" xfId="19863" xr:uid="{00000000-0005-0000-0000-0000290F0000}"/>
    <cellStyle name="Normal 4 3 2 2 5 3 2 4 2 2" xfId="44439" xr:uid="{00000000-0005-0000-0000-00002A0F0000}"/>
    <cellStyle name="Normal 4 3 2 2 5 3 2 4 3" xfId="32151" xr:uid="{00000000-0005-0000-0000-00002B0F0000}"/>
    <cellStyle name="Normal 4 3 2 2 5 3 2 5" xfId="13719" xr:uid="{00000000-0005-0000-0000-00002C0F0000}"/>
    <cellStyle name="Normal 4 3 2 2 5 3 2 5 2" xfId="38295" xr:uid="{00000000-0005-0000-0000-00002D0F0000}"/>
    <cellStyle name="Normal 4 3 2 2 5 3 2 6" xfId="26007" xr:uid="{00000000-0005-0000-0000-00002E0F0000}"/>
    <cellStyle name="Normal 4 3 2 2 5 3 3" xfId="2195" xr:uid="{00000000-0005-0000-0000-00002F0F0000}"/>
    <cellStyle name="Normal 4 3 2 2 5 3 3 2" xfId="5271" xr:uid="{00000000-0005-0000-0000-0000300F0000}"/>
    <cellStyle name="Normal 4 3 2 2 5 3 3 2 2" xfId="11415" xr:uid="{00000000-0005-0000-0000-0000310F0000}"/>
    <cellStyle name="Normal 4 3 2 2 5 3 3 2 2 2" xfId="23703" xr:uid="{00000000-0005-0000-0000-0000320F0000}"/>
    <cellStyle name="Normal 4 3 2 2 5 3 3 2 2 2 2" xfId="48279" xr:uid="{00000000-0005-0000-0000-0000330F0000}"/>
    <cellStyle name="Normal 4 3 2 2 5 3 3 2 2 3" xfId="35991" xr:uid="{00000000-0005-0000-0000-0000340F0000}"/>
    <cellStyle name="Normal 4 3 2 2 5 3 3 2 3" xfId="17559" xr:uid="{00000000-0005-0000-0000-0000350F0000}"/>
    <cellStyle name="Normal 4 3 2 2 5 3 3 2 3 2" xfId="42135" xr:uid="{00000000-0005-0000-0000-0000360F0000}"/>
    <cellStyle name="Normal 4 3 2 2 5 3 3 2 4" xfId="29847" xr:uid="{00000000-0005-0000-0000-0000370F0000}"/>
    <cellStyle name="Normal 4 3 2 2 5 3 3 3" xfId="8343" xr:uid="{00000000-0005-0000-0000-0000380F0000}"/>
    <cellStyle name="Normal 4 3 2 2 5 3 3 3 2" xfId="20631" xr:uid="{00000000-0005-0000-0000-0000390F0000}"/>
    <cellStyle name="Normal 4 3 2 2 5 3 3 3 2 2" xfId="45207" xr:uid="{00000000-0005-0000-0000-00003A0F0000}"/>
    <cellStyle name="Normal 4 3 2 2 5 3 3 3 3" xfId="32919" xr:uid="{00000000-0005-0000-0000-00003B0F0000}"/>
    <cellStyle name="Normal 4 3 2 2 5 3 3 4" xfId="14487" xr:uid="{00000000-0005-0000-0000-00003C0F0000}"/>
    <cellStyle name="Normal 4 3 2 2 5 3 3 4 2" xfId="39063" xr:uid="{00000000-0005-0000-0000-00003D0F0000}"/>
    <cellStyle name="Normal 4 3 2 2 5 3 3 5" xfId="26775" xr:uid="{00000000-0005-0000-0000-00003E0F0000}"/>
    <cellStyle name="Normal 4 3 2 2 5 3 4" xfId="3735" xr:uid="{00000000-0005-0000-0000-00003F0F0000}"/>
    <cellStyle name="Normal 4 3 2 2 5 3 4 2" xfId="9879" xr:uid="{00000000-0005-0000-0000-0000400F0000}"/>
    <cellStyle name="Normal 4 3 2 2 5 3 4 2 2" xfId="22167" xr:uid="{00000000-0005-0000-0000-0000410F0000}"/>
    <cellStyle name="Normal 4 3 2 2 5 3 4 2 2 2" xfId="46743" xr:uid="{00000000-0005-0000-0000-0000420F0000}"/>
    <cellStyle name="Normal 4 3 2 2 5 3 4 2 3" xfId="34455" xr:uid="{00000000-0005-0000-0000-0000430F0000}"/>
    <cellStyle name="Normal 4 3 2 2 5 3 4 3" xfId="16023" xr:uid="{00000000-0005-0000-0000-0000440F0000}"/>
    <cellStyle name="Normal 4 3 2 2 5 3 4 3 2" xfId="40599" xr:uid="{00000000-0005-0000-0000-0000450F0000}"/>
    <cellStyle name="Normal 4 3 2 2 5 3 4 4" xfId="28311" xr:uid="{00000000-0005-0000-0000-0000460F0000}"/>
    <cellStyle name="Normal 4 3 2 2 5 3 5" xfId="6807" xr:uid="{00000000-0005-0000-0000-0000470F0000}"/>
    <cellStyle name="Normal 4 3 2 2 5 3 5 2" xfId="19095" xr:uid="{00000000-0005-0000-0000-0000480F0000}"/>
    <cellStyle name="Normal 4 3 2 2 5 3 5 2 2" xfId="43671" xr:uid="{00000000-0005-0000-0000-0000490F0000}"/>
    <cellStyle name="Normal 4 3 2 2 5 3 5 3" xfId="31383" xr:uid="{00000000-0005-0000-0000-00004A0F0000}"/>
    <cellStyle name="Normal 4 3 2 2 5 3 6" xfId="12951" xr:uid="{00000000-0005-0000-0000-00004B0F0000}"/>
    <cellStyle name="Normal 4 3 2 2 5 3 6 2" xfId="37527" xr:uid="{00000000-0005-0000-0000-00004C0F0000}"/>
    <cellStyle name="Normal 4 3 2 2 5 3 7" xfId="25239" xr:uid="{00000000-0005-0000-0000-00004D0F0000}"/>
    <cellStyle name="Normal 4 3 2 2 5 4" xfId="1043" xr:uid="{00000000-0005-0000-0000-00004E0F0000}"/>
    <cellStyle name="Normal 4 3 2 2 5 4 2" xfId="2579" xr:uid="{00000000-0005-0000-0000-00004F0F0000}"/>
    <cellStyle name="Normal 4 3 2 2 5 4 2 2" xfId="5655" xr:uid="{00000000-0005-0000-0000-0000500F0000}"/>
    <cellStyle name="Normal 4 3 2 2 5 4 2 2 2" xfId="11799" xr:uid="{00000000-0005-0000-0000-0000510F0000}"/>
    <cellStyle name="Normal 4 3 2 2 5 4 2 2 2 2" xfId="24087" xr:uid="{00000000-0005-0000-0000-0000520F0000}"/>
    <cellStyle name="Normal 4 3 2 2 5 4 2 2 2 2 2" xfId="48663" xr:uid="{00000000-0005-0000-0000-0000530F0000}"/>
    <cellStyle name="Normal 4 3 2 2 5 4 2 2 2 3" xfId="36375" xr:uid="{00000000-0005-0000-0000-0000540F0000}"/>
    <cellStyle name="Normal 4 3 2 2 5 4 2 2 3" xfId="17943" xr:uid="{00000000-0005-0000-0000-0000550F0000}"/>
    <cellStyle name="Normal 4 3 2 2 5 4 2 2 3 2" xfId="42519" xr:uid="{00000000-0005-0000-0000-0000560F0000}"/>
    <cellStyle name="Normal 4 3 2 2 5 4 2 2 4" xfId="30231" xr:uid="{00000000-0005-0000-0000-0000570F0000}"/>
    <cellStyle name="Normal 4 3 2 2 5 4 2 3" xfId="8727" xr:uid="{00000000-0005-0000-0000-0000580F0000}"/>
    <cellStyle name="Normal 4 3 2 2 5 4 2 3 2" xfId="21015" xr:uid="{00000000-0005-0000-0000-0000590F0000}"/>
    <cellStyle name="Normal 4 3 2 2 5 4 2 3 2 2" xfId="45591" xr:uid="{00000000-0005-0000-0000-00005A0F0000}"/>
    <cellStyle name="Normal 4 3 2 2 5 4 2 3 3" xfId="33303" xr:uid="{00000000-0005-0000-0000-00005B0F0000}"/>
    <cellStyle name="Normal 4 3 2 2 5 4 2 4" xfId="14871" xr:uid="{00000000-0005-0000-0000-00005C0F0000}"/>
    <cellStyle name="Normal 4 3 2 2 5 4 2 4 2" xfId="39447" xr:uid="{00000000-0005-0000-0000-00005D0F0000}"/>
    <cellStyle name="Normal 4 3 2 2 5 4 2 5" xfId="27159" xr:uid="{00000000-0005-0000-0000-00005E0F0000}"/>
    <cellStyle name="Normal 4 3 2 2 5 4 3" xfId="4119" xr:uid="{00000000-0005-0000-0000-00005F0F0000}"/>
    <cellStyle name="Normal 4 3 2 2 5 4 3 2" xfId="10263" xr:uid="{00000000-0005-0000-0000-0000600F0000}"/>
    <cellStyle name="Normal 4 3 2 2 5 4 3 2 2" xfId="22551" xr:uid="{00000000-0005-0000-0000-0000610F0000}"/>
    <cellStyle name="Normal 4 3 2 2 5 4 3 2 2 2" xfId="47127" xr:uid="{00000000-0005-0000-0000-0000620F0000}"/>
    <cellStyle name="Normal 4 3 2 2 5 4 3 2 3" xfId="34839" xr:uid="{00000000-0005-0000-0000-0000630F0000}"/>
    <cellStyle name="Normal 4 3 2 2 5 4 3 3" xfId="16407" xr:uid="{00000000-0005-0000-0000-0000640F0000}"/>
    <cellStyle name="Normal 4 3 2 2 5 4 3 3 2" xfId="40983" xr:uid="{00000000-0005-0000-0000-0000650F0000}"/>
    <cellStyle name="Normal 4 3 2 2 5 4 3 4" xfId="28695" xr:uid="{00000000-0005-0000-0000-0000660F0000}"/>
    <cellStyle name="Normal 4 3 2 2 5 4 4" xfId="7191" xr:uid="{00000000-0005-0000-0000-0000670F0000}"/>
    <cellStyle name="Normal 4 3 2 2 5 4 4 2" xfId="19479" xr:uid="{00000000-0005-0000-0000-0000680F0000}"/>
    <cellStyle name="Normal 4 3 2 2 5 4 4 2 2" xfId="44055" xr:uid="{00000000-0005-0000-0000-0000690F0000}"/>
    <cellStyle name="Normal 4 3 2 2 5 4 4 3" xfId="31767" xr:uid="{00000000-0005-0000-0000-00006A0F0000}"/>
    <cellStyle name="Normal 4 3 2 2 5 4 5" xfId="13335" xr:uid="{00000000-0005-0000-0000-00006B0F0000}"/>
    <cellStyle name="Normal 4 3 2 2 5 4 5 2" xfId="37911" xr:uid="{00000000-0005-0000-0000-00006C0F0000}"/>
    <cellStyle name="Normal 4 3 2 2 5 4 6" xfId="25623" xr:uid="{00000000-0005-0000-0000-00006D0F0000}"/>
    <cellStyle name="Normal 4 3 2 2 5 5" xfId="1811" xr:uid="{00000000-0005-0000-0000-00006E0F0000}"/>
    <cellStyle name="Normal 4 3 2 2 5 5 2" xfId="4887" xr:uid="{00000000-0005-0000-0000-00006F0F0000}"/>
    <cellStyle name="Normal 4 3 2 2 5 5 2 2" xfId="11031" xr:uid="{00000000-0005-0000-0000-0000700F0000}"/>
    <cellStyle name="Normal 4 3 2 2 5 5 2 2 2" xfId="23319" xr:uid="{00000000-0005-0000-0000-0000710F0000}"/>
    <cellStyle name="Normal 4 3 2 2 5 5 2 2 2 2" xfId="47895" xr:uid="{00000000-0005-0000-0000-0000720F0000}"/>
    <cellStyle name="Normal 4 3 2 2 5 5 2 2 3" xfId="35607" xr:uid="{00000000-0005-0000-0000-0000730F0000}"/>
    <cellStyle name="Normal 4 3 2 2 5 5 2 3" xfId="17175" xr:uid="{00000000-0005-0000-0000-0000740F0000}"/>
    <cellStyle name="Normal 4 3 2 2 5 5 2 3 2" xfId="41751" xr:uid="{00000000-0005-0000-0000-0000750F0000}"/>
    <cellStyle name="Normal 4 3 2 2 5 5 2 4" xfId="29463" xr:uid="{00000000-0005-0000-0000-0000760F0000}"/>
    <cellStyle name="Normal 4 3 2 2 5 5 3" xfId="7959" xr:uid="{00000000-0005-0000-0000-0000770F0000}"/>
    <cellStyle name="Normal 4 3 2 2 5 5 3 2" xfId="20247" xr:uid="{00000000-0005-0000-0000-0000780F0000}"/>
    <cellStyle name="Normal 4 3 2 2 5 5 3 2 2" xfId="44823" xr:uid="{00000000-0005-0000-0000-0000790F0000}"/>
    <cellStyle name="Normal 4 3 2 2 5 5 3 3" xfId="32535" xr:uid="{00000000-0005-0000-0000-00007A0F0000}"/>
    <cellStyle name="Normal 4 3 2 2 5 5 4" xfId="14103" xr:uid="{00000000-0005-0000-0000-00007B0F0000}"/>
    <cellStyle name="Normal 4 3 2 2 5 5 4 2" xfId="38679" xr:uid="{00000000-0005-0000-0000-00007C0F0000}"/>
    <cellStyle name="Normal 4 3 2 2 5 5 5" xfId="26391" xr:uid="{00000000-0005-0000-0000-00007D0F0000}"/>
    <cellStyle name="Normal 4 3 2 2 5 6" xfId="3351" xr:uid="{00000000-0005-0000-0000-00007E0F0000}"/>
    <cellStyle name="Normal 4 3 2 2 5 6 2" xfId="9495" xr:uid="{00000000-0005-0000-0000-00007F0F0000}"/>
    <cellStyle name="Normal 4 3 2 2 5 6 2 2" xfId="21783" xr:uid="{00000000-0005-0000-0000-0000800F0000}"/>
    <cellStyle name="Normal 4 3 2 2 5 6 2 2 2" xfId="46359" xr:uid="{00000000-0005-0000-0000-0000810F0000}"/>
    <cellStyle name="Normal 4 3 2 2 5 6 2 3" xfId="34071" xr:uid="{00000000-0005-0000-0000-0000820F0000}"/>
    <cellStyle name="Normal 4 3 2 2 5 6 3" xfId="15639" xr:uid="{00000000-0005-0000-0000-0000830F0000}"/>
    <cellStyle name="Normal 4 3 2 2 5 6 3 2" xfId="40215" xr:uid="{00000000-0005-0000-0000-0000840F0000}"/>
    <cellStyle name="Normal 4 3 2 2 5 6 4" xfId="27927" xr:uid="{00000000-0005-0000-0000-0000850F0000}"/>
    <cellStyle name="Normal 4 3 2 2 5 7" xfId="6423" xr:uid="{00000000-0005-0000-0000-0000860F0000}"/>
    <cellStyle name="Normal 4 3 2 2 5 7 2" xfId="18711" xr:uid="{00000000-0005-0000-0000-0000870F0000}"/>
    <cellStyle name="Normal 4 3 2 2 5 7 2 2" xfId="43287" xr:uid="{00000000-0005-0000-0000-0000880F0000}"/>
    <cellStyle name="Normal 4 3 2 2 5 7 3" xfId="30999" xr:uid="{00000000-0005-0000-0000-0000890F0000}"/>
    <cellStyle name="Normal 4 3 2 2 5 8" xfId="12567" xr:uid="{00000000-0005-0000-0000-00008A0F0000}"/>
    <cellStyle name="Normal 4 3 2 2 5 8 2" xfId="37143" xr:uid="{00000000-0005-0000-0000-00008B0F0000}"/>
    <cellStyle name="Normal 4 3 2 2 5 9" xfId="24855" xr:uid="{00000000-0005-0000-0000-00008C0F0000}"/>
    <cellStyle name="Normal 4 3 2 2 6" xfId="339" xr:uid="{00000000-0005-0000-0000-00008D0F0000}"/>
    <cellStyle name="Normal 4 3 2 2 6 2" xfId="723" xr:uid="{00000000-0005-0000-0000-00008E0F0000}"/>
    <cellStyle name="Normal 4 3 2 2 6 2 2" xfId="1491" xr:uid="{00000000-0005-0000-0000-00008F0F0000}"/>
    <cellStyle name="Normal 4 3 2 2 6 2 2 2" xfId="3027" xr:uid="{00000000-0005-0000-0000-0000900F0000}"/>
    <cellStyle name="Normal 4 3 2 2 6 2 2 2 2" xfId="6103" xr:uid="{00000000-0005-0000-0000-0000910F0000}"/>
    <cellStyle name="Normal 4 3 2 2 6 2 2 2 2 2" xfId="12247" xr:uid="{00000000-0005-0000-0000-0000920F0000}"/>
    <cellStyle name="Normal 4 3 2 2 6 2 2 2 2 2 2" xfId="24535" xr:uid="{00000000-0005-0000-0000-0000930F0000}"/>
    <cellStyle name="Normal 4 3 2 2 6 2 2 2 2 2 2 2" xfId="49111" xr:uid="{00000000-0005-0000-0000-0000940F0000}"/>
    <cellStyle name="Normal 4 3 2 2 6 2 2 2 2 2 3" xfId="36823" xr:uid="{00000000-0005-0000-0000-0000950F0000}"/>
    <cellStyle name="Normal 4 3 2 2 6 2 2 2 2 3" xfId="18391" xr:uid="{00000000-0005-0000-0000-0000960F0000}"/>
    <cellStyle name="Normal 4 3 2 2 6 2 2 2 2 3 2" xfId="42967" xr:uid="{00000000-0005-0000-0000-0000970F0000}"/>
    <cellStyle name="Normal 4 3 2 2 6 2 2 2 2 4" xfId="30679" xr:uid="{00000000-0005-0000-0000-0000980F0000}"/>
    <cellStyle name="Normal 4 3 2 2 6 2 2 2 3" xfId="9175" xr:uid="{00000000-0005-0000-0000-0000990F0000}"/>
    <cellStyle name="Normal 4 3 2 2 6 2 2 2 3 2" xfId="21463" xr:uid="{00000000-0005-0000-0000-00009A0F0000}"/>
    <cellStyle name="Normal 4 3 2 2 6 2 2 2 3 2 2" xfId="46039" xr:uid="{00000000-0005-0000-0000-00009B0F0000}"/>
    <cellStyle name="Normal 4 3 2 2 6 2 2 2 3 3" xfId="33751" xr:uid="{00000000-0005-0000-0000-00009C0F0000}"/>
    <cellStyle name="Normal 4 3 2 2 6 2 2 2 4" xfId="15319" xr:uid="{00000000-0005-0000-0000-00009D0F0000}"/>
    <cellStyle name="Normal 4 3 2 2 6 2 2 2 4 2" xfId="39895" xr:uid="{00000000-0005-0000-0000-00009E0F0000}"/>
    <cellStyle name="Normal 4 3 2 2 6 2 2 2 5" xfId="27607" xr:uid="{00000000-0005-0000-0000-00009F0F0000}"/>
    <cellStyle name="Normal 4 3 2 2 6 2 2 3" xfId="4567" xr:uid="{00000000-0005-0000-0000-0000A00F0000}"/>
    <cellStyle name="Normal 4 3 2 2 6 2 2 3 2" xfId="10711" xr:uid="{00000000-0005-0000-0000-0000A10F0000}"/>
    <cellStyle name="Normal 4 3 2 2 6 2 2 3 2 2" xfId="22999" xr:uid="{00000000-0005-0000-0000-0000A20F0000}"/>
    <cellStyle name="Normal 4 3 2 2 6 2 2 3 2 2 2" xfId="47575" xr:uid="{00000000-0005-0000-0000-0000A30F0000}"/>
    <cellStyle name="Normal 4 3 2 2 6 2 2 3 2 3" xfId="35287" xr:uid="{00000000-0005-0000-0000-0000A40F0000}"/>
    <cellStyle name="Normal 4 3 2 2 6 2 2 3 3" xfId="16855" xr:uid="{00000000-0005-0000-0000-0000A50F0000}"/>
    <cellStyle name="Normal 4 3 2 2 6 2 2 3 3 2" xfId="41431" xr:uid="{00000000-0005-0000-0000-0000A60F0000}"/>
    <cellStyle name="Normal 4 3 2 2 6 2 2 3 4" xfId="29143" xr:uid="{00000000-0005-0000-0000-0000A70F0000}"/>
    <cellStyle name="Normal 4 3 2 2 6 2 2 4" xfId="7639" xr:uid="{00000000-0005-0000-0000-0000A80F0000}"/>
    <cellStyle name="Normal 4 3 2 2 6 2 2 4 2" xfId="19927" xr:uid="{00000000-0005-0000-0000-0000A90F0000}"/>
    <cellStyle name="Normal 4 3 2 2 6 2 2 4 2 2" xfId="44503" xr:uid="{00000000-0005-0000-0000-0000AA0F0000}"/>
    <cellStyle name="Normal 4 3 2 2 6 2 2 4 3" xfId="32215" xr:uid="{00000000-0005-0000-0000-0000AB0F0000}"/>
    <cellStyle name="Normal 4 3 2 2 6 2 2 5" xfId="13783" xr:uid="{00000000-0005-0000-0000-0000AC0F0000}"/>
    <cellStyle name="Normal 4 3 2 2 6 2 2 5 2" xfId="38359" xr:uid="{00000000-0005-0000-0000-0000AD0F0000}"/>
    <cellStyle name="Normal 4 3 2 2 6 2 2 6" xfId="26071" xr:uid="{00000000-0005-0000-0000-0000AE0F0000}"/>
    <cellStyle name="Normal 4 3 2 2 6 2 3" xfId="2259" xr:uid="{00000000-0005-0000-0000-0000AF0F0000}"/>
    <cellStyle name="Normal 4 3 2 2 6 2 3 2" xfId="5335" xr:uid="{00000000-0005-0000-0000-0000B00F0000}"/>
    <cellStyle name="Normal 4 3 2 2 6 2 3 2 2" xfId="11479" xr:uid="{00000000-0005-0000-0000-0000B10F0000}"/>
    <cellStyle name="Normal 4 3 2 2 6 2 3 2 2 2" xfId="23767" xr:uid="{00000000-0005-0000-0000-0000B20F0000}"/>
    <cellStyle name="Normal 4 3 2 2 6 2 3 2 2 2 2" xfId="48343" xr:uid="{00000000-0005-0000-0000-0000B30F0000}"/>
    <cellStyle name="Normal 4 3 2 2 6 2 3 2 2 3" xfId="36055" xr:uid="{00000000-0005-0000-0000-0000B40F0000}"/>
    <cellStyle name="Normal 4 3 2 2 6 2 3 2 3" xfId="17623" xr:uid="{00000000-0005-0000-0000-0000B50F0000}"/>
    <cellStyle name="Normal 4 3 2 2 6 2 3 2 3 2" xfId="42199" xr:uid="{00000000-0005-0000-0000-0000B60F0000}"/>
    <cellStyle name="Normal 4 3 2 2 6 2 3 2 4" xfId="29911" xr:uid="{00000000-0005-0000-0000-0000B70F0000}"/>
    <cellStyle name="Normal 4 3 2 2 6 2 3 3" xfId="8407" xr:uid="{00000000-0005-0000-0000-0000B80F0000}"/>
    <cellStyle name="Normal 4 3 2 2 6 2 3 3 2" xfId="20695" xr:uid="{00000000-0005-0000-0000-0000B90F0000}"/>
    <cellStyle name="Normal 4 3 2 2 6 2 3 3 2 2" xfId="45271" xr:uid="{00000000-0005-0000-0000-0000BA0F0000}"/>
    <cellStyle name="Normal 4 3 2 2 6 2 3 3 3" xfId="32983" xr:uid="{00000000-0005-0000-0000-0000BB0F0000}"/>
    <cellStyle name="Normal 4 3 2 2 6 2 3 4" xfId="14551" xr:uid="{00000000-0005-0000-0000-0000BC0F0000}"/>
    <cellStyle name="Normal 4 3 2 2 6 2 3 4 2" xfId="39127" xr:uid="{00000000-0005-0000-0000-0000BD0F0000}"/>
    <cellStyle name="Normal 4 3 2 2 6 2 3 5" xfId="26839" xr:uid="{00000000-0005-0000-0000-0000BE0F0000}"/>
    <cellStyle name="Normal 4 3 2 2 6 2 4" xfId="3799" xr:uid="{00000000-0005-0000-0000-0000BF0F0000}"/>
    <cellStyle name="Normal 4 3 2 2 6 2 4 2" xfId="9943" xr:uid="{00000000-0005-0000-0000-0000C00F0000}"/>
    <cellStyle name="Normal 4 3 2 2 6 2 4 2 2" xfId="22231" xr:uid="{00000000-0005-0000-0000-0000C10F0000}"/>
    <cellStyle name="Normal 4 3 2 2 6 2 4 2 2 2" xfId="46807" xr:uid="{00000000-0005-0000-0000-0000C20F0000}"/>
    <cellStyle name="Normal 4 3 2 2 6 2 4 2 3" xfId="34519" xr:uid="{00000000-0005-0000-0000-0000C30F0000}"/>
    <cellStyle name="Normal 4 3 2 2 6 2 4 3" xfId="16087" xr:uid="{00000000-0005-0000-0000-0000C40F0000}"/>
    <cellStyle name="Normal 4 3 2 2 6 2 4 3 2" xfId="40663" xr:uid="{00000000-0005-0000-0000-0000C50F0000}"/>
    <cellStyle name="Normal 4 3 2 2 6 2 4 4" xfId="28375" xr:uid="{00000000-0005-0000-0000-0000C60F0000}"/>
    <cellStyle name="Normal 4 3 2 2 6 2 5" xfId="6871" xr:uid="{00000000-0005-0000-0000-0000C70F0000}"/>
    <cellStyle name="Normal 4 3 2 2 6 2 5 2" xfId="19159" xr:uid="{00000000-0005-0000-0000-0000C80F0000}"/>
    <cellStyle name="Normal 4 3 2 2 6 2 5 2 2" xfId="43735" xr:uid="{00000000-0005-0000-0000-0000C90F0000}"/>
    <cellStyle name="Normal 4 3 2 2 6 2 5 3" xfId="31447" xr:uid="{00000000-0005-0000-0000-0000CA0F0000}"/>
    <cellStyle name="Normal 4 3 2 2 6 2 6" xfId="13015" xr:uid="{00000000-0005-0000-0000-0000CB0F0000}"/>
    <cellStyle name="Normal 4 3 2 2 6 2 6 2" xfId="37591" xr:uid="{00000000-0005-0000-0000-0000CC0F0000}"/>
    <cellStyle name="Normal 4 3 2 2 6 2 7" xfId="25303" xr:uid="{00000000-0005-0000-0000-0000CD0F0000}"/>
    <cellStyle name="Normal 4 3 2 2 6 3" xfId="1107" xr:uid="{00000000-0005-0000-0000-0000CE0F0000}"/>
    <cellStyle name="Normal 4 3 2 2 6 3 2" xfId="2643" xr:uid="{00000000-0005-0000-0000-0000CF0F0000}"/>
    <cellStyle name="Normal 4 3 2 2 6 3 2 2" xfId="5719" xr:uid="{00000000-0005-0000-0000-0000D00F0000}"/>
    <cellStyle name="Normal 4 3 2 2 6 3 2 2 2" xfId="11863" xr:uid="{00000000-0005-0000-0000-0000D10F0000}"/>
    <cellStyle name="Normal 4 3 2 2 6 3 2 2 2 2" xfId="24151" xr:uid="{00000000-0005-0000-0000-0000D20F0000}"/>
    <cellStyle name="Normal 4 3 2 2 6 3 2 2 2 2 2" xfId="48727" xr:uid="{00000000-0005-0000-0000-0000D30F0000}"/>
    <cellStyle name="Normal 4 3 2 2 6 3 2 2 2 3" xfId="36439" xr:uid="{00000000-0005-0000-0000-0000D40F0000}"/>
    <cellStyle name="Normal 4 3 2 2 6 3 2 2 3" xfId="18007" xr:uid="{00000000-0005-0000-0000-0000D50F0000}"/>
    <cellStyle name="Normal 4 3 2 2 6 3 2 2 3 2" xfId="42583" xr:uid="{00000000-0005-0000-0000-0000D60F0000}"/>
    <cellStyle name="Normal 4 3 2 2 6 3 2 2 4" xfId="30295" xr:uid="{00000000-0005-0000-0000-0000D70F0000}"/>
    <cellStyle name="Normal 4 3 2 2 6 3 2 3" xfId="8791" xr:uid="{00000000-0005-0000-0000-0000D80F0000}"/>
    <cellStyle name="Normal 4 3 2 2 6 3 2 3 2" xfId="21079" xr:uid="{00000000-0005-0000-0000-0000D90F0000}"/>
    <cellStyle name="Normal 4 3 2 2 6 3 2 3 2 2" xfId="45655" xr:uid="{00000000-0005-0000-0000-0000DA0F0000}"/>
    <cellStyle name="Normal 4 3 2 2 6 3 2 3 3" xfId="33367" xr:uid="{00000000-0005-0000-0000-0000DB0F0000}"/>
    <cellStyle name="Normal 4 3 2 2 6 3 2 4" xfId="14935" xr:uid="{00000000-0005-0000-0000-0000DC0F0000}"/>
    <cellStyle name="Normal 4 3 2 2 6 3 2 4 2" xfId="39511" xr:uid="{00000000-0005-0000-0000-0000DD0F0000}"/>
    <cellStyle name="Normal 4 3 2 2 6 3 2 5" xfId="27223" xr:uid="{00000000-0005-0000-0000-0000DE0F0000}"/>
    <cellStyle name="Normal 4 3 2 2 6 3 3" xfId="4183" xr:uid="{00000000-0005-0000-0000-0000DF0F0000}"/>
    <cellStyle name="Normal 4 3 2 2 6 3 3 2" xfId="10327" xr:uid="{00000000-0005-0000-0000-0000E00F0000}"/>
    <cellStyle name="Normal 4 3 2 2 6 3 3 2 2" xfId="22615" xr:uid="{00000000-0005-0000-0000-0000E10F0000}"/>
    <cellStyle name="Normal 4 3 2 2 6 3 3 2 2 2" xfId="47191" xr:uid="{00000000-0005-0000-0000-0000E20F0000}"/>
    <cellStyle name="Normal 4 3 2 2 6 3 3 2 3" xfId="34903" xr:uid="{00000000-0005-0000-0000-0000E30F0000}"/>
    <cellStyle name="Normal 4 3 2 2 6 3 3 3" xfId="16471" xr:uid="{00000000-0005-0000-0000-0000E40F0000}"/>
    <cellStyle name="Normal 4 3 2 2 6 3 3 3 2" xfId="41047" xr:uid="{00000000-0005-0000-0000-0000E50F0000}"/>
    <cellStyle name="Normal 4 3 2 2 6 3 3 4" xfId="28759" xr:uid="{00000000-0005-0000-0000-0000E60F0000}"/>
    <cellStyle name="Normal 4 3 2 2 6 3 4" xfId="7255" xr:uid="{00000000-0005-0000-0000-0000E70F0000}"/>
    <cellStyle name="Normal 4 3 2 2 6 3 4 2" xfId="19543" xr:uid="{00000000-0005-0000-0000-0000E80F0000}"/>
    <cellStyle name="Normal 4 3 2 2 6 3 4 2 2" xfId="44119" xr:uid="{00000000-0005-0000-0000-0000E90F0000}"/>
    <cellStyle name="Normal 4 3 2 2 6 3 4 3" xfId="31831" xr:uid="{00000000-0005-0000-0000-0000EA0F0000}"/>
    <cellStyle name="Normal 4 3 2 2 6 3 5" xfId="13399" xr:uid="{00000000-0005-0000-0000-0000EB0F0000}"/>
    <cellStyle name="Normal 4 3 2 2 6 3 5 2" xfId="37975" xr:uid="{00000000-0005-0000-0000-0000EC0F0000}"/>
    <cellStyle name="Normal 4 3 2 2 6 3 6" xfId="25687" xr:uid="{00000000-0005-0000-0000-0000ED0F0000}"/>
    <cellStyle name="Normal 4 3 2 2 6 4" xfId="1875" xr:uid="{00000000-0005-0000-0000-0000EE0F0000}"/>
    <cellStyle name="Normal 4 3 2 2 6 4 2" xfId="4951" xr:uid="{00000000-0005-0000-0000-0000EF0F0000}"/>
    <cellStyle name="Normal 4 3 2 2 6 4 2 2" xfId="11095" xr:uid="{00000000-0005-0000-0000-0000F00F0000}"/>
    <cellStyle name="Normal 4 3 2 2 6 4 2 2 2" xfId="23383" xr:uid="{00000000-0005-0000-0000-0000F10F0000}"/>
    <cellStyle name="Normal 4 3 2 2 6 4 2 2 2 2" xfId="47959" xr:uid="{00000000-0005-0000-0000-0000F20F0000}"/>
    <cellStyle name="Normal 4 3 2 2 6 4 2 2 3" xfId="35671" xr:uid="{00000000-0005-0000-0000-0000F30F0000}"/>
    <cellStyle name="Normal 4 3 2 2 6 4 2 3" xfId="17239" xr:uid="{00000000-0005-0000-0000-0000F40F0000}"/>
    <cellStyle name="Normal 4 3 2 2 6 4 2 3 2" xfId="41815" xr:uid="{00000000-0005-0000-0000-0000F50F0000}"/>
    <cellStyle name="Normal 4 3 2 2 6 4 2 4" xfId="29527" xr:uid="{00000000-0005-0000-0000-0000F60F0000}"/>
    <cellStyle name="Normal 4 3 2 2 6 4 3" xfId="8023" xr:uid="{00000000-0005-0000-0000-0000F70F0000}"/>
    <cellStyle name="Normal 4 3 2 2 6 4 3 2" xfId="20311" xr:uid="{00000000-0005-0000-0000-0000F80F0000}"/>
    <cellStyle name="Normal 4 3 2 2 6 4 3 2 2" xfId="44887" xr:uid="{00000000-0005-0000-0000-0000F90F0000}"/>
    <cellStyle name="Normal 4 3 2 2 6 4 3 3" xfId="32599" xr:uid="{00000000-0005-0000-0000-0000FA0F0000}"/>
    <cellStyle name="Normal 4 3 2 2 6 4 4" xfId="14167" xr:uid="{00000000-0005-0000-0000-0000FB0F0000}"/>
    <cellStyle name="Normal 4 3 2 2 6 4 4 2" xfId="38743" xr:uid="{00000000-0005-0000-0000-0000FC0F0000}"/>
    <cellStyle name="Normal 4 3 2 2 6 4 5" xfId="26455" xr:uid="{00000000-0005-0000-0000-0000FD0F0000}"/>
    <cellStyle name="Normal 4 3 2 2 6 5" xfId="3415" xr:uid="{00000000-0005-0000-0000-0000FE0F0000}"/>
    <cellStyle name="Normal 4 3 2 2 6 5 2" xfId="9559" xr:uid="{00000000-0005-0000-0000-0000FF0F0000}"/>
    <cellStyle name="Normal 4 3 2 2 6 5 2 2" xfId="21847" xr:uid="{00000000-0005-0000-0000-000000100000}"/>
    <cellStyle name="Normal 4 3 2 2 6 5 2 2 2" xfId="46423" xr:uid="{00000000-0005-0000-0000-000001100000}"/>
    <cellStyle name="Normal 4 3 2 2 6 5 2 3" xfId="34135" xr:uid="{00000000-0005-0000-0000-000002100000}"/>
    <cellStyle name="Normal 4 3 2 2 6 5 3" xfId="15703" xr:uid="{00000000-0005-0000-0000-000003100000}"/>
    <cellStyle name="Normal 4 3 2 2 6 5 3 2" xfId="40279" xr:uid="{00000000-0005-0000-0000-000004100000}"/>
    <cellStyle name="Normal 4 3 2 2 6 5 4" xfId="27991" xr:uid="{00000000-0005-0000-0000-000005100000}"/>
    <cellStyle name="Normal 4 3 2 2 6 6" xfId="6487" xr:uid="{00000000-0005-0000-0000-000006100000}"/>
    <cellStyle name="Normal 4 3 2 2 6 6 2" xfId="18775" xr:uid="{00000000-0005-0000-0000-000007100000}"/>
    <cellStyle name="Normal 4 3 2 2 6 6 2 2" xfId="43351" xr:uid="{00000000-0005-0000-0000-000008100000}"/>
    <cellStyle name="Normal 4 3 2 2 6 6 3" xfId="31063" xr:uid="{00000000-0005-0000-0000-000009100000}"/>
    <cellStyle name="Normal 4 3 2 2 6 7" xfId="12631" xr:uid="{00000000-0005-0000-0000-00000A100000}"/>
    <cellStyle name="Normal 4 3 2 2 6 7 2" xfId="37207" xr:uid="{00000000-0005-0000-0000-00000B100000}"/>
    <cellStyle name="Normal 4 3 2 2 6 8" xfId="24919" xr:uid="{00000000-0005-0000-0000-00000C100000}"/>
    <cellStyle name="Normal 4 3 2 2 7" xfId="531" xr:uid="{00000000-0005-0000-0000-00000D100000}"/>
    <cellStyle name="Normal 4 3 2 2 7 2" xfId="1299" xr:uid="{00000000-0005-0000-0000-00000E100000}"/>
    <cellStyle name="Normal 4 3 2 2 7 2 2" xfId="2835" xr:uid="{00000000-0005-0000-0000-00000F100000}"/>
    <cellStyle name="Normal 4 3 2 2 7 2 2 2" xfId="5911" xr:uid="{00000000-0005-0000-0000-000010100000}"/>
    <cellStyle name="Normal 4 3 2 2 7 2 2 2 2" xfId="12055" xr:uid="{00000000-0005-0000-0000-000011100000}"/>
    <cellStyle name="Normal 4 3 2 2 7 2 2 2 2 2" xfId="24343" xr:uid="{00000000-0005-0000-0000-000012100000}"/>
    <cellStyle name="Normal 4 3 2 2 7 2 2 2 2 2 2" xfId="48919" xr:uid="{00000000-0005-0000-0000-000013100000}"/>
    <cellStyle name="Normal 4 3 2 2 7 2 2 2 2 3" xfId="36631" xr:uid="{00000000-0005-0000-0000-000014100000}"/>
    <cellStyle name="Normal 4 3 2 2 7 2 2 2 3" xfId="18199" xr:uid="{00000000-0005-0000-0000-000015100000}"/>
    <cellStyle name="Normal 4 3 2 2 7 2 2 2 3 2" xfId="42775" xr:uid="{00000000-0005-0000-0000-000016100000}"/>
    <cellStyle name="Normal 4 3 2 2 7 2 2 2 4" xfId="30487" xr:uid="{00000000-0005-0000-0000-000017100000}"/>
    <cellStyle name="Normal 4 3 2 2 7 2 2 3" xfId="8983" xr:uid="{00000000-0005-0000-0000-000018100000}"/>
    <cellStyle name="Normal 4 3 2 2 7 2 2 3 2" xfId="21271" xr:uid="{00000000-0005-0000-0000-000019100000}"/>
    <cellStyle name="Normal 4 3 2 2 7 2 2 3 2 2" xfId="45847" xr:uid="{00000000-0005-0000-0000-00001A100000}"/>
    <cellStyle name="Normal 4 3 2 2 7 2 2 3 3" xfId="33559" xr:uid="{00000000-0005-0000-0000-00001B100000}"/>
    <cellStyle name="Normal 4 3 2 2 7 2 2 4" xfId="15127" xr:uid="{00000000-0005-0000-0000-00001C100000}"/>
    <cellStyle name="Normal 4 3 2 2 7 2 2 4 2" xfId="39703" xr:uid="{00000000-0005-0000-0000-00001D100000}"/>
    <cellStyle name="Normal 4 3 2 2 7 2 2 5" xfId="27415" xr:uid="{00000000-0005-0000-0000-00001E100000}"/>
    <cellStyle name="Normal 4 3 2 2 7 2 3" xfId="4375" xr:uid="{00000000-0005-0000-0000-00001F100000}"/>
    <cellStyle name="Normal 4 3 2 2 7 2 3 2" xfId="10519" xr:uid="{00000000-0005-0000-0000-000020100000}"/>
    <cellStyle name="Normal 4 3 2 2 7 2 3 2 2" xfId="22807" xr:uid="{00000000-0005-0000-0000-000021100000}"/>
    <cellStyle name="Normal 4 3 2 2 7 2 3 2 2 2" xfId="47383" xr:uid="{00000000-0005-0000-0000-000022100000}"/>
    <cellStyle name="Normal 4 3 2 2 7 2 3 2 3" xfId="35095" xr:uid="{00000000-0005-0000-0000-000023100000}"/>
    <cellStyle name="Normal 4 3 2 2 7 2 3 3" xfId="16663" xr:uid="{00000000-0005-0000-0000-000024100000}"/>
    <cellStyle name="Normal 4 3 2 2 7 2 3 3 2" xfId="41239" xr:uid="{00000000-0005-0000-0000-000025100000}"/>
    <cellStyle name="Normal 4 3 2 2 7 2 3 4" xfId="28951" xr:uid="{00000000-0005-0000-0000-000026100000}"/>
    <cellStyle name="Normal 4 3 2 2 7 2 4" xfId="7447" xr:uid="{00000000-0005-0000-0000-000027100000}"/>
    <cellStyle name="Normal 4 3 2 2 7 2 4 2" xfId="19735" xr:uid="{00000000-0005-0000-0000-000028100000}"/>
    <cellStyle name="Normal 4 3 2 2 7 2 4 2 2" xfId="44311" xr:uid="{00000000-0005-0000-0000-000029100000}"/>
    <cellStyle name="Normal 4 3 2 2 7 2 4 3" xfId="32023" xr:uid="{00000000-0005-0000-0000-00002A100000}"/>
    <cellStyle name="Normal 4 3 2 2 7 2 5" xfId="13591" xr:uid="{00000000-0005-0000-0000-00002B100000}"/>
    <cellStyle name="Normal 4 3 2 2 7 2 5 2" xfId="38167" xr:uid="{00000000-0005-0000-0000-00002C100000}"/>
    <cellStyle name="Normal 4 3 2 2 7 2 6" xfId="25879" xr:uid="{00000000-0005-0000-0000-00002D100000}"/>
    <cellStyle name="Normal 4 3 2 2 7 3" xfId="2067" xr:uid="{00000000-0005-0000-0000-00002E100000}"/>
    <cellStyle name="Normal 4 3 2 2 7 3 2" xfId="5143" xr:uid="{00000000-0005-0000-0000-00002F100000}"/>
    <cellStyle name="Normal 4 3 2 2 7 3 2 2" xfId="11287" xr:uid="{00000000-0005-0000-0000-000030100000}"/>
    <cellStyle name="Normal 4 3 2 2 7 3 2 2 2" xfId="23575" xr:uid="{00000000-0005-0000-0000-000031100000}"/>
    <cellStyle name="Normal 4 3 2 2 7 3 2 2 2 2" xfId="48151" xr:uid="{00000000-0005-0000-0000-000032100000}"/>
    <cellStyle name="Normal 4 3 2 2 7 3 2 2 3" xfId="35863" xr:uid="{00000000-0005-0000-0000-000033100000}"/>
    <cellStyle name="Normal 4 3 2 2 7 3 2 3" xfId="17431" xr:uid="{00000000-0005-0000-0000-000034100000}"/>
    <cellStyle name="Normal 4 3 2 2 7 3 2 3 2" xfId="42007" xr:uid="{00000000-0005-0000-0000-000035100000}"/>
    <cellStyle name="Normal 4 3 2 2 7 3 2 4" xfId="29719" xr:uid="{00000000-0005-0000-0000-000036100000}"/>
    <cellStyle name="Normal 4 3 2 2 7 3 3" xfId="8215" xr:uid="{00000000-0005-0000-0000-000037100000}"/>
    <cellStyle name="Normal 4 3 2 2 7 3 3 2" xfId="20503" xr:uid="{00000000-0005-0000-0000-000038100000}"/>
    <cellStyle name="Normal 4 3 2 2 7 3 3 2 2" xfId="45079" xr:uid="{00000000-0005-0000-0000-000039100000}"/>
    <cellStyle name="Normal 4 3 2 2 7 3 3 3" xfId="32791" xr:uid="{00000000-0005-0000-0000-00003A100000}"/>
    <cellStyle name="Normal 4 3 2 2 7 3 4" xfId="14359" xr:uid="{00000000-0005-0000-0000-00003B100000}"/>
    <cellStyle name="Normal 4 3 2 2 7 3 4 2" xfId="38935" xr:uid="{00000000-0005-0000-0000-00003C100000}"/>
    <cellStyle name="Normal 4 3 2 2 7 3 5" xfId="26647" xr:uid="{00000000-0005-0000-0000-00003D100000}"/>
    <cellStyle name="Normal 4 3 2 2 7 4" xfId="3607" xr:uid="{00000000-0005-0000-0000-00003E100000}"/>
    <cellStyle name="Normal 4 3 2 2 7 4 2" xfId="9751" xr:uid="{00000000-0005-0000-0000-00003F100000}"/>
    <cellStyle name="Normal 4 3 2 2 7 4 2 2" xfId="22039" xr:uid="{00000000-0005-0000-0000-000040100000}"/>
    <cellStyle name="Normal 4 3 2 2 7 4 2 2 2" xfId="46615" xr:uid="{00000000-0005-0000-0000-000041100000}"/>
    <cellStyle name="Normal 4 3 2 2 7 4 2 3" xfId="34327" xr:uid="{00000000-0005-0000-0000-000042100000}"/>
    <cellStyle name="Normal 4 3 2 2 7 4 3" xfId="15895" xr:uid="{00000000-0005-0000-0000-000043100000}"/>
    <cellStyle name="Normal 4 3 2 2 7 4 3 2" xfId="40471" xr:uid="{00000000-0005-0000-0000-000044100000}"/>
    <cellStyle name="Normal 4 3 2 2 7 4 4" xfId="28183" xr:uid="{00000000-0005-0000-0000-000045100000}"/>
    <cellStyle name="Normal 4 3 2 2 7 5" xfId="6679" xr:uid="{00000000-0005-0000-0000-000046100000}"/>
    <cellStyle name="Normal 4 3 2 2 7 5 2" xfId="18967" xr:uid="{00000000-0005-0000-0000-000047100000}"/>
    <cellStyle name="Normal 4 3 2 2 7 5 2 2" xfId="43543" xr:uid="{00000000-0005-0000-0000-000048100000}"/>
    <cellStyle name="Normal 4 3 2 2 7 5 3" xfId="31255" xr:uid="{00000000-0005-0000-0000-000049100000}"/>
    <cellStyle name="Normal 4 3 2 2 7 6" xfId="12823" xr:uid="{00000000-0005-0000-0000-00004A100000}"/>
    <cellStyle name="Normal 4 3 2 2 7 6 2" xfId="37399" xr:uid="{00000000-0005-0000-0000-00004B100000}"/>
    <cellStyle name="Normal 4 3 2 2 7 7" xfId="25111" xr:uid="{00000000-0005-0000-0000-00004C100000}"/>
    <cellStyle name="Normal 4 3 2 2 8" xfId="915" xr:uid="{00000000-0005-0000-0000-00004D100000}"/>
    <cellStyle name="Normal 4 3 2 2 8 2" xfId="2451" xr:uid="{00000000-0005-0000-0000-00004E100000}"/>
    <cellStyle name="Normal 4 3 2 2 8 2 2" xfId="5527" xr:uid="{00000000-0005-0000-0000-00004F100000}"/>
    <cellStyle name="Normal 4 3 2 2 8 2 2 2" xfId="11671" xr:uid="{00000000-0005-0000-0000-000050100000}"/>
    <cellStyle name="Normal 4 3 2 2 8 2 2 2 2" xfId="23959" xr:uid="{00000000-0005-0000-0000-000051100000}"/>
    <cellStyle name="Normal 4 3 2 2 8 2 2 2 2 2" xfId="48535" xr:uid="{00000000-0005-0000-0000-000052100000}"/>
    <cellStyle name="Normal 4 3 2 2 8 2 2 2 3" xfId="36247" xr:uid="{00000000-0005-0000-0000-000053100000}"/>
    <cellStyle name="Normal 4 3 2 2 8 2 2 3" xfId="17815" xr:uid="{00000000-0005-0000-0000-000054100000}"/>
    <cellStyle name="Normal 4 3 2 2 8 2 2 3 2" xfId="42391" xr:uid="{00000000-0005-0000-0000-000055100000}"/>
    <cellStyle name="Normal 4 3 2 2 8 2 2 4" xfId="30103" xr:uid="{00000000-0005-0000-0000-000056100000}"/>
    <cellStyle name="Normal 4 3 2 2 8 2 3" xfId="8599" xr:uid="{00000000-0005-0000-0000-000057100000}"/>
    <cellStyle name="Normal 4 3 2 2 8 2 3 2" xfId="20887" xr:uid="{00000000-0005-0000-0000-000058100000}"/>
    <cellStyle name="Normal 4 3 2 2 8 2 3 2 2" xfId="45463" xr:uid="{00000000-0005-0000-0000-000059100000}"/>
    <cellStyle name="Normal 4 3 2 2 8 2 3 3" xfId="33175" xr:uid="{00000000-0005-0000-0000-00005A100000}"/>
    <cellStyle name="Normal 4 3 2 2 8 2 4" xfId="14743" xr:uid="{00000000-0005-0000-0000-00005B100000}"/>
    <cellStyle name="Normal 4 3 2 2 8 2 4 2" xfId="39319" xr:uid="{00000000-0005-0000-0000-00005C100000}"/>
    <cellStyle name="Normal 4 3 2 2 8 2 5" xfId="27031" xr:uid="{00000000-0005-0000-0000-00005D100000}"/>
    <cellStyle name="Normal 4 3 2 2 8 3" xfId="3991" xr:uid="{00000000-0005-0000-0000-00005E100000}"/>
    <cellStyle name="Normal 4 3 2 2 8 3 2" xfId="10135" xr:uid="{00000000-0005-0000-0000-00005F100000}"/>
    <cellStyle name="Normal 4 3 2 2 8 3 2 2" xfId="22423" xr:uid="{00000000-0005-0000-0000-000060100000}"/>
    <cellStyle name="Normal 4 3 2 2 8 3 2 2 2" xfId="46999" xr:uid="{00000000-0005-0000-0000-000061100000}"/>
    <cellStyle name="Normal 4 3 2 2 8 3 2 3" xfId="34711" xr:uid="{00000000-0005-0000-0000-000062100000}"/>
    <cellStyle name="Normal 4 3 2 2 8 3 3" xfId="16279" xr:uid="{00000000-0005-0000-0000-000063100000}"/>
    <cellStyle name="Normal 4 3 2 2 8 3 3 2" xfId="40855" xr:uid="{00000000-0005-0000-0000-000064100000}"/>
    <cellStyle name="Normal 4 3 2 2 8 3 4" xfId="28567" xr:uid="{00000000-0005-0000-0000-000065100000}"/>
    <cellStyle name="Normal 4 3 2 2 8 4" xfId="7063" xr:uid="{00000000-0005-0000-0000-000066100000}"/>
    <cellStyle name="Normal 4 3 2 2 8 4 2" xfId="19351" xr:uid="{00000000-0005-0000-0000-000067100000}"/>
    <cellStyle name="Normal 4 3 2 2 8 4 2 2" xfId="43927" xr:uid="{00000000-0005-0000-0000-000068100000}"/>
    <cellStyle name="Normal 4 3 2 2 8 4 3" xfId="31639" xr:uid="{00000000-0005-0000-0000-000069100000}"/>
    <cellStyle name="Normal 4 3 2 2 8 5" xfId="13207" xr:uid="{00000000-0005-0000-0000-00006A100000}"/>
    <cellStyle name="Normal 4 3 2 2 8 5 2" xfId="37783" xr:uid="{00000000-0005-0000-0000-00006B100000}"/>
    <cellStyle name="Normal 4 3 2 2 8 6" xfId="25495" xr:uid="{00000000-0005-0000-0000-00006C100000}"/>
    <cellStyle name="Normal 4 3 2 2 9" xfId="1683" xr:uid="{00000000-0005-0000-0000-00006D100000}"/>
    <cellStyle name="Normal 4 3 2 2 9 2" xfId="4759" xr:uid="{00000000-0005-0000-0000-00006E100000}"/>
    <cellStyle name="Normal 4 3 2 2 9 2 2" xfId="10903" xr:uid="{00000000-0005-0000-0000-00006F100000}"/>
    <cellStyle name="Normal 4 3 2 2 9 2 2 2" xfId="23191" xr:uid="{00000000-0005-0000-0000-000070100000}"/>
    <cellStyle name="Normal 4 3 2 2 9 2 2 2 2" xfId="47767" xr:uid="{00000000-0005-0000-0000-000071100000}"/>
    <cellStyle name="Normal 4 3 2 2 9 2 2 3" xfId="35479" xr:uid="{00000000-0005-0000-0000-000072100000}"/>
    <cellStyle name="Normal 4 3 2 2 9 2 3" xfId="17047" xr:uid="{00000000-0005-0000-0000-000073100000}"/>
    <cellStyle name="Normal 4 3 2 2 9 2 3 2" xfId="41623" xr:uid="{00000000-0005-0000-0000-000074100000}"/>
    <cellStyle name="Normal 4 3 2 2 9 2 4" xfId="29335" xr:uid="{00000000-0005-0000-0000-000075100000}"/>
    <cellStyle name="Normal 4 3 2 2 9 3" xfId="7831" xr:uid="{00000000-0005-0000-0000-000076100000}"/>
    <cellStyle name="Normal 4 3 2 2 9 3 2" xfId="20119" xr:uid="{00000000-0005-0000-0000-000077100000}"/>
    <cellStyle name="Normal 4 3 2 2 9 3 2 2" xfId="44695" xr:uid="{00000000-0005-0000-0000-000078100000}"/>
    <cellStyle name="Normal 4 3 2 2 9 3 3" xfId="32407" xr:uid="{00000000-0005-0000-0000-000079100000}"/>
    <cellStyle name="Normal 4 3 2 2 9 4" xfId="13975" xr:uid="{00000000-0005-0000-0000-00007A100000}"/>
    <cellStyle name="Normal 4 3 2 2 9 4 2" xfId="38551" xr:uid="{00000000-0005-0000-0000-00007B100000}"/>
    <cellStyle name="Normal 4 3 2 2 9 5" xfId="26263" xr:uid="{00000000-0005-0000-0000-00007C100000}"/>
    <cellStyle name="Normal 4 3 2 3" xfId="114" xr:uid="{00000000-0005-0000-0000-00007D100000}"/>
    <cellStyle name="Normal 4 3 2 3 10" xfId="6303" xr:uid="{00000000-0005-0000-0000-00007E100000}"/>
    <cellStyle name="Normal 4 3 2 3 10 2" xfId="18591" xr:uid="{00000000-0005-0000-0000-00007F100000}"/>
    <cellStyle name="Normal 4 3 2 3 10 2 2" xfId="43167" xr:uid="{00000000-0005-0000-0000-000080100000}"/>
    <cellStyle name="Normal 4 3 2 3 10 3" xfId="30879" xr:uid="{00000000-0005-0000-0000-000081100000}"/>
    <cellStyle name="Normal 4 3 2 3 11" xfId="12447" xr:uid="{00000000-0005-0000-0000-000082100000}"/>
    <cellStyle name="Normal 4 3 2 3 11 2" xfId="37023" xr:uid="{00000000-0005-0000-0000-000083100000}"/>
    <cellStyle name="Normal 4 3 2 3 12" xfId="24735" xr:uid="{00000000-0005-0000-0000-000084100000}"/>
    <cellStyle name="Normal 4 3 2 3 2" xfId="186" xr:uid="{00000000-0005-0000-0000-000085100000}"/>
    <cellStyle name="Normal 4 3 2 3 2 10" xfId="12479" xr:uid="{00000000-0005-0000-0000-000086100000}"/>
    <cellStyle name="Normal 4 3 2 3 2 10 2" xfId="37055" xr:uid="{00000000-0005-0000-0000-000087100000}"/>
    <cellStyle name="Normal 4 3 2 3 2 11" xfId="24767" xr:uid="{00000000-0005-0000-0000-000088100000}"/>
    <cellStyle name="Normal 4 3 2 3 2 2" xfId="251" xr:uid="{00000000-0005-0000-0000-000089100000}"/>
    <cellStyle name="Normal 4 3 2 3 2 2 2" xfId="443" xr:uid="{00000000-0005-0000-0000-00008A100000}"/>
    <cellStyle name="Normal 4 3 2 3 2 2 2 2" xfId="827" xr:uid="{00000000-0005-0000-0000-00008B100000}"/>
    <cellStyle name="Normal 4 3 2 3 2 2 2 2 2" xfId="1595" xr:uid="{00000000-0005-0000-0000-00008C100000}"/>
    <cellStyle name="Normal 4 3 2 3 2 2 2 2 2 2" xfId="3131" xr:uid="{00000000-0005-0000-0000-00008D100000}"/>
    <cellStyle name="Normal 4 3 2 3 2 2 2 2 2 2 2" xfId="6207" xr:uid="{00000000-0005-0000-0000-00008E100000}"/>
    <cellStyle name="Normal 4 3 2 3 2 2 2 2 2 2 2 2" xfId="12351" xr:uid="{00000000-0005-0000-0000-00008F100000}"/>
    <cellStyle name="Normal 4 3 2 3 2 2 2 2 2 2 2 2 2" xfId="24639" xr:uid="{00000000-0005-0000-0000-000090100000}"/>
    <cellStyle name="Normal 4 3 2 3 2 2 2 2 2 2 2 2 2 2" xfId="49215" xr:uid="{00000000-0005-0000-0000-000091100000}"/>
    <cellStyle name="Normal 4 3 2 3 2 2 2 2 2 2 2 2 3" xfId="36927" xr:uid="{00000000-0005-0000-0000-000092100000}"/>
    <cellStyle name="Normal 4 3 2 3 2 2 2 2 2 2 2 3" xfId="18495" xr:uid="{00000000-0005-0000-0000-000093100000}"/>
    <cellStyle name="Normal 4 3 2 3 2 2 2 2 2 2 2 3 2" xfId="43071" xr:uid="{00000000-0005-0000-0000-000094100000}"/>
    <cellStyle name="Normal 4 3 2 3 2 2 2 2 2 2 2 4" xfId="30783" xr:uid="{00000000-0005-0000-0000-000095100000}"/>
    <cellStyle name="Normal 4 3 2 3 2 2 2 2 2 2 3" xfId="9279" xr:uid="{00000000-0005-0000-0000-000096100000}"/>
    <cellStyle name="Normal 4 3 2 3 2 2 2 2 2 2 3 2" xfId="21567" xr:uid="{00000000-0005-0000-0000-000097100000}"/>
    <cellStyle name="Normal 4 3 2 3 2 2 2 2 2 2 3 2 2" xfId="46143" xr:uid="{00000000-0005-0000-0000-000098100000}"/>
    <cellStyle name="Normal 4 3 2 3 2 2 2 2 2 2 3 3" xfId="33855" xr:uid="{00000000-0005-0000-0000-000099100000}"/>
    <cellStyle name="Normal 4 3 2 3 2 2 2 2 2 2 4" xfId="15423" xr:uid="{00000000-0005-0000-0000-00009A100000}"/>
    <cellStyle name="Normal 4 3 2 3 2 2 2 2 2 2 4 2" xfId="39999" xr:uid="{00000000-0005-0000-0000-00009B100000}"/>
    <cellStyle name="Normal 4 3 2 3 2 2 2 2 2 2 5" xfId="27711" xr:uid="{00000000-0005-0000-0000-00009C100000}"/>
    <cellStyle name="Normal 4 3 2 3 2 2 2 2 2 3" xfId="4671" xr:uid="{00000000-0005-0000-0000-00009D100000}"/>
    <cellStyle name="Normal 4 3 2 3 2 2 2 2 2 3 2" xfId="10815" xr:uid="{00000000-0005-0000-0000-00009E100000}"/>
    <cellStyle name="Normal 4 3 2 3 2 2 2 2 2 3 2 2" xfId="23103" xr:uid="{00000000-0005-0000-0000-00009F100000}"/>
    <cellStyle name="Normal 4 3 2 3 2 2 2 2 2 3 2 2 2" xfId="47679" xr:uid="{00000000-0005-0000-0000-0000A0100000}"/>
    <cellStyle name="Normal 4 3 2 3 2 2 2 2 2 3 2 3" xfId="35391" xr:uid="{00000000-0005-0000-0000-0000A1100000}"/>
    <cellStyle name="Normal 4 3 2 3 2 2 2 2 2 3 3" xfId="16959" xr:uid="{00000000-0005-0000-0000-0000A2100000}"/>
    <cellStyle name="Normal 4 3 2 3 2 2 2 2 2 3 3 2" xfId="41535" xr:uid="{00000000-0005-0000-0000-0000A3100000}"/>
    <cellStyle name="Normal 4 3 2 3 2 2 2 2 2 3 4" xfId="29247" xr:uid="{00000000-0005-0000-0000-0000A4100000}"/>
    <cellStyle name="Normal 4 3 2 3 2 2 2 2 2 4" xfId="7743" xr:uid="{00000000-0005-0000-0000-0000A5100000}"/>
    <cellStyle name="Normal 4 3 2 3 2 2 2 2 2 4 2" xfId="20031" xr:uid="{00000000-0005-0000-0000-0000A6100000}"/>
    <cellStyle name="Normal 4 3 2 3 2 2 2 2 2 4 2 2" xfId="44607" xr:uid="{00000000-0005-0000-0000-0000A7100000}"/>
    <cellStyle name="Normal 4 3 2 3 2 2 2 2 2 4 3" xfId="32319" xr:uid="{00000000-0005-0000-0000-0000A8100000}"/>
    <cellStyle name="Normal 4 3 2 3 2 2 2 2 2 5" xfId="13887" xr:uid="{00000000-0005-0000-0000-0000A9100000}"/>
    <cellStyle name="Normal 4 3 2 3 2 2 2 2 2 5 2" xfId="38463" xr:uid="{00000000-0005-0000-0000-0000AA100000}"/>
    <cellStyle name="Normal 4 3 2 3 2 2 2 2 2 6" xfId="26175" xr:uid="{00000000-0005-0000-0000-0000AB100000}"/>
    <cellStyle name="Normal 4 3 2 3 2 2 2 2 3" xfId="2363" xr:uid="{00000000-0005-0000-0000-0000AC100000}"/>
    <cellStyle name="Normal 4 3 2 3 2 2 2 2 3 2" xfId="5439" xr:uid="{00000000-0005-0000-0000-0000AD100000}"/>
    <cellStyle name="Normal 4 3 2 3 2 2 2 2 3 2 2" xfId="11583" xr:uid="{00000000-0005-0000-0000-0000AE100000}"/>
    <cellStyle name="Normal 4 3 2 3 2 2 2 2 3 2 2 2" xfId="23871" xr:uid="{00000000-0005-0000-0000-0000AF100000}"/>
    <cellStyle name="Normal 4 3 2 3 2 2 2 2 3 2 2 2 2" xfId="48447" xr:uid="{00000000-0005-0000-0000-0000B0100000}"/>
    <cellStyle name="Normal 4 3 2 3 2 2 2 2 3 2 2 3" xfId="36159" xr:uid="{00000000-0005-0000-0000-0000B1100000}"/>
    <cellStyle name="Normal 4 3 2 3 2 2 2 2 3 2 3" xfId="17727" xr:uid="{00000000-0005-0000-0000-0000B2100000}"/>
    <cellStyle name="Normal 4 3 2 3 2 2 2 2 3 2 3 2" xfId="42303" xr:uid="{00000000-0005-0000-0000-0000B3100000}"/>
    <cellStyle name="Normal 4 3 2 3 2 2 2 2 3 2 4" xfId="30015" xr:uid="{00000000-0005-0000-0000-0000B4100000}"/>
    <cellStyle name="Normal 4 3 2 3 2 2 2 2 3 3" xfId="8511" xr:uid="{00000000-0005-0000-0000-0000B5100000}"/>
    <cellStyle name="Normal 4 3 2 3 2 2 2 2 3 3 2" xfId="20799" xr:uid="{00000000-0005-0000-0000-0000B6100000}"/>
    <cellStyle name="Normal 4 3 2 3 2 2 2 2 3 3 2 2" xfId="45375" xr:uid="{00000000-0005-0000-0000-0000B7100000}"/>
    <cellStyle name="Normal 4 3 2 3 2 2 2 2 3 3 3" xfId="33087" xr:uid="{00000000-0005-0000-0000-0000B8100000}"/>
    <cellStyle name="Normal 4 3 2 3 2 2 2 2 3 4" xfId="14655" xr:uid="{00000000-0005-0000-0000-0000B9100000}"/>
    <cellStyle name="Normal 4 3 2 3 2 2 2 2 3 4 2" xfId="39231" xr:uid="{00000000-0005-0000-0000-0000BA100000}"/>
    <cellStyle name="Normal 4 3 2 3 2 2 2 2 3 5" xfId="26943" xr:uid="{00000000-0005-0000-0000-0000BB100000}"/>
    <cellStyle name="Normal 4 3 2 3 2 2 2 2 4" xfId="3903" xr:uid="{00000000-0005-0000-0000-0000BC100000}"/>
    <cellStyle name="Normal 4 3 2 3 2 2 2 2 4 2" xfId="10047" xr:uid="{00000000-0005-0000-0000-0000BD100000}"/>
    <cellStyle name="Normal 4 3 2 3 2 2 2 2 4 2 2" xfId="22335" xr:uid="{00000000-0005-0000-0000-0000BE100000}"/>
    <cellStyle name="Normal 4 3 2 3 2 2 2 2 4 2 2 2" xfId="46911" xr:uid="{00000000-0005-0000-0000-0000BF100000}"/>
    <cellStyle name="Normal 4 3 2 3 2 2 2 2 4 2 3" xfId="34623" xr:uid="{00000000-0005-0000-0000-0000C0100000}"/>
    <cellStyle name="Normal 4 3 2 3 2 2 2 2 4 3" xfId="16191" xr:uid="{00000000-0005-0000-0000-0000C1100000}"/>
    <cellStyle name="Normal 4 3 2 3 2 2 2 2 4 3 2" xfId="40767" xr:uid="{00000000-0005-0000-0000-0000C2100000}"/>
    <cellStyle name="Normal 4 3 2 3 2 2 2 2 4 4" xfId="28479" xr:uid="{00000000-0005-0000-0000-0000C3100000}"/>
    <cellStyle name="Normal 4 3 2 3 2 2 2 2 5" xfId="6975" xr:uid="{00000000-0005-0000-0000-0000C4100000}"/>
    <cellStyle name="Normal 4 3 2 3 2 2 2 2 5 2" xfId="19263" xr:uid="{00000000-0005-0000-0000-0000C5100000}"/>
    <cellStyle name="Normal 4 3 2 3 2 2 2 2 5 2 2" xfId="43839" xr:uid="{00000000-0005-0000-0000-0000C6100000}"/>
    <cellStyle name="Normal 4 3 2 3 2 2 2 2 5 3" xfId="31551" xr:uid="{00000000-0005-0000-0000-0000C7100000}"/>
    <cellStyle name="Normal 4 3 2 3 2 2 2 2 6" xfId="13119" xr:uid="{00000000-0005-0000-0000-0000C8100000}"/>
    <cellStyle name="Normal 4 3 2 3 2 2 2 2 6 2" xfId="37695" xr:uid="{00000000-0005-0000-0000-0000C9100000}"/>
    <cellStyle name="Normal 4 3 2 3 2 2 2 2 7" xfId="25407" xr:uid="{00000000-0005-0000-0000-0000CA100000}"/>
    <cellStyle name="Normal 4 3 2 3 2 2 2 3" xfId="1211" xr:uid="{00000000-0005-0000-0000-0000CB100000}"/>
    <cellStyle name="Normal 4 3 2 3 2 2 2 3 2" xfId="2747" xr:uid="{00000000-0005-0000-0000-0000CC100000}"/>
    <cellStyle name="Normal 4 3 2 3 2 2 2 3 2 2" xfId="5823" xr:uid="{00000000-0005-0000-0000-0000CD100000}"/>
    <cellStyle name="Normal 4 3 2 3 2 2 2 3 2 2 2" xfId="11967" xr:uid="{00000000-0005-0000-0000-0000CE100000}"/>
    <cellStyle name="Normal 4 3 2 3 2 2 2 3 2 2 2 2" xfId="24255" xr:uid="{00000000-0005-0000-0000-0000CF100000}"/>
    <cellStyle name="Normal 4 3 2 3 2 2 2 3 2 2 2 2 2" xfId="48831" xr:uid="{00000000-0005-0000-0000-0000D0100000}"/>
    <cellStyle name="Normal 4 3 2 3 2 2 2 3 2 2 2 3" xfId="36543" xr:uid="{00000000-0005-0000-0000-0000D1100000}"/>
    <cellStyle name="Normal 4 3 2 3 2 2 2 3 2 2 3" xfId="18111" xr:uid="{00000000-0005-0000-0000-0000D2100000}"/>
    <cellStyle name="Normal 4 3 2 3 2 2 2 3 2 2 3 2" xfId="42687" xr:uid="{00000000-0005-0000-0000-0000D3100000}"/>
    <cellStyle name="Normal 4 3 2 3 2 2 2 3 2 2 4" xfId="30399" xr:uid="{00000000-0005-0000-0000-0000D4100000}"/>
    <cellStyle name="Normal 4 3 2 3 2 2 2 3 2 3" xfId="8895" xr:uid="{00000000-0005-0000-0000-0000D5100000}"/>
    <cellStyle name="Normal 4 3 2 3 2 2 2 3 2 3 2" xfId="21183" xr:uid="{00000000-0005-0000-0000-0000D6100000}"/>
    <cellStyle name="Normal 4 3 2 3 2 2 2 3 2 3 2 2" xfId="45759" xr:uid="{00000000-0005-0000-0000-0000D7100000}"/>
    <cellStyle name="Normal 4 3 2 3 2 2 2 3 2 3 3" xfId="33471" xr:uid="{00000000-0005-0000-0000-0000D8100000}"/>
    <cellStyle name="Normal 4 3 2 3 2 2 2 3 2 4" xfId="15039" xr:uid="{00000000-0005-0000-0000-0000D9100000}"/>
    <cellStyle name="Normal 4 3 2 3 2 2 2 3 2 4 2" xfId="39615" xr:uid="{00000000-0005-0000-0000-0000DA100000}"/>
    <cellStyle name="Normal 4 3 2 3 2 2 2 3 2 5" xfId="27327" xr:uid="{00000000-0005-0000-0000-0000DB100000}"/>
    <cellStyle name="Normal 4 3 2 3 2 2 2 3 3" xfId="4287" xr:uid="{00000000-0005-0000-0000-0000DC100000}"/>
    <cellStyle name="Normal 4 3 2 3 2 2 2 3 3 2" xfId="10431" xr:uid="{00000000-0005-0000-0000-0000DD100000}"/>
    <cellStyle name="Normal 4 3 2 3 2 2 2 3 3 2 2" xfId="22719" xr:uid="{00000000-0005-0000-0000-0000DE100000}"/>
    <cellStyle name="Normal 4 3 2 3 2 2 2 3 3 2 2 2" xfId="47295" xr:uid="{00000000-0005-0000-0000-0000DF100000}"/>
    <cellStyle name="Normal 4 3 2 3 2 2 2 3 3 2 3" xfId="35007" xr:uid="{00000000-0005-0000-0000-0000E0100000}"/>
    <cellStyle name="Normal 4 3 2 3 2 2 2 3 3 3" xfId="16575" xr:uid="{00000000-0005-0000-0000-0000E1100000}"/>
    <cellStyle name="Normal 4 3 2 3 2 2 2 3 3 3 2" xfId="41151" xr:uid="{00000000-0005-0000-0000-0000E2100000}"/>
    <cellStyle name="Normal 4 3 2 3 2 2 2 3 3 4" xfId="28863" xr:uid="{00000000-0005-0000-0000-0000E3100000}"/>
    <cellStyle name="Normal 4 3 2 3 2 2 2 3 4" xfId="7359" xr:uid="{00000000-0005-0000-0000-0000E4100000}"/>
    <cellStyle name="Normal 4 3 2 3 2 2 2 3 4 2" xfId="19647" xr:uid="{00000000-0005-0000-0000-0000E5100000}"/>
    <cellStyle name="Normal 4 3 2 3 2 2 2 3 4 2 2" xfId="44223" xr:uid="{00000000-0005-0000-0000-0000E6100000}"/>
    <cellStyle name="Normal 4 3 2 3 2 2 2 3 4 3" xfId="31935" xr:uid="{00000000-0005-0000-0000-0000E7100000}"/>
    <cellStyle name="Normal 4 3 2 3 2 2 2 3 5" xfId="13503" xr:uid="{00000000-0005-0000-0000-0000E8100000}"/>
    <cellStyle name="Normal 4 3 2 3 2 2 2 3 5 2" xfId="38079" xr:uid="{00000000-0005-0000-0000-0000E9100000}"/>
    <cellStyle name="Normal 4 3 2 3 2 2 2 3 6" xfId="25791" xr:uid="{00000000-0005-0000-0000-0000EA100000}"/>
    <cellStyle name="Normal 4 3 2 3 2 2 2 4" xfId="1979" xr:uid="{00000000-0005-0000-0000-0000EB100000}"/>
    <cellStyle name="Normal 4 3 2 3 2 2 2 4 2" xfId="5055" xr:uid="{00000000-0005-0000-0000-0000EC100000}"/>
    <cellStyle name="Normal 4 3 2 3 2 2 2 4 2 2" xfId="11199" xr:uid="{00000000-0005-0000-0000-0000ED100000}"/>
    <cellStyle name="Normal 4 3 2 3 2 2 2 4 2 2 2" xfId="23487" xr:uid="{00000000-0005-0000-0000-0000EE100000}"/>
    <cellStyle name="Normal 4 3 2 3 2 2 2 4 2 2 2 2" xfId="48063" xr:uid="{00000000-0005-0000-0000-0000EF100000}"/>
    <cellStyle name="Normal 4 3 2 3 2 2 2 4 2 2 3" xfId="35775" xr:uid="{00000000-0005-0000-0000-0000F0100000}"/>
    <cellStyle name="Normal 4 3 2 3 2 2 2 4 2 3" xfId="17343" xr:uid="{00000000-0005-0000-0000-0000F1100000}"/>
    <cellStyle name="Normal 4 3 2 3 2 2 2 4 2 3 2" xfId="41919" xr:uid="{00000000-0005-0000-0000-0000F2100000}"/>
    <cellStyle name="Normal 4 3 2 3 2 2 2 4 2 4" xfId="29631" xr:uid="{00000000-0005-0000-0000-0000F3100000}"/>
    <cellStyle name="Normal 4 3 2 3 2 2 2 4 3" xfId="8127" xr:uid="{00000000-0005-0000-0000-0000F4100000}"/>
    <cellStyle name="Normal 4 3 2 3 2 2 2 4 3 2" xfId="20415" xr:uid="{00000000-0005-0000-0000-0000F5100000}"/>
    <cellStyle name="Normal 4 3 2 3 2 2 2 4 3 2 2" xfId="44991" xr:uid="{00000000-0005-0000-0000-0000F6100000}"/>
    <cellStyle name="Normal 4 3 2 3 2 2 2 4 3 3" xfId="32703" xr:uid="{00000000-0005-0000-0000-0000F7100000}"/>
    <cellStyle name="Normal 4 3 2 3 2 2 2 4 4" xfId="14271" xr:uid="{00000000-0005-0000-0000-0000F8100000}"/>
    <cellStyle name="Normal 4 3 2 3 2 2 2 4 4 2" xfId="38847" xr:uid="{00000000-0005-0000-0000-0000F9100000}"/>
    <cellStyle name="Normal 4 3 2 3 2 2 2 4 5" xfId="26559" xr:uid="{00000000-0005-0000-0000-0000FA100000}"/>
    <cellStyle name="Normal 4 3 2 3 2 2 2 5" xfId="3519" xr:uid="{00000000-0005-0000-0000-0000FB100000}"/>
    <cellStyle name="Normal 4 3 2 3 2 2 2 5 2" xfId="9663" xr:uid="{00000000-0005-0000-0000-0000FC100000}"/>
    <cellStyle name="Normal 4 3 2 3 2 2 2 5 2 2" xfId="21951" xr:uid="{00000000-0005-0000-0000-0000FD100000}"/>
    <cellStyle name="Normal 4 3 2 3 2 2 2 5 2 2 2" xfId="46527" xr:uid="{00000000-0005-0000-0000-0000FE100000}"/>
    <cellStyle name="Normal 4 3 2 3 2 2 2 5 2 3" xfId="34239" xr:uid="{00000000-0005-0000-0000-0000FF100000}"/>
    <cellStyle name="Normal 4 3 2 3 2 2 2 5 3" xfId="15807" xr:uid="{00000000-0005-0000-0000-000000110000}"/>
    <cellStyle name="Normal 4 3 2 3 2 2 2 5 3 2" xfId="40383" xr:uid="{00000000-0005-0000-0000-000001110000}"/>
    <cellStyle name="Normal 4 3 2 3 2 2 2 5 4" xfId="28095" xr:uid="{00000000-0005-0000-0000-000002110000}"/>
    <cellStyle name="Normal 4 3 2 3 2 2 2 6" xfId="6591" xr:uid="{00000000-0005-0000-0000-000003110000}"/>
    <cellStyle name="Normal 4 3 2 3 2 2 2 6 2" xfId="18879" xr:uid="{00000000-0005-0000-0000-000004110000}"/>
    <cellStyle name="Normal 4 3 2 3 2 2 2 6 2 2" xfId="43455" xr:uid="{00000000-0005-0000-0000-000005110000}"/>
    <cellStyle name="Normal 4 3 2 3 2 2 2 6 3" xfId="31167" xr:uid="{00000000-0005-0000-0000-000006110000}"/>
    <cellStyle name="Normal 4 3 2 3 2 2 2 7" xfId="12735" xr:uid="{00000000-0005-0000-0000-000007110000}"/>
    <cellStyle name="Normal 4 3 2 3 2 2 2 7 2" xfId="37311" xr:uid="{00000000-0005-0000-0000-000008110000}"/>
    <cellStyle name="Normal 4 3 2 3 2 2 2 8" xfId="25023" xr:uid="{00000000-0005-0000-0000-000009110000}"/>
    <cellStyle name="Normal 4 3 2 3 2 2 3" xfId="635" xr:uid="{00000000-0005-0000-0000-00000A110000}"/>
    <cellStyle name="Normal 4 3 2 3 2 2 3 2" xfId="1403" xr:uid="{00000000-0005-0000-0000-00000B110000}"/>
    <cellStyle name="Normal 4 3 2 3 2 2 3 2 2" xfId="2939" xr:uid="{00000000-0005-0000-0000-00000C110000}"/>
    <cellStyle name="Normal 4 3 2 3 2 2 3 2 2 2" xfId="6015" xr:uid="{00000000-0005-0000-0000-00000D110000}"/>
    <cellStyle name="Normal 4 3 2 3 2 2 3 2 2 2 2" xfId="12159" xr:uid="{00000000-0005-0000-0000-00000E110000}"/>
    <cellStyle name="Normal 4 3 2 3 2 2 3 2 2 2 2 2" xfId="24447" xr:uid="{00000000-0005-0000-0000-00000F110000}"/>
    <cellStyle name="Normal 4 3 2 3 2 2 3 2 2 2 2 2 2" xfId="49023" xr:uid="{00000000-0005-0000-0000-000010110000}"/>
    <cellStyle name="Normal 4 3 2 3 2 2 3 2 2 2 2 3" xfId="36735" xr:uid="{00000000-0005-0000-0000-000011110000}"/>
    <cellStyle name="Normal 4 3 2 3 2 2 3 2 2 2 3" xfId="18303" xr:uid="{00000000-0005-0000-0000-000012110000}"/>
    <cellStyle name="Normal 4 3 2 3 2 2 3 2 2 2 3 2" xfId="42879" xr:uid="{00000000-0005-0000-0000-000013110000}"/>
    <cellStyle name="Normal 4 3 2 3 2 2 3 2 2 2 4" xfId="30591" xr:uid="{00000000-0005-0000-0000-000014110000}"/>
    <cellStyle name="Normal 4 3 2 3 2 2 3 2 2 3" xfId="9087" xr:uid="{00000000-0005-0000-0000-000015110000}"/>
    <cellStyle name="Normal 4 3 2 3 2 2 3 2 2 3 2" xfId="21375" xr:uid="{00000000-0005-0000-0000-000016110000}"/>
    <cellStyle name="Normal 4 3 2 3 2 2 3 2 2 3 2 2" xfId="45951" xr:uid="{00000000-0005-0000-0000-000017110000}"/>
    <cellStyle name="Normal 4 3 2 3 2 2 3 2 2 3 3" xfId="33663" xr:uid="{00000000-0005-0000-0000-000018110000}"/>
    <cellStyle name="Normal 4 3 2 3 2 2 3 2 2 4" xfId="15231" xr:uid="{00000000-0005-0000-0000-000019110000}"/>
    <cellStyle name="Normal 4 3 2 3 2 2 3 2 2 4 2" xfId="39807" xr:uid="{00000000-0005-0000-0000-00001A110000}"/>
    <cellStyle name="Normal 4 3 2 3 2 2 3 2 2 5" xfId="27519" xr:uid="{00000000-0005-0000-0000-00001B110000}"/>
    <cellStyle name="Normal 4 3 2 3 2 2 3 2 3" xfId="4479" xr:uid="{00000000-0005-0000-0000-00001C110000}"/>
    <cellStyle name="Normal 4 3 2 3 2 2 3 2 3 2" xfId="10623" xr:uid="{00000000-0005-0000-0000-00001D110000}"/>
    <cellStyle name="Normal 4 3 2 3 2 2 3 2 3 2 2" xfId="22911" xr:uid="{00000000-0005-0000-0000-00001E110000}"/>
    <cellStyle name="Normal 4 3 2 3 2 2 3 2 3 2 2 2" xfId="47487" xr:uid="{00000000-0005-0000-0000-00001F110000}"/>
    <cellStyle name="Normal 4 3 2 3 2 2 3 2 3 2 3" xfId="35199" xr:uid="{00000000-0005-0000-0000-000020110000}"/>
    <cellStyle name="Normal 4 3 2 3 2 2 3 2 3 3" xfId="16767" xr:uid="{00000000-0005-0000-0000-000021110000}"/>
    <cellStyle name="Normal 4 3 2 3 2 2 3 2 3 3 2" xfId="41343" xr:uid="{00000000-0005-0000-0000-000022110000}"/>
    <cellStyle name="Normal 4 3 2 3 2 2 3 2 3 4" xfId="29055" xr:uid="{00000000-0005-0000-0000-000023110000}"/>
    <cellStyle name="Normal 4 3 2 3 2 2 3 2 4" xfId="7551" xr:uid="{00000000-0005-0000-0000-000024110000}"/>
    <cellStyle name="Normal 4 3 2 3 2 2 3 2 4 2" xfId="19839" xr:uid="{00000000-0005-0000-0000-000025110000}"/>
    <cellStyle name="Normal 4 3 2 3 2 2 3 2 4 2 2" xfId="44415" xr:uid="{00000000-0005-0000-0000-000026110000}"/>
    <cellStyle name="Normal 4 3 2 3 2 2 3 2 4 3" xfId="32127" xr:uid="{00000000-0005-0000-0000-000027110000}"/>
    <cellStyle name="Normal 4 3 2 3 2 2 3 2 5" xfId="13695" xr:uid="{00000000-0005-0000-0000-000028110000}"/>
    <cellStyle name="Normal 4 3 2 3 2 2 3 2 5 2" xfId="38271" xr:uid="{00000000-0005-0000-0000-000029110000}"/>
    <cellStyle name="Normal 4 3 2 3 2 2 3 2 6" xfId="25983" xr:uid="{00000000-0005-0000-0000-00002A110000}"/>
    <cellStyle name="Normal 4 3 2 3 2 2 3 3" xfId="2171" xr:uid="{00000000-0005-0000-0000-00002B110000}"/>
    <cellStyle name="Normal 4 3 2 3 2 2 3 3 2" xfId="5247" xr:uid="{00000000-0005-0000-0000-00002C110000}"/>
    <cellStyle name="Normal 4 3 2 3 2 2 3 3 2 2" xfId="11391" xr:uid="{00000000-0005-0000-0000-00002D110000}"/>
    <cellStyle name="Normal 4 3 2 3 2 2 3 3 2 2 2" xfId="23679" xr:uid="{00000000-0005-0000-0000-00002E110000}"/>
    <cellStyle name="Normal 4 3 2 3 2 2 3 3 2 2 2 2" xfId="48255" xr:uid="{00000000-0005-0000-0000-00002F110000}"/>
    <cellStyle name="Normal 4 3 2 3 2 2 3 3 2 2 3" xfId="35967" xr:uid="{00000000-0005-0000-0000-000030110000}"/>
    <cellStyle name="Normal 4 3 2 3 2 2 3 3 2 3" xfId="17535" xr:uid="{00000000-0005-0000-0000-000031110000}"/>
    <cellStyle name="Normal 4 3 2 3 2 2 3 3 2 3 2" xfId="42111" xr:uid="{00000000-0005-0000-0000-000032110000}"/>
    <cellStyle name="Normal 4 3 2 3 2 2 3 3 2 4" xfId="29823" xr:uid="{00000000-0005-0000-0000-000033110000}"/>
    <cellStyle name="Normal 4 3 2 3 2 2 3 3 3" xfId="8319" xr:uid="{00000000-0005-0000-0000-000034110000}"/>
    <cellStyle name="Normal 4 3 2 3 2 2 3 3 3 2" xfId="20607" xr:uid="{00000000-0005-0000-0000-000035110000}"/>
    <cellStyle name="Normal 4 3 2 3 2 2 3 3 3 2 2" xfId="45183" xr:uid="{00000000-0005-0000-0000-000036110000}"/>
    <cellStyle name="Normal 4 3 2 3 2 2 3 3 3 3" xfId="32895" xr:uid="{00000000-0005-0000-0000-000037110000}"/>
    <cellStyle name="Normal 4 3 2 3 2 2 3 3 4" xfId="14463" xr:uid="{00000000-0005-0000-0000-000038110000}"/>
    <cellStyle name="Normal 4 3 2 3 2 2 3 3 4 2" xfId="39039" xr:uid="{00000000-0005-0000-0000-000039110000}"/>
    <cellStyle name="Normal 4 3 2 3 2 2 3 3 5" xfId="26751" xr:uid="{00000000-0005-0000-0000-00003A110000}"/>
    <cellStyle name="Normal 4 3 2 3 2 2 3 4" xfId="3711" xr:uid="{00000000-0005-0000-0000-00003B110000}"/>
    <cellStyle name="Normal 4 3 2 3 2 2 3 4 2" xfId="9855" xr:uid="{00000000-0005-0000-0000-00003C110000}"/>
    <cellStyle name="Normal 4 3 2 3 2 2 3 4 2 2" xfId="22143" xr:uid="{00000000-0005-0000-0000-00003D110000}"/>
    <cellStyle name="Normal 4 3 2 3 2 2 3 4 2 2 2" xfId="46719" xr:uid="{00000000-0005-0000-0000-00003E110000}"/>
    <cellStyle name="Normal 4 3 2 3 2 2 3 4 2 3" xfId="34431" xr:uid="{00000000-0005-0000-0000-00003F110000}"/>
    <cellStyle name="Normal 4 3 2 3 2 2 3 4 3" xfId="15999" xr:uid="{00000000-0005-0000-0000-000040110000}"/>
    <cellStyle name="Normal 4 3 2 3 2 2 3 4 3 2" xfId="40575" xr:uid="{00000000-0005-0000-0000-000041110000}"/>
    <cellStyle name="Normal 4 3 2 3 2 2 3 4 4" xfId="28287" xr:uid="{00000000-0005-0000-0000-000042110000}"/>
    <cellStyle name="Normal 4 3 2 3 2 2 3 5" xfId="6783" xr:uid="{00000000-0005-0000-0000-000043110000}"/>
    <cellStyle name="Normal 4 3 2 3 2 2 3 5 2" xfId="19071" xr:uid="{00000000-0005-0000-0000-000044110000}"/>
    <cellStyle name="Normal 4 3 2 3 2 2 3 5 2 2" xfId="43647" xr:uid="{00000000-0005-0000-0000-000045110000}"/>
    <cellStyle name="Normal 4 3 2 3 2 2 3 5 3" xfId="31359" xr:uid="{00000000-0005-0000-0000-000046110000}"/>
    <cellStyle name="Normal 4 3 2 3 2 2 3 6" xfId="12927" xr:uid="{00000000-0005-0000-0000-000047110000}"/>
    <cellStyle name="Normal 4 3 2 3 2 2 3 6 2" xfId="37503" xr:uid="{00000000-0005-0000-0000-000048110000}"/>
    <cellStyle name="Normal 4 3 2 3 2 2 3 7" xfId="25215" xr:uid="{00000000-0005-0000-0000-000049110000}"/>
    <cellStyle name="Normal 4 3 2 3 2 2 4" xfId="1019" xr:uid="{00000000-0005-0000-0000-00004A110000}"/>
    <cellStyle name="Normal 4 3 2 3 2 2 4 2" xfId="2555" xr:uid="{00000000-0005-0000-0000-00004B110000}"/>
    <cellStyle name="Normal 4 3 2 3 2 2 4 2 2" xfId="5631" xr:uid="{00000000-0005-0000-0000-00004C110000}"/>
    <cellStyle name="Normal 4 3 2 3 2 2 4 2 2 2" xfId="11775" xr:uid="{00000000-0005-0000-0000-00004D110000}"/>
    <cellStyle name="Normal 4 3 2 3 2 2 4 2 2 2 2" xfId="24063" xr:uid="{00000000-0005-0000-0000-00004E110000}"/>
    <cellStyle name="Normal 4 3 2 3 2 2 4 2 2 2 2 2" xfId="48639" xr:uid="{00000000-0005-0000-0000-00004F110000}"/>
    <cellStyle name="Normal 4 3 2 3 2 2 4 2 2 2 3" xfId="36351" xr:uid="{00000000-0005-0000-0000-000050110000}"/>
    <cellStyle name="Normal 4 3 2 3 2 2 4 2 2 3" xfId="17919" xr:uid="{00000000-0005-0000-0000-000051110000}"/>
    <cellStyle name="Normal 4 3 2 3 2 2 4 2 2 3 2" xfId="42495" xr:uid="{00000000-0005-0000-0000-000052110000}"/>
    <cellStyle name="Normal 4 3 2 3 2 2 4 2 2 4" xfId="30207" xr:uid="{00000000-0005-0000-0000-000053110000}"/>
    <cellStyle name="Normal 4 3 2 3 2 2 4 2 3" xfId="8703" xr:uid="{00000000-0005-0000-0000-000054110000}"/>
    <cellStyle name="Normal 4 3 2 3 2 2 4 2 3 2" xfId="20991" xr:uid="{00000000-0005-0000-0000-000055110000}"/>
    <cellStyle name="Normal 4 3 2 3 2 2 4 2 3 2 2" xfId="45567" xr:uid="{00000000-0005-0000-0000-000056110000}"/>
    <cellStyle name="Normal 4 3 2 3 2 2 4 2 3 3" xfId="33279" xr:uid="{00000000-0005-0000-0000-000057110000}"/>
    <cellStyle name="Normal 4 3 2 3 2 2 4 2 4" xfId="14847" xr:uid="{00000000-0005-0000-0000-000058110000}"/>
    <cellStyle name="Normal 4 3 2 3 2 2 4 2 4 2" xfId="39423" xr:uid="{00000000-0005-0000-0000-000059110000}"/>
    <cellStyle name="Normal 4 3 2 3 2 2 4 2 5" xfId="27135" xr:uid="{00000000-0005-0000-0000-00005A110000}"/>
    <cellStyle name="Normal 4 3 2 3 2 2 4 3" xfId="4095" xr:uid="{00000000-0005-0000-0000-00005B110000}"/>
    <cellStyle name="Normal 4 3 2 3 2 2 4 3 2" xfId="10239" xr:uid="{00000000-0005-0000-0000-00005C110000}"/>
    <cellStyle name="Normal 4 3 2 3 2 2 4 3 2 2" xfId="22527" xr:uid="{00000000-0005-0000-0000-00005D110000}"/>
    <cellStyle name="Normal 4 3 2 3 2 2 4 3 2 2 2" xfId="47103" xr:uid="{00000000-0005-0000-0000-00005E110000}"/>
    <cellStyle name="Normal 4 3 2 3 2 2 4 3 2 3" xfId="34815" xr:uid="{00000000-0005-0000-0000-00005F110000}"/>
    <cellStyle name="Normal 4 3 2 3 2 2 4 3 3" xfId="16383" xr:uid="{00000000-0005-0000-0000-000060110000}"/>
    <cellStyle name="Normal 4 3 2 3 2 2 4 3 3 2" xfId="40959" xr:uid="{00000000-0005-0000-0000-000061110000}"/>
    <cellStyle name="Normal 4 3 2 3 2 2 4 3 4" xfId="28671" xr:uid="{00000000-0005-0000-0000-000062110000}"/>
    <cellStyle name="Normal 4 3 2 3 2 2 4 4" xfId="7167" xr:uid="{00000000-0005-0000-0000-000063110000}"/>
    <cellStyle name="Normal 4 3 2 3 2 2 4 4 2" xfId="19455" xr:uid="{00000000-0005-0000-0000-000064110000}"/>
    <cellStyle name="Normal 4 3 2 3 2 2 4 4 2 2" xfId="44031" xr:uid="{00000000-0005-0000-0000-000065110000}"/>
    <cellStyle name="Normal 4 3 2 3 2 2 4 4 3" xfId="31743" xr:uid="{00000000-0005-0000-0000-000066110000}"/>
    <cellStyle name="Normal 4 3 2 3 2 2 4 5" xfId="13311" xr:uid="{00000000-0005-0000-0000-000067110000}"/>
    <cellStyle name="Normal 4 3 2 3 2 2 4 5 2" xfId="37887" xr:uid="{00000000-0005-0000-0000-000068110000}"/>
    <cellStyle name="Normal 4 3 2 3 2 2 4 6" xfId="25599" xr:uid="{00000000-0005-0000-0000-000069110000}"/>
    <cellStyle name="Normal 4 3 2 3 2 2 5" xfId="1787" xr:uid="{00000000-0005-0000-0000-00006A110000}"/>
    <cellStyle name="Normal 4 3 2 3 2 2 5 2" xfId="4863" xr:uid="{00000000-0005-0000-0000-00006B110000}"/>
    <cellStyle name="Normal 4 3 2 3 2 2 5 2 2" xfId="11007" xr:uid="{00000000-0005-0000-0000-00006C110000}"/>
    <cellStyle name="Normal 4 3 2 3 2 2 5 2 2 2" xfId="23295" xr:uid="{00000000-0005-0000-0000-00006D110000}"/>
    <cellStyle name="Normal 4 3 2 3 2 2 5 2 2 2 2" xfId="47871" xr:uid="{00000000-0005-0000-0000-00006E110000}"/>
    <cellStyle name="Normal 4 3 2 3 2 2 5 2 2 3" xfId="35583" xr:uid="{00000000-0005-0000-0000-00006F110000}"/>
    <cellStyle name="Normal 4 3 2 3 2 2 5 2 3" xfId="17151" xr:uid="{00000000-0005-0000-0000-000070110000}"/>
    <cellStyle name="Normal 4 3 2 3 2 2 5 2 3 2" xfId="41727" xr:uid="{00000000-0005-0000-0000-000071110000}"/>
    <cellStyle name="Normal 4 3 2 3 2 2 5 2 4" xfId="29439" xr:uid="{00000000-0005-0000-0000-000072110000}"/>
    <cellStyle name="Normal 4 3 2 3 2 2 5 3" xfId="7935" xr:uid="{00000000-0005-0000-0000-000073110000}"/>
    <cellStyle name="Normal 4 3 2 3 2 2 5 3 2" xfId="20223" xr:uid="{00000000-0005-0000-0000-000074110000}"/>
    <cellStyle name="Normal 4 3 2 3 2 2 5 3 2 2" xfId="44799" xr:uid="{00000000-0005-0000-0000-000075110000}"/>
    <cellStyle name="Normal 4 3 2 3 2 2 5 3 3" xfId="32511" xr:uid="{00000000-0005-0000-0000-000076110000}"/>
    <cellStyle name="Normal 4 3 2 3 2 2 5 4" xfId="14079" xr:uid="{00000000-0005-0000-0000-000077110000}"/>
    <cellStyle name="Normal 4 3 2 3 2 2 5 4 2" xfId="38655" xr:uid="{00000000-0005-0000-0000-000078110000}"/>
    <cellStyle name="Normal 4 3 2 3 2 2 5 5" xfId="26367" xr:uid="{00000000-0005-0000-0000-000079110000}"/>
    <cellStyle name="Normal 4 3 2 3 2 2 6" xfId="3327" xr:uid="{00000000-0005-0000-0000-00007A110000}"/>
    <cellStyle name="Normal 4 3 2 3 2 2 6 2" xfId="9471" xr:uid="{00000000-0005-0000-0000-00007B110000}"/>
    <cellStyle name="Normal 4 3 2 3 2 2 6 2 2" xfId="21759" xr:uid="{00000000-0005-0000-0000-00007C110000}"/>
    <cellStyle name="Normal 4 3 2 3 2 2 6 2 2 2" xfId="46335" xr:uid="{00000000-0005-0000-0000-00007D110000}"/>
    <cellStyle name="Normal 4 3 2 3 2 2 6 2 3" xfId="34047" xr:uid="{00000000-0005-0000-0000-00007E110000}"/>
    <cellStyle name="Normal 4 3 2 3 2 2 6 3" xfId="15615" xr:uid="{00000000-0005-0000-0000-00007F110000}"/>
    <cellStyle name="Normal 4 3 2 3 2 2 6 3 2" xfId="40191" xr:uid="{00000000-0005-0000-0000-000080110000}"/>
    <cellStyle name="Normal 4 3 2 3 2 2 6 4" xfId="27903" xr:uid="{00000000-0005-0000-0000-000081110000}"/>
    <cellStyle name="Normal 4 3 2 3 2 2 7" xfId="6399" xr:uid="{00000000-0005-0000-0000-000082110000}"/>
    <cellStyle name="Normal 4 3 2 3 2 2 7 2" xfId="18687" xr:uid="{00000000-0005-0000-0000-000083110000}"/>
    <cellStyle name="Normal 4 3 2 3 2 2 7 2 2" xfId="43263" xr:uid="{00000000-0005-0000-0000-000084110000}"/>
    <cellStyle name="Normal 4 3 2 3 2 2 7 3" xfId="30975" xr:uid="{00000000-0005-0000-0000-000085110000}"/>
    <cellStyle name="Normal 4 3 2 3 2 2 8" xfId="12543" xr:uid="{00000000-0005-0000-0000-000086110000}"/>
    <cellStyle name="Normal 4 3 2 3 2 2 8 2" xfId="37119" xr:uid="{00000000-0005-0000-0000-000087110000}"/>
    <cellStyle name="Normal 4 3 2 3 2 2 9" xfId="24831" xr:uid="{00000000-0005-0000-0000-000088110000}"/>
    <cellStyle name="Normal 4 3 2 3 2 3" xfId="315" xr:uid="{00000000-0005-0000-0000-000089110000}"/>
    <cellStyle name="Normal 4 3 2 3 2 3 2" xfId="507" xr:uid="{00000000-0005-0000-0000-00008A110000}"/>
    <cellStyle name="Normal 4 3 2 3 2 3 2 2" xfId="891" xr:uid="{00000000-0005-0000-0000-00008B110000}"/>
    <cellStyle name="Normal 4 3 2 3 2 3 2 2 2" xfId="1659" xr:uid="{00000000-0005-0000-0000-00008C110000}"/>
    <cellStyle name="Normal 4 3 2 3 2 3 2 2 2 2" xfId="3195" xr:uid="{00000000-0005-0000-0000-00008D110000}"/>
    <cellStyle name="Normal 4 3 2 3 2 3 2 2 2 2 2" xfId="6271" xr:uid="{00000000-0005-0000-0000-00008E110000}"/>
    <cellStyle name="Normal 4 3 2 3 2 3 2 2 2 2 2 2" xfId="12415" xr:uid="{00000000-0005-0000-0000-00008F110000}"/>
    <cellStyle name="Normal 4 3 2 3 2 3 2 2 2 2 2 2 2" xfId="24703" xr:uid="{00000000-0005-0000-0000-000090110000}"/>
    <cellStyle name="Normal 4 3 2 3 2 3 2 2 2 2 2 2 2 2" xfId="49279" xr:uid="{00000000-0005-0000-0000-000091110000}"/>
    <cellStyle name="Normal 4 3 2 3 2 3 2 2 2 2 2 2 3" xfId="36991" xr:uid="{00000000-0005-0000-0000-000092110000}"/>
    <cellStyle name="Normal 4 3 2 3 2 3 2 2 2 2 2 3" xfId="18559" xr:uid="{00000000-0005-0000-0000-000093110000}"/>
    <cellStyle name="Normal 4 3 2 3 2 3 2 2 2 2 2 3 2" xfId="43135" xr:uid="{00000000-0005-0000-0000-000094110000}"/>
    <cellStyle name="Normal 4 3 2 3 2 3 2 2 2 2 2 4" xfId="30847" xr:uid="{00000000-0005-0000-0000-000095110000}"/>
    <cellStyle name="Normal 4 3 2 3 2 3 2 2 2 2 3" xfId="9343" xr:uid="{00000000-0005-0000-0000-000096110000}"/>
    <cellStyle name="Normal 4 3 2 3 2 3 2 2 2 2 3 2" xfId="21631" xr:uid="{00000000-0005-0000-0000-000097110000}"/>
    <cellStyle name="Normal 4 3 2 3 2 3 2 2 2 2 3 2 2" xfId="46207" xr:uid="{00000000-0005-0000-0000-000098110000}"/>
    <cellStyle name="Normal 4 3 2 3 2 3 2 2 2 2 3 3" xfId="33919" xr:uid="{00000000-0005-0000-0000-000099110000}"/>
    <cellStyle name="Normal 4 3 2 3 2 3 2 2 2 2 4" xfId="15487" xr:uid="{00000000-0005-0000-0000-00009A110000}"/>
    <cellStyle name="Normal 4 3 2 3 2 3 2 2 2 2 4 2" xfId="40063" xr:uid="{00000000-0005-0000-0000-00009B110000}"/>
    <cellStyle name="Normal 4 3 2 3 2 3 2 2 2 2 5" xfId="27775" xr:uid="{00000000-0005-0000-0000-00009C110000}"/>
    <cellStyle name="Normal 4 3 2 3 2 3 2 2 2 3" xfId="4735" xr:uid="{00000000-0005-0000-0000-00009D110000}"/>
    <cellStyle name="Normal 4 3 2 3 2 3 2 2 2 3 2" xfId="10879" xr:uid="{00000000-0005-0000-0000-00009E110000}"/>
    <cellStyle name="Normal 4 3 2 3 2 3 2 2 2 3 2 2" xfId="23167" xr:uid="{00000000-0005-0000-0000-00009F110000}"/>
    <cellStyle name="Normal 4 3 2 3 2 3 2 2 2 3 2 2 2" xfId="47743" xr:uid="{00000000-0005-0000-0000-0000A0110000}"/>
    <cellStyle name="Normal 4 3 2 3 2 3 2 2 2 3 2 3" xfId="35455" xr:uid="{00000000-0005-0000-0000-0000A1110000}"/>
    <cellStyle name="Normal 4 3 2 3 2 3 2 2 2 3 3" xfId="17023" xr:uid="{00000000-0005-0000-0000-0000A2110000}"/>
    <cellStyle name="Normal 4 3 2 3 2 3 2 2 2 3 3 2" xfId="41599" xr:uid="{00000000-0005-0000-0000-0000A3110000}"/>
    <cellStyle name="Normal 4 3 2 3 2 3 2 2 2 3 4" xfId="29311" xr:uid="{00000000-0005-0000-0000-0000A4110000}"/>
    <cellStyle name="Normal 4 3 2 3 2 3 2 2 2 4" xfId="7807" xr:uid="{00000000-0005-0000-0000-0000A5110000}"/>
    <cellStyle name="Normal 4 3 2 3 2 3 2 2 2 4 2" xfId="20095" xr:uid="{00000000-0005-0000-0000-0000A6110000}"/>
    <cellStyle name="Normal 4 3 2 3 2 3 2 2 2 4 2 2" xfId="44671" xr:uid="{00000000-0005-0000-0000-0000A7110000}"/>
    <cellStyle name="Normal 4 3 2 3 2 3 2 2 2 4 3" xfId="32383" xr:uid="{00000000-0005-0000-0000-0000A8110000}"/>
    <cellStyle name="Normal 4 3 2 3 2 3 2 2 2 5" xfId="13951" xr:uid="{00000000-0005-0000-0000-0000A9110000}"/>
    <cellStyle name="Normal 4 3 2 3 2 3 2 2 2 5 2" xfId="38527" xr:uid="{00000000-0005-0000-0000-0000AA110000}"/>
    <cellStyle name="Normal 4 3 2 3 2 3 2 2 2 6" xfId="26239" xr:uid="{00000000-0005-0000-0000-0000AB110000}"/>
    <cellStyle name="Normal 4 3 2 3 2 3 2 2 3" xfId="2427" xr:uid="{00000000-0005-0000-0000-0000AC110000}"/>
    <cellStyle name="Normal 4 3 2 3 2 3 2 2 3 2" xfId="5503" xr:uid="{00000000-0005-0000-0000-0000AD110000}"/>
    <cellStyle name="Normal 4 3 2 3 2 3 2 2 3 2 2" xfId="11647" xr:uid="{00000000-0005-0000-0000-0000AE110000}"/>
    <cellStyle name="Normal 4 3 2 3 2 3 2 2 3 2 2 2" xfId="23935" xr:uid="{00000000-0005-0000-0000-0000AF110000}"/>
    <cellStyle name="Normal 4 3 2 3 2 3 2 2 3 2 2 2 2" xfId="48511" xr:uid="{00000000-0005-0000-0000-0000B0110000}"/>
    <cellStyle name="Normal 4 3 2 3 2 3 2 2 3 2 2 3" xfId="36223" xr:uid="{00000000-0005-0000-0000-0000B1110000}"/>
    <cellStyle name="Normal 4 3 2 3 2 3 2 2 3 2 3" xfId="17791" xr:uid="{00000000-0005-0000-0000-0000B2110000}"/>
    <cellStyle name="Normal 4 3 2 3 2 3 2 2 3 2 3 2" xfId="42367" xr:uid="{00000000-0005-0000-0000-0000B3110000}"/>
    <cellStyle name="Normal 4 3 2 3 2 3 2 2 3 2 4" xfId="30079" xr:uid="{00000000-0005-0000-0000-0000B4110000}"/>
    <cellStyle name="Normal 4 3 2 3 2 3 2 2 3 3" xfId="8575" xr:uid="{00000000-0005-0000-0000-0000B5110000}"/>
    <cellStyle name="Normal 4 3 2 3 2 3 2 2 3 3 2" xfId="20863" xr:uid="{00000000-0005-0000-0000-0000B6110000}"/>
    <cellStyle name="Normal 4 3 2 3 2 3 2 2 3 3 2 2" xfId="45439" xr:uid="{00000000-0005-0000-0000-0000B7110000}"/>
    <cellStyle name="Normal 4 3 2 3 2 3 2 2 3 3 3" xfId="33151" xr:uid="{00000000-0005-0000-0000-0000B8110000}"/>
    <cellStyle name="Normal 4 3 2 3 2 3 2 2 3 4" xfId="14719" xr:uid="{00000000-0005-0000-0000-0000B9110000}"/>
    <cellStyle name="Normal 4 3 2 3 2 3 2 2 3 4 2" xfId="39295" xr:uid="{00000000-0005-0000-0000-0000BA110000}"/>
    <cellStyle name="Normal 4 3 2 3 2 3 2 2 3 5" xfId="27007" xr:uid="{00000000-0005-0000-0000-0000BB110000}"/>
    <cellStyle name="Normal 4 3 2 3 2 3 2 2 4" xfId="3967" xr:uid="{00000000-0005-0000-0000-0000BC110000}"/>
    <cellStyle name="Normal 4 3 2 3 2 3 2 2 4 2" xfId="10111" xr:uid="{00000000-0005-0000-0000-0000BD110000}"/>
    <cellStyle name="Normal 4 3 2 3 2 3 2 2 4 2 2" xfId="22399" xr:uid="{00000000-0005-0000-0000-0000BE110000}"/>
    <cellStyle name="Normal 4 3 2 3 2 3 2 2 4 2 2 2" xfId="46975" xr:uid="{00000000-0005-0000-0000-0000BF110000}"/>
    <cellStyle name="Normal 4 3 2 3 2 3 2 2 4 2 3" xfId="34687" xr:uid="{00000000-0005-0000-0000-0000C0110000}"/>
    <cellStyle name="Normal 4 3 2 3 2 3 2 2 4 3" xfId="16255" xr:uid="{00000000-0005-0000-0000-0000C1110000}"/>
    <cellStyle name="Normal 4 3 2 3 2 3 2 2 4 3 2" xfId="40831" xr:uid="{00000000-0005-0000-0000-0000C2110000}"/>
    <cellStyle name="Normal 4 3 2 3 2 3 2 2 4 4" xfId="28543" xr:uid="{00000000-0005-0000-0000-0000C3110000}"/>
    <cellStyle name="Normal 4 3 2 3 2 3 2 2 5" xfId="7039" xr:uid="{00000000-0005-0000-0000-0000C4110000}"/>
    <cellStyle name="Normal 4 3 2 3 2 3 2 2 5 2" xfId="19327" xr:uid="{00000000-0005-0000-0000-0000C5110000}"/>
    <cellStyle name="Normal 4 3 2 3 2 3 2 2 5 2 2" xfId="43903" xr:uid="{00000000-0005-0000-0000-0000C6110000}"/>
    <cellStyle name="Normal 4 3 2 3 2 3 2 2 5 3" xfId="31615" xr:uid="{00000000-0005-0000-0000-0000C7110000}"/>
    <cellStyle name="Normal 4 3 2 3 2 3 2 2 6" xfId="13183" xr:uid="{00000000-0005-0000-0000-0000C8110000}"/>
    <cellStyle name="Normal 4 3 2 3 2 3 2 2 6 2" xfId="37759" xr:uid="{00000000-0005-0000-0000-0000C9110000}"/>
    <cellStyle name="Normal 4 3 2 3 2 3 2 2 7" xfId="25471" xr:uid="{00000000-0005-0000-0000-0000CA110000}"/>
    <cellStyle name="Normal 4 3 2 3 2 3 2 3" xfId="1275" xr:uid="{00000000-0005-0000-0000-0000CB110000}"/>
    <cellStyle name="Normal 4 3 2 3 2 3 2 3 2" xfId="2811" xr:uid="{00000000-0005-0000-0000-0000CC110000}"/>
    <cellStyle name="Normal 4 3 2 3 2 3 2 3 2 2" xfId="5887" xr:uid="{00000000-0005-0000-0000-0000CD110000}"/>
    <cellStyle name="Normal 4 3 2 3 2 3 2 3 2 2 2" xfId="12031" xr:uid="{00000000-0005-0000-0000-0000CE110000}"/>
    <cellStyle name="Normal 4 3 2 3 2 3 2 3 2 2 2 2" xfId="24319" xr:uid="{00000000-0005-0000-0000-0000CF110000}"/>
    <cellStyle name="Normal 4 3 2 3 2 3 2 3 2 2 2 2 2" xfId="48895" xr:uid="{00000000-0005-0000-0000-0000D0110000}"/>
    <cellStyle name="Normal 4 3 2 3 2 3 2 3 2 2 2 3" xfId="36607" xr:uid="{00000000-0005-0000-0000-0000D1110000}"/>
    <cellStyle name="Normal 4 3 2 3 2 3 2 3 2 2 3" xfId="18175" xr:uid="{00000000-0005-0000-0000-0000D2110000}"/>
    <cellStyle name="Normal 4 3 2 3 2 3 2 3 2 2 3 2" xfId="42751" xr:uid="{00000000-0005-0000-0000-0000D3110000}"/>
    <cellStyle name="Normal 4 3 2 3 2 3 2 3 2 2 4" xfId="30463" xr:uid="{00000000-0005-0000-0000-0000D4110000}"/>
    <cellStyle name="Normal 4 3 2 3 2 3 2 3 2 3" xfId="8959" xr:uid="{00000000-0005-0000-0000-0000D5110000}"/>
    <cellStyle name="Normal 4 3 2 3 2 3 2 3 2 3 2" xfId="21247" xr:uid="{00000000-0005-0000-0000-0000D6110000}"/>
    <cellStyle name="Normal 4 3 2 3 2 3 2 3 2 3 2 2" xfId="45823" xr:uid="{00000000-0005-0000-0000-0000D7110000}"/>
    <cellStyle name="Normal 4 3 2 3 2 3 2 3 2 3 3" xfId="33535" xr:uid="{00000000-0005-0000-0000-0000D8110000}"/>
    <cellStyle name="Normal 4 3 2 3 2 3 2 3 2 4" xfId="15103" xr:uid="{00000000-0005-0000-0000-0000D9110000}"/>
    <cellStyle name="Normal 4 3 2 3 2 3 2 3 2 4 2" xfId="39679" xr:uid="{00000000-0005-0000-0000-0000DA110000}"/>
    <cellStyle name="Normal 4 3 2 3 2 3 2 3 2 5" xfId="27391" xr:uid="{00000000-0005-0000-0000-0000DB110000}"/>
    <cellStyle name="Normal 4 3 2 3 2 3 2 3 3" xfId="4351" xr:uid="{00000000-0005-0000-0000-0000DC110000}"/>
    <cellStyle name="Normal 4 3 2 3 2 3 2 3 3 2" xfId="10495" xr:uid="{00000000-0005-0000-0000-0000DD110000}"/>
    <cellStyle name="Normal 4 3 2 3 2 3 2 3 3 2 2" xfId="22783" xr:uid="{00000000-0005-0000-0000-0000DE110000}"/>
    <cellStyle name="Normal 4 3 2 3 2 3 2 3 3 2 2 2" xfId="47359" xr:uid="{00000000-0005-0000-0000-0000DF110000}"/>
    <cellStyle name="Normal 4 3 2 3 2 3 2 3 3 2 3" xfId="35071" xr:uid="{00000000-0005-0000-0000-0000E0110000}"/>
    <cellStyle name="Normal 4 3 2 3 2 3 2 3 3 3" xfId="16639" xr:uid="{00000000-0005-0000-0000-0000E1110000}"/>
    <cellStyle name="Normal 4 3 2 3 2 3 2 3 3 3 2" xfId="41215" xr:uid="{00000000-0005-0000-0000-0000E2110000}"/>
    <cellStyle name="Normal 4 3 2 3 2 3 2 3 3 4" xfId="28927" xr:uid="{00000000-0005-0000-0000-0000E3110000}"/>
    <cellStyle name="Normal 4 3 2 3 2 3 2 3 4" xfId="7423" xr:uid="{00000000-0005-0000-0000-0000E4110000}"/>
    <cellStyle name="Normal 4 3 2 3 2 3 2 3 4 2" xfId="19711" xr:uid="{00000000-0005-0000-0000-0000E5110000}"/>
    <cellStyle name="Normal 4 3 2 3 2 3 2 3 4 2 2" xfId="44287" xr:uid="{00000000-0005-0000-0000-0000E6110000}"/>
    <cellStyle name="Normal 4 3 2 3 2 3 2 3 4 3" xfId="31999" xr:uid="{00000000-0005-0000-0000-0000E7110000}"/>
    <cellStyle name="Normal 4 3 2 3 2 3 2 3 5" xfId="13567" xr:uid="{00000000-0005-0000-0000-0000E8110000}"/>
    <cellStyle name="Normal 4 3 2 3 2 3 2 3 5 2" xfId="38143" xr:uid="{00000000-0005-0000-0000-0000E9110000}"/>
    <cellStyle name="Normal 4 3 2 3 2 3 2 3 6" xfId="25855" xr:uid="{00000000-0005-0000-0000-0000EA110000}"/>
    <cellStyle name="Normal 4 3 2 3 2 3 2 4" xfId="2043" xr:uid="{00000000-0005-0000-0000-0000EB110000}"/>
    <cellStyle name="Normal 4 3 2 3 2 3 2 4 2" xfId="5119" xr:uid="{00000000-0005-0000-0000-0000EC110000}"/>
    <cellStyle name="Normal 4 3 2 3 2 3 2 4 2 2" xfId="11263" xr:uid="{00000000-0005-0000-0000-0000ED110000}"/>
    <cellStyle name="Normal 4 3 2 3 2 3 2 4 2 2 2" xfId="23551" xr:uid="{00000000-0005-0000-0000-0000EE110000}"/>
    <cellStyle name="Normal 4 3 2 3 2 3 2 4 2 2 2 2" xfId="48127" xr:uid="{00000000-0005-0000-0000-0000EF110000}"/>
    <cellStyle name="Normal 4 3 2 3 2 3 2 4 2 2 3" xfId="35839" xr:uid="{00000000-0005-0000-0000-0000F0110000}"/>
    <cellStyle name="Normal 4 3 2 3 2 3 2 4 2 3" xfId="17407" xr:uid="{00000000-0005-0000-0000-0000F1110000}"/>
    <cellStyle name="Normal 4 3 2 3 2 3 2 4 2 3 2" xfId="41983" xr:uid="{00000000-0005-0000-0000-0000F2110000}"/>
    <cellStyle name="Normal 4 3 2 3 2 3 2 4 2 4" xfId="29695" xr:uid="{00000000-0005-0000-0000-0000F3110000}"/>
    <cellStyle name="Normal 4 3 2 3 2 3 2 4 3" xfId="8191" xr:uid="{00000000-0005-0000-0000-0000F4110000}"/>
    <cellStyle name="Normal 4 3 2 3 2 3 2 4 3 2" xfId="20479" xr:uid="{00000000-0005-0000-0000-0000F5110000}"/>
    <cellStyle name="Normal 4 3 2 3 2 3 2 4 3 2 2" xfId="45055" xr:uid="{00000000-0005-0000-0000-0000F6110000}"/>
    <cellStyle name="Normal 4 3 2 3 2 3 2 4 3 3" xfId="32767" xr:uid="{00000000-0005-0000-0000-0000F7110000}"/>
    <cellStyle name="Normal 4 3 2 3 2 3 2 4 4" xfId="14335" xr:uid="{00000000-0005-0000-0000-0000F8110000}"/>
    <cellStyle name="Normal 4 3 2 3 2 3 2 4 4 2" xfId="38911" xr:uid="{00000000-0005-0000-0000-0000F9110000}"/>
    <cellStyle name="Normal 4 3 2 3 2 3 2 4 5" xfId="26623" xr:uid="{00000000-0005-0000-0000-0000FA110000}"/>
    <cellStyle name="Normal 4 3 2 3 2 3 2 5" xfId="3583" xr:uid="{00000000-0005-0000-0000-0000FB110000}"/>
    <cellStyle name="Normal 4 3 2 3 2 3 2 5 2" xfId="9727" xr:uid="{00000000-0005-0000-0000-0000FC110000}"/>
    <cellStyle name="Normal 4 3 2 3 2 3 2 5 2 2" xfId="22015" xr:uid="{00000000-0005-0000-0000-0000FD110000}"/>
    <cellStyle name="Normal 4 3 2 3 2 3 2 5 2 2 2" xfId="46591" xr:uid="{00000000-0005-0000-0000-0000FE110000}"/>
    <cellStyle name="Normal 4 3 2 3 2 3 2 5 2 3" xfId="34303" xr:uid="{00000000-0005-0000-0000-0000FF110000}"/>
    <cellStyle name="Normal 4 3 2 3 2 3 2 5 3" xfId="15871" xr:uid="{00000000-0005-0000-0000-000000120000}"/>
    <cellStyle name="Normal 4 3 2 3 2 3 2 5 3 2" xfId="40447" xr:uid="{00000000-0005-0000-0000-000001120000}"/>
    <cellStyle name="Normal 4 3 2 3 2 3 2 5 4" xfId="28159" xr:uid="{00000000-0005-0000-0000-000002120000}"/>
    <cellStyle name="Normal 4 3 2 3 2 3 2 6" xfId="6655" xr:uid="{00000000-0005-0000-0000-000003120000}"/>
    <cellStyle name="Normal 4 3 2 3 2 3 2 6 2" xfId="18943" xr:uid="{00000000-0005-0000-0000-000004120000}"/>
    <cellStyle name="Normal 4 3 2 3 2 3 2 6 2 2" xfId="43519" xr:uid="{00000000-0005-0000-0000-000005120000}"/>
    <cellStyle name="Normal 4 3 2 3 2 3 2 6 3" xfId="31231" xr:uid="{00000000-0005-0000-0000-000006120000}"/>
    <cellStyle name="Normal 4 3 2 3 2 3 2 7" xfId="12799" xr:uid="{00000000-0005-0000-0000-000007120000}"/>
    <cellStyle name="Normal 4 3 2 3 2 3 2 7 2" xfId="37375" xr:uid="{00000000-0005-0000-0000-000008120000}"/>
    <cellStyle name="Normal 4 3 2 3 2 3 2 8" xfId="25087" xr:uid="{00000000-0005-0000-0000-000009120000}"/>
    <cellStyle name="Normal 4 3 2 3 2 3 3" xfId="699" xr:uid="{00000000-0005-0000-0000-00000A120000}"/>
    <cellStyle name="Normal 4 3 2 3 2 3 3 2" xfId="1467" xr:uid="{00000000-0005-0000-0000-00000B120000}"/>
    <cellStyle name="Normal 4 3 2 3 2 3 3 2 2" xfId="3003" xr:uid="{00000000-0005-0000-0000-00000C120000}"/>
    <cellStyle name="Normal 4 3 2 3 2 3 3 2 2 2" xfId="6079" xr:uid="{00000000-0005-0000-0000-00000D120000}"/>
    <cellStyle name="Normal 4 3 2 3 2 3 3 2 2 2 2" xfId="12223" xr:uid="{00000000-0005-0000-0000-00000E120000}"/>
    <cellStyle name="Normal 4 3 2 3 2 3 3 2 2 2 2 2" xfId="24511" xr:uid="{00000000-0005-0000-0000-00000F120000}"/>
    <cellStyle name="Normal 4 3 2 3 2 3 3 2 2 2 2 2 2" xfId="49087" xr:uid="{00000000-0005-0000-0000-000010120000}"/>
    <cellStyle name="Normal 4 3 2 3 2 3 3 2 2 2 2 3" xfId="36799" xr:uid="{00000000-0005-0000-0000-000011120000}"/>
    <cellStyle name="Normal 4 3 2 3 2 3 3 2 2 2 3" xfId="18367" xr:uid="{00000000-0005-0000-0000-000012120000}"/>
    <cellStyle name="Normal 4 3 2 3 2 3 3 2 2 2 3 2" xfId="42943" xr:uid="{00000000-0005-0000-0000-000013120000}"/>
    <cellStyle name="Normal 4 3 2 3 2 3 3 2 2 2 4" xfId="30655" xr:uid="{00000000-0005-0000-0000-000014120000}"/>
    <cellStyle name="Normal 4 3 2 3 2 3 3 2 2 3" xfId="9151" xr:uid="{00000000-0005-0000-0000-000015120000}"/>
    <cellStyle name="Normal 4 3 2 3 2 3 3 2 2 3 2" xfId="21439" xr:uid="{00000000-0005-0000-0000-000016120000}"/>
    <cellStyle name="Normal 4 3 2 3 2 3 3 2 2 3 2 2" xfId="46015" xr:uid="{00000000-0005-0000-0000-000017120000}"/>
    <cellStyle name="Normal 4 3 2 3 2 3 3 2 2 3 3" xfId="33727" xr:uid="{00000000-0005-0000-0000-000018120000}"/>
    <cellStyle name="Normal 4 3 2 3 2 3 3 2 2 4" xfId="15295" xr:uid="{00000000-0005-0000-0000-000019120000}"/>
    <cellStyle name="Normal 4 3 2 3 2 3 3 2 2 4 2" xfId="39871" xr:uid="{00000000-0005-0000-0000-00001A120000}"/>
    <cellStyle name="Normal 4 3 2 3 2 3 3 2 2 5" xfId="27583" xr:uid="{00000000-0005-0000-0000-00001B120000}"/>
    <cellStyle name="Normal 4 3 2 3 2 3 3 2 3" xfId="4543" xr:uid="{00000000-0005-0000-0000-00001C120000}"/>
    <cellStyle name="Normal 4 3 2 3 2 3 3 2 3 2" xfId="10687" xr:uid="{00000000-0005-0000-0000-00001D120000}"/>
    <cellStyle name="Normal 4 3 2 3 2 3 3 2 3 2 2" xfId="22975" xr:uid="{00000000-0005-0000-0000-00001E120000}"/>
    <cellStyle name="Normal 4 3 2 3 2 3 3 2 3 2 2 2" xfId="47551" xr:uid="{00000000-0005-0000-0000-00001F120000}"/>
    <cellStyle name="Normal 4 3 2 3 2 3 3 2 3 2 3" xfId="35263" xr:uid="{00000000-0005-0000-0000-000020120000}"/>
    <cellStyle name="Normal 4 3 2 3 2 3 3 2 3 3" xfId="16831" xr:uid="{00000000-0005-0000-0000-000021120000}"/>
    <cellStyle name="Normal 4 3 2 3 2 3 3 2 3 3 2" xfId="41407" xr:uid="{00000000-0005-0000-0000-000022120000}"/>
    <cellStyle name="Normal 4 3 2 3 2 3 3 2 3 4" xfId="29119" xr:uid="{00000000-0005-0000-0000-000023120000}"/>
    <cellStyle name="Normal 4 3 2 3 2 3 3 2 4" xfId="7615" xr:uid="{00000000-0005-0000-0000-000024120000}"/>
    <cellStyle name="Normal 4 3 2 3 2 3 3 2 4 2" xfId="19903" xr:uid="{00000000-0005-0000-0000-000025120000}"/>
    <cellStyle name="Normal 4 3 2 3 2 3 3 2 4 2 2" xfId="44479" xr:uid="{00000000-0005-0000-0000-000026120000}"/>
    <cellStyle name="Normal 4 3 2 3 2 3 3 2 4 3" xfId="32191" xr:uid="{00000000-0005-0000-0000-000027120000}"/>
    <cellStyle name="Normal 4 3 2 3 2 3 3 2 5" xfId="13759" xr:uid="{00000000-0005-0000-0000-000028120000}"/>
    <cellStyle name="Normal 4 3 2 3 2 3 3 2 5 2" xfId="38335" xr:uid="{00000000-0005-0000-0000-000029120000}"/>
    <cellStyle name="Normal 4 3 2 3 2 3 3 2 6" xfId="26047" xr:uid="{00000000-0005-0000-0000-00002A120000}"/>
    <cellStyle name="Normal 4 3 2 3 2 3 3 3" xfId="2235" xr:uid="{00000000-0005-0000-0000-00002B120000}"/>
    <cellStyle name="Normal 4 3 2 3 2 3 3 3 2" xfId="5311" xr:uid="{00000000-0005-0000-0000-00002C120000}"/>
    <cellStyle name="Normal 4 3 2 3 2 3 3 3 2 2" xfId="11455" xr:uid="{00000000-0005-0000-0000-00002D120000}"/>
    <cellStyle name="Normal 4 3 2 3 2 3 3 3 2 2 2" xfId="23743" xr:uid="{00000000-0005-0000-0000-00002E120000}"/>
    <cellStyle name="Normal 4 3 2 3 2 3 3 3 2 2 2 2" xfId="48319" xr:uid="{00000000-0005-0000-0000-00002F120000}"/>
    <cellStyle name="Normal 4 3 2 3 2 3 3 3 2 2 3" xfId="36031" xr:uid="{00000000-0005-0000-0000-000030120000}"/>
    <cellStyle name="Normal 4 3 2 3 2 3 3 3 2 3" xfId="17599" xr:uid="{00000000-0005-0000-0000-000031120000}"/>
    <cellStyle name="Normal 4 3 2 3 2 3 3 3 2 3 2" xfId="42175" xr:uid="{00000000-0005-0000-0000-000032120000}"/>
    <cellStyle name="Normal 4 3 2 3 2 3 3 3 2 4" xfId="29887" xr:uid="{00000000-0005-0000-0000-000033120000}"/>
    <cellStyle name="Normal 4 3 2 3 2 3 3 3 3" xfId="8383" xr:uid="{00000000-0005-0000-0000-000034120000}"/>
    <cellStyle name="Normal 4 3 2 3 2 3 3 3 3 2" xfId="20671" xr:uid="{00000000-0005-0000-0000-000035120000}"/>
    <cellStyle name="Normal 4 3 2 3 2 3 3 3 3 2 2" xfId="45247" xr:uid="{00000000-0005-0000-0000-000036120000}"/>
    <cellStyle name="Normal 4 3 2 3 2 3 3 3 3 3" xfId="32959" xr:uid="{00000000-0005-0000-0000-000037120000}"/>
    <cellStyle name="Normal 4 3 2 3 2 3 3 3 4" xfId="14527" xr:uid="{00000000-0005-0000-0000-000038120000}"/>
    <cellStyle name="Normal 4 3 2 3 2 3 3 3 4 2" xfId="39103" xr:uid="{00000000-0005-0000-0000-000039120000}"/>
    <cellStyle name="Normal 4 3 2 3 2 3 3 3 5" xfId="26815" xr:uid="{00000000-0005-0000-0000-00003A120000}"/>
    <cellStyle name="Normal 4 3 2 3 2 3 3 4" xfId="3775" xr:uid="{00000000-0005-0000-0000-00003B120000}"/>
    <cellStyle name="Normal 4 3 2 3 2 3 3 4 2" xfId="9919" xr:uid="{00000000-0005-0000-0000-00003C120000}"/>
    <cellStyle name="Normal 4 3 2 3 2 3 3 4 2 2" xfId="22207" xr:uid="{00000000-0005-0000-0000-00003D120000}"/>
    <cellStyle name="Normal 4 3 2 3 2 3 3 4 2 2 2" xfId="46783" xr:uid="{00000000-0005-0000-0000-00003E120000}"/>
    <cellStyle name="Normal 4 3 2 3 2 3 3 4 2 3" xfId="34495" xr:uid="{00000000-0005-0000-0000-00003F120000}"/>
    <cellStyle name="Normal 4 3 2 3 2 3 3 4 3" xfId="16063" xr:uid="{00000000-0005-0000-0000-000040120000}"/>
    <cellStyle name="Normal 4 3 2 3 2 3 3 4 3 2" xfId="40639" xr:uid="{00000000-0005-0000-0000-000041120000}"/>
    <cellStyle name="Normal 4 3 2 3 2 3 3 4 4" xfId="28351" xr:uid="{00000000-0005-0000-0000-000042120000}"/>
    <cellStyle name="Normal 4 3 2 3 2 3 3 5" xfId="6847" xr:uid="{00000000-0005-0000-0000-000043120000}"/>
    <cellStyle name="Normal 4 3 2 3 2 3 3 5 2" xfId="19135" xr:uid="{00000000-0005-0000-0000-000044120000}"/>
    <cellStyle name="Normal 4 3 2 3 2 3 3 5 2 2" xfId="43711" xr:uid="{00000000-0005-0000-0000-000045120000}"/>
    <cellStyle name="Normal 4 3 2 3 2 3 3 5 3" xfId="31423" xr:uid="{00000000-0005-0000-0000-000046120000}"/>
    <cellStyle name="Normal 4 3 2 3 2 3 3 6" xfId="12991" xr:uid="{00000000-0005-0000-0000-000047120000}"/>
    <cellStyle name="Normal 4 3 2 3 2 3 3 6 2" xfId="37567" xr:uid="{00000000-0005-0000-0000-000048120000}"/>
    <cellStyle name="Normal 4 3 2 3 2 3 3 7" xfId="25279" xr:uid="{00000000-0005-0000-0000-000049120000}"/>
    <cellStyle name="Normal 4 3 2 3 2 3 4" xfId="1083" xr:uid="{00000000-0005-0000-0000-00004A120000}"/>
    <cellStyle name="Normal 4 3 2 3 2 3 4 2" xfId="2619" xr:uid="{00000000-0005-0000-0000-00004B120000}"/>
    <cellStyle name="Normal 4 3 2 3 2 3 4 2 2" xfId="5695" xr:uid="{00000000-0005-0000-0000-00004C120000}"/>
    <cellStyle name="Normal 4 3 2 3 2 3 4 2 2 2" xfId="11839" xr:uid="{00000000-0005-0000-0000-00004D120000}"/>
    <cellStyle name="Normal 4 3 2 3 2 3 4 2 2 2 2" xfId="24127" xr:uid="{00000000-0005-0000-0000-00004E120000}"/>
    <cellStyle name="Normal 4 3 2 3 2 3 4 2 2 2 2 2" xfId="48703" xr:uid="{00000000-0005-0000-0000-00004F120000}"/>
    <cellStyle name="Normal 4 3 2 3 2 3 4 2 2 2 3" xfId="36415" xr:uid="{00000000-0005-0000-0000-000050120000}"/>
    <cellStyle name="Normal 4 3 2 3 2 3 4 2 2 3" xfId="17983" xr:uid="{00000000-0005-0000-0000-000051120000}"/>
    <cellStyle name="Normal 4 3 2 3 2 3 4 2 2 3 2" xfId="42559" xr:uid="{00000000-0005-0000-0000-000052120000}"/>
    <cellStyle name="Normal 4 3 2 3 2 3 4 2 2 4" xfId="30271" xr:uid="{00000000-0005-0000-0000-000053120000}"/>
    <cellStyle name="Normal 4 3 2 3 2 3 4 2 3" xfId="8767" xr:uid="{00000000-0005-0000-0000-000054120000}"/>
    <cellStyle name="Normal 4 3 2 3 2 3 4 2 3 2" xfId="21055" xr:uid="{00000000-0005-0000-0000-000055120000}"/>
    <cellStyle name="Normal 4 3 2 3 2 3 4 2 3 2 2" xfId="45631" xr:uid="{00000000-0005-0000-0000-000056120000}"/>
    <cellStyle name="Normal 4 3 2 3 2 3 4 2 3 3" xfId="33343" xr:uid="{00000000-0005-0000-0000-000057120000}"/>
    <cellStyle name="Normal 4 3 2 3 2 3 4 2 4" xfId="14911" xr:uid="{00000000-0005-0000-0000-000058120000}"/>
    <cellStyle name="Normal 4 3 2 3 2 3 4 2 4 2" xfId="39487" xr:uid="{00000000-0005-0000-0000-000059120000}"/>
    <cellStyle name="Normal 4 3 2 3 2 3 4 2 5" xfId="27199" xr:uid="{00000000-0005-0000-0000-00005A120000}"/>
    <cellStyle name="Normal 4 3 2 3 2 3 4 3" xfId="4159" xr:uid="{00000000-0005-0000-0000-00005B120000}"/>
    <cellStyle name="Normal 4 3 2 3 2 3 4 3 2" xfId="10303" xr:uid="{00000000-0005-0000-0000-00005C120000}"/>
    <cellStyle name="Normal 4 3 2 3 2 3 4 3 2 2" xfId="22591" xr:uid="{00000000-0005-0000-0000-00005D120000}"/>
    <cellStyle name="Normal 4 3 2 3 2 3 4 3 2 2 2" xfId="47167" xr:uid="{00000000-0005-0000-0000-00005E120000}"/>
    <cellStyle name="Normal 4 3 2 3 2 3 4 3 2 3" xfId="34879" xr:uid="{00000000-0005-0000-0000-00005F120000}"/>
    <cellStyle name="Normal 4 3 2 3 2 3 4 3 3" xfId="16447" xr:uid="{00000000-0005-0000-0000-000060120000}"/>
    <cellStyle name="Normal 4 3 2 3 2 3 4 3 3 2" xfId="41023" xr:uid="{00000000-0005-0000-0000-000061120000}"/>
    <cellStyle name="Normal 4 3 2 3 2 3 4 3 4" xfId="28735" xr:uid="{00000000-0005-0000-0000-000062120000}"/>
    <cellStyle name="Normal 4 3 2 3 2 3 4 4" xfId="7231" xr:uid="{00000000-0005-0000-0000-000063120000}"/>
    <cellStyle name="Normal 4 3 2 3 2 3 4 4 2" xfId="19519" xr:uid="{00000000-0005-0000-0000-000064120000}"/>
    <cellStyle name="Normal 4 3 2 3 2 3 4 4 2 2" xfId="44095" xr:uid="{00000000-0005-0000-0000-000065120000}"/>
    <cellStyle name="Normal 4 3 2 3 2 3 4 4 3" xfId="31807" xr:uid="{00000000-0005-0000-0000-000066120000}"/>
    <cellStyle name="Normal 4 3 2 3 2 3 4 5" xfId="13375" xr:uid="{00000000-0005-0000-0000-000067120000}"/>
    <cellStyle name="Normal 4 3 2 3 2 3 4 5 2" xfId="37951" xr:uid="{00000000-0005-0000-0000-000068120000}"/>
    <cellStyle name="Normal 4 3 2 3 2 3 4 6" xfId="25663" xr:uid="{00000000-0005-0000-0000-000069120000}"/>
    <cellStyle name="Normal 4 3 2 3 2 3 5" xfId="1851" xr:uid="{00000000-0005-0000-0000-00006A120000}"/>
    <cellStyle name="Normal 4 3 2 3 2 3 5 2" xfId="4927" xr:uid="{00000000-0005-0000-0000-00006B120000}"/>
    <cellStyle name="Normal 4 3 2 3 2 3 5 2 2" xfId="11071" xr:uid="{00000000-0005-0000-0000-00006C120000}"/>
    <cellStyle name="Normal 4 3 2 3 2 3 5 2 2 2" xfId="23359" xr:uid="{00000000-0005-0000-0000-00006D120000}"/>
    <cellStyle name="Normal 4 3 2 3 2 3 5 2 2 2 2" xfId="47935" xr:uid="{00000000-0005-0000-0000-00006E120000}"/>
    <cellStyle name="Normal 4 3 2 3 2 3 5 2 2 3" xfId="35647" xr:uid="{00000000-0005-0000-0000-00006F120000}"/>
    <cellStyle name="Normal 4 3 2 3 2 3 5 2 3" xfId="17215" xr:uid="{00000000-0005-0000-0000-000070120000}"/>
    <cellStyle name="Normal 4 3 2 3 2 3 5 2 3 2" xfId="41791" xr:uid="{00000000-0005-0000-0000-000071120000}"/>
    <cellStyle name="Normal 4 3 2 3 2 3 5 2 4" xfId="29503" xr:uid="{00000000-0005-0000-0000-000072120000}"/>
    <cellStyle name="Normal 4 3 2 3 2 3 5 3" xfId="7999" xr:uid="{00000000-0005-0000-0000-000073120000}"/>
    <cellStyle name="Normal 4 3 2 3 2 3 5 3 2" xfId="20287" xr:uid="{00000000-0005-0000-0000-000074120000}"/>
    <cellStyle name="Normal 4 3 2 3 2 3 5 3 2 2" xfId="44863" xr:uid="{00000000-0005-0000-0000-000075120000}"/>
    <cellStyle name="Normal 4 3 2 3 2 3 5 3 3" xfId="32575" xr:uid="{00000000-0005-0000-0000-000076120000}"/>
    <cellStyle name="Normal 4 3 2 3 2 3 5 4" xfId="14143" xr:uid="{00000000-0005-0000-0000-000077120000}"/>
    <cellStyle name="Normal 4 3 2 3 2 3 5 4 2" xfId="38719" xr:uid="{00000000-0005-0000-0000-000078120000}"/>
    <cellStyle name="Normal 4 3 2 3 2 3 5 5" xfId="26431" xr:uid="{00000000-0005-0000-0000-000079120000}"/>
    <cellStyle name="Normal 4 3 2 3 2 3 6" xfId="3391" xr:uid="{00000000-0005-0000-0000-00007A120000}"/>
    <cellStyle name="Normal 4 3 2 3 2 3 6 2" xfId="9535" xr:uid="{00000000-0005-0000-0000-00007B120000}"/>
    <cellStyle name="Normal 4 3 2 3 2 3 6 2 2" xfId="21823" xr:uid="{00000000-0005-0000-0000-00007C120000}"/>
    <cellStyle name="Normal 4 3 2 3 2 3 6 2 2 2" xfId="46399" xr:uid="{00000000-0005-0000-0000-00007D120000}"/>
    <cellStyle name="Normal 4 3 2 3 2 3 6 2 3" xfId="34111" xr:uid="{00000000-0005-0000-0000-00007E120000}"/>
    <cellStyle name="Normal 4 3 2 3 2 3 6 3" xfId="15679" xr:uid="{00000000-0005-0000-0000-00007F120000}"/>
    <cellStyle name="Normal 4 3 2 3 2 3 6 3 2" xfId="40255" xr:uid="{00000000-0005-0000-0000-000080120000}"/>
    <cellStyle name="Normal 4 3 2 3 2 3 6 4" xfId="27967" xr:uid="{00000000-0005-0000-0000-000081120000}"/>
    <cellStyle name="Normal 4 3 2 3 2 3 7" xfId="6463" xr:uid="{00000000-0005-0000-0000-000082120000}"/>
    <cellStyle name="Normal 4 3 2 3 2 3 7 2" xfId="18751" xr:uid="{00000000-0005-0000-0000-000083120000}"/>
    <cellStyle name="Normal 4 3 2 3 2 3 7 2 2" xfId="43327" xr:uid="{00000000-0005-0000-0000-000084120000}"/>
    <cellStyle name="Normal 4 3 2 3 2 3 7 3" xfId="31039" xr:uid="{00000000-0005-0000-0000-000085120000}"/>
    <cellStyle name="Normal 4 3 2 3 2 3 8" xfId="12607" xr:uid="{00000000-0005-0000-0000-000086120000}"/>
    <cellStyle name="Normal 4 3 2 3 2 3 8 2" xfId="37183" xr:uid="{00000000-0005-0000-0000-000087120000}"/>
    <cellStyle name="Normal 4 3 2 3 2 3 9" xfId="24895" xr:uid="{00000000-0005-0000-0000-000088120000}"/>
    <cellStyle name="Normal 4 3 2 3 2 4" xfId="379" xr:uid="{00000000-0005-0000-0000-000089120000}"/>
    <cellStyle name="Normal 4 3 2 3 2 4 2" xfId="763" xr:uid="{00000000-0005-0000-0000-00008A120000}"/>
    <cellStyle name="Normal 4 3 2 3 2 4 2 2" xfId="1531" xr:uid="{00000000-0005-0000-0000-00008B120000}"/>
    <cellStyle name="Normal 4 3 2 3 2 4 2 2 2" xfId="3067" xr:uid="{00000000-0005-0000-0000-00008C120000}"/>
    <cellStyle name="Normal 4 3 2 3 2 4 2 2 2 2" xfId="6143" xr:uid="{00000000-0005-0000-0000-00008D120000}"/>
    <cellStyle name="Normal 4 3 2 3 2 4 2 2 2 2 2" xfId="12287" xr:uid="{00000000-0005-0000-0000-00008E120000}"/>
    <cellStyle name="Normal 4 3 2 3 2 4 2 2 2 2 2 2" xfId="24575" xr:uid="{00000000-0005-0000-0000-00008F120000}"/>
    <cellStyle name="Normal 4 3 2 3 2 4 2 2 2 2 2 2 2" xfId="49151" xr:uid="{00000000-0005-0000-0000-000090120000}"/>
    <cellStyle name="Normal 4 3 2 3 2 4 2 2 2 2 2 3" xfId="36863" xr:uid="{00000000-0005-0000-0000-000091120000}"/>
    <cellStyle name="Normal 4 3 2 3 2 4 2 2 2 2 3" xfId="18431" xr:uid="{00000000-0005-0000-0000-000092120000}"/>
    <cellStyle name="Normal 4 3 2 3 2 4 2 2 2 2 3 2" xfId="43007" xr:uid="{00000000-0005-0000-0000-000093120000}"/>
    <cellStyle name="Normal 4 3 2 3 2 4 2 2 2 2 4" xfId="30719" xr:uid="{00000000-0005-0000-0000-000094120000}"/>
    <cellStyle name="Normal 4 3 2 3 2 4 2 2 2 3" xfId="9215" xr:uid="{00000000-0005-0000-0000-000095120000}"/>
    <cellStyle name="Normal 4 3 2 3 2 4 2 2 2 3 2" xfId="21503" xr:uid="{00000000-0005-0000-0000-000096120000}"/>
    <cellStyle name="Normal 4 3 2 3 2 4 2 2 2 3 2 2" xfId="46079" xr:uid="{00000000-0005-0000-0000-000097120000}"/>
    <cellStyle name="Normal 4 3 2 3 2 4 2 2 2 3 3" xfId="33791" xr:uid="{00000000-0005-0000-0000-000098120000}"/>
    <cellStyle name="Normal 4 3 2 3 2 4 2 2 2 4" xfId="15359" xr:uid="{00000000-0005-0000-0000-000099120000}"/>
    <cellStyle name="Normal 4 3 2 3 2 4 2 2 2 4 2" xfId="39935" xr:uid="{00000000-0005-0000-0000-00009A120000}"/>
    <cellStyle name="Normal 4 3 2 3 2 4 2 2 2 5" xfId="27647" xr:uid="{00000000-0005-0000-0000-00009B120000}"/>
    <cellStyle name="Normal 4 3 2 3 2 4 2 2 3" xfId="4607" xr:uid="{00000000-0005-0000-0000-00009C120000}"/>
    <cellStyle name="Normal 4 3 2 3 2 4 2 2 3 2" xfId="10751" xr:uid="{00000000-0005-0000-0000-00009D120000}"/>
    <cellStyle name="Normal 4 3 2 3 2 4 2 2 3 2 2" xfId="23039" xr:uid="{00000000-0005-0000-0000-00009E120000}"/>
    <cellStyle name="Normal 4 3 2 3 2 4 2 2 3 2 2 2" xfId="47615" xr:uid="{00000000-0005-0000-0000-00009F120000}"/>
    <cellStyle name="Normal 4 3 2 3 2 4 2 2 3 2 3" xfId="35327" xr:uid="{00000000-0005-0000-0000-0000A0120000}"/>
    <cellStyle name="Normal 4 3 2 3 2 4 2 2 3 3" xfId="16895" xr:uid="{00000000-0005-0000-0000-0000A1120000}"/>
    <cellStyle name="Normal 4 3 2 3 2 4 2 2 3 3 2" xfId="41471" xr:uid="{00000000-0005-0000-0000-0000A2120000}"/>
    <cellStyle name="Normal 4 3 2 3 2 4 2 2 3 4" xfId="29183" xr:uid="{00000000-0005-0000-0000-0000A3120000}"/>
    <cellStyle name="Normal 4 3 2 3 2 4 2 2 4" xfId="7679" xr:uid="{00000000-0005-0000-0000-0000A4120000}"/>
    <cellStyle name="Normal 4 3 2 3 2 4 2 2 4 2" xfId="19967" xr:uid="{00000000-0005-0000-0000-0000A5120000}"/>
    <cellStyle name="Normal 4 3 2 3 2 4 2 2 4 2 2" xfId="44543" xr:uid="{00000000-0005-0000-0000-0000A6120000}"/>
    <cellStyle name="Normal 4 3 2 3 2 4 2 2 4 3" xfId="32255" xr:uid="{00000000-0005-0000-0000-0000A7120000}"/>
    <cellStyle name="Normal 4 3 2 3 2 4 2 2 5" xfId="13823" xr:uid="{00000000-0005-0000-0000-0000A8120000}"/>
    <cellStyle name="Normal 4 3 2 3 2 4 2 2 5 2" xfId="38399" xr:uid="{00000000-0005-0000-0000-0000A9120000}"/>
    <cellStyle name="Normal 4 3 2 3 2 4 2 2 6" xfId="26111" xr:uid="{00000000-0005-0000-0000-0000AA120000}"/>
    <cellStyle name="Normal 4 3 2 3 2 4 2 3" xfId="2299" xr:uid="{00000000-0005-0000-0000-0000AB120000}"/>
    <cellStyle name="Normal 4 3 2 3 2 4 2 3 2" xfId="5375" xr:uid="{00000000-0005-0000-0000-0000AC120000}"/>
    <cellStyle name="Normal 4 3 2 3 2 4 2 3 2 2" xfId="11519" xr:uid="{00000000-0005-0000-0000-0000AD120000}"/>
    <cellStyle name="Normal 4 3 2 3 2 4 2 3 2 2 2" xfId="23807" xr:uid="{00000000-0005-0000-0000-0000AE120000}"/>
    <cellStyle name="Normal 4 3 2 3 2 4 2 3 2 2 2 2" xfId="48383" xr:uid="{00000000-0005-0000-0000-0000AF120000}"/>
    <cellStyle name="Normal 4 3 2 3 2 4 2 3 2 2 3" xfId="36095" xr:uid="{00000000-0005-0000-0000-0000B0120000}"/>
    <cellStyle name="Normal 4 3 2 3 2 4 2 3 2 3" xfId="17663" xr:uid="{00000000-0005-0000-0000-0000B1120000}"/>
    <cellStyle name="Normal 4 3 2 3 2 4 2 3 2 3 2" xfId="42239" xr:uid="{00000000-0005-0000-0000-0000B2120000}"/>
    <cellStyle name="Normal 4 3 2 3 2 4 2 3 2 4" xfId="29951" xr:uid="{00000000-0005-0000-0000-0000B3120000}"/>
    <cellStyle name="Normal 4 3 2 3 2 4 2 3 3" xfId="8447" xr:uid="{00000000-0005-0000-0000-0000B4120000}"/>
    <cellStyle name="Normal 4 3 2 3 2 4 2 3 3 2" xfId="20735" xr:uid="{00000000-0005-0000-0000-0000B5120000}"/>
    <cellStyle name="Normal 4 3 2 3 2 4 2 3 3 2 2" xfId="45311" xr:uid="{00000000-0005-0000-0000-0000B6120000}"/>
    <cellStyle name="Normal 4 3 2 3 2 4 2 3 3 3" xfId="33023" xr:uid="{00000000-0005-0000-0000-0000B7120000}"/>
    <cellStyle name="Normal 4 3 2 3 2 4 2 3 4" xfId="14591" xr:uid="{00000000-0005-0000-0000-0000B8120000}"/>
    <cellStyle name="Normal 4 3 2 3 2 4 2 3 4 2" xfId="39167" xr:uid="{00000000-0005-0000-0000-0000B9120000}"/>
    <cellStyle name="Normal 4 3 2 3 2 4 2 3 5" xfId="26879" xr:uid="{00000000-0005-0000-0000-0000BA120000}"/>
    <cellStyle name="Normal 4 3 2 3 2 4 2 4" xfId="3839" xr:uid="{00000000-0005-0000-0000-0000BB120000}"/>
    <cellStyle name="Normal 4 3 2 3 2 4 2 4 2" xfId="9983" xr:uid="{00000000-0005-0000-0000-0000BC120000}"/>
    <cellStyle name="Normal 4 3 2 3 2 4 2 4 2 2" xfId="22271" xr:uid="{00000000-0005-0000-0000-0000BD120000}"/>
    <cellStyle name="Normal 4 3 2 3 2 4 2 4 2 2 2" xfId="46847" xr:uid="{00000000-0005-0000-0000-0000BE120000}"/>
    <cellStyle name="Normal 4 3 2 3 2 4 2 4 2 3" xfId="34559" xr:uid="{00000000-0005-0000-0000-0000BF120000}"/>
    <cellStyle name="Normal 4 3 2 3 2 4 2 4 3" xfId="16127" xr:uid="{00000000-0005-0000-0000-0000C0120000}"/>
    <cellStyle name="Normal 4 3 2 3 2 4 2 4 3 2" xfId="40703" xr:uid="{00000000-0005-0000-0000-0000C1120000}"/>
    <cellStyle name="Normal 4 3 2 3 2 4 2 4 4" xfId="28415" xr:uid="{00000000-0005-0000-0000-0000C2120000}"/>
    <cellStyle name="Normal 4 3 2 3 2 4 2 5" xfId="6911" xr:uid="{00000000-0005-0000-0000-0000C3120000}"/>
    <cellStyle name="Normal 4 3 2 3 2 4 2 5 2" xfId="19199" xr:uid="{00000000-0005-0000-0000-0000C4120000}"/>
    <cellStyle name="Normal 4 3 2 3 2 4 2 5 2 2" xfId="43775" xr:uid="{00000000-0005-0000-0000-0000C5120000}"/>
    <cellStyle name="Normal 4 3 2 3 2 4 2 5 3" xfId="31487" xr:uid="{00000000-0005-0000-0000-0000C6120000}"/>
    <cellStyle name="Normal 4 3 2 3 2 4 2 6" xfId="13055" xr:uid="{00000000-0005-0000-0000-0000C7120000}"/>
    <cellStyle name="Normal 4 3 2 3 2 4 2 6 2" xfId="37631" xr:uid="{00000000-0005-0000-0000-0000C8120000}"/>
    <cellStyle name="Normal 4 3 2 3 2 4 2 7" xfId="25343" xr:uid="{00000000-0005-0000-0000-0000C9120000}"/>
    <cellStyle name="Normal 4 3 2 3 2 4 3" xfId="1147" xr:uid="{00000000-0005-0000-0000-0000CA120000}"/>
    <cellStyle name="Normal 4 3 2 3 2 4 3 2" xfId="2683" xr:uid="{00000000-0005-0000-0000-0000CB120000}"/>
    <cellStyle name="Normal 4 3 2 3 2 4 3 2 2" xfId="5759" xr:uid="{00000000-0005-0000-0000-0000CC120000}"/>
    <cellStyle name="Normal 4 3 2 3 2 4 3 2 2 2" xfId="11903" xr:uid="{00000000-0005-0000-0000-0000CD120000}"/>
    <cellStyle name="Normal 4 3 2 3 2 4 3 2 2 2 2" xfId="24191" xr:uid="{00000000-0005-0000-0000-0000CE120000}"/>
    <cellStyle name="Normal 4 3 2 3 2 4 3 2 2 2 2 2" xfId="48767" xr:uid="{00000000-0005-0000-0000-0000CF120000}"/>
    <cellStyle name="Normal 4 3 2 3 2 4 3 2 2 2 3" xfId="36479" xr:uid="{00000000-0005-0000-0000-0000D0120000}"/>
    <cellStyle name="Normal 4 3 2 3 2 4 3 2 2 3" xfId="18047" xr:uid="{00000000-0005-0000-0000-0000D1120000}"/>
    <cellStyle name="Normal 4 3 2 3 2 4 3 2 2 3 2" xfId="42623" xr:uid="{00000000-0005-0000-0000-0000D2120000}"/>
    <cellStyle name="Normal 4 3 2 3 2 4 3 2 2 4" xfId="30335" xr:uid="{00000000-0005-0000-0000-0000D3120000}"/>
    <cellStyle name="Normal 4 3 2 3 2 4 3 2 3" xfId="8831" xr:uid="{00000000-0005-0000-0000-0000D4120000}"/>
    <cellStyle name="Normal 4 3 2 3 2 4 3 2 3 2" xfId="21119" xr:uid="{00000000-0005-0000-0000-0000D5120000}"/>
    <cellStyle name="Normal 4 3 2 3 2 4 3 2 3 2 2" xfId="45695" xr:uid="{00000000-0005-0000-0000-0000D6120000}"/>
    <cellStyle name="Normal 4 3 2 3 2 4 3 2 3 3" xfId="33407" xr:uid="{00000000-0005-0000-0000-0000D7120000}"/>
    <cellStyle name="Normal 4 3 2 3 2 4 3 2 4" xfId="14975" xr:uid="{00000000-0005-0000-0000-0000D8120000}"/>
    <cellStyle name="Normal 4 3 2 3 2 4 3 2 4 2" xfId="39551" xr:uid="{00000000-0005-0000-0000-0000D9120000}"/>
    <cellStyle name="Normal 4 3 2 3 2 4 3 2 5" xfId="27263" xr:uid="{00000000-0005-0000-0000-0000DA120000}"/>
    <cellStyle name="Normal 4 3 2 3 2 4 3 3" xfId="4223" xr:uid="{00000000-0005-0000-0000-0000DB120000}"/>
    <cellStyle name="Normal 4 3 2 3 2 4 3 3 2" xfId="10367" xr:uid="{00000000-0005-0000-0000-0000DC120000}"/>
    <cellStyle name="Normal 4 3 2 3 2 4 3 3 2 2" xfId="22655" xr:uid="{00000000-0005-0000-0000-0000DD120000}"/>
    <cellStyle name="Normal 4 3 2 3 2 4 3 3 2 2 2" xfId="47231" xr:uid="{00000000-0005-0000-0000-0000DE120000}"/>
    <cellStyle name="Normal 4 3 2 3 2 4 3 3 2 3" xfId="34943" xr:uid="{00000000-0005-0000-0000-0000DF120000}"/>
    <cellStyle name="Normal 4 3 2 3 2 4 3 3 3" xfId="16511" xr:uid="{00000000-0005-0000-0000-0000E0120000}"/>
    <cellStyle name="Normal 4 3 2 3 2 4 3 3 3 2" xfId="41087" xr:uid="{00000000-0005-0000-0000-0000E1120000}"/>
    <cellStyle name="Normal 4 3 2 3 2 4 3 3 4" xfId="28799" xr:uid="{00000000-0005-0000-0000-0000E2120000}"/>
    <cellStyle name="Normal 4 3 2 3 2 4 3 4" xfId="7295" xr:uid="{00000000-0005-0000-0000-0000E3120000}"/>
    <cellStyle name="Normal 4 3 2 3 2 4 3 4 2" xfId="19583" xr:uid="{00000000-0005-0000-0000-0000E4120000}"/>
    <cellStyle name="Normal 4 3 2 3 2 4 3 4 2 2" xfId="44159" xr:uid="{00000000-0005-0000-0000-0000E5120000}"/>
    <cellStyle name="Normal 4 3 2 3 2 4 3 4 3" xfId="31871" xr:uid="{00000000-0005-0000-0000-0000E6120000}"/>
    <cellStyle name="Normal 4 3 2 3 2 4 3 5" xfId="13439" xr:uid="{00000000-0005-0000-0000-0000E7120000}"/>
    <cellStyle name="Normal 4 3 2 3 2 4 3 5 2" xfId="38015" xr:uid="{00000000-0005-0000-0000-0000E8120000}"/>
    <cellStyle name="Normal 4 3 2 3 2 4 3 6" xfId="25727" xr:uid="{00000000-0005-0000-0000-0000E9120000}"/>
    <cellStyle name="Normal 4 3 2 3 2 4 4" xfId="1915" xr:uid="{00000000-0005-0000-0000-0000EA120000}"/>
    <cellStyle name="Normal 4 3 2 3 2 4 4 2" xfId="4991" xr:uid="{00000000-0005-0000-0000-0000EB120000}"/>
    <cellStyle name="Normal 4 3 2 3 2 4 4 2 2" xfId="11135" xr:uid="{00000000-0005-0000-0000-0000EC120000}"/>
    <cellStyle name="Normal 4 3 2 3 2 4 4 2 2 2" xfId="23423" xr:uid="{00000000-0005-0000-0000-0000ED120000}"/>
    <cellStyle name="Normal 4 3 2 3 2 4 4 2 2 2 2" xfId="47999" xr:uid="{00000000-0005-0000-0000-0000EE120000}"/>
    <cellStyle name="Normal 4 3 2 3 2 4 4 2 2 3" xfId="35711" xr:uid="{00000000-0005-0000-0000-0000EF120000}"/>
    <cellStyle name="Normal 4 3 2 3 2 4 4 2 3" xfId="17279" xr:uid="{00000000-0005-0000-0000-0000F0120000}"/>
    <cellStyle name="Normal 4 3 2 3 2 4 4 2 3 2" xfId="41855" xr:uid="{00000000-0005-0000-0000-0000F1120000}"/>
    <cellStyle name="Normal 4 3 2 3 2 4 4 2 4" xfId="29567" xr:uid="{00000000-0005-0000-0000-0000F2120000}"/>
    <cellStyle name="Normal 4 3 2 3 2 4 4 3" xfId="8063" xr:uid="{00000000-0005-0000-0000-0000F3120000}"/>
    <cellStyle name="Normal 4 3 2 3 2 4 4 3 2" xfId="20351" xr:uid="{00000000-0005-0000-0000-0000F4120000}"/>
    <cellStyle name="Normal 4 3 2 3 2 4 4 3 2 2" xfId="44927" xr:uid="{00000000-0005-0000-0000-0000F5120000}"/>
    <cellStyle name="Normal 4 3 2 3 2 4 4 3 3" xfId="32639" xr:uid="{00000000-0005-0000-0000-0000F6120000}"/>
    <cellStyle name="Normal 4 3 2 3 2 4 4 4" xfId="14207" xr:uid="{00000000-0005-0000-0000-0000F7120000}"/>
    <cellStyle name="Normal 4 3 2 3 2 4 4 4 2" xfId="38783" xr:uid="{00000000-0005-0000-0000-0000F8120000}"/>
    <cellStyle name="Normal 4 3 2 3 2 4 4 5" xfId="26495" xr:uid="{00000000-0005-0000-0000-0000F9120000}"/>
    <cellStyle name="Normal 4 3 2 3 2 4 5" xfId="3455" xr:uid="{00000000-0005-0000-0000-0000FA120000}"/>
    <cellStyle name="Normal 4 3 2 3 2 4 5 2" xfId="9599" xr:uid="{00000000-0005-0000-0000-0000FB120000}"/>
    <cellStyle name="Normal 4 3 2 3 2 4 5 2 2" xfId="21887" xr:uid="{00000000-0005-0000-0000-0000FC120000}"/>
    <cellStyle name="Normal 4 3 2 3 2 4 5 2 2 2" xfId="46463" xr:uid="{00000000-0005-0000-0000-0000FD120000}"/>
    <cellStyle name="Normal 4 3 2 3 2 4 5 2 3" xfId="34175" xr:uid="{00000000-0005-0000-0000-0000FE120000}"/>
    <cellStyle name="Normal 4 3 2 3 2 4 5 3" xfId="15743" xr:uid="{00000000-0005-0000-0000-0000FF120000}"/>
    <cellStyle name="Normal 4 3 2 3 2 4 5 3 2" xfId="40319" xr:uid="{00000000-0005-0000-0000-000000130000}"/>
    <cellStyle name="Normal 4 3 2 3 2 4 5 4" xfId="28031" xr:uid="{00000000-0005-0000-0000-000001130000}"/>
    <cellStyle name="Normal 4 3 2 3 2 4 6" xfId="6527" xr:uid="{00000000-0005-0000-0000-000002130000}"/>
    <cellStyle name="Normal 4 3 2 3 2 4 6 2" xfId="18815" xr:uid="{00000000-0005-0000-0000-000003130000}"/>
    <cellStyle name="Normal 4 3 2 3 2 4 6 2 2" xfId="43391" xr:uid="{00000000-0005-0000-0000-000004130000}"/>
    <cellStyle name="Normal 4 3 2 3 2 4 6 3" xfId="31103" xr:uid="{00000000-0005-0000-0000-000005130000}"/>
    <cellStyle name="Normal 4 3 2 3 2 4 7" xfId="12671" xr:uid="{00000000-0005-0000-0000-000006130000}"/>
    <cellStyle name="Normal 4 3 2 3 2 4 7 2" xfId="37247" xr:uid="{00000000-0005-0000-0000-000007130000}"/>
    <cellStyle name="Normal 4 3 2 3 2 4 8" xfId="24959" xr:uid="{00000000-0005-0000-0000-000008130000}"/>
    <cellStyle name="Normal 4 3 2 3 2 5" xfId="571" xr:uid="{00000000-0005-0000-0000-000009130000}"/>
    <cellStyle name="Normal 4 3 2 3 2 5 2" xfId="1339" xr:uid="{00000000-0005-0000-0000-00000A130000}"/>
    <cellStyle name="Normal 4 3 2 3 2 5 2 2" xfId="2875" xr:uid="{00000000-0005-0000-0000-00000B130000}"/>
    <cellStyle name="Normal 4 3 2 3 2 5 2 2 2" xfId="5951" xr:uid="{00000000-0005-0000-0000-00000C130000}"/>
    <cellStyle name="Normal 4 3 2 3 2 5 2 2 2 2" xfId="12095" xr:uid="{00000000-0005-0000-0000-00000D130000}"/>
    <cellStyle name="Normal 4 3 2 3 2 5 2 2 2 2 2" xfId="24383" xr:uid="{00000000-0005-0000-0000-00000E130000}"/>
    <cellStyle name="Normal 4 3 2 3 2 5 2 2 2 2 2 2" xfId="48959" xr:uid="{00000000-0005-0000-0000-00000F130000}"/>
    <cellStyle name="Normal 4 3 2 3 2 5 2 2 2 2 3" xfId="36671" xr:uid="{00000000-0005-0000-0000-000010130000}"/>
    <cellStyle name="Normal 4 3 2 3 2 5 2 2 2 3" xfId="18239" xr:uid="{00000000-0005-0000-0000-000011130000}"/>
    <cellStyle name="Normal 4 3 2 3 2 5 2 2 2 3 2" xfId="42815" xr:uid="{00000000-0005-0000-0000-000012130000}"/>
    <cellStyle name="Normal 4 3 2 3 2 5 2 2 2 4" xfId="30527" xr:uid="{00000000-0005-0000-0000-000013130000}"/>
    <cellStyle name="Normal 4 3 2 3 2 5 2 2 3" xfId="9023" xr:uid="{00000000-0005-0000-0000-000014130000}"/>
    <cellStyle name="Normal 4 3 2 3 2 5 2 2 3 2" xfId="21311" xr:uid="{00000000-0005-0000-0000-000015130000}"/>
    <cellStyle name="Normal 4 3 2 3 2 5 2 2 3 2 2" xfId="45887" xr:uid="{00000000-0005-0000-0000-000016130000}"/>
    <cellStyle name="Normal 4 3 2 3 2 5 2 2 3 3" xfId="33599" xr:uid="{00000000-0005-0000-0000-000017130000}"/>
    <cellStyle name="Normal 4 3 2 3 2 5 2 2 4" xfId="15167" xr:uid="{00000000-0005-0000-0000-000018130000}"/>
    <cellStyle name="Normal 4 3 2 3 2 5 2 2 4 2" xfId="39743" xr:uid="{00000000-0005-0000-0000-000019130000}"/>
    <cellStyle name="Normal 4 3 2 3 2 5 2 2 5" xfId="27455" xr:uid="{00000000-0005-0000-0000-00001A130000}"/>
    <cellStyle name="Normal 4 3 2 3 2 5 2 3" xfId="4415" xr:uid="{00000000-0005-0000-0000-00001B130000}"/>
    <cellStyle name="Normal 4 3 2 3 2 5 2 3 2" xfId="10559" xr:uid="{00000000-0005-0000-0000-00001C130000}"/>
    <cellStyle name="Normal 4 3 2 3 2 5 2 3 2 2" xfId="22847" xr:uid="{00000000-0005-0000-0000-00001D130000}"/>
    <cellStyle name="Normal 4 3 2 3 2 5 2 3 2 2 2" xfId="47423" xr:uid="{00000000-0005-0000-0000-00001E130000}"/>
    <cellStyle name="Normal 4 3 2 3 2 5 2 3 2 3" xfId="35135" xr:uid="{00000000-0005-0000-0000-00001F130000}"/>
    <cellStyle name="Normal 4 3 2 3 2 5 2 3 3" xfId="16703" xr:uid="{00000000-0005-0000-0000-000020130000}"/>
    <cellStyle name="Normal 4 3 2 3 2 5 2 3 3 2" xfId="41279" xr:uid="{00000000-0005-0000-0000-000021130000}"/>
    <cellStyle name="Normal 4 3 2 3 2 5 2 3 4" xfId="28991" xr:uid="{00000000-0005-0000-0000-000022130000}"/>
    <cellStyle name="Normal 4 3 2 3 2 5 2 4" xfId="7487" xr:uid="{00000000-0005-0000-0000-000023130000}"/>
    <cellStyle name="Normal 4 3 2 3 2 5 2 4 2" xfId="19775" xr:uid="{00000000-0005-0000-0000-000024130000}"/>
    <cellStyle name="Normal 4 3 2 3 2 5 2 4 2 2" xfId="44351" xr:uid="{00000000-0005-0000-0000-000025130000}"/>
    <cellStyle name="Normal 4 3 2 3 2 5 2 4 3" xfId="32063" xr:uid="{00000000-0005-0000-0000-000026130000}"/>
    <cellStyle name="Normal 4 3 2 3 2 5 2 5" xfId="13631" xr:uid="{00000000-0005-0000-0000-000027130000}"/>
    <cellStyle name="Normal 4 3 2 3 2 5 2 5 2" xfId="38207" xr:uid="{00000000-0005-0000-0000-000028130000}"/>
    <cellStyle name="Normal 4 3 2 3 2 5 2 6" xfId="25919" xr:uid="{00000000-0005-0000-0000-000029130000}"/>
    <cellStyle name="Normal 4 3 2 3 2 5 3" xfId="2107" xr:uid="{00000000-0005-0000-0000-00002A130000}"/>
    <cellStyle name="Normal 4 3 2 3 2 5 3 2" xfId="5183" xr:uid="{00000000-0005-0000-0000-00002B130000}"/>
    <cellStyle name="Normal 4 3 2 3 2 5 3 2 2" xfId="11327" xr:uid="{00000000-0005-0000-0000-00002C130000}"/>
    <cellStyle name="Normal 4 3 2 3 2 5 3 2 2 2" xfId="23615" xr:uid="{00000000-0005-0000-0000-00002D130000}"/>
    <cellStyle name="Normal 4 3 2 3 2 5 3 2 2 2 2" xfId="48191" xr:uid="{00000000-0005-0000-0000-00002E130000}"/>
    <cellStyle name="Normal 4 3 2 3 2 5 3 2 2 3" xfId="35903" xr:uid="{00000000-0005-0000-0000-00002F130000}"/>
    <cellStyle name="Normal 4 3 2 3 2 5 3 2 3" xfId="17471" xr:uid="{00000000-0005-0000-0000-000030130000}"/>
    <cellStyle name="Normal 4 3 2 3 2 5 3 2 3 2" xfId="42047" xr:uid="{00000000-0005-0000-0000-000031130000}"/>
    <cellStyle name="Normal 4 3 2 3 2 5 3 2 4" xfId="29759" xr:uid="{00000000-0005-0000-0000-000032130000}"/>
    <cellStyle name="Normal 4 3 2 3 2 5 3 3" xfId="8255" xr:uid="{00000000-0005-0000-0000-000033130000}"/>
    <cellStyle name="Normal 4 3 2 3 2 5 3 3 2" xfId="20543" xr:uid="{00000000-0005-0000-0000-000034130000}"/>
    <cellStyle name="Normal 4 3 2 3 2 5 3 3 2 2" xfId="45119" xr:uid="{00000000-0005-0000-0000-000035130000}"/>
    <cellStyle name="Normal 4 3 2 3 2 5 3 3 3" xfId="32831" xr:uid="{00000000-0005-0000-0000-000036130000}"/>
    <cellStyle name="Normal 4 3 2 3 2 5 3 4" xfId="14399" xr:uid="{00000000-0005-0000-0000-000037130000}"/>
    <cellStyle name="Normal 4 3 2 3 2 5 3 4 2" xfId="38975" xr:uid="{00000000-0005-0000-0000-000038130000}"/>
    <cellStyle name="Normal 4 3 2 3 2 5 3 5" xfId="26687" xr:uid="{00000000-0005-0000-0000-000039130000}"/>
    <cellStyle name="Normal 4 3 2 3 2 5 4" xfId="3647" xr:uid="{00000000-0005-0000-0000-00003A130000}"/>
    <cellStyle name="Normal 4 3 2 3 2 5 4 2" xfId="9791" xr:uid="{00000000-0005-0000-0000-00003B130000}"/>
    <cellStyle name="Normal 4 3 2 3 2 5 4 2 2" xfId="22079" xr:uid="{00000000-0005-0000-0000-00003C130000}"/>
    <cellStyle name="Normal 4 3 2 3 2 5 4 2 2 2" xfId="46655" xr:uid="{00000000-0005-0000-0000-00003D130000}"/>
    <cellStyle name="Normal 4 3 2 3 2 5 4 2 3" xfId="34367" xr:uid="{00000000-0005-0000-0000-00003E130000}"/>
    <cellStyle name="Normal 4 3 2 3 2 5 4 3" xfId="15935" xr:uid="{00000000-0005-0000-0000-00003F130000}"/>
    <cellStyle name="Normal 4 3 2 3 2 5 4 3 2" xfId="40511" xr:uid="{00000000-0005-0000-0000-000040130000}"/>
    <cellStyle name="Normal 4 3 2 3 2 5 4 4" xfId="28223" xr:uid="{00000000-0005-0000-0000-000041130000}"/>
    <cellStyle name="Normal 4 3 2 3 2 5 5" xfId="6719" xr:uid="{00000000-0005-0000-0000-000042130000}"/>
    <cellStyle name="Normal 4 3 2 3 2 5 5 2" xfId="19007" xr:uid="{00000000-0005-0000-0000-000043130000}"/>
    <cellStyle name="Normal 4 3 2 3 2 5 5 2 2" xfId="43583" xr:uid="{00000000-0005-0000-0000-000044130000}"/>
    <cellStyle name="Normal 4 3 2 3 2 5 5 3" xfId="31295" xr:uid="{00000000-0005-0000-0000-000045130000}"/>
    <cellStyle name="Normal 4 3 2 3 2 5 6" xfId="12863" xr:uid="{00000000-0005-0000-0000-000046130000}"/>
    <cellStyle name="Normal 4 3 2 3 2 5 6 2" xfId="37439" xr:uid="{00000000-0005-0000-0000-000047130000}"/>
    <cellStyle name="Normal 4 3 2 3 2 5 7" xfId="25151" xr:uid="{00000000-0005-0000-0000-000048130000}"/>
    <cellStyle name="Normal 4 3 2 3 2 6" xfId="955" xr:uid="{00000000-0005-0000-0000-000049130000}"/>
    <cellStyle name="Normal 4 3 2 3 2 6 2" xfId="2491" xr:uid="{00000000-0005-0000-0000-00004A130000}"/>
    <cellStyle name="Normal 4 3 2 3 2 6 2 2" xfId="5567" xr:uid="{00000000-0005-0000-0000-00004B130000}"/>
    <cellStyle name="Normal 4 3 2 3 2 6 2 2 2" xfId="11711" xr:uid="{00000000-0005-0000-0000-00004C130000}"/>
    <cellStyle name="Normal 4 3 2 3 2 6 2 2 2 2" xfId="23999" xr:uid="{00000000-0005-0000-0000-00004D130000}"/>
    <cellStyle name="Normal 4 3 2 3 2 6 2 2 2 2 2" xfId="48575" xr:uid="{00000000-0005-0000-0000-00004E130000}"/>
    <cellStyle name="Normal 4 3 2 3 2 6 2 2 2 3" xfId="36287" xr:uid="{00000000-0005-0000-0000-00004F130000}"/>
    <cellStyle name="Normal 4 3 2 3 2 6 2 2 3" xfId="17855" xr:uid="{00000000-0005-0000-0000-000050130000}"/>
    <cellStyle name="Normal 4 3 2 3 2 6 2 2 3 2" xfId="42431" xr:uid="{00000000-0005-0000-0000-000051130000}"/>
    <cellStyle name="Normal 4 3 2 3 2 6 2 2 4" xfId="30143" xr:uid="{00000000-0005-0000-0000-000052130000}"/>
    <cellStyle name="Normal 4 3 2 3 2 6 2 3" xfId="8639" xr:uid="{00000000-0005-0000-0000-000053130000}"/>
    <cellStyle name="Normal 4 3 2 3 2 6 2 3 2" xfId="20927" xr:uid="{00000000-0005-0000-0000-000054130000}"/>
    <cellStyle name="Normal 4 3 2 3 2 6 2 3 2 2" xfId="45503" xr:uid="{00000000-0005-0000-0000-000055130000}"/>
    <cellStyle name="Normal 4 3 2 3 2 6 2 3 3" xfId="33215" xr:uid="{00000000-0005-0000-0000-000056130000}"/>
    <cellStyle name="Normal 4 3 2 3 2 6 2 4" xfId="14783" xr:uid="{00000000-0005-0000-0000-000057130000}"/>
    <cellStyle name="Normal 4 3 2 3 2 6 2 4 2" xfId="39359" xr:uid="{00000000-0005-0000-0000-000058130000}"/>
    <cellStyle name="Normal 4 3 2 3 2 6 2 5" xfId="27071" xr:uid="{00000000-0005-0000-0000-000059130000}"/>
    <cellStyle name="Normal 4 3 2 3 2 6 3" xfId="4031" xr:uid="{00000000-0005-0000-0000-00005A130000}"/>
    <cellStyle name="Normal 4 3 2 3 2 6 3 2" xfId="10175" xr:uid="{00000000-0005-0000-0000-00005B130000}"/>
    <cellStyle name="Normal 4 3 2 3 2 6 3 2 2" xfId="22463" xr:uid="{00000000-0005-0000-0000-00005C130000}"/>
    <cellStyle name="Normal 4 3 2 3 2 6 3 2 2 2" xfId="47039" xr:uid="{00000000-0005-0000-0000-00005D130000}"/>
    <cellStyle name="Normal 4 3 2 3 2 6 3 2 3" xfId="34751" xr:uid="{00000000-0005-0000-0000-00005E130000}"/>
    <cellStyle name="Normal 4 3 2 3 2 6 3 3" xfId="16319" xr:uid="{00000000-0005-0000-0000-00005F130000}"/>
    <cellStyle name="Normal 4 3 2 3 2 6 3 3 2" xfId="40895" xr:uid="{00000000-0005-0000-0000-000060130000}"/>
    <cellStyle name="Normal 4 3 2 3 2 6 3 4" xfId="28607" xr:uid="{00000000-0005-0000-0000-000061130000}"/>
    <cellStyle name="Normal 4 3 2 3 2 6 4" xfId="7103" xr:uid="{00000000-0005-0000-0000-000062130000}"/>
    <cellStyle name="Normal 4 3 2 3 2 6 4 2" xfId="19391" xr:uid="{00000000-0005-0000-0000-000063130000}"/>
    <cellStyle name="Normal 4 3 2 3 2 6 4 2 2" xfId="43967" xr:uid="{00000000-0005-0000-0000-000064130000}"/>
    <cellStyle name="Normal 4 3 2 3 2 6 4 3" xfId="31679" xr:uid="{00000000-0005-0000-0000-000065130000}"/>
    <cellStyle name="Normal 4 3 2 3 2 6 5" xfId="13247" xr:uid="{00000000-0005-0000-0000-000066130000}"/>
    <cellStyle name="Normal 4 3 2 3 2 6 5 2" xfId="37823" xr:uid="{00000000-0005-0000-0000-000067130000}"/>
    <cellStyle name="Normal 4 3 2 3 2 6 6" xfId="25535" xr:uid="{00000000-0005-0000-0000-000068130000}"/>
    <cellStyle name="Normal 4 3 2 3 2 7" xfId="1723" xr:uid="{00000000-0005-0000-0000-000069130000}"/>
    <cellStyle name="Normal 4 3 2 3 2 7 2" xfId="4799" xr:uid="{00000000-0005-0000-0000-00006A130000}"/>
    <cellStyle name="Normal 4 3 2 3 2 7 2 2" xfId="10943" xr:uid="{00000000-0005-0000-0000-00006B130000}"/>
    <cellStyle name="Normal 4 3 2 3 2 7 2 2 2" xfId="23231" xr:uid="{00000000-0005-0000-0000-00006C130000}"/>
    <cellStyle name="Normal 4 3 2 3 2 7 2 2 2 2" xfId="47807" xr:uid="{00000000-0005-0000-0000-00006D130000}"/>
    <cellStyle name="Normal 4 3 2 3 2 7 2 2 3" xfId="35519" xr:uid="{00000000-0005-0000-0000-00006E130000}"/>
    <cellStyle name="Normal 4 3 2 3 2 7 2 3" xfId="17087" xr:uid="{00000000-0005-0000-0000-00006F130000}"/>
    <cellStyle name="Normal 4 3 2 3 2 7 2 3 2" xfId="41663" xr:uid="{00000000-0005-0000-0000-000070130000}"/>
    <cellStyle name="Normal 4 3 2 3 2 7 2 4" xfId="29375" xr:uid="{00000000-0005-0000-0000-000071130000}"/>
    <cellStyle name="Normal 4 3 2 3 2 7 3" xfId="7871" xr:uid="{00000000-0005-0000-0000-000072130000}"/>
    <cellStyle name="Normal 4 3 2 3 2 7 3 2" xfId="20159" xr:uid="{00000000-0005-0000-0000-000073130000}"/>
    <cellStyle name="Normal 4 3 2 3 2 7 3 2 2" xfId="44735" xr:uid="{00000000-0005-0000-0000-000074130000}"/>
    <cellStyle name="Normal 4 3 2 3 2 7 3 3" xfId="32447" xr:uid="{00000000-0005-0000-0000-000075130000}"/>
    <cellStyle name="Normal 4 3 2 3 2 7 4" xfId="14015" xr:uid="{00000000-0005-0000-0000-000076130000}"/>
    <cellStyle name="Normal 4 3 2 3 2 7 4 2" xfId="38591" xr:uid="{00000000-0005-0000-0000-000077130000}"/>
    <cellStyle name="Normal 4 3 2 3 2 7 5" xfId="26303" xr:uid="{00000000-0005-0000-0000-000078130000}"/>
    <cellStyle name="Normal 4 3 2 3 2 8" xfId="3263" xr:uid="{00000000-0005-0000-0000-000079130000}"/>
    <cellStyle name="Normal 4 3 2 3 2 8 2" xfId="9407" xr:uid="{00000000-0005-0000-0000-00007A130000}"/>
    <cellStyle name="Normal 4 3 2 3 2 8 2 2" xfId="21695" xr:uid="{00000000-0005-0000-0000-00007B130000}"/>
    <cellStyle name="Normal 4 3 2 3 2 8 2 2 2" xfId="46271" xr:uid="{00000000-0005-0000-0000-00007C130000}"/>
    <cellStyle name="Normal 4 3 2 3 2 8 2 3" xfId="33983" xr:uid="{00000000-0005-0000-0000-00007D130000}"/>
    <cellStyle name="Normal 4 3 2 3 2 8 3" xfId="15551" xr:uid="{00000000-0005-0000-0000-00007E130000}"/>
    <cellStyle name="Normal 4 3 2 3 2 8 3 2" xfId="40127" xr:uid="{00000000-0005-0000-0000-00007F130000}"/>
    <cellStyle name="Normal 4 3 2 3 2 8 4" xfId="27839" xr:uid="{00000000-0005-0000-0000-000080130000}"/>
    <cellStyle name="Normal 4 3 2 3 2 9" xfId="6335" xr:uid="{00000000-0005-0000-0000-000081130000}"/>
    <cellStyle name="Normal 4 3 2 3 2 9 2" xfId="18623" xr:uid="{00000000-0005-0000-0000-000082130000}"/>
    <cellStyle name="Normal 4 3 2 3 2 9 2 2" xfId="43199" xr:uid="{00000000-0005-0000-0000-000083130000}"/>
    <cellStyle name="Normal 4 3 2 3 2 9 3" xfId="30911" xr:uid="{00000000-0005-0000-0000-000084130000}"/>
    <cellStyle name="Normal 4 3 2 3 3" xfId="219" xr:uid="{00000000-0005-0000-0000-000085130000}"/>
    <cellStyle name="Normal 4 3 2 3 3 2" xfId="411" xr:uid="{00000000-0005-0000-0000-000086130000}"/>
    <cellStyle name="Normal 4 3 2 3 3 2 2" xfId="795" xr:uid="{00000000-0005-0000-0000-000087130000}"/>
    <cellStyle name="Normal 4 3 2 3 3 2 2 2" xfId="1563" xr:uid="{00000000-0005-0000-0000-000088130000}"/>
    <cellStyle name="Normal 4 3 2 3 3 2 2 2 2" xfId="3099" xr:uid="{00000000-0005-0000-0000-000089130000}"/>
    <cellStyle name="Normal 4 3 2 3 3 2 2 2 2 2" xfId="6175" xr:uid="{00000000-0005-0000-0000-00008A130000}"/>
    <cellStyle name="Normal 4 3 2 3 3 2 2 2 2 2 2" xfId="12319" xr:uid="{00000000-0005-0000-0000-00008B130000}"/>
    <cellStyle name="Normal 4 3 2 3 3 2 2 2 2 2 2 2" xfId="24607" xr:uid="{00000000-0005-0000-0000-00008C130000}"/>
    <cellStyle name="Normal 4 3 2 3 3 2 2 2 2 2 2 2 2" xfId="49183" xr:uid="{00000000-0005-0000-0000-00008D130000}"/>
    <cellStyle name="Normal 4 3 2 3 3 2 2 2 2 2 2 3" xfId="36895" xr:uid="{00000000-0005-0000-0000-00008E130000}"/>
    <cellStyle name="Normal 4 3 2 3 3 2 2 2 2 2 3" xfId="18463" xr:uid="{00000000-0005-0000-0000-00008F130000}"/>
    <cellStyle name="Normal 4 3 2 3 3 2 2 2 2 2 3 2" xfId="43039" xr:uid="{00000000-0005-0000-0000-000090130000}"/>
    <cellStyle name="Normal 4 3 2 3 3 2 2 2 2 2 4" xfId="30751" xr:uid="{00000000-0005-0000-0000-000091130000}"/>
    <cellStyle name="Normal 4 3 2 3 3 2 2 2 2 3" xfId="9247" xr:uid="{00000000-0005-0000-0000-000092130000}"/>
    <cellStyle name="Normal 4 3 2 3 3 2 2 2 2 3 2" xfId="21535" xr:uid="{00000000-0005-0000-0000-000093130000}"/>
    <cellStyle name="Normal 4 3 2 3 3 2 2 2 2 3 2 2" xfId="46111" xr:uid="{00000000-0005-0000-0000-000094130000}"/>
    <cellStyle name="Normal 4 3 2 3 3 2 2 2 2 3 3" xfId="33823" xr:uid="{00000000-0005-0000-0000-000095130000}"/>
    <cellStyle name="Normal 4 3 2 3 3 2 2 2 2 4" xfId="15391" xr:uid="{00000000-0005-0000-0000-000096130000}"/>
    <cellStyle name="Normal 4 3 2 3 3 2 2 2 2 4 2" xfId="39967" xr:uid="{00000000-0005-0000-0000-000097130000}"/>
    <cellStyle name="Normal 4 3 2 3 3 2 2 2 2 5" xfId="27679" xr:uid="{00000000-0005-0000-0000-000098130000}"/>
    <cellStyle name="Normal 4 3 2 3 3 2 2 2 3" xfId="4639" xr:uid="{00000000-0005-0000-0000-000099130000}"/>
    <cellStyle name="Normal 4 3 2 3 3 2 2 2 3 2" xfId="10783" xr:uid="{00000000-0005-0000-0000-00009A130000}"/>
    <cellStyle name="Normal 4 3 2 3 3 2 2 2 3 2 2" xfId="23071" xr:uid="{00000000-0005-0000-0000-00009B130000}"/>
    <cellStyle name="Normal 4 3 2 3 3 2 2 2 3 2 2 2" xfId="47647" xr:uid="{00000000-0005-0000-0000-00009C130000}"/>
    <cellStyle name="Normal 4 3 2 3 3 2 2 2 3 2 3" xfId="35359" xr:uid="{00000000-0005-0000-0000-00009D130000}"/>
    <cellStyle name="Normal 4 3 2 3 3 2 2 2 3 3" xfId="16927" xr:uid="{00000000-0005-0000-0000-00009E130000}"/>
    <cellStyle name="Normal 4 3 2 3 3 2 2 2 3 3 2" xfId="41503" xr:uid="{00000000-0005-0000-0000-00009F130000}"/>
    <cellStyle name="Normal 4 3 2 3 3 2 2 2 3 4" xfId="29215" xr:uid="{00000000-0005-0000-0000-0000A0130000}"/>
    <cellStyle name="Normal 4 3 2 3 3 2 2 2 4" xfId="7711" xr:uid="{00000000-0005-0000-0000-0000A1130000}"/>
    <cellStyle name="Normal 4 3 2 3 3 2 2 2 4 2" xfId="19999" xr:uid="{00000000-0005-0000-0000-0000A2130000}"/>
    <cellStyle name="Normal 4 3 2 3 3 2 2 2 4 2 2" xfId="44575" xr:uid="{00000000-0005-0000-0000-0000A3130000}"/>
    <cellStyle name="Normal 4 3 2 3 3 2 2 2 4 3" xfId="32287" xr:uid="{00000000-0005-0000-0000-0000A4130000}"/>
    <cellStyle name="Normal 4 3 2 3 3 2 2 2 5" xfId="13855" xr:uid="{00000000-0005-0000-0000-0000A5130000}"/>
    <cellStyle name="Normal 4 3 2 3 3 2 2 2 5 2" xfId="38431" xr:uid="{00000000-0005-0000-0000-0000A6130000}"/>
    <cellStyle name="Normal 4 3 2 3 3 2 2 2 6" xfId="26143" xr:uid="{00000000-0005-0000-0000-0000A7130000}"/>
    <cellStyle name="Normal 4 3 2 3 3 2 2 3" xfId="2331" xr:uid="{00000000-0005-0000-0000-0000A8130000}"/>
    <cellStyle name="Normal 4 3 2 3 3 2 2 3 2" xfId="5407" xr:uid="{00000000-0005-0000-0000-0000A9130000}"/>
    <cellStyle name="Normal 4 3 2 3 3 2 2 3 2 2" xfId="11551" xr:uid="{00000000-0005-0000-0000-0000AA130000}"/>
    <cellStyle name="Normal 4 3 2 3 3 2 2 3 2 2 2" xfId="23839" xr:uid="{00000000-0005-0000-0000-0000AB130000}"/>
    <cellStyle name="Normal 4 3 2 3 3 2 2 3 2 2 2 2" xfId="48415" xr:uid="{00000000-0005-0000-0000-0000AC130000}"/>
    <cellStyle name="Normal 4 3 2 3 3 2 2 3 2 2 3" xfId="36127" xr:uid="{00000000-0005-0000-0000-0000AD130000}"/>
    <cellStyle name="Normal 4 3 2 3 3 2 2 3 2 3" xfId="17695" xr:uid="{00000000-0005-0000-0000-0000AE130000}"/>
    <cellStyle name="Normal 4 3 2 3 3 2 2 3 2 3 2" xfId="42271" xr:uid="{00000000-0005-0000-0000-0000AF130000}"/>
    <cellStyle name="Normal 4 3 2 3 3 2 2 3 2 4" xfId="29983" xr:uid="{00000000-0005-0000-0000-0000B0130000}"/>
    <cellStyle name="Normal 4 3 2 3 3 2 2 3 3" xfId="8479" xr:uid="{00000000-0005-0000-0000-0000B1130000}"/>
    <cellStyle name="Normal 4 3 2 3 3 2 2 3 3 2" xfId="20767" xr:uid="{00000000-0005-0000-0000-0000B2130000}"/>
    <cellStyle name="Normal 4 3 2 3 3 2 2 3 3 2 2" xfId="45343" xr:uid="{00000000-0005-0000-0000-0000B3130000}"/>
    <cellStyle name="Normal 4 3 2 3 3 2 2 3 3 3" xfId="33055" xr:uid="{00000000-0005-0000-0000-0000B4130000}"/>
    <cellStyle name="Normal 4 3 2 3 3 2 2 3 4" xfId="14623" xr:uid="{00000000-0005-0000-0000-0000B5130000}"/>
    <cellStyle name="Normal 4 3 2 3 3 2 2 3 4 2" xfId="39199" xr:uid="{00000000-0005-0000-0000-0000B6130000}"/>
    <cellStyle name="Normal 4 3 2 3 3 2 2 3 5" xfId="26911" xr:uid="{00000000-0005-0000-0000-0000B7130000}"/>
    <cellStyle name="Normal 4 3 2 3 3 2 2 4" xfId="3871" xr:uid="{00000000-0005-0000-0000-0000B8130000}"/>
    <cellStyle name="Normal 4 3 2 3 3 2 2 4 2" xfId="10015" xr:uid="{00000000-0005-0000-0000-0000B9130000}"/>
    <cellStyle name="Normal 4 3 2 3 3 2 2 4 2 2" xfId="22303" xr:uid="{00000000-0005-0000-0000-0000BA130000}"/>
    <cellStyle name="Normal 4 3 2 3 3 2 2 4 2 2 2" xfId="46879" xr:uid="{00000000-0005-0000-0000-0000BB130000}"/>
    <cellStyle name="Normal 4 3 2 3 3 2 2 4 2 3" xfId="34591" xr:uid="{00000000-0005-0000-0000-0000BC130000}"/>
    <cellStyle name="Normal 4 3 2 3 3 2 2 4 3" xfId="16159" xr:uid="{00000000-0005-0000-0000-0000BD130000}"/>
    <cellStyle name="Normal 4 3 2 3 3 2 2 4 3 2" xfId="40735" xr:uid="{00000000-0005-0000-0000-0000BE130000}"/>
    <cellStyle name="Normal 4 3 2 3 3 2 2 4 4" xfId="28447" xr:uid="{00000000-0005-0000-0000-0000BF130000}"/>
    <cellStyle name="Normal 4 3 2 3 3 2 2 5" xfId="6943" xr:uid="{00000000-0005-0000-0000-0000C0130000}"/>
    <cellStyle name="Normal 4 3 2 3 3 2 2 5 2" xfId="19231" xr:uid="{00000000-0005-0000-0000-0000C1130000}"/>
    <cellStyle name="Normal 4 3 2 3 3 2 2 5 2 2" xfId="43807" xr:uid="{00000000-0005-0000-0000-0000C2130000}"/>
    <cellStyle name="Normal 4 3 2 3 3 2 2 5 3" xfId="31519" xr:uid="{00000000-0005-0000-0000-0000C3130000}"/>
    <cellStyle name="Normal 4 3 2 3 3 2 2 6" xfId="13087" xr:uid="{00000000-0005-0000-0000-0000C4130000}"/>
    <cellStyle name="Normal 4 3 2 3 3 2 2 6 2" xfId="37663" xr:uid="{00000000-0005-0000-0000-0000C5130000}"/>
    <cellStyle name="Normal 4 3 2 3 3 2 2 7" xfId="25375" xr:uid="{00000000-0005-0000-0000-0000C6130000}"/>
    <cellStyle name="Normal 4 3 2 3 3 2 3" xfId="1179" xr:uid="{00000000-0005-0000-0000-0000C7130000}"/>
    <cellStyle name="Normal 4 3 2 3 3 2 3 2" xfId="2715" xr:uid="{00000000-0005-0000-0000-0000C8130000}"/>
    <cellStyle name="Normal 4 3 2 3 3 2 3 2 2" xfId="5791" xr:uid="{00000000-0005-0000-0000-0000C9130000}"/>
    <cellStyle name="Normal 4 3 2 3 3 2 3 2 2 2" xfId="11935" xr:uid="{00000000-0005-0000-0000-0000CA130000}"/>
    <cellStyle name="Normal 4 3 2 3 3 2 3 2 2 2 2" xfId="24223" xr:uid="{00000000-0005-0000-0000-0000CB130000}"/>
    <cellStyle name="Normal 4 3 2 3 3 2 3 2 2 2 2 2" xfId="48799" xr:uid="{00000000-0005-0000-0000-0000CC130000}"/>
    <cellStyle name="Normal 4 3 2 3 3 2 3 2 2 2 3" xfId="36511" xr:uid="{00000000-0005-0000-0000-0000CD130000}"/>
    <cellStyle name="Normal 4 3 2 3 3 2 3 2 2 3" xfId="18079" xr:uid="{00000000-0005-0000-0000-0000CE130000}"/>
    <cellStyle name="Normal 4 3 2 3 3 2 3 2 2 3 2" xfId="42655" xr:uid="{00000000-0005-0000-0000-0000CF130000}"/>
    <cellStyle name="Normal 4 3 2 3 3 2 3 2 2 4" xfId="30367" xr:uid="{00000000-0005-0000-0000-0000D0130000}"/>
    <cellStyle name="Normal 4 3 2 3 3 2 3 2 3" xfId="8863" xr:uid="{00000000-0005-0000-0000-0000D1130000}"/>
    <cellStyle name="Normal 4 3 2 3 3 2 3 2 3 2" xfId="21151" xr:uid="{00000000-0005-0000-0000-0000D2130000}"/>
    <cellStyle name="Normal 4 3 2 3 3 2 3 2 3 2 2" xfId="45727" xr:uid="{00000000-0005-0000-0000-0000D3130000}"/>
    <cellStyle name="Normal 4 3 2 3 3 2 3 2 3 3" xfId="33439" xr:uid="{00000000-0005-0000-0000-0000D4130000}"/>
    <cellStyle name="Normal 4 3 2 3 3 2 3 2 4" xfId="15007" xr:uid="{00000000-0005-0000-0000-0000D5130000}"/>
    <cellStyle name="Normal 4 3 2 3 3 2 3 2 4 2" xfId="39583" xr:uid="{00000000-0005-0000-0000-0000D6130000}"/>
    <cellStyle name="Normal 4 3 2 3 3 2 3 2 5" xfId="27295" xr:uid="{00000000-0005-0000-0000-0000D7130000}"/>
    <cellStyle name="Normal 4 3 2 3 3 2 3 3" xfId="4255" xr:uid="{00000000-0005-0000-0000-0000D8130000}"/>
    <cellStyle name="Normal 4 3 2 3 3 2 3 3 2" xfId="10399" xr:uid="{00000000-0005-0000-0000-0000D9130000}"/>
    <cellStyle name="Normal 4 3 2 3 3 2 3 3 2 2" xfId="22687" xr:uid="{00000000-0005-0000-0000-0000DA130000}"/>
    <cellStyle name="Normal 4 3 2 3 3 2 3 3 2 2 2" xfId="47263" xr:uid="{00000000-0005-0000-0000-0000DB130000}"/>
    <cellStyle name="Normal 4 3 2 3 3 2 3 3 2 3" xfId="34975" xr:uid="{00000000-0005-0000-0000-0000DC130000}"/>
    <cellStyle name="Normal 4 3 2 3 3 2 3 3 3" xfId="16543" xr:uid="{00000000-0005-0000-0000-0000DD130000}"/>
    <cellStyle name="Normal 4 3 2 3 3 2 3 3 3 2" xfId="41119" xr:uid="{00000000-0005-0000-0000-0000DE130000}"/>
    <cellStyle name="Normal 4 3 2 3 3 2 3 3 4" xfId="28831" xr:uid="{00000000-0005-0000-0000-0000DF130000}"/>
    <cellStyle name="Normal 4 3 2 3 3 2 3 4" xfId="7327" xr:uid="{00000000-0005-0000-0000-0000E0130000}"/>
    <cellStyle name="Normal 4 3 2 3 3 2 3 4 2" xfId="19615" xr:uid="{00000000-0005-0000-0000-0000E1130000}"/>
    <cellStyle name="Normal 4 3 2 3 3 2 3 4 2 2" xfId="44191" xr:uid="{00000000-0005-0000-0000-0000E2130000}"/>
    <cellStyle name="Normal 4 3 2 3 3 2 3 4 3" xfId="31903" xr:uid="{00000000-0005-0000-0000-0000E3130000}"/>
    <cellStyle name="Normal 4 3 2 3 3 2 3 5" xfId="13471" xr:uid="{00000000-0005-0000-0000-0000E4130000}"/>
    <cellStyle name="Normal 4 3 2 3 3 2 3 5 2" xfId="38047" xr:uid="{00000000-0005-0000-0000-0000E5130000}"/>
    <cellStyle name="Normal 4 3 2 3 3 2 3 6" xfId="25759" xr:uid="{00000000-0005-0000-0000-0000E6130000}"/>
    <cellStyle name="Normal 4 3 2 3 3 2 4" xfId="1947" xr:uid="{00000000-0005-0000-0000-0000E7130000}"/>
    <cellStyle name="Normal 4 3 2 3 3 2 4 2" xfId="5023" xr:uid="{00000000-0005-0000-0000-0000E8130000}"/>
    <cellStyle name="Normal 4 3 2 3 3 2 4 2 2" xfId="11167" xr:uid="{00000000-0005-0000-0000-0000E9130000}"/>
    <cellStyle name="Normal 4 3 2 3 3 2 4 2 2 2" xfId="23455" xr:uid="{00000000-0005-0000-0000-0000EA130000}"/>
    <cellStyle name="Normal 4 3 2 3 3 2 4 2 2 2 2" xfId="48031" xr:uid="{00000000-0005-0000-0000-0000EB130000}"/>
    <cellStyle name="Normal 4 3 2 3 3 2 4 2 2 3" xfId="35743" xr:uid="{00000000-0005-0000-0000-0000EC130000}"/>
    <cellStyle name="Normal 4 3 2 3 3 2 4 2 3" xfId="17311" xr:uid="{00000000-0005-0000-0000-0000ED130000}"/>
    <cellStyle name="Normal 4 3 2 3 3 2 4 2 3 2" xfId="41887" xr:uid="{00000000-0005-0000-0000-0000EE130000}"/>
    <cellStyle name="Normal 4 3 2 3 3 2 4 2 4" xfId="29599" xr:uid="{00000000-0005-0000-0000-0000EF130000}"/>
    <cellStyle name="Normal 4 3 2 3 3 2 4 3" xfId="8095" xr:uid="{00000000-0005-0000-0000-0000F0130000}"/>
    <cellStyle name="Normal 4 3 2 3 3 2 4 3 2" xfId="20383" xr:uid="{00000000-0005-0000-0000-0000F1130000}"/>
    <cellStyle name="Normal 4 3 2 3 3 2 4 3 2 2" xfId="44959" xr:uid="{00000000-0005-0000-0000-0000F2130000}"/>
    <cellStyle name="Normal 4 3 2 3 3 2 4 3 3" xfId="32671" xr:uid="{00000000-0005-0000-0000-0000F3130000}"/>
    <cellStyle name="Normal 4 3 2 3 3 2 4 4" xfId="14239" xr:uid="{00000000-0005-0000-0000-0000F4130000}"/>
    <cellStyle name="Normal 4 3 2 3 3 2 4 4 2" xfId="38815" xr:uid="{00000000-0005-0000-0000-0000F5130000}"/>
    <cellStyle name="Normal 4 3 2 3 3 2 4 5" xfId="26527" xr:uid="{00000000-0005-0000-0000-0000F6130000}"/>
    <cellStyle name="Normal 4 3 2 3 3 2 5" xfId="3487" xr:uid="{00000000-0005-0000-0000-0000F7130000}"/>
    <cellStyle name="Normal 4 3 2 3 3 2 5 2" xfId="9631" xr:uid="{00000000-0005-0000-0000-0000F8130000}"/>
    <cellStyle name="Normal 4 3 2 3 3 2 5 2 2" xfId="21919" xr:uid="{00000000-0005-0000-0000-0000F9130000}"/>
    <cellStyle name="Normal 4 3 2 3 3 2 5 2 2 2" xfId="46495" xr:uid="{00000000-0005-0000-0000-0000FA130000}"/>
    <cellStyle name="Normal 4 3 2 3 3 2 5 2 3" xfId="34207" xr:uid="{00000000-0005-0000-0000-0000FB130000}"/>
    <cellStyle name="Normal 4 3 2 3 3 2 5 3" xfId="15775" xr:uid="{00000000-0005-0000-0000-0000FC130000}"/>
    <cellStyle name="Normal 4 3 2 3 3 2 5 3 2" xfId="40351" xr:uid="{00000000-0005-0000-0000-0000FD130000}"/>
    <cellStyle name="Normal 4 3 2 3 3 2 5 4" xfId="28063" xr:uid="{00000000-0005-0000-0000-0000FE130000}"/>
    <cellStyle name="Normal 4 3 2 3 3 2 6" xfId="6559" xr:uid="{00000000-0005-0000-0000-0000FF130000}"/>
    <cellStyle name="Normal 4 3 2 3 3 2 6 2" xfId="18847" xr:uid="{00000000-0005-0000-0000-000000140000}"/>
    <cellStyle name="Normal 4 3 2 3 3 2 6 2 2" xfId="43423" xr:uid="{00000000-0005-0000-0000-000001140000}"/>
    <cellStyle name="Normal 4 3 2 3 3 2 6 3" xfId="31135" xr:uid="{00000000-0005-0000-0000-000002140000}"/>
    <cellStyle name="Normal 4 3 2 3 3 2 7" xfId="12703" xr:uid="{00000000-0005-0000-0000-000003140000}"/>
    <cellStyle name="Normal 4 3 2 3 3 2 7 2" xfId="37279" xr:uid="{00000000-0005-0000-0000-000004140000}"/>
    <cellStyle name="Normal 4 3 2 3 3 2 8" xfId="24991" xr:uid="{00000000-0005-0000-0000-000005140000}"/>
    <cellStyle name="Normal 4 3 2 3 3 3" xfId="603" xr:uid="{00000000-0005-0000-0000-000006140000}"/>
    <cellStyle name="Normal 4 3 2 3 3 3 2" xfId="1371" xr:uid="{00000000-0005-0000-0000-000007140000}"/>
    <cellStyle name="Normal 4 3 2 3 3 3 2 2" xfId="2907" xr:uid="{00000000-0005-0000-0000-000008140000}"/>
    <cellStyle name="Normal 4 3 2 3 3 3 2 2 2" xfId="5983" xr:uid="{00000000-0005-0000-0000-000009140000}"/>
    <cellStyle name="Normal 4 3 2 3 3 3 2 2 2 2" xfId="12127" xr:uid="{00000000-0005-0000-0000-00000A140000}"/>
    <cellStyle name="Normal 4 3 2 3 3 3 2 2 2 2 2" xfId="24415" xr:uid="{00000000-0005-0000-0000-00000B140000}"/>
    <cellStyle name="Normal 4 3 2 3 3 3 2 2 2 2 2 2" xfId="48991" xr:uid="{00000000-0005-0000-0000-00000C140000}"/>
    <cellStyle name="Normal 4 3 2 3 3 3 2 2 2 2 3" xfId="36703" xr:uid="{00000000-0005-0000-0000-00000D140000}"/>
    <cellStyle name="Normal 4 3 2 3 3 3 2 2 2 3" xfId="18271" xr:uid="{00000000-0005-0000-0000-00000E140000}"/>
    <cellStyle name="Normal 4 3 2 3 3 3 2 2 2 3 2" xfId="42847" xr:uid="{00000000-0005-0000-0000-00000F140000}"/>
    <cellStyle name="Normal 4 3 2 3 3 3 2 2 2 4" xfId="30559" xr:uid="{00000000-0005-0000-0000-000010140000}"/>
    <cellStyle name="Normal 4 3 2 3 3 3 2 2 3" xfId="9055" xr:uid="{00000000-0005-0000-0000-000011140000}"/>
    <cellStyle name="Normal 4 3 2 3 3 3 2 2 3 2" xfId="21343" xr:uid="{00000000-0005-0000-0000-000012140000}"/>
    <cellStyle name="Normal 4 3 2 3 3 3 2 2 3 2 2" xfId="45919" xr:uid="{00000000-0005-0000-0000-000013140000}"/>
    <cellStyle name="Normal 4 3 2 3 3 3 2 2 3 3" xfId="33631" xr:uid="{00000000-0005-0000-0000-000014140000}"/>
    <cellStyle name="Normal 4 3 2 3 3 3 2 2 4" xfId="15199" xr:uid="{00000000-0005-0000-0000-000015140000}"/>
    <cellStyle name="Normal 4 3 2 3 3 3 2 2 4 2" xfId="39775" xr:uid="{00000000-0005-0000-0000-000016140000}"/>
    <cellStyle name="Normal 4 3 2 3 3 3 2 2 5" xfId="27487" xr:uid="{00000000-0005-0000-0000-000017140000}"/>
    <cellStyle name="Normal 4 3 2 3 3 3 2 3" xfId="4447" xr:uid="{00000000-0005-0000-0000-000018140000}"/>
    <cellStyle name="Normal 4 3 2 3 3 3 2 3 2" xfId="10591" xr:uid="{00000000-0005-0000-0000-000019140000}"/>
    <cellStyle name="Normal 4 3 2 3 3 3 2 3 2 2" xfId="22879" xr:uid="{00000000-0005-0000-0000-00001A140000}"/>
    <cellStyle name="Normal 4 3 2 3 3 3 2 3 2 2 2" xfId="47455" xr:uid="{00000000-0005-0000-0000-00001B140000}"/>
    <cellStyle name="Normal 4 3 2 3 3 3 2 3 2 3" xfId="35167" xr:uid="{00000000-0005-0000-0000-00001C140000}"/>
    <cellStyle name="Normal 4 3 2 3 3 3 2 3 3" xfId="16735" xr:uid="{00000000-0005-0000-0000-00001D140000}"/>
    <cellStyle name="Normal 4 3 2 3 3 3 2 3 3 2" xfId="41311" xr:uid="{00000000-0005-0000-0000-00001E140000}"/>
    <cellStyle name="Normal 4 3 2 3 3 3 2 3 4" xfId="29023" xr:uid="{00000000-0005-0000-0000-00001F140000}"/>
    <cellStyle name="Normal 4 3 2 3 3 3 2 4" xfId="7519" xr:uid="{00000000-0005-0000-0000-000020140000}"/>
    <cellStyle name="Normal 4 3 2 3 3 3 2 4 2" xfId="19807" xr:uid="{00000000-0005-0000-0000-000021140000}"/>
    <cellStyle name="Normal 4 3 2 3 3 3 2 4 2 2" xfId="44383" xr:uid="{00000000-0005-0000-0000-000022140000}"/>
    <cellStyle name="Normal 4 3 2 3 3 3 2 4 3" xfId="32095" xr:uid="{00000000-0005-0000-0000-000023140000}"/>
    <cellStyle name="Normal 4 3 2 3 3 3 2 5" xfId="13663" xr:uid="{00000000-0005-0000-0000-000024140000}"/>
    <cellStyle name="Normal 4 3 2 3 3 3 2 5 2" xfId="38239" xr:uid="{00000000-0005-0000-0000-000025140000}"/>
    <cellStyle name="Normal 4 3 2 3 3 3 2 6" xfId="25951" xr:uid="{00000000-0005-0000-0000-000026140000}"/>
    <cellStyle name="Normal 4 3 2 3 3 3 3" xfId="2139" xr:uid="{00000000-0005-0000-0000-000027140000}"/>
    <cellStyle name="Normal 4 3 2 3 3 3 3 2" xfId="5215" xr:uid="{00000000-0005-0000-0000-000028140000}"/>
    <cellStyle name="Normal 4 3 2 3 3 3 3 2 2" xfId="11359" xr:uid="{00000000-0005-0000-0000-000029140000}"/>
    <cellStyle name="Normal 4 3 2 3 3 3 3 2 2 2" xfId="23647" xr:uid="{00000000-0005-0000-0000-00002A140000}"/>
    <cellStyle name="Normal 4 3 2 3 3 3 3 2 2 2 2" xfId="48223" xr:uid="{00000000-0005-0000-0000-00002B140000}"/>
    <cellStyle name="Normal 4 3 2 3 3 3 3 2 2 3" xfId="35935" xr:uid="{00000000-0005-0000-0000-00002C140000}"/>
    <cellStyle name="Normal 4 3 2 3 3 3 3 2 3" xfId="17503" xr:uid="{00000000-0005-0000-0000-00002D140000}"/>
    <cellStyle name="Normal 4 3 2 3 3 3 3 2 3 2" xfId="42079" xr:uid="{00000000-0005-0000-0000-00002E140000}"/>
    <cellStyle name="Normal 4 3 2 3 3 3 3 2 4" xfId="29791" xr:uid="{00000000-0005-0000-0000-00002F140000}"/>
    <cellStyle name="Normal 4 3 2 3 3 3 3 3" xfId="8287" xr:uid="{00000000-0005-0000-0000-000030140000}"/>
    <cellStyle name="Normal 4 3 2 3 3 3 3 3 2" xfId="20575" xr:uid="{00000000-0005-0000-0000-000031140000}"/>
    <cellStyle name="Normal 4 3 2 3 3 3 3 3 2 2" xfId="45151" xr:uid="{00000000-0005-0000-0000-000032140000}"/>
    <cellStyle name="Normal 4 3 2 3 3 3 3 3 3" xfId="32863" xr:uid="{00000000-0005-0000-0000-000033140000}"/>
    <cellStyle name="Normal 4 3 2 3 3 3 3 4" xfId="14431" xr:uid="{00000000-0005-0000-0000-000034140000}"/>
    <cellStyle name="Normal 4 3 2 3 3 3 3 4 2" xfId="39007" xr:uid="{00000000-0005-0000-0000-000035140000}"/>
    <cellStyle name="Normal 4 3 2 3 3 3 3 5" xfId="26719" xr:uid="{00000000-0005-0000-0000-000036140000}"/>
    <cellStyle name="Normal 4 3 2 3 3 3 4" xfId="3679" xr:uid="{00000000-0005-0000-0000-000037140000}"/>
    <cellStyle name="Normal 4 3 2 3 3 3 4 2" xfId="9823" xr:uid="{00000000-0005-0000-0000-000038140000}"/>
    <cellStyle name="Normal 4 3 2 3 3 3 4 2 2" xfId="22111" xr:uid="{00000000-0005-0000-0000-000039140000}"/>
    <cellStyle name="Normal 4 3 2 3 3 3 4 2 2 2" xfId="46687" xr:uid="{00000000-0005-0000-0000-00003A140000}"/>
    <cellStyle name="Normal 4 3 2 3 3 3 4 2 3" xfId="34399" xr:uid="{00000000-0005-0000-0000-00003B140000}"/>
    <cellStyle name="Normal 4 3 2 3 3 3 4 3" xfId="15967" xr:uid="{00000000-0005-0000-0000-00003C140000}"/>
    <cellStyle name="Normal 4 3 2 3 3 3 4 3 2" xfId="40543" xr:uid="{00000000-0005-0000-0000-00003D140000}"/>
    <cellStyle name="Normal 4 3 2 3 3 3 4 4" xfId="28255" xr:uid="{00000000-0005-0000-0000-00003E140000}"/>
    <cellStyle name="Normal 4 3 2 3 3 3 5" xfId="6751" xr:uid="{00000000-0005-0000-0000-00003F140000}"/>
    <cellStyle name="Normal 4 3 2 3 3 3 5 2" xfId="19039" xr:uid="{00000000-0005-0000-0000-000040140000}"/>
    <cellStyle name="Normal 4 3 2 3 3 3 5 2 2" xfId="43615" xr:uid="{00000000-0005-0000-0000-000041140000}"/>
    <cellStyle name="Normal 4 3 2 3 3 3 5 3" xfId="31327" xr:uid="{00000000-0005-0000-0000-000042140000}"/>
    <cellStyle name="Normal 4 3 2 3 3 3 6" xfId="12895" xr:uid="{00000000-0005-0000-0000-000043140000}"/>
    <cellStyle name="Normal 4 3 2 3 3 3 6 2" xfId="37471" xr:uid="{00000000-0005-0000-0000-000044140000}"/>
    <cellStyle name="Normal 4 3 2 3 3 3 7" xfId="25183" xr:uid="{00000000-0005-0000-0000-000045140000}"/>
    <cellStyle name="Normal 4 3 2 3 3 4" xfId="987" xr:uid="{00000000-0005-0000-0000-000046140000}"/>
    <cellStyle name="Normal 4 3 2 3 3 4 2" xfId="2523" xr:uid="{00000000-0005-0000-0000-000047140000}"/>
    <cellStyle name="Normal 4 3 2 3 3 4 2 2" xfId="5599" xr:uid="{00000000-0005-0000-0000-000048140000}"/>
    <cellStyle name="Normal 4 3 2 3 3 4 2 2 2" xfId="11743" xr:uid="{00000000-0005-0000-0000-000049140000}"/>
    <cellStyle name="Normal 4 3 2 3 3 4 2 2 2 2" xfId="24031" xr:uid="{00000000-0005-0000-0000-00004A140000}"/>
    <cellStyle name="Normal 4 3 2 3 3 4 2 2 2 2 2" xfId="48607" xr:uid="{00000000-0005-0000-0000-00004B140000}"/>
    <cellStyle name="Normal 4 3 2 3 3 4 2 2 2 3" xfId="36319" xr:uid="{00000000-0005-0000-0000-00004C140000}"/>
    <cellStyle name="Normal 4 3 2 3 3 4 2 2 3" xfId="17887" xr:uid="{00000000-0005-0000-0000-00004D140000}"/>
    <cellStyle name="Normal 4 3 2 3 3 4 2 2 3 2" xfId="42463" xr:uid="{00000000-0005-0000-0000-00004E140000}"/>
    <cellStyle name="Normal 4 3 2 3 3 4 2 2 4" xfId="30175" xr:uid="{00000000-0005-0000-0000-00004F140000}"/>
    <cellStyle name="Normal 4 3 2 3 3 4 2 3" xfId="8671" xr:uid="{00000000-0005-0000-0000-000050140000}"/>
    <cellStyle name="Normal 4 3 2 3 3 4 2 3 2" xfId="20959" xr:uid="{00000000-0005-0000-0000-000051140000}"/>
    <cellStyle name="Normal 4 3 2 3 3 4 2 3 2 2" xfId="45535" xr:uid="{00000000-0005-0000-0000-000052140000}"/>
    <cellStyle name="Normal 4 3 2 3 3 4 2 3 3" xfId="33247" xr:uid="{00000000-0005-0000-0000-000053140000}"/>
    <cellStyle name="Normal 4 3 2 3 3 4 2 4" xfId="14815" xr:uid="{00000000-0005-0000-0000-000054140000}"/>
    <cellStyle name="Normal 4 3 2 3 3 4 2 4 2" xfId="39391" xr:uid="{00000000-0005-0000-0000-000055140000}"/>
    <cellStyle name="Normal 4 3 2 3 3 4 2 5" xfId="27103" xr:uid="{00000000-0005-0000-0000-000056140000}"/>
    <cellStyle name="Normal 4 3 2 3 3 4 3" xfId="4063" xr:uid="{00000000-0005-0000-0000-000057140000}"/>
    <cellStyle name="Normal 4 3 2 3 3 4 3 2" xfId="10207" xr:uid="{00000000-0005-0000-0000-000058140000}"/>
    <cellStyle name="Normal 4 3 2 3 3 4 3 2 2" xfId="22495" xr:uid="{00000000-0005-0000-0000-000059140000}"/>
    <cellStyle name="Normal 4 3 2 3 3 4 3 2 2 2" xfId="47071" xr:uid="{00000000-0005-0000-0000-00005A140000}"/>
    <cellStyle name="Normal 4 3 2 3 3 4 3 2 3" xfId="34783" xr:uid="{00000000-0005-0000-0000-00005B140000}"/>
    <cellStyle name="Normal 4 3 2 3 3 4 3 3" xfId="16351" xr:uid="{00000000-0005-0000-0000-00005C140000}"/>
    <cellStyle name="Normal 4 3 2 3 3 4 3 3 2" xfId="40927" xr:uid="{00000000-0005-0000-0000-00005D140000}"/>
    <cellStyle name="Normal 4 3 2 3 3 4 3 4" xfId="28639" xr:uid="{00000000-0005-0000-0000-00005E140000}"/>
    <cellStyle name="Normal 4 3 2 3 3 4 4" xfId="7135" xr:uid="{00000000-0005-0000-0000-00005F140000}"/>
    <cellStyle name="Normal 4 3 2 3 3 4 4 2" xfId="19423" xr:uid="{00000000-0005-0000-0000-000060140000}"/>
    <cellStyle name="Normal 4 3 2 3 3 4 4 2 2" xfId="43999" xr:uid="{00000000-0005-0000-0000-000061140000}"/>
    <cellStyle name="Normal 4 3 2 3 3 4 4 3" xfId="31711" xr:uid="{00000000-0005-0000-0000-000062140000}"/>
    <cellStyle name="Normal 4 3 2 3 3 4 5" xfId="13279" xr:uid="{00000000-0005-0000-0000-000063140000}"/>
    <cellStyle name="Normal 4 3 2 3 3 4 5 2" xfId="37855" xr:uid="{00000000-0005-0000-0000-000064140000}"/>
    <cellStyle name="Normal 4 3 2 3 3 4 6" xfId="25567" xr:uid="{00000000-0005-0000-0000-000065140000}"/>
    <cellStyle name="Normal 4 3 2 3 3 5" xfId="1755" xr:uid="{00000000-0005-0000-0000-000066140000}"/>
    <cellStyle name="Normal 4 3 2 3 3 5 2" xfId="4831" xr:uid="{00000000-0005-0000-0000-000067140000}"/>
    <cellStyle name="Normal 4 3 2 3 3 5 2 2" xfId="10975" xr:uid="{00000000-0005-0000-0000-000068140000}"/>
    <cellStyle name="Normal 4 3 2 3 3 5 2 2 2" xfId="23263" xr:uid="{00000000-0005-0000-0000-000069140000}"/>
    <cellStyle name="Normal 4 3 2 3 3 5 2 2 2 2" xfId="47839" xr:uid="{00000000-0005-0000-0000-00006A140000}"/>
    <cellStyle name="Normal 4 3 2 3 3 5 2 2 3" xfId="35551" xr:uid="{00000000-0005-0000-0000-00006B140000}"/>
    <cellStyle name="Normal 4 3 2 3 3 5 2 3" xfId="17119" xr:uid="{00000000-0005-0000-0000-00006C140000}"/>
    <cellStyle name="Normal 4 3 2 3 3 5 2 3 2" xfId="41695" xr:uid="{00000000-0005-0000-0000-00006D140000}"/>
    <cellStyle name="Normal 4 3 2 3 3 5 2 4" xfId="29407" xr:uid="{00000000-0005-0000-0000-00006E140000}"/>
    <cellStyle name="Normal 4 3 2 3 3 5 3" xfId="7903" xr:uid="{00000000-0005-0000-0000-00006F140000}"/>
    <cellStyle name="Normal 4 3 2 3 3 5 3 2" xfId="20191" xr:uid="{00000000-0005-0000-0000-000070140000}"/>
    <cellStyle name="Normal 4 3 2 3 3 5 3 2 2" xfId="44767" xr:uid="{00000000-0005-0000-0000-000071140000}"/>
    <cellStyle name="Normal 4 3 2 3 3 5 3 3" xfId="32479" xr:uid="{00000000-0005-0000-0000-000072140000}"/>
    <cellStyle name="Normal 4 3 2 3 3 5 4" xfId="14047" xr:uid="{00000000-0005-0000-0000-000073140000}"/>
    <cellStyle name="Normal 4 3 2 3 3 5 4 2" xfId="38623" xr:uid="{00000000-0005-0000-0000-000074140000}"/>
    <cellStyle name="Normal 4 3 2 3 3 5 5" xfId="26335" xr:uid="{00000000-0005-0000-0000-000075140000}"/>
    <cellStyle name="Normal 4 3 2 3 3 6" xfId="3295" xr:uid="{00000000-0005-0000-0000-000076140000}"/>
    <cellStyle name="Normal 4 3 2 3 3 6 2" xfId="9439" xr:uid="{00000000-0005-0000-0000-000077140000}"/>
    <cellStyle name="Normal 4 3 2 3 3 6 2 2" xfId="21727" xr:uid="{00000000-0005-0000-0000-000078140000}"/>
    <cellStyle name="Normal 4 3 2 3 3 6 2 2 2" xfId="46303" xr:uid="{00000000-0005-0000-0000-000079140000}"/>
    <cellStyle name="Normal 4 3 2 3 3 6 2 3" xfId="34015" xr:uid="{00000000-0005-0000-0000-00007A140000}"/>
    <cellStyle name="Normal 4 3 2 3 3 6 3" xfId="15583" xr:uid="{00000000-0005-0000-0000-00007B140000}"/>
    <cellStyle name="Normal 4 3 2 3 3 6 3 2" xfId="40159" xr:uid="{00000000-0005-0000-0000-00007C140000}"/>
    <cellStyle name="Normal 4 3 2 3 3 6 4" xfId="27871" xr:uid="{00000000-0005-0000-0000-00007D140000}"/>
    <cellStyle name="Normal 4 3 2 3 3 7" xfId="6367" xr:uid="{00000000-0005-0000-0000-00007E140000}"/>
    <cellStyle name="Normal 4 3 2 3 3 7 2" xfId="18655" xr:uid="{00000000-0005-0000-0000-00007F140000}"/>
    <cellStyle name="Normal 4 3 2 3 3 7 2 2" xfId="43231" xr:uid="{00000000-0005-0000-0000-000080140000}"/>
    <cellStyle name="Normal 4 3 2 3 3 7 3" xfId="30943" xr:uid="{00000000-0005-0000-0000-000081140000}"/>
    <cellStyle name="Normal 4 3 2 3 3 8" xfId="12511" xr:uid="{00000000-0005-0000-0000-000082140000}"/>
    <cellStyle name="Normal 4 3 2 3 3 8 2" xfId="37087" xr:uid="{00000000-0005-0000-0000-000083140000}"/>
    <cellStyle name="Normal 4 3 2 3 3 9" xfId="24799" xr:uid="{00000000-0005-0000-0000-000084140000}"/>
    <cellStyle name="Normal 4 3 2 3 4" xfId="283" xr:uid="{00000000-0005-0000-0000-000085140000}"/>
    <cellStyle name="Normal 4 3 2 3 4 2" xfId="475" xr:uid="{00000000-0005-0000-0000-000086140000}"/>
    <cellStyle name="Normal 4 3 2 3 4 2 2" xfId="859" xr:uid="{00000000-0005-0000-0000-000087140000}"/>
    <cellStyle name="Normal 4 3 2 3 4 2 2 2" xfId="1627" xr:uid="{00000000-0005-0000-0000-000088140000}"/>
    <cellStyle name="Normal 4 3 2 3 4 2 2 2 2" xfId="3163" xr:uid="{00000000-0005-0000-0000-000089140000}"/>
    <cellStyle name="Normal 4 3 2 3 4 2 2 2 2 2" xfId="6239" xr:uid="{00000000-0005-0000-0000-00008A140000}"/>
    <cellStyle name="Normal 4 3 2 3 4 2 2 2 2 2 2" xfId="12383" xr:uid="{00000000-0005-0000-0000-00008B140000}"/>
    <cellStyle name="Normal 4 3 2 3 4 2 2 2 2 2 2 2" xfId="24671" xr:uid="{00000000-0005-0000-0000-00008C140000}"/>
    <cellStyle name="Normal 4 3 2 3 4 2 2 2 2 2 2 2 2" xfId="49247" xr:uid="{00000000-0005-0000-0000-00008D140000}"/>
    <cellStyle name="Normal 4 3 2 3 4 2 2 2 2 2 2 3" xfId="36959" xr:uid="{00000000-0005-0000-0000-00008E140000}"/>
    <cellStyle name="Normal 4 3 2 3 4 2 2 2 2 2 3" xfId="18527" xr:uid="{00000000-0005-0000-0000-00008F140000}"/>
    <cellStyle name="Normal 4 3 2 3 4 2 2 2 2 2 3 2" xfId="43103" xr:uid="{00000000-0005-0000-0000-000090140000}"/>
    <cellStyle name="Normal 4 3 2 3 4 2 2 2 2 2 4" xfId="30815" xr:uid="{00000000-0005-0000-0000-000091140000}"/>
    <cellStyle name="Normal 4 3 2 3 4 2 2 2 2 3" xfId="9311" xr:uid="{00000000-0005-0000-0000-000092140000}"/>
    <cellStyle name="Normal 4 3 2 3 4 2 2 2 2 3 2" xfId="21599" xr:uid="{00000000-0005-0000-0000-000093140000}"/>
    <cellStyle name="Normal 4 3 2 3 4 2 2 2 2 3 2 2" xfId="46175" xr:uid="{00000000-0005-0000-0000-000094140000}"/>
    <cellStyle name="Normal 4 3 2 3 4 2 2 2 2 3 3" xfId="33887" xr:uid="{00000000-0005-0000-0000-000095140000}"/>
    <cellStyle name="Normal 4 3 2 3 4 2 2 2 2 4" xfId="15455" xr:uid="{00000000-0005-0000-0000-000096140000}"/>
    <cellStyle name="Normal 4 3 2 3 4 2 2 2 2 4 2" xfId="40031" xr:uid="{00000000-0005-0000-0000-000097140000}"/>
    <cellStyle name="Normal 4 3 2 3 4 2 2 2 2 5" xfId="27743" xr:uid="{00000000-0005-0000-0000-000098140000}"/>
    <cellStyle name="Normal 4 3 2 3 4 2 2 2 3" xfId="4703" xr:uid="{00000000-0005-0000-0000-000099140000}"/>
    <cellStyle name="Normal 4 3 2 3 4 2 2 2 3 2" xfId="10847" xr:uid="{00000000-0005-0000-0000-00009A140000}"/>
    <cellStyle name="Normal 4 3 2 3 4 2 2 2 3 2 2" xfId="23135" xr:uid="{00000000-0005-0000-0000-00009B140000}"/>
    <cellStyle name="Normal 4 3 2 3 4 2 2 2 3 2 2 2" xfId="47711" xr:uid="{00000000-0005-0000-0000-00009C140000}"/>
    <cellStyle name="Normal 4 3 2 3 4 2 2 2 3 2 3" xfId="35423" xr:uid="{00000000-0005-0000-0000-00009D140000}"/>
    <cellStyle name="Normal 4 3 2 3 4 2 2 2 3 3" xfId="16991" xr:uid="{00000000-0005-0000-0000-00009E140000}"/>
    <cellStyle name="Normal 4 3 2 3 4 2 2 2 3 3 2" xfId="41567" xr:uid="{00000000-0005-0000-0000-00009F140000}"/>
    <cellStyle name="Normal 4 3 2 3 4 2 2 2 3 4" xfId="29279" xr:uid="{00000000-0005-0000-0000-0000A0140000}"/>
    <cellStyle name="Normal 4 3 2 3 4 2 2 2 4" xfId="7775" xr:uid="{00000000-0005-0000-0000-0000A1140000}"/>
    <cellStyle name="Normal 4 3 2 3 4 2 2 2 4 2" xfId="20063" xr:uid="{00000000-0005-0000-0000-0000A2140000}"/>
    <cellStyle name="Normal 4 3 2 3 4 2 2 2 4 2 2" xfId="44639" xr:uid="{00000000-0005-0000-0000-0000A3140000}"/>
    <cellStyle name="Normal 4 3 2 3 4 2 2 2 4 3" xfId="32351" xr:uid="{00000000-0005-0000-0000-0000A4140000}"/>
    <cellStyle name="Normal 4 3 2 3 4 2 2 2 5" xfId="13919" xr:uid="{00000000-0005-0000-0000-0000A5140000}"/>
    <cellStyle name="Normal 4 3 2 3 4 2 2 2 5 2" xfId="38495" xr:uid="{00000000-0005-0000-0000-0000A6140000}"/>
    <cellStyle name="Normal 4 3 2 3 4 2 2 2 6" xfId="26207" xr:uid="{00000000-0005-0000-0000-0000A7140000}"/>
    <cellStyle name="Normal 4 3 2 3 4 2 2 3" xfId="2395" xr:uid="{00000000-0005-0000-0000-0000A8140000}"/>
    <cellStyle name="Normal 4 3 2 3 4 2 2 3 2" xfId="5471" xr:uid="{00000000-0005-0000-0000-0000A9140000}"/>
    <cellStyle name="Normal 4 3 2 3 4 2 2 3 2 2" xfId="11615" xr:uid="{00000000-0005-0000-0000-0000AA140000}"/>
    <cellStyle name="Normal 4 3 2 3 4 2 2 3 2 2 2" xfId="23903" xr:uid="{00000000-0005-0000-0000-0000AB140000}"/>
    <cellStyle name="Normal 4 3 2 3 4 2 2 3 2 2 2 2" xfId="48479" xr:uid="{00000000-0005-0000-0000-0000AC140000}"/>
    <cellStyle name="Normal 4 3 2 3 4 2 2 3 2 2 3" xfId="36191" xr:uid="{00000000-0005-0000-0000-0000AD140000}"/>
    <cellStyle name="Normal 4 3 2 3 4 2 2 3 2 3" xfId="17759" xr:uid="{00000000-0005-0000-0000-0000AE140000}"/>
    <cellStyle name="Normal 4 3 2 3 4 2 2 3 2 3 2" xfId="42335" xr:uid="{00000000-0005-0000-0000-0000AF140000}"/>
    <cellStyle name="Normal 4 3 2 3 4 2 2 3 2 4" xfId="30047" xr:uid="{00000000-0005-0000-0000-0000B0140000}"/>
    <cellStyle name="Normal 4 3 2 3 4 2 2 3 3" xfId="8543" xr:uid="{00000000-0005-0000-0000-0000B1140000}"/>
    <cellStyle name="Normal 4 3 2 3 4 2 2 3 3 2" xfId="20831" xr:uid="{00000000-0005-0000-0000-0000B2140000}"/>
    <cellStyle name="Normal 4 3 2 3 4 2 2 3 3 2 2" xfId="45407" xr:uid="{00000000-0005-0000-0000-0000B3140000}"/>
    <cellStyle name="Normal 4 3 2 3 4 2 2 3 3 3" xfId="33119" xr:uid="{00000000-0005-0000-0000-0000B4140000}"/>
    <cellStyle name="Normal 4 3 2 3 4 2 2 3 4" xfId="14687" xr:uid="{00000000-0005-0000-0000-0000B5140000}"/>
    <cellStyle name="Normal 4 3 2 3 4 2 2 3 4 2" xfId="39263" xr:uid="{00000000-0005-0000-0000-0000B6140000}"/>
    <cellStyle name="Normal 4 3 2 3 4 2 2 3 5" xfId="26975" xr:uid="{00000000-0005-0000-0000-0000B7140000}"/>
    <cellStyle name="Normal 4 3 2 3 4 2 2 4" xfId="3935" xr:uid="{00000000-0005-0000-0000-0000B8140000}"/>
    <cellStyle name="Normal 4 3 2 3 4 2 2 4 2" xfId="10079" xr:uid="{00000000-0005-0000-0000-0000B9140000}"/>
    <cellStyle name="Normal 4 3 2 3 4 2 2 4 2 2" xfId="22367" xr:uid="{00000000-0005-0000-0000-0000BA140000}"/>
    <cellStyle name="Normal 4 3 2 3 4 2 2 4 2 2 2" xfId="46943" xr:uid="{00000000-0005-0000-0000-0000BB140000}"/>
    <cellStyle name="Normal 4 3 2 3 4 2 2 4 2 3" xfId="34655" xr:uid="{00000000-0005-0000-0000-0000BC140000}"/>
    <cellStyle name="Normal 4 3 2 3 4 2 2 4 3" xfId="16223" xr:uid="{00000000-0005-0000-0000-0000BD140000}"/>
    <cellStyle name="Normal 4 3 2 3 4 2 2 4 3 2" xfId="40799" xr:uid="{00000000-0005-0000-0000-0000BE140000}"/>
    <cellStyle name="Normal 4 3 2 3 4 2 2 4 4" xfId="28511" xr:uid="{00000000-0005-0000-0000-0000BF140000}"/>
    <cellStyle name="Normal 4 3 2 3 4 2 2 5" xfId="7007" xr:uid="{00000000-0005-0000-0000-0000C0140000}"/>
    <cellStyle name="Normal 4 3 2 3 4 2 2 5 2" xfId="19295" xr:uid="{00000000-0005-0000-0000-0000C1140000}"/>
    <cellStyle name="Normal 4 3 2 3 4 2 2 5 2 2" xfId="43871" xr:uid="{00000000-0005-0000-0000-0000C2140000}"/>
    <cellStyle name="Normal 4 3 2 3 4 2 2 5 3" xfId="31583" xr:uid="{00000000-0005-0000-0000-0000C3140000}"/>
    <cellStyle name="Normal 4 3 2 3 4 2 2 6" xfId="13151" xr:uid="{00000000-0005-0000-0000-0000C4140000}"/>
    <cellStyle name="Normal 4 3 2 3 4 2 2 6 2" xfId="37727" xr:uid="{00000000-0005-0000-0000-0000C5140000}"/>
    <cellStyle name="Normal 4 3 2 3 4 2 2 7" xfId="25439" xr:uid="{00000000-0005-0000-0000-0000C6140000}"/>
    <cellStyle name="Normal 4 3 2 3 4 2 3" xfId="1243" xr:uid="{00000000-0005-0000-0000-0000C7140000}"/>
    <cellStyle name="Normal 4 3 2 3 4 2 3 2" xfId="2779" xr:uid="{00000000-0005-0000-0000-0000C8140000}"/>
    <cellStyle name="Normal 4 3 2 3 4 2 3 2 2" xfId="5855" xr:uid="{00000000-0005-0000-0000-0000C9140000}"/>
    <cellStyle name="Normal 4 3 2 3 4 2 3 2 2 2" xfId="11999" xr:uid="{00000000-0005-0000-0000-0000CA140000}"/>
    <cellStyle name="Normal 4 3 2 3 4 2 3 2 2 2 2" xfId="24287" xr:uid="{00000000-0005-0000-0000-0000CB140000}"/>
    <cellStyle name="Normal 4 3 2 3 4 2 3 2 2 2 2 2" xfId="48863" xr:uid="{00000000-0005-0000-0000-0000CC140000}"/>
    <cellStyle name="Normal 4 3 2 3 4 2 3 2 2 2 3" xfId="36575" xr:uid="{00000000-0005-0000-0000-0000CD140000}"/>
    <cellStyle name="Normal 4 3 2 3 4 2 3 2 2 3" xfId="18143" xr:uid="{00000000-0005-0000-0000-0000CE140000}"/>
    <cellStyle name="Normal 4 3 2 3 4 2 3 2 2 3 2" xfId="42719" xr:uid="{00000000-0005-0000-0000-0000CF140000}"/>
    <cellStyle name="Normal 4 3 2 3 4 2 3 2 2 4" xfId="30431" xr:uid="{00000000-0005-0000-0000-0000D0140000}"/>
    <cellStyle name="Normal 4 3 2 3 4 2 3 2 3" xfId="8927" xr:uid="{00000000-0005-0000-0000-0000D1140000}"/>
    <cellStyle name="Normal 4 3 2 3 4 2 3 2 3 2" xfId="21215" xr:uid="{00000000-0005-0000-0000-0000D2140000}"/>
    <cellStyle name="Normal 4 3 2 3 4 2 3 2 3 2 2" xfId="45791" xr:uid="{00000000-0005-0000-0000-0000D3140000}"/>
    <cellStyle name="Normal 4 3 2 3 4 2 3 2 3 3" xfId="33503" xr:uid="{00000000-0005-0000-0000-0000D4140000}"/>
    <cellStyle name="Normal 4 3 2 3 4 2 3 2 4" xfId="15071" xr:uid="{00000000-0005-0000-0000-0000D5140000}"/>
    <cellStyle name="Normal 4 3 2 3 4 2 3 2 4 2" xfId="39647" xr:uid="{00000000-0005-0000-0000-0000D6140000}"/>
    <cellStyle name="Normal 4 3 2 3 4 2 3 2 5" xfId="27359" xr:uid="{00000000-0005-0000-0000-0000D7140000}"/>
    <cellStyle name="Normal 4 3 2 3 4 2 3 3" xfId="4319" xr:uid="{00000000-0005-0000-0000-0000D8140000}"/>
    <cellStyle name="Normal 4 3 2 3 4 2 3 3 2" xfId="10463" xr:uid="{00000000-0005-0000-0000-0000D9140000}"/>
    <cellStyle name="Normal 4 3 2 3 4 2 3 3 2 2" xfId="22751" xr:uid="{00000000-0005-0000-0000-0000DA140000}"/>
    <cellStyle name="Normal 4 3 2 3 4 2 3 3 2 2 2" xfId="47327" xr:uid="{00000000-0005-0000-0000-0000DB140000}"/>
    <cellStyle name="Normal 4 3 2 3 4 2 3 3 2 3" xfId="35039" xr:uid="{00000000-0005-0000-0000-0000DC140000}"/>
    <cellStyle name="Normal 4 3 2 3 4 2 3 3 3" xfId="16607" xr:uid="{00000000-0005-0000-0000-0000DD140000}"/>
    <cellStyle name="Normal 4 3 2 3 4 2 3 3 3 2" xfId="41183" xr:uid="{00000000-0005-0000-0000-0000DE140000}"/>
    <cellStyle name="Normal 4 3 2 3 4 2 3 3 4" xfId="28895" xr:uid="{00000000-0005-0000-0000-0000DF140000}"/>
    <cellStyle name="Normal 4 3 2 3 4 2 3 4" xfId="7391" xr:uid="{00000000-0005-0000-0000-0000E0140000}"/>
    <cellStyle name="Normal 4 3 2 3 4 2 3 4 2" xfId="19679" xr:uid="{00000000-0005-0000-0000-0000E1140000}"/>
    <cellStyle name="Normal 4 3 2 3 4 2 3 4 2 2" xfId="44255" xr:uid="{00000000-0005-0000-0000-0000E2140000}"/>
    <cellStyle name="Normal 4 3 2 3 4 2 3 4 3" xfId="31967" xr:uid="{00000000-0005-0000-0000-0000E3140000}"/>
    <cellStyle name="Normal 4 3 2 3 4 2 3 5" xfId="13535" xr:uid="{00000000-0005-0000-0000-0000E4140000}"/>
    <cellStyle name="Normal 4 3 2 3 4 2 3 5 2" xfId="38111" xr:uid="{00000000-0005-0000-0000-0000E5140000}"/>
    <cellStyle name="Normal 4 3 2 3 4 2 3 6" xfId="25823" xr:uid="{00000000-0005-0000-0000-0000E6140000}"/>
    <cellStyle name="Normal 4 3 2 3 4 2 4" xfId="2011" xr:uid="{00000000-0005-0000-0000-0000E7140000}"/>
    <cellStyle name="Normal 4 3 2 3 4 2 4 2" xfId="5087" xr:uid="{00000000-0005-0000-0000-0000E8140000}"/>
    <cellStyle name="Normal 4 3 2 3 4 2 4 2 2" xfId="11231" xr:uid="{00000000-0005-0000-0000-0000E9140000}"/>
    <cellStyle name="Normal 4 3 2 3 4 2 4 2 2 2" xfId="23519" xr:uid="{00000000-0005-0000-0000-0000EA140000}"/>
    <cellStyle name="Normal 4 3 2 3 4 2 4 2 2 2 2" xfId="48095" xr:uid="{00000000-0005-0000-0000-0000EB140000}"/>
    <cellStyle name="Normal 4 3 2 3 4 2 4 2 2 3" xfId="35807" xr:uid="{00000000-0005-0000-0000-0000EC140000}"/>
    <cellStyle name="Normal 4 3 2 3 4 2 4 2 3" xfId="17375" xr:uid="{00000000-0005-0000-0000-0000ED140000}"/>
    <cellStyle name="Normal 4 3 2 3 4 2 4 2 3 2" xfId="41951" xr:uid="{00000000-0005-0000-0000-0000EE140000}"/>
    <cellStyle name="Normal 4 3 2 3 4 2 4 2 4" xfId="29663" xr:uid="{00000000-0005-0000-0000-0000EF140000}"/>
    <cellStyle name="Normal 4 3 2 3 4 2 4 3" xfId="8159" xr:uid="{00000000-0005-0000-0000-0000F0140000}"/>
    <cellStyle name="Normal 4 3 2 3 4 2 4 3 2" xfId="20447" xr:uid="{00000000-0005-0000-0000-0000F1140000}"/>
    <cellStyle name="Normal 4 3 2 3 4 2 4 3 2 2" xfId="45023" xr:uid="{00000000-0005-0000-0000-0000F2140000}"/>
    <cellStyle name="Normal 4 3 2 3 4 2 4 3 3" xfId="32735" xr:uid="{00000000-0005-0000-0000-0000F3140000}"/>
    <cellStyle name="Normal 4 3 2 3 4 2 4 4" xfId="14303" xr:uid="{00000000-0005-0000-0000-0000F4140000}"/>
    <cellStyle name="Normal 4 3 2 3 4 2 4 4 2" xfId="38879" xr:uid="{00000000-0005-0000-0000-0000F5140000}"/>
    <cellStyle name="Normal 4 3 2 3 4 2 4 5" xfId="26591" xr:uid="{00000000-0005-0000-0000-0000F6140000}"/>
    <cellStyle name="Normal 4 3 2 3 4 2 5" xfId="3551" xr:uid="{00000000-0005-0000-0000-0000F7140000}"/>
    <cellStyle name="Normal 4 3 2 3 4 2 5 2" xfId="9695" xr:uid="{00000000-0005-0000-0000-0000F8140000}"/>
    <cellStyle name="Normal 4 3 2 3 4 2 5 2 2" xfId="21983" xr:uid="{00000000-0005-0000-0000-0000F9140000}"/>
    <cellStyle name="Normal 4 3 2 3 4 2 5 2 2 2" xfId="46559" xr:uid="{00000000-0005-0000-0000-0000FA140000}"/>
    <cellStyle name="Normal 4 3 2 3 4 2 5 2 3" xfId="34271" xr:uid="{00000000-0005-0000-0000-0000FB140000}"/>
    <cellStyle name="Normal 4 3 2 3 4 2 5 3" xfId="15839" xr:uid="{00000000-0005-0000-0000-0000FC140000}"/>
    <cellStyle name="Normal 4 3 2 3 4 2 5 3 2" xfId="40415" xr:uid="{00000000-0005-0000-0000-0000FD140000}"/>
    <cellStyle name="Normal 4 3 2 3 4 2 5 4" xfId="28127" xr:uid="{00000000-0005-0000-0000-0000FE140000}"/>
    <cellStyle name="Normal 4 3 2 3 4 2 6" xfId="6623" xr:uid="{00000000-0005-0000-0000-0000FF140000}"/>
    <cellStyle name="Normal 4 3 2 3 4 2 6 2" xfId="18911" xr:uid="{00000000-0005-0000-0000-000000150000}"/>
    <cellStyle name="Normal 4 3 2 3 4 2 6 2 2" xfId="43487" xr:uid="{00000000-0005-0000-0000-000001150000}"/>
    <cellStyle name="Normal 4 3 2 3 4 2 6 3" xfId="31199" xr:uid="{00000000-0005-0000-0000-000002150000}"/>
    <cellStyle name="Normal 4 3 2 3 4 2 7" xfId="12767" xr:uid="{00000000-0005-0000-0000-000003150000}"/>
    <cellStyle name="Normal 4 3 2 3 4 2 7 2" xfId="37343" xr:uid="{00000000-0005-0000-0000-000004150000}"/>
    <cellStyle name="Normal 4 3 2 3 4 2 8" xfId="25055" xr:uid="{00000000-0005-0000-0000-000005150000}"/>
    <cellStyle name="Normal 4 3 2 3 4 3" xfId="667" xr:uid="{00000000-0005-0000-0000-000006150000}"/>
    <cellStyle name="Normal 4 3 2 3 4 3 2" xfId="1435" xr:uid="{00000000-0005-0000-0000-000007150000}"/>
    <cellStyle name="Normal 4 3 2 3 4 3 2 2" xfId="2971" xr:uid="{00000000-0005-0000-0000-000008150000}"/>
    <cellStyle name="Normal 4 3 2 3 4 3 2 2 2" xfId="6047" xr:uid="{00000000-0005-0000-0000-000009150000}"/>
    <cellStyle name="Normal 4 3 2 3 4 3 2 2 2 2" xfId="12191" xr:uid="{00000000-0005-0000-0000-00000A150000}"/>
    <cellStyle name="Normal 4 3 2 3 4 3 2 2 2 2 2" xfId="24479" xr:uid="{00000000-0005-0000-0000-00000B150000}"/>
    <cellStyle name="Normal 4 3 2 3 4 3 2 2 2 2 2 2" xfId="49055" xr:uid="{00000000-0005-0000-0000-00000C150000}"/>
    <cellStyle name="Normal 4 3 2 3 4 3 2 2 2 2 3" xfId="36767" xr:uid="{00000000-0005-0000-0000-00000D150000}"/>
    <cellStyle name="Normal 4 3 2 3 4 3 2 2 2 3" xfId="18335" xr:uid="{00000000-0005-0000-0000-00000E150000}"/>
    <cellStyle name="Normal 4 3 2 3 4 3 2 2 2 3 2" xfId="42911" xr:uid="{00000000-0005-0000-0000-00000F150000}"/>
    <cellStyle name="Normal 4 3 2 3 4 3 2 2 2 4" xfId="30623" xr:uid="{00000000-0005-0000-0000-000010150000}"/>
    <cellStyle name="Normal 4 3 2 3 4 3 2 2 3" xfId="9119" xr:uid="{00000000-0005-0000-0000-000011150000}"/>
    <cellStyle name="Normal 4 3 2 3 4 3 2 2 3 2" xfId="21407" xr:uid="{00000000-0005-0000-0000-000012150000}"/>
    <cellStyle name="Normal 4 3 2 3 4 3 2 2 3 2 2" xfId="45983" xr:uid="{00000000-0005-0000-0000-000013150000}"/>
    <cellStyle name="Normal 4 3 2 3 4 3 2 2 3 3" xfId="33695" xr:uid="{00000000-0005-0000-0000-000014150000}"/>
    <cellStyle name="Normal 4 3 2 3 4 3 2 2 4" xfId="15263" xr:uid="{00000000-0005-0000-0000-000015150000}"/>
    <cellStyle name="Normal 4 3 2 3 4 3 2 2 4 2" xfId="39839" xr:uid="{00000000-0005-0000-0000-000016150000}"/>
    <cellStyle name="Normal 4 3 2 3 4 3 2 2 5" xfId="27551" xr:uid="{00000000-0005-0000-0000-000017150000}"/>
    <cellStyle name="Normal 4 3 2 3 4 3 2 3" xfId="4511" xr:uid="{00000000-0005-0000-0000-000018150000}"/>
    <cellStyle name="Normal 4 3 2 3 4 3 2 3 2" xfId="10655" xr:uid="{00000000-0005-0000-0000-000019150000}"/>
    <cellStyle name="Normal 4 3 2 3 4 3 2 3 2 2" xfId="22943" xr:uid="{00000000-0005-0000-0000-00001A150000}"/>
    <cellStyle name="Normal 4 3 2 3 4 3 2 3 2 2 2" xfId="47519" xr:uid="{00000000-0005-0000-0000-00001B150000}"/>
    <cellStyle name="Normal 4 3 2 3 4 3 2 3 2 3" xfId="35231" xr:uid="{00000000-0005-0000-0000-00001C150000}"/>
    <cellStyle name="Normal 4 3 2 3 4 3 2 3 3" xfId="16799" xr:uid="{00000000-0005-0000-0000-00001D150000}"/>
    <cellStyle name="Normal 4 3 2 3 4 3 2 3 3 2" xfId="41375" xr:uid="{00000000-0005-0000-0000-00001E150000}"/>
    <cellStyle name="Normal 4 3 2 3 4 3 2 3 4" xfId="29087" xr:uid="{00000000-0005-0000-0000-00001F150000}"/>
    <cellStyle name="Normal 4 3 2 3 4 3 2 4" xfId="7583" xr:uid="{00000000-0005-0000-0000-000020150000}"/>
    <cellStyle name="Normal 4 3 2 3 4 3 2 4 2" xfId="19871" xr:uid="{00000000-0005-0000-0000-000021150000}"/>
    <cellStyle name="Normal 4 3 2 3 4 3 2 4 2 2" xfId="44447" xr:uid="{00000000-0005-0000-0000-000022150000}"/>
    <cellStyle name="Normal 4 3 2 3 4 3 2 4 3" xfId="32159" xr:uid="{00000000-0005-0000-0000-000023150000}"/>
    <cellStyle name="Normal 4 3 2 3 4 3 2 5" xfId="13727" xr:uid="{00000000-0005-0000-0000-000024150000}"/>
    <cellStyle name="Normal 4 3 2 3 4 3 2 5 2" xfId="38303" xr:uid="{00000000-0005-0000-0000-000025150000}"/>
    <cellStyle name="Normal 4 3 2 3 4 3 2 6" xfId="26015" xr:uid="{00000000-0005-0000-0000-000026150000}"/>
    <cellStyle name="Normal 4 3 2 3 4 3 3" xfId="2203" xr:uid="{00000000-0005-0000-0000-000027150000}"/>
    <cellStyle name="Normal 4 3 2 3 4 3 3 2" xfId="5279" xr:uid="{00000000-0005-0000-0000-000028150000}"/>
    <cellStyle name="Normal 4 3 2 3 4 3 3 2 2" xfId="11423" xr:uid="{00000000-0005-0000-0000-000029150000}"/>
    <cellStyle name="Normal 4 3 2 3 4 3 3 2 2 2" xfId="23711" xr:uid="{00000000-0005-0000-0000-00002A150000}"/>
    <cellStyle name="Normal 4 3 2 3 4 3 3 2 2 2 2" xfId="48287" xr:uid="{00000000-0005-0000-0000-00002B150000}"/>
    <cellStyle name="Normal 4 3 2 3 4 3 3 2 2 3" xfId="35999" xr:uid="{00000000-0005-0000-0000-00002C150000}"/>
    <cellStyle name="Normal 4 3 2 3 4 3 3 2 3" xfId="17567" xr:uid="{00000000-0005-0000-0000-00002D150000}"/>
    <cellStyle name="Normal 4 3 2 3 4 3 3 2 3 2" xfId="42143" xr:uid="{00000000-0005-0000-0000-00002E150000}"/>
    <cellStyle name="Normal 4 3 2 3 4 3 3 2 4" xfId="29855" xr:uid="{00000000-0005-0000-0000-00002F150000}"/>
    <cellStyle name="Normal 4 3 2 3 4 3 3 3" xfId="8351" xr:uid="{00000000-0005-0000-0000-000030150000}"/>
    <cellStyle name="Normal 4 3 2 3 4 3 3 3 2" xfId="20639" xr:uid="{00000000-0005-0000-0000-000031150000}"/>
    <cellStyle name="Normal 4 3 2 3 4 3 3 3 2 2" xfId="45215" xr:uid="{00000000-0005-0000-0000-000032150000}"/>
    <cellStyle name="Normal 4 3 2 3 4 3 3 3 3" xfId="32927" xr:uid="{00000000-0005-0000-0000-000033150000}"/>
    <cellStyle name="Normal 4 3 2 3 4 3 3 4" xfId="14495" xr:uid="{00000000-0005-0000-0000-000034150000}"/>
    <cellStyle name="Normal 4 3 2 3 4 3 3 4 2" xfId="39071" xr:uid="{00000000-0005-0000-0000-000035150000}"/>
    <cellStyle name="Normal 4 3 2 3 4 3 3 5" xfId="26783" xr:uid="{00000000-0005-0000-0000-000036150000}"/>
    <cellStyle name="Normal 4 3 2 3 4 3 4" xfId="3743" xr:uid="{00000000-0005-0000-0000-000037150000}"/>
    <cellStyle name="Normal 4 3 2 3 4 3 4 2" xfId="9887" xr:uid="{00000000-0005-0000-0000-000038150000}"/>
    <cellStyle name="Normal 4 3 2 3 4 3 4 2 2" xfId="22175" xr:uid="{00000000-0005-0000-0000-000039150000}"/>
    <cellStyle name="Normal 4 3 2 3 4 3 4 2 2 2" xfId="46751" xr:uid="{00000000-0005-0000-0000-00003A150000}"/>
    <cellStyle name="Normal 4 3 2 3 4 3 4 2 3" xfId="34463" xr:uid="{00000000-0005-0000-0000-00003B150000}"/>
    <cellStyle name="Normal 4 3 2 3 4 3 4 3" xfId="16031" xr:uid="{00000000-0005-0000-0000-00003C150000}"/>
    <cellStyle name="Normal 4 3 2 3 4 3 4 3 2" xfId="40607" xr:uid="{00000000-0005-0000-0000-00003D150000}"/>
    <cellStyle name="Normal 4 3 2 3 4 3 4 4" xfId="28319" xr:uid="{00000000-0005-0000-0000-00003E150000}"/>
    <cellStyle name="Normal 4 3 2 3 4 3 5" xfId="6815" xr:uid="{00000000-0005-0000-0000-00003F150000}"/>
    <cellStyle name="Normal 4 3 2 3 4 3 5 2" xfId="19103" xr:uid="{00000000-0005-0000-0000-000040150000}"/>
    <cellStyle name="Normal 4 3 2 3 4 3 5 2 2" xfId="43679" xr:uid="{00000000-0005-0000-0000-000041150000}"/>
    <cellStyle name="Normal 4 3 2 3 4 3 5 3" xfId="31391" xr:uid="{00000000-0005-0000-0000-000042150000}"/>
    <cellStyle name="Normal 4 3 2 3 4 3 6" xfId="12959" xr:uid="{00000000-0005-0000-0000-000043150000}"/>
    <cellStyle name="Normal 4 3 2 3 4 3 6 2" xfId="37535" xr:uid="{00000000-0005-0000-0000-000044150000}"/>
    <cellStyle name="Normal 4 3 2 3 4 3 7" xfId="25247" xr:uid="{00000000-0005-0000-0000-000045150000}"/>
    <cellStyle name="Normal 4 3 2 3 4 4" xfId="1051" xr:uid="{00000000-0005-0000-0000-000046150000}"/>
    <cellStyle name="Normal 4 3 2 3 4 4 2" xfId="2587" xr:uid="{00000000-0005-0000-0000-000047150000}"/>
    <cellStyle name="Normal 4 3 2 3 4 4 2 2" xfId="5663" xr:uid="{00000000-0005-0000-0000-000048150000}"/>
    <cellStyle name="Normal 4 3 2 3 4 4 2 2 2" xfId="11807" xr:uid="{00000000-0005-0000-0000-000049150000}"/>
    <cellStyle name="Normal 4 3 2 3 4 4 2 2 2 2" xfId="24095" xr:uid="{00000000-0005-0000-0000-00004A150000}"/>
    <cellStyle name="Normal 4 3 2 3 4 4 2 2 2 2 2" xfId="48671" xr:uid="{00000000-0005-0000-0000-00004B150000}"/>
    <cellStyle name="Normal 4 3 2 3 4 4 2 2 2 3" xfId="36383" xr:uid="{00000000-0005-0000-0000-00004C150000}"/>
    <cellStyle name="Normal 4 3 2 3 4 4 2 2 3" xfId="17951" xr:uid="{00000000-0005-0000-0000-00004D150000}"/>
    <cellStyle name="Normal 4 3 2 3 4 4 2 2 3 2" xfId="42527" xr:uid="{00000000-0005-0000-0000-00004E150000}"/>
    <cellStyle name="Normal 4 3 2 3 4 4 2 2 4" xfId="30239" xr:uid="{00000000-0005-0000-0000-00004F150000}"/>
    <cellStyle name="Normal 4 3 2 3 4 4 2 3" xfId="8735" xr:uid="{00000000-0005-0000-0000-000050150000}"/>
    <cellStyle name="Normal 4 3 2 3 4 4 2 3 2" xfId="21023" xr:uid="{00000000-0005-0000-0000-000051150000}"/>
    <cellStyle name="Normal 4 3 2 3 4 4 2 3 2 2" xfId="45599" xr:uid="{00000000-0005-0000-0000-000052150000}"/>
    <cellStyle name="Normal 4 3 2 3 4 4 2 3 3" xfId="33311" xr:uid="{00000000-0005-0000-0000-000053150000}"/>
    <cellStyle name="Normal 4 3 2 3 4 4 2 4" xfId="14879" xr:uid="{00000000-0005-0000-0000-000054150000}"/>
    <cellStyle name="Normal 4 3 2 3 4 4 2 4 2" xfId="39455" xr:uid="{00000000-0005-0000-0000-000055150000}"/>
    <cellStyle name="Normal 4 3 2 3 4 4 2 5" xfId="27167" xr:uid="{00000000-0005-0000-0000-000056150000}"/>
    <cellStyle name="Normal 4 3 2 3 4 4 3" xfId="4127" xr:uid="{00000000-0005-0000-0000-000057150000}"/>
    <cellStyle name="Normal 4 3 2 3 4 4 3 2" xfId="10271" xr:uid="{00000000-0005-0000-0000-000058150000}"/>
    <cellStyle name="Normal 4 3 2 3 4 4 3 2 2" xfId="22559" xr:uid="{00000000-0005-0000-0000-000059150000}"/>
    <cellStyle name="Normal 4 3 2 3 4 4 3 2 2 2" xfId="47135" xr:uid="{00000000-0005-0000-0000-00005A150000}"/>
    <cellStyle name="Normal 4 3 2 3 4 4 3 2 3" xfId="34847" xr:uid="{00000000-0005-0000-0000-00005B150000}"/>
    <cellStyle name="Normal 4 3 2 3 4 4 3 3" xfId="16415" xr:uid="{00000000-0005-0000-0000-00005C150000}"/>
    <cellStyle name="Normal 4 3 2 3 4 4 3 3 2" xfId="40991" xr:uid="{00000000-0005-0000-0000-00005D150000}"/>
    <cellStyle name="Normal 4 3 2 3 4 4 3 4" xfId="28703" xr:uid="{00000000-0005-0000-0000-00005E150000}"/>
    <cellStyle name="Normal 4 3 2 3 4 4 4" xfId="7199" xr:uid="{00000000-0005-0000-0000-00005F150000}"/>
    <cellStyle name="Normal 4 3 2 3 4 4 4 2" xfId="19487" xr:uid="{00000000-0005-0000-0000-000060150000}"/>
    <cellStyle name="Normal 4 3 2 3 4 4 4 2 2" xfId="44063" xr:uid="{00000000-0005-0000-0000-000061150000}"/>
    <cellStyle name="Normal 4 3 2 3 4 4 4 3" xfId="31775" xr:uid="{00000000-0005-0000-0000-000062150000}"/>
    <cellStyle name="Normal 4 3 2 3 4 4 5" xfId="13343" xr:uid="{00000000-0005-0000-0000-000063150000}"/>
    <cellStyle name="Normal 4 3 2 3 4 4 5 2" xfId="37919" xr:uid="{00000000-0005-0000-0000-000064150000}"/>
    <cellStyle name="Normal 4 3 2 3 4 4 6" xfId="25631" xr:uid="{00000000-0005-0000-0000-000065150000}"/>
    <cellStyle name="Normal 4 3 2 3 4 5" xfId="1819" xr:uid="{00000000-0005-0000-0000-000066150000}"/>
    <cellStyle name="Normal 4 3 2 3 4 5 2" xfId="4895" xr:uid="{00000000-0005-0000-0000-000067150000}"/>
    <cellStyle name="Normal 4 3 2 3 4 5 2 2" xfId="11039" xr:uid="{00000000-0005-0000-0000-000068150000}"/>
    <cellStyle name="Normal 4 3 2 3 4 5 2 2 2" xfId="23327" xr:uid="{00000000-0005-0000-0000-000069150000}"/>
    <cellStyle name="Normal 4 3 2 3 4 5 2 2 2 2" xfId="47903" xr:uid="{00000000-0005-0000-0000-00006A150000}"/>
    <cellStyle name="Normal 4 3 2 3 4 5 2 2 3" xfId="35615" xr:uid="{00000000-0005-0000-0000-00006B150000}"/>
    <cellStyle name="Normal 4 3 2 3 4 5 2 3" xfId="17183" xr:uid="{00000000-0005-0000-0000-00006C150000}"/>
    <cellStyle name="Normal 4 3 2 3 4 5 2 3 2" xfId="41759" xr:uid="{00000000-0005-0000-0000-00006D150000}"/>
    <cellStyle name="Normal 4 3 2 3 4 5 2 4" xfId="29471" xr:uid="{00000000-0005-0000-0000-00006E150000}"/>
    <cellStyle name="Normal 4 3 2 3 4 5 3" xfId="7967" xr:uid="{00000000-0005-0000-0000-00006F150000}"/>
    <cellStyle name="Normal 4 3 2 3 4 5 3 2" xfId="20255" xr:uid="{00000000-0005-0000-0000-000070150000}"/>
    <cellStyle name="Normal 4 3 2 3 4 5 3 2 2" xfId="44831" xr:uid="{00000000-0005-0000-0000-000071150000}"/>
    <cellStyle name="Normal 4 3 2 3 4 5 3 3" xfId="32543" xr:uid="{00000000-0005-0000-0000-000072150000}"/>
    <cellStyle name="Normal 4 3 2 3 4 5 4" xfId="14111" xr:uid="{00000000-0005-0000-0000-000073150000}"/>
    <cellStyle name="Normal 4 3 2 3 4 5 4 2" xfId="38687" xr:uid="{00000000-0005-0000-0000-000074150000}"/>
    <cellStyle name="Normal 4 3 2 3 4 5 5" xfId="26399" xr:uid="{00000000-0005-0000-0000-000075150000}"/>
    <cellStyle name="Normal 4 3 2 3 4 6" xfId="3359" xr:uid="{00000000-0005-0000-0000-000076150000}"/>
    <cellStyle name="Normal 4 3 2 3 4 6 2" xfId="9503" xr:uid="{00000000-0005-0000-0000-000077150000}"/>
    <cellStyle name="Normal 4 3 2 3 4 6 2 2" xfId="21791" xr:uid="{00000000-0005-0000-0000-000078150000}"/>
    <cellStyle name="Normal 4 3 2 3 4 6 2 2 2" xfId="46367" xr:uid="{00000000-0005-0000-0000-000079150000}"/>
    <cellStyle name="Normal 4 3 2 3 4 6 2 3" xfId="34079" xr:uid="{00000000-0005-0000-0000-00007A150000}"/>
    <cellStyle name="Normal 4 3 2 3 4 6 3" xfId="15647" xr:uid="{00000000-0005-0000-0000-00007B150000}"/>
    <cellStyle name="Normal 4 3 2 3 4 6 3 2" xfId="40223" xr:uid="{00000000-0005-0000-0000-00007C150000}"/>
    <cellStyle name="Normal 4 3 2 3 4 6 4" xfId="27935" xr:uid="{00000000-0005-0000-0000-00007D150000}"/>
    <cellStyle name="Normal 4 3 2 3 4 7" xfId="6431" xr:uid="{00000000-0005-0000-0000-00007E150000}"/>
    <cellStyle name="Normal 4 3 2 3 4 7 2" xfId="18719" xr:uid="{00000000-0005-0000-0000-00007F150000}"/>
    <cellStyle name="Normal 4 3 2 3 4 7 2 2" xfId="43295" xr:uid="{00000000-0005-0000-0000-000080150000}"/>
    <cellStyle name="Normal 4 3 2 3 4 7 3" xfId="31007" xr:uid="{00000000-0005-0000-0000-000081150000}"/>
    <cellStyle name="Normal 4 3 2 3 4 8" xfId="12575" xr:uid="{00000000-0005-0000-0000-000082150000}"/>
    <cellStyle name="Normal 4 3 2 3 4 8 2" xfId="37151" xr:uid="{00000000-0005-0000-0000-000083150000}"/>
    <cellStyle name="Normal 4 3 2 3 4 9" xfId="24863" xr:uid="{00000000-0005-0000-0000-000084150000}"/>
    <cellStyle name="Normal 4 3 2 3 5" xfId="347" xr:uid="{00000000-0005-0000-0000-000085150000}"/>
    <cellStyle name="Normal 4 3 2 3 5 2" xfId="731" xr:uid="{00000000-0005-0000-0000-000086150000}"/>
    <cellStyle name="Normal 4 3 2 3 5 2 2" xfId="1499" xr:uid="{00000000-0005-0000-0000-000087150000}"/>
    <cellStyle name="Normal 4 3 2 3 5 2 2 2" xfId="3035" xr:uid="{00000000-0005-0000-0000-000088150000}"/>
    <cellStyle name="Normal 4 3 2 3 5 2 2 2 2" xfId="6111" xr:uid="{00000000-0005-0000-0000-000089150000}"/>
    <cellStyle name="Normal 4 3 2 3 5 2 2 2 2 2" xfId="12255" xr:uid="{00000000-0005-0000-0000-00008A150000}"/>
    <cellStyle name="Normal 4 3 2 3 5 2 2 2 2 2 2" xfId="24543" xr:uid="{00000000-0005-0000-0000-00008B150000}"/>
    <cellStyle name="Normal 4 3 2 3 5 2 2 2 2 2 2 2" xfId="49119" xr:uid="{00000000-0005-0000-0000-00008C150000}"/>
    <cellStyle name="Normal 4 3 2 3 5 2 2 2 2 2 3" xfId="36831" xr:uid="{00000000-0005-0000-0000-00008D150000}"/>
    <cellStyle name="Normal 4 3 2 3 5 2 2 2 2 3" xfId="18399" xr:uid="{00000000-0005-0000-0000-00008E150000}"/>
    <cellStyle name="Normal 4 3 2 3 5 2 2 2 2 3 2" xfId="42975" xr:uid="{00000000-0005-0000-0000-00008F150000}"/>
    <cellStyle name="Normal 4 3 2 3 5 2 2 2 2 4" xfId="30687" xr:uid="{00000000-0005-0000-0000-000090150000}"/>
    <cellStyle name="Normal 4 3 2 3 5 2 2 2 3" xfId="9183" xr:uid="{00000000-0005-0000-0000-000091150000}"/>
    <cellStyle name="Normal 4 3 2 3 5 2 2 2 3 2" xfId="21471" xr:uid="{00000000-0005-0000-0000-000092150000}"/>
    <cellStyle name="Normal 4 3 2 3 5 2 2 2 3 2 2" xfId="46047" xr:uid="{00000000-0005-0000-0000-000093150000}"/>
    <cellStyle name="Normal 4 3 2 3 5 2 2 2 3 3" xfId="33759" xr:uid="{00000000-0005-0000-0000-000094150000}"/>
    <cellStyle name="Normal 4 3 2 3 5 2 2 2 4" xfId="15327" xr:uid="{00000000-0005-0000-0000-000095150000}"/>
    <cellStyle name="Normal 4 3 2 3 5 2 2 2 4 2" xfId="39903" xr:uid="{00000000-0005-0000-0000-000096150000}"/>
    <cellStyle name="Normal 4 3 2 3 5 2 2 2 5" xfId="27615" xr:uid="{00000000-0005-0000-0000-000097150000}"/>
    <cellStyle name="Normal 4 3 2 3 5 2 2 3" xfId="4575" xr:uid="{00000000-0005-0000-0000-000098150000}"/>
    <cellStyle name="Normal 4 3 2 3 5 2 2 3 2" xfId="10719" xr:uid="{00000000-0005-0000-0000-000099150000}"/>
    <cellStyle name="Normal 4 3 2 3 5 2 2 3 2 2" xfId="23007" xr:uid="{00000000-0005-0000-0000-00009A150000}"/>
    <cellStyle name="Normal 4 3 2 3 5 2 2 3 2 2 2" xfId="47583" xr:uid="{00000000-0005-0000-0000-00009B150000}"/>
    <cellStyle name="Normal 4 3 2 3 5 2 2 3 2 3" xfId="35295" xr:uid="{00000000-0005-0000-0000-00009C150000}"/>
    <cellStyle name="Normal 4 3 2 3 5 2 2 3 3" xfId="16863" xr:uid="{00000000-0005-0000-0000-00009D150000}"/>
    <cellStyle name="Normal 4 3 2 3 5 2 2 3 3 2" xfId="41439" xr:uid="{00000000-0005-0000-0000-00009E150000}"/>
    <cellStyle name="Normal 4 3 2 3 5 2 2 3 4" xfId="29151" xr:uid="{00000000-0005-0000-0000-00009F150000}"/>
    <cellStyle name="Normal 4 3 2 3 5 2 2 4" xfId="7647" xr:uid="{00000000-0005-0000-0000-0000A0150000}"/>
    <cellStyle name="Normal 4 3 2 3 5 2 2 4 2" xfId="19935" xr:uid="{00000000-0005-0000-0000-0000A1150000}"/>
    <cellStyle name="Normal 4 3 2 3 5 2 2 4 2 2" xfId="44511" xr:uid="{00000000-0005-0000-0000-0000A2150000}"/>
    <cellStyle name="Normal 4 3 2 3 5 2 2 4 3" xfId="32223" xr:uid="{00000000-0005-0000-0000-0000A3150000}"/>
    <cellStyle name="Normal 4 3 2 3 5 2 2 5" xfId="13791" xr:uid="{00000000-0005-0000-0000-0000A4150000}"/>
    <cellStyle name="Normal 4 3 2 3 5 2 2 5 2" xfId="38367" xr:uid="{00000000-0005-0000-0000-0000A5150000}"/>
    <cellStyle name="Normal 4 3 2 3 5 2 2 6" xfId="26079" xr:uid="{00000000-0005-0000-0000-0000A6150000}"/>
    <cellStyle name="Normal 4 3 2 3 5 2 3" xfId="2267" xr:uid="{00000000-0005-0000-0000-0000A7150000}"/>
    <cellStyle name="Normal 4 3 2 3 5 2 3 2" xfId="5343" xr:uid="{00000000-0005-0000-0000-0000A8150000}"/>
    <cellStyle name="Normal 4 3 2 3 5 2 3 2 2" xfId="11487" xr:uid="{00000000-0005-0000-0000-0000A9150000}"/>
    <cellStyle name="Normal 4 3 2 3 5 2 3 2 2 2" xfId="23775" xr:uid="{00000000-0005-0000-0000-0000AA150000}"/>
    <cellStyle name="Normal 4 3 2 3 5 2 3 2 2 2 2" xfId="48351" xr:uid="{00000000-0005-0000-0000-0000AB150000}"/>
    <cellStyle name="Normal 4 3 2 3 5 2 3 2 2 3" xfId="36063" xr:uid="{00000000-0005-0000-0000-0000AC150000}"/>
    <cellStyle name="Normal 4 3 2 3 5 2 3 2 3" xfId="17631" xr:uid="{00000000-0005-0000-0000-0000AD150000}"/>
    <cellStyle name="Normal 4 3 2 3 5 2 3 2 3 2" xfId="42207" xr:uid="{00000000-0005-0000-0000-0000AE150000}"/>
    <cellStyle name="Normal 4 3 2 3 5 2 3 2 4" xfId="29919" xr:uid="{00000000-0005-0000-0000-0000AF150000}"/>
    <cellStyle name="Normal 4 3 2 3 5 2 3 3" xfId="8415" xr:uid="{00000000-0005-0000-0000-0000B0150000}"/>
    <cellStyle name="Normal 4 3 2 3 5 2 3 3 2" xfId="20703" xr:uid="{00000000-0005-0000-0000-0000B1150000}"/>
    <cellStyle name="Normal 4 3 2 3 5 2 3 3 2 2" xfId="45279" xr:uid="{00000000-0005-0000-0000-0000B2150000}"/>
    <cellStyle name="Normal 4 3 2 3 5 2 3 3 3" xfId="32991" xr:uid="{00000000-0005-0000-0000-0000B3150000}"/>
    <cellStyle name="Normal 4 3 2 3 5 2 3 4" xfId="14559" xr:uid="{00000000-0005-0000-0000-0000B4150000}"/>
    <cellStyle name="Normal 4 3 2 3 5 2 3 4 2" xfId="39135" xr:uid="{00000000-0005-0000-0000-0000B5150000}"/>
    <cellStyle name="Normal 4 3 2 3 5 2 3 5" xfId="26847" xr:uid="{00000000-0005-0000-0000-0000B6150000}"/>
    <cellStyle name="Normal 4 3 2 3 5 2 4" xfId="3807" xr:uid="{00000000-0005-0000-0000-0000B7150000}"/>
    <cellStyle name="Normal 4 3 2 3 5 2 4 2" xfId="9951" xr:uid="{00000000-0005-0000-0000-0000B8150000}"/>
    <cellStyle name="Normal 4 3 2 3 5 2 4 2 2" xfId="22239" xr:uid="{00000000-0005-0000-0000-0000B9150000}"/>
    <cellStyle name="Normal 4 3 2 3 5 2 4 2 2 2" xfId="46815" xr:uid="{00000000-0005-0000-0000-0000BA150000}"/>
    <cellStyle name="Normal 4 3 2 3 5 2 4 2 3" xfId="34527" xr:uid="{00000000-0005-0000-0000-0000BB150000}"/>
    <cellStyle name="Normal 4 3 2 3 5 2 4 3" xfId="16095" xr:uid="{00000000-0005-0000-0000-0000BC150000}"/>
    <cellStyle name="Normal 4 3 2 3 5 2 4 3 2" xfId="40671" xr:uid="{00000000-0005-0000-0000-0000BD150000}"/>
    <cellStyle name="Normal 4 3 2 3 5 2 4 4" xfId="28383" xr:uid="{00000000-0005-0000-0000-0000BE150000}"/>
    <cellStyle name="Normal 4 3 2 3 5 2 5" xfId="6879" xr:uid="{00000000-0005-0000-0000-0000BF150000}"/>
    <cellStyle name="Normal 4 3 2 3 5 2 5 2" xfId="19167" xr:uid="{00000000-0005-0000-0000-0000C0150000}"/>
    <cellStyle name="Normal 4 3 2 3 5 2 5 2 2" xfId="43743" xr:uid="{00000000-0005-0000-0000-0000C1150000}"/>
    <cellStyle name="Normal 4 3 2 3 5 2 5 3" xfId="31455" xr:uid="{00000000-0005-0000-0000-0000C2150000}"/>
    <cellStyle name="Normal 4 3 2 3 5 2 6" xfId="13023" xr:uid="{00000000-0005-0000-0000-0000C3150000}"/>
    <cellStyle name="Normal 4 3 2 3 5 2 6 2" xfId="37599" xr:uid="{00000000-0005-0000-0000-0000C4150000}"/>
    <cellStyle name="Normal 4 3 2 3 5 2 7" xfId="25311" xr:uid="{00000000-0005-0000-0000-0000C5150000}"/>
    <cellStyle name="Normal 4 3 2 3 5 3" xfId="1115" xr:uid="{00000000-0005-0000-0000-0000C6150000}"/>
    <cellStyle name="Normal 4 3 2 3 5 3 2" xfId="2651" xr:uid="{00000000-0005-0000-0000-0000C7150000}"/>
    <cellStyle name="Normal 4 3 2 3 5 3 2 2" xfId="5727" xr:uid="{00000000-0005-0000-0000-0000C8150000}"/>
    <cellStyle name="Normal 4 3 2 3 5 3 2 2 2" xfId="11871" xr:uid="{00000000-0005-0000-0000-0000C9150000}"/>
    <cellStyle name="Normal 4 3 2 3 5 3 2 2 2 2" xfId="24159" xr:uid="{00000000-0005-0000-0000-0000CA150000}"/>
    <cellStyle name="Normal 4 3 2 3 5 3 2 2 2 2 2" xfId="48735" xr:uid="{00000000-0005-0000-0000-0000CB150000}"/>
    <cellStyle name="Normal 4 3 2 3 5 3 2 2 2 3" xfId="36447" xr:uid="{00000000-0005-0000-0000-0000CC150000}"/>
    <cellStyle name="Normal 4 3 2 3 5 3 2 2 3" xfId="18015" xr:uid="{00000000-0005-0000-0000-0000CD150000}"/>
    <cellStyle name="Normal 4 3 2 3 5 3 2 2 3 2" xfId="42591" xr:uid="{00000000-0005-0000-0000-0000CE150000}"/>
    <cellStyle name="Normal 4 3 2 3 5 3 2 2 4" xfId="30303" xr:uid="{00000000-0005-0000-0000-0000CF150000}"/>
    <cellStyle name="Normal 4 3 2 3 5 3 2 3" xfId="8799" xr:uid="{00000000-0005-0000-0000-0000D0150000}"/>
    <cellStyle name="Normal 4 3 2 3 5 3 2 3 2" xfId="21087" xr:uid="{00000000-0005-0000-0000-0000D1150000}"/>
    <cellStyle name="Normal 4 3 2 3 5 3 2 3 2 2" xfId="45663" xr:uid="{00000000-0005-0000-0000-0000D2150000}"/>
    <cellStyle name="Normal 4 3 2 3 5 3 2 3 3" xfId="33375" xr:uid="{00000000-0005-0000-0000-0000D3150000}"/>
    <cellStyle name="Normal 4 3 2 3 5 3 2 4" xfId="14943" xr:uid="{00000000-0005-0000-0000-0000D4150000}"/>
    <cellStyle name="Normal 4 3 2 3 5 3 2 4 2" xfId="39519" xr:uid="{00000000-0005-0000-0000-0000D5150000}"/>
    <cellStyle name="Normal 4 3 2 3 5 3 2 5" xfId="27231" xr:uid="{00000000-0005-0000-0000-0000D6150000}"/>
    <cellStyle name="Normal 4 3 2 3 5 3 3" xfId="4191" xr:uid="{00000000-0005-0000-0000-0000D7150000}"/>
    <cellStyle name="Normal 4 3 2 3 5 3 3 2" xfId="10335" xr:uid="{00000000-0005-0000-0000-0000D8150000}"/>
    <cellStyle name="Normal 4 3 2 3 5 3 3 2 2" xfId="22623" xr:uid="{00000000-0005-0000-0000-0000D9150000}"/>
    <cellStyle name="Normal 4 3 2 3 5 3 3 2 2 2" xfId="47199" xr:uid="{00000000-0005-0000-0000-0000DA150000}"/>
    <cellStyle name="Normal 4 3 2 3 5 3 3 2 3" xfId="34911" xr:uid="{00000000-0005-0000-0000-0000DB150000}"/>
    <cellStyle name="Normal 4 3 2 3 5 3 3 3" xfId="16479" xr:uid="{00000000-0005-0000-0000-0000DC150000}"/>
    <cellStyle name="Normal 4 3 2 3 5 3 3 3 2" xfId="41055" xr:uid="{00000000-0005-0000-0000-0000DD150000}"/>
    <cellStyle name="Normal 4 3 2 3 5 3 3 4" xfId="28767" xr:uid="{00000000-0005-0000-0000-0000DE150000}"/>
    <cellStyle name="Normal 4 3 2 3 5 3 4" xfId="7263" xr:uid="{00000000-0005-0000-0000-0000DF150000}"/>
    <cellStyle name="Normal 4 3 2 3 5 3 4 2" xfId="19551" xr:uid="{00000000-0005-0000-0000-0000E0150000}"/>
    <cellStyle name="Normal 4 3 2 3 5 3 4 2 2" xfId="44127" xr:uid="{00000000-0005-0000-0000-0000E1150000}"/>
    <cellStyle name="Normal 4 3 2 3 5 3 4 3" xfId="31839" xr:uid="{00000000-0005-0000-0000-0000E2150000}"/>
    <cellStyle name="Normal 4 3 2 3 5 3 5" xfId="13407" xr:uid="{00000000-0005-0000-0000-0000E3150000}"/>
    <cellStyle name="Normal 4 3 2 3 5 3 5 2" xfId="37983" xr:uid="{00000000-0005-0000-0000-0000E4150000}"/>
    <cellStyle name="Normal 4 3 2 3 5 3 6" xfId="25695" xr:uid="{00000000-0005-0000-0000-0000E5150000}"/>
    <cellStyle name="Normal 4 3 2 3 5 4" xfId="1883" xr:uid="{00000000-0005-0000-0000-0000E6150000}"/>
    <cellStyle name="Normal 4 3 2 3 5 4 2" xfId="4959" xr:uid="{00000000-0005-0000-0000-0000E7150000}"/>
    <cellStyle name="Normal 4 3 2 3 5 4 2 2" xfId="11103" xr:uid="{00000000-0005-0000-0000-0000E8150000}"/>
    <cellStyle name="Normal 4 3 2 3 5 4 2 2 2" xfId="23391" xr:uid="{00000000-0005-0000-0000-0000E9150000}"/>
    <cellStyle name="Normal 4 3 2 3 5 4 2 2 2 2" xfId="47967" xr:uid="{00000000-0005-0000-0000-0000EA150000}"/>
    <cellStyle name="Normal 4 3 2 3 5 4 2 2 3" xfId="35679" xr:uid="{00000000-0005-0000-0000-0000EB150000}"/>
    <cellStyle name="Normal 4 3 2 3 5 4 2 3" xfId="17247" xr:uid="{00000000-0005-0000-0000-0000EC150000}"/>
    <cellStyle name="Normal 4 3 2 3 5 4 2 3 2" xfId="41823" xr:uid="{00000000-0005-0000-0000-0000ED150000}"/>
    <cellStyle name="Normal 4 3 2 3 5 4 2 4" xfId="29535" xr:uid="{00000000-0005-0000-0000-0000EE150000}"/>
    <cellStyle name="Normal 4 3 2 3 5 4 3" xfId="8031" xr:uid="{00000000-0005-0000-0000-0000EF150000}"/>
    <cellStyle name="Normal 4 3 2 3 5 4 3 2" xfId="20319" xr:uid="{00000000-0005-0000-0000-0000F0150000}"/>
    <cellStyle name="Normal 4 3 2 3 5 4 3 2 2" xfId="44895" xr:uid="{00000000-0005-0000-0000-0000F1150000}"/>
    <cellStyle name="Normal 4 3 2 3 5 4 3 3" xfId="32607" xr:uid="{00000000-0005-0000-0000-0000F2150000}"/>
    <cellStyle name="Normal 4 3 2 3 5 4 4" xfId="14175" xr:uid="{00000000-0005-0000-0000-0000F3150000}"/>
    <cellStyle name="Normal 4 3 2 3 5 4 4 2" xfId="38751" xr:uid="{00000000-0005-0000-0000-0000F4150000}"/>
    <cellStyle name="Normal 4 3 2 3 5 4 5" xfId="26463" xr:uid="{00000000-0005-0000-0000-0000F5150000}"/>
    <cellStyle name="Normal 4 3 2 3 5 5" xfId="3423" xr:uid="{00000000-0005-0000-0000-0000F6150000}"/>
    <cellStyle name="Normal 4 3 2 3 5 5 2" xfId="9567" xr:uid="{00000000-0005-0000-0000-0000F7150000}"/>
    <cellStyle name="Normal 4 3 2 3 5 5 2 2" xfId="21855" xr:uid="{00000000-0005-0000-0000-0000F8150000}"/>
    <cellStyle name="Normal 4 3 2 3 5 5 2 2 2" xfId="46431" xr:uid="{00000000-0005-0000-0000-0000F9150000}"/>
    <cellStyle name="Normal 4 3 2 3 5 5 2 3" xfId="34143" xr:uid="{00000000-0005-0000-0000-0000FA150000}"/>
    <cellStyle name="Normal 4 3 2 3 5 5 3" xfId="15711" xr:uid="{00000000-0005-0000-0000-0000FB150000}"/>
    <cellStyle name="Normal 4 3 2 3 5 5 3 2" xfId="40287" xr:uid="{00000000-0005-0000-0000-0000FC150000}"/>
    <cellStyle name="Normal 4 3 2 3 5 5 4" xfId="27999" xr:uid="{00000000-0005-0000-0000-0000FD150000}"/>
    <cellStyle name="Normal 4 3 2 3 5 6" xfId="6495" xr:uid="{00000000-0005-0000-0000-0000FE150000}"/>
    <cellStyle name="Normal 4 3 2 3 5 6 2" xfId="18783" xr:uid="{00000000-0005-0000-0000-0000FF150000}"/>
    <cellStyle name="Normal 4 3 2 3 5 6 2 2" xfId="43359" xr:uid="{00000000-0005-0000-0000-000000160000}"/>
    <cellStyle name="Normal 4 3 2 3 5 6 3" xfId="31071" xr:uid="{00000000-0005-0000-0000-000001160000}"/>
    <cellStyle name="Normal 4 3 2 3 5 7" xfId="12639" xr:uid="{00000000-0005-0000-0000-000002160000}"/>
    <cellStyle name="Normal 4 3 2 3 5 7 2" xfId="37215" xr:uid="{00000000-0005-0000-0000-000003160000}"/>
    <cellStyle name="Normal 4 3 2 3 5 8" xfId="24927" xr:uid="{00000000-0005-0000-0000-000004160000}"/>
    <cellStyle name="Normal 4 3 2 3 6" xfId="539" xr:uid="{00000000-0005-0000-0000-000005160000}"/>
    <cellStyle name="Normal 4 3 2 3 6 2" xfId="1307" xr:uid="{00000000-0005-0000-0000-000006160000}"/>
    <cellStyle name="Normal 4 3 2 3 6 2 2" xfId="2843" xr:uid="{00000000-0005-0000-0000-000007160000}"/>
    <cellStyle name="Normal 4 3 2 3 6 2 2 2" xfId="5919" xr:uid="{00000000-0005-0000-0000-000008160000}"/>
    <cellStyle name="Normal 4 3 2 3 6 2 2 2 2" xfId="12063" xr:uid="{00000000-0005-0000-0000-000009160000}"/>
    <cellStyle name="Normal 4 3 2 3 6 2 2 2 2 2" xfId="24351" xr:uid="{00000000-0005-0000-0000-00000A160000}"/>
    <cellStyle name="Normal 4 3 2 3 6 2 2 2 2 2 2" xfId="48927" xr:uid="{00000000-0005-0000-0000-00000B160000}"/>
    <cellStyle name="Normal 4 3 2 3 6 2 2 2 2 3" xfId="36639" xr:uid="{00000000-0005-0000-0000-00000C160000}"/>
    <cellStyle name="Normal 4 3 2 3 6 2 2 2 3" xfId="18207" xr:uid="{00000000-0005-0000-0000-00000D160000}"/>
    <cellStyle name="Normal 4 3 2 3 6 2 2 2 3 2" xfId="42783" xr:uid="{00000000-0005-0000-0000-00000E160000}"/>
    <cellStyle name="Normal 4 3 2 3 6 2 2 2 4" xfId="30495" xr:uid="{00000000-0005-0000-0000-00000F160000}"/>
    <cellStyle name="Normal 4 3 2 3 6 2 2 3" xfId="8991" xr:uid="{00000000-0005-0000-0000-000010160000}"/>
    <cellStyle name="Normal 4 3 2 3 6 2 2 3 2" xfId="21279" xr:uid="{00000000-0005-0000-0000-000011160000}"/>
    <cellStyle name="Normal 4 3 2 3 6 2 2 3 2 2" xfId="45855" xr:uid="{00000000-0005-0000-0000-000012160000}"/>
    <cellStyle name="Normal 4 3 2 3 6 2 2 3 3" xfId="33567" xr:uid="{00000000-0005-0000-0000-000013160000}"/>
    <cellStyle name="Normal 4 3 2 3 6 2 2 4" xfId="15135" xr:uid="{00000000-0005-0000-0000-000014160000}"/>
    <cellStyle name="Normal 4 3 2 3 6 2 2 4 2" xfId="39711" xr:uid="{00000000-0005-0000-0000-000015160000}"/>
    <cellStyle name="Normal 4 3 2 3 6 2 2 5" xfId="27423" xr:uid="{00000000-0005-0000-0000-000016160000}"/>
    <cellStyle name="Normal 4 3 2 3 6 2 3" xfId="4383" xr:uid="{00000000-0005-0000-0000-000017160000}"/>
    <cellStyle name="Normal 4 3 2 3 6 2 3 2" xfId="10527" xr:uid="{00000000-0005-0000-0000-000018160000}"/>
    <cellStyle name="Normal 4 3 2 3 6 2 3 2 2" xfId="22815" xr:uid="{00000000-0005-0000-0000-000019160000}"/>
    <cellStyle name="Normal 4 3 2 3 6 2 3 2 2 2" xfId="47391" xr:uid="{00000000-0005-0000-0000-00001A160000}"/>
    <cellStyle name="Normal 4 3 2 3 6 2 3 2 3" xfId="35103" xr:uid="{00000000-0005-0000-0000-00001B160000}"/>
    <cellStyle name="Normal 4 3 2 3 6 2 3 3" xfId="16671" xr:uid="{00000000-0005-0000-0000-00001C160000}"/>
    <cellStyle name="Normal 4 3 2 3 6 2 3 3 2" xfId="41247" xr:uid="{00000000-0005-0000-0000-00001D160000}"/>
    <cellStyle name="Normal 4 3 2 3 6 2 3 4" xfId="28959" xr:uid="{00000000-0005-0000-0000-00001E160000}"/>
    <cellStyle name="Normal 4 3 2 3 6 2 4" xfId="7455" xr:uid="{00000000-0005-0000-0000-00001F160000}"/>
    <cellStyle name="Normal 4 3 2 3 6 2 4 2" xfId="19743" xr:uid="{00000000-0005-0000-0000-000020160000}"/>
    <cellStyle name="Normal 4 3 2 3 6 2 4 2 2" xfId="44319" xr:uid="{00000000-0005-0000-0000-000021160000}"/>
    <cellStyle name="Normal 4 3 2 3 6 2 4 3" xfId="32031" xr:uid="{00000000-0005-0000-0000-000022160000}"/>
    <cellStyle name="Normal 4 3 2 3 6 2 5" xfId="13599" xr:uid="{00000000-0005-0000-0000-000023160000}"/>
    <cellStyle name="Normal 4 3 2 3 6 2 5 2" xfId="38175" xr:uid="{00000000-0005-0000-0000-000024160000}"/>
    <cellStyle name="Normal 4 3 2 3 6 2 6" xfId="25887" xr:uid="{00000000-0005-0000-0000-000025160000}"/>
    <cellStyle name="Normal 4 3 2 3 6 3" xfId="2075" xr:uid="{00000000-0005-0000-0000-000026160000}"/>
    <cellStyle name="Normal 4 3 2 3 6 3 2" xfId="5151" xr:uid="{00000000-0005-0000-0000-000027160000}"/>
    <cellStyle name="Normal 4 3 2 3 6 3 2 2" xfId="11295" xr:uid="{00000000-0005-0000-0000-000028160000}"/>
    <cellStyle name="Normal 4 3 2 3 6 3 2 2 2" xfId="23583" xr:uid="{00000000-0005-0000-0000-000029160000}"/>
    <cellStyle name="Normal 4 3 2 3 6 3 2 2 2 2" xfId="48159" xr:uid="{00000000-0005-0000-0000-00002A160000}"/>
    <cellStyle name="Normal 4 3 2 3 6 3 2 2 3" xfId="35871" xr:uid="{00000000-0005-0000-0000-00002B160000}"/>
    <cellStyle name="Normal 4 3 2 3 6 3 2 3" xfId="17439" xr:uid="{00000000-0005-0000-0000-00002C160000}"/>
    <cellStyle name="Normal 4 3 2 3 6 3 2 3 2" xfId="42015" xr:uid="{00000000-0005-0000-0000-00002D160000}"/>
    <cellStyle name="Normal 4 3 2 3 6 3 2 4" xfId="29727" xr:uid="{00000000-0005-0000-0000-00002E160000}"/>
    <cellStyle name="Normal 4 3 2 3 6 3 3" xfId="8223" xr:uid="{00000000-0005-0000-0000-00002F160000}"/>
    <cellStyle name="Normal 4 3 2 3 6 3 3 2" xfId="20511" xr:uid="{00000000-0005-0000-0000-000030160000}"/>
    <cellStyle name="Normal 4 3 2 3 6 3 3 2 2" xfId="45087" xr:uid="{00000000-0005-0000-0000-000031160000}"/>
    <cellStyle name="Normal 4 3 2 3 6 3 3 3" xfId="32799" xr:uid="{00000000-0005-0000-0000-000032160000}"/>
    <cellStyle name="Normal 4 3 2 3 6 3 4" xfId="14367" xr:uid="{00000000-0005-0000-0000-000033160000}"/>
    <cellStyle name="Normal 4 3 2 3 6 3 4 2" xfId="38943" xr:uid="{00000000-0005-0000-0000-000034160000}"/>
    <cellStyle name="Normal 4 3 2 3 6 3 5" xfId="26655" xr:uid="{00000000-0005-0000-0000-000035160000}"/>
    <cellStyle name="Normal 4 3 2 3 6 4" xfId="3615" xr:uid="{00000000-0005-0000-0000-000036160000}"/>
    <cellStyle name="Normal 4 3 2 3 6 4 2" xfId="9759" xr:uid="{00000000-0005-0000-0000-000037160000}"/>
    <cellStyle name="Normal 4 3 2 3 6 4 2 2" xfId="22047" xr:uid="{00000000-0005-0000-0000-000038160000}"/>
    <cellStyle name="Normal 4 3 2 3 6 4 2 2 2" xfId="46623" xr:uid="{00000000-0005-0000-0000-000039160000}"/>
    <cellStyle name="Normal 4 3 2 3 6 4 2 3" xfId="34335" xr:uid="{00000000-0005-0000-0000-00003A160000}"/>
    <cellStyle name="Normal 4 3 2 3 6 4 3" xfId="15903" xr:uid="{00000000-0005-0000-0000-00003B160000}"/>
    <cellStyle name="Normal 4 3 2 3 6 4 3 2" xfId="40479" xr:uid="{00000000-0005-0000-0000-00003C160000}"/>
    <cellStyle name="Normal 4 3 2 3 6 4 4" xfId="28191" xr:uid="{00000000-0005-0000-0000-00003D160000}"/>
    <cellStyle name="Normal 4 3 2 3 6 5" xfId="6687" xr:uid="{00000000-0005-0000-0000-00003E160000}"/>
    <cellStyle name="Normal 4 3 2 3 6 5 2" xfId="18975" xr:uid="{00000000-0005-0000-0000-00003F160000}"/>
    <cellStyle name="Normal 4 3 2 3 6 5 2 2" xfId="43551" xr:uid="{00000000-0005-0000-0000-000040160000}"/>
    <cellStyle name="Normal 4 3 2 3 6 5 3" xfId="31263" xr:uid="{00000000-0005-0000-0000-000041160000}"/>
    <cellStyle name="Normal 4 3 2 3 6 6" xfId="12831" xr:uid="{00000000-0005-0000-0000-000042160000}"/>
    <cellStyle name="Normal 4 3 2 3 6 6 2" xfId="37407" xr:uid="{00000000-0005-0000-0000-000043160000}"/>
    <cellStyle name="Normal 4 3 2 3 6 7" xfId="25119" xr:uid="{00000000-0005-0000-0000-000044160000}"/>
    <cellStyle name="Normal 4 3 2 3 7" xfId="923" xr:uid="{00000000-0005-0000-0000-000045160000}"/>
    <cellStyle name="Normal 4 3 2 3 7 2" xfId="2459" xr:uid="{00000000-0005-0000-0000-000046160000}"/>
    <cellStyle name="Normal 4 3 2 3 7 2 2" xfId="5535" xr:uid="{00000000-0005-0000-0000-000047160000}"/>
    <cellStyle name="Normal 4 3 2 3 7 2 2 2" xfId="11679" xr:uid="{00000000-0005-0000-0000-000048160000}"/>
    <cellStyle name="Normal 4 3 2 3 7 2 2 2 2" xfId="23967" xr:uid="{00000000-0005-0000-0000-000049160000}"/>
    <cellStyle name="Normal 4 3 2 3 7 2 2 2 2 2" xfId="48543" xr:uid="{00000000-0005-0000-0000-00004A160000}"/>
    <cellStyle name="Normal 4 3 2 3 7 2 2 2 3" xfId="36255" xr:uid="{00000000-0005-0000-0000-00004B160000}"/>
    <cellStyle name="Normal 4 3 2 3 7 2 2 3" xfId="17823" xr:uid="{00000000-0005-0000-0000-00004C160000}"/>
    <cellStyle name="Normal 4 3 2 3 7 2 2 3 2" xfId="42399" xr:uid="{00000000-0005-0000-0000-00004D160000}"/>
    <cellStyle name="Normal 4 3 2 3 7 2 2 4" xfId="30111" xr:uid="{00000000-0005-0000-0000-00004E160000}"/>
    <cellStyle name="Normal 4 3 2 3 7 2 3" xfId="8607" xr:uid="{00000000-0005-0000-0000-00004F160000}"/>
    <cellStyle name="Normal 4 3 2 3 7 2 3 2" xfId="20895" xr:uid="{00000000-0005-0000-0000-000050160000}"/>
    <cellStyle name="Normal 4 3 2 3 7 2 3 2 2" xfId="45471" xr:uid="{00000000-0005-0000-0000-000051160000}"/>
    <cellStyle name="Normal 4 3 2 3 7 2 3 3" xfId="33183" xr:uid="{00000000-0005-0000-0000-000052160000}"/>
    <cellStyle name="Normal 4 3 2 3 7 2 4" xfId="14751" xr:uid="{00000000-0005-0000-0000-000053160000}"/>
    <cellStyle name="Normal 4 3 2 3 7 2 4 2" xfId="39327" xr:uid="{00000000-0005-0000-0000-000054160000}"/>
    <cellStyle name="Normal 4 3 2 3 7 2 5" xfId="27039" xr:uid="{00000000-0005-0000-0000-000055160000}"/>
    <cellStyle name="Normal 4 3 2 3 7 3" xfId="3999" xr:uid="{00000000-0005-0000-0000-000056160000}"/>
    <cellStyle name="Normal 4 3 2 3 7 3 2" xfId="10143" xr:uid="{00000000-0005-0000-0000-000057160000}"/>
    <cellStyle name="Normal 4 3 2 3 7 3 2 2" xfId="22431" xr:uid="{00000000-0005-0000-0000-000058160000}"/>
    <cellStyle name="Normal 4 3 2 3 7 3 2 2 2" xfId="47007" xr:uid="{00000000-0005-0000-0000-000059160000}"/>
    <cellStyle name="Normal 4 3 2 3 7 3 2 3" xfId="34719" xr:uid="{00000000-0005-0000-0000-00005A160000}"/>
    <cellStyle name="Normal 4 3 2 3 7 3 3" xfId="16287" xr:uid="{00000000-0005-0000-0000-00005B160000}"/>
    <cellStyle name="Normal 4 3 2 3 7 3 3 2" xfId="40863" xr:uid="{00000000-0005-0000-0000-00005C160000}"/>
    <cellStyle name="Normal 4 3 2 3 7 3 4" xfId="28575" xr:uid="{00000000-0005-0000-0000-00005D160000}"/>
    <cellStyle name="Normal 4 3 2 3 7 4" xfId="7071" xr:uid="{00000000-0005-0000-0000-00005E160000}"/>
    <cellStyle name="Normal 4 3 2 3 7 4 2" xfId="19359" xr:uid="{00000000-0005-0000-0000-00005F160000}"/>
    <cellStyle name="Normal 4 3 2 3 7 4 2 2" xfId="43935" xr:uid="{00000000-0005-0000-0000-000060160000}"/>
    <cellStyle name="Normal 4 3 2 3 7 4 3" xfId="31647" xr:uid="{00000000-0005-0000-0000-000061160000}"/>
    <cellStyle name="Normal 4 3 2 3 7 5" xfId="13215" xr:uid="{00000000-0005-0000-0000-000062160000}"/>
    <cellStyle name="Normal 4 3 2 3 7 5 2" xfId="37791" xr:uid="{00000000-0005-0000-0000-000063160000}"/>
    <cellStyle name="Normal 4 3 2 3 7 6" xfId="25503" xr:uid="{00000000-0005-0000-0000-000064160000}"/>
    <cellStyle name="Normal 4 3 2 3 8" xfId="1691" xr:uid="{00000000-0005-0000-0000-000065160000}"/>
    <cellStyle name="Normal 4 3 2 3 8 2" xfId="4767" xr:uid="{00000000-0005-0000-0000-000066160000}"/>
    <cellStyle name="Normal 4 3 2 3 8 2 2" xfId="10911" xr:uid="{00000000-0005-0000-0000-000067160000}"/>
    <cellStyle name="Normal 4 3 2 3 8 2 2 2" xfId="23199" xr:uid="{00000000-0005-0000-0000-000068160000}"/>
    <cellStyle name="Normal 4 3 2 3 8 2 2 2 2" xfId="47775" xr:uid="{00000000-0005-0000-0000-000069160000}"/>
    <cellStyle name="Normal 4 3 2 3 8 2 2 3" xfId="35487" xr:uid="{00000000-0005-0000-0000-00006A160000}"/>
    <cellStyle name="Normal 4 3 2 3 8 2 3" xfId="17055" xr:uid="{00000000-0005-0000-0000-00006B160000}"/>
    <cellStyle name="Normal 4 3 2 3 8 2 3 2" xfId="41631" xr:uid="{00000000-0005-0000-0000-00006C160000}"/>
    <cellStyle name="Normal 4 3 2 3 8 2 4" xfId="29343" xr:uid="{00000000-0005-0000-0000-00006D160000}"/>
    <cellStyle name="Normal 4 3 2 3 8 3" xfId="7839" xr:uid="{00000000-0005-0000-0000-00006E160000}"/>
    <cellStyle name="Normal 4 3 2 3 8 3 2" xfId="20127" xr:uid="{00000000-0005-0000-0000-00006F160000}"/>
    <cellStyle name="Normal 4 3 2 3 8 3 2 2" xfId="44703" xr:uid="{00000000-0005-0000-0000-000070160000}"/>
    <cellStyle name="Normal 4 3 2 3 8 3 3" xfId="32415" xr:uid="{00000000-0005-0000-0000-000071160000}"/>
    <cellStyle name="Normal 4 3 2 3 8 4" xfId="13983" xr:uid="{00000000-0005-0000-0000-000072160000}"/>
    <cellStyle name="Normal 4 3 2 3 8 4 2" xfId="38559" xr:uid="{00000000-0005-0000-0000-000073160000}"/>
    <cellStyle name="Normal 4 3 2 3 8 5" xfId="26271" xr:uid="{00000000-0005-0000-0000-000074160000}"/>
    <cellStyle name="Normal 4 3 2 3 9" xfId="3231" xr:uid="{00000000-0005-0000-0000-000075160000}"/>
    <cellStyle name="Normal 4 3 2 3 9 2" xfId="9375" xr:uid="{00000000-0005-0000-0000-000076160000}"/>
    <cellStyle name="Normal 4 3 2 3 9 2 2" xfId="21663" xr:uid="{00000000-0005-0000-0000-000077160000}"/>
    <cellStyle name="Normal 4 3 2 3 9 2 2 2" xfId="46239" xr:uid="{00000000-0005-0000-0000-000078160000}"/>
    <cellStyle name="Normal 4 3 2 3 9 2 3" xfId="33951" xr:uid="{00000000-0005-0000-0000-000079160000}"/>
    <cellStyle name="Normal 4 3 2 3 9 3" xfId="15519" xr:uid="{00000000-0005-0000-0000-00007A160000}"/>
    <cellStyle name="Normal 4 3 2 3 9 3 2" xfId="40095" xr:uid="{00000000-0005-0000-0000-00007B160000}"/>
    <cellStyle name="Normal 4 3 2 3 9 4" xfId="27807" xr:uid="{00000000-0005-0000-0000-00007C160000}"/>
    <cellStyle name="Normal 4 3 2 4" xfId="170" xr:uid="{00000000-0005-0000-0000-00007D160000}"/>
    <cellStyle name="Normal 4 3 2 4 10" xfId="12463" xr:uid="{00000000-0005-0000-0000-00007E160000}"/>
    <cellStyle name="Normal 4 3 2 4 10 2" xfId="37039" xr:uid="{00000000-0005-0000-0000-00007F160000}"/>
    <cellStyle name="Normal 4 3 2 4 11" xfId="24751" xr:uid="{00000000-0005-0000-0000-000080160000}"/>
    <cellStyle name="Normal 4 3 2 4 2" xfId="235" xr:uid="{00000000-0005-0000-0000-000081160000}"/>
    <cellStyle name="Normal 4 3 2 4 2 2" xfId="427" xr:uid="{00000000-0005-0000-0000-000082160000}"/>
    <cellStyle name="Normal 4 3 2 4 2 2 2" xfId="811" xr:uid="{00000000-0005-0000-0000-000083160000}"/>
    <cellStyle name="Normal 4 3 2 4 2 2 2 2" xfId="1579" xr:uid="{00000000-0005-0000-0000-000084160000}"/>
    <cellStyle name="Normal 4 3 2 4 2 2 2 2 2" xfId="3115" xr:uid="{00000000-0005-0000-0000-000085160000}"/>
    <cellStyle name="Normal 4 3 2 4 2 2 2 2 2 2" xfId="6191" xr:uid="{00000000-0005-0000-0000-000086160000}"/>
    <cellStyle name="Normal 4 3 2 4 2 2 2 2 2 2 2" xfId="12335" xr:uid="{00000000-0005-0000-0000-000087160000}"/>
    <cellStyle name="Normal 4 3 2 4 2 2 2 2 2 2 2 2" xfId="24623" xr:uid="{00000000-0005-0000-0000-000088160000}"/>
    <cellStyle name="Normal 4 3 2 4 2 2 2 2 2 2 2 2 2" xfId="49199" xr:uid="{00000000-0005-0000-0000-000089160000}"/>
    <cellStyle name="Normal 4 3 2 4 2 2 2 2 2 2 2 3" xfId="36911" xr:uid="{00000000-0005-0000-0000-00008A160000}"/>
    <cellStyle name="Normal 4 3 2 4 2 2 2 2 2 2 3" xfId="18479" xr:uid="{00000000-0005-0000-0000-00008B160000}"/>
    <cellStyle name="Normal 4 3 2 4 2 2 2 2 2 2 3 2" xfId="43055" xr:uid="{00000000-0005-0000-0000-00008C160000}"/>
    <cellStyle name="Normal 4 3 2 4 2 2 2 2 2 2 4" xfId="30767" xr:uid="{00000000-0005-0000-0000-00008D160000}"/>
    <cellStyle name="Normal 4 3 2 4 2 2 2 2 2 3" xfId="9263" xr:uid="{00000000-0005-0000-0000-00008E160000}"/>
    <cellStyle name="Normal 4 3 2 4 2 2 2 2 2 3 2" xfId="21551" xr:uid="{00000000-0005-0000-0000-00008F160000}"/>
    <cellStyle name="Normal 4 3 2 4 2 2 2 2 2 3 2 2" xfId="46127" xr:uid="{00000000-0005-0000-0000-000090160000}"/>
    <cellStyle name="Normal 4 3 2 4 2 2 2 2 2 3 3" xfId="33839" xr:uid="{00000000-0005-0000-0000-000091160000}"/>
    <cellStyle name="Normal 4 3 2 4 2 2 2 2 2 4" xfId="15407" xr:uid="{00000000-0005-0000-0000-000092160000}"/>
    <cellStyle name="Normal 4 3 2 4 2 2 2 2 2 4 2" xfId="39983" xr:uid="{00000000-0005-0000-0000-000093160000}"/>
    <cellStyle name="Normal 4 3 2 4 2 2 2 2 2 5" xfId="27695" xr:uid="{00000000-0005-0000-0000-000094160000}"/>
    <cellStyle name="Normal 4 3 2 4 2 2 2 2 3" xfId="4655" xr:uid="{00000000-0005-0000-0000-000095160000}"/>
    <cellStyle name="Normal 4 3 2 4 2 2 2 2 3 2" xfId="10799" xr:uid="{00000000-0005-0000-0000-000096160000}"/>
    <cellStyle name="Normal 4 3 2 4 2 2 2 2 3 2 2" xfId="23087" xr:uid="{00000000-0005-0000-0000-000097160000}"/>
    <cellStyle name="Normal 4 3 2 4 2 2 2 2 3 2 2 2" xfId="47663" xr:uid="{00000000-0005-0000-0000-000098160000}"/>
    <cellStyle name="Normal 4 3 2 4 2 2 2 2 3 2 3" xfId="35375" xr:uid="{00000000-0005-0000-0000-000099160000}"/>
    <cellStyle name="Normal 4 3 2 4 2 2 2 2 3 3" xfId="16943" xr:uid="{00000000-0005-0000-0000-00009A160000}"/>
    <cellStyle name="Normal 4 3 2 4 2 2 2 2 3 3 2" xfId="41519" xr:uid="{00000000-0005-0000-0000-00009B160000}"/>
    <cellStyle name="Normal 4 3 2 4 2 2 2 2 3 4" xfId="29231" xr:uid="{00000000-0005-0000-0000-00009C160000}"/>
    <cellStyle name="Normal 4 3 2 4 2 2 2 2 4" xfId="7727" xr:uid="{00000000-0005-0000-0000-00009D160000}"/>
    <cellStyle name="Normal 4 3 2 4 2 2 2 2 4 2" xfId="20015" xr:uid="{00000000-0005-0000-0000-00009E160000}"/>
    <cellStyle name="Normal 4 3 2 4 2 2 2 2 4 2 2" xfId="44591" xr:uid="{00000000-0005-0000-0000-00009F160000}"/>
    <cellStyle name="Normal 4 3 2 4 2 2 2 2 4 3" xfId="32303" xr:uid="{00000000-0005-0000-0000-0000A0160000}"/>
    <cellStyle name="Normal 4 3 2 4 2 2 2 2 5" xfId="13871" xr:uid="{00000000-0005-0000-0000-0000A1160000}"/>
    <cellStyle name="Normal 4 3 2 4 2 2 2 2 5 2" xfId="38447" xr:uid="{00000000-0005-0000-0000-0000A2160000}"/>
    <cellStyle name="Normal 4 3 2 4 2 2 2 2 6" xfId="26159" xr:uid="{00000000-0005-0000-0000-0000A3160000}"/>
    <cellStyle name="Normal 4 3 2 4 2 2 2 3" xfId="2347" xr:uid="{00000000-0005-0000-0000-0000A4160000}"/>
    <cellStyle name="Normal 4 3 2 4 2 2 2 3 2" xfId="5423" xr:uid="{00000000-0005-0000-0000-0000A5160000}"/>
    <cellStyle name="Normal 4 3 2 4 2 2 2 3 2 2" xfId="11567" xr:uid="{00000000-0005-0000-0000-0000A6160000}"/>
    <cellStyle name="Normal 4 3 2 4 2 2 2 3 2 2 2" xfId="23855" xr:uid="{00000000-0005-0000-0000-0000A7160000}"/>
    <cellStyle name="Normal 4 3 2 4 2 2 2 3 2 2 2 2" xfId="48431" xr:uid="{00000000-0005-0000-0000-0000A8160000}"/>
    <cellStyle name="Normal 4 3 2 4 2 2 2 3 2 2 3" xfId="36143" xr:uid="{00000000-0005-0000-0000-0000A9160000}"/>
    <cellStyle name="Normal 4 3 2 4 2 2 2 3 2 3" xfId="17711" xr:uid="{00000000-0005-0000-0000-0000AA160000}"/>
    <cellStyle name="Normal 4 3 2 4 2 2 2 3 2 3 2" xfId="42287" xr:uid="{00000000-0005-0000-0000-0000AB160000}"/>
    <cellStyle name="Normal 4 3 2 4 2 2 2 3 2 4" xfId="29999" xr:uid="{00000000-0005-0000-0000-0000AC160000}"/>
    <cellStyle name="Normal 4 3 2 4 2 2 2 3 3" xfId="8495" xr:uid="{00000000-0005-0000-0000-0000AD160000}"/>
    <cellStyle name="Normal 4 3 2 4 2 2 2 3 3 2" xfId="20783" xr:uid="{00000000-0005-0000-0000-0000AE160000}"/>
    <cellStyle name="Normal 4 3 2 4 2 2 2 3 3 2 2" xfId="45359" xr:uid="{00000000-0005-0000-0000-0000AF160000}"/>
    <cellStyle name="Normal 4 3 2 4 2 2 2 3 3 3" xfId="33071" xr:uid="{00000000-0005-0000-0000-0000B0160000}"/>
    <cellStyle name="Normal 4 3 2 4 2 2 2 3 4" xfId="14639" xr:uid="{00000000-0005-0000-0000-0000B1160000}"/>
    <cellStyle name="Normal 4 3 2 4 2 2 2 3 4 2" xfId="39215" xr:uid="{00000000-0005-0000-0000-0000B2160000}"/>
    <cellStyle name="Normal 4 3 2 4 2 2 2 3 5" xfId="26927" xr:uid="{00000000-0005-0000-0000-0000B3160000}"/>
    <cellStyle name="Normal 4 3 2 4 2 2 2 4" xfId="3887" xr:uid="{00000000-0005-0000-0000-0000B4160000}"/>
    <cellStyle name="Normal 4 3 2 4 2 2 2 4 2" xfId="10031" xr:uid="{00000000-0005-0000-0000-0000B5160000}"/>
    <cellStyle name="Normal 4 3 2 4 2 2 2 4 2 2" xfId="22319" xr:uid="{00000000-0005-0000-0000-0000B6160000}"/>
    <cellStyle name="Normal 4 3 2 4 2 2 2 4 2 2 2" xfId="46895" xr:uid="{00000000-0005-0000-0000-0000B7160000}"/>
    <cellStyle name="Normal 4 3 2 4 2 2 2 4 2 3" xfId="34607" xr:uid="{00000000-0005-0000-0000-0000B8160000}"/>
    <cellStyle name="Normal 4 3 2 4 2 2 2 4 3" xfId="16175" xr:uid="{00000000-0005-0000-0000-0000B9160000}"/>
    <cellStyle name="Normal 4 3 2 4 2 2 2 4 3 2" xfId="40751" xr:uid="{00000000-0005-0000-0000-0000BA160000}"/>
    <cellStyle name="Normal 4 3 2 4 2 2 2 4 4" xfId="28463" xr:uid="{00000000-0005-0000-0000-0000BB160000}"/>
    <cellStyle name="Normal 4 3 2 4 2 2 2 5" xfId="6959" xr:uid="{00000000-0005-0000-0000-0000BC160000}"/>
    <cellStyle name="Normal 4 3 2 4 2 2 2 5 2" xfId="19247" xr:uid="{00000000-0005-0000-0000-0000BD160000}"/>
    <cellStyle name="Normal 4 3 2 4 2 2 2 5 2 2" xfId="43823" xr:uid="{00000000-0005-0000-0000-0000BE160000}"/>
    <cellStyle name="Normal 4 3 2 4 2 2 2 5 3" xfId="31535" xr:uid="{00000000-0005-0000-0000-0000BF160000}"/>
    <cellStyle name="Normal 4 3 2 4 2 2 2 6" xfId="13103" xr:uid="{00000000-0005-0000-0000-0000C0160000}"/>
    <cellStyle name="Normal 4 3 2 4 2 2 2 6 2" xfId="37679" xr:uid="{00000000-0005-0000-0000-0000C1160000}"/>
    <cellStyle name="Normal 4 3 2 4 2 2 2 7" xfId="25391" xr:uid="{00000000-0005-0000-0000-0000C2160000}"/>
    <cellStyle name="Normal 4 3 2 4 2 2 3" xfId="1195" xr:uid="{00000000-0005-0000-0000-0000C3160000}"/>
    <cellStyle name="Normal 4 3 2 4 2 2 3 2" xfId="2731" xr:uid="{00000000-0005-0000-0000-0000C4160000}"/>
    <cellStyle name="Normal 4 3 2 4 2 2 3 2 2" xfId="5807" xr:uid="{00000000-0005-0000-0000-0000C5160000}"/>
    <cellStyle name="Normal 4 3 2 4 2 2 3 2 2 2" xfId="11951" xr:uid="{00000000-0005-0000-0000-0000C6160000}"/>
    <cellStyle name="Normal 4 3 2 4 2 2 3 2 2 2 2" xfId="24239" xr:uid="{00000000-0005-0000-0000-0000C7160000}"/>
    <cellStyle name="Normal 4 3 2 4 2 2 3 2 2 2 2 2" xfId="48815" xr:uid="{00000000-0005-0000-0000-0000C8160000}"/>
    <cellStyle name="Normal 4 3 2 4 2 2 3 2 2 2 3" xfId="36527" xr:uid="{00000000-0005-0000-0000-0000C9160000}"/>
    <cellStyle name="Normal 4 3 2 4 2 2 3 2 2 3" xfId="18095" xr:uid="{00000000-0005-0000-0000-0000CA160000}"/>
    <cellStyle name="Normal 4 3 2 4 2 2 3 2 2 3 2" xfId="42671" xr:uid="{00000000-0005-0000-0000-0000CB160000}"/>
    <cellStyle name="Normal 4 3 2 4 2 2 3 2 2 4" xfId="30383" xr:uid="{00000000-0005-0000-0000-0000CC160000}"/>
    <cellStyle name="Normal 4 3 2 4 2 2 3 2 3" xfId="8879" xr:uid="{00000000-0005-0000-0000-0000CD160000}"/>
    <cellStyle name="Normal 4 3 2 4 2 2 3 2 3 2" xfId="21167" xr:uid="{00000000-0005-0000-0000-0000CE160000}"/>
    <cellStyle name="Normal 4 3 2 4 2 2 3 2 3 2 2" xfId="45743" xr:uid="{00000000-0005-0000-0000-0000CF160000}"/>
    <cellStyle name="Normal 4 3 2 4 2 2 3 2 3 3" xfId="33455" xr:uid="{00000000-0005-0000-0000-0000D0160000}"/>
    <cellStyle name="Normal 4 3 2 4 2 2 3 2 4" xfId="15023" xr:uid="{00000000-0005-0000-0000-0000D1160000}"/>
    <cellStyle name="Normal 4 3 2 4 2 2 3 2 4 2" xfId="39599" xr:uid="{00000000-0005-0000-0000-0000D2160000}"/>
    <cellStyle name="Normal 4 3 2 4 2 2 3 2 5" xfId="27311" xr:uid="{00000000-0005-0000-0000-0000D3160000}"/>
    <cellStyle name="Normal 4 3 2 4 2 2 3 3" xfId="4271" xr:uid="{00000000-0005-0000-0000-0000D4160000}"/>
    <cellStyle name="Normal 4 3 2 4 2 2 3 3 2" xfId="10415" xr:uid="{00000000-0005-0000-0000-0000D5160000}"/>
    <cellStyle name="Normal 4 3 2 4 2 2 3 3 2 2" xfId="22703" xr:uid="{00000000-0005-0000-0000-0000D6160000}"/>
    <cellStyle name="Normal 4 3 2 4 2 2 3 3 2 2 2" xfId="47279" xr:uid="{00000000-0005-0000-0000-0000D7160000}"/>
    <cellStyle name="Normal 4 3 2 4 2 2 3 3 2 3" xfId="34991" xr:uid="{00000000-0005-0000-0000-0000D8160000}"/>
    <cellStyle name="Normal 4 3 2 4 2 2 3 3 3" xfId="16559" xr:uid="{00000000-0005-0000-0000-0000D9160000}"/>
    <cellStyle name="Normal 4 3 2 4 2 2 3 3 3 2" xfId="41135" xr:uid="{00000000-0005-0000-0000-0000DA160000}"/>
    <cellStyle name="Normal 4 3 2 4 2 2 3 3 4" xfId="28847" xr:uid="{00000000-0005-0000-0000-0000DB160000}"/>
    <cellStyle name="Normal 4 3 2 4 2 2 3 4" xfId="7343" xr:uid="{00000000-0005-0000-0000-0000DC160000}"/>
    <cellStyle name="Normal 4 3 2 4 2 2 3 4 2" xfId="19631" xr:uid="{00000000-0005-0000-0000-0000DD160000}"/>
    <cellStyle name="Normal 4 3 2 4 2 2 3 4 2 2" xfId="44207" xr:uid="{00000000-0005-0000-0000-0000DE160000}"/>
    <cellStyle name="Normal 4 3 2 4 2 2 3 4 3" xfId="31919" xr:uid="{00000000-0005-0000-0000-0000DF160000}"/>
    <cellStyle name="Normal 4 3 2 4 2 2 3 5" xfId="13487" xr:uid="{00000000-0005-0000-0000-0000E0160000}"/>
    <cellStyle name="Normal 4 3 2 4 2 2 3 5 2" xfId="38063" xr:uid="{00000000-0005-0000-0000-0000E1160000}"/>
    <cellStyle name="Normal 4 3 2 4 2 2 3 6" xfId="25775" xr:uid="{00000000-0005-0000-0000-0000E2160000}"/>
    <cellStyle name="Normal 4 3 2 4 2 2 4" xfId="1963" xr:uid="{00000000-0005-0000-0000-0000E3160000}"/>
    <cellStyle name="Normal 4 3 2 4 2 2 4 2" xfId="5039" xr:uid="{00000000-0005-0000-0000-0000E4160000}"/>
    <cellStyle name="Normal 4 3 2 4 2 2 4 2 2" xfId="11183" xr:uid="{00000000-0005-0000-0000-0000E5160000}"/>
    <cellStyle name="Normal 4 3 2 4 2 2 4 2 2 2" xfId="23471" xr:uid="{00000000-0005-0000-0000-0000E6160000}"/>
    <cellStyle name="Normal 4 3 2 4 2 2 4 2 2 2 2" xfId="48047" xr:uid="{00000000-0005-0000-0000-0000E7160000}"/>
    <cellStyle name="Normal 4 3 2 4 2 2 4 2 2 3" xfId="35759" xr:uid="{00000000-0005-0000-0000-0000E8160000}"/>
    <cellStyle name="Normal 4 3 2 4 2 2 4 2 3" xfId="17327" xr:uid="{00000000-0005-0000-0000-0000E9160000}"/>
    <cellStyle name="Normal 4 3 2 4 2 2 4 2 3 2" xfId="41903" xr:uid="{00000000-0005-0000-0000-0000EA160000}"/>
    <cellStyle name="Normal 4 3 2 4 2 2 4 2 4" xfId="29615" xr:uid="{00000000-0005-0000-0000-0000EB160000}"/>
    <cellStyle name="Normal 4 3 2 4 2 2 4 3" xfId="8111" xr:uid="{00000000-0005-0000-0000-0000EC160000}"/>
    <cellStyle name="Normal 4 3 2 4 2 2 4 3 2" xfId="20399" xr:uid="{00000000-0005-0000-0000-0000ED160000}"/>
    <cellStyle name="Normal 4 3 2 4 2 2 4 3 2 2" xfId="44975" xr:uid="{00000000-0005-0000-0000-0000EE160000}"/>
    <cellStyle name="Normal 4 3 2 4 2 2 4 3 3" xfId="32687" xr:uid="{00000000-0005-0000-0000-0000EF160000}"/>
    <cellStyle name="Normal 4 3 2 4 2 2 4 4" xfId="14255" xr:uid="{00000000-0005-0000-0000-0000F0160000}"/>
    <cellStyle name="Normal 4 3 2 4 2 2 4 4 2" xfId="38831" xr:uid="{00000000-0005-0000-0000-0000F1160000}"/>
    <cellStyle name="Normal 4 3 2 4 2 2 4 5" xfId="26543" xr:uid="{00000000-0005-0000-0000-0000F2160000}"/>
    <cellStyle name="Normal 4 3 2 4 2 2 5" xfId="3503" xr:uid="{00000000-0005-0000-0000-0000F3160000}"/>
    <cellStyle name="Normal 4 3 2 4 2 2 5 2" xfId="9647" xr:uid="{00000000-0005-0000-0000-0000F4160000}"/>
    <cellStyle name="Normal 4 3 2 4 2 2 5 2 2" xfId="21935" xr:uid="{00000000-0005-0000-0000-0000F5160000}"/>
    <cellStyle name="Normal 4 3 2 4 2 2 5 2 2 2" xfId="46511" xr:uid="{00000000-0005-0000-0000-0000F6160000}"/>
    <cellStyle name="Normal 4 3 2 4 2 2 5 2 3" xfId="34223" xr:uid="{00000000-0005-0000-0000-0000F7160000}"/>
    <cellStyle name="Normal 4 3 2 4 2 2 5 3" xfId="15791" xr:uid="{00000000-0005-0000-0000-0000F8160000}"/>
    <cellStyle name="Normal 4 3 2 4 2 2 5 3 2" xfId="40367" xr:uid="{00000000-0005-0000-0000-0000F9160000}"/>
    <cellStyle name="Normal 4 3 2 4 2 2 5 4" xfId="28079" xr:uid="{00000000-0005-0000-0000-0000FA160000}"/>
    <cellStyle name="Normal 4 3 2 4 2 2 6" xfId="6575" xr:uid="{00000000-0005-0000-0000-0000FB160000}"/>
    <cellStyle name="Normal 4 3 2 4 2 2 6 2" xfId="18863" xr:uid="{00000000-0005-0000-0000-0000FC160000}"/>
    <cellStyle name="Normal 4 3 2 4 2 2 6 2 2" xfId="43439" xr:uid="{00000000-0005-0000-0000-0000FD160000}"/>
    <cellStyle name="Normal 4 3 2 4 2 2 6 3" xfId="31151" xr:uid="{00000000-0005-0000-0000-0000FE160000}"/>
    <cellStyle name="Normal 4 3 2 4 2 2 7" xfId="12719" xr:uid="{00000000-0005-0000-0000-0000FF160000}"/>
    <cellStyle name="Normal 4 3 2 4 2 2 7 2" xfId="37295" xr:uid="{00000000-0005-0000-0000-000000170000}"/>
    <cellStyle name="Normal 4 3 2 4 2 2 8" xfId="25007" xr:uid="{00000000-0005-0000-0000-000001170000}"/>
    <cellStyle name="Normal 4 3 2 4 2 3" xfId="619" xr:uid="{00000000-0005-0000-0000-000002170000}"/>
    <cellStyle name="Normal 4 3 2 4 2 3 2" xfId="1387" xr:uid="{00000000-0005-0000-0000-000003170000}"/>
    <cellStyle name="Normal 4 3 2 4 2 3 2 2" xfId="2923" xr:uid="{00000000-0005-0000-0000-000004170000}"/>
    <cellStyle name="Normal 4 3 2 4 2 3 2 2 2" xfId="5999" xr:uid="{00000000-0005-0000-0000-000005170000}"/>
    <cellStyle name="Normal 4 3 2 4 2 3 2 2 2 2" xfId="12143" xr:uid="{00000000-0005-0000-0000-000006170000}"/>
    <cellStyle name="Normal 4 3 2 4 2 3 2 2 2 2 2" xfId="24431" xr:uid="{00000000-0005-0000-0000-000007170000}"/>
    <cellStyle name="Normal 4 3 2 4 2 3 2 2 2 2 2 2" xfId="49007" xr:uid="{00000000-0005-0000-0000-000008170000}"/>
    <cellStyle name="Normal 4 3 2 4 2 3 2 2 2 2 3" xfId="36719" xr:uid="{00000000-0005-0000-0000-000009170000}"/>
    <cellStyle name="Normal 4 3 2 4 2 3 2 2 2 3" xfId="18287" xr:uid="{00000000-0005-0000-0000-00000A170000}"/>
    <cellStyle name="Normal 4 3 2 4 2 3 2 2 2 3 2" xfId="42863" xr:uid="{00000000-0005-0000-0000-00000B170000}"/>
    <cellStyle name="Normal 4 3 2 4 2 3 2 2 2 4" xfId="30575" xr:uid="{00000000-0005-0000-0000-00000C170000}"/>
    <cellStyle name="Normal 4 3 2 4 2 3 2 2 3" xfId="9071" xr:uid="{00000000-0005-0000-0000-00000D170000}"/>
    <cellStyle name="Normal 4 3 2 4 2 3 2 2 3 2" xfId="21359" xr:uid="{00000000-0005-0000-0000-00000E170000}"/>
    <cellStyle name="Normal 4 3 2 4 2 3 2 2 3 2 2" xfId="45935" xr:uid="{00000000-0005-0000-0000-00000F170000}"/>
    <cellStyle name="Normal 4 3 2 4 2 3 2 2 3 3" xfId="33647" xr:uid="{00000000-0005-0000-0000-000010170000}"/>
    <cellStyle name="Normal 4 3 2 4 2 3 2 2 4" xfId="15215" xr:uid="{00000000-0005-0000-0000-000011170000}"/>
    <cellStyle name="Normal 4 3 2 4 2 3 2 2 4 2" xfId="39791" xr:uid="{00000000-0005-0000-0000-000012170000}"/>
    <cellStyle name="Normal 4 3 2 4 2 3 2 2 5" xfId="27503" xr:uid="{00000000-0005-0000-0000-000013170000}"/>
    <cellStyle name="Normal 4 3 2 4 2 3 2 3" xfId="4463" xr:uid="{00000000-0005-0000-0000-000014170000}"/>
    <cellStyle name="Normal 4 3 2 4 2 3 2 3 2" xfId="10607" xr:uid="{00000000-0005-0000-0000-000015170000}"/>
    <cellStyle name="Normal 4 3 2 4 2 3 2 3 2 2" xfId="22895" xr:uid="{00000000-0005-0000-0000-000016170000}"/>
    <cellStyle name="Normal 4 3 2 4 2 3 2 3 2 2 2" xfId="47471" xr:uid="{00000000-0005-0000-0000-000017170000}"/>
    <cellStyle name="Normal 4 3 2 4 2 3 2 3 2 3" xfId="35183" xr:uid="{00000000-0005-0000-0000-000018170000}"/>
    <cellStyle name="Normal 4 3 2 4 2 3 2 3 3" xfId="16751" xr:uid="{00000000-0005-0000-0000-000019170000}"/>
    <cellStyle name="Normal 4 3 2 4 2 3 2 3 3 2" xfId="41327" xr:uid="{00000000-0005-0000-0000-00001A170000}"/>
    <cellStyle name="Normal 4 3 2 4 2 3 2 3 4" xfId="29039" xr:uid="{00000000-0005-0000-0000-00001B170000}"/>
    <cellStyle name="Normal 4 3 2 4 2 3 2 4" xfId="7535" xr:uid="{00000000-0005-0000-0000-00001C170000}"/>
    <cellStyle name="Normal 4 3 2 4 2 3 2 4 2" xfId="19823" xr:uid="{00000000-0005-0000-0000-00001D170000}"/>
    <cellStyle name="Normal 4 3 2 4 2 3 2 4 2 2" xfId="44399" xr:uid="{00000000-0005-0000-0000-00001E170000}"/>
    <cellStyle name="Normal 4 3 2 4 2 3 2 4 3" xfId="32111" xr:uid="{00000000-0005-0000-0000-00001F170000}"/>
    <cellStyle name="Normal 4 3 2 4 2 3 2 5" xfId="13679" xr:uid="{00000000-0005-0000-0000-000020170000}"/>
    <cellStyle name="Normal 4 3 2 4 2 3 2 5 2" xfId="38255" xr:uid="{00000000-0005-0000-0000-000021170000}"/>
    <cellStyle name="Normal 4 3 2 4 2 3 2 6" xfId="25967" xr:uid="{00000000-0005-0000-0000-000022170000}"/>
    <cellStyle name="Normal 4 3 2 4 2 3 3" xfId="2155" xr:uid="{00000000-0005-0000-0000-000023170000}"/>
    <cellStyle name="Normal 4 3 2 4 2 3 3 2" xfId="5231" xr:uid="{00000000-0005-0000-0000-000024170000}"/>
    <cellStyle name="Normal 4 3 2 4 2 3 3 2 2" xfId="11375" xr:uid="{00000000-0005-0000-0000-000025170000}"/>
    <cellStyle name="Normal 4 3 2 4 2 3 3 2 2 2" xfId="23663" xr:uid="{00000000-0005-0000-0000-000026170000}"/>
    <cellStyle name="Normal 4 3 2 4 2 3 3 2 2 2 2" xfId="48239" xr:uid="{00000000-0005-0000-0000-000027170000}"/>
    <cellStyle name="Normal 4 3 2 4 2 3 3 2 2 3" xfId="35951" xr:uid="{00000000-0005-0000-0000-000028170000}"/>
    <cellStyle name="Normal 4 3 2 4 2 3 3 2 3" xfId="17519" xr:uid="{00000000-0005-0000-0000-000029170000}"/>
    <cellStyle name="Normal 4 3 2 4 2 3 3 2 3 2" xfId="42095" xr:uid="{00000000-0005-0000-0000-00002A170000}"/>
    <cellStyle name="Normal 4 3 2 4 2 3 3 2 4" xfId="29807" xr:uid="{00000000-0005-0000-0000-00002B170000}"/>
    <cellStyle name="Normal 4 3 2 4 2 3 3 3" xfId="8303" xr:uid="{00000000-0005-0000-0000-00002C170000}"/>
    <cellStyle name="Normal 4 3 2 4 2 3 3 3 2" xfId="20591" xr:uid="{00000000-0005-0000-0000-00002D170000}"/>
    <cellStyle name="Normal 4 3 2 4 2 3 3 3 2 2" xfId="45167" xr:uid="{00000000-0005-0000-0000-00002E170000}"/>
    <cellStyle name="Normal 4 3 2 4 2 3 3 3 3" xfId="32879" xr:uid="{00000000-0005-0000-0000-00002F170000}"/>
    <cellStyle name="Normal 4 3 2 4 2 3 3 4" xfId="14447" xr:uid="{00000000-0005-0000-0000-000030170000}"/>
    <cellStyle name="Normal 4 3 2 4 2 3 3 4 2" xfId="39023" xr:uid="{00000000-0005-0000-0000-000031170000}"/>
    <cellStyle name="Normal 4 3 2 4 2 3 3 5" xfId="26735" xr:uid="{00000000-0005-0000-0000-000032170000}"/>
    <cellStyle name="Normal 4 3 2 4 2 3 4" xfId="3695" xr:uid="{00000000-0005-0000-0000-000033170000}"/>
    <cellStyle name="Normal 4 3 2 4 2 3 4 2" xfId="9839" xr:uid="{00000000-0005-0000-0000-000034170000}"/>
    <cellStyle name="Normal 4 3 2 4 2 3 4 2 2" xfId="22127" xr:uid="{00000000-0005-0000-0000-000035170000}"/>
    <cellStyle name="Normal 4 3 2 4 2 3 4 2 2 2" xfId="46703" xr:uid="{00000000-0005-0000-0000-000036170000}"/>
    <cellStyle name="Normal 4 3 2 4 2 3 4 2 3" xfId="34415" xr:uid="{00000000-0005-0000-0000-000037170000}"/>
    <cellStyle name="Normal 4 3 2 4 2 3 4 3" xfId="15983" xr:uid="{00000000-0005-0000-0000-000038170000}"/>
    <cellStyle name="Normal 4 3 2 4 2 3 4 3 2" xfId="40559" xr:uid="{00000000-0005-0000-0000-000039170000}"/>
    <cellStyle name="Normal 4 3 2 4 2 3 4 4" xfId="28271" xr:uid="{00000000-0005-0000-0000-00003A170000}"/>
    <cellStyle name="Normal 4 3 2 4 2 3 5" xfId="6767" xr:uid="{00000000-0005-0000-0000-00003B170000}"/>
    <cellStyle name="Normal 4 3 2 4 2 3 5 2" xfId="19055" xr:uid="{00000000-0005-0000-0000-00003C170000}"/>
    <cellStyle name="Normal 4 3 2 4 2 3 5 2 2" xfId="43631" xr:uid="{00000000-0005-0000-0000-00003D170000}"/>
    <cellStyle name="Normal 4 3 2 4 2 3 5 3" xfId="31343" xr:uid="{00000000-0005-0000-0000-00003E170000}"/>
    <cellStyle name="Normal 4 3 2 4 2 3 6" xfId="12911" xr:uid="{00000000-0005-0000-0000-00003F170000}"/>
    <cellStyle name="Normal 4 3 2 4 2 3 6 2" xfId="37487" xr:uid="{00000000-0005-0000-0000-000040170000}"/>
    <cellStyle name="Normal 4 3 2 4 2 3 7" xfId="25199" xr:uid="{00000000-0005-0000-0000-000041170000}"/>
    <cellStyle name="Normal 4 3 2 4 2 4" xfId="1003" xr:uid="{00000000-0005-0000-0000-000042170000}"/>
    <cellStyle name="Normal 4 3 2 4 2 4 2" xfId="2539" xr:uid="{00000000-0005-0000-0000-000043170000}"/>
    <cellStyle name="Normal 4 3 2 4 2 4 2 2" xfId="5615" xr:uid="{00000000-0005-0000-0000-000044170000}"/>
    <cellStyle name="Normal 4 3 2 4 2 4 2 2 2" xfId="11759" xr:uid="{00000000-0005-0000-0000-000045170000}"/>
    <cellStyle name="Normal 4 3 2 4 2 4 2 2 2 2" xfId="24047" xr:uid="{00000000-0005-0000-0000-000046170000}"/>
    <cellStyle name="Normal 4 3 2 4 2 4 2 2 2 2 2" xfId="48623" xr:uid="{00000000-0005-0000-0000-000047170000}"/>
    <cellStyle name="Normal 4 3 2 4 2 4 2 2 2 3" xfId="36335" xr:uid="{00000000-0005-0000-0000-000048170000}"/>
    <cellStyle name="Normal 4 3 2 4 2 4 2 2 3" xfId="17903" xr:uid="{00000000-0005-0000-0000-000049170000}"/>
    <cellStyle name="Normal 4 3 2 4 2 4 2 2 3 2" xfId="42479" xr:uid="{00000000-0005-0000-0000-00004A170000}"/>
    <cellStyle name="Normal 4 3 2 4 2 4 2 2 4" xfId="30191" xr:uid="{00000000-0005-0000-0000-00004B170000}"/>
    <cellStyle name="Normal 4 3 2 4 2 4 2 3" xfId="8687" xr:uid="{00000000-0005-0000-0000-00004C170000}"/>
    <cellStyle name="Normal 4 3 2 4 2 4 2 3 2" xfId="20975" xr:uid="{00000000-0005-0000-0000-00004D170000}"/>
    <cellStyle name="Normal 4 3 2 4 2 4 2 3 2 2" xfId="45551" xr:uid="{00000000-0005-0000-0000-00004E170000}"/>
    <cellStyle name="Normal 4 3 2 4 2 4 2 3 3" xfId="33263" xr:uid="{00000000-0005-0000-0000-00004F170000}"/>
    <cellStyle name="Normal 4 3 2 4 2 4 2 4" xfId="14831" xr:uid="{00000000-0005-0000-0000-000050170000}"/>
    <cellStyle name="Normal 4 3 2 4 2 4 2 4 2" xfId="39407" xr:uid="{00000000-0005-0000-0000-000051170000}"/>
    <cellStyle name="Normal 4 3 2 4 2 4 2 5" xfId="27119" xr:uid="{00000000-0005-0000-0000-000052170000}"/>
    <cellStyle name="Normal 4 3 2 4 2 4 3" xfId="4079" xr:uid="{00000000-0005-0000-0000-000053170000}"/>
    <cellStyle name="Normal 4 3 2 4 2 4 3 2" xfId="10223" xr:uid="{00000000-0005-0000-0000-000054170000}"/>
    <cellStyle name="Normal 4 3 2 4 2 4 3 2 2" xfId="22511" xr:uid="{00000000-0005-0000-0000-000055170000}"/>
    <cellStyle name="Normal 4 3 2 4 2 4 3 2 2 2" xfId="47087" xr:uid="{00000000-0005-0000-0000-000056170000}"/>
    <cellStyle name="Normal 4 3 2 4 2 4 3 2 3" xfId="34799" xr:uid="{00000000-0005-0000-0000-000057170000}"/>
    <cellStyle name="Normal 4 3 2 4 2 4 3 3" xfId="16367" xr:uid="{00000000-0005-0000-0000-000058170000}"/>
    <cellStyle name="Normal 4 3 2 4 2 4 3 3 2" xfId="40943" xr:uid="{00000000-0005-0000-0000-000059170000}"/>
    <cellStyle name="Normal 4 3 2 4 2 4 3 4" xfId="28655" xr:uid="{00000000-0005-0000-0000-00005A170000}"/>
    <cellStyle name="Normal 4 3 2 4 2 4 4" xfId="7151" xr:uid="{00000000-0005-0000-0000-00005B170000}"/>
    <cellStyle name="Normal 4 3 2 4 2 4 4 2" xfId="19439" xr:uid="{00000000-0005-0000-0000-00005C170000}"/>
    <cellStyle name="Normal 4 3 2 4 2 4 4 2 2" xfId="44015" xr:uid="{00000000-0005-0000-0000-00005D170000}"/>
    <cellStyle name="Normal 4 3 2 4 2 4 4 3" xfId="31727" xr:uid="{00000000-0005-0000-0000-00005E170000}"/>
    <cellStyle name="Normal 4 3 2 4 2 4 5" xfId="13295" xr:uid="{00000000-0005-0000-0000-00005F170000}"/>
    <cellStyle name="Normal 4 3 2 4 2 4 5 2" xfId="37871" xr:uid="{00000000-0005-0000-0000-000060170000}"/>
    <cellStyle name="Normal 4 3 2 4 2 4 6" xfId="25583" xr:uid="{00000000-0005-0000-0000-000061170000}"/>
    <cellStyle name="Normal 4 3 2 4 2 5" xfId="1771" xr:uid="{00000000-0005-0000-0000-000062170000}"/>
    <cellStyle name="Normal 4 3 2 4 2 5 2" xfId="4847" xr:uid="{00000000-0005-0000-0000-000063170000}"/>
    <cellStyle name="Normal 4 3 2 4 2 5 2 2" xfId="10991" xr:uid="{00000000-0005-0000-0000-000064170000}"/>
    <cellStyle name="Normal 4 3 2 4 2 5 2 2 2" xfId="23279" xr:uid="{00000000-0005-0000-0000-000065170000}"/>
    <cellStyle name="Normal 4 3 2 4 2 5 2 2 2 2" xfId="47855" xr:uid="{00000000-0005-0000-0000-000066170000}"/>
    <cellStyle name="Normal 4 3 2 4 2 5 2 2 3" xfId="35567" xr:uid="{00000000-0005-0000-0000-000067170000}"/>
    <cellStyle name="Normal 4 3 2 4 2 5 2 3" xfId="17135" xr:uid="{00000000-0005-0000-0000-000068170000}"/>
    <cellStyle name="Normal 4 3 2 4 2 5 2 3 2" xfId="41711" xr:uid="{00000000-0005-0000-0000-000069170000}"/>
    <cellStyle name="Normal 4 3 2 4 2 5 2 4" xfId="29423" xr:uid="{00000000-0005-0000-0000-00006A170000}"/>
    <cellStyle name="Normal 4 3 2 4 2 5 3" xfId="7919" xr:uid="{00000000-0005-0000-0000-00006B170000}"/>
    <cellStyle name="Normal 4 3 2 4 2 5 3 2" xfId="20207" xr:uid="{00000000-0005-0000-0000-00006C170000}"/>
    <cellStyle name="Normal 4 3 2 4 2 5 3 2 2" xfId="44783" xr:uid="{00000000-0005-0000-0000-00006D170000}"/>
    <cellStyle name="Normal 4 3 2 4 2 5 3 3" xfId="32495" xr:uid="{00000000-0005-0000-0000-00006E170000}"/>
    <cellStyle name="Normal 4 3 2 4 2 5 4" xfId="14063" xr:uid="{00000000-0005-0000-0000-00006F170000}"/>
    <cellStyle name="Normal 4 3 2 4 2 5 4 2" xfId="38639" xr:uid="{00000000-0005-0000-0000-000070170000}"/>
    <cellStyle name="Normal 4 3 2 4 2 5 5" xfId="26351" xr:uid="{00000000-0005-0000-0000-000071170000}"/>
    <cellStyle name="Normal 4 3 2 4 2 6" xfId="3311" xr:uid="{00000000-0005-0000-0000-000072170000}"/>
    <cellStyle name="Normal 4 3 2 4 2 6 2" xfId="9455" xr:uid="{00000000-0005-0000-0000-000073170000}"/>
    <cellStyle name="Normal 4 3 2 4 2 6 2 2" xfId="21743" xr:uid="{00000000-0005-0000-0000-000074170000}"/>
    <cellStyle name="Normal 4 3 2 4 2 6 2 2 2" xfId="46319" xr:uid="{00000000-0005-0000-0000-000075170000}"/>
    <cellStyle name="Normal 4 3 2 4 2 6 2 3" xfId="34031" xr:uid="{00000000-0005-0000-0000-000076170000}"/>
    <cellStyle name="Normal 4 3 2 4 2 6 3" xfId="15599" xr:uid="{00000000-0005-0000-0000-000077170000}"/>
    <cellStyle name="Normal 4 3 2 4 2 6 3 2" xfId="40175" xr:uid="{00000000-0005-0000-0000-000078170000}"/>
    <cellStyle name="Normal 4 3 2 4 2 6 4" xfId="27887" xr:uid="{00000000-0005-0000-0000-000079170000}"/>
    <cellStyle name="Normal 4 3 2 4 2 7" xfId="6383" xr:uid="{00000000-0005-0000-0000-00007A170000}"/>
    <cellStyle name="Normal 4 3 2 4 2 7 2" xfId="18671" xr:uid="{00000000-0005-0000-0000-00007B170000}"/>
    <cellStyle name="Normal 4 3 2 4 2 7 2 2" xfId="43247" xr:uid="{00000000-0005-0000-0000-00007C170000}"/>
    <cellStyle name="Normal 4 3 2 4 2 7 3" xfId="30959" xr:uid="{00000000-0005-0000-0000-00007D170000}"/>
    <cellStyle name="Normal 4 3 2 4 2 8" xfId="12527" xr:uid="{00000000-0005-0000-0000-00007E170000}"/>
    <cellStyle name="Normal 4 3 2 4 2 8 2" xfId="37103" xr:uid="{00000000-0005-0000-0000-00007F170000}"/>
    <cellStyle name="Normal 4 3 2 4 2 9" xfId="24815" xr:uid="{00000000-0005-0000-0000-000080170000}"/>
    <cellStyle name="Normal 4 3 2 4 3" xfId="299" xr:uid="{00000000-0005-0000-0000-000081170000}"/>
    <cellStyle name="Normal 4 3 2 4 3 2" xfId="491" xr:uid="{00000000-0005-0000-0000-000082170000}"/>
    <cellStyle name="Normal 4 3 2 4 3 2 2" xfId="875" xr:uid="{00000000-0005-0000-0000-000083170000}"/>
    <cellStyle name="Normal 4 3 2 4 3 2 2 2" xfId="1643" xr:uid="{00000000-0005-0000-0000-000084170000}"/>
    <cellStyle name="Normal 4 3 2 4 3 2 2 2 2" xfId="3179" xr:uid="{00000000-0005-0000-0000-000085170000}"/>
    <cellStyle name="Normal 4 3 2 4 3 2 2 2 2 2" xfId="6255" xr:uid="{00000000-0005-0000-0000-000086170000}"/>
    <cellStyle name="Normal 4 3 2 4 3 2 2 2 2 2 2" xfId="12399" xr:uid="{00000000-0005-0000-0000-000087170000}"/>
    <cellStyle name="Normal 4 3 2 4 3 2 2 2 2 2 2 2" xfId="24687" xr:uid="{00000000-0005-0000-0000-000088170000}"/>
    <cellStyle name="Normal 4 3 2 4 3 2 2 2 2 2 2 2 2" xfId="49263" xr:uid="{00000000-0005-0000-0000-000089170000}"/>
    <cellStyle name="Normal 4 3 2 4 3 2 2 2 2 2 2 3" xfId="36975" xr:uid="{00000000-0005-0000-0000-00008A170000}"/>
    <cellStyle name="Normal 4 3 2 4 3 2 2 2 2 2 3" xfId="18543" xr:uid="{00000000-0005-0000-0000-00008B170000}"/>
    <cellStyle name="Normal 4 3 2 4 3 2 2 2 2 2 3 2" xfId="43119" xr:uid="{00000000-0005-0000-0000-00008C170000}"/>
    <cellStyle name="Normal 4 3 2 4 3 2 2 2 2 2 4" xfId="30831" xr:uid="{00000000-0005-0000-0000-00008D170000}"/>
    <cellStyle name="Normal 4 3 2 4 3 2 2 2 2 3" xfId="9327" xr:uid="{00000000-0005-0000-0000-00008E170000}"/>
    <cellStyle name="Normal 4 3 2 4 3 2 2 2 2 3 2" xfId="21615" xr:uid="{00000000-0005-0000-0000-00008F170000}"/>
    <cellStyle name="Normal 4 3 2 4 3 2 2 2 2 3 2 2" xfId="46191" xr:uid="{00000000-0005-0000-0000-000090170000}"/>
    <cellStyle name="Normal 4 3 2 4 3 2 2 2 2 3 3" xfId="33903" xr:uid="{00000000-0005-0000-0000-000091170000}"/>
    <cellStyle name="Normal 4 3 2 4 3 2 2 2 2 4" xfId="15471" xr:uid="{00000000-0005-0000-0000-000092170000}"/>
    <cellStyle name="Normal 4 3 2 4 3 2 2 2 2 4 2" xfId="40047" xr:uid="{00000000-0005-0000-0000-000093170000}"/>
    <cellStyle name="Normal 4 3 2 4 3 2 2 2 2 5" xfId="27759" xr:uid="{00000000-0005-0000-0000-000094170000}"/>
    <cellStyle name="Normal 4 3 2 4 3 2 2 2 3" xfId="4719" xr:uid="{00000000-0005-0000-0000-000095170000}"/>
    <cellStyle name="Normal 4 3 2 4 3 2 2 2 3 2" xfId="10863" xr:uid="{00000000-0005-0000-0000-000096170000}"/>
    <cellStyle name="Normal 4 3 2 4 3 2 2 2 3 2 2" xfId="23151" xr:uid="{00000000-0005-0000-0000-000097170000}"/>
    <cellStyle name="Normal 4 3 2 4 3 2 2 2 3 2 2 2" xfId="47727" xr:uid="{00000000-0005-0000-0000-000098170000}"/>
    <cellStyle name="Normal 4 3 2 4 3 2 2 2 3 2 3" xfId="35439" xr:uid="{00000000-0005-0000-0000-000099170000}"/>
    <cellStyle name="Normal 4 3 2 4 3 2 2 2 3 3" xfId="17007" xr:uid="{00000000-0005-0000-0000-00009A170000}"/>
    <cellStyle name="Normal 4 3 2 4 3 2 2 2 3 3 2" xfId="41583" xr:uid="{00000000-0005-0000-0000-00009B170000}"/>
    <cellStyle name="Normal 4 3 2 4 3 2 2 2 3 4" xfId="29295" xr:uid="{00000000-0005-0000-0000-00009C170000}"/>
    <cellStyle name="Normal 4 3 2 4 3 2 2 2 4" xfId="7791" xr:uid="{00000000-0005-0000-0000-00009D170000}"/>
    <cellStyle name="Normal 4 3 2 4 3 2 2 2 4 2" xfId="20079" xr:uid="{00000000-0005-0000-0000-00009E170000}"/>
    <cellStyle name="Normal 4 3 2 4 3 2 2 2 4 2 2" xfId="44655" xr:uid="{00000000-0005-0000-0000-00009F170000}"/>
    <cellStyle name="Normal 4 3 2 4 3 2 2 2 4 3" xfId="32367" xr:uid="{00000000-0005-0000-0000-0000A0170000}"/>
    <cellStyle name="Normal 4 3 2 4 3 2 2 2 5" xfId="13935" xr:uid="{00000000-0005-0000-0000-0000A1170000}"/>
    <cellStyle name="Normal 4 3 2 4 3 2 2 2 5 2" xfId="38511" xr:uid="{00000000-0005-0000-0000-0000A2170000}"/>
    <cellStyle name="Normal 4 3 2 4 3 2 2 2 6" xfId="26223" xr:uid="{00000000-0005-0000-0000-0000A3170000}"/>
    <cellStyle name="Normal 4 3 2 4 3 2 2 3" xfId="2411" xr:uid="{00000000-0005-0000-0000-0000A4170000}"/>
    <cellStyle name="Normal 4 3 2 4 3 2 2 3 2" xfId="5487" xr:uid="{00000000-0005-0000-0000-0000A5170000}"/>
    <cellStyle name="Normal 4 3 2 4 3 2 2 3 2 2" xfId="11631" xr:uid="{00000000-0005-0000-0000-0000A6170000}"/>
    <cellStyle name="Normal 4 3 2 4 3 2 2 3 2 2 2" xfId="23919" xr:uid="{00000000-0005-0000-0000-0000A7170000}"/>
    <cellStyle name="Normal 4 3 2 4 3 2 2 3 2 2 2 2" xfId="48495" xr:uid="{00000000-0005-0000-0000-0000A8170000}"/>
    <cellStyle name="Normal 4 3 2 4 3 2 2 3 2 2 3" xfId="36207" xr:uid="{00000000-0005-0000-0000-0000A9170000}"/>
    <cellStyle name="Normal 4 3 2 4 3 2 2 3 2 3" xfId="17775" xr:uid="{00000000-0005-0000-0000-0000AA170000}"/>
    <cellStyle name="Normal 4 3 2 4 3 2 2 3 2 3 2" xfId="42351" xr:uid="{00000000-0005-0000-0000-0000AB170000}"/>
    <cellStyle name="Normal 4 3 2 4 3 2 2 3 2 4" xfId="30063" xr:uid="{00000000-0005-0000-0000-0000AC170000}"/>
    <cellStyle name="Normal 4 3 2 4 3 2 2 3 3" xfId="8559" xr:uid="{00000000-0005-0000-0000-0000AD170000}"/>
    <cellStyle name="Normal 4 3 2 4 3 2 2 3 3 2" xfId="20847" xr:uid="{00000000-0005-0000-0000-0000AE170000}"/>
    <cellStyle name="Normal 4 3 2 4 3 2 2 3 3 2 2" xfId="45423" xr:uid="{00000000-0005-0000-0000-0000AF170000}"/>
    <cellStyle name="Normal 4 3 2 4 3 2 2 3 3 3" xfId="33135" xr:uid="{00000000-0005-0000-0000-0000B0170000}"/>
    <cellStyle name="Normal 4 3 2 4 3 2 2 3 4" xfId="14703" xr:uid="{00000000-0005-0000-0000-0000B1170000}"/>
    <cellStyle name="Normal 4 3 2 4 3 2 2 3 4 2" xfId="39279" xr:uid="{00000000-0005-0000-0000-0000B2170000}"/>
    <cellStyle name="Normal 4 3 2 4 3 2 2 3 5" xfId="26991" xr:uid="{00000000-0005-0000-0000-0000B3170000}"/>
    <cellStyle name="Normal 4 3 2 4 3 2 2 4" xfId="3951" xr:uid="{00000000-0005-0000-0000-0000B4170000}"/>
    <cellStyle name="Normal 4 3 2 4 3 2 2 4 2" xfId="10095" xr:uid="{00000000-0005-0000-0000-0000B5170000}"/>
    <cellStyle name="Normal 4 3 2 4 3 2 2 4 2 2" xfId="22383" xr:uid="{00000000-0005-0000-0000-0000B6170000}"/>
    <cellStyle name="Normal 4 3 2 4 3 2 2 4 2 2 2" xfId="46959" xr:uid="{00000000-0005-0000-0000-0000B7170000}"/>
    <cellStyle name="Normal 4 3 2 4 3 2 2 4 2 3" xfId="34671" xr:uid="{00000000-0005-0000-0000-0000B8170000}"/>
    <cellStyle name="Normal 4 3 2 4 3 2 2 4 3" xfId="16239" xr:uid="{00000000-0005-0000-0000-0000B9170000}"/>
    <cellStyle name="Normal 4 3 2 4 3 2 2 4 3 2" xfId="40815" xr:uid="{00000000-0005-0000-0000-0000BA170000}"/>
    <cellStyle name="Normal 4 3 2 4 3 2 2 4 4" xfId="28527" xr:uid="{00000000-0005-0000-0000-0000BB170000}"/>
    <cellStyle name="Normal 4 3 2 4 3 2 2 5" xfId="7023" xr:uid="{00000000-0005-0000-0000-0000BC170000}"/>
    <cellStyle name="Normal 4 3 2 4 3 2 2 5 2" xfId="19311" xr:uid="{00000000-0005-0000-0000-0000BD170000}"/>
    <cellStyle name="Normal 4 3 2 4 3 2 2 5 2 2" xfId="43887" xr:uid="{00000000-0005-0000-0000-0000BE170000}"/>
    <cellStyle name="Normal 4 3 2 4 3 2 2 5 3" xfId="31599" xr:uid="{00000000-0005-0000-0000-0000BF170000}"/>
    <cellStyle name="Normal 4 3 2 4 3 2 2 6" xfId="13167" xr:uid="{00000000-0005-0000-0000-0000C0170000}"/>
    <cellStyle name="Normal 4 3 2 4 3 2 2 6 2" xfId="37743" xr:uid="{00000000-0005-0000-0000-0000C1170000}"/>
    <cellStyle name="Normal 4 3 2 4 3 2 2 7" xfId="25455" xr:uid="{00000000-0005-0000-0000-0000C2170000}"/>
    <cellStyle name="Normal 4 3 2 4 3 2 3" xfId="1259" xr:uid="{00000000-0005-0000-0000-0000C3170000}"/>
    <cellStyle name="Normal 4 3 2 4 3 2 3 2" xfId="2795" xr:uid="{00000000-0005-0000-0000-0000C4170000}"/>
    <cellStyle name="Normal 4 3 2 4 3 2 3 2 2" xfId="5871" xr:uid="{00000000-0005-0000-0000-0000C5170000}"/>
    <cellStyle name="Normal 4 3 2 4 3 2 3 2 2 2" xfId="12015" xr:uid="{00000000-0005-0000-0000-0000C6170000}"/>
    <cellStyle name="Normal 4 3 2 4 3 2 3 2 2 2 2" xfId="24303" xr:uid="{00000000-0005-0000-0000-0000C7170000}"/>
    <cellStyle name="Normal 4 3 2 4 3 2 3 2 2 2 2 2" xfId="48879" xr:uid="{00000000-0005-0000-0000-0000C8170000}"/>
    <cellStyle name="Normal 4 3 2 4 3 2 3 2 2 2 3" xfId="36591" xr:uid="{00000000-0005-0000-0000-0000C9170000}"/>
    <cellStyle name="Normal 4 3 2 4 3 2 3 2 2 3" xfId="18159" xr:uid="{00000000-0005-0000-0000-0000CA170000}"/>
    <cellStyle name="Normal 4 3 2 4 3 2 3 2 2 3 2" xfId="42735" xr:uid="{00000000-0005-0000-0000-0000CB170000}"/>
    <cellStyle name="Normal 4 3 2 4 3 2 3 2 2 4" xfId="30447" xr:uid="{00000000-0005-0000-0000-0000CC170000}"/>
    <cellStyle name="Normal 4 3 2 4 3 2 3 2 3" xfId="8943" xr:uid="{00000000-0005-0000-0000-0000CD170000}"/>
    <cellStyle name="Normal 4 3 2 4 3 2 3 2 3 2" xfId="21231" xr:uid="{00000000-0005-0000-0000-0000CE170000}"/>
    <cellStyle name="Normal 4 3 2 4 3 2 3 2 3 2 2" xfId="45807" xr:uid="{00000000-0005-0000-0000-0000CF170000}"/>
    <cellStyle name="Normal 4 3 2 4 3 2 3 2 3 3" xfId="33519" xr:uid="{00000000-0005-0000-0000-0000D0170000}"/>
    <cellStyle name="Normal 4 3 2 4 3 2 3 2 4" xfId="15087" xr:uid="{00000000-0005-0000-0000-0000D1170000}"/>
    <cellStyle name="Normal 4 3 2 4 3 2 3 2 4 2" xfId="39663" xr:uid="{00000000-0005-0000-0000-0000D2170000}"/>
    <cellStyle name="Normal 4 3 2 4 3 2 3 2 5" xfId="27375" xr:uid="{00000000-0005-0000-0000-0000D3170000}"/>
    <cellStyle name="Normal 4 3 2 4 3 2 3 3" xfId="4335" xr:uid="{00000000-0005-0000-0000-0000D4170000}"/>
    <cellStyle name="Normal 4 3 2 4 3 2 3 3 2" xfId="10479" xr:uid="{00000000-0005-0000-0000-0000D5170000}"/>
    <cellStyle name="Normal 4 3 2 4 3 2 3 3 2 2" xfId="22767" xr:uid="{00000000-0005-0000-0000-0000D6170000}"/>
    <cellStyle name="Normal 4 3 2 4 3 2 3 3 2 2 2" xfId="47343" xr:uid="{00000000-0005-0000-0000-0000D7170000}"/>
    <cellStyle name="Normal 4 3 2 4 3 2 3 3 2 3" xfId="35055" xr:uid="{00000000-0005-0000-0000-0000D8170000}"/>
    <cellStyle name="Normal 4 3 2 4 3 2 3 3 3" xfId="16623" xr:uid="{00000000-0005-0000-0000-0000D9170000}"/>
    <cellStyle name="Normal 4 3 2 4 3 2 3 3 3 2" xfId="41199" xr:uid="{00000000-0005-0000-0000-0000DA170000}"/>
    <cellStyle name="Normal 4 3 2 4 3 2 3 3 4" xfId="28911" xr:uid="{00000000-0005-0000-0000-0000DB170000}"/>
    <cellStyle name="Normal 4 3 2 4 3 2 3 4" xfId="7407" xr:uid="{00000000-0005-0000-0000-0000DC170000}"/>
    <cellStyle name="Normal 4 3 2 4 3 2 3 4 2" xfId="19695" xr:uid="{00000000-0005-0000-0000-0000DD170000}"/>
    <cellStyle name="Normal 4 3 2 4 3 2 3 4 2 2" xfId="44271" xr:uid="{00000000-0005-0000-0000-0000DE170000}"/>
    <cellStyle name="Normal 4 3 2 4 3 2 3 4 3" xfId="31983" xr:uid="{00000000-0005-0000-0000-0000DF170000}"/>
    <cellStyle name="Normal 4 3 2 4 3 2 3 5" xfId="13551" xr:uid="{00000000-0005-0000-0000-0000E0170000}"/>
    <cellStyle name="Normal 4 3 2 4 3 2 3 5 2" xfId="38127" xr:uid="{00000000-0005-0000-0000-0000E1170000}"/>
    <cellStyle name="Normal 4 3 2 4 3 2 3 6" xfId="25839" xr:uid="{00000000-0005-0000-0000-0000E2170000}"/>
    <cellStyle name="Normal 4 3 2 4 3 2 4" xfId="2027" xr:uid="{00000000-0005-0000-0000-0000E3170000}"/>
    <cellStyle name="Normal 4 3 2 4 3 2 4 2" xfId="5103" xr:uid="{00000000-0005-0000-0000-0000E4170000}"/>
    <cellStyle name="Normal 4 3 2 4 3 2 4 2 2" xfId="11247" xr:uid="{00000000-0005-0000-0000-0000E5170000}"/>
    <cellStyle name="Normal 4 3 2 4 3 2 4 2 2 2" xfId="23535" xr:uid="{00000000-0005-0000-0000-0000E6170000}"/>
    <cellStyle name="Normal 4 3 2 4 3 2 4 2 2 2 2" xfId="48111" xr:uid="{00000000-0005-0000-0000-0000E7170000}"/>
    <cellStyle name="Normal 4 3 2 4 3 2 4 2 2 3" xfId="35823" xr:uid="{00000000-0005-0000-0000-0000E8170000}"/>
    <cellStyle name="Normal 4 3 2 4 3 2 4 2 3" xfId="17391" xr:uid="{00000000-0005-0000-0000-0000E9170000}"/>
    <cellStyle name="Normal 4 3 2 4 3 2 4 2 3 2" xfId="41967" xr:uid="{00000000-0005-0000-0000-0000EA170000}"/>
    <cellStyle name="Normal 4 3 2 4 3 2 4 2 4" xfId="29679" xr:uid="{00000000-0005-0000-0000-0000EB170000}"/>
    <cellStyle name="Normal 4 3 2 4 3 2 4 3" xfId="8175" xr:uid="{00000000-0005-0000-0000-0000EC170000}"/>
    <cellStyle name="Normal 4 3 2 4 3 2 4 3 2" xfId="20463" xr:uid="{00000000-0005-0000-0000-0000ED170000}"/>
    <cellStyle name="Normal 4 3 2 4 3 2 4 3 2 2" xfId="45039" xr:uid="{00000000-0005-0000-0000-0000EE170000}"/>
    <cellStyle name="Normal 4 3 2 4 3 2 4 3 3" xfId="32751" xr:uid="{00000000-0005-0000-0000-0000EF170000}"/>
    <cellStyle name="Normal 4 3 2 4 3 2 4 4" xfId="14319" xr:uid="{00000000-0005-0000-0000-0000F0170000}"/>
    <cellStyle name="Normal 4 3 2 4 3 2 4 4 2" xfId="38895" xr:uid="{00000000-0005-0000-0000-0000F1170000}"/>
    <cellStyle name="Normal 4 3 2 4 3 2 4 5" xfId="26607" xr:uid="{00000000-0005-0000-0000-0000F2170000}"/>
    <cellStyle name="Normal 4 3 2 4 3 2 5" xfId="3567" xr:uid="{00000000-0005-0000-0000-0000F3170000}"/>
    <cellStyle name="Normal 4 3 2 4 3 2 5 2" xfId="9711" xr:uid="{00000000-0005-0000-0000-0000F4170000}"/>
    <cellStyle name="Normal 4 3 2 4 3 2 5 2 2" xfId="21999" xr:uid="{00000000-0005-0000-0000-0000F5170000}"/>
    <cellStyle name="Normal 4 3 2 4 3 2 5 2 2 2" xfId="46575" xr:uid="{00000000-0005-0000-0000-0000F6170000}"/>
    <cellStyle name="Normal 4 3 2 4 3 2 5 2 3" xfId="34287" xr:uid="{00000000-0005-0000-0000-0000F7170000}"/>
    <cellStyle name="Normal 4 3 2 4 3 2 5 3" xfId="15855" xr:uid="{00000000-0005-0000-0000-0000F8170000}"/>
    <cellStyle name="Normal 4 3 2 4 3 2 5 3 2" xfId="40431" xr:uid="{00000000-0005-0000-0000-0000F9170000}"/>
    <cellStyle name="Normal 4 3 2 4 3 2 5 4" xfId="28143" xr:uid="{00000000-0005-0000-0000-0000FA170000}"/>
    <cellStyle name="Normal 4 3 2 4 3 2 6" xfId="6639" xr:uid="{00000000-0005-0000-0000-0000FB170000}"/>
    <cellStyle name="Normal 4 3 2 4 3 2 6 2" xfId="18927" xr:uid="{00000000-0005-0000-0000-0000FC170000}"/>
    <cellStyle name="Normal 4 3 2 4 3 2 6 2 2" xfId="43503" xr:uid="{00000000-0005-0000-0000-0000FD170000}"/>
    <cellStyle name="Normal 4 3 2 4 3 2 6 3" xfId="31215" xr:uid="{00000000-0005-0000-0000-0000FE170000}"/>
    <cellStyle name="Normal 4 3 2 4 3 2 7" xfId="12783" xr:uid="{00000000-0005-0000-0000-0000FF170000}"/>
    <cellStyle name="Normal 4 3 2 4 3 2 7 2" xfId="37359" xr:uid="{00000000-0005-0000-0000-000000180000}"/>
    <cellStyle name="Normal 4 3 2 4 3 2 8" xfId="25071" xr:uid="{00000000-0005-0000-0000-000001180000}"/>
    <cellStyle name="Normal 4 3 2 4 3 3" xfId="683" xr:uid="{00000000-0005-0000-0000-000002180000}"/>
    <cellStyle name="Normal 4 3 2 4 3 3 2" xfId="1451" xr:uid="{00000000-0005-0000-0000-000003180000}"/>
    <cellStyle name="Normal 4 3 2 4 3 3 2 2" xfId="2987" xr:uid="{00000000-0005-0000-0000-000004180000}"/>
    <cellStyle name="Normal 4 3 2 4 3 3 2 2 2" xfId="6063" xr:uid="{00000000-0005-0000-0000-000005180000}"/>
    <cellStyle name="Normal 4 3 2 4 3 3 2 2 2 2" xfId="12207" xr:uid="{00000000-0005-0000-0000-000006180000}"/>
    <cellStyle name="Normal 4 3 2 4 3 3 2 2 2 2 2" xfId="24495" xr:uid="{00000000-0005-0000-0000-000007180000}"/>
    <cellStyle name="Normal 4 3 2 4 3 3 2 2 2 2 2 2" xfId="49071" xr:uid="{00000000-0005-0000-0000-000008180000}"/>
    <cellStyle name="Normal 4 3 2 4 3 3 2 2 2 2 3" xfId="36783" xr:uid="{00000000-0005-0000-0000-000009180000}"/>
    <cellStyle name="Normal 4 3 2 4 3 3 2 2 2 3" xfId="18351" xr:uid="{00000000-0005-0000-0000-00000A180000}"/>
    <cellStyle name="Normal 4 3 2 4 3 3 2 2 2 3 2" xfId="42927" xr:uid="{00000000-0005-0000-0000-00000B180000}"/>
    <cellStyle name="Normal 4 3 2 4 3 3 2 2 2 4" xfId="30639" xr:uid="{00000000-0005-0000-0000-00000C180000}"/>
    <cellStyle name="Normal 4 3 2 4 3 3 2 2 3" xfId="9135" xr:uid="{00000000-0005-0000-0000-00000D180000}"/>
    <cellStyle name="Normal 4 3 2 4 3 3 2 2 3 2" xfId="21423" xr:uid="{00000000-0005-0000-0000-00000E180000}"/>
    <cellStyle name="Normal 4 3 2 4 3 3 2 2 3 2 2" xfId="45999" xr:uid="{00000000-0005-0000-0000-00000F180000}"/>
    <cellStyle name="Normal 4 3 2 4 3 3 2 2 3 3" xfId="33711" xr:uid="{00000000-0005-0000-0000-000010180000}"/>
    <cellStyle name="Normal 4 3 2 4 3 3 2 2 4" xfId="15279" xr:uid="{00000000-0005-0000-0000-000011180000}"/>
    <cellStyle name="Normal 4 3 2 4 3 3 2 2 4 2" xfId="39855" xr:uid="{00000000-0005-0000-0000-000012180000}"/>
    <cellStyle name="Normal 4 3 2 4 3 3 2 2 5" xfId="27567" xr:uid="{00000000-0005-0000-0000-000013180000}"/>
    <cellStyle name="Normal 4 3 2 4 3 3 2 3" xfId="4527" xr:uid="{00000000-0005-0000-0000-000014180000}"/>
    <cellStyle name="Normal 4 3 2 4 3 3 2 3 2" xfId="10671" xr:uid="{00000000-0005-0000-0000-000015180000}"/>
    <cellStyle name="Normal 4 3 2 4 3 3 2 3 2 2" xfId="22959" xr:uid="{00000000-0005-0000-0000-000016180000}"/>
    <cellStyle name="Normal 4 3 2 4 3 3 2 3 2 2 2" xfId="47535" xr:uid="{00000000-0005-0000-0000-000017180000}"/>
    <cellStyle name="Normal 4 3 2 4 3 3 2 3 2 3" xfId="35247" xr:uid="{00000000-0005-0000-0000-000018180000}"/>
    <cellStyle name="Normal 4 3 2 4 3 3 2 3 3" xfId="16815" xr:uid="{00000000-0005-0000-0000-000019180000}"/>
    <cellStyle name="Normal 4 3 2 4 3 3 2 3 3 2" xfId="41391" xr:uid="{00000000-0005-0000-0000-00001A180000}"/>
    <cellStyle name="Normal 4 3 2 4 3 3 2 3 4" xfId="29103" xr:uid="{00000000-0005-0000-0000-00001B180000}"/>
    <cellStyle name="Normal 4 3 2 4 3 3 2 4" xfId="7599" xr:uid="{00000000-0005-0000-0000-00001C180000}"/>
    <cellStyle name="Normal 4 3 2 4 3 3 2 4 2" xfId="19887" xr:uid="{00000000-0005-0000-0000-00001D180000}"/>
    <cellStyle name="Normal 4 3 2 4 3 3 2 4 2 2" xfId="44463" xr:uid="{00000000-0005-0000-0000-00001E180000}"/>
    <cellStyle name="Normal 4 3 2 4 3 3 2 4 3" xfId="32175" xr:uid="{00000000-0005-0000-0000-00001F180000}"/>
    <cellStyle name="Normal 4 3 2 4 3 3 2 5" xfId="13743" xr:uid="{00000000-0005-0000-0000-000020180000}"/>
    <cellStyle name="Normal 4 3 2 4 3 3 2 5 2" xfId="38319" xr:uid="{00000000-0005-0000-0000-000021180000}"/>
    <cellStyle name="Normal 4 3 2 4 3 3 2 6" xfId="26031" xr:uid="{00000000-0005-0000-0000-000022180000}"/>
    <cellStyle name="Normal 4 3 2 4 3 3 3" xfId="2219" xr:uid="{00000000-0005-0000-0000-000023180000}"/>
    <cellStyle name="Normal 4 3 2 4 3 3 3 2" xfId="5295" xr:uid="{00000000-0005-0000-0000-000024180000}"/>
    <cellStyle name="Normal 4 3 2 4 3 3 3 2 2" xfId="11439" xr:uid="{00000000-0005-0000-0000-000025180000}"/>
    <cellStyle name="Normal 4 3 2 4 3 3 3 2 2 2" xfId="23727" xr:uid="{00000000-0005-0000-0000-000026180000}"/>
    <cellStyle name="Normal 4 3 2 4 3 3 3 2 2 2 2" xfId="48303" xr:uid="{00000000-0005-0000-0000-000027180000}"/>
    <cellStyle name="Normal 4 3 2 4 3 3 3 2 2 3" xfId="36015" xr:uid="{00000000-0005-0000-0000-000028180000}"/>
    <cellStyle name="Normal 4 3 2 4 3 3 3 2 3" xfId="17583" xr:uid="{00000000-0005-0000-0000-000029180000}"/>
    <cellStyle name="Normal 4 3 2 4 3 3 3 2 3 2" xfId="42159" xr:uid="{00000000-0005-0000-0000-00002A180000}"/>
    <cellStyle name="Normal 4 3 2 4 3 3 3 2 4" xfId="29871" xr:uid="{00000000-0005-0000-0000-00002B180000}"/>
    <cellStyle name="Normal 4 3 2 4 3 3 3 3" xfId="8367" xr:uid="{00000000-0005-0000-0000-00002C180000}"/>
    <cellStyle name="Normal 4 3 2 4 3 3 3 3 2" xfId="20655" xr:uid="{00000000-0005-0000-0000-00002D180000}"/>
    <cellStyle name="Normal 4 3 2 4 3 3 3 3 2 2" xfId="45231" xr:uid="{00000000-0005-0000-0000-00002E180000}"/>
    <cellStyle name="Normal 4 3 2 4 3 3 3 3 3" xfId="32943" xr:uid="{00000000-0005-0000-0000-00002F180000}"/>
    <cellStyle name="Normal 4 3 2 4 3 3 3 4" xfId="14511" xr:uid="{00000000-0005-0000-0000-000030180000}"/>
    <cellStyle name="Normal 4 3 2 4 3 3 3 4 2" xfId="39087" xr:uid="{00000000-0005-0000-0000-000031180000}"/>
    <cellStyle name="Normal 4 3 2 4 3 3 3 5" xfId="26799" xr:uid="{00000000-0005-0000-0000-000032180000}"/>
    <cellStyle name="Normal 4 3 2 4 3 3 4" xfId="3759" xr:uid="{00000000-0005-0000-0000-000033180000}"/>
    <cellStyle name="Normal 4 3 2 4 3 3 4 2" xfId="9903" xr:uid="{00000000-0005-0000-0000-000034180000}"/>
    <cellStyle name="Normal 4 3 2 4 3 3 4 2 2" xfId="22191" xr:uid="{00000000-0005-0000-0000-000035180000}"/>
    <cellStyle name="Normal 4 3 2 4 3 3 4 2 2 2" xfId="46767" xr:uid="{00000000-0005-0000-0000-000036180000}"/>
    <cellStyle name="Normal 4 3 2 4 3 3 4 2 3" xfId="34479" xr:uid="{00000000-0005-0000-0000-000037180000}"/>
    <cellStyle name="Normal 4 3 2 4 3 3 4 3" xfId="16047" xr:uid="{00000000-0005-0000-0000-000038180000}"/>
    <cellStyle name="Normal 4 3 2 4 3 3 4 3 2" xfId="40623" xr:uid="{00000000-0005-0000-0000-000039180000}"/>
    <cellStyle name="Normal 4 3 2 4 3 3 4 4" xfId="28335" xr:uid="{00000000-0005-0000-0000-00003A180000}"/>
    <cellStyle name="Normal 4 3 2 4 3 3 5" xfId="6831" xr:uid="{00000000-0005-0000-0000-00003B180000}"/>
    <cellStyle name="Normal 4 3 2 4 3 3 5 2" xfId="19119" xr:uid="{00000000-0005-0000-0000-00003C180000}"/>
    <cellStyle name="Normal 4 3 2 4 3 3 5 2 2" xfId="43695" xr:uid="{00000000-0005-0000-0000-00003D180000}"/>
    <cellStyle name="Normal 4 3 2 4 3 3 5 3" xfId="31407" xr:uid="{00000000-0005-0000-0000-00003E180000}"/>
    <cellStyle name="Normal 4 3 2 4 3 3 6" xfId="12975" xr:uid="{00000000-0005-0000-0000-00003F180000}"/>
    <cellStyle name="Normal 4 3 2 4 3 3 6 2" xfId="37551" xr:uid="{00000000-0005-0000-0000-000040180000}"/>
    <cellStyle name="Normal 4 3 2 4 3 3 7" xfId="25263" xr:uid="{00000000-0005-0000-0000-000041180000}"/>
    <cellStyle name="Normal 4 3 2 4 3 4" xfId="1067" xr:uid="{00000000-0005-0000-0000-000042180000}"/>
    <cellStyle name="Normal 4 3 2 4 3 4 2" xfId="2603" xr:uid="{00000000-0005-0000-0000-000043180000}"/>
    <cellStyle name="Normal 4 3 2 4 3 4 2 2" xfId="5679" xr:uid="{00000000-0005-0000-0000-000044180000}"/>
    <cellStyle name="Normal 4 3 2 4 3 4 2 2 2" xfId="11823" xr:uid="{00000000-0005-0000-0000-000045180000}"/>
    <cellStyle name="Normal 4 3 2 4 3 4 2 2 2 2" xfId="24111" xr:uid="{00000000-0005-0000-0000-000046180000}"/>
    <cellStyle name="Normal 4 3 2 4 3 4 2 2 2 2 2" xfId="48687" xr:uid="{00000000-0005-0000-0000-000047180000}"/>
    <cellStyle name="Normal 4 3 2 4 3 4 2 2 2 3" xfId="36399" xr:uid="{00000000-0005-0000-0000-000048180000}"/>
    <cellStyle name="Normal 4 3 2 4 3 4 2 2 3" xfId="17967" xr:uid="{00000000-0005-0000-0000-000049180000}"/>
    <cellStyle name="Normal 4 3 2 4 3 4 2 2 3 2" xfId="42543" xr:uid="{00000000-0005-0000-0000-00004A180000}"/>
    <cellStyle name="Normal 4 3 2 4 3 4 2 2 4" xfId="30255" xr:uid="{00000000-0005-0000-0000-00004B180000}"/>
    <cellStyle name="Normal 4 3 2 4 3 4 2 3" xfId="8751" xr:uid="{00000000-0005-0000-0000-00004C180000}"/>
    <cellStyle name="Normal 4 3 2 4 3 4 2 3 2" xfId="21039" xr:uid="{00000000-0005-0000-0000-00004D180000}"/>
    <cellStyle name="Normal 4 3 2 4 3 4 2 3 2 2" xfId="45615" xr:uid="{00000000-0005-0000-0000-00004E180000}"/>
    <cellStyle name="Normal 4 3 2 4 3 4 2 3 3" xfId="33327" xr:uid="{00000000-0005-0000-0000-00004F180000}"/>
    <cellStyle name="Normal 4 3 2 4 3 4 2 4" xfId="14895" xr:uid="{00000000-0005-0000-0000-000050180000}"/>
    <cellStyle name="Normal 4 3 2 4 3 4 2 4 2" xfId="39471" xr:uid="{00000000-0005-0000-0000-000051180000}"/>
    <cellStyle name="Normal 4 3 2 4 3 4 2 5" xfId="27183" xr:uid="{00000000-0005-0000-0000-000052180000}"/>
    <cellStyle name="Normal 4 3 2 4 3 4 3" xfId="4143" xr:uid="{00000000-0005-0000-0000-000053180000}"/>
    <cellStyle name="Normal 4 3 2 4 3 4 3 2" xfId="10287" xr:uid="{00000000-0005-0000-0000-000054180000}"/>
    <cellStyle name="Normal 4 3 2 4 3 4 3 2 2" xfId="22575" xr:uid="{00000000-0005-0000-0000-000055180000}"/>
    <cellStyle name="Normal 4 3 2 4 3 4 3 2 2 2" xfId="47151" xr:uid="{00000000-0005-0000-0000-000056180000}"/>
    <cellStyle name="Normal 4 3 2 4 3 4 3 2 3" xfId="34863" xr:uid="{00000000-0005-0000-0000-000057180000}"/>
    <cellStyle name="Normal 4 3 2 4 3 4 3 3" xfId="16431" xr:uid="{00000000-0005-0000-0000-000058180000}"/>
    <cellStyle name="Normal 4 3 2 4 3 4 3 3 2" xfId="41007" xr:uid="{00000000-0005-0000-0000-000059180000}"/>
    <cellStyle name="Normal 4 3 2 4 3 4 3 4" xfId="28719" xr:uid="{00000000-0005-0000-0000-00005A180000}"/>
    <cellStyle name="Normal 4 3 2 4 3 4 4" xfId="7215" xr:uid="{00000000-0005-0000-0000-00005B180000}"/>
    <cellStyle name="Normal 4 3 2 4 3 4 4 2" xfId="19503" xr:uid="{00000000-0005-0000-0000-00005C180000}"/>
    <cellStyle name="Normal 4 3 2 4 3 4 4 2 2" xfId="44079" xr:uid="{00000000-0005-0000-0000-00005D180000}"/>
    <cellStyle name="Normal 4 3 2 4 3 4 4 3" xfId="31791" xr:uid="{00000000-0005-0000-0000-00005E180000}"/>
    <cellStyle name="Normal 4 3 2 4 3 4 5" xfId="13359" xr:uid="{00000000-0005-0000-0000-00005F180000}"/>
    <cellStyle name="Normal 4 3 2 4 3 4 5 2" xfId="37935" xr:uid="{00000000-0005-0000-0000-000060180000}"/>
    <cellStyle name="Normal 4 3 2 4 3 4 6" xfId="25647" xr:uid="{00000000-0005-0000-0000-000061180000}"/>
    <cellStyle name="Normal 4 3 2 4 3 5" xfId="1835" xr:uid="{00000000-0005-0000-0000-000062180000}"/>
    <cellStyle name="Normal 4 3 2 4 3 5 2" xfId="4911" xr:uid="{00000000-0005-0000-0000-000063180000}"/>
    <cellStyle name="Normal 4 3 2 4 3 5 2 2" xfId="11055" xr:uid="{00000000-0005-0000-0000-000064180000}"/>
    <cellStyle name="Normal 4 3 2 4 3 5 2 2 2" xfId="23343" xr:uid="{00000000-0005-0000-0000-000065180000}"/>
    <cellStyle name="Normal 4 3 2 4 3 5 2 2 2 2" xfId="47919" xr:uid="{00000000-0005-0000-0000-000066180000}"/>
    <cellStyle name="Normal 4 3 2 4 3 5 2 2 3" xfId="35631" xr:uid="{00000000-0005-0000-0000-000067180000}"/>
    <cellStyle name="Normal 4 3 2 4 3 5 2 3" xfId="17199" xr:uid="{00000000-0005-0000-0000-000068180000}"/>
    <cellStyle name="Normal 4 3 2 4 3 5 2 3 2" xfId="41775" xr:uid="{00000000-0005-0000-0000-000069180000}"/>
    <cellStyle name="Normal 4 3 2 4 3 5 2 4" xfId="29487" xr:uid="{00000000-0005-0000-0000-00006A180000}"/>
    <cellStyle name="Normal 4 3 2 4 3 5 3" xfId="7983" xr:uid="{00000000-0005-0000-0000-00006B180000}"/>
    <cellStyle name="Normal 4 3 2 4 3 5 3 2" xfId="20271" xr:uid="{00000000-0005-0000-0000-00006C180000}"/>
    <cellStyle name="Normal 4 3 2 4 3 5 3 2 2" xfId="44847" xr:uid="{00000000-0005-0000-0000-00006D180000}"/>
    <cellStyle name="Normal 4 3 2 4 3 5 3 3" xfId="32559" xr:uid="{00000000-0005-0000-0000-00006E180000}"/>
    <cellStyle name="Normal 4 3 2 4 3 5 4" xfId="14127" xr:uid="{00000000-0005-0000-0000-00006F180000}"/>
    <cellStyle name="Normal 4 3 2 4 3 5 4 2" xfId="38703" xr:uid="{00000000-0005-0000-0000-000070180000}"/>
    <cellStyle name="Normal 4 3 2 4 3 5 5" xfId="26415" xr:uid="{00000000-0005-0000-0000-000071180000}"/>
    <cellStyle name="Normal 4 3 2 4 3 6" xfId="3375" xr:uid="{00000000-0005-0000-0000-000072180000}"/>
    <cellStyle name="Normal 4 3 2 4 3 6 2" xfId="9519" xr:uid="{00000000-0005-0000-0000-000073180000}"/>
    <cellStyle name="Normal 4 3 2 4 3 6 2 2" xfId="21807" xr:uid="{00000000-0005-0000-0000-000074180000}"/>
    <cellStyle name="Normal 4 3 2 4 3 6 2 2 2" xfId="46383" xr:uid="{00000000-0005-0000-0000-000075180000}"/>
    <cellStyle name="Normal 4 3 2 4 3 6 2 3" xfId="34095" xr:uid="{00000000-0005-0000-0000-000076180000}"/>
    <cellStyle name="Normal 4 3 2 4 3 6 3" xfId="15663" xr:uid="{00000000-0005-0000-0000-000077180000}"/>
    <cellStyle name="Normal 4 3 2 4 3 6 3 2" xfId="40239" xr:uid="{00000000-0005-0000-0000-000078180000}"/>
    <cellStyle name="Normal 4 3 2 4 3 6 4" xfId="27951" xr:uid="{00000000-0005-0000-0000-000079180000}"/>
    <cellStyle name="Normal 4 3 2 4 3 7" xfId="6447" xr:uid="{00000000-0005-0000-0000-00007A180000}"/>
    <cellStyle name="Normal 4 3 2 4 3 7 2" xfId="18735" xr:uid="{00000000-0005-0000-0000-00007B180000}"/>
    <cellStyle name="Normal 4 3 2 4 3 7 2 2" xfId="43311" xr:uid="{00000000-0005-0000-0000-00007C180000}"/>
    <cellStyle name="Normal 4 3 2 4 3 7 3" xfId="31023" xr:uid="{00000000-0005-0000-0000-00007D180000}"/>
    <cellStyle name="Normal 4 3 2 4 3 8" xfId="12591" xr:uid="{00000000-0005-0000-0000-00007E180000}"/>
    <cellStyle name="Normal 4 3 2 4 3 8 2" xfId="37167" xr:uid="{00000000-0005-0000-0000-00007F180000}"/>
    <cellStyle name="Normal 4 3 2 4 3 9" xfId="24879" xr:uid="{00000000-0005-0000-0000-000080180000}"/>
    <cellStyle name="Normal 4 3 2 4 4" xfId="363" xr:uid="{00000000-0005-0000-0000-000081180000}"/>
    <cellStyle name="Normal 4 3 2 4 4 2" xfId="747" xr:uid="{00000000-0005-0000-0000-000082180000}"/>
    <cellStyle name="Normal 4 3 2 4 4 2 2" xfId="1515" xr:uid="{00000000-0005-0000-0000-000083180000}"/>
    <cellStyle name="Normal 4 3 2 4 4 2 2 2" xfId="3051" xr:uid="{00000000-0005-0000-0000-000084180000}"/>
    <cellStyle name="Normal 4 3 2 4 4 2 2 2 2" xfId="6127" xr:uid="{00000000-0005-0000-0000-000085180000}"/>
    <cellStyle name="Normal 4 3 2 4 4 2 2 2 2 2" xfId="12271" xr:uid="{00000000-0005-0000-0000-000086180000}"/>
    <cellStyle name="Normal 4 3 2 4 4 2 2 2 2 2 2" xfId="24559" xr:uid="{00000000-0005-0000-0000-000087180000}"/>
    <cellStyle name="Normal 4 3 2 4 4 2 2 2 2 2 2 2" xfId="49135" xr:uid="{00000000-0005-0000-0000-000088180000}"/>
    <cellStyle name="Normal 4 3 2 4 4 2 2 2 2 2 3" xfId="36847" xr:uid="{00000000-0005-0000-0000-000089180000}"/>
    <cellStyle name="Normal 4 3 2 4 4 2 2 2 2 3" xfId="18415" xr:uid="{00000000-0005-0000-0000-00008A180000}"/>
    <cellStyle name="Normal 4 3 2 4 4 2 2 2 2 3 2" xfId="42991" xr:uid="{00000000-0005-0000-0000-00008B180000}"/>
    <cellStyle name="Normal 4 3 2 4 4 2 2 2 2 4" xfId="30703" xr:uid="{00000000-0005-0000-0000-00008C180000}"/>
    <cellStyle name="Normal 4 3 2 4 4 2 2 2 3" xfId="9199" xr:uid="{00000000-0005-0000-0000-00008D180000}"/>
    <cellStyle name="Normal 4 3 2 4 4 2 2 2 3 2" xfId="21487" xr:uid="{00000000-0005-0000-0000-00008E180000}"/>
    <cellStyle name="Normal 4 3 2 4 4 2 2 2 3 2 2" xfId="46063" xr:uid="{00000000-0005-0000-0000-00008F180000}"/>
    <cellStyle name="Normal 4 3 2 4 4 2 2 2 3 3" xfId="33775" xr:uid="{00000000-0005-0000-0000-000090180000}"/>
    <cellStyle name="Normal 4 3 2 4 4 2 2 2 4" xfId="15343" xr:uid="{00000000-0005-0000-0000-000091180000}"/>
    <cellStyle name="Normal 4 3 2 4 4 2 2 2 4 2" xfId="39919" xr:uid="{00000000-0005-0000-0000-000092180000}"/>
    <cellStyle name="Normal 4 3 2 4 4 2 2 2 5" xfId="27631" xr:uid="{00000000-0005-0000-0000-000093180000}"/>
    <cellStyle name="Normal 4 3 2 4 4 2 2 3" xfId="4591" xr:uid="{00000000-0005-0000-0000-000094180000}"/>
    <cellStyle name="Normal 4 3 2 4 4 2 2 3 2" xfId="10735" xr:uid="{00000000-0005-0000-0000-000095180000}"/>
    <cellStyle name="Normal 4 3 2 4 4 2 2 3 2 2" xfId="23023" xr:uid="{00000000-0005-0000-0000-000096180000}"/>
    <cellStyle name="Normal 4 3 2 4 4 2 2 3 2 2 2" xfId="47599" xr:uid="{00000000-0005-0000-0000-000097180000}"/>
    <cellStyle name="Normal 4 3 2 4 4 2 2 3 2 3" xfId="35311" xr:uid="{00000000-0005-0000-0000-000098180000}"/>
    <cellStyle name="Normal 4 3 2 4 4 2 2 3 3" xfId="16879" xr:uid="{00000000-0005-0000-0000-000099180000}"/>
    <cellStyle name="Normal 4 3 2 4 4 2 2 3 3 2" xfId="41455" xr:uid="{00000000-0005-0000-0000-00009A180000}"/>
    <cellStyle name="Normal 4 3 2 4 4 2 2 3 4" xfId="29167" xr:uid="{00000000-0005-0000-0000-00009B180000}"/>
    <cellStyle name="Normal 4 3 2 4 4 2 2 4" xfId="7663" xr:uid="{00000000-0005-0000-0000-00009C180000}"/>
    <cellStyle name="Normal 4 3 2 4 4 2 2 4 2" xfId="19951" xr:uid="{00000000-0005-0000-0000-00009D180000}"/>
    <cellStyle name="Normal 4 3 2 4 4 2 2 4 2 2" xfId="44527" xr:uid="{00000000-0005-0000-0000-00009E180000}"/>
    <cellStyle name="Normal 4 3 2 4 4 2 2 4 3" xfId="32239" xr:uid="{00000000-0005-0000-0000-00009F180000}"/>
    <cellStyle name="Normal 4 3 2 4 4 2 2 5" xfId="13807" xr:uid="{00000000-0005-0000-0000-0000A0180000}"/>
    <cellStyle name="Normal 4 3 2 4 4 2 2 5 2" xfId="38383" xr:uid="{00000000-0005-0000-0000-0000A1180000}"/>
    <cellStyle name="Normal 4 3 2 4 4 2 2 6" xfId="26095" xr:uid="{00000000-0005-0000-0000-0000A2180000}"/>
    <cellStyle name="Normal 4 3 2 4 4 2 3" xfId="2283" xr:uid="{00000000-0005-0000-0000-0000A3180000}"/>
    <cellStyle name="Normal 4 3 2 4 4 2 3 2" xfId="5359" xr:uid="{00000000-0005-0000-0000-0000A4180000}"/>
    <cellStyle name="Normal 4 3 2 4 4 2 3 2 2" xfId="11503" xr:uid="{00000000-0005-0000-0000-0000A5180000}"/>
    <cellStyle name="Normal 4 3 2 4 4 2 3 2 2 2" xfId="23791" xr:uid="{00000000-0005-0000-0000-0000A6180000}"/>
    <cellStyle name="Normal 4 3 2 4 4 2 3 2 2 2 2" xfId="48367" xr:uid="{00000000-0005-0000-0000-0000A7180000}"/>
    <cellStyle name="Normal 4 3 2 4 4 2 3 2 2 3" xfId="36079" xr:uid="{00000000-0005-0000-0000-0000A8180000}"/>
    <cellStyle name="Normal 4 3 2 4 4 2 3 2 3" xfId="17647" xr:uid="{00000000-0005-0000-0000-0000A9180000}"/>
    <cellStyle name="Normal 4 3 2 4 4 2 3 2 3 2" xfId="42223" xr:uid="{00000000-0005-0000-0000-0000AA180000}"/>
    <cellStyle name="Normal 4 3 2 4 4 2 3 2 4" xfId="29935" xr:uid="{00000000-0005-0000-0000-0000AB180000}"/>
    <cellStyle name="Normal 4 3 2 4 4 2 3 3" xfId="8431" xr:uid="{00000000-0005-0000-0000-0000AC180000}"/>
    <cellStyle name="Normal 4 3 2 4 4 2 3 3 2" xfId="20719" xr:uid="{00000000-0005-0000-0000-0000AD180000}"/>
    <cellStyle name="Normal 4 3 2 4 4 2 3 3 2 2" xfId="45295" xr:uid="{00000000-0005-0000-0000-0000AE180000}"/>
    <cellStyle name="Normal 4 3 2 4 4 2 3 3 3" xfId="33007" xr:uid="{00000000-0005-0000-0000-0000AF180000}"/>
    <cellStyle name="Normal 4 3 2 4 4 2 3 4" xfId="14575" xr:uid="{00000000-0005-0000-0000-0000B0180000}"/>
    <cellStyle name="Normal 4 3 2 4 4 2 3 4 2" xfId="39151" xr:uid="{00000000-0005-0000-0000-0000B1180000}"/>
    <cellStyle name="Normal 4 3 2 4 4 2 3 5" xfId="26863" xr:uid="{00000000-0005-0000-0000-0000B2180000}"/>
    <cellStyle name="Normal 4 3 2 4 4 2 4" xfId="3823" xr:uid="{00000000-0005-0000-0000-0000B3180000}"/>
    <cellStyle name="Normal 4 3 2 4 4 2 4 2" xfId="9967" xr:uid="{00000000-0005-0000-0000-0000B4180000}"/>
    <cellStyle name="Normal 4 3 2 4 4 2 4 2 2" xfId="22255" xr:uid="{00000000-0005-0000-0000-0000B5180000}"/>
    <cellStyle name="Normal 4 3 2 4 4 2 4 2 2 2" xfId="46831" xr:uid="{00000000-0005-0000-0000-0000B6180000}"/>
    <cellStyle name="Normal 4 3 2 4 4 2 4 2 3" xfId="34543" xr:uid="{00000000-0005-0000-0000-0000B7180000}"/>
    <cellStyle name="Normal 4 3 2 4 4 2 4 3" xfId="16111" xr:uid="{00000000-0005-0000-0000-0000B8180000}"/>
    <cellStyle name="Normal 4 3 2 4 4 2 4 3 2" xfId="40687" xr:uid="{00000000-0005-0000-0000-0000B9180000}"/>
    <cellStyle name="Normal 4 3 2 4 4 2 4 4" xfId="28399" xr:uid="{00000000-0005-0000-0000-0000BA180000}"/>
    <cellStyle name="Normal 4 3 2 4 4 2 5" xfId="6895" xr:uid="{00000000-0005-0000-0000-0000BB180000}"/>
    <cellStyle name="Normal 4 3 2 4 4 2 5 2" xfId="19183" xr:uid="{00000000-0005-0000-0000-0000BC180000}"/>
    <cellStyle name="Normal 4 3 2 4 4 2 5 2 2" xfId="43759" xr:uid="{00000000-0005-0000-0000-0000BD180000}"/>
    <cellStyle name="Normal 4 3 2 4 4 2 5 3" xfId="31471" xr:uid="{00000000-0005-0000-0000-0000BE180000}"/>
    <cellStyle name="Normal 4 3 2 4 4 2 6" xfId="13039" xr:uid="{00000000-0005-0000-0000-0000BF180000}"/>
    <cellStyle name="Normal 4 3 2 4 4 2 6 2" xfId="37615" xr:uid="{00000000-0005-0000-0000-0000C0180000}"/>
    <cellStyle name="Normal 4 3 2 4 4 2 7" xfId="25327" xr:uid="{00000000-0005-0000-0000-0000C1180000}"/>
    <cellStyle name="Normal 4 3 2 4 4 3" xfId="1131" xr:uid="{00000000-0005-0000-0000-0000C2180000}"/>
    <cellStyle name="Normal 4 3 2 4 4 3 2" xfId="2667" xr:uid="{00000000-0005-0000-0000-0000C3180000}"/>
    <cellStyle name="Normal 4 3 2 4 4 3 2 2" xfId="5743" xr:uid="{00000000-0005-0000-0000-0000C4180000}"/>
    <cellStyle name="Normal 4 3 2 4 4 3 2 2 2" xfId="11887" xr:uid="{00000000-0005-0000-0000-0000C5180000}"/>
    <cellStyle name="Normal 4 3 2 4 4 3 2 2 2 2" xfId="24175" xr:uid="{00000000-0005-0000-0000-0000C6180000}"/>
    <cellStyle name="Normal 4 3 2 4 4 3 2 2 2 2 2" xfId="48751" xr:uid="{00000000-0005-0000-0000-0000C7180000}"/>
    <cellStyle name="Normal 4 3 2 4 4 3 2 2 2 3" xfId="36463" xr:uid="{00000000-0005-0000-0000-0000C8180000}"/>
    <cellStyle name="Normal 4 3 2 4 4 3 2 2 3" xfId="18031" xr:uid="{00000000-0005-0000-0000-0000C9180000}"/>
    <cellStyle name="Normal 4 3 2 4 4 3 2 2 3 2" xfId="42607" xr:uid="{00000000-0005-0000-0000-0000CA180000}"/>
    <cellStyle name="Normal 4 3 2 4 4 3 2 2 4" xfId="30319" xr:uid="{00000000-0005-0000-0000-0000CB180000}"/>
    <cellStyle name="Normal 4 3 2 4 4 3 2 3" xfId="8815" xr:uid="{00000000-0005-0000-0000-0000CC180000}"/>
    <cellStyle name="Normal 4 3 2 4 4 3 2 3 2" xfId="21103" xr:uid="{00000000-0005-0000-0000-0000CD180000}"/>
    <cellStyle name="Normal 4 3 2 4 4 3 2 3 2 2" xfId="45679" xr:uid="{00000000-0005-0000-0000-0000CE180000}"/>
    <cellStyle name="Normal 4 3 2 4 4 3 2 3 3" xfId="33391" xr:uid="{00000000-0005-0000-0000-0000CF180000}"/>
    <cellStyle name="Normal 4 3 2 4 4 3 2 4" xfId="14959" xr:uid="{00000000-0005-0000-0000-0000D0180000}"/>
    <cellStyle name="Normal 4 3 2 4 4 3 2 4 2" xfId="39535" xr:uid="{00000000-0005-0000-0000-0000D1180000}"/>
    <cellStyle name="Normal 4 3 2 4 4 3 2 5" xfId="27247" xr:uid="{00000000-0005-0000-0000-0000D2180000}"/>
    <cellStyle name="Normal 4 3 2 4 4 3 3" xfId="4207" xr:uid="{00000000-0005-0000-0000-0000D3180000}"/>
    <cellStyle name="Normal 4 3 2 4 4 3 3 2" xfId="10351" xr:uid="{00000000-0005-0000-0000-0000D4180000}"/>
    <cellStyle name="Normal 4 3 2 4 4 3 3 2 2" xfId="22639" xr:uid="{00000000-0005-0000-0000-0000D5180000}"/>
    <cellStyle name="Normal 4 3 2 4 4 3 3 2 2 2" xfId="47215" xr:uid="{00000000-0005-0000-0000-0000D6180000}"/>
    <cellStyle name="Normal 4 3 2 4 4 3 3 2 3" xfId="34927" xr:uid="{00000000-0005-0000-0000-0000D7180000}"/>
    <cellStyle name="Normal 4 3 2 4 4 3 3 3" xfId="16495" xr:uid="{00000000-0005-0000-0000-0000D8180000}"/>
    <cellStyle name="Normal 4 3 2 4 4 3 3 3 2" xfId="41071" xr:uid="{00000000-0005-0000-0000-0000D9180000}"/>
    <cellStyle name="Normal 4 3 2 4 4 3 3 4" xfId="28783" xr:uid="{00000000-0005-0000-0000-0000DA180000}"/>
    <cellStyle name="Normal 4 3 2 4 4 3 4" xfId="7279" xr:uid="{00000000-0005-0000-0000-0000DB180000}"/>
    <cellStyle name="Normal 4 3 2 4 4 3 4 2" xfId="19567" xr:uid="{00000000-0005-0000-0000-0000DC180000}"/>
    <cellStyle name="Normal 4 3 2 4 4 3 4 2 2" xfId="44143" xr:uid="{00000000-0005-0000-0000-0000DD180000}"/>
    <cellStyle name="Normal 4 3 2 4 4 3 4 3" xfId="31855" xr:uid="{00000000-0005-0000-0000-0000DE180000}"/>
    <cellStyle name="Normal 4 3 2 4 4 3 5" xfId="13423" xr:uid="{00000000-0005-0000-0000-0000DF180000}"/>
    <cellStyle name="Normal 4 3 2 4 4 3 5 2" xfId="37999" xr:uid="{00000000-0005-0000-0000-0000E0180000}"/>
    <cellStyle name="Normal 4 3 2 4 4 3 6" xfId="25711" xr:uid="{00000000-0005-0000-0000-0000E1180000}"/>
    <cellStyle name="Normal 4 3 2 4 4 4" xfId="1899" xr:uid="{00000000-0005-0000-0000-0000E2180000}"/>
    <cellStyle name="Normal 4 3 2 4 4 4 2" xfId="4975" xr:uid="{00000000-0005-0000-0000-0000E3180000}"/>
    <cellStyle name="Normal 4 3 2 4 4 4 2 2" xfId="11119" xr:uid="{00000000-0005-0000-0000-0000E4180000}"/>
    <cellStyle name="Normal 4 3 2 4 4 4 2 2 2" xfId="23407" xr:uid="{00000000-0005-0000-0000-0000E5180000}"/>
    <cellStyle name="Normal 4 3 2 4 4 4 2 2 2 2" xfId="47983" xr:uid="{00000000-0005-0000-0000-0000E6180000}"/>
    <cellStyle name="Normal 4 3 2 4 4 4 2 2 3" xfId="35695" xr:uid="{00000000-0005-0000-0000-0000E7180000}"/>
    <cellStyle name="Normal 4 3 2 4 4 4 2 3" xfId="17263" xr:uid="{00000000-0005-0000-0000-0000E8180000}"/>
    <cellStyle name="Normal 4 3 2 4 4 4 2 3 2" xfId="41839" xr:uid="{00000000-0005-0000-0000-0000E9180000}"/>
    <cellStyle name="Normal 4 3 2 4 4 4 2 4" xfId="29551" xr:uid="{00000000-0005-0000-0000-0000EA180000}"/>
    <cellStyle name="Normal 4 3 2 4 4 4 3" xfId="8047" xr:uid="{00000000-0005-0000-0000-0000EB180000}"/>
    <cellStyle name="Normal 4 3 2 4 4 4 3 2" xfId="20335" xr:uid="{00000000-0005-0000-0000-0000EC180000}"/>
    <cellStyle name="Normal 4 3 2 4 4 4 3 2 2" xfId="44911" xr:uid="{00000000-0005-0000-0000-0000ED180000}"/>
    <cellStyle name="Normal 4 3 2 4 4 4 3 3" xfId="32623" xr:uid="{00000000-0005-0000-0000-0000EE180000}"/>
    <cellStyle name="Normal 4 3 2 4 4 4 4" xfId="14191" xr:uid="{00000000-0005-0000-0000-0000EF180000}"/>
    <cellStyle name="Normal 4 3 2 4 4 4 4 2" xfId="38767" xr:uid="{00000000-0005-0000-0000-0000F0180000}"/>
    <cellStyle name="Normal 4 3 2 4 4 4 5" xfId="26479" xr:uid="{00000000-0005-0000-0000-0000F1180000}"/>
    <cellStyle name="Normal 4 3 2 4 4 5" xfId="3439" xr:uid="{00000000-0005-0000-0000-0000F2180000}"/>
    <cellStyle name="Normal 4 3 2 4 4 5 2" xfId="9583" xr:uid="{00000000-0005-0000-0000-0000F3180000}"/>
    <cellStyle name="Normal 4 3 2 4 4 5 2 2" xfId="21871" xr:uid="{00000000-0005-0000-0000-0000F4180000}"/>
    <cellStyle name="Normal 4 3 2 4 4 5 2 2 2" xfId="46447" xr:uid="{00000000-0005-0000-0000-0000F5180000}"/>
    <cellStyle name="Normal 4 3 2 4 4 5 2 3" xfId="34159" xr:uid="{00000000-0005-0000-0000-0000F6180000}"/>
    <cellStyle name="Normal 4 3 2 4 4 5 3" xfId="15727" xr:uid="{00000000-0005-0000-0000-0000F7180000}"/>
    <cellStyle name="Normal 4 3 2 4 4 5 3 2" xfId="40303" xr:uid="{00000000-0005-0000-0000-0000F8180000}"/>
    <cellStyle name="Normal 4 3 2 4 4 5 4" xfId="28015" xr:uid="{00000000-0005-0000-0000-0000F9180000}"/>
    <cellStyle name="Normal 4 3 2 4 4 6" xfId="6511" xr:uid="{00000000-0005-0000-0000-0000FA180000}"/>
    <cellStyle name="Normal 4 3 2 4 4 6 2" xfId="18799" xr:uid="{00000000-0005-0000-0000-0000FB180000}"/>
    <cellStyle name="Normal 4 3 2 4 4 6 2 2" xfId="43375" xr:uid="{00000000-0005-0000-0000-0000FC180000}"/>
    <cellStyle name="Normal 4 3 2 4 4 6 3" xfId="31087" xr:uid="{00000000-0005-0000-0000-0000FD180000}"/>
    <cellStyle name="Normal 4 3 2 4 4 7" xfId="12655" xr:uid="{00000000-0005-0000-0000-0000FE180000}"/>
    <cellStyle name="Normal 4 3 2 4 4 7 2" xfId="37231" xr:uid="{00000000-0005-0000-0000-0000FF180000}"/>
    <cellStyle name="Normal 4 3 2 4 4 8" xfId="24943" xr:uid="{00000000-0005-0000-0000-000000190000}"/>
    <cellStyle name="Normal 4 3 2 4 5" xfId="555" xr:uid="{00000000-0005-0000-0000-000001190000}"/>
    <cellStyle name="Normal 4 3 2 4 5 2" xfId="1323" xr:uid="{00000000-0005-0000-0000-000002190000}"/>
    <cellStyle name="Normal 4 3 2 4 5 2 2" xfId="2859" xr:uid="{00000000-0005-0000-0000-000003190000}"/>
    <cellStyle name="Normal 4 3 2 4 5 2 2 2" xfId="5935" xr:uid="{00000000-0005-0000-0000-000004190000}"/>
    <cellStyle name="Normal 4 3 2 4 5 2 2 2 2" xfId="12079" xr:uid="{00000000-0005-0000-0000-000005190000}"/>
    <cellStyle name="Normal 4 3 2 4 5 2 2 2 2 2" xfId="24367" xr:uid="{00000000-0005-0000-0000-000006190000}"/>
    <cellStyle name="Normal 4 3 2 4 5 2 2 2 2 2 2" xfId="48943" xr:uid="{00000000-0005-0000-0000-000007190000}"/>
    <cellStyle name="Normal 4 3 2 4 5 2 2 2 2 3" xfId="36655" xr:uid="{00000000-0005-0000-0000-000008190000}"/>
    <cellStyle name="Normal 4 3 2 4 5 2 2 2 3" xfId="18223" xr:uid="{00000000-0005-0000-0000-000009190000}"/>
    <cellStyle name="Normal 4 3 2 4 5 2 2 2 3 2" xfId="42799" xr:uid="{00000000-0005-0000-0000-00000A190000}"/>
    <cellStyle name="Normal 4 3 2 4 5 2 2 2 4" xfId="30511" xr:uid="{00000000-0005-0000-0000-00000B190000}"/>
    <cellStyle name="Normal 4 3 2 4 5 2 2 3" xfId="9007" xr:uid="{00000000-0005-0000-0000-00000C190000}"/>
    <cellStyle name="Normal 4 3 2 4 5 2 2 3 2" xfId="21295" xr:uid="{00000000-0005-0000-0000-00000D190000}"/>
    <cellStyle name="Normal 4 3 2 4 5 2 2 3 2 2" xfId="45871" xr:uid="{00000000-0005-0000-0000-00000E190000}"/>
    <cellStyle name="Normal 4 3 2 4 5 2 2 3 3" xfId="33583" xr:uid="{00000000-0005-0000-0000-00000F190000}"/>
    <cellStyle name="Normal 4 3 2 4 5 2 2 4" xfId="15151" xr:uid="{00000000-0005-0000-0000-000010190000}"/>
    <cellStyle name="Normal 4 3 2 4 5 2 2 4 2" xfId="39727" xr:uid="{00000000-0005-0000-0000-000011190000}"/>
    <cellStyle name="Normal 4 3 2 4 5 2 2 5" xfId="27439" xr:uid="{00000000-0005-0000-0000-000012190000}"/>
    <cellStyle name="Normal 4 3 2 4 5 2 3" xfId="4399" xr:uid="{00000000-0005-0000-0000-000013190000}"/>
    <cellStyle name="Normal 4 3 2 4 5 2 3 2" xfId="10543" xr:uid="{00000000-0005-0000-0000-000014190000}"/>
    <cellStyle name="Normal 4 3 2 4 5 2 3 2 2" xfId="22831" xr:uid="{00000000-0005-0000-0000-000015190000}"/>
    <cellStyle name="Normal 4 3 2 4 5 2 3 2 2 2" xfId="47407" xr:uid="{00000000-0005-0000-0000-000016190000}"/>
    <cellStyle name="Normal 4 3 2 4 5 2 3 2 3" xfId="35119" xr:uid="{00000000-0005-0000-0000-000017190000}"/>
    <cellStyle name="Normal 4 3 2 4 5 2 3 3" xfId="16687" xr:uid="{00000000-0005-0000-0000-000018190000}"/>
    <cellStyle name="Normal 4 3 2 4 5 2 3 3 2" xfId="41263" xr:uid="{00000000-0005-0000-0000-000019190000}"/>
    <cellStyle name="Normal 4 3 2 4 5 2 3 4" xfId="28975" xr:uid="{00000000-0005-0000-0000-00001A190000}"/>
    <cellStyle name="Normal 4 3 2 4 5 2 4" xfId="7471" xr:uid="{00000000-0005-0000-0000-00001B190000}"/>
    <cellStyle name="Normal 4 3 2 4 5 2 4 2" xfId="19759" xr:uid="{00000000-0005-0000-0000-00001C190000}"/>
    <cellStyle name="Normal 4 3 2 4 5 2 4 2 2" xfId="44335" xr:uid="{00000000-0005-0000-0000-00001D190000}"/>
    <cellStyle name="Normal 4 3 2 4 5 2 4 3" xfId="32047" xr:uid="{00000000-0005-0000-0000-00001E190000}"/>
    <cellStyle name="Normal 4 3 2 4 5 2 5" xfId="13615" xr:uid="{00000000-0005-0000-0000-00001F190000}"/>
    <cellStyle name="Normal 4 3 2 4 5 2 5 2" xfId="38191" xr:uid="{00000000-0005-0000-0000-000020190000}"/>
    <cellStyle name="Normal 4 3 2 4 5 2 6" xfId="25903" xr:uid="{00000000-0005-0000-0000-000021190000}"/>
    <cellStyle name="Normal 4 3 2 4 5 3" xfId="2091" xr:uid="{00000000-0005-0000-0000-000022190000}"/>
    <cellStyle name="Normal 4 3 2 4 5 3 2" xfId="5167" xr:uid="{00000000-0005-0000-0000-000023190000}"/>
    <cellStyle name="Normal 4 3 2 4 5 3 2 2" xfId="11311" xr:uid="{00000000-0005-0000-0000-000024190000}"/>
    <cellStyle name="Normal 4 3 2 4 5 3 2 2 2" xfId="23599" xr:uid="{00000000-0005-0000-0000-000025190000}"/>
    <cellStyle name="Normal 4 3 2 4 5 3 2 2 2 2" xfId="48175" xr:uid="{00000000-0005-0000-0000-000026190000}"/>
    <cellStyle name="Normal 4 3 2 4 5 3 2 2 3" xfId="35887" xr:uid="{00000000-0005-0000-0000-000027190000}"/>
    <cellStyle name="Normal 4 3 2 4 5 3 2 3" xfId="17455" xr:uid="{00000000-0005-0000-0000-000028190000}"/>
    <cellStyle name="Normal 4 3 2 4 5 3 2 3 2" xfId="42031" xr:uid="{00000000-0005-0000-0000-000029190000}"/>
    <cellStyle name="Normal 4 3 2 4 5 3 2 4" xfId="29743" xr:uid="{00000000-0005-0000-0000-00002A190000}"/>
    <cellStyle name="Normal 4 3 2 4 5 3 3" xfId="8239" xr:uid="{00000000-0005-0000-0000-00002B190000}"/>
    <cellStyle name="Normal 4 3 2 4 5 3 3 2" xfId="20527" xr:uid="{00000000-0005-0000-0000-00002C190000}"/>
    <cellStyle name="Normal 4 3 2 4 5 3 3 2 2" xfId="45103" xr:uid="{00000000-0005-0000-0000-00002D190000}"/>
    <cellStyle name="Normal 4 3 2 4 5 3 3 3" xfId="32815" xr:uid="{00000000-0005-0000-0000-00002E190000}"/>
    <cellStyle name="Normal 4 3 2 4 5 3 4" xfId="14383" xr:uid="{00000000-0005-0000-0000-00002F190000}"/>
    <cellStyle name="Normal 4 3 2 4 5 3 4 2" xfId="38959" xr:uid="{00000000-0005-0000-0000-000030190000}"/>
    <cellStyle name="Normal 4 3 2 4 5 3 5" xfId="26671" xr:uid="{00000000-0005-0000-0000-000031190000}"/>
    <cellStyle name="Normal 4 3 2 4 5 4" xfId="3631" xr:uid="{00000000-0005-0000-0000-000032190000}"/>
    <cellStyle name="Normal 4 3 2 4 5 4 2" xfId="9775" xr:uid="{00000000-0005-0000-0000-000033190000}"/>
    <cellStyle name="Normal 4 3 2 4 5 4 2 2" xfId="22063" xr:uid="{00000000-0005-0000-0000-000034190000}"/>
    <cellStyle name="Normal 4 3 2 4 5 4 2 2 2" xfId="46639" xr:uid="{00000000-0005-0000-0000-000035190000}"/>
    <cellStyle name="Normal 4 3 2 4 5 4 2 3" xfId="34351" xr:uid="{00000000-0005-0000-0000-000036190000}"/>
    <cellStyle name="Normal 4 3 2 4 5 4 3" xfId="15919" xr:uid="{00000000-0005-0000-0000-000037190000}"/>
    <cellStyle name="Normal 4 3 2 4 5 4 3 2" xfId="40495" xr:uid="{00000000-0005-0000-0000-000038190000}"/>
    <cellStyle name="Normal 4 3 2 4 5 4 4" xfId="28207" xr:uid="{00000000-0005-0000-0000-000039190000}"/>
    <cellStyle name="Normal 4 3 2 4 5 5" xfId="6703" xr:uid="{00000000-0005-0000-0000-00003A190000}"/>
    <cellStyle name="Normal 4 3 2 4 5 5 2" xfId="18991" xr:uid="{00000000-0005-0000-0000-00003B190000}"/>
    <cellStyle name="Normal 4 3 2 4 5 5 2 2" xfId="43567" xr:uid="{00000000-0005-0000-0000-00003C190000}"/>
    <cellStyle name="Normal 4 3 2 4 5 5 3" xfId="31279" xr:uid="{00000000-0005-0000-0000-00003D190000}"/>
    <cellStyle name="Normal 4 3 2 4 5 6" xfId="12847" xr:uid="{00000000-0005-0000-0000-00003E190000}"/>
    <cellStyle name="Normal 4 3 2 4 5 6 2" xfId="37423" xr:uid="{00000000-0005-0000-0000-00003F190000}"/>
    <cellStyle name="Normal 4 3 2 4 5 7" xfId="25135" xr:uid="{00000000-0005-0000-0000-000040190000}"/>
    <cellStyle name="Normal 4 3 2 4 6" xfId="939" xr:uid="{00000000-0005-0000-0000-000041190000}"/>
    <cellStyle name="Normal 4 3 2 4 6 2" xfId="2475" xr:uid="{00000000-0005-0000-0000-000042190000}"/>
    <cellStyle name="Normal 4 3 2 4 6 2 2" xfId="5551" xr:uid="{00000000-0005-0000-0000-000043190000}"/>
    <cellStyle name="Normal 4 3 2 4 6 2 2 2" xfId="11695" xr:uid="{00000000-0005-0000-0000-000044190000}"/>
    <cellStyle name="Normal 4 3 2 4 6 2 2 2 2" xfId="23983" xr:uid="{00000000-0005-0000-0000-000045190000}"/>
    <cellStyle name="Normal 4 3 2 4 6 2 2 2 2 2" xfId="48559" xr:uid="{00000000-0005-0000-0000-000046190000}"/>
    <cellStyle name="Normal 4 3 2 4 6 2 2 2 3" xfId="36271" xr:uid="{00000000-0005-0000-0000-000047190000}"/>
    <cellStyle name="Normal 4 3 2 4 6 2 2 3" xfId="17839" xr:uid="{00000000-0005-0000-0000-000048190000}"/>
    <cellStyle name="Normal 4 3 2 4 6 2 2 3 2" xfId="42415" xr:uid="{00000000-0005-0000-0000-000049190000}"/>
    <cellStyle name="Normal 4 3 2 4 6 2 2 4" xfId="30127" xr:uid="{00000000-0005-0000-0000-00004A190000}"/>
    <cellStyle name="Normal 4 3 2 4 6 2 3" xfId="8623" xr:uid="{00000000-0005-0000-0000-00004B190000}"/>
    <cellStyle name="Normal 4 3 2 4 6 2 3 2" xfId="20911" xr:uid="{00000000-0005-0000-0000-00004C190000}"/>
    <cellStyle name="Normal 4 3 2 4 6 2 3 2 2" xfId="45487" xr:uid="{00000000-0005-0000-0000-00004D190000}"/>
    <cellStyle name="Normal 4 3 2 4 6 2 3 3" xfId="33199" xr:uid="{00000000-0005-0000-0000-00004E190000}"/>
    <cellStyle name="Normal 4 3 2 4 6 2 4" xfId="14767" xr:uid="{00000000-0005-0000-0000-00004F190000}"/>
    <cellStyle name="Normal 4 3 2 4 6 2 4 2" xfId="39343" xr:uid="{00000000-0005-0000-0000-000050190000}"/>
    <cellStyle name="Normal 4 3 2 4 6 2 5" xfId="27055" xr:uid="{00000000-0005-0000-0000-000051190000}"/>
    <cellStyle name="Normal 4 3 2 4 6 3" xfId="4015" xr:uid="{00000000-0005-0000-0000-000052190000}"/>
    <cellStyle name="Normal 4 3 2 4 6 3 2" xfId="10159" xr:uid="{00000000-0005-0000-0000-000053190000}"/>
    <cellStyle name="Normal 4 3 2 4 6 3 2 2" xfId="22447" xr:uid="{00000000-0005-0000-0000-000054190000}"/>
    <cellStyle name="Normal 4 3 2 4 6 3 2 2 2" xfId="47023" xr:uid="{00000000-0005-0000-0000-000055190000}"/>
    <cellStyle name="Normal 4 3 2 4 6 3 2 3" xfId="34735" xr:uid="{00000000-0005-0000-0000-000056190000}"/>
    <cellStyle name="Normal 4 3 2 4 6 3 3" xfId="16303" xr:uid="{00000000-0005-0000-0000-000057190000}"/>
    <cellStyle name="Normal 4 3 2 4 6 3 3 2" xfId="40879" xr:uid="{00000000-0005-0000-0000-000058190000}"/>
    <cellStyle name="Normal 4 3 2 4 6 3 4" xfId="28591" xr:uid="{00000000-0005-0000-0000-000059190000}"/>
    <cellStyle name="Normal 4 3 2 4 6 4" xfId="7087" xr:uid="{00000000-0005-0000-0000-00005A190000}"/>
    <cellStyle name="Normal 4 3 2 4 6 4 2" xfId="19375" xr:uid="{00000000-0005-0000-0000-00005B190000}"/>
    <cellStyle name="Normal 4 3 2 4 6 4 2 2" xfId="43951" xr:uid="{00000000-0005-0000-0000-00005C190000}"/>
    <cellStyle name="Normal 4 3 2 4 6 4 3" xfId="31663" xr:uid="{00000000-0005-0000-0000-00005D190000}"/>
    <cellStyle name="Normal 4 3 2 4 6 5" xfId="13231" xr:uid="{00000000-0005-0000-0000-00005E190000}"/>
    <cellStyle name="Normal 4 3 2 4 6 5 2" xfId="37807" xr:uid="{00000000-0005-0000-0000-00005F190000}"/>
    <cellStyle name="Normal 4 3 2 4 6 6" xfId="25519" xr:uid="{00000000-0005-0000-0000-000060190000}"/>
    <cellStyle name="Normal 4 3 2 4 7" xfId="1707" xr:uid="{00000000-0005-0000-0000-000061190000}"/>
    <cellStyle name="Normal 4 3 2 4 7 2" xfId="4783" xr:uid="{00000000-0005-0000-0000-000062190000}"/>
    <cellStyle name="Normal 4 3 2 4 7 2 2" xfId="10927" xr:uid="{00000000-0005-0000-0000-000063190000}"/>
    <cellStyle name="Normal 4 3 2 4 7 2 2 2" xfId="23215" xr:uid="{00000000-0005-0000-0000-000064190000}"/>
    <cellStyle name="Normal 4 3 2 4 7 2 2 2 2" xfId="47791" xr:uid="{00000000-0005-0000-0000-000065190000}"/>
    <cellStyle name="Normal 4 3 2 4 7 2 2 3" xfId="35503" xr:uid="{00000000-0005-0000-0000-000066190000}"/>
    <cellStyle name="Normal 4 3 2 4 7 2 3" xfId="17071" xr:uid="{00000000-0005-0000-0000-000067190000}"/>
    <cellStyle name="Normal 4 3 2 4 7 2 3 2" xfId="41647" xr:uid="{00000000-0005-0000-0000-000068190000}"/>
    <cellStyle name="Normal 4 3 2 4 7 2 4" xfId="29359" xr:uid="{00000000-0005-0000-0000-000069190000}"/>
    <cellStyle name="Normal 4 3 2 4 7 3" xfId="7855" xr:uid="{00000000-0005-0000-0000-00006A190000}"/>
    <cellStyle name="Normal 4 3 2 4 7 3 2" xfId="20143" xr:uid="{00000000-0005-0000-0000-00006B190000}"/>
    <cellStyle name="Normal 4 3 2 4 7 3 2 2" xfId="44719" xr:uid="{00000000-0005-0000-0000-00006C190000}"/>
    <cellStyle name="Normal 4 3 2 4 7 3 3" xfId="32431" xr:uid="{00000000-0005-0000-0000-00006D190000}"/>
    <cellStyle name="Normal 4 3 2 4 7 4" xfId="13999" xr:uid="{00000000-0005-0000-0000-00006E190000}"/>
    <cellStyle name="Normal 4 3 2 4 7 4 2" xfId="38575" xr:uid="{00000000-0005-0000-0000-00006F190000}"/>
    <cellStyle name="Normal 4 3 2 4 7 5" xfId="26287" xr:uid="{00000000-0005-0000-0000-000070190000}"/>
    <cellStyle name="Normal 4 3 2 4 8" xfId="3247" xr:uid="{00000000-0005-0000-0000-000071190000}"/>
    <cellStyle name="Normal 4 3 2 4 8 2" xfId="9391" xr:uid="{00000000-0005-0000-0000-000072190000}"/>
    <cellStyle name="Normal 4 3 2 4 8 2 2" xfId="21679" xr:uid="{00000000-0005-0000-0000-000073190000}"/>
    <cellStyle name="Normal 4 3 2 4 8 2 2 2" xfId="46255" xr:uid="{00000000-0005-0000-0000-000074190000}"/>
    <cellStyle name="Normal 4 3 2 4 8 2 3" xfId="33967" xr:uid="{00000000-0005-0000-0000-000075190000}"/>
    <cellStyle name="Normal 4 3 2 4 8 3" xfId="15535" xr:uid="{00000000-0005-0000-0000-000076190000}"/>
    <cellStyle name="Normal 4 3 2 4 8 3 2" xfId="40111" xr:uid="{00000000-0005-0000-0000-000077190000}"/>
    <cellStyle name="Normal 4 3 2 4 8 4" xfId="27823" xr:uid="{00000000-0005-0000-0000-000078190000}"/>
    <cellStyle name="Normal 4 3 2 4 9" xfId="6319" xr:uid="{00000000-0005-0000-0000-000079190000}"/>
    <cellStyle name="Normal 4 3 2 4 9 2" xfId="18607" xr:uid="{00000000-0005-0000-0000-00007A190000}"/>
    <cellStyle name="Normal 4 3 2 4 9 2 2" xfId="43183" xr:uid="{00000000-0005-0000-0000-00007B190000}"/>
    <cellStyle name="Normal 4 3 2 4 9 3" xfId="30895" xr:uid="{00000000-0005-0000-0000-00007C190000}"/>
    <cellStyle name="Normal 4 3 2 5" xfId="203" xr:uid="{00000000-0005-0000-0000-00007D190000}"/>
    <cellStyle name="Normal 4 3 2 5 2" xfId="395" xr:uid="{00000000-0005-0000-0000-00007E190000}"/>
    <cellStyle name="Normal 4 3 2 5 2 2" xfId="779" xr:uid="{00000000-0005-0000-0000-00007F190000}"/>
    <cellStyle name="Normal 4 3 2 5 2 2 2" xfId="1547" xr:uid="{00000000-0005-0000-0000-000080190000}"/>
    <cellStyle name="Normal 4 3 2 5 2 2 2 2" xfId="3083" xr:uid="{00000000-0005-0000-0000-000081190000}"/>
    <cellStyle name="Normal 4 3 2 5 2 2 2 2 2" xfId="6159" xr:uid="{00000000-0005-0000-0000-000082190000}"/>
    <cellStyle name="Normal 4 3 2 5 2 2 2 2 2 2" xfId="12303" xr:uid="{00000000-0005-0000-0000-000083190000}"/>
    <cellStyle name="Normal 4 3 2 5 2 2 2 2 2 2 2" xfId="24591" xr:uid="{00000000-0005-0000-0000-000084190000}"/>
    <cellStyle name="Normal 4 3 2 5 2 2 2 2 2 2 2 2" xfId="49167" xr:uid="{00000000-0005-0000-0000-000085190000}"/>
    <cellStyle name="Normal 4 3 2 5 2 2 2 2 2 2 3" xfId="36879" xr:uid="{00000000-0005-0000-0000-000086190000}"/>
    <cellStyle name="Normal 4 3 2 5 2 2 2 2 2 3" xfId="18447" xr:uid="{00000000-0005-0000-0000-000087190000}"/>
    <cellStyle name="Normal 4 3 2 5 2 2 2 2 2 3 2" xfId="43023" xr:uid="{00000000-0005-0000-0000-000088190000}"/>
    <cellStyle name="Normal 4 3 2 5 2 2 2 2 2 4" xfId="30735" xr:uid="{00000000-0005-0000-0000-000089190000}"/>
    <cellStyle name="Normal 4 3 2 5 2 2 2 2 3" xfId="9231" xr:uid="{00000000-0005-0000-0000-00008A190000}"/>
    <cellStyle name="Normal 4 3 2 5 2 2 2 2 3 2" xfId="21519" xr:uid="{00000000-0005-0000-0000-00008B190000}"/>
    <cellStyle name="Normal 4 3 2 5 2 2 2 2 3 2 2" xfId="46095" xr:uid="{00000000-0005-0000-0000-00008C190000}"/>
    <cellStyle name="Normal 4 3 2 5 2 2 2 2 3 3" xfId="33807" xr:uid="{00000000-0005-0000-0000-00008D190000}"/>
    <cellStyle name="Normal 4 3 2 5 2 2 2 2 4" xfId="15375" xr:uid="{00000000-0005-0000-0000-00008E190000}"/>
    <cellStyle name="Normal 4 3 2 5 2 2 2 2 4 2" xfId="39951" xr:uid="{00000000-0005-0000-0000-00008F190000}"/>
    <cellStyle name="Normal 4 3 2 5 2 2 2 2 5" xfId="27663" xr:uid="{00000000-0005-0000-0000-000090190000}"/>
    <cellStyle name="Normal 4 3 2 5 2 2 2 3" xfId="4623" xr:uid="{00000000-0005-0000-0000-000091190000}"/>
    <cellStyle name="Normal 4 3 2 5 2 2 2 3 2" xfId="10767" xr:uid="{00000000-0005-0000-0000-000092190000}"/>
    <cellStyle name="Normal 4 3 2 5 2 2 2 3 2 2" xfId="23055" xr:uid="{00000000-0005-0000-0000-000093190000}"/>
    <cellStyle name="Normal 4 3 2 5 2 2 2 3 2 2 2" xfId="47631" xr:uid="{00000000-0005-0000-0000-000094190000}"/>
    <cellStyle name="Normal 4 3 2 5 2 2 2 3 2 3" xfId="35343" xr:uid="{00000000-0005-0000-0000-000095190000}"/>
    <cellStyle name="Normal 4 3 2 5 2 2 2 3 3" xfId="16911" xr:uid="{00000000-0005-0000-0000-000096190000}"/>
    <cellStyle name="Normal 4 3 2 5 2 2 2 3 3 2" xfId="41487" xr:uid="{00000000-0005-0000-0000-000097190000}"/>
    <cellStyle name="Normal 4 3 2 5 2 2 2 3 4" xfId="29199" xr:uid="{00000000-0005-0000-0000-000098190000}"/>
    <cellStyle name="Normal 4 3 2 5 2 2 2 4" xfId="7695" xr:uid="{00000000-0005-0000-0000-000099190000}"/>
    <cellStyle name="Normal 4 3 2 5 2 2 2 4 2" xfId="19983" xr:uid="{00000000-0005-0000-0000-00009A190000}"/>
    <cellStyle name="Normal 4 3 2 5 2 2 2 4 2 2" xfId="44559" xr:uid="{00000000-0005-0000-0000-00009B190000}"/>
    <cellStyle name="Normal 4 3 2 5 2 2 2 4 3" xfId="32271" xr:uid="{00000000-0005-0000-0000-00009C190000}"/>
    <cellStyle name="Normal 4 3 2 5 2 2 2 5" xfId="13839" xr:uid="{00000000-0005-0000-0000-00009D190000}"/>
    <cellStyle name="Normal 4 3 2 5 2 2 2 5 2" xfId="38415" xr:uid="{00000000-0005-0000-0000-00009E190000}"/>
    <cellStyle name="Normal 4 3 2 5 2 2 2 6" xfId="26127" xr:uid="{00000000-0005-0000-0000-00009F190000}"/>
    <cellStyle name="Normal 4 3 2 5 2 2 3" xfId="2315" xr:uid="{00000000-0005-0000-0000-0000A0190000}"/>
    <cellStyle name="Normal 4 3 2 5 2 2 3 2" xfId="5391" xr:uid="{00000000-0005-0000-0000-0000A1190000}"/>
    <cellStyle name="Normal 4 3 2 5 2 2 3 2 2" xfId="11535" xr:uid="{00000000-0005-0000-0000-0000A2190000}"/>
    <cellStyle name="Normal 4 3 2 5 2 2 3 2 2 2" xfId="23823" xr:uid="{00000000-0005-0000-0000-0000A3190000}"/>
    <cellStyle name="Normal 4 3 2 5 2 2 3 2 2 2 2" xfId="48399" xr:uid="{00000000-0005-0000-0000-0000A4190000}"/>
    <cellStyle name="Normal 4 3 2 5 2 2 3 2 2 3" xfId="36111" xr:uid="{00000000-0005-0000-0000-0000A5190000}"/>
    <cellStyle name="Normal 4 3 2 5 2 2 3 2 3" xfId="17679" xr:uid="{00000000-0005-0000-0000-0000A6190000}"/>
    <cellStyle name="Normal 4 3 2 5 2 2 3 2 3 2" xfId="42255" xr:uid="{00000000-0005-0000-0000-0000A7190000}"/>
    <cellStyle name="Normal 4 3 2 5 2 2 3 2 4" xfId="29967" xr:uid="{00000000-0005-0000-0000-0000A8190000}"/>
    <cellStyle name="Normal 4 3 2 5 2 2 3 3" xfId="8463" xr:uid="{00000000-0005-0000-0000-0000A9190000}"/>
    <cellStyle name="Normal 4 3 2 5 2 2 3 3 2" xfId="20751" xr:uid="{00000000-0005-0000-0000-0000AA190000}"/>
    <cellStyle name="Normal 4 3 2 5 2 2 3 3 2 2" xfId="45327" xr:uid="{00000000-0005-0000-0000-0000AB190000}"/>
    <cellStyle name="Normal 4 3 2 5 2 2 3 3 3" xfId="33039" xr:uid="{00000000-0005-0000-0000-0000AC190000}"/>
    <cellStyle name="Normal 4 3 2 5 2 2 3 4" xfId="14607" xr:uid="{00000000-0005-0000-0000-0000AD190000}"/>
    <cellStyle name="Normal 4 3 2 5 2 2 3 4 2" xfId="39183" xr:uid="{00000000-0005-0000-0000-0000AE190000}"/>
    <cellStyle name="Normal 4 3 2 5 2 2 3 5" xfId="26895" xr:uid="{00000000-0005-0000-0000-0000AF190000}"/>
    <cellStyle name="Normal 4 3 2 5 2 2 4" xfId="3855" xr:uid="{00000000-0005-0000-0000-0000B0190000}"/>
    <cellStyle name="Normal 4 3 2 5 2 2 4 2" xfId="9999" xr:uid="{00000000-0005-0000-0000-0000B1190000}"/>
    <cellStyle name="Normal 4 3 2 5 2 2 4 2 2" xfId="22287" xr:uid="{00000000-0005-0000-0000-0000B2190000}"/>
    <cellStyle name="Normal 4 3 2 5 2 2 4 2 2 2" xfId="46863" xr:uid="{00000000-0005-0000-0000-0000B3190000}"/>
    <cellStyle name="Normal 4 3 2 5 2 2 4 2 3" xfId="34575" xr:uid="{00000000-0005-0000-0000-0000B4190000}"/>
    <cellStyle name="Normal 4 3 2 5 2 2 4 3" xfId="16143" xr:uid="{00000000-0005-0000-0000-0000B5190000}"/>
    <cellStyle name="Normal 4 3 2 5 2 2 4 3 2" xfId="40719" xr:uid="{00000000-0005-0000-0000-0000B6190000}"/>
    <cellStyle name="Normal 4 3 2 5 2 2 4 4" xfId="28431" xr:uid="{00000000-0005-0000-0000-0000B7190000}"/>
    <cellStyle name="Normal 4 3 2 5 2 2 5" xfId="6927" xr:uid="{00000000-0005-0000-0000-0000B8190000}"/>
    <cellStyle name="Normal 4 3 2 5 2 2 5 2" xfId="19215" xr:uid="{00000000-0005-0000-0000-0000B9190000}"/>
    <cellStyle name="Normal 4 3 2 5 2 2 5 2 2" xfId="43791" xr:uid="{00000000-0005-0000-0000-0000BA190000}"/>
    <cellStyle name="Normal 4 3 2 5 2 2 5 3" xfId="31503" xr:uid="{00000000-0005-0000-0000-0000BB190000}"/>
    <cellStyle name="Normal 4 3 2 5 2 2 6" xfId="13071" xr:uid="{00000000-0005-0000-0000-0000BC190000}"/>
    <cellStyle name="Normal 4 3 2 5 2 2 6 2" xfId="37647" xr:uid="{00000000-0005-0000-0000-0000BD190000}"/>
    <cellStyle name="Normal 4 3 2 5 2 2 7" xfId="25359" xr:uid="{00000000-0005-0000-0000-0000BE190000}"/>
    <cellStyle name="Normal 4 3 2 5 2 3" xfId="1163" xr:uid="{00000000-0005-0000-0000-0000BF190000}"/>
    <cellStyle name="Normal 4 3 2 5 2 3 2" xfId="2699" xr:uid="{00000000-0005-0000-0000-0000C0190000}"/>
    <cellStyle name="Normal 4 3 2 5 2 3 2 2" xfId="5775" xr:uid="{00000000-0005-0000-0000-0000C1190000}"/>
    <cellStyle name="Normal 4 3 2 5 2 3 2 2 2" xfId="11919" xr:uid="{00000000-0005-0000-0000-0000C2190000}"/>
    <cellStyle name="Normal 4 3 2 5 2 3 2 2 2 2" xfId="24207" xr:uid="{00000000-0005-0000-0000-0000C3190000}"/>
    <cellStyle name="Normal 4 3 2 5 2 3 2 2 2 2 2" xfId="48783" xr:uid="{00000000-0005-0000-0000-0000C4190000}"/>
    <cellStyle name="Normal 4 3 2 5 2 3 2 2 2 3" xfId="36495" xr:uid="{00000000-0005-0000-0000-0000C5190000}"/>
    <cellStyle name="Normal 4 3 2 5 2 3 2 2 3" xfId="18063" xr:uid="{00000000-0005-0000-0000-0000C6190000}"/>
    <cellStyle name="Normal 4 3 2 5 2 3 2 2 3 2" xfId="42639" xr:uid="{00000000-0005-0000-0000-0000C7190000}"/>
    <cellStyle name="Normal 4 3 2 5 2 3 2 2 4" xfId="30351" xr:uid="{00000000-0005-0000-0000-0000C8190000}"/>
    <cellStyle name="Normal 4 3 2 5 2 3 2 3" xfId="8847" xr:uid="{00000000-0005-0000-0000-0000C9190000}"/>
    <cellStyle name="Normal 4 3 2 5 2 3 2 3 2" xfId="21135" xr:uid="{00000000-0005-0000-0000-0000CA190000}"/>
    <cellStyle name="Normal 4 3 2 5 2 3 2 3 2 2" xfId="45711" xr:uid="{00000000-0005-0000-0000-0000CB190000}"/>
    <cellStyle name="Normal 4 3 2 5 2 3 2 3 3" xfId="33423" xr:uid="{00000000-0005-0000-0000-0000CC190000}"/>
    <cellStyle name="Normal 4 3 2 5 2 3 2 4" xfId="14991" xr:uid="{00000000-0005-0000-0000-0000CD190000}"/>
    <cellStyle name="Normal 4 3 2 5 2 3 2 4 2" xfId="39567" xr:uid="{00000000-0005-0000-0000-0000CE190000}"/>
    <cellStyle name="Normal 4 3 2 5 2 3 2 5" xfId="27279" xr:uid="{00000000-0005-0000-0000-0000CF190000}"/>
    <cellStyle name="Normal 4 3 2 5 2 3 3" xfId="4239" xr:uid="{00000000-0005-0000-0000-0000D0190000}"/>
    <cellStyle name="Normal 4 3 2 5 2 3 3 2" xfId="10383" xr:uid="{00000000-0005-0000-0000-0000D1190000}"/>
    <cellStyle name="Normal 4 3 2 5 2 3 3 2 2" xfId="22671" xr:uid="{00000000-0005-0000-0000-0000D2190000}"/>
    <cellStyle name="Normal 4 3 2 5 2 3 3 2 2 2" xfId="47247" xr:uid="{00000000-0005-0000-0000-0000D3190000}"/>
    <cellStyle name="Normal 4 3 2 5 2 3 3 2 3" xfId="34959" xr:uid="{00000000-0005-0000-0000-0000D4190000}"/>
    <cellStyle name="Normal 4 3 2 5 2 3 3 3" xfId="16527" xr:uid="{00000000-0005-0000-0000-0000D5190000}"/>
    <cellStyle name="Normal 4 3 2 5 2 3 3 3 2" xfId="41103" xr:uid="{00000000-0005-0000-0000-0000D6190000}"/>
    <cellStyle name="Normal 4 3 2 5 2 3 3 4" xfId="28815" xr:uid="{00000000-0005-0000-0000-0000D7190000}"/>
    <cellStyle name="Normal 4 3 2 5 2 3 4" xfId="7311" xr:uid="{00000000-0005-0000-0000-0000D8190000}"/>
    <cellStyle name="Normal 4 3 2 5 2 3 4 2" xfId="19599" xr:uid="{00000000-0005-0000-0000-0000D9190000}"/>
    <cellStyle name="Normal 4 3 2 5 2 3 4 2 2" xfId="44175" xr:uid="{00000000-0005-0000-0000-0000DA190000}"/>
    <cellStyle name="Normal 4 3 2 5 2 3 4 3" xfId="31887" xr:uid="{00000000-0005-0000-0000-0000DB190000}"/>
    <cellStyle name="Normal 4 3 2 5 2 3 5" xfId="13455" xr:uid="{00000000-0005-0000-0000-0000DC190000}"/>
    <cellStyle name="Normal 4 3 2 5 2 3 5 2" xfId="38031" xr:uid="{00000000-0005-0000-0000-0000DD190000}"/>
    <cellStyle name="Normal 4 3 2 5 2 3 6" xfId="25743" xr:uid="{00000000-0005-0000-0000-0000DE190000}"/>
    <cellStyle name="Normal 4 3 2 5 2 4" xfId="1931" xr:uid="{00000000-0005-0000-0000-0000DF190000}"/>
    <cellStyle name="Normal 4 3 2 5 2 4 2" xfId="5007" xr:uid="{00000000-0005-0000-0000-0000E0190000}"/>
    <cellStyle name="Normal 4 3 2 5 2 4 2 2" xfId="11151" xr:uid="{00000000-0005-0000-0000-0000E1190000}"/>
    <cellStyle name="Normal 4 3 2 5 2 4 2 2 2" xfId="23439" xr:uid="{00000000-0005-0000-0000-0000E2190000}"/>
    <cellStyle name="Normal 4 3 2 5 2 4 2 2 2 2" xfId="48015" xr:uid="{00000000-0005-0000-0000-0000E3190000}"/>
    <cellStyle name="Normal 4 3 2 5 2 4 2 2 3" xfId="35727" xr:uid="{00000000-0005-0000-0000-0000E4190000}"/>
    <cellStyle name="Normal 4 3 2 5 2 4 2 3" xfId="17295" xr:uid="{00000000-0005-0000-0000-0000E5190000}"/>
    <cellStyle name="Normal 4 3 2 5 2 4 2 3 2" xfId="41871" xr:uid="{00000000-0005-0000-0000-0000E6190000}"/>
    <cellStyle name="Normal 4 3 2 5 2 4 2 4" xfId="29583" xr:uid="{00000000-0005-0000-0000-0000E7190000}"/>
    <cellStyle name="Normal 4 3 2 5 2 4 3" xfId="8079" xr:uid="{00000000-0005-0000-0000-0000E8190000}"/>
    <cellStyle name="Normal 4 3 2 5 2 4 3 2" xfId="20367" xr:uid="{00000000-0005-0000-0000-0000E9190000}"/>
    <cellStyle name="Normal 4 3 2 5 2 4 3 2 2" xfId="44943" xr:uid="{00000000-0005-0000-0000-0000EA190000}"/>
    <cellStyle name="Normal 4 3 2 5 2 4 3 3" xfId="32655" xr:uid="{00000000-0005-0000-0000-0000EB190000}"/>
    <cellStyle name="Normal 4 3 2 5 2 4 4" xfId="14223" xr:uid="{00000000-0005-0000-0000-0000EC190000}"/>
    <cellStyle name="Normal 4 3 2 5 2 4 4 2" xfId="38799" xr:uid="{00000000-0005-0000-0000-0000ED190000}"/>
    <cellStyle name="Normal 4 3 2 5 2 4 5" xfId="26511" xr:uid="{00000000-0005-0000-0000-0000EE190000}"/>
    <cellStyle name="Normal 4 3 2 5 2 5" xfId="3471" xr:uid="{00000000-0005-0000-0000-0000EF190000}"/>
    <cellStyle name="Normal 4 3 2 5 2 5 2" xfId="9615" xr:uid="{00000000-0005-0000-0000-0000F0190000}"/>
    <cellStyle name="Normal 4 3 2 5 2 5 2 2" xfId="21903" xr:uid="{00000000-0005-0000-0000-0000F1190000}"/>
    <cellStyle name="Normal 4 3 2 5 2 5 2 2 2" xfId="46479" xr:uid="{00000000-0005-0000-0000-0000F2190000}"/>
    <cellStyle name="Normal 4 3 2 5 2 5 2 3" xfId="34191" xr:uid="{00000000-0005-0000-0000-0000F3190000}"/>
    <cellStyle name="Normal 4 3 2 5 2 5 3" xfId="15759" xr:uid="{00000000-0005-0000-0000-0000F4190000}"/>
    <cellStyle name="Normal 4 3 2 5 2 5 3 2" xfId="40335" xr:uid="{00000000-0005-0000-0000-0000F5190000}"/>
    <cellStyle name="Normal 4 3 2 5 2 5 4" xfId="28047" xr:uid="{00000000-0005-0000-0000-0000F6190000}"/>
    <cellStyle name="Normal 4 3 2 5 2 6" xfId="6543" xr:uid="{00000000-0005-0000-0000-0000F7190000}"/>
    <cellStyle name="Normal 4 3 2 5 2 6 2" xfId="18831" xr:uid="{00000000-0005-0000-0000-0000F8190000}"/>
    <cellStyle name="Normal 4 3 2 5 2 6 2 2" xfId="43407" xr:uid="{00000000-0005-0000-0000-0000F9190000}"/>
    <cellStyle name="Normal 4 3 2 5 2 6 3" xfId="31119" xr:uid="{00000000-0005-0000-0000-0000FA190000}"/>
    <cellStyle name="Normal 4 3 2 5 2 7" xfId="12687" xr:uid="{00000000-0005-0000-0000-0000FB190000}"/>
    <cellStyle name="Normal 4 3 2 5 2 7 2" xfId="37263" xr:uid="{00000000-0005-0000-0000-0000FC190000}"/>
    <cellStyle name="Normal 4 3 2 5 2 8" xfId="24975" xr:uid="{00000000-0005-0000-0000-0000FD190000}"/>
    <cellStyle name="Normal 4 3 2 5 3" xfId="587" xr:uid="{00000000-0005-0000-0000-0000FE190000}"/>
    <cellStyle name="Normal 4 3 2 5 3 2" xfId="1355" xr:uid="{00000000-0005-0000-0000-0000FF190000}"/>
    <cellStyle name="Normal 4 3 2 5 3 2 2" xfId="2891" xr:uid="{00000000-0005-0000-0000-0000001A0000}"/>
    <cellStyle name="Normal 4 3 2 5 3 2 2 2" xfId="5967" xr:uid="{00000000-0005-0000-0000-0000011A0000}"/>
    <cellStyle name="Normal 4 3 2 5 3 2 2 2 2" xfId="12111" xr:uid="{00000000-0005-0000-0000-0000021A0000}"/>
    <cellStyle name="Normal 4 3 2 5 3 2 2 2 2 2" xfId="24399" xr:uid="{00000000-0005-0000-0000-0000031A0000}"/>
    <cellStyle name="Normal 4 3 2 5 3 2 2 2 2 2 2" xfId="48975" xr:uid="{00000000-0005-0000-0000-0000041A0000}"/>
    <cellStyle name="Normal 4 3 2 5 3 2 2 2 2 3" xfId="36687" xr:uid="{00000000-0005-0000-0000-0000051A0000}"/>
    <cellStyle name="Normal 4 3 2 5 3 2 2 2 3" xfId="18255" xr:uid="{00000000-0005-0000-0000-0000061A0000}"/>
    <cellStyle name="Normal 4 3 2 5 3 2 2 2 3 2" xfId="42831" xr:uid="{00000000-0005-0000-0000-0000071A0000}"/>
    <cellStyle name="Normal 4 3 2 5 3 2 2 2 4" xfId="30543" xr:uid="{00000000-0005-0000-0000-0000081A0000}"/>
    <cellStyle name="Normal 4 3 2 5 3 2 2 3" xfId="9039" xr:uid="{00000000-0005-0000-0000-0000091A0000}"/>
    <cellStyle name="Normal 4 3 2 5 3 2 2 3 2" xfId="21327" xr:uid="{00000000-0005-0000-0000-00000A1A0000}"/>
    <cellStyle name="Normal 4 3 2 5 3 2 2 3 2 2" xfId="45903" xr:uid="{00000000-0005-0000-0000-00000B1A0000}"/>
    <cellStyle name="Normal 4 3 2 5 3 2 2 3 3" xfId="33615" xr:uid="{00000000-0005-0000-0000-00000C1A0000}"/>
    <cellStyle name="Normal 4 3 2 5 3 2 2 4" xfId="15183" xr:uid="{00000000-0005-0000-0000-00000D1A0000}"/>
    <cellStyle name="Normal 4 3 2 5 3 2 2 4 2" xfId="39759" xr:uid="{00000000-0005-0000-0000-00000E1A0000}"/>
    <cellStyle name="Normal 4 3 2 5 3 2 2 5" xfId="27471" xr:uid="{00000000-0005-0000-0000-00000F1A0000}"/>
    <cellStyle name="Normal 4 3 2 5 3 2 3" xfId="4431" xr:uid="{00000000-0005-0000-0000-0000101A0000}"/>
    <cellStyle name="Normal 4 3 2 5 3 2 3 2" xfId="10575" xr:uid="{00000000-0005-0000-0000-0000111A0000}"/>
    <cellStyle name="Normal 4 3 2 5 3 2 3 2 2" xfId="22863" xr:uid="{00000000-0005-0000-0000-0000121A0000}"/>
    <cellStyle name="Normal 4 3 2 5 3 2 3 2 2 2" xfId="47439" xr:uid="{00000000-0005-0000-0000-0000131A0000}"/>
    <cellStyle name="Normal 4 3 2 5 3 2 3 2 3" xfId="35151" xr:uid="{00000000-0005-0000-0000-0000141A0000}"/>
    <cellStyle name="Normal 4 3 2 5 3 2 3 3" xfId="16719" xr:uid="{00000000-0005-0000-0000-0000151A0000}"/>
    <cellStyle name="Normal 4 3 2 5 3 2 3 3 2" xfId="41295" xr:uid="{00000000-0005-0000-0000-0000161A0000}"/>
    <cellStyle name="Normal 4 3 2 5 3 2 3 4" xfId="29007" xr:uid="{00000000-0005-0000-0000-0000171A0000}"/>
    <cellStyle name="Normal 4 3 2 5 3 2 4" xfId="7503" xr:uid="{00000000-0005-0000-0000-0000181A0000}"/>
    <cellStyle name="Normal 4 3 2 5 3 2 4 2" xfId="19791" xr:uid="{00000000-0005-0000-0000-0000191A0000}"/>
    <cellStyle name="Normal 4 3 2 5 3 2 4 2 2" xfId="44367" xr:uid="{00000000-0005-0000-0000-00001A1A0000}"/>
    <cellStyle name="Normal 4 3 2 5 3 2 4 3" xfId="32079" xr:uid="{00000000-0005-0000-0000-00001B1A0000}"/>
    <cellStyle name="Normal 4 3 2 5 3 2 5" xfId="13647" xr:uid="{00000000-0005-0000-0000-00001C1A0000}"/>
    <cellStyle name="Normal 4 3 2 5 3 2 5 2" xfId="38223" xr:uid="{00000000-0005-0000-0000-00001D1A0000}"/>
    <cellStyle name="Normal 4 3 2 5 3 2 6" xfId="25935" xr:uid="{00000000-0005-0000-0000-00001E1A0000}"/>
    <cellStyle name="Normal 4 3 2 5 3 3" xfId="2123" xr:uid="{00000000-0005-0000-0000-00001F1A0000}"/>
    <cellStyle name="Normal 4 3 2 5 3 3 2" xfId="5199" xr:uid="{00000000-0005-0000-0000-0000201A0000}"/>
    <cellStyle name="Normal 4 3 2 5 3 3 2 2" xfId="11343" xr:uid="{00000000-0005-0000-0000-0000211A0000}"/>
    <cellStyle name="Normal 4 3 2 5 3 3 2 2 2" xfId="23631" xr:uid="{00000000-0005-0000-0000-0000221A0000}"/>
    <cellStyle name="Normal 4 3 2 5 3 3 2 2 2 2" xfId="48207" xr:uid="{00000000-0005-0000-0000-0000231A0000}"/>
    <cellStyle name="Normal 4 3 2 5 3 3 2 2 3" xfId="35919" xr:uid="{00000000-0005-0000-0000-0000241A0000}"/>
    <cellStyle name="Normal 4 3 2 5 3 3 2 3" xfId="17487" xr:uid="{00000000-0005-0000-0000-0000251A0000}"/>
    <cellStyle name="Normal 4 3 2 5 3 3 2 3 2" xfId="42063" xr:uid="{00000000-0005-0000-0000-0000261A0000}"/>
    <cellStyle name="Normal 4 3 2 5 3 3 2 4" xfId="29775" xr:uid="{00000000-0005-0000-0000-0000271A0000}"/>
    <cellStyle name="Normal 4 3 2 5 3 3 3" xfId="8271" xr:uid="{00000000-0005-0000-0000-0000281A0000}"/>
    <cellStyle name="Normal 4 3 2 5 3 3 3 2" xfId="20559" xr:uid="{00000000-0005-0000-0000-0000291A0000}"/>
    <cellStyle name="Normal 4 3 2 5 3 3 3 2 2" xfId="45135" xr:uid="{00000000-0005-0000-0000-00002A1A0000}"/>
    <cellStyle name="Normal 4 3 2 5 3 3 3 3" xfId="32847" xr:uid="{00000000-0005-0000-0000-00002B1A0000}"/>
    <cellStyle name="Normal 4 3 2 5 3 3 4" xfId="14415" xr:uid="{00000000-0005-0000-0000-00002C1A0000}"/>
    <cellStyle name="Normal 4 3 2 5 3 3 4 2" xfId="38991" xr:uid="{00000000-0005-0000-0000-00002D1A0000}"/>
    <cellStyle name="Normal 4 3 2 5 3 3 5" xfId="26703" xr:uid="{00000000-0005-0000-0000-00002E1A0000}"/>
    <cellStyle name="Normal 4 3 2 5 3 4" xfId="3663" xr:uid="{00000000-0005-0000-0000-00002F1A0000}"/>
    <cellStyle name="Normal 4 3 2 5 3 4 2" xfId="9807" xr:uid="{00000000-0005-0000-0000-0000301A0000}"/>
    <cellStyle name="Normal 4 3 2 5 3 4 2 2" xfId="22095" xr:uid="{00000000-0005-0000-0000-0000311A0000}"/>
    <cellStyle name="Normal 4 3 2 5 3 4 2 2 2" xfId="46671" xr:uid="{00000000-0005-0000-0000-0000321A0000}"/>
    <cellStyle name="Normal 4 3 2 5 3 4 2 3" xfId="34383" xr:uid="{00000000-0005-0000-0000-0000331A0000}"/>
    <cellStyle name="Normal 4 3 2 5 3 4 3" xfId="15951" xr:uid="{00000000-0005-0000-0000-0000341A0000}"/>
    <cellStyle name="Normal 4 3 2 5 3 4 3 2" xfId="40527" xr:uid="{00000000-0005-0000-0000-0000351A0000}"/>
    <cellStyle name="Normal 4 3 2 5 3 4 4" xfId="28239" xr:uid="{00000000-0005-0000-0000-0000361A0000}"/>
    <cellStyle name="Normal 4 3 2 5 3 5" xfId="6735" xr:uid="{00000000-0005-0000-0000-0000371A0000}"/>
    <cellStyle name="Normal 4 3 2 5 3 5 2" xfId="19023" xr:uid="{00000000-0005-0000-0000-0000381A0000}"/>
    <cellStyle name="Normal 4 3 2 5 3 5 2 2" xfId="43599" xr:uid="{00000000-0005-0000-0000-0000391A0000}"/>
    <cellStyle name="Normal 4 3 2 5 3 5 3" xfId="31311" xr:uid="{00000000-0005-0000-0000-00003A1A0000}"/>
    <cellStyle name="Normal 4 3 2 5 3 6" xfId="12879" xr:uid="{00000000-0005-0000-0000-00003B1A0000}"/>
    <cellStyle name="Normal 4 3 2 5 3 6 2" xfId="37455" xr:uid="{00000000-0005-0000-0000-00003C1A0000}"/>
    <cellStyle name="Normal 4 3 2 5 3 7" xfId="25167" xr:uid="{00000000-0005-0000-0000-00003D1A0000}"/>
    <cellStyle name="Normal 4 3 2 5 4" xfId="971" xr:uid="{00000000-0005-0000-0000-00003E1A0000}"/>
    <cellStyle name="Normal 4 3 2 5 4 2" xfId="2507" xr:uid="{00000000-0005-0000-0000-00003F1A0000}"/>
    <cellStyle name="Normal 4 3 2 5 4 2 2" xfId="5583" xr:uid="{00000000-0005-0000-0000-0000401A0000}"/>
    <cellStyle name="Normal 4 3 2 5 4 2 2 2" xfId="11727" xr:uid="{00000000-0005-0000-0000-0000411A0000}"/>
    <cellStyle name="Normal 4 3 2 5 4 2 2 2 2" xfId="24015" xr:uid="{00000000-0005-0000-0000-0000421A0000}"/>
    <cellStyle name="Normal 4 3 2 5 4 2 2 2 2 2" xfId="48591" xr:uid="{00000000-0005-0000-0000-0000431A0000}"/>
    <cellStyle name="Normal 4 3 2 5 4 2 2 2 3" xfId="36303" xr:uid="{00000000-0005-0000-0000-0000441A0000}"/>
    <cellStyle name="Normal 4 3 2 5 4 2 2 3" xfId="17871" xr:uid="{00000000-0005-0000-0000-0000451A0000}"/>
    <cellStyle name="Normal 4 3 2 5 4 2 2 3 2" xfId="42447" xr:uid="{00000000-0005-0000-0000-0000461A0000}"/>
    <cellStyle name="Normal 4 3 2 5 4 2 2 4" xfId="30159" xr:uid="{00000000-0005-0000-0000-0000471A0000}"/>
    <cellStyle name="Normal 4 3 2 5 4 2 3" xfId="8655" xr:uid="{00000000-0005-0000-0000-0000481A0000}"/>
    <cellStyle name="Normal 4 3 2 5 4 2 3 2" xfId="20943" xr:uid="{00000000-0005-0000-0000-0000491A0000}"/>
    <cellStyle name="Normal 4 3 2 5 4 2 3 2 2" xfId="45519" xr:uid="{00000000-0005-0000-0000-00004A1A0000}"/>
    <cellStyle name="Normal 4 3 2 5 4 2 3 3" xfId="33231" xr:uid="{00000000-0005-0000-0000-00004B1A0000}"/>
    <cellStyle name="Normal 4 3 2 5 4 2 4" xfId="14799" xr:uid="{00000000-0005-0000-0000-00004C1A0000}"/>
    <cellStyle name="Normal 4 3 2 5 4 2 4 2" xfId="39375" xr:uid="{00000000-0005-0000-0000-00004D1A0000}"/>
    <cellStyle name="Normal 4 3 2 5 4 2 5" xfId="27087" xr:uid="{00000000-0005-0000-0000-00004E1A0000}"/>
    <cellStyle name="Normal 4 3 2 5 4 3" xfId="4047" xr:uid="{00000000-0005-0000-0000-00004F1A0000}"/>
    <cellStyle name="Normal 4 3 2 5 4 3 2" xfId="10191" xr:uid="{00000000-0005-0000-0000-0000501A0000}"/>
    <cellStyle name="Normal 4 3 2 5 4 3 2 2" xfId="22479" xr:uid="{00000000-0005-0000-0000-0000511A0000}"/>
    <cellStyle name="Normal 4 3 2 5 4 3 2 2 2" xfId="47055" xr:uid="{00000000-0005-0000-0000-0000521A0000}"/>
    <cellStyle name="Normal 4 3 2 5 4 3 2 3" xfId="34767" xr:uid="{00000000-0005-0000-0000-0000531A0000}"/>
    <cellStyle name="Normal 4 3 2 5 4 3 3" xfId="16335" xr:uid="{00000000-0005-0000-0000-0000541A0000}"/>
    <cellStyle name="Normal 4 3 2 5 4 3 3 2" xfId="40911" xr:uid="{00000000-0005-0000-0000-0000551A0000}"/>
    <cellStyle name="Normal 4 3 2 5 4 3 4" xfId="28623" xr:uid="{00000000-0005-0000-0000-0000561A0000}"/>
    <cellStyle name="Normal 4 3 2 5 4 4" xfId="7119" xr:uid="{00000000-0005-0000-0000-0000571A0000}"/>
    <cellStyle name="Normal 4 3 2 5 4 4 2" xfId="19407" xr:uid="{00000000-0005-0000-0000-0000581A0000}"/>
    <cellStyle name="Normal 4 3 2 5 4 4 2 2" xfId="43983" xr:uid="{00000000-0005-0000-0000-0000591A0000}"/>
    <cellStyle name="Normal 4 3 2 5 4 4 3" xfId="31695" xr:uid="{00000000-0005-0000-0000-00005A1A0000}"/>
    <cellStyle name="Normal 4 3 2 5 4 5" xfId="13263" xr:uid="{00000000-0005-0000-0000-00005B1A0000}"/>
    <cellStyle name="Normal 4 3 2 5 4 5 2" xfId="37839" xr:uid="{00000000-0005-0000-0000-00005C1A0000}"/>
    <cellStyle name="Normal 4 3 2 5 4 6" xfId="25551" xr:uid="{00000000-0005-0000-0000-00005D1A0000}"/>
    <cellStyle name="Normal 4 3 2 5 5" xfId="1739" xr:uid="{00000000-0005-0000-0000-00005E1A0000}"/>
    <cellStyle name="Normal 4 3 2 5 5 2" xfId="4815" xr:uid="{00000000-0005-0000-0000-00005F1A0000}"/>
    <cellStyle name="Normal 4 3 2 5 5 2 2" xfId="10959" xr:uid="{00000000-0005-0000-0000-0000601A0000}"/>
    <cellStyle name="Normal 4 3 2 5 5 2 2 2" xfId="23247" xr:uid="{00000000-0005-0000-0000-0000611A0000}"/>
    <cellStyle name="Normal 4 3 2 5 5 2 2 2 2" xfId="47823" xr:uid="{00000000-0005-0000-0000-0000621A0000}"/>
    <cellStyle name="Normal 4 3 2 5 5 2 2 3" xfId="35535" xr:uid="{00000000-0005-0000-0000-0000631A0000}"/>
    <cellStyle name="Normal 4 3 2 5 5 2 3" xfId="17103" xr:uid="{00000000-0005-0000-0000-0000641A0000}"/>
    <cellStyle name="Normal 4 3 2 5 5 2 3 2" xfId="41679" xr:uid="{00000000-0005-0000-0000-0000651A0000}"/>
    <cellStyle name="Normal 4 3 2 5 5 2 4" xfId="29391" xr:uid="{00000000-0005-0000-0000-0000661A0000}"/>
    <cellStyle name="Normal 4 3 2 5 5 3" xfId="7887" xr:uid="{00000000-0005-0000-0000-0000671A0000}"/>
    <cellStyle name="Normal 4 3 2 5 5 3 2" xfId="20175" xr:uid="{00000000-0005-0000-0000-0000681A0000}"/>
    <cellStyle name="Normal 4 3 2 5 5 3 2 2" xfId="44751" xr:uid="{00000000-0005-0000-0000-0000691A0000}"/>
    <cellStyle name="Normal 4 3 2 5 5 3 3" xfId="32463" xr:uid="{00000000-0005-0000-0000-00006A1A0000}"/>
    <cellStyle name="Normal 4 3 2 5 5 4" xfId="14031" xr:uid="{00000000-0005-0000-0000-00006B1A0000}"/>
    <cellStyle name="Normal 4 3 2 5 5 4 2" xfId="38607" xr:uid="{00000000-0005-0000-0000-00006C1A0000}"/>
    <cellStyle name="Normal 4 3 2 5 5 5" xfId="26319" xr:uid="{00000000-0005-0000-0000-00006D1A0000}"/>
    <cellStyle name="Normal 4 3 2 5 6" xfId="3279" xr:uid="{00000000-0005-0000-0000-00006E1A0000}"/>
    <cellStyle name="Normal 4 3 2 5 6 2" xfId="9423" xr:uid="{00000000-0005-0000-0000-00006F1A0000}"/>
    <cellStyle name="Normal 4 3 2 5 6 2 2" xfId="21711" xr:uid="{00000000-0005-0000-0000-0000701A0000}"/>
    <cellStyle name="Normal 4 3 2 5 6 2 2 2" xfId="46287" xr:uid="{00000000-0005-0000-0000-0000711A0000}"/>
    <cellStyle name="Normal 4 3 2 5 6 2 3" xfId="33999" xr:uid="{00000000-0005-0000-0000-0000721A0000}"/>
    <cellStyle name="Normal 4 3 2 5 6 3" xfId="15567" xr:uid="{00000000-0005-0000-0000-0000731A0000}"/>
    <cellStyle name="Normal 4 3 2 5 6 3 2" xfId="40143" xr:uid="{00000000-0005-0000-0000-0000741A0000}"/>
    <cellStyle name="Normal 4 3 2 5 6 4" xfId="27855" xr:uid="{00000000-0005-0000-0000-0000751A0000}"/>
    <cellStyle name="Normal 4 3 2 5 7" xfId="6351" xr:uid="{00000000-0005-0000-0000-0000761A0000}"/>
    <cellStyle name="Normal 4 3 2 5 7 2" xfId="18639" xr:uid="{00000000-0005-0000-0000-0000771A0000}"/>
    <cellStyle name="Normal 4 3 2 5 7 2 2" xfId="43215" xr:uid="{00000000-0005-0000-0000-0000781A0000}"/>
    <cellStyle name="Normal 4 3 2 5 7 3" xfId="30927" xr:uid="{00000000-0005-0000-0000-0000791A0000}"/>
    <cellStyle name="Normal 4 3 2 5 8" xfId="12495" xr:uid="{00000000-0005-0000-0000-00007A1A0000}"/>
    <cellStyle name="Normal 4 3 2 5 8 2" xfId="37071" xr:uid="{00000000-0005-0000-0000-00007B1A0000}"/>
    <cellStyle name="Normal 4 3 2 5 9" xfId="24783" xr:uid="{00000000-0005-0000-0000-00007C1A0000}"/>
    <cellStyle name="Normal 4 3 2 6" xfId="267" xr:uid="{00000000-0005-0000-0000-00007D1A0000}"/>
    <cellStyle name="Normal 4 3 2 6 2" xfId="459" xr:uid="{00000000-0005-0000-0000-00007E1A0000}"/>
    <cellStyle name="Normal 4 3 2 6 2 2" xfId="843" xr:uid="{00000000-0005-0000-0000-00007F1A0000}"/>
    <cellStyle name="Normal 4 3 2 6 2 2 2" xfId="1611" xr:uid="{00000000-0005-0000-0000-0000801A0000}"/>
    <cellStyle name="Normal 4 3 2 6 2 2 2 2" xfId="3147" xr:uid="{00000000-0005-0000-0000-0000811A0000}"/>
    <cellStyle name="Normal 4 3 2 6 2 2 2 2 2" xfId="6223" xr:uid="{00000000-0005-0000-0000-0000821A0000}"/>
    <cellStyle name="Normal 4 3 2 6 2 2 2 2 2 2" xfId="12367" xr:uid="{00000000-0005-0000-0000-0000831A0000}"/>
    <cellStyle name="Normal 4 3 2 6 2 2 2 2 2 2 2" xfId="24655" xr:uid="{00000000-0005-0000-0000-0000841A0000}"/>
    <cellStyle name="Normal 4 3 2 6 2 2 2 2 2 2 2 2" xfId="49231" xr:uid="{00000000-0005-0000-0000-0000851A0000}"/>
    <cellStyle name="Normal 4 3 2 6 2 2 2 2 2 2 3" xfId="36943" xr:uid="{00000000-0005-0000-0000-0000861A0000}"/>
    <cellStyle name="Normal 4 3 2 6 2 2 2 2 2 3" xfId="18511" xr:uid="{00000000-0005-0000-0000-0000871A0000}"/>
    <cellStyle name="Normal 4 3 2 6 2 2 2 2 2 3 2" xfId="43087" xr:uid="{00000000-0005-0000-0000-0000881A0000}"/>
    <cellStyle name="Normal 4 3 2 6 2 2 2 2 2 4" xfId="30799" xr:uid="{00000000-0005-0000-0000-0000891A0000}"/>
    <cellStyle name="Normal 4 3 2 6 2 2 2 2 3" xfId="9295" xr:uid="{00000000-0005-0000-0000-00008A1A0000}"/>
    <cellStyle name="Normal 4 3 2 6 2 2 2 2 3 2" xfId="21583" xr:uid="{00000000-0005-0000-0000-00008B1A0000}"/>
    <cellStyle name="Normal 4 3 2 6 2 2 2 2 3 2 2" xfId="46159" xr:uid="{00000000-0005-0000-0000-00008C1A0000}"/>
    <cellStyle name="Normal 4 3 2 6 2 2 2 2 3 3" xfId="33871" xr:uid="{00000000-0005-0000-0000-00008D1A0000}"/>
    <cellStyle name="Normal 4 3 2 6 2 2 2 2 4" xfId="15439" xr:uid="{00000000-0005-0000-0000-00008E1A0000}"/>
    <cellStyle name="Normal 4 3 2 6 2 2 2 2 4 2" xfId="40015" xr:uid="{00000000-0005-0000-0000-00008F1A0000}"/>
    <cellStyle name="Normal 4 3 2 6 2 2 2 2 5" xfId="27727" xr:uid="{00000000-0005-0000-0000-0000901A0000}"/>
    <cellStyle name="Normal 4 3 2 6 2 2 2 3" xfId="4687" xr:uid="{00000000-0005-0000-0000-0000911A0000}"/>
    <cellStyle name="Normal 4 3 2 6 2 2 2 3 2" xfId="10831" xr:uid="{00000000-0005-0000-0000-0000921A0000}"/>
    <cellStyle name="Normal 4 3 2 6 2 2 2 3 2 2" xfId="23119" xr:uid="{00000000-0005-0000-0000-0000931A0000}"/>
    <cellStyle name="Normal 4 3 2 6 2 2 2 3 2 2 2" xfId="47695" xr:uid="{00000000-0005-0000-0000-0000941A0000}"/>
    <cellStyle name="Normal 4 3 2 6 2 2 2 3 2 3" xfId="35407" xr:uid="{00000000-0005-0000-0000-0000951A0000}"/>
    <cellStyle name="Normal 4 3 2 6 2 2 2 3 3" xfId="16975" xr:uid="{00000000-0005-0000-0000-0000961A0000}"/>
    <cellStyle name="Normal 4 3 2 6 2 2 2 3 3 2" xfId="41551" xr:uid="{00000000-0005-0000-0000-0000971A0000}"/>
    <cellStyle name="Normal 4 3 2 6 2 2 2 3 4" xfId="29263" xr:uid="{00000000-0005-0000-0000-0000981A0000}"/>
    <cellStyle name="Normal 4 3 2 6 2 2 2 4" xfId="7759" xr:uid="{00000000-0005-0000-0000-0000991A0000}"/>
    <cellStyle name="Normal 4 3 2 6 2 2 2 4 2" xfId="20047" xr:uid="{00000000-0005-0000-0000-00009A1A0000}"/>
    <cellStyle name="Normal 4 3 2 6 2 2 2 4 2 2" xfId="44623" xr:uid="{00000000-0005-0000-0000-00009B1A0000}"/>
    <cellStyle name="Normal 4 3 2 6 2 2 2 4 3" xfId="32335" xr:uid="{00000000-0005-0000-0000-00009C1A0000}"/>
    <cellStyle name="Normal 4 3 2 6 2 2 2 5" xfId="13903" xr:uid="{00000000-0005-0000-0000-00009D1A0000}"/>
    <cellStyle name="Normal 4 3 2 6 2 2 2 5 2" xfId="38479" xr:uid="{00000000-0005-0000-0000-00009E1A0000}"/>
    <cellStyle name="Normal 4 3 2 6 2 2 2 6" xfId="26191" xr:uid="{00000000-0005-0000-0000-00009F1A0000}"/>
    <cellStyle name="Normal 4 3 2 6 2 2 3" xfId="2379" xr:uid="{00000000-0005-0000-0000-0000A01A0000}"/>
    <cellStyle name="Normal 4 3 2 6 2 2 3 2" xfId="5455" xr:uid="{00000000-0005-0000-0000-0000A11A0000}"/>
    <cellStyle name="Normal 4 3 2 6 2 2 3 2 2" xfId="11599" xr:uid="{00000000-0005-0000-0000-0000A21A0000}"/>
    <cellStyle name="Normal 4 3 2 6 2 2 3 2 2 2" xfId="23887" xr:uid="{00000000-0005-0000-0000-0000A31A0000}"/>
    <cellStyle name="Normal 4 3 2 6 2 2 3 2 2 2 2" xfId="48463" xr:uid="{00000000-0005-0000-0000-0000A41A0000}"/>
    <cellStyle name="Normal 4 3 2 6 2 2 3 2 2 3" xfId="36175" xr:uid="{00000000-0005-0000-0000-0000A51A0000}"/>
    <cellStyle name="Normal 4 3 2 6 2 2 3 2 3" xfId="17743" xr:uid="{00000000-0005-0000-0000-0000A61A0000}"/>
    <cellStyle name="Normal 4 3 2 6 2 2 3 2 3 2" xfId="42319" xr:uid="{00000000-0005-0000-0000-0000A71A0000}"/>
    <cellStyle name="Normal 4 3 2 6 2 2 3 2 4" xfId="30031" xr:uid="{00000000-0005-0000-0000-0000A81A0000}"/>
    <cellStyle name="Normal 4 3 2 6 2 2 3 3" xfId="8527" xr:uid="{00000000-0005-0000-0000-0000A91A0000}"/>
    <cellStyle name="Normal 4 3 2 6 2 2 3 3 2" xfId="20815" xr:uid="{00000000-0005-0000-0000-0000AA1A0000}"/>
    <cellStyle name="Normal 4 3 2 6 2 2 3 3 2 2" xfId="45391" xr:uid="{00000000-0005-0000-0000-0000AB1A0000}"/>
    <cellStyle name="Normal 4 3 2 6 2 2 3 3 3" xfId="33103" xr:uid="{00000000-0005-0000-0000-0000AC1A0000}"/>
    <cellStyle name="Normal 4 3 2 6 2 2 3 4" xfId="14671" xr:uid="{00000000-0005-0000-0000-0000AD1A0000}"/>
    <cellStyle name="Normal 4 3 2 6 2 2 3 4 2" xfId="39247" xr:uid="{00000000-0005-0000-0000-0000AE1A0000}"/>
    <cellStyle name="Normal 4 3 2 6 2 2 3 5" xfId="26959" xr:uid="{00000000-0005-0000-0000-0000AF1A0000}"/>
    <cellStyle name="Normal 4 3 2 6 2 2 4" xfId="3919" xr:uid="{00000000-0005-0000-0000-0000B01A0000}"/>
    <cellStyle name="Normal 4 3 2 6 2 2 4 2" xfId="10063" xr:uid="{00000000-0005-0000-0000-0000B11A0000}"/>
    <cellStyle name="Normal 4 3 2 6 2 2 4 2 2" xfId="22351" xr:uid="{00000000-0005-0000-0000-0000B21A0000}"/>
    <cellStyle name="Normal 4 3 2 6 2 2 4 2 2 2" xfId="46927" xr:uid="{00000000-0005-0000-0000-0000B31A0000}"/>
    <cellStyle name="Normal 4 3 2 6 2 2 4 2 3" xfId="34639" xr:uid="{00000000-0005-0000-0000-0000B41A0000}"/>
    <cellStyle name="Normal 4 3 2 6 2 2 4 3" xfId="16207" xr:uid="{00000000-0005-0000-0000-0000B51A0000}"/>
    <cellStyle name="Normal 4 3 2 6 2 2 4 3 2" xfId="40783" xr:uid="{00000000-0005-0000-0000-0000B61A0000}"/>
    <cellStyle name="Normal 4 3 2 6 2 2 4 4" xfId="28495" xr:uid="{00000000-0005-0000-0000-0000B71A0000}"/>
    <cellStyle name="Normal 4 3 2 6 2 2 5" xfId="6991" xr:uid="{00000000-0005-0000-0000-0000B81A0000}"/>
    <cellStyle name="Normal 4 3 2 6 2 2 5 2" xfId="19279" xr:uid="{00000000-0005-0000-0000-0000B91A0000}"/>
    <cellStyle name="Normal 4 3 2 6 2 2 5 2 2" xfId="43855" xr:uid="{00000000-0005-0000-0000-0000BA1A0000}"/>
    <cellStyle name="Normal 4 3 2 6 2 2 5 3" xfId="31567" xr:uid="{00000000-0005-0000-0000-0000BB1A0000}"/>
    <cellStyle name="Normal 4 3 2 6 2 2 6" xfId="13135" xr:uid="{00000000-0005-0000-0000-0000BC1A0000}"/>
    <cellStyle name="Normal 4 3 2 6 2 2 6 2" xfId="37711" xr:uid="{00000000-0005-0000-0000-0000BD1A0000}"/>
    <cellStyle name="Normal 4 3 2 6 2 2 7" xfId="25423" xr:uid="{00000000-0005-0000-0000-0000BE1A0000}"/>
    <cellStyle name="Normal 4 3 2 6 2 3" xfId="1227" xr:uid="{00000000-0005-0000-0000-0000BF1A0000}"/>
    <cellStyle name="Normal 4 3 2 6 2 3 2" xfId="2763" xr:uid="{00000000-0005-0000-0000-0000C01A0000}"/>
    <cellStyle name="Normal 4 3 2 6 2 3 2 2" xfId="5839" xr:uid="{00000000-0005-0000-0000-0000C11A0000}"/>
    <cellStyle name="Normal 4 3 2 6 2 3 2 2 2" xfId="11983" xr:uid="{00000000-0005-0000-0000-0000C21A0000}"/>
    <cellStyle name="Normal 4 3 2 6 2 3 2 2 2 2" xfId="24271" xr:uid="{00000000-0005-0000-0000-0000C31A0000}"/>
    <cellStyle name="Normal 4 3 2 6 2 3 2 2 2 2 2" xfId="48847" xr:uid="{00000000-0005-0000-0000-0000C41A0000}"/>
    <cellStyle name="Normal 4 3 2 6 2 3 2 2 2 3" xfId="36559" xr:uid="{00000000-0005-0000-0000-0000C51A0000}"/>
    <cellStyle name="Normal 4 3 2 6 2 3 2 2 3" xfId="18127" xr:uid="{00000000-0005-0000-0000-0000C61A0000}"/>
    <cellStyle name="Normal 4 3 2 6 2 3 2 2 3 2" xfId="42703" xr:uid="{00000000-0005-0000-0000-0000C71A0000}"/>
    <cellStyle name="Normal 4 3 2 6 2 3 2 2 4" xfId="30415" xr:uid="{00000000-0005-0000-0000-0000C81A0000}"/>
    <cellStyle name="Normal 4 3 2 6 2 3 2 3" xfId="8911" xr:uid="{00000000-0005-0000-0000-0000C91A0000}"/>
    <cellStyle name="Normal 4 3 2 6 2 3 2 3 2" xfId="21199" xr:uid="{00000000-0005-0000-0000-0000CA1A0000}"/>
    <cellStyle name="Normal 4 3 2 6 2 3 2 3 2 2" xfId="45775" xr:uid="{00000000-0005-0000-0000-0000CB1A0000}"/>
    <cellStyle name="Normal 4 3 2 6 2 3 2 3 3" xfId="33487" xr:uid="{00000000-0005-0000-0000-0000CC1A0000}"/>
    <cellStyle name="Normal 4 3 2 6 2 3 2 4" xfId="15055" xr:uid="{00000000-0005-0000-0000-0000CD1A0000}"/>
    <cellStyle name="Normal 4 3 2 6 2 3 2 4 2" xfId="39631" xr:uid="{00000000-0005-0000-0000-0000CE1A0000}"/>
    <cellStyle name="Normal 4 3 2 6 2 3 2 5" xfId="27343" xr:uid="{00000000-0005-0000-0000-0000CF1A0000}"/>
    <cellStyle name="Normal 4 3 2 6 2 3 3" xfId="4303" xr:uid="{00000000-0005-0000-0000-0000D01A0000}"/>
    <cellStyle name="Normal 4 3 2 6 2 3 3 2" xfId="10447" xr:uid="{00000000-0005-0000-0000-0000D11A0000}"/>
    <cellStyle name="Normal 4 3 2 6 2 3 3 2 2" xfId="22735" xr:uid="{00000000-0005-0000-0000-0000D21A0000}"/>
    <cellStyle name="Normal 4 3 2 6 2 3 3 2 2 2" xfId="47311" xr:uid="{00000000-0005-0000-0000-0000D31A0000}"/>
    <cellStyle name="Normal 4 3 2 6 2 3 3 2 3" xfId="35023" xr:uid="{00000000-0005-0000-0000-0000D41A0000}"/>
    <cellStyle name="Normal 4 3 2 6 2 3 3 3" xfId="16591" xr:uid="{00000000-0005-0000-0000-0000D51A0000}"/>
    <cellStyle name="Normal 4 3 2 6 2 3 3 3 2" xfId="41167" xr:uid="{00000000-0005-0000-0000-0000D61A0000}"/>
    <cellStyle name="Normal 4 3 2 6 2 3 3 4" xfId="28879" xr:uid="{00000000-0005-0000-0000-0000D71A0000}"/>
    <cellStyle name="Normal 4 3 2 6 2 3 4" xfId="7375" xr:uid="{00000000-0005-0000-0000-0000D81A0000}"/>
    <cellStyle name="Normal 4 3 2 6 2 3 4 2" xfId="19663" xr:uid="{00000000-0005-0000-0000-0000D91A0000}"/>
    <cellStyle name="Normal 4 3 2 6 2 3 4 2 2" xfId="44239" xr:uid="{00000000-0005-0000-0000-0000DA1A0000}"/>
    <cellStyle name="Normal 4 3 2 6 2 3 4 3" xfId="31951" xr:uid="{00000000-0005-0000-0000-0000DB1A0000}"/>
    <cellStyle name="Normal 4 3 2 6 2 3 5" xfId="13519" xr:uid="{00000000-0005-0000-0000-0000DC1A0000}"/>
    <cellStyle name="Normal 4 3 2 6 2 3 5 2" xfId="38095" xr:uid="{00000000-0005-0000-0000-0000DD1A0000}"/>
    <cellStyle name="Normal 4 3 2 6 2 3 6" xfId="25807" xr:uid="{00000000-0005-0000-0000-0000DE1A0000}"/>
    <cellStyle name="Normal 4 3 2 6 2 4" xfId="1995" xr:uid="{00000000-0005-0000-0000-0000DF1A0000}"/>
    <cellStyle name="Normal 4 3 2 6 2 4 2" xfId="5071" xr:uid="{00000000-0005-0000-0000-0000E01A0000}"/>
    <cellStyle name="Normal 4 3 2 6 2 4 2 2" xfId="11215" xr:uid="{00000000-0005-0000-0000-0000E11A0000}"/>
    <cellStyle name="Normal 4 3 2 6 2 4 2 2 2" xfId="23503" xr:uid="{00000000-0005-0000-0000-0000E21A0000}"/>
    <cellStyle name="Normal 4 3 2 6 2 4 2 2 2 2" xfId="48079" xr:uid="{00000000-0005-0000-0000-0000E31A0000}"/>
    <cellStyle name="Normal 4 3 2 6 2 4 2 2 3" xfId="35791" xr:uid="{00000000-0005-0000-0000-0000E41A0000}"/>
    <cellStyle name="Normal 4 3 2 6 2 4 2 3" xfId="17359" xr:uid="{00000000-0005-0000-0000-0000E51A0000}"/>
    <cellStyle name="Normal 4 3 2 6 2 4 2 3 2" xfId="41935" xr:uid="{00000000-0005-0000-0000-0000E61A0000}"/>
    <cellStyle name="Normal 4 3 2 6 2 4 2 4" xfId="29647" xr:uid="{00000000-0005-0000-0000-0000E71A0000}"/>
    <cellStyle name="Normal 4 3 2 6 2 4 3" xfId="8143" xr:uid="{00000000-0005-0000-0000-0000E81A0000}"/>
    <cellStyle name="Normal 4 3 2 6 2 4 3 2" xfId="20431" xr:uid="{00000000-0005-0000-0000-0000E91A0000}"/>
    <cellStyle name="Normal 4 3 2 6 2 4 3 2 2" xfId="45007" xr:uid="{00000000-0005-0000-0000-0000EA1A0000}"/>
    <cellStyle name="Normal 4 3 2 6 2 4 3 3" xfId="32719" xr:uid="{00000000-0005-0000-0000-0000EB1A0000}"/>
    <cellStyle name="Normal 4 3 2 6 2 4 4" xfId="14287" xr:uid="{00000000-0005-0000-0000-0000EC1A0000}"/>
    <cellStyle name="Normal 4 3 2 6 2 4 4 2" xfId="38863" xr:uid="{00000000-0005-0000-0000-0000ED1A0000}"/>
    <cellStyle name="Normal 4 3 2 6 2 4 5" xfId="26575" xr:uid="{00000000-0005-0000-0000-0000EE1A0000}"/>
    <cellStyle name="Normal 4 3 2 6 2 5" xfId="3535" xr:uid="{00000000-0005-0000-0000-0000EF1A0000}"/>
    <cellStyle name="Normal 4 3 2 6 2 5 2" xfId="9679" xr:uid="{00000000-0005-0000-0000-0000F01A0000}"/>
    <cellStyle name="Normal 4 3 2 6 2 5 2 2" xfId="21967" xr:uid="{00000000-0005-0000-0000-0000F11A0000}"/>
    <cellStyle name="Normal 4 3 2 6 2 5 2 2 2" xfId="46543" xr:uid="{00000000-0005-0000-0000-0000F21A0000}"/>
    <cellStyle name="Normal 4 3 2 6 2 5 2 3" xfId="34255" xr:uid="{00000000-0005-0000-0000-0000F31A0000}"/>
    <cellStyle name="Normal 4 3 2 6 2 5 3" xfId="15823" xr:uid="{00000000-0005-0000-0000-0000F41A0000}"/>
    <cellStyle name="Normal 4 3 2 6 2 5 3 2" xfId="40399" xr:uid="{00000000-0005-0000-0000-0000F51A0000}"/>
    <cellStyle name="Normal 4 3 2 6 2 5 4" xfId="28111" xr:uid="{00000000-0005-0000-0000-0000F61A0000}"/>
    <cellStyle name="Normal 4 3 2 6 2 6" xfId="6607" xr:uid="{00000000-0005-0000-0000-0000F71A0000}"/>
    <cellStyle name="Normal 4 3 2 6 2 6 2" xfId="18895" xr:uid="{00000000-0005-0000-0000-0000F81A0000}"/>
    <cellStyle name="Normal 4 3 2 6 2 6 2 2" xfId="43471" xr:uid="{00000000-0005-0000-0000-0000F91A0000}"/>
    <cellStyle name="Normal 4 3 2 6 2 6 3" xfId="31183" xr:uid="{00000000-0005-0000-0000-0000FA1A0000}"/>
    <cellStyle name="Normal 4 3 2 6 2 7" xfId="12751" xr:uid="{00000000-0005-0000-0000-0000FB1A0000}"/>
    <cellStyle name="Normal 4 3 2 6 2 7 2" xfId="37327" xr:uid="{00000000-0005-0000-0000-0000FC1A0000}"/>
    <cellStyle name="Normal 4 3 2 6 2 8" xfId="25039" xr:uid="{00000000-0005-0000-0000-0000FD1A0000}"/>
    <cellStyle name="Normal 4 3 2 6 3" xfId="651" xr:uid="{00000000-0005-0000-0000-0000FE1A0000}"/>
    <cellStyle name="Normal 4 3 2 6 3 2" xfId="1419" xr:uid="{00000000-0005-0000-0000-0000FF1A0000}"/>
    <cellStyle name="Normal 4 3 2 6 3 2 2" xfId="2955" xr:uid="{00000000-0005-0000-0000-0000001B0000}"/>
    <cellStyle name="Normal 4 3 2 6 3 2 2 2" xfId="6031" xr:uid="{00000000-0005-0000-0000-0000011B0000}"/>
    <cellStyle name="Normal 4 3 2 6 3 2 2 2 2" xfId="12175" xr:uid="{00000000-0005-0000-0000-0000021B0000}"/>
    <cellStyle name="Normal 4 3 2 6 3 2 2 2 2 2" xfId="24463" xr:uid="{00000000-0005-0000-0000-0000031B0000}"/>
    <cellStyle name="Normal 4 3 2 6 3 2 2 2 2 2 2" xfId="49039" xr:uid="{00000000-0005-0000-0000-0000041B0000}"/>
    <cellStyle name="Normal 4 3 2 6 3 2 2 2 2 3" xfId="36751" xr:uid="{00000000-0005-0000-0000-0000051B0000}"/>
    <cellStyle name="Normal 4 3 2 6 3 2 2 2 3" xfId="18319" xr:uid="{00000000-0005-0000-0000-0000061B0000}"/>
    <cellStyle name="Normal 4 3 2 6 3 2 2 2 3 2" xfId="42895" xr:uid="{00000000-0005-0000-0000-0000071B0000}"/>
    <cellStyle name="Normal 4 3 2 6 3 2 2 2 4" xfId="30607" xr:uid="{00000000-0005-0000-0000-0000081B0000}"/>
    <cellStyle name="Normal 4 3 2 6 3 2 2 3" xfId="9103" xr:uid="{00000000-0005-0000-0000-0000091B0000}"/>
    <cellStyle name="Normal 4 3 2 6 3 2 2 3 2" xfId="21391" xr:uid="{00000000-0005-0000-0000-00000A1B0000}"/>
    <cellStyle name="Normal 4 3 2 6 3 2 2 3 2 2" xfId="45967" xr:uid="{00000000-0005-0000-0000-00000B1B0000}"/>
    <cellStyle name="Normal 4 3 2 6 3 2 2 3 3" xfId="33679" xr:uid="{00000000-0005-0000-0000-00000C1B0000}"/>
    <cellStyle name="Normal 4 3 2 6 3 2 2 4" xfId="15247" xr:uid="{00000000-0005-0000-0000-00000D1B0000}"/>
    <cellStyle name="Normal 4 3 2 6 3 2 2 4 2" xfId="39823" xr:uid="{00000000-0005-0000-0000-00000E1B0000}"/>
    <cellStyle name="Normal 4 3 2 6 3 2 2 5" xfId="27535" xr:uid="{00000000-0005-0000-0000-00000F1B0000}"/>
    <cellStyle name="Normal 4 3 2 6 3 2 3" xfId="4495" xr:uid="{00000000-0005-0000-0000-0000101B0000}"/>
    <cellStyle name="Normal 4 3 2 6 3 2 3 2" xfId="10639" xr:uid="{00000000-0005-0000-0000-0000111B0000}"/>
    <cellStyle name="Normal 4 3 2 6 3 2 3 2 2" xfId="22927" xr:uid="{00000000-0005-0000-0000-0000121B0000}"/>
    <cellStyle name="Normal 4 3 2 6 3 2 3 2 2 2" xfId="47503" xr:uid="{00000000-0005-0000-0000-0000131B0000}"/>
    <cellStyle name="Normal 4 3 2 6 3 2 3 2 3" xfId="35215" xr:uid="{00000000-0005-0000-0000-0000141B0000}"/>
    <cellStyle name="Normal 4 3 2 6 3 2 3 3" xfId="16783" xr:uid="{00000000-0005-0000-0000-0000151B0000}"/>
    <cellStyle name="Normal 4 3 2 6 3 2 3 3 2" xfId="41359" xr:uid="{00000000-0005-0000-0000-0000161B0000}"/>
    <cellStyle name="Normal 4 3 2 6 3 2 3 4" xfId="29071" xr:uid="{00000000-0005-0000-0000-0000171B0000}"/>
    <cellStyle name="Normal 4 3 2 6 3 2 4" xfId="7567" xr:uid="{00000000-0005-0000-0000-0000181B0000}"/>
    <cellStyle name="Normal 4 3 2 6 3 2 4 2" xfId="19855" xr:uid="{00000000-0005-0000-0000-0000191B0000}"/>
    <cellStyle name="Normal 4 3 2 6 3 2 4 2 2" xfId="44431" xr:uid="{00000000-0005-0000-0000-00001A1B0000}"/>
    <cellStyle name="Normal 4 3 2 6 3 2 4 3" xfId="32143" xr:uid="{00000000-0005-0000-0000-00001B1B0000}"/>
    <cellStyle name="Normal 4 3 2 6 3 2 5" xfId="13711" xr:uid="{00000000-0005-0000-0000-00001C1B0000}"/>
    <cellStyle name="Normal 4 3 2 6 3 2 5 2" xfId="38287" xr:uid="{00000000-0005-0000-0000-00001D1B0000}"/>
    <cellStyle name="Normal 4 3 2 6 3 2 6" xfId="25999" xr:uid="{00000000-0005-0000-0000-00001E1B0000}"/>
    <cellStyle name="Normal 4 3 2 6 3 3" xfId="2187" xr:uid="{00000000-0005-0000-0000-00001F1B0000}"/>
    <cellStyle name="Normal 4 3 2 6 3 3 2" xfId="5263" xr:uid="{00000000-0005-0000-0000-0000201B0000}"/>
    <cellStyle name="Normal 4 3 2 6 3 3 2 2" xfId="11407" xr:uid="{00000000-0005-0000-0000-0000211B0000}"/>
    <cellStyle name="Normal 4 3 2 6 3 3 2 2 2" xfId="23695" xr:uid="{00000000-0005-0000-0000-0000221B0000}"/>
    <cellStyle name="Normal 4 3 2 6 3 3 2 2 2 2" xfId="48271" xr:uid="{00000000-0005-0000-0000-0000231B0000}"/>
    <cellStyle name="Normal 4 3 2 6 3 3 2 2 3" xfId="35983" xr:uid="{00000000-0005-0000-0000-0000241B0000}"/>
    <cellStyle name="Normal 4 3 2 6 3 3 2 3" xfId="17551" xr:uid="{00000000-0005-0000-0000-0000251B0000}"/>
    <cellStyle name="Normal 4 3 2 6 3 3 2 3 2" xfId="42127" xr:uid="{00000000-0005-0000-0000-0000261B0000}"/>
    <cellStyle name="Normal 4 3 2 6 3 3 2 4" xfId="29839" xr:uid="{00000000-0005-0000-0000-0000271B0000}"/>
    <cellStyle name="Normal 4 3 2 6 3 3 3" xfId="8335" xr:uid="{00000000-0005-0000-0000-0000281B0000}"/>
    <cellStyle name="Normal 4 3 2 6 3 3 3 2" xfId="20623" xr:uid="{00000000-0005-0000-0000-0000291B0000}"/>
    <cellStyle name="Normal 4 3 2 6 3 3 3 2 2" xfId="45199" xr:uid="{00000000-0005-0000-0000-00002A1B0000}"/>
    <cellStyle name="Normal 4 3 2 6 3 3 3 3" xfId="32911" xr:uid="{00000000-0005-0000-0000-00002B1B0000}"/>
    <cellStyle name="Normal 4 3 2 6 3 3 4" xfId="14479" xr:uid="{00000000-0005-0000-0000-00002C1B0000}"/>
    <cellStyle name="Normal 4 3 2 6 3 3 4 2" xfId="39055" xr:uid="{00000000-0005-0000-0000-00002D1B0000}"/>
    <cellStyle name="Normal 4 3 2 6 3 3 5" xfId="26767" xr:uid="{00000000-0005-0000-0000-00002E1B0000}"/>
    <cellStyle name="Normal 4 3 2 6 3 4" xfId="3727" xr:uid="{00000000-0005-0000-0000-00002F1B0000}"/>
    <cellStyle name="Normal 4 3 2 6 3 4 2" xfId="9871" xr:uid="{00000000-0005-0000-0000-0000301B0000}"/>
    <cellStyle name="Normal 4 3 2 6 3 4 2 2" xfId="22159" xr:uid="{00000000-0005-0000-0000-0000311B0000}"/>
    <cellStyle name="Normal 4 3 2 6 3 4 2 2 2" xfId="46735" xr:uid="{00000000-0005-0000-0000-0000321B0000}"/>
    <cellStyle name="Normal 4 3 2 6 3 4 2 3" xfId="34447" xr:uid="{00000000-0005-0000-0000-0000331B0000}"/>
    <cellStyle name="Normal 4 3 2 6 3 4 3" xfId="16015" xr:uid="{00000000-0005-0000-0000-0000341B0000}"/>
    <cellStyle name="Normal 4 3 2 6 3 4 3 2" xfId="40591" xr:uid="{00000000-0005-0000-0000-0000351B0000}"/>
    <cellStyle name="Normal 4 3 2 6 3 4 4" xfId="28303" xr:uid="{00000000-0005-0000-0000-0000361B0000}"/>
    <cellStyle name="Normal 4 3 2 6 3 5" xfId="6799" xr:uid="{00000000-0005-0000-0000-0000371B0000}"/>
    <cellStyle name="Normal 4 3 2 6 3 5 2" xfId="19087" xr:uid="{00000000-0005-0000-0000-0000381B0000}"/>
    <cellStyle name="Normal 4 3 2 6 3 5 2 2" xfId="43663" xr:uid="{00000000-0005-0000-0000-0000391B0000}"/>
    <cellStyle name="Normal 4 3 2 6 3 5 3" xfId="31375" xr:uid="{00000000-0005-0000-0000-00003A1B0000}"/>
    <cellStyle name="Normal 4 3 2 6 3 6" xfId="12943" xr:uid="{00000000-0005-0000-0000-00003B1B0000}"/>
    <cellStyle name="Normal 4 3 2 6 3 6 2" xfId="37519" xr:uid="{00000000-0005-0000-0000-00003C1B0000}"/>
    <cellStyle name="Normal 4 3 2 6 3 7" xfId="25231" xr:uid="{00000000-0005-0000-0000-00003D1B0000}"/>
    <cellStyle name="Normal 4 3 2 6 4" xfId="1035" xr:uid="{00000000-0005-0000-0000-00003E1B0000}"/>
    <cellStyle name="Normal 4 3 2 6 4 2" xfId="2571" xr:uid="{00000000-0005-0000-0000-00003F1B0000}"/>
    <cellStyle name="Normal 4 3 2 6 4 2 2" xfId="5647" xr:uid="{00000000-0005-0000-0000-0000401B0000}"/>
    <cellStyle name="Normal 4 3 2 6 4 2 2 2" xfId="11791" xr:uid="{00000000-0005-0000-0000-0000411B0000}"/>
    <cellStyle name="Normal 4 3 2 6 4 2 2 2 2" xfId="24079" xr:uid="{00000000-0005-0000-0000-0000421B0000}"/>
    <cellStyle name="Normal 4 3 2 6 4 2 2 2 2 2" xfId="48655" xr:uid="{00000000-0005-0000-0000-0000431B0000}"/>
    <cellStyle name="Normal 4 3 2 6 4 2 2 2 3" xfId="36367" xr:uid="{00000000-0005-0000-0000-0000441B0000}"/>
    <cellStyle name="Normal 4 3 2 6 4 2 2 3" xfId="17935" xr:uid="{00000000-0005-0000-0000-0000451B0000}"/>
    <cellStyle name="Normal 4 3 2 6 4 2 2 3 2" xfId="42511" xr:uid="{00000000-0005-0000-0000-0000461B0000}"/>
    <cellStyle name="Normal 4 3 2 6 4 2 2 4" xfId="30223" xr:uid="{00000000-0005-0000-0000-0000471B0000}"/>
    <cellStyle name="Normal 4 3 2 6 4 2 3" xfId="8719" xr:uid="{00000000-0005-0000-0000-0000481B0000}"/>
    <cellStyle name="Normal 4 3 2 6 4 2 3 2" xfId="21007" xr:uid="{00000000-0005-0000-0000-0000491B0000}"/>
    <cellStyle name="Normal 4 3 2 6 4 2 3 2 2" xfId="45583" xr:uid="{00000000-0005-0000-0000-00004A1B0000}"/>
    <cellStyle name="Normal 4 3 2 6 4 2 3 3" xfId="33295" xr:uid="{00000000-0005-0000-0000-00004B1B0000}"/>
    <cellStyle name="Normal 4 3 2 6 4 2 4" xfId="14863" xr:uid="{00000000-0005-0000-0000-00004C1B0000}"/>
    <cellStyle name="Normal 4 3 2 6 4 2 4 2" xfId="39439" xr:uid="{00000000-0005-0000-0000-00004D1B0000}"/>
    <cellStyle name="Normal 4 3 2 6 4 2 5" xfId="27151" xr:uid="{00000000-0005-0000-0000-00004E1B0000}"/>
    <cellStyle name="Normal 4 3 2 6 4 3" xfId="4111" xr:uid="{00000000-0005-0000-0000-00004F1B0000}"/>
    <cellStyle name="Normal 4 3 2 6 4 3 2" xfId="10255" xr:uid="{00000000-0005-0000-0000-0000501B0000}"/>
    <cellStyle name="Normal 4 3 2 6 4 3 2 2" xfId="22543" xr:uid="{00000000-0005-0000-0000-0000511B0000}"/>
    <cellStyle name="Normal 4 3 2 6 4 3 2 2 2" xfId="47119" xr:uid="{00000000-0005-0000-0000-0000521B0000}"/>
    <cellStyle name="Normal 4 3 2 6 4 3 2 3" xfId="34831" xr:uid="{00000000-0005-0000-0000-0000531B0000}"/>
    <cellStyle name="Normal 4 3 2 6 4 3 3" xfId="16399" xr:uid="{00000000-0005-0000-0000-0000541B0000}"/>
    <cellStyle name="Normal 4 3 2 6 4 3 3 2" xfId="40975" xr:uid="{00000000-0005-0000-0000-0000551B0000}"/>
    <cellStyle name="Normal 4 3 2 6 4 3 4" xfId="28687" xr:uid="{00000000-0005-0000-0000-0000561B0000}"/>
    <cellStyle name="Normal 4 3 2 6 4 4" xfId="7183" xr:uid="{00000000-0005-0000-0000-0000571B0000}"/>
    <cellStyle name="Normal 4 3 2 6 4 4 2" xfId="19471" xr:uid="{00000000-0005-0000-0000-0000581B0000}"/>
    <cellStyle name="Normal 4 3 2 6 4 4 2 2" xfId="44047" xr:uid="{00000000-0005-0000-0000-0000591B0000}"/>
    <cellStyle name="Normal 4 3 2 6 4 4 3" xfId="31759" xr:uid="{00000000-0005-0000-0000-00005A1B0000}"/>
    <cellStyle name="Normal 4 3 2 6 4 5" xfId="13327" xr:uid="{00000000-0005-0000-0000-00005B1B0000}"/>
    <cellStyle name="Normal 4 3 2 6 4 5 2" xfId="37903" xr:uid="{00000000-0005-0000-0000-00005C1B0000}"/>
    <cellStyle name="Normal 4 3 2 6 4 6" xfId="25615" xr:uid="{00000000-0005-0000-0000-00005D1B0000}"/>
    <cellStyle name="Normal 4 3 2 6 5" xfId="1803" xr:uid="{00000000-0005-0000-0000-00005E1B0000}"/>
    <cellStyle name="Normal 4 3 2 6 5 2" xfId="4879" xr:uid="{00000000-0005-0000-0000-00005F1B0000}"/>
    <cellStyle name="Normal 4 3 2 6 5 2 2" xfId="11023" xr:uid="{00000000-0005-0000-0000-0000601B0000}"/>
    <cellStyle name="Normal 4 3 2 6 5 2 2 2" xfId="23311" xr:uid="{00000000-0005-0000-0000-0000611B0000}"/>
    <cellStyle name="Normal 4 3 2 6 5 2 2 2 2" xfId="47887" xr:uid="{00000000-0005-0000-0000-0000621B0000}"/>
    <cellStyle name="Normal 4 3 2 6 5 2 2 3" xfId="35599" xr:uid="{00000000-0005-0000-0000-0000631B0000}"/>
    <cellStyle name="Normal 4 3 2 6 5 2 3" xfId="17167" xr:uid="{00000000-0005-0000-0000-0000641B0000}"/>
    <cellStyle name="Normal 4 3 2 6 5 2 3 2" xfId="41743" xr:uid="{00000000-0005-0000-0000-0000651B0000}"/>
    <cellStyle name="Normal 4 3 2 6 5 2 4" xfId="29455" xr:uid="{00000000-0005-0000-0000-0000661B0000}"/>
    <cellStyle name="Normal 4 3 2 6 5 3" xfId="7951" xr:uid="{00000000-0005-0000-0000-0000671B0000}"/>
    <cellStyle name="Normal 4 3 2 6 5 3 2" xfId="20239" xr:uid="{00000000-0005-0000-0000-0000681B0000}"/>
    <cellStyle name="Normal 4 3 2 6 5 3 2 2" xfId="44815" xr:uid="{00000000-0005-0000-0000-0000691B0000}"/>
    <cellStyle name="Normal 4 3 2 6 5 3 3" xfId="32527" xr:uid="{00000000-0005-0000-0000-00006A1B0000}"/>
    <cellStyle name="Normal 4 3 2 6 5 4" xfId="14095" xr:uid="{00000000-0005-0000-0000-00006B1B0000}"/>
    <cellStyle name="Normal 4 3 2 6 5 4 2" xfId="38671" xr:uid="{00000000-0005-0000-0000-00006C1B0000}"/>
    <cellStyle name="Normal 4 3 2 6 5 5" xfId="26383" xr:uid="{00000000-0005-0000-0000-00006D1B0000}"/>
    <cellStyle name="Normal 4 3 2 6 6" xfId="3343" xr:uid="{00000000-0005-0000-0000-00006E1B0000}"/>
    <cellStyle name="Normal 4 3 2 6 6 2" xfId="9487" xr:uid="{00000000-0005-0000-0000-00006F1B0000}"/>
    <cellStyle name="Normal 4 3 2 6 6 2 2" xfId="21775" xr:uid="{00000000-0005-0000-0000-0000701B0000}"/>
    <cellStyle name="Normal 4 3 2 6 6 2 2 2" xfId="46351" xr:uid="{00000000-0005-0000-0000-0000711B0000}"/>
    <cellStyle name="Normal 4 3 2 6 6 2 3" xfId="34063" xr:uid="{00000000-0005-0000-0000-0000721B0000}"/>
    <cellStyle name="Normal 4 3 2 6 6 3" xfId="15631" xr:uid="{00000000-0005-0000-0000-0000731B0000}"/>
    <cellStyle name="Normal 4 3 2 6 6 3 2" xfId="40207" xr:uid="{00000000-0005-0000-0000-0000741B0000}"/>
    <cellStyle name="Normal 4 3 2 6 6 4" xfId="27919" xr:uid="{00000000-0005-0000-0000-0000751B0000}"/>
    <cellStyle name="Normal 4 3 2 6 7" xfId="6415" xr:uid="{00000000-0005-0000-0000-0000761B0000}"/>
    <cellStyle name="Normal 4 3 2 6 7 2" xfId="18703" xr:uid="{00000000-0005-0000-0000-0000771B0000}"/>
    <cellStyle name="Normal 4 3 2 6 7 2 2" xfId="43279" xr:uid="{00000000-0005-0000-0000-0000781B0000}"/>
    <cellStyle name="Normal 4 3 2 6 7 3" xfId="30991" xr:uid="{00000000-0005-0000-0000-0000791B0000}"/>
    <cellStyle name="Normal 4 3 2 6 8" xfId="12559" xr:uid="{00000000-0005-0000-0000-00007A1B0000}"/>
    <cellStyle name="Normal 4 3 2 6 8 2" xfId="37135" xr:uid="{00000000-0005-0000-0000-00007B1B0000}"/>
    <cellStyle name="Normal 4 3 2 6 9" xfId="24847" xr:uid="{00000000-0005-0000-0000-00007C1B0000}"/>
    <cellStyle name="Normal 4 3 2 7" xfId="331" xr:uid="{00000000-0005-0000-0000-00007D1B0000}"/>
    <cellStyle name="Normal 4 3 2 7 2" xfId="715" xr:uid="{00000000-0005-0000-0000-00007E1B0000}"/>
    <cellStyle name="Normal 4 3 2 7 2 2" xfId="1483" xr:uid="{00000000-0005-0000-0000-00007F1B0000}"/>
    <cellStyle name="Normal 4 3 2 7 2 2 2" xfId="3019" xr:uid="{00000000-0005-0000-0000-0000801B0000}"/>
    <cellStyle name="Normal 4 3 2 7 2 2 2 2" xfId="6095" xr:uid="{00000000-0005-0000-0000-0000811B0000}"/>
    <cellStyle name="Normal 4 3 2 7 2 2 2 2 2" xfId="12239" xr:uid="{00000000-0005-0000-0000-0000821B0000}"/>
    <cellStyle name="Normal 4 3 2 7 2 2 2 2 2 2" xfId="24527" xr:uid="{00000000-0005-0000-0000-0000831B0000}"/>
    <cellStyle name="Normal 4 3 2 7 2 2 2 2 2 2 2" xfId="49103" xr:uid="{00000000-0005-0000-0000-0000841B0000}"/>
    <cellStyle name="Normal 4 3 2 7 2 2 2 2 2 3" xfId="36815" xr:uid="{00000000-0005-0000-0000-0000851B0000}"/>
    <cellStyle name="Normal 4 3 2 7 2 2 2 2 3" xfId="18383" xr:uid="{00000000-0005-0000-0000-0000861B0000}"/>
    <cellStyle name="Normal 4 3 2 7 2 2 2 2 3 2" xfId="42959" xr:uid="{00000000-0005-0000-0000-0000871B0000}"/>
    <cellStyle name="Normal 4 3 2 7 2 2 2 2 4" xfId="30671" xr:uid="{00000000-0005-0000-0000-0000881B0000}"/>
    <cellStyle name="Normal 4 3 2 7 2 2 2 3" xfId="9167" xr:uid="{00000000-0005-0000-0000-0000891B0000}"/>
    <cellStyle name="Normal 4 3 2 7 2 2 2 3 2" xfId="21455" xr:uid="{00000000-0005-0000-0000-00008A1B0000}"/>
    <cellStyle name="Normal 4 3 2 7 2 2 2 3 2 2" xfId="46031" xr:uid="{00000000-0005-0000-0000-00008B1B0000}"/>
    <cellStyle name="Normal 4 3 2 7 2 2 2 3 3" xfId="33743" xr:uid="{00000000-0005-0000-0000-00008C1B0000}"/>
    <cellStyle name="Normal 4 3 2 7 2 2 2 4" xfId="15311" xr:uid="{00000000-0005-0000-0000-00008D1B0000}"/>
    <cellStyle name="Normal 4 3 2 7 2 2 2 4 2" xfId="39887" xr:uid="{00000000-0005-0000-0000-00008E1B0000}"/>
    <cellStyle name="Normal 4 3 2 7 2 2 2 5" xfId="27599" xr:uid="{00000000-0005-0000-0000-00008F1B0000}"/>
    <cellStyle name="Normal 4 3 2 7 2 2 3" xfId="4559" xr:uid="{00000000-0005-0000-0000-0000901B0000}"/>
    <cellStyle name="Normal 4 3 2 7 2 2 3 2" xfId="10703" xr:uid="{00000000-0005-0000-0000-0000911B0000}"/>
    <cellStyle name="Normal 4 3 2 7 2 2 3 2 2" xfId="22991" xr:uid="{00000000-0005-0000-0000-0000921B0000}"/>
    <cellStyle name="Normal 4 3 2 7 2 2 3 2 2 2" xfId="47567" xr:uid="{00000000-0005-0000-0000-0000931B0000}"/>
    <cellStyle name="Normal 4 3 2 7 2 2 3 2 3" xfId="35279" xr:uid="{00000000-0005-0000-0000-0000941B0000}"/>
    <cellStyle name="Normal 4 3 2 7 2 2 3 3" xfId="16847" xr:uid="{00000000-0005-0000-0000-0000951B0000}"/>
    <cellStyle name="Normal 4 3 2 7 2 2 3 3 2" xfId="41423" xr:uid="{00000000-0005-0000-0000-0000961B0000}"/>
    <cellStyle name="Normal 4 3 2 7 2 2 3 4" xfId="29135" xr:uid="{00000000-0005-0000-0000-0000971B0000}"/>
    <cellStyle name="Normal 4 3 2 7 2 2 4" xfId="7631" xr:uid="{00000000-0005-0000-0000-0000981B0000}"/>
    <cellStyle name="Normal 4 3 2 7 2 2 4 2" xfId="19919" xr:uid="{00000000-0005-0000-0000-0000991B0000}"/>
    <cellStyle name="Normal 4 3 2 7 2 2 4 2 2" xfId="44495" xr:uid="{00000000-0005-0000-0000-00009A1B0000}"/>
    <cellStyle name="Normal 4 3 2 7 2 2 4 3" xfId="32207" xr:uid="{00000000-0005-0000-0000-00009B1B0000}"/>
    <cellStyle name="Normal 4 3 2 7 2 2 5" xfId="13775" xr:uid="{00000000-0005-0000-0000-00009C1B0000}"/>
    <cellStyle name="Normal 4 3 2 7 2 2 5 2" xfId="38351" xr:uid="{00000000-0005-0000-0000-00009D1B0000}"/>
    <cellStyle name="Normal 4 3 2 7 2 2 6" xfId="26063" xr:uid="{00000000-0005-0000-0000-00009E1B0000}"/>
    <cellStyle name="Normal 4 3 2 7 2 3" xfId="2251" xr:uid="{00000000-0005-0000-0000-00009F1B0000}"/>
    <cellStyle name="Normal 4 3 2 7 2 3 2" xfId="5327" xr:uid="{00000000-0005-0000-0000-0000A01B0000}"/>
    <cellStyle name="Normal 4 3 2 7 2 3 2 2" xfId="11471" xr:uid="{00000000-0005-0000-0000-0000A11B0000}"/>
    <cellStyle name="Normal 4 3 2 7 2 3 2 2 2" xfId="23759" xr:uid="{00000000-0005-0000-0000-0000A21B0000}"/>
    <cellStyle name="Normal 4 3 2 7 2 3 2 2 2 2" xfId="48335" xr:uid="{00000000-0005-0000-0000-0000A31B0000}"/>
    <cellStyle name="Normal 4 3 2 7 2 3 2 2 3" xfId="36047" xr:uid="{00000000-0005-0000-0000-0000A41B0000}"/>
    <cellStyle name="Normal 4 3 2 7 2 3 2 3" xfId="17615" xr:uid="{00000000-0005-0000-0000-0000A51B0000}"/>
    <cellStyle name="Normal 4 3 2 7 2 3 2 3 2" xfId="42191" xr:uid="{00000000-0005-0000-0000-0000A61B0000}"/>
    <cellStyle name="Normal 4 3 2 7 2 3 2 4" xfId="29903" xr:uid="{00000000-0005-0000-0000-0000A71B0000}"/>
    <cellStyle name="Normal 4 3 2 7 2 3 3" xfId="8399" xr:uid="{00000000-0005-0000-0000-0000A81B0000}"/>
    <cellStyle name="Normal 4 3 2 7 2 3 3 2" xfId="20687" xr:uid="{00000000-0005-0000-0000-0000A91B0000}"/>
    <cellStyle name="Normal 4 3 2 7 2 3 3 2 2" xfId="45263" xr:uid="{00000000-0005-0000-0000-0000AA1B0000}"/>
    <cellStyle name="Normal 4 3 2 7 2 3 3 3" xfId="32975" xr:uid="{00000000-0005-0000-0000-0000AB1B0000}"/>
    <cellStyle name="Normal 4 3 2 7 2 3 4" xfId="14543" xr:uid="{00000000-0005-0000-0000-0000AC1B0000}"/>
    <cellStyle name="Normal 4 3 2 7 2 3 4 2" xfId="39119" xr:uid="{00000000-0005-0000-0000-0000AD1B0000}"/>
    <cellStyle name="Normal 4 3 2 7 2 3 5" xfId="26831" xr:uid="{00000000-0005-0000-0000-0000AE1B0000}"/>
    <cellStyle name="Normal 4 3 2 7 2 4" xfId="3791" xr:uid="{00000000-0005-0000-0000-0000AF1B0000}"/>
    <cellStyle name="Normal 4 3 2 7 2 4 2" xfId="9935" xr:uid="{00000000-0005-0000-0000-0000B01B0000}"/>
    <cellStyle name="Normal 4 3 2 7 2 4 2 2" xfId="22223" xr:uid="{00000000-0005-0000-0000-0000B11B0000}"/>
    <cellStyle name="Normal 4 3 2 7 2 4 2 2 2" xfId="46799" xr:uid="{00000000-0005-0000-0000-0000B21B0000}"/>
    <cellStyle name="Normal 4 3 2 7 2 4 2 3" xfId="34511" xr:uid="{00000000-0005-0000-0000-0000B31B0000}"/>
    <cellStyle name="Normal 4 3 2 7 2 4 3" xfId="16079" xr:uid="{00000000-0005-0000-0000-0000B41B0000}"/>
    <cellStyle name="Normal 4 3 2 7 2 4 3 2" xfId="40655" xr:uid="{00000000-0005-0000-0000-0000B51B0000}"/>
    <cellStyle name="Normal 4 3 2 7 2 4 4" xfId="28367" xr:uid="{00000000-0005-0000-0000-0000B61B0000}"/>
    <cellStyle name="Normal 4 3 2 7 2 5" xfId="6863" xr:uid="{00000000-0005-0000-0000-0000B71B0000}"/>
    <cellStyle name="Normal 4 3 2 7 2 5 2" xfId="19151" xr:uid="{00000000-0005-0000-0000-0000B81B0000}"/>
    <cellStyle name="Normal 4 3 2 7 2 5 2 2" xfId="43727" xr:uid="{00000000-0005-0000-0000-0000B91B0000}"/>
    <cellStyle name="Normal 4 3 2 7 2 5 3" xfId="31439" xr:uid="{00000000-0005-0000-0000-0000BA1B0000}"/>
    <cellStyle name="Normal 4 3 2 7 2 6" xfId="13007" xr:uid="{00000000-0005-0000-0000-0000BB1B0000}"/>
    <cellStyle name="Normal 4 3 2 7 2 6 2" xfId="37583" xr:uid="{00000000-0005-0000-0000-0000BC1B0000}"/>
    <cellStyle name="Normal 4 3 2 7 2 7" xfId="25295" xr:uid="{00000000-0005-0000-0000-0000BD1B0000}"/>
    <cellStyle name="Normal 4 3 2 7 3" xfId="1099" xr:uid="{00000000-0005-0000-0000-0000BE1B0000}"/>
    <cellStyle name="Normal 4 3 2 7 3 2" xfId="2635" xr:uid="{00000000-0005-0000-0000-0000BF1B0000}"/>
    <cellStyle name="Normal 4 3 2 7 3 2 2" xfId="5711" xr:uid="{00000000-0005-0000-0000-0000C01B0000}"/>
    <cellStyle name="Normal 4 3 2 7 3 2 2 2" xfId="11855" xr:uid="{00000000-0005-0000-0000-0000C11B0000}"/>
    <cellStyle name="Normal 4 3 2 7 3 2 2 2 2" xfId="24143" xr:uid="{00000000-0005-0000-0000-0000C21B0000}"/>
    <cellStyle name="Normal 4 3 2 7 3 2 2 2 2 2" xfId="48719" xr:uid="{00000000-0005-0000-0000-0000C31B0000}"/>
    <cellStyle name="Normal 4 3 2 7 3 2 2 2 3" xfId="36431" xr:uid="{00000000-0005-0000-0000-0000C41B0000}"/>
    <cellStyle name="Normal 4 3 2 7 3 2 2 3" xfId="17999" xr:uid="{00000000-0005-0000-0000-0000C51B0000}"/>
    <cellStyle name="Normal 4 3 2 7 3 2 2 3 2" xfId="42575" xr:uid="{00000000-0005-0000-0000-0000C61B0000}"/>
    <cellStyle name="Normal 4 3 2 7 3 2 2 4" xfId="30287" xr:uid="{00000000-0005-0000-0000-0000C71B0000}"/>
    <cellStyle name="Normal 4 3 2 7 3 2 3" xfId="8783" xr:uid="{00000000-0005-0000-0000-0000C81B0000}"/>
    <cellStyle name="Normal 4 3 2 7 3 2 3 2" xfId="21071" xr:uid="{00000000-0005-0000-0000-0000C91B0000}"/>
    <cellStyle name="Normal 4 3 2 7 3 2 3 2 2" xfId="45647" xr:uid="{00000000-0005-0000-0000-0000CA1B0000}"/>
    <cellStyle name="Normal 4 3 2 7 3 2 3 3" xfId="33359" xr:uid="{00000000-0005-0000-0000-0000CB1B0000}"/>
    <cellStyle name="Normal 4 3 2 7 3 2 4" xfId="14927" xr:uid="{00000000-0005-0000-0000-0000CC1B0000}"/>
    <cellStyle name="Normal 4 3 2 7 3 2 4 2" xfId="39503" xr:uid="{00000000-0005-0000-0000-0000CD1B0000}"/>
    <cellStyle name="Normal 4 3 2 7 3 2 5" xfId="27215" xr:uid="{00000000-0005-0000-0000-0000CE1B0000}"/>
    <cellStyle name="Normal 4 3 2 7 3 3" xfId="4175" xr:uid="{00000000-0005-0000-0000-0000CF1B0000}"/>
    <cellStyle name="Normal 4 3 2 7 3 3 2" xfId="10319" xr:uid="{00000000-0005-0000-0000-0000D01B0000}"/>
    <cellStyle name="Normal 4 3 2 7 3 3 2 2" xfId="22607" xr:uid="{00000000-0005-0000-0000-0000D11B0000}"/>
    <cellStyle name="Normal 4 3 2 7 3 3 2 2 2" xfId="47183" xr:uid="{00000000-0005-0000-0000-0000D21B0000}"/>
    <cellStyle name="Normal 4 3 2 7 3 3 2 3" xfId="34895" xr:uid="{00000000-0005-0000-0000-0000D31B0000}"/>
    <cellStyle name="Normal 4 3 2 7 3 3 3" xfId="16463" xr:uid="{00000000-0005-0000-0000-0000D41B0000}"/>
    <cellStyle name="Normal 4 3 2 7 3 3 3 2" xfId="41039" xr:uid="{00000000-0005-0000-0000-0000D51B0000}"/>
    <cellStyle name="Normal 4 3 2 7 3 3 4" xfId="28751" xr:uid="{00000000-0005-0000-0000-0000D61B0000}"/>
    <cellStyle name="Normal 4 3 2 7 3 4" xfId="7247" xr:uid="{00000000-0005-0000-0000-0000D71B0000}"/>
    <cellStyle name="Normal 4 3 2 7 3 4 2" xfId="19535" xr:uid="{00000000-0005-0000-0000-0000D81B0000}"/>
    <cellStyle name="Normal 4 3 2 7 3 4 2 2" xfId="44111" xr:uid="{00000000-0005-0000-0000-0000D91B0000}"/>
    <cellStyle name="Normal 4 3 2 7 3 4 3" xfId="31823" xr:uid="{00000000-0005-0000-0000-0000DA1B0000}"/>
    <cellStyle name="Normal 4 3 2 7 3 5" xfId="13391" xr:uid="{00000000-0005-0000-0000-0000DB1B0000}"/>
    <cellStyle name="Normal 4 3 2 7 3 5 2" xfId="37967" xr:uid="{00000000-0005-0000-0000-0000DC1B0000}"/>
    <cellStyle name="Normal 4 3 2 7 3 6" xfId="25679" xr:uid="{00000000-0005-0000-0000-0000DD1B0000}"/>
    <cellStyle name="Normal 4 3 2 7 4" xfId="1867" xr:uid="{00000000-0005-0000-0000-0000DE1B0000}"/>
    <cellStyle name="Normal 4 3 2 7 4 2" xfId="4943" xr:uid="{00000000-0005-0000-0000-0000DF1B0000}"/>
    <cellStyle name="Normal 4 3 2 7 4 2 2" xfId="11087" xr:uid="{00000000-0005-0000-0000-0000E01B0000}"/>
    <cellStyle name="Normal 4 3 2 7 4 2 2 2" xfId="23375" xr:uid="{00000000-0005-0000-0000-0000E11B0000}"/>
    <cellStyle name="Normal 4 3 2 7 4 2 2 2 2" xfId="47951" xr:uid="{00000000-0005-0000-0000-0000E21B0000}"/>
    <cellStyle name="Normal 4 3 2 7 4 2 2 3" xfId="35663" xr:uid="{00000000-0005-0000-0000-0000E31B0000}"/>
    <cellStyle name="Normal 4 3 2 7 4 2 3" xfId="17231" xr:uid="{00000000-0005-0000-0000-0000E41B0000}"/>
    <cellStyle name="Normal 4 3 2 7 4 2 3 2" xfId="41807" xr:uid="{00000000-0005-0000-0000-0000E51B0000}"/>
    <cellStyle name="Normal 4 3 2 7 4 2 4" xfId="29519" xr:uid="{00000000-0005-0000-0000-0000E61B0000}"/>
    <cellStyle name="Normal 4 3 2 7 4 3" xfId="8015" xr:uid="{00000000-0005-0000-0000-0000E71B0000}"/>
    <cellStyle name="Normal 4 3 2 7 4 3 2" xfId="20303" xr:uid="{00000000-0005-0000-0000-0000E81B0000}"/>
    <cellStyle name="Normal 4 3 2 7 4 3 2 2" xfId="44879" xr:uid="{00000000-0005-0000-0000-0000E91B0000}"/>
    <cellStyle name="Normal 4 3 2 7 4 3 3" xfId="32591" xr:uid="{00000000-0005-0000-0000-0000EA1B0000}"/>
    <cellStyle name="Normal 4 3 2 7 4 4" xfId="14159" xr:uid="{00000000-0005-0000-0000-0000EB1B0000}"/>
    <cellStyle name="Normal 4 3 2 7 4 4 2" xfId="38735" xr:uid="{00000000-0005-0000-0000-0000EC1B0000}"/>
    <cellStyle name="Normal 4 3 2 7 4 5" xfId="26447" xr:uid="{00000000-0005-0000-0000-0000ED1B0000}"/>
    <cellStyle name="Normal 4 3 2 7 5" xfId="3407" xr:uid="{00000000-0005-0000-0000-0000EE1B0000}"/>
    <cellStyle name="Normal 4 3 2 7 5 2" xfId="9551" xr:uid="{00000000-0005-0000-0000-0000EF1B0000}"/>
    <cellStyle name="Normal 4 3 2 7 5 2 2" xfId="21839" xr:uid="{00000000-0005-0000-0000-0000F01B0000}"/>
    <cellStyle name="Normal 4 3 2 7 5 2 2 2" xfId="46415" xr:uid="{00000000-0005-0000-0000-0000F11B0000}"/>
    <cellStyle name="Normal 4 3 2 7 5 2 3" xfId="34127" xr:uid="{00000000-0005-0000-0000-0000F21B0000}"/>
    <cellStyle name="Normal 4 3 2 7 5 3" xfId="15695" xr:uid="{00000000-0005-0000-0000-0000F31B0000}"/>
    <cellStyle name="Normal 4 3 2 7 5 3 2" xfId="40271" xr:uid="{00000000-0005-0000-0000-0000F41B0000}"/>
    <cellStyle name="Normal 4 3 2 7 5 4" xfId="27983" xr:uid="{00000000-0005-0000-0000-0000F51B0000}"/>
    <cellStyle name="Normal 4 3 2 7 6" xfId="6479" xr:uid="{00000000-0005-0000-0000-0000F61B0000}"/>
    <cellStyle name="Normal 4 3 2 7 6 2" xfId="18767" xr:uid="{00000000-0005-0000-0000-0000F71B0000}"/>
    <cellStyle name="Normal 4 3 2 7 6 2 2" xfId="43343" xr:uid="{00000000-0005-0000-0000-0000F81B0000}"/>
    <cellStyle name="Normal 4 3 2 7 6 3" xfId="31055" xr:uid="{00000000-0005-0000-0000-0000F91B0000}"/>
    <cellStyle name="Normal 4 3 2 7 7" xfId="12623" xr:uid="{00000000-0005-0000-0000-0000FA1B0000}"/>
    <cellStyle name="Normal 4 3 2 7 7 2" xfId="37199" xr:uid="{00000000-0005-0000-0000-0000FB1B0000}"/>
    <cellStyle name="Normal 4 3 2 7 8" xfId="24911" xr:uid="{00000000-0005-0000-0000-0000FC1B0000}"/>
    <cellStyle name="Normal 4 3 2 8" xfId="523" xr:uid="{00000000-0005-0000-0000-0000FD1B0000}"/>
    <cellStyle name="Normal 4 3 2 8 2" xfId="1291" xr:uid="{00000000-0005-0000-0000-0000FE1B0000}"/>
    <cellStyle name="Normal 4 3 2 8 2 2" xfId="2827" xr:uid="{00000000-0005-0000-0000-0000FF1B0000}"/>
    <cellStyle name="Normal 4 3 2 8 2 2 2" xfId="5903" xr:uid="{00000000-0005-0000-0000-0000001C0000}"/>
    <cellStyle name="Normal 4 3 2 8 2 2 2 2" xfId="12047" xr:uid="{00000000-0005-0000-0000-0000011C0000}"/>
    <cellStyle name="Normal 4 3 2 8 2 2 2 2 2" xfId="24335" xr:uid="{00000000-0005-0000-0000-0000021C0000}"/>
    <cellStyle name="Normal 4 3 2 8 2 2 2 2 2 2" xfId="48911" xr:uid="{00000000-0005-0000-0000-0000031C0000}"/>
    <cellStyle name="Normal 4 3 2 8 2 2 2 2 3" xfId="36623" xr:uid="{00000000-0005-0000-0000-0000041C0000}"/>
    <cellStyle name="Normal 4 3 2 8 2 2 2 3" xfId="18191" xr:uid="{00000000-0005-0000-0000-0000051C0000}"/>
    <cellStyle name="Normal 4 3 2 8 2 2 2 3 2" xfId="42767" xr:uid="{00000000-0005-0000-0000-0000061C0000}"/>
    <cellStyle name="Normal 4 3 2 8 2 2 2 4" xfId="30479" xr:uid="{00000000-0005-0000-0000-0000071C0000}"/>
    <cellStyle name="Normal 4 3 2 8 2 2 3" xfId="8975" xr:uid="{00000000-0005-0000-0000-0000081C0000}"/>
    <cellStyle name="Normal 4 3 2 8 2 2 3 2" xfId="21263" xr:uid="{00000000-0005-0000-0000-0000091C0000}"/>
    <cellStyle name="Normal 4 3 2 8 2 2 3 2 2" xfId="45839" xr:uid="{00000000-0005-0000-0000-00000A1C0000}"/>
    <cellStyle name="Normal 4 3 2 8 2 2 3 3" xfId="33551" xr:uid="{00000000-0005-0000-0000-00000B1C0000}"/>
    <cellStyle name="Normal 4 3 2 8 2 2 4" xfId="15119" xr:uid="{00000000-0005-0000-0000-00000C1C0000}"/>
    <cellStyle name="Normal 4 3 2 8 2 2 4 2" xfId="39695" xr:uid="{00000000-0005-0000-0000-00000D1C0000}"/>
    <cellStyle name="Normal 4 3 2 8 2 2 5" xfId="27407" xr:uid="{00000000-0005-0000-0000-00000E1C0000}"/>
    <cellStyle name="Normal 4 3 2 8 2 3" xfId="4367" xr:uid="{00000000-0005-0000-0000-00000F1C0000}"/>
    <cellStyle name="Normal 4 3 2 8 2 3 2" xfId="10511" xr:uid="{00000000-0005-0000-0000-0000101C0000}"/>
    <cellStyle name="Normal 4 3 2 8 2 3 2 2" xfId="22799" xr:uid="{00000000-0005-0000-0000-0000111C0000}"/>
    <cellStyle name="Normal 4 3 2 8 2 3 2 2 2" xfId="47375" xr:uid="{00000000-0005-0000-0000-0000121C0000}"/>
    <cellStyle name="Normal 4 3 2 8 2 3 2 3" xfId="35087" xr:uid="{00000000-0005-0000-0000-0000131C0000}"/>
    <cellStyle name="Normal 4 3 2 8 2 3 3" xfId="16655" xr:uid="{00000000-0005-0000-0000-0000141C0000}"/>
    <cellStyle name="Normal 4 3 2 8 2 3 3 2" xfId="41231" xr:uid="{00000000-0005-0000-0000-0000151C0000}"/>
    <cellStyle name="Normal 4 3 2 8 2 3 4" xfId="28943" xr:uid="{00000000-0005-0000-0000-0000161C0000}"/>
    <cellStyle name="Normal 4 3 2 8 2 4" xfId="7439" xr:uid="{00000000-0005-0000-0000-0000171C0000}"/>
    <cellStyle name="Normal 4 3 2 8 2 4 2" xfId="19727" xr:uid="{00000000-0005-0000-0000-0000181C0000}"/>
    <cellStyle name="Normal 4 3 2 8 2 4 2 2" xfId="44303" xr:uid="{00000000-0005-0000-0000-0000191C0000}"/>
    <cellStyle name="Normal 4 3 2 8 2 4 3" xfId="32015" xr:uid="{00000000-0005-0000-0000-00001A1C0000}"/>
    <cellStyle name="Normal 4 3 2 8 2 5" xfId="13583" xr:uid="{00000000-0005-0000-0000-00001B1C0000}"/>
    <cellStyle name="Normal 4 3 2 8 2 5 2" xfId="38159" xr:uid="{00000000-0005-0000-0000-00001C1C0000}"/>
    <cellStyle name="Normal 4 3 2 8 2 6" xfId="25871" xr:uid="{00000000-0005-0000-0000-00001D1C0000}"/>
    <cellStyle name="Normal 4 3 2 8 3" xfId="2059" xr:uid="{00000000-0005-0000-0000-00001E1C0000}"/>
    <cellStyle name="Normal 4 3 2 8 3 2" xfId="5135" xr:uid="{00000000-0005-0000-0000-00001F1C0000}"/>
    <cellStyle name="Normal 4 3 2 8 3 2 2" xfId="11279" xr:uid="{00000000-0005-0000-0000-0000201C0000}"/>
    <cellStyle name="Normal 4 3 2 8 3 2 2 2" xfId="23567" xr:uid="{00000000-0005-0000-0000-0000211C0000}"/>
    <cellStyle name="Normal 4 3 2 8 3 2 2 2 2" xfId="48143" xr:uid="{00000000-0005-0000-0000-0000221C0000}"/>
    <cellStyle name="Normal 4 3 2 8 3 2 2 3" xfId="35855" xr:uid="{00000000-0005-0000-0000-0000231C0000}"/>
    <cellStyle name="Normal 4 3 2 8 3 2 3" xfId="17423" xr:uid="{00000000-0005-0000-0000-0000241C0000}"/>
    <cellStyle name="Normal 4 3 2 8 3 2 3 2" xfId="41999" xr:uid="{00000000-0005-0000-0000-0000251C0000}"/>
    <cellStyle name="Normal 4 3 2 8 3 2 4" xfId="29711" xr:uid="{00000000-0005-0000-0000-0000261C0000}"/>
    <cellStyle name="Normal 4 3 2 8 3 3" xfId="8207" xr:uid="{00000000-0005-0000-0000-0000271C0000}"/>
    <cellStyle name="Normal 4 3 2 8 3 3 2" xfId="20495" xr:uid="{00000000-0005-0000-0000-0000281C0000}"/>
    <cellStyle name="Normal 4 3 2 8 3 3 2 2" xfId="45071" xr:uid="{00000000-0005-0000-0000-0000291C0000}"/>
    <cellStyle name="Normal 4 3 2 8 3 3 3" xfId="32783" xr:uid="{00000000-0005-0000-0000-00002A1C0000}"/>
    <cellStyle name="Normal 4 3 2 8 3 4" xfId="14351" xr:uid="{00000000-0005-0000-0000-00002B1C0000}"/>
    <cellStyle name="Normal 4 3 2 8 3 4 2" xfId="38927" xr:uid="{00000000-0005-0000-0000-00002C1C0000}"/>
    <cellStyle name="Normal 4 3 2 8 3 5" xfId="26639" xr:uid="{00000000-0005-0000-0000-00002D1C0000}"/>
    <cellStyle name="Normal 4 3 2 8 4" xfId="3599" xr:uid="{00000000-0005-0000-0000-00002E1C0000}"/>
    <cellStyle name="Normal 4 3 2 8 4 2" xfId="9743" xr:uid="{00000000-0005-0000-0000-00002F1C0000}"/>
    <cellStyle name="Normal 4 3 2 8 4 2 2" xfId="22031" xr:uid="{00000000-0005-0000-0000-0000301C0000}"/>
    <cellStyle name="Normal 4 3 2 8 4 2 2 2" xfId="46607" xr:uid="{00000000-0005-0000-0000-0000311C0000}"/>
    <cellStyle name="Normal 4 3 2 8 4 2 3" xfId="34319" xr:uid="{00000000-0005-0000-0000-0000321C0000}"/>
    <cellStyle name="Normal 4 3 2 8 4 3" xfId="15887" xr:uid="{00000000-0005-0000-0000-0000331C0000}"/>
    <cellStyle name="Normal 4 3 2 8 4 3 2" xfId="40463" xr:uid="{00000000-0005-0000-0000-0000341C0000}"/>
    <cellStyle name="Normal 4 3 2 8 4 4" xfId="28175" xr:uid="{00000000-0005-0000-0000-0000351C0000}"/>
    <cellStyle name="Normal 4 3 2 8 5" xfId="6671" xr:uid="{00000000-0005-0000-0000-0000361C0000}"/>
    <cellStyle name="Normal 4 3 2 8 5 2" xfId="18959" xr:uid="{00000000-0005-0000-0000-0000371C0000}"/>
    <cellStyle name="Normal 4 3 2 8 5 2 2" xfId="43535" xr:uid="{00000000-0005-0000-0000-0000381C0000}"/>
    <cellStyle name="Normal 4 3 2 8 5 3" xfId="31247" xr:uid="{00000000-0005-0000-0000-0000391C0000}"/>
    <cellStyle name="Normal 4 3 2 8 6" xfId="12815" xr:uid="{00000000-0005-0000-0000-00003A1C0000}"/>
    <cellStyle name="Normal 4 3 2 8 6 2" xfId="37391" xr:uid="{00000000-0005-0000-0000-00003B1C0000}"/>
    <cellStyle name="Normal 4 3 2 8 7" xfId="25103" xr:uid="{00000000-0005-0000-0000-00003C1C0000}"/>
    <cellStyle name="Normal 4 3 2 9" xfId="907" xr:uid="{00000000-0005-0000-0000-00003D1C0000}"/>
    <cellStyle name="Normal 4 3 2 9 2" xfId="2443" xr:uid="{00000000-0005-0000-0000-00003E1C0000}"/>
    <cellStyle name="Normal 4 3 2 9 2 2" xfId="5519" xr:uid="{00000000-0005-0000-0000-00003F1C0000}"/>
    <cellStyle name="Normal 4 3 2 9 2 2 2" xfId="11663" xr:uid="{00000000-0005-0000-0000-0000401C0000}"/>
    <cellStyle name="Normal 4 3 2 9 2 2 2 2" xfId="23951" xr:uid="{00000000-0005-0000-0000-0000411C0000}"/>
    <cellStyle name="Normal 4 3 2 9 2 2 2 2 2" xfId="48527" xr:uid="{00000000-0005-0000-0000-0000421C0000}"/>
    <cellStyle name="Normal 4 3 2 9 2 2 2 3" xfId="36239" xr:uid="{00000000-0005-0000-0000-0000431C0000}"/>
    <cellStyle name="Normal 4 3 2 9 2 2 3" xfId="17807" xr:uid="{00000000-0005-0000-0000-0000441C0000}"/>
    <cellStyle name="Normal 4 3 2 9 2 2 3 2" xfId="42383" xr:uid="{00000000-0005-0000-0000-0000451C0000}"/>
    <cellStyle name="Normal 4 3 2 9 2 2 4" xfId="30095" xr:uid="{00000000-0005-0000-0000-0000461C0000}"/>
    <cellStyle name="Normal 4 3 2 9 2 3" xfId="8591" xr:uid="{00000000-0005-0000-0000-0000471C0000}"/>
    <cellStyle name="Normal 4 3 2 9 2 3 2" xfId="20879" xr:uid="{00000000-0005-0000-0000-0000481C0000}"/>
    <cellStyle name="Normal 4 3 2 9 2 3 2 2" xfId="45455" xr:uid="{00000000-0005-0000-0000-0000491C0000}"/>
    <cellStyle name="Normal 4 3 2 9 2 3 3" xfId="33167" xr:uid="{00000000-0005-0000-0000-00004A1C0000}"/>
    <cellStyle name="Normal 4 3 2 9 2 4" xfId="14735" xr:uid="{00000000-0005-0000-0000-00004B1C0000}"/>
    <cellStyle name="Normal 4 3 2 9 2 4 2" xfId="39311" xr:uid="{00000000-0005-0000-0000-00004C1C0000}"/>
    <cellStyle name="Normal 4 3 2 9 2 5" xfId="27023" xr:uid="{00000000-0005-0000-0000-00004D1C0000}"/>
    <cellStyle name="Normal 4 3 2 9 3" xfId="3983" xr:uid="{00000000-0005-0000-0000-00004E1C0000}"/>
    <cellStyle name="Normal 4 3 2 9 3 2" xfId="10127" xr:uid="{00000000-0005-0000-0000-00004F1C0000}"/>
    <cellStyle name="Normal 4 3 2 9 3 2 2" xfId="22415" xr:uid="{00000000-0005-0000-0000-0000501C0000}"/>
    <cellStyle name="Normal 4 3 2 9 3 2 2 2" xfId="46991" xr:uid="{00000000-0005-0000-0000-0000511C0000}"/>
    <cellStyle name="Normal 4 3 2 9 3 2 3" xfId="34703" xr:uid="{00000000-0005-0000-0000-0000521C0000}"/>
    <cellStyle name="Normal 4 3 2 9 3 3" xfId="16271" xr:uid="{00000000-0005-0000-0000-0000531C0000}"/>
    <cellStyle name="Normal 4 3 2 9 3 3 2" xfId="40847" xr:uid="{00000000-0005-0000-0000-0000541C0000}"/>
    <cellStyle name="Normal 4 3 2 9 3 4" xfId="28559" xr:uid="{00000000-0005-0000-0000-0000551C0000}"/>
    <cellStyle name="Normal 4 3 2 9 4" xfId="7055" xr:uid="{00000000-0005-0000-0000-0000561C0000}"/>
    <cellStyle name="Normal 4 3 2 9 4 2" xfId="19343" xr:uid="{00000000-0005-0000-0000-0000571C0000}"/>
    <cellStyle name="Normal 4 3 2 9 4 2 2" xfId="43919" xr:uid="{00000000-0005-0000-0000-0000581C0000}"/>
    <cellStyle name="Normal 4 3 2 9 4 3" xfId="31631" xr:uid="{00000000-0005-0000-0000-0000591C0000}"/>
    <cellStyle name="Normal 4 3 2 9 5" xfId="13199" xr:uid="{00000000-0005-0000-0000-00005A1C0000}"/>
    <cellStyle name="Normal 4 3 2 9 5 2" xfId="37775" xr:uid="{00000000-0005-0000-0000-00005B1C0000}"/>
    <cellStyle name="Normal 4 3 2 9 6" xfId="25487" xr:uid="{00000000-0005-0000-0000-00005C1C0000}"/>
    <cellStyle name="Normal 4 3 3" xfId="102" xr:uid="{00000000-0005-0000-0000-00005D1C0000}"/>
    <cellStyle name="Normal 4 3 3 10" xfId="3219" xr:uid="{00000000-0005-0000-0000-00005E1C0000}"/>
    <cellStyle name="Normal 4 3 3 10 2" xfId="9363" xr:uid="{00000000-0005-0000-0000-00005F1C0000}"/>
    <cellStyle name="Normal 4 3 3 10 2 2" xfId="21651" xr:uid="{00000000-0005-0000-0000-0000601C0000}"/>
    <cellStyle name="Normal 4 3 3 10 2 2 2" xfId="46227" xr:uid="{00000000-0005-0000-0000-0000611C0000}"/>
    <cellStyle name="Normal 4 3 3 10 2 3" xfId="33939" xr:uid="{00000000-0005-0000-0000-0000621C0000}"/>
    <cellStyle name="Normal 4 3 3 10 3" xfId="15507" xr:uid="{00000000-0005-0000-0000-0000631C0000}"/>
    <cellStyle name="Normal 4 3 3 10 3 2" xfId="40083" xr:uid="{00000000-0005-0000-0000-0000641C0000}"/>
    <cellStyle name="Normal 4 3 3 10 4" xfId="27795" xr:uid="{00000000-0005-0000-0000-0000651C0000}"/>
    <cellStyle name="Normal 4 3 3 11" xfId="6291" xr:uid="{00000000-0005-0000-0000-0000661C0000}"/>
    <cellStyle name="Normal 4 3 3 11 2" xfId="18579" xr:uid="{00000000-0005-0000-0000-0000671C0000}"/>
    <cellStyle name="Normal 4 3 3 11 2 2" xfId="43155" xr:uid="{00000000-0005-0000-0000-0000681C0000}"/>
    <cellStyle name="Normal 4 3 3 11 3" xfId="30867" xr:uid="{00000000-0005-0000-0000-0000691C0000}"/>
    <cellStyle name="Normal 4 3 3 12" xfId="12435" xr:uid="{00000000-0005-0000-0000-00006A1C0000}"/>
    <cellStyle name="Normal 4 3 3 12 2" xfId="37011" xr:uid="{00000000-0005-0000-0000-00006B1C0000}"/>
    <cellStyle name="Normal 4 3 3 13" xfId="24723" xr:uid="{00000000-0005-0000-0000-00006C1C0000}"/>
    <cellStyle name="Normal 4 3 3 2" xfId="118" xr:uid="{00000000-0005-0000-0000-00006D1C0000}"/>
    <cellStyle name="Normal 4 3 3 2 10" xfId="6307" xr:uid="{00000000-0005-0000-0000-00006E1C0000}"/>
    <cellStyle name="Normal 4 3 3 2 10 2" xfId="18595" xr:uid="{00000000-0005-0000-0000-00006F1C0000}"/>
    <cellStyle name="Normal 4 3 3 2 10 2 2" xfId="43171" xr:uid="{00000000-0005-0000-0000-0000701C0000}"/>
    <cellStyle name="Normal 4 3 3 2 10 3" xfId="30883" xr:uid="{00000000-0005-0000-0000-0000711C0000}"/>
    <cellStyle name="Normal 4 3 3 2 11" xfId="12451" xr:uid="{00000000-0005-0000-0000-0000721C0000}"/>
    <cellStyle name="Normal 4 3 3 2 11 2" xfId="37027" xr:uid="{00000000-0005-0000-0000-0000731C0000}"/>
    <cellStyle name="Normal 4 3 3 2 12" xfId="24739" xr:uid="{00000000-0005-0000-0000-0000741C0000}"/>
    <cellStyle name="Normal 4 3 3 2 2" xfId="190" xr:uid="{00000000-0005-0000-0000-0000751C0000}"/>
    <cellStyle name="Normal 4 3 3 2 2 10" xfId="12483" xr:uid="{00000000-0005-0000-0000-0000761C0000}"/>
    <cellStyle name="Normal 4 3 3 2 2 10 2" xfId="37059" xr:uid="{00000000-0005-0000-0000-0000771C0000}"/>
    <cellStyle name="Normal 4 3 3 2 2 11" xfId="24771" xr:uid="{00000000-0005-0000-0000-0000781C0000}"/>
    <cellStyle name="Normal 4 3 3 2 2 2" xfId="255" xr:uid="{00000000-0005-0000-0000-0000791C0000}"/>
    <cellStyle name="Normal 4 3 3 2 2 2 2" xfId="447" xr:uid="{00000000-0005-0000-0000-00007A1C0000}"/>
    <cellStyle name="Normal 4 3 3 2 2 2 2 2" xfId="831" xr:uid="{00000000-0005-0000-0000-00007B1C0000}"/>
    <cellStyle name="Normal 4 3 3 2 2 2 2 2 2" xfId="1599" xr:uid="{00000000-0005-0000-0000-00007C1C0000}"/>
    <cellStyle name="Normal 4 3 3 2 2 2 2 2 2 2" xfId="3135" xr:uid="{00000000-0005-0000-0000-00007D1C0000}"/>
    <cellStyle name="Normal 4 3 3 2 2 2 2 2 2 2 2" xfId="6211" xr:uid="{00000000-0005-0000-0000-00007E1C0000}"/>
    <cellStyle name="Normal 4 3 3 2 2 2 2 2 2 2 2 2" xfId="12355" xr:uid="{00000000-0005-0000-0000-00007F1C0000}"/>
    <cellStyle name="Normal 4 3 3 2 2 2 2 2 2 2 2 2 2" xfId="24643" xr:uid="{00000000-0005-0000-0000-0000801C0000}"/>
    <cellStyle name="Normal 4 3 3 2 2 2 2 2 2 2 2 2 2 2" xfId="49219" xr:uid="{00000000-0005-0000-0000-0000811C0000}"/>
    <cellStyle name="Normal 4 3 3 2 2 2 2 2 2 2 2 2 3" xfId="36931" xr:uid="{00000000-0005-0000-0000-0000821C0000}"/>
    <cellStyle name="Normal 4 3 3 2 2 2 2 2 2 2 2 3" xfId="18499" xr:uid="{00000000-0005-0000-0000-0000831C0000}"/>
    <cellStyle name="Normal 4 3 3 2 2 2 2 2 2 2 2 3 2" xfId="43075" xr:uid="{00000000-0005-0000-0000-0000841C0000}"/>
    <cellStyle name="Normal 4 3 3 2 2 2 2 2 2 2 2 4" xfId="30787" xr:uid="{00000000-0005-0000-0000-0000851C0000}"/>
    <cellStyle name="Normal 4 3 3 2 2 2 2 2 2 2 3" xfId="9283" xr:uid="{00000000-0005-0000-0000-0000861C0000}"/>
    <cellStyle name="Normal 4 3 3 2 2 2 2 2 2 2 3 2" xfId="21571" xr:uid="{00000000-0005-0000-0000-0000871C0000}"/>
    <cellStyle name="Normal 4 3 3 2 2 2 2 2 2 2 3 2 2" xfId="46147" xr:uid="{00000000-0005-0000-0000-0000881C0000}"/>
    <cellStyle name="Normal 4 3 3 2 2 2 2 2 2 2 3 3" xfId="33859" xr:uid="{00000000-0005-0000-0000-0000891C0000}"/>
    <cellStyle name="Normal 4 3 3 2 2 2 2 2 2 2 4" xfId="15427" xr:uid="{00000000-0005-0000-0000-00008A1C0000}"/>
    <cellStyle name="Normal 4 3 3 2 2 2 2 2 2 2 4 2" xfId="40003" xr:uid="{00000000-0005-0000-0000-00008B1C0000}"/>
    <cellStyle name="Normal 4 3 3 2 2 2 2 2 2 2 5" xfId="27715" xr:uid="{00000000-0005-0000-0000-00008C1C0000}"/>
    <cellStyle name="Normal 4 3 3 2 2 2 2 2 2 3" xfId="4675" xr:uid="{00000000-0005-0000-0000-00008D1C0000}"/>
    <cellStyle name="Normal 4 3 3 2 2 2 2 2 2 3 2" xfId="10819" xr:uid="{00000000-0005-0000-0000-00008E1C0000}"/>
    <cellStyle name="Normal 4 3 3 2 2 2 2 2 2 3 2 2" xfId="23107" xr:uid="{00000000-0005-0000-0000-00008F1C0000}"/>
    <cellStyle name="Normal 4 3 3 2 2 2 2 2 2 3 2 2 2" xfId="47683" xr:uid="{00000000-0005-0000-0000-0000901C0000}"/>
    <cellStyle name="Normal 4 3 3 2 2 2 2 2 2 3 2 3" xfId="35395" xr:uid="{00000000-0005-0000-0000-0000911C0000}"/>
    <cellStyle name="Normal 4 3 3 2 2 2 2 2 2 3 3" xfId="16963" xr:uid="{00000000-0005-0000-0000-0000921C0000}"/>
    <cellStyle name="Normal 4 3 3 2 2 2 2 2 2 3 3 2" xfId="41539" xr:uid="{00000000-0005-0000-0000-0000931C0000}"/>
    <cellStyle name="Normal 4 3 3 2 2 2 2 2 2 3 4" xfId="29251" xr:uid="{00000000-0005-0000-0000-0000941C0000}"/>
    <cellStyle name="Normal 4 3 3 2 2 2 2 2 2 4" xfId="7747" xr:uid="{00000000-0005-0000-0000-0000951C0000}"/>
    <cellStyle name="Normal 4 3 3 2 2 2 2 2 2 4 2" xfId="20035" xr:uid="{00000000-0005-0000-0000-0000961C0000}"/>
    <cellStyle name="Normal 4 3 3 2 2 2 2 2 2 4 2 2" xfId="44611" xr:uid="{00000000-0005-0000-0000-0000971C0000}"/>
    <cellStyle name="Normal 4 3 3 2 2 2 2 2 2 4 3" xfId="32323" xr:uid="{00000000-0005-0000-0000-0000981C0000}"/>
    <cellStyle name="Normal 4 3 3 2 2 2 2 2 2 5" xfId="13891" xr:uid="{00000000-0005-0000-0000-0000991C0000}"/>
    <cellStyle name="Normal 4 3 3 2 2 2 2 2 2 5 2" xfId="38467" xr:uid="{00000000-0005-0000-0000-00009A1C0000}"/>
    <cellStyle name="Normal 4 3 3 2 2 2 2 2 2 6" xfId="26179" xr:uid="{00000000-0005-0000-0000-00009B1C0000}"/>
    <cellStyle name="Normal 4 3 3 2 2 2 2 2 3" xfId="2367" xr:uid="{00000000-0005-0000-0000-00009C1C0000}"/>
    <cellStyle name="Normal 4 3 3 2 2 2 2 2 3 2" xfId="5443" xr:uid="{00000000-0005-0000-0000-00009D1C0000}"/>
    <cellStyle name="Normal 4 3 3 2 2 2 2 2 3 2 2" xfId="11587" xr:uid="{00000000-0005-0000-0000-00009E1C0000}"/>
    <cellStyle name="Normal 4 3 3 2 2 2 2 2 3 2 2 2" xfId="23875" xr:uid="{00000000-0005-0000-0000-00009F1C0000}"/>
    <cellStyle name="Normal 4 3 3 2 2 2 2 2 3 2 2 2 2" xfId="48451" xr:uid="{00000000-0005-0000-0000-0000A01C0000}"/>
    <cellStyle name="Normal 4 3 3 2 2 2 2 2 3 2 2 3" xfId="36163" xr:uid="{00000000-0005-0000-0000-0000A11C0000}"/>
    <cellStyle name="Normal 4 3 3 2 2 2 2 2 3 2 3" xfId="17731" xr:uid="{00000000-0005-0000-0000-0000A21C0000}"/>
    <cellStyle name="Normal 4 3 3 2 2 2 2 2 3 2 3 2" xfId="42307" xr:uid="{00000000-0005-0000-0000-0000A31C0000}"/>
    <cellStyle name="Normal 4 3 3 2 2 2 2 2 3 2 4" xfId="30019" xr:uid="{00000000-0005-0000-0000-0000A41C0000}"/>
    <cellStyle name="Normal 4 3 3 2 2 2 2 2 3 3" xfId="8515" xr:uid="{00000000-0005-0000-0000-0000A51C0000}"/>
    <cellStyle name="Normal 4 3 3 2 2 2 2 2 3 3 2" xfId="20803" xr:uid="{00000000-0005-0000-0000-0000A61C0000}"/>
    <cellStyle name="Normal 4 3 3 2 2 2 2 2 3 3 2 2" xfId="45379" xr:uid="{00000000-0005-0000-0000-0000A71C0000}"/>
    <cellStyle name="Normal 4 3 3 2 2 2 2 2 3 3 3" xfId="33091" xr:uid="{00000000-0005-0000-0000-0000A81C0000}"/>
    <cellStyle name="Normal 4 3 3 2 2 2 2 2 3 4" xfId="14659" xr:uid="{00000000-0005-0000-0000-0000A91C0000}"/>
    <cellStyle name="Normal 4 3 3 2 2 2 2 2 3 4 2" xfId="39235" xr:uid="{00000000-0005-0000-0000-0000AA1C0000}"/>
    <cellStyle name="Normal 4 3 3 2 2 2 2 2 3 5" xfId="26947" xr:uid="{00000000-0005-0000-0000-0000AB1C0000}"/>
    <cellStyle name="Normal 4 3 3 2 2 2 2 2 4" xfId="3907" xr:uid="{00000000-0005-0000-0000-0000AC1C0000}"/>
    <cellStyle name="Normal 4 3 3 2 2 2 2 2 4 2" xfId="10051" xr:uid="{00000000-0005-0000-0000-0000AD1C0000}"/>
    <cellStyle name="Normal 4 3 3 2 2 2 2 2 4 2 2" xfId="22339" xr:uid="{00000000-0005-0000-0000-0000AE1C0000}"/>
    <cellStyle name="Normal 4 3 3 2 2 2 2 2 4 2 2 2" xfId="46915" xr:uid="{00000000-0005-0000-0000-0000AF1C0000}"/>
    <cellStyle name="Normal 4 3 3 2 2 2 2 2 4 2 3" xfId="34627" xr:uid="{00000000-0005-0000-0000-0000B01C0000}"/>
    <cellStyle name="Normal 4 3 3 2 2 2 2 2 4 3" xfId="16195" xr:uid="{00000000-0005-0000-0000-0000B11C0000}"/>
    <cellStyle name="Normal 4 3 3 2 2 2 2 2 4 3 2" xfId="40771" xr:uid="{00000000-0005-0000-0000-0000B21C0000}"/>
    <cellStyle name="Normal 4 3 3 2 2 2 2 2 4 4" xfId="28483" xr:uid="{00000000-0005-0000-0000-0000B31C0000}"/>
    <cellStyle name="Normal 4 3 3 2 2 2 2 2 5" xfId="6979" xr:uid="{00000000-0005-0000-0000-0000B41C0000}"/>
    <cellStyle name="Normal 4 3 3 2 2 2 2 2 5 2" xfId="19267" xr:uid="{00000000-0005-0000-0000-0000B51C0000}"/>
    <cellStyle name="Normal 4 3 3 2 2 2 2 2 5 2 2" xfId="43843" xr:uid="{00000000-0005-0000-0000-0000B61C0000}"/>
    <cellStyle name="Normal 4 3 3 2 2 2 2 2 5 3" xfId="31555" xr:uid="{00000000-0005-0000-0000-0000B71C0000}"/>
    <cellStyle name="Normal 4 3 3 2 2 2 2 2 6" xfId="13123" xr:uid="{00000000-0005-0000-0000-0000B81C0000}"/>
    <cellStyle name="Normal 4 3 3 2 2 2 2 2 6 2" xfId="37699" xr:uid="{00000000-0005-0000-0000-0000B91C0000}"/>
    <cellStyle name="Normal 4 3 3 2 2 2 2 2 7" xfId="25411" xr:uid="{00000000-0005-0000-0000-0000BA1C0000}"/>
    <cellStyle name="Normal 4 3 3 2 2 2 2 3" xfId="1215" xr:uid="{00000000-0005-0000-0000-0000BB1C0000}"/>
    <cellStyle name="Normal 4 3 3 2 2 2 2 3 2" xfId="2751" xr:uid="{00000000-0005-0000-0000-0000BC1C0000}"/>
    <cellStyle name="Normal 4 3 3 2 2 2 2 3 2 2" xfId="5827" xr:uid="{00000000-0005-0000-0000-0000BD1C0000}"/>
    <cellStyle name="Normal 4 3 3 2 2 2 2 3 2 2 2" xfId="11971" xr:uid="{00000000-0005-0000-0000-0000BE1C0000}"/>
    <cellStyle name="Normal 4 3 3 2 2 2 2 3 2 2 2 2" xfId="24259" xr:uid="{00000000-0005-0000-0000-0000BF1C0000}"/>
    <cellStyle name="Normal 4 3 3 2 2 2 2 3 2 2 2 2 2" xfId="48835" xr:uid="{00000000-0005-0000-0000-0000C01C0000}"/>
    <cellStyle name="Normal 4 3 3 2 2 2 2 3 2 2 2 3" xfId="36547" xr:uid="{00000000-0005-0000-0000-0000C11C0000}"/>
    <cellStyle name="Normal 4 3 3 2 2 2 2 3 2 2 3" xfId="18115" xr:uid="{00000000-0005-0000-0000-0000C21C0000}"/>
    <cellStyle name="Normal 4 3 3 2 2 2 2 3 2 2 3 2" xfId="42691" xr:uid="{00000000-0005-0000-0000-0000C31C0000}"/>
    <cellStyle name="Normal 4 3 3 2 2 2 2 3 2 2 4" xfId="30403" xr:uid="{00000000-0005-0000-0000-0000C41C0000}"/>
    <cellStyle name="Normal 4 3 3 2 2 2 2 3 2 3" xfId="8899" xr:uid="{00000000-0005-0000-0000-0000C51C0000}"/>
    <cellStyle name="Normal 4 3 3 2 2 2 2 3 2 3 2" xfId="21187" xr:uid="{00000000-0005-0000-0000-0000C61C0000}"/>
    <cellStyle name="Normal 4 3 3 2 2 2 2 3 2 3 2 2" xfId="45763" xr:uid="{00000000-0005-0000-0000-0000C71C0000}"/>
    <cellStyle name="Normal 4 3 3 2 2 2 2 3 2 3 3" xfId="33475" xr:uid="{00000000-0005-0000-0000-0000C81C0000}"/>
    <cellStyle name="Normal 4 3 3 2 2 2 2 3 2 4" xfId="15043" xr:uid="{00000000-0005-0000-0000-0000C91C0000}"/>
    <cellStyle name="Normal 4 3 3 2 2 2 2 3 2 4 2" xfId="39619" xr:uid="{00000000-0005-0000-0000-0000CA1C0000}"/>
    <cellStyle name="Normal 4 3 3 2 2 2 2 3 2 5" xfId="27331" xr:uid="{00000000-0005-0000-0000-0000CB1C0000}"/>
    <cellStyle name="Normal 4 3 3 2 2 2 2 3 3" xfId="4291" xr:uid="{00000000-0005-0000-0000-0000CC1C0000}"/>
    <cellStyle name="Normal 4 3 3 2 2 2 2 3 3 2" xfId="10435" xr:uid="{00000000-0005-0000-0000-0000CD1C0000}"/>
    <cellStyle name="Normal 4 3 3 2 2 2 2 3 3 2 2" xfId="22723" xr:uid="{00000000-0005-0000-0000-0000CE1C0000}"/>
    <cellStyle name="Normal 4 3 3 2 2 2 2 3 3 2 2 2" xfId="47299" xr:uid="{00000000-0005-0000-0000-0000CF1C0000}"/>
    <cellStyle name="Normal 4 3 3 2 2 2 2 3 3 2 3" xfId="35011" xr:uid="{00000000-0005-0000-0000-0000D01C0000}"/>
    <cellStyle name="Normal 4 3 3 2 2 2 2 3 3 3" xfId="16579" xr:uid="{00000000-0005-0000-0000-0000D11C0000}"/>
    <cellStyle name="Normal 4 3 3 2 2 2 2 3 3 3 2" xfId="41155" xr:uid="{00000000-0005-0000-0000-0000D21C0000}"/>
    <cellStyle name="Normal 4 3 3 2 2 2 2 3 3 4" xfId="28867" xr:uid="{00000000-0005-0000-0000-0000D31C0000}"/>
    <cellStyle name="Normal 4 3 3 2 2 2 2 3 4" xfId="7363" xr:uid="{00000000-0005-0000-0000-0000D41C0000}"/>
    <cellStyle name="Normal 4 3 3 2 2 2 2 3 4 2" xfId="19651" xr:uid="{00000000-0005-0000-0000-0000D51C0000}"/>
    <cellStyle name="Normal 4 3 3 2 2 2 2 3 4 2 2" xfId="44227" xr:uid="{00000000-0005-0000-0000-0000D61C0000}"/>
    <cellStyle name="Normal 4 3 3 2 2 2 2 3 4 3" xfId="31939" xr:uid="{00000000-0005-0000-0000-0000D71C0000}"/>
    <cellStyle name="Normal 4 3 3 2 2 2 2 3 5" xfId="13507" xr:uid="{00000000-0005-0000-0000-0000D81C0000}"/>
    <cellStyle name="Normal 4 3 3 2 2 2 2 3 5 2" xfId="38083" xr:uid="{00000000-0005-0000-0000-0000D91C0000}"/>
    <cellStyle name="Normal 4 3 3 2 2 2 2 3 6" xfId="25795" xr:uid="{00000000-0005-0000-0000-0000DA1C0000}"/>
    <cellStyle name="Normal 4 3 3 2 2 2 2 4" xfId="1983" xr:uid="{00000000-0005-0000-0000-0000DB1C0000}"/>
    <cellStyle name="Normal 4 3 3 2 2 2 2 4 2" xfId="5059" xr:uid="{00000000-0005-0000-0000-0000DC1C0000}"/>
    <cellStyle name="Normal 4 3 3 2 2 2 2 4 2 2" xfId="11203" xr:uid="{00000000-0005-0000-0000-0000DD1C0000}"/>
    <cellStyle name="Normal 4 3 3 2 2 2 2 4 2 2 2" xfId="23491" xr:uid="{00000000-0005-0000-0000-0000DE1C0000}"/>
    <cellStyle name="Normal 4 3 3 2 2 2 2 4 2 2 2 2" xfId="48067" xr:uid="{00000000-0005-0000-0000-0000DF1C0000}"/>
    <cellStyle name="Normal 4 3 3 2 2 2 2 4 2 2 3" xfId="35779" xr:uid="{00000000-0005-0000-0000-0000E01C0000}"/>
    <cellStyle name="Normal 4 3 3 2 2 2 2 4 2 3" xfId="17347" xr:uid="{00000000-0005-0000-0000-0000E11C0000}"/>
    <cellStyle name="Normal 4 3 3 2 2 2 2 4 2 3 2" xfId="41923" xr:uid="{00000000-0005-0000-0000-0000E21C0000}"/>
    <cellStyle name="Normal 4 3 3 2 2 2 2 4 2 4" xfId="29635" xr:uid="{00000000-0005-0000-0000-0000E31C0000}"/>
    <cellStyle name="Normal 4 3 3 2 2 2 2 4 3" xfId="8131" xr:uid="{00000000-0005-0000-0000-0000E41C0000}"/>
    <cellStyle name="Normal 4 3 3 2 2 2 2 4 3 2" xfId="20419" xr:uid="{00000000-0005-0000-0000-0000E51C0000}"/>
    <cellStyle name="Normal 4 3 3 2 2 2 2 4 3 2 2" xfId="44995" xr:uid="{00000000-0005-0000-0000-0000E61C0000}"/>
    <cellStyle name="Normal 4 3 3 2 2 2 2 4 3 3" xfId="32707" xr:uid="{00000000-0005-0000-0000-0000E71C0000}"/>
    <cellStyle name="Normal 4 3 3 2 2 2 2 4 4" xfId="14275" xr:uid="{00000000-0005-0000-0000-0000E81C0000}"/>
    <cellStyle name="Normal 4 3 3 2 2 2 2 4 4 2" xfId="38851" xr:uid="{00000000-0005-0000-0000-0000E91C0000}"/>
    <cellStyle name="Normal 4 3 3 2 2 2 2 4 5" xfId="26563" xr:uid="{00000000-0005-0000-0000-0000EA1C0000}"/>
    <cellStyle name="Normal 4 3 3 2 2 2 2 5" xfId="3523" xr:uid="{00000000-0005-0000-0000-0000EB1C0000}"/>
    <cellStyle name="Normal 4 3 3 2 2 2 2 5 2" xfId="9667" xr:uid="{00000000-0005-0000-0000-0000EC1C0000}"/>
    <cellStyle name="Normal 4 3 3 2 2 2 2 5 2 2" xfId="21955" xr:uid="{00000000-0005-0000-0000-0000ED1C0000}"/>
    <cellStyle name="Normal 4 3 3 2 2 2 2 5 2 2 2" xfId="46531" xr:uid="{00000000-0005-0000-0000-0000EE1C0000}"/>
    <cellStyle name="Normal 4 3 3 2 2 2 2 5 2 3" xfId="34243" xr:uid="{00000000-0005-0000-0000-0000EF1C0000}"/>
    <cellStyle name="Normal 4 3 3 2 2 2 2 5 3" xfId="15811" xr:uid="{00000000-0005-0000-0000-0000F01C0000}"/>
    <cellStyle name="Normal 4 3 3 2 2 2 2 5 3 2" xfId="40387" xr:uid="{00000000-0005-0000-0000-0000F11C0000}"/>
    <cellStyle name="Normal 4 3 3 2 2 2 2 5 4" xfId="28099" xr:uid="{00000000-0005-0000-0000-0000F21C0000}"/>
    <cellStyle name="Normal 4 3 3 2 2 2 2 6" xfId="6595" xr:uid="{00000000-0005-0000-0000-0000F31C0000}"/>
    <cellStyle name="Normal 4 3 3 2 2 2 2 6 2" xfId="18883" xr:uid="{00000000-0005-0000-0000-0000F41C0000}"/>
    <cellStyle name="Normal 4 3 3 2 2 2 2 6 2 2" xfId="43459" xr:uid="{00000000-0005-0000-0000-0000F51C0000}"/>
    <cellStyle name="Normal 4 3 3 2 2 2 2 6 3" xfId="31171" xr:uid="{00000000-0005-0000-0000-0000F61C0000}"/>
    <cellStyle name="Normal 4 3 3 2 2 2 2 7" xfId="12739" xr:uid="{00000000-0005-0000-0000-0000F71C0000}"/>
    <cellStyle name="Normal 4 3 3 2 2 2 2 7 2" xfId="37315" xr:uid="{00000000-0005-0000-0000-0000F81C0000}"/>
    <cellStyle name="Normal 4 3 3 2 2 2 2 8" xfId="25027" xr:uid="{00000000-0005-0000-0000-0000F91C0000}"/>
    <cellStyle name="Normal 4 3 3 2 2 2 3" xfId="639" xr:uid="{00000000-0005-0000-0000-0000FA1C0000}"/>
    <cellStyle name="Normal 4 3 3 2 2 2 3 2" xfId="1407" xr:uid="{00000000-0005-0000-0000-0000FB1C0000}"/>
    <cellStyle name="Normal 4 3 3 2 2 2 3 2 2" xfId="2943" xr:uid="{00000000-0005-0000-0000-0000FC1C0000}"/>
    <cellStyle name="Normal 4 3 3 2 2 2 3 2 2 2" xfId="6019" xr:uid="{00000000-0005-0000-0000-0000FD1C0000}"/>
    <cellStyle name="Normal 4 3 3 2 2 2 3 2 2 2 2" xfId="12163" xr:uid="{00000000-0005-0000-0000-0000FE1C0000}"/>
    <cellStyle name="Normal 4 3 3 2 2 2 3 2 2 2 2 2" xfId="24451" xr:uid="{00000000-0005-0000-0000-0000FF1C0000}"/>
    <cellStyle name="Normal 4 3 3 2 2 2 3 2 2 2 2 2 2" xfId="49027" xr:uid="{00000000-0005-0000-0000-0000001D0000}"/>
    <cellStyle name="Normal 4 3 3 2 2 2 3 2 2 2 2 3" xfId="36739" xr:uid="{00000000-0005-0000-0000-0000011D0000}"/>
    <cellStyle name="Normal 4 3 3 2 2 2 3 2 2 2 3" xfId="18307" xr:uid="{00000000-0005-0000-0000-0000021D0000}"/>
    <cellStyle name="Normal 4 3 3 2 2 2 3 2 2 2 3 2" xfId="42883" xr:uid="{00000000-0005-0000-0000-0000031D0000}"/>
    <cellStyle name="Normal 4 3 3 2 2 2 3 2 2 2 4" xfId="30595" xr:uid="{00000000-0005-0000-0000-0000041D0000}"/>
    <cellStyle name="Normal 4 3 3 2 2 2 3 2 2 3" xfId="9091" xr:uid="{00000000-0005-0000-0000-0000051D0000}"/>
    <cellStyle name="Normal 4 3 3 2 2 2 3 2 2 3 2" xfId="21379" xr:uid="{00000000-0005-0000-0000-0000061D0000}"/>
    <cellStyle name="Normal 4 3 3 2 2 2 3 2 2 3 2 2" xfId="45955" xr:uid="{00000000-0005-0000-0000-0000071D0000}"/>
    <cellStyle name="Normal 4 3 3 2 2 2 3 2 2 3 3" xfId="33667" xr:uid="{00000000-0005-0000-0000-0000081D0000}"/>
    <cellStyle name="Normal 4 3 3 2 2 2 3 2 2 4" xfId="15235" xr:uid="{00000000-0005-0000-0000-0000091D0000}"/>
    <cellStyle name="Normal 4 3 3 2 2 2 3 2 2 4 2" xfId="39811" xr:uid="{00000000-0005-0000-0000-00000A1D0000}"/>
    <cellStyle name="Normal 4 3 3 2 2 2 3 2 2 5" xfId="27523" xr:uid="{00000000-0005-0000-0000-00000B1D0000}"/>
    <cellStyle name="Normal 4 3 3 2 2 2 3 2 3" xfId="4483" xr:uid="{00000000-0005-0000-0000-00000C1D0000}"/>
    <cellStyle name="Normal 4 3 3 2 2 2 3 2 3 2" xfId="10627" xr:uid="{00000000-0005-0000-0000-00000D1D0000}"/>
    <cellStyle name="Normal 4 3 3 2 2 2 3 2 3 2 2" xfId="22915" xr:uid="{00000000-0005-0000-0000-00000E1D0000}"/>
    <cellStyle name="Normal 4 3 3 2 2 2 3 2 3 2 2 2" xfId="47491" xr:uid="{00000000-0005-0000-0000-00000F1D0000}"/>
    <cellStyle name="Normal 4 3 3 2 2 2 3 2 3 2 3" xfId="35203" xr:uid="{00000000-0005-0000-0000-0000101D0000}"/>
    <cellStyle name="Normal 4 3 3 2 2 2 3 2 3 3" xfId="16771" xr:uid="{00000000-0005-0000-0000-0000111D0000}"/>
    <cellStyle name="Normal 4 3 3 2 2 2 3 2 3 3 2" xfId="41347" xr:uid="{00000000-0005-0000-0000-0000121D0000}"/>
    <cellStyle name="Normal 4 3 3 2 2 2 3 2 3 4" xfId="29059" xr:uid="{00000000-0005-0000-0000-0000131D0000}"/>
    <cellStyle name="Normal 4 3 3 2 2 2 3 2 4" xfId="7555" xr:uid="{00000000-0005-0000-0000-0000141D0000}"/>
    <cellStyle name="Normal 4 3 3 2 2 2 3 2 4 2" xfId="19843" xr:uid="{00000000-0005-0000-0000-0000151D0000}"/>
    <cellStyle name="Normal 4 3 3 2 2 2 3 2 4 2 2" xfId="44419" xr:uid="{00000000-0005-0000-0000-0000161D0000}"/>
    <cellStyle name="Normal 4 3 3 2 2 2 3 2 4 3" xfId="32131" xr:uid="{00000000-0005-0000-0000-0000171D0000}"/>
    <cellStyle name="Normal 4 3 3 2 2 2 3 2 5" xfId="13699" xr:uid="{00000000-0005-0000-0000-0000181D0000}"/>
    <cellStyle name="Normal 4 3 3 2 2 2 3 2 5 2" xfId="38275" xr:uid="{00000000-0005-0000-0000-0000191D0000}"/>
    <cellStyle name="Normal 4 3 3 2 2 2 3 2 6" xfId="25987" xr:uid="{00000000-0005-0000-0000-00001A1D0000}"/>
    <cellStyle name="Normal 4 3 3 2 2 2 3 3" xfId="2175" xr:uid="{00000000-0005-0000-0000-00001B1D0000}"/>
    <cellStyle name="Normal 4 3 3 2 2 2 3 3 2" xfId="5251" xr:uid="{00000000-0005-0000-0000-00001C1D0000}"/>
    <cellStyle name="Normal 4 3 3 2 2 2 3 3 2 2" xfId="11395" xr:uid="{00000000-0005-0000-0000-00001D1D0000}"/>
    <cellStyle name="Normal 4 3 3 2 2 2 3 3 2 2 2" xfId="23683" xr:uid="{00000000-0005-0000-0000-00001E1D0000}"/>
    <cellStyle name="Normal 4 3 3 2 2 2 3 3 2 2 2 2" xfId="48259" xr:uid="{00000000-0005-0000-0000-00001F1D0000}"/>
    <cellStyle name="Normal 4 3 3 2 2 2 3 3 2 2 3" xfId="35971" xr:uid="{00000000-0005-0000-0000-0000201D0000}"/>
    <cellStyle name="Normal 4 3 3 2 2 2 3 3 2 3" xfId="17539" xr:uid="{00000000-0005-0000-0000-0000211D0000}"/>
    <cellStyle name="Normal 4 3 3 2 2 2 3 3 2 3 2" xfId="42115" xr:uid="{00000000-0005-0000-0000-0000221D0000}"/>
    <cellStyle name="Normal 4 3 3 2 2 2 3 3 2 4" xfId="29827" xr:uid="{00000000-0005-0000-0000-0000231D0000}"/>
    <cellStyle name="Normal 4 3 3 2 2 2 3 3 3" xfId="8323" xr:uid="{00000000-0005-0000-0000-0000241D0000}"/>
    <cellStyle name="Normal 4 3 3 2 2 2 3 3 3 2" xfId="20611" xr:uid="{00000000-0005-0000-0000-0000251D0000}"/>
    <cellStyle name="Normal 4 3 3 2 2 2 3 3 3 2 2" xfId="45187" xr:uid="{00000000-0005-0000-0000-0000261D0000}"/>
    <cellStyle name="Normal 4 3 3 2 2 2 3 3 3 3" xfId="32899" xr:uid="{00000000-0005-0000-0000-0000271D0000}"/>
    <cellStyle name="Normal 4 3 3 2 2 2 3 3 4" xfId="14467" xr:uid="{00000000-0005-0000-0000-0000281D0000}"/>
    <cellStyle name="Normal 4 3 3 2 2 2 3 3 4 2" xfId="39043" xr:uid="{00000000-0005-0000-0000-0000291D0000}"/>
    <cellStyle name="Normal 4 3 3 2 2 2 3 3 5" xfId="26755" xr:uid="{00000000-0005-0000-0000-00002A1D0000}"/>
    <cellStyle name="Normal 4 3 3 2 2 2 3 4" xfId="3715" xr:uid="{00000000-0005-0000-0000-00002B1D0000}"/>
    <cellStyle name="Normal 4 3 3 2 2 2 3 4 2" xfId="9859" xr:uid="{00000000-0005-0000-0000-00002C1D0000}"/>
    <cellStyle name="Normal 4 3 3 2 2 2 3 4 2 2" xfId="22147" xr:uid="{00000000-0005-0000-0000-00002D1D0000}"/>
    <cellStyle name="Normal 4 3 3 2 2 2 3 4 2 2 2" xfId="46723" xr:uid="{00000000-0005-0000-0000-00002E1D0000}"/>
    <cellStyle name="Normal 4 3 3 2 2 2 3 4 2 3" xfId="34435" xr:uid="{00000000-0005-0000-0000-00002F1D0000}"/>
    <cellStyle name="Normal 4 3 3 2 2 2 3 4 3" xfId="16003" xr:uid="{00000000-0005-0000-0000-0000301D0000}"/>
    <cellStyle name="Normal 4 3 3 2 2 2 3 4 3 2" xfId="40579" xr:uid="{00000000-0005-0000-0000-0000311D0000}"/>
    <cellStyle name="Normal 4 3 3 2 2 2 3 4 4" xfId="28291" xr:uid="{00000000-0005-0000-0000-0000321D0000}"/>
    <cellStyle name="Normal 4 3 3 2 2 2 3 5" xfId="6787" xr:uid="{00000000-0005-0000-0000-0000331D0000}"/>
    <cellStyle name="Normal 4 3 3 2 2 2 3 5 2" xfId="19075" xr:uid="{00000000-0005-0000-0000-0000341D0000}"/>
    <cellStyle name="Normal 4 3 3 2 2 2 3 5 2 2" xfId="43651" xr:uid="{00000000-0005-0000-0000-0000351D0000}"/>
    <cellStyle name="Normal 4 3 3 2 2 2 3 5 3" xfId="31363" xr:uid="{00000000-0005-0000-0000-0000361D0000}"/>
    <cellStyle name="Normal 4 3 3 2 2 2 3 6" xfId="12931" xr:uid="{00000000-0005-0000-0000-0000371D0000}"/>
    <cellStyle name="Normal 4 3 3 2 2 2 3 6 2" xfId="37507" xr:uid="{00000000-0005-0000-0000-0000381D0000}"/>
    <cellStyle name="Normal 4 3 3 2 2 2 3 7" xfId="25219" xr:uid="{00000000-0005-0000-0000-0000391D0000}"/>
    <cellStyle name="Normal 4 3 3 2 2 2 4" xfId="1023" xr:uid="{00000000-0005-0000-0000-00003A1D0000}"/>
    <cellStyle name="Normal 4 3 3 2 2 2 4 2" xfId="2559" xr:uid="{00000000-0005-0000-0000-00003B1D0000}"/>
    <cellStyle name="Normal 4 3 3 2 2 2 4 2 2" xfId="5635" xr:uid="{00000000-0005-0000-0000-00003C1D0000}"/>
    <cellStyle name="Normal 4 3 3 2 2 2 4 2 2 2" xfId="11779" xr:uid="{00000000-0005-0000-0000-00003D1D0000}"/>
    <cellStyle name="Normal 4 3 3 2 2 2 4 2 2 2 2" xfId="24067" xr:uid="{00000000-0005-0000-0000-00003E1D0000}"/>
    <cellStyle name="Normal 4 3 3 2 2 2 4 2 2 2 2 2" xfId="48643" xr:uid="{00000000-0005-0000-0000-00003F1D0000}"/>
    <cellStyle name="Normal 4 3 3 2 2 2 4 2 2 2 3" xfId="36355" xr:uid="{00000000-0005-0000-0000-0000401D0000}"/>
    <cellStyle name="Normal 4 3 3 2 2 2 4 2 2 3" xfId="17923" xr:uid="{00000000-0005-0000-0000-0000411D0000}"/>
    <cellStyle name="Normal 4 3 3 2 2 2 4 2 2 3 2" xfId="42499" xr:uid="{00000000-0005-0000-0000-0000421D0000}"/>
    <cellStyle name="Normal 4 3 3 2 2 2 4 2 2 4" xfId="30211" xr:uid="{00000000-0005-0000-0000-0000431D0000}"/>
    <cellStyle name="Normal 4 3 3 2 2 2 4 2 3" xfId="8707" xr:uid="{00000000-0005-0000-0000-0000441D0000}"/>
    <cellStyle name="Normal 4 3 3 2 2 2 4 2 3 2" xfId="20995" xr:uid="{00000000-0005-0000-0000-0000451D0000}"/>
    <cellStyle name="Normal 4 3 3 2 2 2 4 2 3 2 2" xfId="45571" xr:uid="{00000000-0005-0000-0000-0000461D0000}"/>
    <cellStyle name="Normal 4 3 3 2 2 2 4 2 3 3" xfId="33283" xr:uid="{00000000-0005-0000-0000-0000471D0000}"/>
    <cellStyle name="Normal 4 3 3 2 2 2 4 2 4" xfId="14851" xr:uid="{00000000-0005-0000-0000-0000481D0000}"/>
    <cellStyle name="Normal 4 3 3 2 2 2 4 2 4 2" xfId="39427" xr:uid="{00000000-0005-0000-0000-0000491D0000}"/>
    <cellStyle name="Normal 4 3 3 2 2 2 4 2 5" xfId="27139" xr:uid="{00000000-0005-0000-0000-00004A1D0000}"/>
    <cellStyle name="Normal 4 3 3 2 2 2 4 3" xfId="4099" xr:uid="{00000000-0005-0000-0000-00004B1D0000}"/>
    <cellStyle name="Normal 4 3 3 2 2 2 4 3 2" xfId="10243" xr:uid="{00000000-0005-0000-0000-00004C1D0000}"/>
    <cellStyle name="Normal 4 3 3 2 2 2 4 3 2 2" xfId="22531" xr:uid="{00000000-0005-0000-0000-00004D1D0000}"/>
    <cellStyle name="Normal 4 3 3 2 2 2 4 3 2 2 2" xfId="47107" xr:uid="{00000000-0005-0000-0000-00004E1D0000}"/>
    <cellStyle name="Normal 4 3 3 2 2 2 4 3 2 3" xfId="34819" xr:uid="{00000000-0005-0000-0000-00004F1D0000}"/>
    <cellStyle name="Normal 4 3 3 2 2 2 4 3 3" xfId="16387" xr:uid="{00000000-0005-0000-0000-0000501D0000}"/>
    <cellStyle name="Normal 4 3 3 2 2 2 4 3 3 2" xfId="40963" xr:uid="{00000000-0005-0000-0000-0000511D0000}"/>
    <cellStyle name="Normal 4 3 3 2 2 2 4 3 4" xfId="28675" xr:uid="{00000000-0005-0000-0000-0000521D0000}"/>
    <cellStyle name="Normal 4 3 3 2 2 2 4 4" xfId="7171" xr:uid="{00000000-0005-0000-0000-0000531D0000}"/>
    <cellStyle name="Normal 4 3 3 2 2 2 4 4 2" xfId="19459" xr:uid="{00000000-0005-0000-0000-0000541D0000}"/>
    <cellStyle name="Normal 4 3 3 2 2 2 4 4 2 2" xfId="44035" xr:uid="{00000000-0005-0000-0000-0000551D0000}"/>
    <cellStyle name="Normal 4 3 3 2 2 2 4 4 3" xfId="31747" xr:uid="{00000000-0005-0000-0000-0000561D0000}"/>
    <cellStyle name="Normal 4 3 3 2 2 2 4 5" xfId="13315" xr:uid="{00000000-0005-0000-0000-0000571D0000}"/>
    <cellStyle name="Normal 4 3 3 2 2 2 4 5 2" xfId="37891" xr:uid="{00000000-0005-0000-0000-0000581D0000}"/>
    <cellStyle name="Normal 4 3 3 2 2 2 4 6" xfId="25603" xr:uid="{00000000-0005-0000-0000-0000591D0000}"/>
    <cellStyle name="Normal 4 3 3 2 2 2 5" xfId="1791" xr:uid="{00000000-0005-0000-0000-00005A1D0000}"/>
    <cellStyle name="Normal 4 3 3 2 2 2 5 2" xfId="4867" xr:uid="{00000000-0005-0000-0000-00005B1D0000}"/>
    <cellStyle name="Normal 4 3 3 2 2 2 5 2 2" xfId="11011" xr:uid="{00000000-0005-0000-0000-00005C1D0000}"/>
    <cellStyle name="Normal 4 3 3 2 2 2 5 2 2 2" xfId="23299" xr:uid="{00000000-0005-0000-0000-00005D1D0000}"/>
    <cellStyle name="Normal 4 3 3 2 2 2 5 2 2 2 2" xfId="47875" xr:uid="{00000000-0005-0000-0000-00005E1D0000}"/>
    <cellStyle name="Normal 4 3 3 2 2 2 5 2 2 3" xfId="35587" xr:uid="{00000000-0005-0000-0000-00005F1D0000}"/>
    <cellStyle name="Normal 4 3 3 2 2 2 5 2 3" xfId="17155" xr:uid="{00000000-0005-0000-0000-0000601D0000}"/>
    <cellStyle name="Normal 4 3 3 2 2 2 5 2 3 2" xfId="41731" xr:uid="{00000000-0005-0000-0000-0000611D0000}"/>
    <cellStyle name="Normal 4 3 3 2 2 2 5 2 4" xfId="29443" xr:uid="{00000000-0005-0000-0000-0000621D0000}"/>
    <cellStyle name="Normal 4 3 3 2 2 2 5 3" xfId="7939" xr:uid="{00000000-0005-0000-0000-0000631D0000}"/>
    <cellStyle name="Normal 4 3 3 2 2 2 5 3 2" xfId="20227" xr:uid="{00000000-0005-0000-0000-0000641D0000}"/>
    <cellStyle name="Normal 4 3 3 2 2 2 5 3 2 2" xfId="44803" xr:uid="{00000000-0005-0000-0000-0000651D0000}"/>
    <cellStyle name="Normal 4 3 3 2 2 2 5 3 3" xfId="32515" xr:uid="{00000000-0005-0000-0000-0000661D0000}"/>
    <cellStyle name="Normal 4 3 3 2 2 2 5 4" xfId="14083" xr:uid="{00000000-0005-0000-0000-0000671D0000}"/>
    <cellStyle name="Normal 4 3 3 2 2 2 5 4 2" xfId="38659" xr:uid="{00000000-0005-0000-0000-0000681D0000}"/>
    <cellStyle name="Normal 4 3 3 2 2 2 5 5" xfId="26371" xr:uid="{00000000-0005-0000-0000-0000691D0000}"/>
    <cellStyle name="Normal 4 3 3 2 2 2 6" xfId="3331" xr:uid="{00000000-0005-0000-0000-00006A1D0000}"/>
    <cellStyle name="Normal 4 3 3 2 2 2 6 2" xfId="9475" xr:uid="{00000000-0005-0000-0000-00006B1D0000}"/>
    <cellStyle name="Normal 4 3 3 2 2 2 6 2 2" xfId="21763" xr:uid="{00000000-0005-0000-0000-00006C1D0000}"/>
    <cellStyle name="Normal 4 3 3 2 2 2 6 2 2 2" xfId="46339" xr:uid="{00000000-0005-0000-0000-00006D1D0000}"/>
    <cellStyle name="Normal 4 3 3 2 2 2 6 2 3" xfId="34051" xr:uid="{00000000-0005-0000-0000-00006E1D0000}"/>
    <cellStyle name="Normal 4 3 3 2 2 2 6 3" xfId="15619" xr:uid="{00000000-0005-0000-0000-00006F1D0000}"/>
    <cellStyle name="Normal 4 3 3 2 2 2 6 3 2" xfId="40195" xr:uid="{00000000-0005-0000-0000-0000701D0000}"/>
    <cellStyle name="Normal 4 3 3 2 2 2 6 4" xfId="27907" xr:uid="{00000000-0005-0000-0000-0000711D0000}"/>
    <cellStyle name="Normal 4 3 3 2 2 2 7" xfId="6403" xr:uid="{00000000-0005-0000-0000-0000721D0000}"/>
    <cellStyle name="Normal 4 3 3 2 2 2 7 2" xfId="18691" xr:uid="{00000000-0005-0000-0000-0000731D0000}"/>
    <cellStyle name="Normal 4 3 3 2 2 2 7 2 2" xfId="43267" xr:uid="{00000000-0005-0000-0000-0000741D0000}"/>
    <cellStyle name="Normal 4 3 3 2 2 2 7 3" xfId="30979" xr:uid="{00000000-0005-0000-0000-0000751D0000}"/>
    <cellStyle name="Normal 4 3 3 2 2 2 8" xfId="12547" xr:uid="{00000000-0005-0000-0000-0000761D0000}"/>
    <cellStyle name="Normal 4 3 3 2 2 2 8 2" xfId="37123" xr:uid="{00000000-0005-0000-0000-0000771D0000}"/>
    <cellStyle name="Normal 4 3 3 2 2 2 9" xfId="24835" xr:uid="{00000000-0005-0000-0000-0000781D0000}"/>
    <cellStyle name="Normal 4 3 3 2 2 3" xfId="319" xr:uid="{00000000-0005-0000-0000-0000791D0000}"/>
    <cellStyle name="Normal 4 3 3 2 2 3 2" xfId="511" xr:uid="{00000000-0005-0000-0000-00007A1D0000}"/>
    <cellStyle name="Normal 4 3 3 2 2 3 2 2" xfId="895" xr:uid="{00000000-0005-0000-0000-00007B1D0000}"/>
    <cellStyle name="Normal 4 3 3 2 2 3 2 2 2" xfId="1663" xr:uid="{00000000-0005-0000-0000-00007C1D0000}"/>
    <cellStyle name="Normal 4 3 3 2 2 3 2 2 2 2" xfId="3199" xr:uid="{00000000-0005-0000-0000-00007D1D0000}"/>
    <cellStyle name="Normal 4 3 3 2 2 3 2 2 2 2 2" xfId="6275" xr:uid="{00000000-0005-0000-0000-00007E1D0000}"/>
    <cellStyle name="Normal 4 3 3 2 2 3 2 2 2 2 2 2" xfId="12419" xr:uid="{00000000-0005-0000-0000-00007F1D0000}"/>
    <cellStyle name="Normal 4 3 3 2 2 3 2 2 2 2 2 2 2" xfId="24707" xr:uid="{00000000-0005-0000-0000-0000801D0000}"/>
    <cellStyle name="Normal 4 3 3 2 2 3 2 2 2 2 2 2 2 2" xfId="49283" xr:uid="{00000000-0005-0000-0000-0000811D0000}"/>
    <cellStyle name="Normal 4 3 3 2 2 3 2 2 2 2 2 2 3" xfId="36995" xr:uid="{00000000-0005-0000-0000-0000821D0000}"/>
    <cellStyle name="Normal 4 3 3 2 2 3 2 2 2 2 2 3" xfId="18563" xr:uid="{00000000-0005-0000-0000-0000831D0000}"/>
    <cellStyle name="Normal 4 3 3 2 2 3 2 2 2 2 2 3 2" xfId="43139" xr:uid="{00000000-0005-0000-0000-0000841D0000}"/>
    <cellStyle name="Normal 4 3 3 2 2 3 2 2 2 2 2 4" xfId="30851" xr:uid="{00000000-0005-0000-0000-0000851D0000}"/>
    <cellStyle name="Normal 4 3 3 2 2 3 2 2 2 2 3" xfId="9347" xr:uid="{00000000-0005-0000-0000-0000861D0000}"/>
    <cellStyle name="Normal 4 3 3 2 2 3 2 2 2 2 3 2" xfId="21635" xr:uid="{00000000-0005-0000-0000-0000871D0000}"/>
    <cellStyle name="Normal 4 3 3 2 2 3 2 2 2 2 3 2 2" xfId="46211" xr:uid="{00000000-0005-0000-0000-0000881D0000}"/>
    <cellStyle name="Normal 4 3 3 2 2 3 2 2 2 2 3 3" xfId="33923" xr:uid="{00000000-0005-0000-0000-0000891D0000}"/>
    <cellStyle name="Normal 4 3 3 2 2 3 2 2 2 2 4" xfId="15491" xr:uid="{00000000-0005-0000-0000-00008A1D0000}"/>
    <cellStyle name="Normal 4 3 3 2 2 3 2 2 2 2 4 2" xfId="40067" xr:uid="{00000000-0005-0000-0000-00008B1D0000}"/>
    <cellStyle name="Normal 4 3 3 2 2 3 2 2 2 2 5" xfId="27779" xr:uid="{00000000-0005-0000-0000-00008C1D0000}"/>
    <cellStyle name="Normal 4 3 3 2 2 3 2 2 2 3" xfId="4739" xr:uid="{00000000-0005-0000-0000-00008D1D0000}"/>
    <cellStyle name="Normal 4 3 3 2 2 3 2 2 2 3 2" xfId="10883" xr:uid="{00000000-0005-0000-0000-00008E1D0000}"/>
    <cellStyle name="Normal 4 3 3 2 2 3 2 2 2 3 2 2" xfId="23171" xr:uid="{00000000-0005-0000-0000-00008F1D0000}"/>
    <cellStyle name="Normal 4 3 3 2 2 3 2 2 2 3 2 2 2" xfId="47747" xr:uid="{00000000-0005-0000-0000-0000901D0000}"/>
    <cellStyle name="Normal 4 3 3 2 2 3 2 2 2 3 2 3" xfId="35459" xr:uid="{00000000-0005-0000-0000-0000911D0000}"/>
    <cellStyle name="Normal 4 3 3 2 2 3 2 2 2 3 3" xfId="17027" xr:uid="{00000000-0005-0000-0000-0000921D0000}"/>
    <cellStyle name="Normal 4 3 3 2 2 3 2 2 2 3 3 2" xfId="41603" xr:uid="{00000000-0005-0000-0000-0000931D0000}"/>
    <cellStyle name="Normal 4 3 3 2 2 3 2 2 2 3 4" xfId="29315" xr:uid="{00000000-0005-0000-0000-0000941D0000}"/>
    <cellStyle name="Normal 4 3 3 2 2 3 2 2 2 4" xfId="7811" xr:uid="{00000000-0005-0000-0000-0000951D0000}"/>
    <cellStyle name="Normal 4 3 3 2 2 3 2 2 2 4 2" xfId="20099" xr:uid="{00000000-0005-0000-0000-0000961D0000}"/>
    <cellStyle name="Normal 4 3 3 2 2 3 2 2 2 4 2 2" xfId="44675" xr:uid="{00000000-0005-0000-0000-0000971D0000}"/>
    <cellStyle name="Normal 4 3 3 2 2 3 2 2 2 4 3" xfId="32387" xr:uid="{00000000-0005-0000-0000-0000981D0000}"/>
    <cellStyle name="Normal 4 3 3 2 2 3 2 2 2 5" xfId="13955" xr:uid="{00000000-0005-0000-0000-0000991D0000}"/>
    <cellStyle name="Normal 4 3 3 2 2 3 2 2 2 5 2" xfId="38531" xr:uid="{00000000-0005-0000-0000-00009A1D0000}"/>
    <cellStyle name="Normal 4 3 3 2 2 3 2 2 2 6" xfId="26243" xr:uid="{00000000-0005-0000-0000-00009B1D0000}"/>
    <cellStyle name="Normal 4 3 3 2 2 3 2 2 3" xfId="2431" xr:uid="{00000000-0005-0000-0000-00009C1D0000}"/>
    <cellStyle name="Normal 4 3 3 2 2 3 2 2 3 2" xfId="5507" xr:uid="{00000000-0005-0000-0000-00009D1D0000}"/>
    <cellStyle name="Normal 4 3 3 2 2 3 2 2 3 2 2" xfId="11651" xr:uid="{00000000-0005-0000-0000-00009E1D0000}"/>
    <cellStyle name="Normal 4 3 3 2 2 3 2 2 3 2 2 2" xfId="23939" xr:uid="{00000000-0005-0000-0000-00009F1D0000}"/>
    <cellStyle name="Normal 4 3 3 2 2 3 2 2 3 2 2 2 2" xfId="48515" xr:uid="{00000000-0005-0000-0000-0000A01D0000}"/>
    <cellStyle name="Normal 4 3 3 2 2 3 2 2 3 2 2 3" xfId="36227" xr:uid="{00000000-0005-0000-0000-0000A11D0000}"/>
    <cellStyle name="Normal 4 3 3 2 2 3 2 2 3 2 3" xfId="17795" xr:uid="{00000000-0005-0000-0000-0000A21D0000}"/>
    <cellStyle name="Normal 4 3 3 2 2 3 2 2 3 2 3 2" xfId="42371" xr:uid="{00000000-0005-0000-0000-0000A31D0000}"/>
    <cellStyle name="Normal 4 3 3 2 2 3 2 2 3 2 4" xfId="30083" xr:uid="{00000000-0005-0000-0000-0000A41D0000}"/>
    <cellStyle name="Normal 4 3 3 2 2 3 2 2 3 3" xfId="8579" xr:uid="{00000000-0005-0000-0000-0000A51D0000}"/>
    <cellStyle name="Normal 4 3 3 2 2 3 2 2 3 3 2" xfId="20867" xr:uid="{00000000-0005-0000-0000-0000A61D0000}"/>
    <cellStyle name="Normal 4 3 3 2 2 3 2 2 3 3 2 2" xfId="45443" xr:uid="{00000000-0005-0000-0000-0000A71D0000}"/>
    <cellStyle name="Normal 4 3 3 2 2 3 2 2 3 3 3" xfId="33155" xr:uid="{00000000-0005-0000-0000-0000A81D0000}"/>
    <cellStyle name="Normal 4 3 3 2 2 3 2 2 3 4" xfId="14723" xr:uid="{00000000-0005-0000-0000-0000A91D0000}"/>
    <cellStyle name="Normal 4 3 3 2 2 3 2 2 3 4 2" xfId="39299" xr:uid="{00000000-0005-0000-0000-0000AA1D0000}"/>
    <cellStyle name="Normal 4 3 3 2 2 3 2 2 3 5" xfId="27011" xr:uid="{00000000-0005-0000-0000-0000AB1D0000}"/>
    <cellStyle name="Normal 4 3 3 2 2 3 2 2 4" xfId="3971" xr:uid="{00000000-0005-0000-0000-0000AC1D0000}"/>
    <cellStyle name="Normal 4 3 3 2 2 3 2 2 4 2" xfId="10115" xr:uid="{00000000-0005-0000-0000-0000AD1D0000}"/>
    <cellStyle name="Normal 4 3 3 2 2 3 2 2 4 2 2" xfId="22403" xr:uid="{00000000-0005-0000-0000-0000AE1D0000}"/>
    <cellStyle name="Normal 4 3 3 2 2 3 2 2 4 2 2 2" xfId="46979" xr:uid="{00000000-0005-0000-0000-0000AF1D0000}"/>
    <cellStyle name="Normal 4 3 3 2 2 3 2 2 4 2 3" xfId="34691" xr:uid="{00000000-0005-0000-0000-0000B01D0000}"/>
    <cellStyle name="Normal 4 3 3 2 2 3 2 2 4 3" xfId="16259" xr:uid="{00000000-0005-0000-0000-0000B11D0000}"/>
    <cellStyle name="Normal 4 3 3 2 2 3 2 2 4 3 2" xfId="40835" xr:uid="{00000000-0005-0000-0000-0000B21D0000}"/>
    <cellStyle name="Normal 4 3 3 2 2 3 2 2 4 4" xfId="28547" xr:uid="{00000000-0005-0000-0000-0000B31D0000}"/>
    <cellStyle name="Normal 4 3 3 2 2 3 2 2 5" xfId="7043" xr:uid="{00000000-0005-0000-0000-0000B41D0000}"/>
    <cellStyle name="Normal 4 3 3 2 2 3 2 2 5 2" xfId="19331" xr:uid="{00000000-0005-0000-0000-0000B51D0000}"/>
    <cellStyle name="Normal 4 3 3 2 2 3 2 2 5 2 2" xfId="43907" xr:uid="{00000000-0005-0000-0000-0000B61D0000}"/>
    <cellStyle name="Normal 4 3 3 2 2 3 2 2 5 3" xfId="31619" xr:uid="{00000000-0005-0000-0000-0000B71D0000}"/>
    <cellStyle name="Normal 4 3 3 2 2 3 2 2 6" xfId="13187" xr:uid="{00000000-0005-0000-0000-0000B81D0000}"/>
    <cellStyle name="Normal 4 3 3 2 2 3 2 2 6 2" xfId="37763" xr:uid="{00000000-0005-0000-0000-0000B91D0000}"/>
    <cellStyle name="Normal 4 3 3 2 2 3 2 2 7" xfId="25475" xr:uid="{00000000-0005-0000-0000-0000BA1D0000}"/>
    <cellStyle name="Normal 4 3 3 2 2 3 2 3" xfId="1279" xr:uid="{00000000-0005-0000-0000-0000BB1D0000}"/>
    <cellStyle name="Normal 4 3 3 2 2 3 2 3 2" xfId="2815" xr:uid="{00000000-0005-0000-0000-0000BC1D0000}"/>
    <cellStyle name="Normal 4 3 3 2 2 3 2 3 2 2" xfId="5891" xr:uid="{00000000-0005-0000-0000-0000BD1D0000}"/>
    <cellStyle name="Normal 4 3 3 2 2 3 2 3 2 2 2" xfId="12035" xr:uid="{00000000-0005-0000-0000-0000BE1D0000}"/>
    <cellStyle name="Normal 4 3 3 2 2 3 2 3 2 2 2 2" xfId="24323" xr:uid="{00000000-0005-0000-0000-0000BF1D0000}"/>
    <cellStyle name="Normal 4 3 3 2 2 3 2 3 2 2 2 2 2" xfId="48899" xr:uid="{00000000-0005-0000-0000-0000C01D0000}"/>
    <cellStyle name="Normal 4 3 3 2 2 3 2 3 2 2 2 3" xfId="36611" xr:uid="{00000000-0005-0000-0000-0000C11D0000}"/>
    <cellStyle name="Normal 4 3 3 2 2 3 2 3 2 2 3" xfId="18179" xr:uid="{00000000-0005-0000-0000-0000C21D0000}"/>
    <cellStyle name="Normal 4 3 3 2 2 3 2 3 2 2 3 2" xfId="42755" xr:uid="{00000000-0005-0000-0000-0000C31D0000}"/>
    <cellStyle name="Normal 4 3 3 2 2 3 2 3 2 2 4" xfId="30467" xr:uid="{00000000-0005-0000-0000-0000C41D0000}"/>
    <cellStyle name="Normal 4 3 3 2 2 3 2 3 2 3" xfId="8963" xr:uid="{00000000-0005-0000-0000-0000C51D0000}"/>
    <cellStyle name="Normal 4 3 3 2 2 3 2 3 2 3 2" xfId="21251" xr:uid="{00000000-0005-0000-0000-0000C61D0000}"/>
    <cellStyle name="Normal 4 3 3 2 2 3 2 3 2 3 2 2" xfId="45827" xr:uid="{00000000-0005-0000-0000-0000C71D0000}"/>
    <cellStyle name="Normal 4 3 3 2 2 3 2 3 2 3 3" xfId="33539" xr:uid="{00000000-0005-0000-0000-0000C81D0000}"/>
    <cellStyle name="Normal 4 3 3 2 2 3 2 3 2 4" xfId="15107" xr:uid="{00000000-0005-0000-0000-0000C91D0000}"/>
    <cellStyle name="Normal 4 3 3 2 2 3 2 3 2 4 2" xfId="39683" xr:uid="{00000000-0005-0000-0000-0000CA1D0000}"/>
    <cellStyle name="Normal 4 3 3 2 2 3 2 3 2 5" xfId="27395" xr:uid="{00000000-0005-0000-0000-0000CB1D0000}"/>
    <cellStyle name="Normal 4 3 3 2 2 3 2 3 3" xfId="4355" xr:uid="{00000000-0005-0000-0000-0000CC1D0000}"/>
    <cellStyle name="Normal 4 3 3 2 2 3 2 3 3 2" xfId="10499" xr:uid="{00000000-0005-0000-0000-0000CD1D0000}"/>
    <cellStyle name="Normal 4 3 3 2 2 3 2 3 3 2 2" xfId="22787" xr:uid="{00000000-0005-0000-0000-0000CE1D0000}"/>
    <cellStyle name="Normal 4 3 3 2 2 3 2 3 3 2 2 2" xfId="47363" xr:uid="{00000000-0005-0000-0000-0000CF1D0000}"/>
    <cellStyle name="Normal 4 3 3 2 2 3 2 3 3 2 3" xfId="35075" xr:uid="{00000000-0005-0000-0000-0000D01D0000}"/>
    <cellStyle name="Normal 4 3 3 2 2 3 2 3 3 3" xfId="16643" xr:uid="{00000000-0005-0000-0000-0000D11D0000}"/>
    <cellStyle name="Normal 4 3 3 2 2 3 2 3 3 3 2" xfId="41219" xr:uid="{00000000-0005-0000-0000-0000D21D0000}"/>
    <cellStyle name="Normal 4 3 3 2 2 3 2 3 3 4" xfId="28931" xr:uid="{00000000-0005-0000-0000-0000D31D0000}"/>
    <cellStyle name="Normal 4 3 3 2 2 3 2 3 4" xfId="7427" xr:uid="{00000000-0005-0000-0000-0000D41D0000}"/>
    <cellStyle name="Normal 4 3 3 2 2 3 2 3 4 2" xfId="19715" xr:uid="{00000000-0005-0000-0000-0000D51D0000}"/>
    <cellStyle name="Normal 4 3 3 2 2 3 2 3 4 2 2" xfId="44291" xr:uid="{00000000-0005-0000-0000-0000D61D0000}"/>
    <cellStyle name="Normal 4 3 3 2 2 3 2 3 4 3" xfId="32003" xr:uid="{00000000-0005-0000-0000-0000D71D0000}"/>
    <cellStyle name="Normal 4 3 3 2 2 3 2 3 5" xfId="13571" xr:uid="{00000000-0005-0000-0000-0000D81D0000}"/>
    <cellStyle name="Normal 4 3 3 2 2 3 2 3 5 2" xfId="38147" xr:uid="{00000000-0005-0000-0000-0000D91D0000}"/>
    <cellStyle name="Normal 4 3 3 2 2 3 2 3 6" xfId="25859" xr:uid="{00000000-0005-0000-0000-0000DA1D0000}"/>
    <cellStyle name="Normal 4 3 3 2 2 3 2 4" xfId="2047" xr:uid="{00000000-0005-0000-0000-0000DB1D0000}"/>
    <cellStyle name="Normal 4 3 3 2 2 3 2 4 2" xfId="5123" xr:uid="{00000000-0005-0000-0000-0000DC1D0000}"/>
    <cellStyle name="Normal 4 3 3 2 2 3 2 4 2 2" xfId="11267" xr:uid="{00000000-0005-0000-0000-0000DD1D0000}"/>
    <cellStyle name="Normal 4 3 3 2 2 3 2 4 2 2 2" xfId="23555" xr:uid="{00000000-0005-0000-0000-0000DE1D0000}"/>
    <cellStyle name="Normal 4 3 3 2 2 3 2 4 2 2 2 2" xfId="48131" xr:uid="{00000000-0005-0000-0000-0000DF1D0000}"/>
    <cellStyle name="Normal 4 3 3 2 2 3 2 4 2 2 3" xfId="35843" xr:uid="{00000000-0005-0000-0000-0000E01D0000}"/>
    <cellStyle name="Normal 4 3 3 2 2 3 2 4 2 3" xfId="17411" xr:uid="{00000000-0005-0000-0000-0000E11D0000}"/>
    <cellStyle name="Normal 4 3 3 2 2 3 2 4 2 3 2" xfId="41987" xr:uid="{00000000-0005-0000-0000-0000E21D0000}"/>
    <cellStyle name="Normal 4 3 3 2 2 3 2 4 2 4" xfId="29699" xr:uid="{00000000-0005-0000-0000-0000E31D0000}"/>
    <cellStyle name="Normal 4 3 3 2 2 3 2 4 3" xfId="8195" xr:uid="{00000000-0005-0000-0000-0000E41D0000}"/>
    <cellStyle name="Normal 4 3 3 2 2 3 2 4 3 2" xfId="20483" xr:uid="{00000000-0005-0000-0000-0000E51D0000}"/>
    <cellStyle name="Normal 4 3 3 2 2 3 2 4 3 2 2" xfId="45059" xr:uid="{00000000-0005-0000-0000-0000E61D0000}"/>
    <cellStyle name="Normal 4 3 3 2 2 3 2 4 3 3" xfId="32771" xr:uid="{00000000-0005-0000-0000-0000E71D0000}"/>
    <cellStyle name="Normal 4 3 3 2 2 3 2 4 4" xfId="14339" xr:uid="{00000000-0005-0000-0000-0000E81D0000}"/>
    <cellStyle name="Normal 4 3 3 2 2 3 2 4 4 2" xfId="38915" xr:uid="{00000000-0005-0000-0000-0000E91D0000}"/>
    <cellStyle name="Normal 4 3 3 2 2 3 2 4 5" xfId="26627" xr:uid="{00000000-0005-0000-0000-0000EA1D0000}"/>
    <cellStyle name="Normal 4 3 3 2 2 3 2 5" xfId="3587" xr:uid="{00000000-0005-0000-0000-0000EB1D0000}"/>
    <cellStyle name="Normal 4 3 3 2 2 3 2 5 2" xfId="9731" xr:uid="{00000000-0005-0000-0000-0000EC1D0000}"/>
    <cellStyle name="Normal 4 3 3 2 2 3 2 5 2 2" xfId="22019" xr:uid="{00000000-0005-0000-0000-0000ED1D0000}"/>
    <cellStyle name="Normal 4 3 3 2 2 3 2 5 2 2 2" xfId="46595" xr:uid="{00000000-0005-0000-0000-0000EE1D0000}"/>
    <cellStyle name="Normal 4 3 3 2 2 3 2 5 2 3" xfId="34307" xr:uid="{00000000-0005-0000-0000-0000EF1D0000}"/>
    <cellStyle name="Normal 4 3 3 2 2 3 2 5 3" xfId="15875" xr:uid="{00000000-0005-0000-0000-0000F01D0000}"/>
    <cellStyle name="Normal 4 3 3 2 2 3 2 5 3 2" xfId="40451" xr:uid="{00000000-0005-0000-0000-0000F11D0000}"/>
    <cellStyle name="Normal 4 3 3 2 2 3 2 5 4" xfId="28163" xr:uid="{00000000-0005-0000-0000-0000F21D0000}"/>
    <cellStyle name="Normal 4 3 3 2 2 3 2 6" xfId="6659" xr:uid="{00000000-0005-0000-0000-0000F31D0000}"/>
    <cellStyle name="Normal 4 3 3 2 2 3 2 6 2" xfId="18947" xr:uid="{00000000-0005-0000-0000-0000F41D0000}"/>
    <cellStyle name="Normal 4 3 3 2 2 3 2 6 2 2" xfId="43523" xr:uid="{00000000-0005-0000-0000-0000F51D0000}"/>
    <cellStyle name="Normal 4 3 3 2 2 3 2 6 3" xfId="31235" xr:uid="{00000000-0005-0000-0000-0000F61D0000}"/>
    <cellStyle name="Normal 4 3 3 2 2 3 2 7" xfId="12803" xr:uid="{00000000-0005-0000-0000-0000F71D0000}"/>
    <cellStyle name="Normal 4 3 3 2 2 3 2 7 2" xfId="37379" xr:uid="{00000000-0005-0000-0000-0000F81D0000}"/>
    <cellStyle name="Normal 4 3 3 2 2 3 2 8" xfId="25091" xr:uid="{00000000-0005-0000-0000-0000F91D0000}"/>
    <cellStyle name="Normal 4 3 3 2 2 3 3" xfId="703" xr:uid="{00000000-0005-0000-0000-0000FA1D0000}"/>
    <cellStyle name="Normal 4 3 3 2 2 3 3 2" xfId="1471" xr:uid="{00000000-0005-0000-0000-0000FB1D0000}"/>
    <cellStyle name="Normal 4 3 3 2 2 3 3 2 2" xfId="3007" xr:uid="{00000000-0005-0000-0000-0000FC1D0000}"/>
    <cellStyle name="Normal 4 3 3 2 2 3 3 2 2 2" xfId="6083" xr:uid="{00000000-0005-0000-0000-0000FD1D0000}"/>
    <cellStyle name="Normal 4 3 3 2 2 3 3 2 2 2 2" xfId="12227" xr:uid="{00000000-0005-0000-0000-0000FE1D0000}"/>
    <cellStyle name="Normal 4 3 3 2 2 3 3 2 2 2 2 2" xfId="24515" xr:uid="{00000000-0005-0000-0000-0000FF1D0000}"/>
    <cellStyle name="Normal 4 3 3 2 2 3 3 2 2 2 2 2 2" xfId="49091" xr:uid="{00000000-0005-0000-0000-0000001E0000}"/>
    <cellStyle name="Normal 4 3 3 2 2 3 3 2 2 2 2 3" xfId="36803" xr:uid="{00000000-0005-0000-0000-0000011E0000}"/>
    <cellStyle name="Normal 4 3 3 2 2 3 3 2 2 2 3" xfId="18371" xr:uid="{00000000-0005-0000-0000-0000021E0000}"/>
    <cellStyle name="Normal 4 3 3 2 2 3 3 2 2 2 3 2" xfId="42947" xr:uid="{00000000-0005-0000-0000-0000031E0000}"/>
    <cellStyle name="Normal 4 3 3 2 2 3 3 2 2 2 4" xfId="30659" xr:uid="{00000000-0005-0000-0000-0000041E0000}"/>
    <cellStyle name="Normal 4 3 3 2 2 3 3 2 2 3" xfId="9155" xr:uid="{00000000-0005-0000-0000-0000051E0000}"/>
    <cellStyle name="Normal 4 3 3 2 2 3 3 2 2 3 2" xfId="21443" xr:uid="{00000000-0005-0000-0000-0000061E0000}"/>
    <cellStyle name="Normal 4 3 3 2 2 3 3 2 2 3 2 2" xfId="46019" xr:uid="{00000000-0005-0000-0000-0000071E0000}"/>
    <cellStyle name="Normal 4 3 3 2 2 3 3 2 2 3 3" xfId="33731" xr:uid="{00000000-0005-0000-0000-0000081E0000}"/>
    <cellStyle name="Normal 4 3 3 2 2 3 3 2 2 4" xfId="15299" xr:uid="{00000000-0005-0000-0000-0000091E0000}"/>
    <cellStyle name="Normal 4 3 3 2 2 3 3 2 2 4 2" xfId="39875" xr:uid="{00000000-0005-0000-0000-00000A1E0000}"/>
    <cellStyle name="Normal 4 3 3 2 2 3 3 2 2 5" xfId="27587" xr:uid="{00000000-0005-0000-0000-00000B1E0000}"/>
    <cellStyle name="Normal 4 3 3 2 2 3 3 2 3" xfId="4547" xr:uid="{00000000-0005-0000-0000-00000C1E0000}"/>
    <cellStyle name="Normal 4 3 3 2 2 3 3 2 3 2" xfId="10691" xr:uid="{00000000-0005-0000-0000-00000D1E0000}"/>
    <cellStyle name="Normal 4 3 3 2 2 3 3 2 3 2 2" xfId="22979" xr:uid="{00000000-0005-0000-0000-00000E1E0000}"/>
    <cellStyle name="Normal 4 3 3 2 2 3 3 2 3 2 2 2" xfId="47555" xr:uid="{00000000-0005-0000-0000-00000F1E0000}"/>
    <cellStyle name="Normal 4 3 3 2 2 3 3 2 3 2 3" xfId="35267" xr:uid="{00000000-0005-0000-0000-0000101E0000}"/>
    <cellStyle name="Normal 4 3 3 2 2 3 3 2 3 3" xfId="16835" xr:uid="{00000000-0005-0000-0000-0000111E0000}"/>
    <cellStyle name="Normal 4 3 3 2 2 3 3 2 3 3 2" xfId="41411" xr:uid="{00000000-0005-0000-0000-0000121E0000}"/>
    <cellStyle name="Normal 4 3 3 2 2 3 3 2 3 4" xfId="29123" xr:uid="{00000000-0005-0000-0000-0000131E0000}"/>
    <cellStyle name="Normal 4 3 3 2 2 3 3 2 4" xfId="7619" xr:uid="{00000000-0005-0000-0000-0000141E0000}"/>
    <cellStyle name="Normal 4 3 3 2 2 3 3 2 4 2" xfId="19907" xr:uid="{00000000-0005-0000-0000-0000151E0000}"/>
    <cellStyle name="Normal 4 3 3 2 2 3 3 2 4 2 2" xfId="44483" xr:uid="{00000000-0005-0000-0000-0000161E0000}"/>
    <cellStyle name="Normal 4 3 3 2 2 3 3 2 4 3" xfId="32195" xr:uid="{00000000-0005-0000-0000-0000171E0000}"/>
    <cellStyle name="Normal 4 3 3 2 2 3 3 2 5" xfId="13763" xr:uid="{00000000-0005-0000-0000-0000181E0000}"/>
    <cellStyle name="Normal 4 3 3 2 2 3 3 2 5 2" xfId="38339" xr:uid="{00000000-0005-0000-0000-0000191E0000}"/>
    <cellStyle name="Normal 4 3 3 2 2 3 3 2 6" xfId="26051" xr:uid="{00000000-0005-0000-0000-00001A1E0000}"/>
    <cellStyle name="Normal 4 3 3 2 2 3 3 3" xfId="2239" xr:uid="{00000000-0005-0000-0000-00001B1E0000}"/>
    <cellStyle name="Normal 4 3 3 2 2 3 3 3 2" xfId="5315" xr:uid="{00000000-0005-0000-0000-00001C1E0000}"/>
    <cellStyle name="Normal 4 3 3 2 2 3 3 3 2 2" xfId="11459" xr:uid="{00000000-0005-0000-0000-00001D1E0000}"/>
    <cellStyle name="Normal 4 3 3 2 2 3 3 3 2 2 2" xfId="23747" xr:uid="{00000000-0005-0000-0000-00001E1E0000}"/>
    <cellStyle name="Normal 4 3 3 2 2 3 3 3 2 2 2 2" xfId="48323" xr:uid="{00000000-0005-0000-0000-00001F1E0000}"/>
    <cellStyle name="Normal 4 3 3 2 2 3 3 3 2 2 3" xfId="36035" xr:uid="{00000000-0005-0000-0000-0000201E0000}"/>
    <cellStyle name="Normal 4 3 3 2 2 3 3 3 2 3" xfId="17603" xr:uid="{00000000-0005-0000-0000-0000211E0000}"/>
    <cellStyle name="Normal 4 3 3 2 2 3 3 3 2 3 2" xfId="42179" xr:uid="{00000000-0005-0000-0000-0000221E0000}"/>
    <cellStyle name="Normal 4 3 3 2 2 3 3 3 2 4" xfId="29891" xr:uid="{00000000-0005-0000-0000-0000231E0000}"/>
    <cellStyle name="Normal 4 3 3 2 2 3 3 3 3" xfId="8387" xr:uid="{00000000-0005-0000-0000-0000241E0000}"/>
    <cellStyle name="Normal 4 3 3 2 2 3 3 3 3 2" xfId="20675" xr:uid="{00000000-0005-0000-0000-0000251E0000}"/>
    <cellStyle name="Normal 4 3 3 2 2 3 3 3 3 2 2" xfId="45251" xr:uid="{00000000-0005-0000-0000-0000261E0000}"/>
    <cellStyle name="Normal 4 3 3 2 2 3 3 3 3 3" xfId="32963" xr:uid="{00000000-0005-0000-0000-0000271E0000}"/>
    <cellStyle name="Normal 4 3 3 2 2 3 3 3 4" xfId="14531" xr:uid="{00000000-0005-0000-0000-0000281E0000}"/>
    <cellStyle name="Normal 4 3 3 2 2 3 3 3 4 2" xfId="39107" xr:uid="{00000000-0005-0000-0000-0000291E0000}"/>
    <cellStyle name="Normal 4 3 3 2 2 3 3 3 5" xfId="26819" xr:uid="{00000000-0005-0000-0000-00002A1E0000}"/>
    <cellStyle name="Normal 4 3 3 2 2 3 3 4" xfId="3779" xr:uid="{00000000-0005-0000-0000-00002B1E0000}"/>
    <cellStyle name="Normal 4 3 3 2 2 3 3 4 2" xfId="9923" xr:uid="{00000000-0005-0000-0000-00002C1E0000}"/>
    <cellStyle name="Normal 4 3 3 2 2 3 3 4 2 2" xfId="22211" xr:uid="{00000000-0005-0000-0000-00002D1E0000}"/>
    <cellStyle name="Normal 4 3 3 2 2 3 3 4 2 2 2" xfId="46787" xr:uid="{00000000-0005-0000-0000-00002E1E0000}"/>
    <cellStyle name="Normal 4 3 3 2 2 3 3 4 2 3" xfId="34499" xr:uid="{00000000-0005-0000-0000-00002F1E0000}"/>
    <cellStyle name="Normal 4 3 3 2 2 3 3 4 3" xfId="16067" xr:uid="{00000000-0005-0000-0000-0000301E0000}"/>
    <cellStyle name="Normal 4 3 3 2 2 3 3 4 3 2" xfId="40643" xr:uid="{00000000-0005-0000-0000-0000311E0000}"/>
    <cellStyle name="Normal 4 3 3 2 2 3 3 4 4" xfId="28355" xr:uid="{00000000-0005-0000-0000-0000321E0000}"/>
    <cellStyle name="Normal 4 3 3 2 2 3 3 5" xfId="6851" xr:uid="{00000000-0005-0000-0000-0000331E0000}"/>
    <cellStyle name="Normal 4 3 3 2 2 3 3 5 2" xfId="19139" xr:uid="{00000000-0005-0000-0000-0000341E0000}"/>
    <cellStyle name="Normal 4 3 3 2 2 3 3 5 2 2" xfId="43715" xr:uid="{00000000-0005-0000-0000-0000351E0000}"/>
    <cellStyle name="Normal 4 3 3 2 2 3 3 5 3" xfId="31427" xr:uid="{00000000-0005-0000-0000-0000361E0000}"/>
    <cellStyle name="Normal 4 3 3 2 2 3 3 6" xfId="12995" xr:uid="{00000000-0005-0000-0000-0000371E0000}"/>
    <cellStyle name="Normal 4 3 3 2 2 3 3 6 2" xfId="37571" xr:uid="{00000000-0005-0000-0000-0000381E0000}"/>
    <cellStyle name="Normal 4 3 3 2 2 3 3 7" xfId="25283" xr:uid="{00000000-0005-0000-0000-0000391E0000}"/>
    <cellStyle name="Normal 4 3 3 2 2 3 4" xfId="1087" xr:uid="{00000000-0005-0000-0000-00003A1E0000}"/>
    <cellStyle name="Normal 4 3 3 2 2 3 4 2" xfId="2623" xr:uid="{00000000-0005-0000-0000-00003B1E0000}"/>
    <cellStyle name="Normal 4 3 3 2 2 3 4 2 2" xfId="5699" xr:uid="{00000000-0005-0000-0000-00003C1E0000}"/>
    <cellStyle name="Normal 4 3 3 2 2 3 4 2 2 2" xfId="11843" xr:uid="{00000000-0005-0000-0000-00003D1E0000}"/>
    <cellStyle name="Normal 4 3 3 2 2 3 4 2 2 2 2" xfId="24131" xr:uid="{00000000-0005-0000-0000-00003E1E0000}"/>
    <cellStyle name="Normal 4 3 3 2 2 3 4 2 2 2 2 2" xfId="48707" xr:uid="{00000000-0005-0000-0000-00003F1E0000}"/>
    <cellStyle name="Normal 4 3 3 2 2 3 4 2 2 2 3" xfId="36419" xr:uid="{00000000-0005-0000-0000-0000401E0000}"/>
    <cellStyle name="Normal 4 3 3 2 2 3 4 2 2 3" xfId="17987" xr:uid="{00000000-0005-0000-0000-0000411E0000}"/>
    <cellStyle name="Normal 4 3 3 2 2 3 4 2 2 3 2" xfId="42563" xr:uid="{00000000-0005-0000-0000-0000421E0000}"/>
    <cellStyle name="Normal 4 3 3 2 2 3 4 2 2 4" xfId="30275" xr:uid="{00000000-0005-0000-0000-0000431E0000}"/>
    <cellStyle name="Normal 4 3 3 2 2 3 4 2 3" xfId="8771" xr:uid="{00000000-0005-0000-0000-0000441E0000}"/>
    <cellStyle name="Normal 4 3 3 2 2 3 4 2 3 2" xfId="21059" xr:uid="{00000000-0005-0000-0000-0000451E0000}"/>
    <cellStyle name="Normal 4 3 3 2 2 3 4 2 3 2 2" xfId="45635" xr:uid="{00000000-0005-0000-0000-0000461E0000}"/>
    <cellStyle name="Normal 4 3 3 2 2 3 4 2 3 3" xfId="33347" xr:uid="{00000000-0005-0000-0000-0000471E0000}"/>
    <cellStyle name="Normal 4 3 3 2 2 3 4 2 4" xfId="14915" xr:uid="{00000000-0005-0000-0000-0000481E0000}"/>
    <cellStyle name="Normal 4 3 3 2 2 3 4 2 4 2" xfId="39491" xr:uid="{00000000-0005-0000-0000-0000491E0000}"/>
    <cellStyle name="Normal 4 3 3 2 2 3 4 2 5" xfId="27203" xr:uid="{00000000-0005-0000-0000-00004A1E0000}"/>
    <cellStyle name="Normal 4 3 3 2 2 3 4 3" xfId="4163" xr:uid="{00000000-0005-0000-0000-00004B1E0000}"/>
    <cellStyle name="Normal 4 3 3 2 2 3 4 3 2" xfId="10307" xr:uid="{00000000-0005-0000-0000-00004C1E0000}"/>
    <cellStyle name="Normal 4 3 3 2 2 3 4 3 2 2" xfId="22595" xr:uid="{00000000-0005-0000-0000-00004D1E0000}"/>
    <cellStyle name="Normal 4 3 3 2 2 3 4 3 2 2 2" xfId="47171" xr:uid="{00000000-0005-0000-0000-00004E1E0000}"/>
    <cellStyle name="Normal 4 3 3 2 2 3 4 3 2 3" xfId="34883" xr:uid="{00000000-0005-0000-0000-00004F1E0000}"/>
    <cellStyle name="Normal 4 3 3 2 2 3 4 3 3" xfId="16451" xr:uid="{00000000-0005-0000-0000-0000501E0000}"/>
    <cellStyle name="Normal 4 3 3 2 2 3 4 3 3 2" xfId="41027" xr:uid="{00000000-0005-0000-0000-0000511E0000}"/>
    <cellStyle name="Normal 4 3 3 2 2 3 4 3 4" xfId="28739" xr:uid="{00000000-0005-0000-0000-0000521E0000}"/>
    <cellStyle name="Normal 4 3 3 2 2 3 4 4" xfId="7235" xr:uid="{00000000-0005-0000-0000-0000531E0000}"/>
    <cellStyle name="Normal 4 3 3 2 2 3 4 4 2" xfId="19523" xr:uid="{00000000-0005-0000-0000-0000541E0000}"/>
    <cellStyle name="Normal 4 3 3 2 2 3 4 4 2 2" xfId="44099" xr:uid="{00000000-0005-0000-0000-0000551E0000}"/>
    <cellStyle name="Normal 4 3 3 2 2 3 4 4 3" xfId="31811" xr:uid="{00000000-0005-0000-0000-0000561E0000}"/>
    <cellStyle name="Normal 4 3 3 2 2 3 4 5" xfId="13379" xr:uid="{00000000-0005-0000-0000-0000571E0000}"/>
    <cellStyle name="Normal 4 3 3 2 2 3 4 5 2" xfId="37955" xr:uid="{00000000-0005-0000-0000-0000581E0000}"/>
    <cellStyle name="Normal 4 3 3 2 2 3 4 6" xfId="25667" xr:uid="{00000000-0005-0000-0000-0000591E0000}"/>
    <cellStyle name="Normal 4 3 3 2 2 3 5" xfId="1855" xr:uid="{00000000-0005-0000-0000-00005A1E0000}"/>
    <cellStyle name="Normal 4 3 3 2 2 3 5 2" xfId="4931" xr:uid="{00000000-0005-0000-0000-00005B1E0000}"/>
    <cellStyle name="Normal 4 3 3 2 2 3 5 2 2" xfId="11075" xr:uid="{00000000-0005-0000-0000-00005C1E0000}"/>
    <cellStyle name="Normal 4 3 3 2 2 3 5 2 2 2" xfId="23363" xr:uid="{00000000-0005-0000-0000-00005D1E0000}"/>
    <cellStyle name="Normal 4 3 3 2 2 3 5 2 2 2 2" xfId="47939" xr:uid="{00000000-0005-0000-0000-00005E1E0000}"/>
    <cellStyle name="Normal 4 3 3 2 2 3 5 2 2 3" xfId="35651" xr:uid="{00000000-0005-0000-0000-00005F1E0000}"/>
    <cellStyle name="Normal 4 3 3 2 2 3 5 2 3" xfId="17219" xr:uid="{00000000-0005-0000-0000-0000601E0000}"/>
    <cellStyle name="Normal 4 3 3 2 2 3 5 2 3 2" xfId="41795" xr:uid="{00000000-0005-0000-0000-0000611E0000}"/>
    <cellStyle name="Normal 4 3 3 2 2 3 5 2 4" xfId="29507" xr:uid="{00000000-0005-0000-0000-0000621E0000}"/>
    <cellStyle name="Normal 4 3 3 2 2 3 5 3" xfId="8003" xr:uid="{00000000-0005-0000-0000-0000631E0000}"/>
    <cellStyle name="Normal 4 3 3 2 2 3 5 3 2" xfId="20291" xr:uid="{00000000-0005-0000-0000-0000641E0000}"/>
    <cellStyle name="Normal 4 3 3 2 2 3 5 3 2 2" xfId="44867" xr:uid="{00000000-0005-0000-0000-0000651E0000}"/>
    <cellStyle name="Normal 4 3 3 2 2 3 5 3 3" xfId="32579" xr:uid="{00000000-0005-0000-0000-0000661E0000}"/>
    <cellStyle name="Normal 4 3 3 2 2 3 5 4" xfId="14147" xr:uid="{00000000-0005-0000-0000-0000671E0000}"/>
    <cellStyle name="Normal 4 3 3 2 2 3 5 4 2" xfId="38723" xr:uid="{00000000-0005-0000-0000-0000681E0000}"/>
    <cellStyle name="Normal 4 3 3 2 2 3 5 5" xfId="26435" xr:uid="{00000000-0005-0000-0000-0000691E0000}"/>
    <cellStyle name="Normal 4 3 3 2 2 3 6" xfId="3395" xr:uid="{00000000-0005-0000-0000-00006A1E0000}"/>
    <cellStyle name="Normal 4 3 3 2 2 3 6 2" xfId="9539" xr:uid="{00000000-0005-0000-0000-00006B1E0000}"/>
    <cellStyle name="Normal 4 3 3 2 2 3 6 2 2" xfId="21827" xr:uid="{00000000-0005-0000-0000-00006C1E0000}"/>
    <cellStyle name="Normal 4 3 3 2 2 3 6 2 2 2" xfId="46403" xr:uid="{00000000-0005-0000-0000-00006D1E0000}"/>
    <cellStyle name="Normal 4 3 3 2 2 3 6 2 3" xfId="34115" xr:uid="{00000000-0005-0000-0000-00006E1E0000}"/>
    <cellStyle name="Normal 4 3 3 2 2 3 6 3" xfId="15683" xr:uid="{00000000-0005-0000-0000-00006F1E0000}"/>
    <cellStyle name="Normal 4 3 3 2 2 3 6 3 2" xfId="40259" xr:uid="{00000000-0005-0000-0000-0000701E0000}"/>
    <cellStyle name="Normal 4 3 3 2 2 3 6 4" xfId="27971" xr:uid="{00000000-0005-0000-0000-0000711E0000}"/>
    <cellStyle name="Normal 4 3 3 2 2 3 7" xfId="6467" xr:uid="{00000000-0005-0000-0000-0000721E0000}"/>
    <cellStyle name="Normal 4 3 3 2 2 3 7 2" xfId="18755" xr:uid="{00000000-0005-0000-0000-0000731E0000}"/>
    <cellStyle name="Normal 4 3 3 2 2 3 7 2 2" xfId="43331" xr:uid="{00000000-0005-0000-0000-0000741E0000}"/>
    <cellStyle name="Normal 4 3 3 2 2 3 7 3" xfId="31043" xr:uid="{00000000-0005-0000-0000-0000751E0000}"/>
    <cellStyle name="Normal 4 3 3 2 2 3 8" xfId="12611" xr:uid="{00000000-0005-0000-0000-0000761E0000}"/>
    <cellStyle name="Normal 4 3 3 2 2 3 8 2" xfId="37187" xr:uid="{00000000-0005-0000-0000-0000771E0000}"/>
    <cellStyle name="Normal 4 3 3 2 2 3 9" xfId="24899" xr:uid="{00000000-0005-0000-0000-0000781E0000}"/>
    <cellStyle name="Normal 4 3 3 2 2 4" xfId="383" xr:uid="{00000000-0005-0000-0000-0000791E0000}"/>
    <cellStyle name="Normal 4 3 3 2 2 4 2" xfId="767" xr:uid="{00000000-0005-0000-0000-00007A1E0000}"/>
    <cellStyle name="Normal 4 3 3 2 2 4 2 2" xfId="1535" xr:uid="{00000000-0005-0000-0000-00007B1E0000}"/>
    <cellStyle name="Normal 4 3 3 2 2 4 2 2 2" xfId="3071" xr:uid="{00000000-0005-0000-0000-00007C1E0000}"/>
    <cellStyle name="Normal 4 3 3 2 2 4 2 2 2 2" xfId="6147" xr:uid="{00000000-0005-0000-0000-00007D1E0000}"/>
    <cellStyle name="Normal 4 3 3 2 2 4 2 2 2 2 2" xfId="12291" xr:uid="{00000000-0005-0000-0000-00007E1E0000}"/>
    <cellStyle name="Normal 4 3 3 2 2 4 2 2 2 2 2 2" xfId="24579" xr:uid="{00000000-0005-0000-0000-00007F1E0000}"/>
    <cellStyle name="Normal 4 3 3 2 2 4 2 2 2 2 2 2 2" xfId="49155" xr:uid="{00000000-0005-0000-0000-0000801E0000}"/>
    <cellStyle name="Normal 4 3 3 2 2 4 2 2 2 2 2 3" xfId="36867" xr:uid="{00000000-0005-0000-0000-0000811E0000}"/>
    <cellStyle name="Normal 4 3 3 2 2 4 2 2 2 2 3" xfId="18435" xr:uid="{00000000-0005-0000-0000-0000821E0000}"/>
    <cellStyle name="Normal 4 3 3 2 2 4 2 2 2 2 3 2" xfId="43011" xr:uid="{00000000-0005-0000-0000-0000831E0000}"/>
    <cellStyle name="Normal 4 3 3 2 2 4 2 2 2 2 4" xfId="30723" xr:uid="{00000000-0005-0000-0000-0000841E0000}"/>
    <cellStyle name="Normal 4 3 3 2 2 4 2 2 2 3" xfId="9219" xr:uid="{00000000-0005-0000-0000-0000851E0000}"/>
    <cellStyle name="Normal 4 3 3 2 2 4 2 2 2 3 2" xfId="21507" xr:uid="{00000000-0005-0000-0000-0000861E0000}"/>
    <cellStyle name="Normal 4 3 3 2 2 4 2 2 2 3 2 2" xfId="46083" xr:uid="{00000000-0005-0000-0000-0000871E0000}"/>
    <cellStyle name="Normal 4 3 3 2 2 4 2 2 2 3 3" xfId="33795" xr:uid="{00000000-0005-0000-0000-0000881E0000}"/>
    <cellStyle name="Normal 4 3 3 2 2 4 2 2 2 4" xfId="15363" xr:uid="{00000000-0005-0000-0000-0000891E0000}"/>
    <cellStyle name="Normal 4 3 3 2 2 4 2 2 2 4 2" xfId="39939" xr:uid="{00000000-0005-0000-0000-00008A1E0000}"/>
    <cellStyle name="Normal 4 3 3 2 2 4 2 2 2 5" xfId="27651" xr:uid="{00000000-0005-0000-0000-00008B1E0000}"/>
    <cellStyle name="Normal 4 3 3 2 2 4 2 2 3" xfId="4611" xr:uid="{00000000-0005-0000-0000-00008C1E0000}"/>
    <cellStyle name="Normal 4 3 3 2 2 4 2 2 3 2" xfId="10755" xr:uid="{00000000-0005-0000-0000-00008D1E0000}"/>
    <cellStyle name="Normal 4 3 3 2 2 4 2 2 3 2 2" xfId="23043" xr:uid="{00000000-0005-0000-0000-00008E1E0000}"/>
    <cellStyle name="Normal 4 3 3 2 2 4 2 2 3 2 2 2" xfId="47619" xr:uid="{00000000-0005-0000-0000-00008F1E0000}"/>
    <cellStyle name="Normal 4 3 3 2 2 4 2 2 3 2 3" xfId="35331" xr:uid="{00000000-0005-0000-0000-0000901E0000}"/>
    <cellStyle name="Normal 4 3 3 2 2 4 2 2 3 3" xfId="16899" xr:uid="{00000000-0005-0000-0000-0000911E0000}"/>
    <cellStyle name="Normal 4 3 3 2 2 4 2 2 3 3 2" xfId="41475" xr:uid="{00000000-0005-0000-0000-0000921E0000}"/>
    <cellStyle name="Normal 4 3 3 2 2 4 2 2 3 4" xfId="29187" xr:uid="{00000000-0005-0000-0000-0000931E0000}"/>
    <cellStyle name="Normal 4 3 3 2 2 4 2 2 4" xfId="7683" xr:uid="{00000000-0005-0000-0000-0000941E0000}"/>
    <cellStyle name="Normal 4 3 3 2 2 4 2 2 4 2" xfId="19971" xr:uid="{00000000-0005-0000-0000-0000951E0000}"/>
    <cellStyle name="Normal 4 3 3 2 2 4 2 2 4 2 2" xfId="44547" xr:uid="{00000000-0005-0000-0000-0000961E0000}"/>
    <cellStyle name="Normal 4 3 3 2 2 4 2 2 4 3" xfId="32259" xr:uid="{00000000-0005-0000-0000-0000971E0000}"/>
    <cellStyle name="Normal 4 3 3 2 2 4 2 2 5" xfId="13827" xr:uid="{00000000-0005-0000-0000-0000981E0000}"/>
    <cellStyle name="Normal 4 3 3 2 2 4 2 2 5 2" xfId="38403" xr:uid="{00000000-0005-0000-0000-0000991E0000}"/>
    <cellStyle name="Normal 4 3 3 2 2 4 2 2 6" xfId="26115" xr:uid="{00000000-0005-0000-0000-00009A1E0000}"/>
    <cellStyle name="Normal 4 3 3 2 2 4 2 3" xfId="2303" xr:uid="{00000000-0005-0000-0000-00009B1E0000}"/>
    <cellStyle name="Normal 4 3 3 2 2 4 2 3 2" xfId="5379" xr:uid="{00000000-0005-0000-0000-00009C1E0000}"/>
    <cellStyle name="Normal 4 3 3 2 2 4 2 3 2 2" xfId="11523" xr:uid="{00000000-0005-0000-0000-00009D1E0000}"/>
    <cellStyle name="Normal 4 3 3 2 2 4 2 3 2 2 2" xfId="23811" xr:uid="{00000000-0005-0000-0000-00009E1E0000}"/>
    <cellStyle name="Normal 4 3 3 2 2 4 2 3 2 2 2 2" xfId="48387" xr:uid="{00000000-0005-0000-0000-00009F1E0000}"/>
    <cellStyle name="Normal 4 3 3 2 2 4 2 3 2 2 3" xfId="36099" xr:uid="{00000000-0005-0000-0000-0000A01E0000}"/>
    <cellStyle name="Normal 4 3 3 2 2 4 2 3 2 3" xfId="17667" xr:uid="{00000000-0005-0000-0000-0000A11E0000}"/>
    <cellStyle name="Normal 4 3 3 2 2 4 2 3 2 3 2" xfId="42243" xr:uid="{00000000-0005-0000-0000-0000A21E0000}"/>
    <cellStyle name="Normal 4 3 3 2 2 4 2 3 2 4" xfId="29955" xr:uid="{00000000-0005-0000-0000-0000A31E0000}"/>
    <cellStyle name="Normal 4 3 3 2 2 4 2 3 3" xfId="8451" xr:uid="{00000000-0005-0000-0000-0000A41E0000}"/>
    <cellStyle name="Normal 4 3 3 2 2 4 2 3 3 2" xfId="20739" xr:uid="{00000000-0005-0000-0000-0000A51E0000}"/>
    <cellStyle name="Normal 4 3 3 2 2 4 2 3 3 2 2" xfId="45315" xr:uid="{00000000-0005-0000-0000-0000A61E0000}"/>
    <cellStyle name="Normal 4 3 3 2 2 4 2 3 3 3" xfId="33027" xr:uid="{00000000-0005-0000-0000-0000A71E0000}"/>
    <cellStyle name="Normal 4 3 3 2 2 4 2 3 4" xfId="14595" xr:uid="{00000000-0005-0000-0000-0000A81E0000}"/>
    <cellStyle name="Normal 4 3 3 2 2 4 2 3 4 2" xfId="39171" xr:uid="{00000000-0005-0000-0000-0000A91E0000}"/>
    <cellStyle name="Normal 4 3 3 2 2 4 2 3 5" xfId="26883" xr:uid="{00000000-0005-0000-0000-0000AA1E0000}"/>
    <cellStyle name="Normal 4 3 3 2 2 4 2 4" xfId="3843" xr:uid="{00000000-0005-0000-0000-0000AB1E0000}"/>
    <cellStyle name="Normal 4 3 3 2 2 4 2 4 2" xfId="9987" xr:uid="{00000000-0005-0000-0000-0000AC1E0000}"/>
    <cellStyle name="Normal 4 3 3 2 2 4 2 4 2 2" xfId="22275" xr:uid="{00000000-0005-0000-0000-0000AD1E0000}"/>
    <cellStyle name="Normal 4 3 3 2 2 4 2 4 2 2 2" xfId="46851" xr:uid="{00000000-0005-0000-0000-0000AE1E0000}"/>
    <cellStyle name="Normal 4 3 3 2 2 4 2 4 2 3" xfId="34563" xr:uid="{00000000-0005-0000-0000-0000AF1E0000}"/>
    <cellStyle name="Normal 4 3 3 2 2 4 2 4 3" xfId="16131" xr:uid="{00000000-0005-0000-0000-0000B01E0000}"/>
    <cellStyle name="Normal 4 3 3 2 2 4 2 4 3 2" xfId="40707" xr:uid="{00000000-0005-0000-0000-0000B11E0000}"/>
    <cellStyle name="Normal 4 3 3 2 2 4 2 4 4" xfId="28419" xr:uid="{00000000-0005-0000-0000-0000B21E0000}"/>
    <cellStyle name="Normal 4 3 3 2 2 4 2 5" xfId="6915" xr:uid="{00000000-0005-0000-0000-0000B31E0000}"/>
    <cellStyle name="Normal 4 3 3 2 2 4 2 5 2" xfId="19203" xr:uid="{00000000-0005-0000-0000-0000B41E0000}"/>
    <cellStyle name="Normal 4 3 3 2 2 4 2 5 2 2" xfId="43779" xr:uid="{00000000-0005-0000-0000-0000B51E0000}"/>
    <cellStyle name="Normal 4 3 3 2 2 4 2 5 3" xfId="31491" xr:uid="{00000000-0005-0000-0000-0000B61E0000}"/>
    <cellStyle name="Normal 4 3 3 2 2 4 2 6" xfId="13059" xr:uid="{00000000-0005-0000-0000-0000B71E0000}"/>
    <cellStyle name="Normal 4 3 3 2 2 4 2 6 2" xfId="37635" xr:uid="{00000000-0005-0000-0000-0000B81E0000}"/>
    <cellStyle name="Normal 4 3 3 2 2 4 2 7" xfId="25347" xr:uid="{00000000-0005-0000-0000-0000B91E0000}"/>
    <cellStyle name="Normal 4 3 3 2 2 4 3" xfId="1151" xr:uid="{00000000-0005-0000-0000-0000BA1E0000}"/>
    <cellStyle name="Normal 4 3 3 2 2 4 3 2" xfId="2687" xr:uid="{00000000-0005-0000-0000-0000BB1E0000}"/>
    <cellStyle name="Normal 4 3 3 2 2 4 3 2 2" xfId="5763" xr:uid="{00000000-0005-0000-0000-0000BC1E0000}"/>
    <cellStyle name="Normal 4 3 3 2 2 4 3 2 2 2" xfId="11907" xr:uid="{00000000-0005-0000-0000-0000BD1E0000}"/>
    <cellStyle name="Normal 4 3 3 2 2 4 3 2 2 2 2" xfId="24195" xr:uid="{00000000-0005-0000-0000-0000BE1E0000}"/>
    <cellStyle name="Normal 4 3 3 2 2 4 3 2 2 2 2 2" xfId="48771" xr:uid="{00000000-0005-0000-0000-0000BF1E0000}"/>
    <cellStyle name="Normal 4 3 3 2 2 4 3 2 2 2 3" xfId="36483" xr:uid="{00000000-0005-0000-0000-0000C01E0000}"/>
    <cellStyle name="Normal 4 3 3 2 2 4 3 2 2 3" xfId="18051" xr:uid="{00000000-0005-0000-0000-0000C11E0000}"/>
    <cellStyle name="Normal 4 3 3 2 2 4 3 2 2 3 2" xfId="42627" xr:uid="{00000000-0005-0000-0000-0000C21E0000}"/>
    <cellStyle name="Normal 4 3 3 2 2 4 3 2 2 4" xfId="30339" xr:uid="{00000000-0005-0000-0000-0000C31E0000}"/>
    <cellStyle name="Normal 4 3 3 2 2 4 3 2 3" xfId="8835" xr:uid="{00000000-0005-0000-0000-0000C41E0000}"/>
    <cellStyle name="Normal 4 3 3 2 2 4 3 2 3 2" xfId="21123" xr:uid="{00000000-0005-0000-0000-0000C51E0000}"/>
    <cellStyle name="Normal 4 3 3 2 2 4 3 2 3 2 2" xfId="45699" xr:uid="{00000000-0005-0000-0000-0000C61E0000}"/>
    <cellStyle name="Normal 4 3 3 2 2 4 3 2 3 3" xfId="33411" xr:uid="{00000000-0005-0000-0000-0000C71E0000}"/>
    <cellStyle name="Normal 4 3 3 2 2 4 3 2 4" xfId="14979" xr:uid="{00000000-0005-0000-0000-0000C81E0000}"/>
    <cellStyle name="Normal 4 3 3 2 2 4 3 2 4 2" xfId="39555" xr:uid="{00000000-0005-0000-0000-0000C91E0000}"/>
    <cellStyle name="Normal 4 3 3 2 2 4 3 2 5" xfId="27267" xr:uid="{00000000-0005-0000-0000-0000CA1E0000}"/>
    <cellStyle name="Normal 4 3 3 2 2 4 3 3" xfId="4227" xr:uid="{00000000-0005-0000-0000-0000CB1E0000}"/>
    <cellStyle name="Normal 4 3 3 2 2 4 3 3 2" xfId="10371" xr:uid="{00000000-0005-0000-0000-0000CC1E0000}"/>
    <cellStyle name="Normal 4 3 3 2 2 4 3 3 2 2" xfId="22659" xr:uid="{00000000-0005-0000-0000-0000CD1E0000}"/>
    <cellStyle name="Normal 4 3 3 2 2 4 3 3 2 2 2" xfId="47235" xr:uid="{00000000-0005-0000-0000-0000CE1E0000}"/>
    <cellStyle name="Normal 4 3 3 2 2 4 3 3 2 3" xfId="34947" xr:uid="{00000000-0005-0000-0000-0000CF1E0000}"/>
    <cellStyle name="Normal 4 3 3 2 2 4 3 3 3" xfId="16515" xr:uid="{00000000-0005-0000-0000-0000D01E0000}"/>
    <cellStyle name="Normal 4 3 3 2 2 4 3 3 3 2" xfId="41091" xr:uid="{00000000-0005-0000-0000-0000D11E0000}"/>
    <cellStyle name="Normal 4 3 3 2 2 4 3 3 4" xfId="28803" xr:uid="{00000000-0005-0000-0000-0000D21E0000}"/>
    <cellStyle name="Normal 4 3 3 2 2 4 3 4" xfId="7299" xr:uid="{00000000-0005-0000-0000-0000D31E0000}"/>
    <cellStyle name="Normal 4 3 3 2 2 4 3 4 2" xfId="19587" xr:uid="{00000000-0005-0000-0000-0000D41E0000}"/>
    <cellStyle name="Normal 4 3 3 2 2 4 3 4 2 2" xfId="44163" xr:uid="{00000000-0005-0000-0000-0000D51E0000}"/>
    <cellStyle name="Normal 4 3 3 2 2 4 3 4 3" xfId="31875" xr:uid="{00000000-0005-0000-0000-0000D61E0000}"/>
    <cellStyle name="Normal 4 3 3 2 2 4 3 5" xfId="13443" xr:uid="{00000000-0005-0000-0000-0000D71E0000}"/>
    <cellStyle name="Normal 4 3 3 2 2 4 3 5 2" xfId="38019" xr:uid="{00000000-0005-0000-0000-0000D81E0000}"/>
    <cellStyle name="Normal 4 3 3 2 2 4 3 6" xfId="25731" xr:uid="{00000000-0005-0000-0000-0000D91E0000}"/>
    <cellStyle name="Normal 4 3 3 2 2 4 4" xfId="1919" xr:uid="{00000000-0005-0000-0000-0000DA1E0000}"/>
    <cellStyle name="Normal 4 3 3 2 2 4 4 2" xfId="4995" xr:uid="{00000000-0005-0000-0000-0000DB1E0000}"/>
    <cellStyle name="Normal 4 3 3 2 2 4 4 2 2" xfId="11139" xr:uid="{00000000-0005-0000-0000-0000DC1E0000}"/>
    <cellStyle name="Normal 4 3 3 2 2 4 4 2 2 2" xfId="23427" xr:uid="{00000000-0005-0000-0000-0000DD1E0000}"/>
    <cellStyle name="Normal 4 3 3 2 2 4 4 2 2 2 2" xfId="48003" xr:uid="{00000000-0005-0000-0000-0000DE1E0000}"/>
    <cellStyle name="Normal 4 3 3 2 2 4 4 2 2 3" xfId="35715" xr:uid="{00000000-0005-0000-0000-0000DF1E0000}"/>
    <cellStyle name="Normal 4 3 3 2 2 4 4 2 3" xfId="17283" xr:uid="{00000000-0005-0000-0000-0000E01E0000}"/>
    <cellStyle name="Normal 4 3 3 2 2 4 4 2 3 2" xfId="41859" xr:uid="{00000000-0005-0000-0000-0000E11E0000}"/>
    <cellStyle name="Normal 4 3 3 2 2 4 4 2 4" xfId="29571" xr:uid="{00000000-0005-0000-0000-0000E21E0000}"/>
    <cellStyle name="Normal 4 3 3 2 2 4 4 3" xfId="8067" xr:uid="{00000000-0005-0000-0000-0000E31E0000}"/>
    <cellStyle name="Normal 4 3 3 2 2 4 4 3 2" xfId="20355" xr:uid="{00000000-0005-0000-0000-0000E41E0000}"/>
    <cellStyle name="Normal 4 3 3 2 2 4 4 3 2 2" xfId="44931" xr:uid="{00000000-0005-0000-0000-0000E51E0000}"/>
    <cellStyle name="Normal 4 3 3 2 2 4 4 3 3" xfId="32643" xr:uid="{00000000-0005-0000-0000-0000E61E0000}"/>
    <cellStyle name="Normal 4 3 3 2 2 4 4 4" xfId="14211" xr:uid="{00000000-0005-0000-0000-0000E71E0000}"/>
    <cellStyle name="Normal 4 3 3 2 2 4 4 4 2" xfId="38787" xr:uid="{00000000-0005-0000-0000-0000E81E0000}"/>
    <cellStyle name="Normal 4 3 3 2 2 4 4 5" xfId="26499" xr:uid="{00000000-0005-0000-0000-0000E91E0000}"/>
    <cellStyle name="Normal 4 3 3 2 2 4 5" xfId="3459" xr:uid="{00000000-0005-0000-0000-0000EA1E0000}"/>
    <cellStyle name="Normal 4 3 3 2 2 4 5 2" xfId="9603" xr:uid="{00000000-0005-0000-0000-0000EB1E0000}"/>
    <cellStyle name="Normal 4 3 3 2 2 4 5 2 2" xfId="21891" xr:uid="{00000000-0005-0000-0000-0000EC1E0000}"/>
    <cellStyle name="Normal 4 3 3 2 2 4 5 2 2 2" xfId="46467" xr:uid="{00000000-0005-0000-0000-0000ED1E0000}"/>
    <cellStyle name="Normal 4 3 3 2 2 4 5 2 3" xfId="34179" xr:uid="{00000000-0005-0000-0000-0000EE1E0000}"/>
    <cellStyle name="Normal 4 3 3 2 2 4 5 3" xfId="15747" xr:uid="{00000000-0005-0000-0000-0000EF1E0000}"/>
    <cellStyle name="Normal 4 3 3 2 2 4 5 3 2" xfId="40323" xr:uid="{00000000-0005-0000-0000-0000F01E0000}"/>
    <cellStyle name="Normal 4 3 3 2 2 4 5 4" xfId="28035" xr:uid="{00000000-0005-0000-0000-0000F11E0000}"/>
    <cellStyle name="Normal 4 3 3 2 2 4 6" xfId="6531" xr:uid="{00000000-0005-0000-0000-0000F21E0000}"/>
    <cellStyle name="Normal 4 3 3 2 2 4 6 2" xfId="18819" xr:uid="{00000000-0005-0000-0000-0000F31E0000}"/>
    <cellStyle name="Normal 4 3 3 2 2 4 6 2 2" xfId="43395" xr:uid="{00000000-0005-0000-0000-0000F41E0000}"/>
    <cellStyle name="Normal 4 3 3 2 2 4 6 3" xfId="31107" xr:uid="{00000000-0005-0000-0000-0000F51E0000}"/>
    <cellStyle name="Normal 4 3 3 2 2 4 7" xfId="12675" xr:uid="{00000000-0005-0000-0000-0000F61E0000}"/>
    <cellStyle name="Normal 4 3 3 2 2 4 7 2" xfId="37251" xr:uid="{00000000-0005-0000-0000-0000F71E0000}"/>
    <cellStyle name="Normal 4 3 3 2 2 4 8" xfId="24963" xr:uid="{00000000-0005-0000-0000-0000F81E0000}"/>
    <cellStyle name="Normal 4 3 3 2 2 5" xfId="575" xr:uid="{00000000-0005-0000-0000-0000F91E0000}"/>
    <cellStyle name="Normal 4 3 3 2 2 5 2" xfId="1343" xr:uid="{00000000-0005-0000-0000-0000FA1E0000}"/>
    <cellStyle name="Normal 4 3 3 2 2 5 2 2" xfId="2879" xr:uid="{00000000-0005-0000-0000-0000FB1E0000}"/>
    <cellStyle name="Normal 4 3 3 2 2 5 2 2 2" xfId="5955" xr:uid="{00000000-0005-0000-0000-0000FC1E0000}"/>
    <cellStyle name="Normal 4 3 3 2 2 5 2 2 2 2" xfId="12099" xr:uid="{00000000-0005-0000-0000-0000FD1E0000}"/>
    <cellStyle name="Normal 4 3 3 2 2 5 2 2 2 2 2" xfId="24387" xr:uid="{00000000-0005-0000-0000-0000FE1E0000}"/>
    <cellStyle name="Normal 4 3 3 2 2 5 2 2 2 2 2 2" xfId="48963" xr:uid="{00000000-0005-0000-0000-0000FF1E0000}"/>
    <cellStyle name="Normal 4 3 3 2 2 5 2 2 2 2 3" xfId="36675" xr:uid="{00000000-0005-0000-0000-0000001F0000}"/>
    <cellStyle name="Normal 4 3 3 2 2 5 2 2 2 3" xfId="18243" xr:uid="{00000000-0005-0000-0000-0000011F0000}"/>
    <cellStyle name="Normal 4 3 3 2 2 5 2 2 2 3 2" xfId="42819" xr:uid="{00000000-0005-0000-0000-0000021F0000}"/>
    <cellStyle name="Normal 4 3 3 2 2 5 2 2 2 4" xfId="30531" xr:uid="{00000000-0005-0000-0000-0000031F0000}"/>
    <cellStyle name="Normal 4 3 3 2 2 5 2 2 3" xfId="9027" xr:uid="{00000000-0005-0000-0000-0000041F0000}"/>
    <cellStyle name="Normal 4 3 3 2 2 5 2 2 3 2" xfId="21315" xr:uid="{00000000-0005-0000-0000-0000051F0000}"/>
    <cellStyle name="Normal 4 3 3 2 2 5 2 2 3 2 2" xfId="45891" xr:uid="{00000000-0005-0000-0000-0000061F0000}"/>
    <cellStyle name="Normal 4 3 3 2 2 5 2 2 3 3" xfId="33603" xr:uid="{00000000-0005-0000-0000-0000071F0000}"/>
    <cellStyle name="Normal 4 3 3 2 2 5 2 2 4" xfId="15171" xr:uid="{00000000-0005-0000-0000-0000081F0000}"/>
    <cellStyle name="Normal 4 3 3 2 2 5 2 2 4 2" xfId="39747" xr:uid="{00000000-0005-0000-0000-0000091F0000}"/>
    <cellStyle name="Normal 4 3 3 2 2 5 2 2 5" xfId="27459" xr:uid="{00000000-0005-0000-0000-00000A1F0000}"/>
    <cellStyle name="Normal 4 3 3 2 2 5 2 3" xfId="4419" xr:uid="{00000000-0005-0000-0000-00000B1F0000}"/>
    <cellStyle name="Normal 4 3 3 2 2 5 2 3 2" xfId="10563" xr:uid="{00000000-0005-0000-0000-00000C1F0000}"/>
    <cellStyle name="Normal 4 3 3 2 2 5 2 3 2 2" xfId="22851" xr:uid="{00000000-0005-0000-0000-00000D1F0000}"/>
    <cellStyle name="Normal 4 3 3 2 2 5 2 3 2 2 2" xfId="47427" xr:uid="{00000000-0005-0000-0000-00000E1F0000}"/>
    <cellStyle name="Normal 4 3 3 2 2 5 2 3 2 3" xfId="35139" xr:uid="{00000000-0005-0000-0000-00000F1F0000}"/>
    <cellStyle name="Normal 4 3 3 2 2 5 2 3 3" xfId="16707" xr:uid="{00000000-0005-0000-0000-0000101F0000}"/>
    <cellStyle name="Normal 4 3 3 2 2 5 2 3 3 2" xfId="41283" xr:uid="{00000000-0005-0000-0000-0000111F0000}"/>
    <cellStyle name="Normal 4 3 3 2 2 5 2 3 4" xfId="28995" xr:uid="{00000000-0005-0000-0000-0000121F0000}"/>
    <cellStyle name="Normal 4 3 3 2 2 5 2 4" xfId="7491" xr:uid="{00000000-0005-0000-0000-0000131F0000}"/>
    <cellStyle name="Normal 4 3 3 2 2 5 2 4 2" xfId="19779" xr:uid="{00000000-0005-0000-0000-0000141F0000}"/>
    <cellStyle name="Normal 4 3 3 2 2 5 2 4 2 2" xfId="44355" xr:uid="{00000000-0005-0000-0000-0000151F0000}"/>
    <cellStyle name="Normal 4 3 3 2 2 5 2 4 3" xfId="32067" xr:uid="{00000000-0005-0000-0000-0000161F0000}"/>
    <cellStyle name="Normal 4 3 3 2 2 5 2 5" xfId="13635" xr:uid="{00000000-0005-0000-0000-0000171F0000}"/>
    <cellStyle name="Normal 4 3 3 2 2 5 2 5 2" xfId="38211" xr:uid="{00000000-0005-0000-0000-0000181F0000}"/>
    <cellStyle name="Normal 4 3 3 2 2 5 2 6" xfId="25923" xr:uid="{00000000-0005-0000-0000-0000191F0000}"/>
    <cellStyle name="Normal 4 3 3 2 2 5 3" xfId="2111" xr:uid="{00000000-0005-0000-0000-00001A1F0000}"/>
    <cellStyle name="Normal 4 3 3 2 2 5 3 2" xfId="5187" xr:uid="{00000000-0005-0000-0000-00001B1F0000}"/>
    <cellStyle name="Normal 4 3 3 2 2 5 3 2 2" xfId="11331" xr:uid="{00000000-0005-0000-0000-00001C1F0000}"/>
    <cellStyle name="Normal 4 3 3 2 2 5 3 2 2 2" xfId="23619" xr:uid="{00000000-0005-0000-0000-00001D1F0000}"/>
    <cellStyle name="Normal 4 3 3 2 2 5 3 2 2 2 2" xfId="48195" xr:uid="{00000000-0005-0000-0000-00001E1F0000}"/>
    <cellStyle name="Normal 4 3 3 2 2 5 3 2 2 3" xfId="35907" xr:uid="{00000000-0005-0000-0000-00001F1F0000}"/>
    <cellStyle name="Normal 4 3 3 2 2 5 3 2 3" xfId="17475" xr:uid="{00000000-0005-0000-0000-0000201F0000}"/>
    <cellStyle name="Normal 4 3 3 2 2 5 3 2 3 2" xfId="42051" xr:uid="{00000000-0005-0000-0000-0000211F0000}"/>
    <cellStyle name="Normal 4 3 3 2 2 5 3 2 4" xfId="29763" xr:uid="{00000000-0005-0000-0000-0000221F0000}"/>
    <cellStyle name="Normal 4 3 3 2 2 5 3 3" xfId="8259" xr:uid="{00000000-0005-0000-0000-0000231F0000}"/>
    <cellStyle name="Normal 4 3 3 2 2 5 3 3 2" xfId="20547" xr:uid="{00000000-0005-0000-0000-0000241F0000}"/>
    <cellStyle name="Normal 4 3 3 2 2 5 3 3 2 2" xfId="45123" xr:uid="{00000000-0005-0000-0000-0000251F0000}"/>
    <cellStyle name="Normal 4 3 3 2 2 5 3 3 3" xfId="32835" xr:uid="{00000000-0005-0000-0000-0000261F0000}"/>
    <cellStyle name="Normal 4 3 3 2 2 5 3 4" xfId="14403" xr:uid="{00000000-0005-0000-0000-0000271F0000}"/>
    <cellStyle name="Normal 4 3 3 2 2 5 3 4 2" xfId="38979" xr:uid="{00000000-0005-0000-0000-0000281F0000}"/>
    <cellStyle name="Normal 4 3 3 2 2 5 3 5" xfId="26691" xr:uid="{00000000-0005-0000-0000-0000291F0000}"/>
    <cellStyle name="Normal 4 3 3 2 2 5 4" xfId="3651" xr:uid="{00000000-0005-0000-0000-00002A1F0000}"/>
    <cellStyle name="Normal 4 3 3 2 2 5 4 2" xfId="9795" xr:uid="{00000000-0005-0000-0000-00002B1F0000}"/>
    <cellStyle name="Normal 4 3 3 2 2 5 4 2 2" xfId="22083" xr:uid="{00000000-0005-0000-0000-00002C1F0000}"/>
    <cellStyle name="Normal 4 3 3 2 2 5 4 2 2 2" xfId="46659" xr:uid="{00000000-0005-0000-0000-00002D1F0000}"/>
    <cellStyle name="Normal 4 3 3 2 2 5 4 2 3" xfId="34371" xr:uid="{00000000-0005-0000-0000-00002E1F0000}"/>
    <cellStyle name="Normal 4 3 3 2 2 5 4 3" xfId="15939" xr:uid="{00000000-0005-0000-0000-00002F1F0000}"/>
    <cellStyle name="Normal 4 3 3 2 2 5 4 3 2" xfId="40515" xr:uid="{00000000-0005-0000-0000-0000301F0000}"/>
    <cellStyle name="Normal 4 3 3 2 2 5 4 4" xfId="28227" xr:uid="{00000000-0005-0000-0000-0000311F0000}"/>
    <cellStyle name="Normal 4 3 3 2 2 5 5" xfId="6723" xr:uid="{00000000-0005-0000-0000-0000321F0000}"/>
    <cellStyle name="Normal 4 3 3 2 2 5 5 2" xfId="19011" xr:uid="{00000000-0005-0000-0000-0000331F0000}"/>
    <cellStyle name="Normal 4 3 3 2 2 5 5 2 2" xfId="43587" xr:uid="{00000000-0005-0000-0000-0000341F0000}"/>
    <cellStyle name="Normal 4 3 3 2 2 5 5 3" xfId="31299" xr:uid="{00000000-0005-0000-0000-0000351F0000}"/>
    <cellStyle name="Normal 4 3 3 2 2 5 6" xfId="12867" xr:uid="{00000000-0005-0000-0000-0000361F0000}"/>
    <cellStyle name="Normal 4 3 3 2 2 5 6 2" xfId="37443" xr:uid="{00000000-0005-0000-0000-0000371F0000}"/>
    <cellStyle name="Normal 4 3 3 2 2 5 7" xfId="25155" xr:uid="{00000000-0005-0000-0000-0000381F0000}"/>
    <cellStyle name="Normal 4 3 3 2 2 6" xfId="959" xr:uid="{00000000-0005-0000-0000-0000391F0000}"/>
    <cellStyle name="Normal 4 3 3 2 2 6 2" xfId="2495" xr:uid="{00000000-0005-0000-0000-00003A1F0000}"/>
    <cellStyle name="Normal 4 3 3 2 2 6 2 2" xfId="5571" xr:uid="{00000000-0005-0000-0000-00003B1F0000}"/>
    <cellStyle name="Normal 4 3 3 2 2 6 2 2 2" xfId="11715" xr:uid="{00000000-0005-0000-0000-00003C1F0000}"/>
    <cellStyle name="Normal 4 3 3 2 2 6 2 2 2 2" xfId="24003" xr:uid="{00000000-0005-0000-0000-00003D1F0000}"/>
    <cellStyle name="Normal 4 3 3 2 2 6 2 2 2 2 2" xfId="48579" xr:uid="{00000000-0005-0000-0000-00003E1F0000}"/>
    <cellStyle name="Normal 4 3 3 2 2 6 2 2 2 3" xfId="36291" xr:uid="{00000000-0005-0000-0000-00003F1F0000}"/>
    <cellStyle name="Normal 4 3 3 2 2 6 2 2 3" xfId="17859" xr:uid="{00000000-0005-0000-0000-0000401F0000}"/>
    <cellStyle name="Normal 4 3 3 2 2 6 2 2 3 2" xfId="42435" xr:uid="{00000000-0005-0000-0000-0000411F0000}"/>
    <cellStyle name="Normal 4 3 3 2 2 6 2 2 4" xfId="30147" xr:uid="{00000000-0005-0000-0000-0000421F0000}"/>
    <cellStyle name="Normal 4 3 3 2 2 6 2 3" xfId="8643" xr:uid="{00000000-0005-0000-0000-0000431F0000}"/>
    <cellStyle name="Normal 4 3 3 2 2 6 2 3 2" xfId="20931" xr:uid="{00000000-0005-0000-0000-0000441F0000}"/>
    <cellStyle name="Normal 4 3 3 2 2 6 2 3 2 2" xfId="45507" xr:uid="{00000000-0005-0000-0000-0000451F0000}"/>
    <cellStyle name="Normal 4 3 3 2 2 6 2 3 3" xfId="33219" xr:uid="{00000000-0005-0000-0000-0000461F0000}"/>
    <cellStyle name="Normal 4 3 3 2 2 6 2 4" xfId="14787" xr:uid="{00000000-0005-0000-0000-0000471F0000}"/>
    <cellStyle name="Normal 4 3 3 2 2 6 2 4 2" xfId="39363" xr:uid="{00000000-0005-0000-0000-0000481F0000}"/>
    <cellStyle name="Normal 4 3 3 2 2 6 2 5" xfId="27075" xr:uid="{00000000-0005-0000-0000-0000491F0000}"/>
    <cellStyle name="Normal 4 3 3 2 2 6 3" xfId="4035" xr:uid="{00000000-0005-0000-0000-00004A1F0000}"/>
    <cellStyle name="Normal 4 3 3 2 2 6 3 2" xfId="10179" xr:uid="{00000000-0005-0000-0000-00004B1F0000}"/>
    <cellStyle name="Normal 4 3 3 2 2 6 3 2 2" xfId="22467" xr:uid="{00000000-0005-0000-0000-00004C1F0000}"/>
    <cellStyle name="Normal 4 3 3 2 2 6 3 2 2 2" xfId="47043" xr:uid="{00000000-0005-0000-0000-00004D1F0000}"/>
    <cellStyle name="Normal 4 3 3 2 2 6 3 2 3" xfId="34755" xr:uid="{00000000-0005-0000-0000-00004E1F0000}"/>
    <cellStyle name="Normal 4 3 3 2 2 6 3 3" xfId="16323" xr:uid="{00000000-0005-0000-0000-00004F1F0000}"/>
    <cellStyle name="Normal 4 3 3 2 2 6 3 3 2" xfId="40899" xr:uid="{00000000-0005-0000-0000-0000501F0000}"/>
    <cellStyle name="Normal 4 3 3 2 2 6 3 4" xfId="28611" xr:uid="{00000000-0005-0000-0000-0000511F0000}"/>
    <cellStyle name="Normal 4 3 3 2 2 6 4" xfId="7107" xr:uid="{00000000-0005-0000-0000-0000521F0000}"/>
    <cellStyle name="Normal 4 3 3 2 2 6 4 2" xfId="19395" xr:uid="{00000000-0005-0000-0000-0000531F0000}"/>
    <cellStyle name="Normal 4 3 3 2 2 6 4 2 2" xfId="43971" xr:uid="{00000000-0005-0000-0000-0000541F0000}"/>
    <cellStyle name="Normal 4 3 3 2 2 6 4 3" xfId="31683" xr:uid="{00000000-0005-0000-0000-0000551F0000}"/>
    <cellStyle name="Normal 4 3 3 2 2 6 5" xfId="13251" xr:uid="{00000000-0005-0000-0000-0000561F0000}"/>
    <cellStyle name="Normal 4 3 3 2 2 6 5 2" xfId="37827" xr:uid="{00000000-0005-0000-0000-0000571F0000}"/>
    <cellStyle name="Normal 4 3 3 2 2 6 6" xfId="25539" xr:uid="{00000000-0005-0000-0000-0000581F0000}"/>
    <cellStyle name="Normal 4 3 3 2 2 7" xfId="1727" xr:uid="{00000000-0005-0000-0000-0000591F0000}"/>
    <cellStyle name="Normal 4 3 3 2 2 7 2" xfId="4803" xr:uid="{00000000-0005-0000-0000-00005A1F0000}"/>
    <cellStyle name="Normal 4 3 3 2 2 7 2 2" xfId="10947" xr:uid="{00000000-0005-0000-0000-00005B1F0000}"/>
    <cellStyle name="Normal 4 3 3 2 2 7 2 2 2" xfId="23235" xr:uid="{00000000-0005-0000-0000-00005C1F0000}"/>
    <cellStyle name="Normal 4 3 3 2 2 7 2 2 2 2" xfId="47811" xr:uid="{00000000-0005-0000-0000-00005D1F0000}"/>
    <cellStyle name="Normal 4 3 3 2 2 7 2 2 3" xfId="35523" xr:uid="{00000000-0005-0000-0000-00005E1F0000}"/>
    <cellStyle name="Normal 4 3 3 2 2 7 2 3" xfId="17091" xr:uid="{00000000-0005-0000-0000-00005F1F0000}"/>
    <cellStyle name="Normal 4 3 3 2 2 7 2 3 2" xfId="41667" xr:uid="{00000000-0005-0000-0000-0000601F0000}"/>
    <cellStyle name="Normal 4 3 3 2 2 7 2 4" xfId="29379" xr:uid="{00000000-0005-0000-0000-0000611F0000}"/>
    <cellStyle name="Normal 4 3 3 2 2 7 3" xfId="7875" xr:uid="{00000000-0005-0000-0000-0000621F0000}"/>
    <cellStyle name="Normal 4 3 3 2 2 7 3 2" xfId="20163" xr:uid="{00000000-0005-0000-0000-0000631F0000}"/>
    <cellStyle name="Normal 4 3 3 2 2 7 3 2 2" xfId="44739" xr:uid="{00000000-0005-0000-0000-0000641F0000}"/>
    <cellStyle name="Normal 4 3 3 2 2 7 3 3" xfId="32451" xr:uid="{00000000-0005-0000-0000-0000651F0000}"/>
    <cellStyle name="Normal 4 3 3 2 2 7 4" xfId="14019" xr:uid="{00000000-0005-0000-0000-0000661F0000}"/>
    <cellStyle name="Normal 4 3 3 2 2 7 4 2" xfId="38595" xr:uid="{00000000-0005-0000-0000-0000671F0000}"/>
    <cellStyle name="Normal 4 3 3 2 2 7 5" xfId="26307" xr:uid="{00000000-0005-0000-0000-0000681F0000}"/>
    <cellStyle name="Normal 4 3 3 2 2 8" xfId="3267" xr:uid="{00000000-0005-0000-0000-0000691F0000}"/>
    <cellStyle name="Normal 4 3 3 2 2 8 2" xfId="9411" xr:uid="{00000000-0005-0000-0000-00006A1F0000}"/>
    <cellStyle name="Normal 4 3 3 2 2 8 2 2" xfId="21699" xr:uid="{00000000-0005-0000-0000-00006B1F0000}"/>
    <cellStyle name="Normal 4 3 3 2 2 8 2 2 2" xfId="46275" xr:uid="{00000000-0005-0000-0000-00006C1F0000}"/>
    <cellStyle name="Normal 4 3 3 2 2 8 2 3" xfId="33987" xr:uid="{00000000-0005-0000-0000-00006D1F0000}"/>
    <cellStyle name="Normal 4 3 3 2 2 8 3" xfId="15555" xr:uid="{00000000-0005-0000-0000-00006E1F0000}"/>
    <cellStyle name="Normal 4 3 3 2 2 8 3 2" xfId="40131" xr:uid="{00000000-0005-0000-0000-00006F1F0000}"/>
    <cellStyle name="Normal 4 3 3 2 2 8 4" xfId="27843" xr:uid="{00000000-0005-0000-0000-0000701F0000}"/>
    <cellStyle name="Normal 4 3 3 2 2 9" xfId="6339" xr:uid="{00000000-0005-0000-0000-0000711F0000}"/>
    <cellStyle name="Normal 4 3 3 2 2 9 2" xfId="18627" xr:uid="{00000000-0005-0000-0000-0000721F0000}"/>
    <cellStyle name="Normal 4 3 3 2 2 9 2 2" xfId="43203" xr:uid="{00000000-0005-0000-0000-0000731F0000}"/>
    <cellStyle name="Normal 4 3 3 2 2 9 3" xfId="30915" xr:uid="{00000000-0005-0000-0000-0000741F0000}"/>
    <cellStyle name="Normal 4 3 3 2 3" xfId="223" xr:uid="{00000000-0005-0000-0000-0000751F0000}"/>
    <cellStyle name="Normal 4 3 3 2 3 2" xfId="415" xr:uid="{00000000-0005-0000-0000-0000761F0000}"/>
    <cellStyle name="Normal 4 3 3 2 3 2 2" xfId="799" xr:uid="{00000000-0005-0000-0000-0000771F0000}"/>
    <cellStyle name="Normal 4 3 3 2 3 2 2 2" xfId="1567" xr:uid="{00000000-0005-0000-0000-0000781F0000}"/>
    <cellStyle name="Normal 4 3 3 2 3 2 2 2 2" xfId="3103" xr:uid="{00000000-0005-0000-0000-0000791F0000}"/>
    <cellStyle name="Normal 4 3 3 2 3 2 2 2 2 2" xfId="6179" xr:uid="{00000000-0005-0000-0000-00007A1F0000}"/>
    <cellStyle name="Normal 4 3 3 2 3 2 2 2 2 2 2" xfId="12323" xr:uid="{00000000-0005-0000-0000-00007B1F0000}"/>
    <cellStyle name="Normal 4 3 3 2 3 2 2 2 2 2 2 2" xfId="24611" xr:uid="{00000000-0005-0000-0000-00007C1F0000}"/>
    <cellStyle name="Normal 4 3 3 2 3 2 2 2 2 2 2 2 2" xfId="49187" xr:uid="{00000000-0005-0000-0000-00007D1F0000}"/>
    <cellStyle name="Normal 4 3 3 2 3 2 2 2 2 2 2 3" xfId="36899" xr:uid="{00000000-0005-0000-0000-00007E1F0000}"/>
    <cellStyle name="Normal 4 3 3 2 3 2 2 2 2 2 3" xfId="18467" xr:uid="{00000000-0005-0000-0000-00007F1F0000}"/>
    <cellStyle name="Normal 4 3 3 2 3 2 2 2 2 2 3 2" xfId="43043" xr:uid="{00000000-0005-0000-0000-0000801F0000}"/>
    <cellStyle name="Normal 4 3 3 2 3 2 2 2 2 2 4" xfId="30755" xr:uid="{00000000-0005-0000-0000-0000811F0000}"/>
    <cellStyle name="Normal 4 3 3 2 3 2 2 2 2 3" xfId="9251" xr:uid="{00000000-0005-0000-0000-0000821F0000}"/>
    <cellStyle name="Normal 4 3 3 2 3 2 2 2 2 3 2" xfId="21539" xr:uid="{00000000-0005-0000-0000-0000831F0000}"/>
    <cellStyle name="Normal 4 3 3 2 3 2 2 2 2 3 2 2" xfId="46115" xr:uid="{00000000-0005-0000-0000-0000841F0000}"/>
    <cellStyle name="Normal 4 3 3 2 3 2 2 2 2 3 3" xfId="33827" xr:uid="{00000000-0005-0000-0000-0000851F0000}"/>
    <cellStyle name="Normal 4 3 3 2 3 2 2 2 2 4" xfId="15395" xr:uid="{00000000-0005-0000-0000-0000861F0000}"/>
    <cellStyle name="Normal 4 3 3 2 3 2 2 2 2 4 2" xfId="39971" xr:uid="{00000000-0005-0000-0000-0000871F0000}"/>
    <cellStyle name="Normal 4 3 3 2 3 2 2 2 2 5" xfId="27683" xr:uid="{00000000-0005-0000-0000-0000881F0000}"/>
    <cellStyle name="Normal 4 3 3 2 3 2 2 2 3" xfId="4643" xr:uid="{00000000-0005-0000-0000-0000891F0000}"/>
    <cellStyle name="Normal 4 3 3 2 3 2 2 2 3 2" xfId="10787" xr:uid="{00000000-0005-0000-0000-00008A1F0000}"/>
    <cellStyle name="Normal 4 3 3 2 3 2 2 2 3 2 2" xfId="23075" xr:uid="{00000000-0005-0000-0000-00008B1F0000}"/>
    <cellStyle name="Normal 4 3 3 2 3 2 2 2 3 2 2 2" xfId="47651" xr:uid="{00000000-0005-0000-0000-00008C1F0000}"/>
    <cellStyle name="Normal 4 3 3 2 3 2 2 2 3 2 3" xfId="35363" xr:uid="{00000000-0005-0000-0000-00008D1F0000}"/>
    <cellStyle name="Normal 4 3 3 2 3 2 2 2 3 3" xfId="16931" xr:uid="{00000000-0005-0000-0000-00008E1F0000}"/>
    <cellStyle name="Normal 4 3 3 2 3 2 2 2 3 3 2" xfId="41507" xr:uid="{00000000-0005-0000-0000-00008F1F0000}"/>
    <cellStyle name="Normal 4 3 3 2 3 2 2 2 3 4" xfId="29219" xr:uid="{00000000-0005-0000-0000-0000901F0000}"/>
    <cellStyle name="Normal 4 3 3 2 3 2 2 2 4" xfId="7715" xr:uid="{00000000-0005-0000-0000-0000911F0000}"/>
    <cellStyle name="Normal 4 3 3 2 3 2 2 2 4 2" xfId="20003" xr:uid="{00000000-0005-0000-0000-0000921F0000}"/>
    <cellStyle name="Normal 4 3 3 2 3 2 2 2 4 2 2" xfId="44579" xr:uid="{00000000-0005-0000-0000-0000931F0000}"/>
    <cellStyle name="Normal 4 3 3 2 3 2 2 2 4 3" xfId="32291" xr:uid="{00000000-0005-0000-0000-0000941F0000}"/>
    <cellStyle name="Normal 4 3 3 2 3 2 2 2 5" xfId="13859" xr:uid="{00000000-0005-0000-0000-0000951F0000}"/>
    <cellStyle name="Normal 4 3 3 2 3 2 2 2 5 2" xfId="38435" xr:uid="{00000000-0005-0000-0000-0000961F0000}"/>
    <cellStyle name="Normal 4 3 3 2 3 2 2 2 6" xfId="26147" xr:uid="{00000000-0005-0000-0000-0000971F0000}"/>
    <cellStyle name="Normal 4 3 3 2 3 2 2 3" xfId="2335" xr:uid="{00000000-0005-0000-0000-0000981F0000}"/>
    <cellStyle name="Normal 4 3 3 2 3 2 2 3 2" xfId="5411" xr:uid="{00000000-0005-0000-0000-0000991F0000}"/>
    <cellStyle name="Normal 4 3 3 2 3 2 2 3 2 2" xfId="11555" xr:uid="{00000000-0005-0000-0000-00009A1F0000}"/>
    <cellStyle name="Normal 4 3 3 2 3 2 2 3 2 2 2" xfId="23843" xr:uid="{00000000-0005-0000-0000-00009B1F0000}"/>
    <cellStyle name="Normal 4 3 3 2 3 2 2 3 2 2 2 2" xfId="48419" xr:uid="{00000000-0005-0000-0000-00009C1F0000}"/>
    <cellStyle name="Normal 4 3 3 2 3 2 2 3 2 2 3" xfId="36131" xr:uid="{00000000-0005-0000-0000-00009D1F0000}"/>
    <cellStyle name="Normal 4 3 3 2 3 2 2 3 2 3" xfId="17699" xr:uid="{00000000-0005-0000-0000-00009E1F0000}"/>
    <cellStyle name="Normal 4 3 3 2 3 2 2 3 2 3 2" xfId="42275" xr:uid="{00000000-0005-0000-0000-00009F1F0000}"/>
    <cellStyle name="Normal 4 3 3 2 3 2 2 3 2 4" xfId="29987" xr:uid="{00000000-0005-0000-0000-0000A01F0000}"/>
    <cellStyle name="Normal 4 3 3 2 3 2 2 3 3" xfId="8483" xr:uid="{00000000-0005-0000-0000-0000A11F0000}"/>
    <cellStyle name="Normal 4 3 3 2 3 2 2 3 3 2" xfId="20771" xr:uid="{00000000-0005-0000-0000-0000A21F0000}"/>
    <cellStyle name="Normal 4 3 3 2 3 2 2 3 3 2 2" xfId="45347" xr:uid="{00000000-0005-0000-0000-0000A31F0000}"/>
    <cellStyle name="Normal 4 3 3 2 3 2 2 3 3 3" xfId="33059" xr:uid="{00000000-0005-0000-0000-0000A41F0000}"/>
    <cellStyle name="Normal 4 3 3 2 3 2 2 3 4" xfId="14627" xr:uid="{00000000-0005-0000-0000-0000A51F0000}"/>
    <cellStyle name="Normal 4 3 3 2 3 2 2 3 4 2" xfId="39203" xr:uid="{00000000-0005-0000-0000-0000A61F0000}"/>
    <cellStyle name="Normal 4 3 3 2 3 2 2 3 5" xfId="26915" xr:uid="{00000000-0005-0000-0000-0000A71F0000}"/>
    <cellStyle name="Normal 4 3 3 2 3 2 2 4" xfId="3875" xr:uid="{00000000-0005-0000-0000-0000A81F0000}"/>
    <cellStyle name="Normal 4 3 3 2 3 2 2 4 2" xfId="10019" xr:uid="{00000000-0005-0000-0000-0000A91F0000}"/>
    <cellStyle name="Normal 4 3 3 2 3 2 2 4 2 2" xfId="22307" xr:uid="{00000000-0005-0000-0000-0000AA1F0000}"/>
    <cellStyle name="Normal 4 3 3 2 3 2 2 4 2 2 2" xfId="46883" xr:uid="{00000000-0005-0000-0000-0000AB1F0000}"/>
    <cellStyle name="Normal 4 3 3 2 3 2 2 4 2 3" xfId="34595" xr:uid="{00000000-0005-0000-0000-0000AC1F0000}"/>
    <cellStyle name="Normal 4 3 3 2 3 2 2 4 3" xfId="16163" xr:uid="{00000000-0005-0000-0000-0000AD1F0000}"/>
    <cellStyle name="Normal 4 3 3 2 3 2 2 4 3 2" xfId="40739" xr:uid="{00000000-0005-0000-0000-0000AE1F0000}"/>
    <cellStyle name="Normal 4 3 3 2 3 2 2 4 4" xfId="28451" xr:uid="{00000000-0005-0000-0000-0000AF1F0000}"/>
    <cellStyle name="Normal 4 3 3 2 3 2 2 5" xfId="6947" xr:uid="{00000000-0005-0000-0000-0000B01F0000}"/>
    <cellStyle name="Normal 4 3 3 2 3 2 2 5 2" xfId="19235" xr:uid="{00000000-0005-0000-0000-0000B11F0000}"/>
    <cellStyle name="Normal 4 3 3 2 3 2 2 5 2 2" xfId="43811" xr:uid="{00000000-0005-0000-0000-0000B21F0000}"/>
    <cellStyle name="Normal 4 3 3 2 3 2 2 5 3" xfId="31523" xr:uid="{00000000-0005-0000-0000-0000B31F0000}"/>
    <cellStyle name="Normal 4 3 3 2 3 2 2 6" xfId="13091" xr:uid="{00000000-0005-0000-0000-0000B41F0000}"/>
    <cellStyle name="Normal 4 3 3 2 3 2 2 6 2" xfId="37667" xr:uid="{00000000-0005-0000-0000-0000B51F0000}"/>
    <cellStyle name="Normal 4 3 3 2 3 2 2 7" xfId="25379" xr:uid="{00000000-0005-0000-0000-0000B61F0000}"/>
    <cellStyle name="Normal 4 3 3 2 3 2 3" xfId="1183" xr:uid="{00000000-0005-0000-0000-0000B71F0000}"/>
    <cellStyle name="Normal 4 3 3 2 3 2 3 2" xfId="2719" xr:uid="{00000000-0005-0000-0000-0000B81F0000}"/>
    <cellStyle name="Normal 4 3 3 2 3 2 3 2 2" xfId="5795" xr:uid="{00000000-0005-0000-0000-0000B91F0000}"/>
    <cellStyle name="Normal 4 3 3 2 3 2 3 2 2 2" xfId="11939" xr:uid="{00000000-0005-0000-0000-0000BA1F0000}"/>
    <cellStyle name="Normal 4 3 3 2 3 2 3 2 2 2 2" xfId="24227" xr:uid="{00000000-0005-0000-0000-0000BB1F0000}"/>
    <cellStyle name="Normal 4 3 3 2 3 2 3 2 2 2 2 2" xfId="48803" xr:uid="{00000000-0005-0000-0000-0000BC1F0000}"/>
    <cellStyle name="Normal 4 3 3 2 3 2 3 2 2 2 3" xfId="36515" xr:uid="{00000000-0005-0000-0000-0000BD1F0000}"/>
    <cellStyle name="Normal 4 3 3 2 3 2 3 2 2 3" xfId="18083" xr:uid="{00000000-0005-0000-0000-0000BE1F0000}"/>
    <cellStyle name="Normal 4 3 3 2 3 2 3 2 2 3 2" xfId="42659" xr:uid="{00000000-0005-0000-0000-0000BF1F0000}"/>
    <cellStyle name="Normal 4 3 3 2 3 2 3 2 2 4" xfId="30371" xr:uid="{00000000-0005-0000-0000-0000C01F0000}"/>
    <cellStyle name="Normal 4 3 3 2 3 2 3 2 3" xfId="8867" xr:uid="{00000000-0005-0000-0000-0000C11F0000}"/>
    <cellStyle name="Normal 4 3 3 2 3 2 3 2 3 2" xfId="21155" xr:uid="{00000000-0005-0000-0000-0000C21F0000}"/>
    <cellStyle name="Normal 4 3 3 2 3 2 3 2 3 2 2" xfId="45731" xr:uid="{00000000-0005-0000-0000-0000C31F0000}"/>
    <cellStyle name="Normal 4 3 3 2 3 2 3 2 3 3" xfId="33443" xr:uid="{00000000-0005-0000-0000-0000C41F0000}"/>
    <cellStyle name="Normal 4 3 3 2 3 2 3 2 4" xfId="15011" xr:uid="{00000000-0005-0000-0000-0000C51F0000}"/>
    <cellStyle name="Normal 4 3 3 2 3 2 3 2 4 2" xfId="39587" xr:uid="{00000000-0005-0000-0000-0000C61F0000}"/>
    <cellStyle name="Normal 4 3 3 2 3 2 3 2 5" xfId="27299" xr:uid="{00000000-0005-0000-0000-0000C71F0000}"/>
    <cellStyle name="Normal 4 3 3 2 3 2 3 3" xfId="4259" xr:uid="{00000000-0005-0000-0000-0000C81F0000}"/>
    <cellStyle name="Normal 4 3 3 2 3 2 3 3 2" xfId="10403" xr:uid="{00000000-0005-0000-0000-0000C91F0000}"/>
    <cellStyle name="Normal 4 3 3 2 3 2 3 3 2 2" xfId="22691" xr:uid="{00000000-0005-0000-0000-0000CA1F0000}"/>
    <cellStyle name="Normal 4 3 3 2 3 2 3 3 2 2 2" xfId="47267" xr:uid="{00000000-0005-0000-0000-0000CB1F0000}"/>
    <cellStyle name="Normal 4 3 3 2 3 2 3 3 2 3" xfId="34979" xr:uid="{00000000-0005-0000-0000-0000CC1F0000}"/>
    <cellStyle name="Normal 4 3 3 2 3 2 3 3 3" xfId="16547" xr:uid="{00000000-0005-0000-0000-0000CD1F0000}"/>
    <cellStyle name="Normal 4 3 3 2 3 2 3 3 3 2" xfId="41123" xr:uid="{00000000-0005-0000-0000-0000CE1F0000}"/>
    <cellStyle name="Normal 4 3 3 2 3 2 3 3 4" xfId="28835" xr:uid="{00000000-0005-0000-0000-0000CF1F0000}"/>
    <cellStyle name="Normal 4 3 3 2 3 2 3 4" xfId="7331" xr:uid="{00000000-0005-0000-0000-0000D01F0000}"/>
    <cellStyle name="Normal 4 3 3 2 3 2 3 4 2" xfId="19619" xr:uid="{00000000-0005-0000-0000-0000D11F0000}"/>
    <cellStyle name="Normal 4 3 3 2 3 2 3 4 2 2" xfId="44195" xr:uid="{00000000-0005-0000-0000-0000D21F0000}"/>
    <cellStyle name="Normal 4 3 3 2 3 2 3 4 3" xfId="31907" xr:uid="{00000000-0005-0000-0000-0000D31F0000}"/>
    <cellStyle name="Normal 4 3 3 2 3 2 3 5" xfId="13475" xr:uid="{00000000-0005-0000-0000-0000D41F0000}"/>
    <cellStyle name="Normal 4 3 3 2 3 2 3 5 2" xfId="38051" xr:uid="{00000000-0005-0000-0000-0000D51F0000}"/>
    <cellStyle name="Normal 4 3 3 2 3 2 3 6" xfId="25763" xr:uid="{00000000-0005-0000-0000-0000D61F0000}"/>
    <cellStyle name="Normal 4 3 3 2 3 2 4" xfId="1951" xr:uid="{00000000-0005-0000-0000-0000D71F0000}"/>
    <cellStyle name="Normal 4 3 3 2 3 2 4 2" xfId="5027" xr:uid="{00000000-0005-0000-0000-0000D81F0000}"/>
    <cellStyle name="Normal 4 3 3 2 3 2 4 2 2" xfId="11171" xr:uid="{00000000-0005-0000-0000-0000D91F0000}"/>
    <cellStyle name="Normal 4 3 3 2 3 2 4 2 2 2" xfId="23459" xr:uid="{00000000-0005-0000-0000-0000DA1F0000}"/>
    <cellStyle name="Normal 4 3 3 2 3 2 4 2 2 2 2" xfId="48035" xr:uid="{00000000-0005-0000-0000-0000DB1F0000}"/>
    <cellStyle name="Normal 4 3 3 2 3 2 4 2 2 3" xfId="35747" xr:uid="{00000000-0005-0000-0000-0000DC1F0000}"/>
    <cellStyle name="Normal 4 3 3 2 3 2 4 2 3" xfId="17315" xr:uid="{00000000-0005-0000-0000-0000DD1F0000}"/>
    <cellStyle name="Normal 4 3 3 2 3 2 4 2 3 2" xfId="41891" xr:uid="{00000000-0005-0000-0000-0000DE1F0000}"/>
    <cellStyle name="Normal 4 3 3 2 3 2 4 2 4" xfId="29603" xr:uid="{00000000-0005-0000-0000-0000DF1F0000}"/>
    <cellStyle name="Normal 4 3 3 2 3 2 4 3" xfId="8099" xr:uid="{00000000-0005-0000-0000-0000E01F0000}"/>
    <cellStyle name="Normal 4 3 3 2 3 2 4 3 2" xfId="20387" xr:uid="{00000000-0005-0000-0000-0000E11F0000}"/>
    <cellStyle name="Normal 4 3 3 2 3 2 4 3 2 2" xfId="44963" xr:uid="{00000000-0005-0000-0000-0000E21F0000}"/>
    <cellStyle name="Normal 4 3 3 2 3 2 4 3 3" xfId="32675" xr:uid="{00000000-0005-0000-0000-0000E31F0000}"/>
    <cellStyle name="Normal 4 3 3 2 3 2 4 4" xfId="14243" xr:uid="{00000000-0005-0000-0000-0000E41F0000}"/>
    <cellStyle name="Normal 4 3 3 2 3 2 4 4 2" xfId="38819" xr:uid="{00000000-0005-0000-0000-0000E51F0000}"/>
    <cellStyle name="Normal 4 3 3 2 3 2 4 5" xfId="26531" xr:uid="{00000000-0005-0000-0000-0000E61F0000}"/>
    <cellStyle name="Normal 4 3 3 2 3 2 5" xfId="3491" xr:uid="{00000000-0005-0000-0000-0000E71F0000}"/>
    <cellStyle name="Normal 4 3 3 2 3 2 5 2" xfId="9635" xr:uid="{00000000-0005-0000-0000-0000E81F0000}"/>
    <cellStyle name="Normal 4 3 3 2 3 2 5 2 2" xfId="21923" xr:uid="{00000000-0005-0000-0000-0000E91F0000}"/>
    <cellStyle name="Normal 4 3 3 2 3 2 5 2 2 2" xfId="46499" xr:uid="{00000000-0005-0000-0000-0000EA1F0000}"/>
    <cellStyle name="Normal 4 3 3 2 3 2 5 2 3" xfId="34211" xr:uid="{00000000-0005-0000-0000-0000EB1F0000}"/>
    <cellStyle name="Normal 4 3 3 2 3 2 5 3" xfId="15779" xr:uid="{00000000-0005-0000-0000-0000EC1F0000}"/>
    <cellStyle name="Normal 4 3 3 2 3 2 5 3 2" xfId="40355" xr:uid="{00000000-0005-0000-0000-0000ED1F0000}"/>
    <cellStyle name="Normal 4 3 3 2 3 2 5 4" xfId="28067" xr:uid="{00000000-0005-0000-0000-0000EE1F0000}"/>
    <cellStyle name="Normal 4 3 3 2 3 2 6" xfId="6563" xr:uid="{00000000-0005-0000-0000-0000EF1F0000}"/>
    <cellStyle name="Normal 4 3 3 2 3 2 6 2" xfId="18851" xr:uid="{00000000-0005-0000-0000-0000F01F0000}"/>
    <cellStyle name="Normal 4 3 3 2 3 2 6 2 2" xfId="43427" xr:uid="{00000000-0005-0000-0000-0000F11F0000}"/>
    <cellStyle name="Normal 4 3 3 2 3 2 6 3" xfId="31139" xr:uid="{00000000-0005-0000-0000-0000F21F0000}"/>
    <cellStyle name="Normal 4 3 3 2 3 2 7" xfId="12707" xr:uid="{00000000-0005-0000-0000-0000F31F0000}"/>
    <cellStyle name="Normal 4 3 3 2 3 2 7 2" xfId="37283" xr:uid="{00000000-0005-0000-0000-0000F41F0000}"/>
    <cellStyle name="Normal 4 3 3 2 3 2 8" xfId="24995" xr:uid="{00000000-0005-0000-0000-0000F51F0000}"/>
    <cellStyle name="Normal 4 3 3 2 3 3" xfId="607" xr:uid="{00000000-0005-0000-0000-0000F61F0000}"/>
    <cellStyle name="Normal 4 3 3 2 3 3 2" xfId="1375" xr:uid="{00000000-0005-0000-0000-0000F71F0000}"/>
    <cellStyle name="Normal 4 3 3 2 3 3 2 2" xfId="2911" xr:uid="{00000000-0005-0000-0000-0000F81F0000}"/>
    <cellStyle name="Normal 4 3 3 2 3 3 2 2 2" xfId="5987" xr:uid="{00000000-0005-0000-0000-0000F91F0000}"/>
    <cellStyle name="Normal 4 3 3 2 3 3 2 2 2 2" xfId="12131" xr:uid="{00000000-0005-0000-0000-0000FA1F0000}"/>
    <cellStyle name="Normal 4 3 3 2 3 3 2 2 2 2 2" xfId="24419" xr:uid="{00000000-0005-0000-0000-0000FB1F0000}"/>
    <cellStyle name="Normal 4 3 3 2 3 3 2 2 2 2 2 2" xfId="48995" xr:uid="{00000000-0005-0000-0000-0000FC1F0000}"/>
    <cellStyle name="Normal 4 3 3 2 3 3 2 2 2 2 3" xfId="36707" xr:uid="{00000000-0005-0000-0000-0000FD1F0000}"/>
    <cellStyle name="Normal 4 3 3 2 3 3 2 2 2 3" xfId="18275" xr:uid="{00000000-0005-0000-0000-0000FE1F0000}"/>
    <cellStyle name="Normal 4 3 3 2 3 3 2 2 2 3 2" xfId="42851" xr:uid="{00000000-0005-0000-0000-0000FF1F0000}"/>
    <cellStyle name="Normal 4 3 3 2 3 3 2 2 2 4" xfId="30563" xr:uid="{00000000-0005-0000-0000-000000200000}"/>
    <cellStyle name="Normal 4 3 3 2 3 3 2 2 3" xfId="9059" xr:uid="{00000000-0005-0000-0000-000001200000}"/>
    <cellStyle name="Normal 4 3 3 2 3 3 2 2 3 2" xfId="21347" xr:uid="{00000000-0005-0000-0000-000002200000}"/>
    <cellStyle name="Normal 4 3 3 2 3 3 2 2 3 2 2" xfId="45923" xr:uid="{00000000-0005-0000-0000-000003200000}"/>
    <cellStyle name="Normal 4 3 3 2 3 3 2 2 3 3" xfId="33635" xr:uid="{00000000-0005-0000-0000-000004200000}"/>
    <cellStyle name="Normal 4 3 3 2 3 3 2 2 4" xfId="15203" xr:uid="{00000000-0005-0000-0000-000005200000}"/>
    <cellStyle name="Normal 4 3 3 2 3 3 2 2 4 2" xfId="39779" xr:uid="{00000000-0005-0000-0000-000006200000}"/>
    <cellStyle name="Normal 4 3 3 2 3 3 2 2 5" xfId="27491" xr:uid="{00000000-0005-0000-0000-000007200000}"/>
    <cellStyle name="Normal 4 3 3 2 3 3 2 3" xfId="4451" xr:uid="{00000000-0005-0000-0000-000008200000}"/>
    <cellStyle name="Normal 4 3 3 2 3 3 2 3 2" xfId="10595" xr:uid="{00000000-0005-0000-0000-000009200000}"/>
    <cellStyle name="Normal 4 3 3 2 3 3 2 3 2 2" xfId="22883" xr:uid="{00000000-0005-0000-0000-00000A200000}"/>
    <cellStyle name="Normal 4 3 3 2 3 3 2 3 2 2 2" xfId="47459" xr:uid="{00000000-0005-0000-0000-00000B200000}"/>
    <cellStyle name="Normal 4 3 3 2 3 3 2 3 2 3" xfId="35171" xr:uid="{00000000-0005-0000-0000-00000C200000}"/>
    <cellStyle name="Normal 4 3 3 2 3 3 2 3 3" xfId="16739" xr:uid="{00000000-0005-0000-0000-00000D200000}"/>
    <cellStyle name="Normal 4 3 3 2 3 3 2 3 3 2" xfId="41315" xr:uid="{00000000-0005-0000-0000-00000E200000}"/>
    <cellStyle name="Normal 4 3 3 2 3 3 2 3 4" xfId="29027" xr:uid="{00000000-0005-0000-0000-00000F200000}"/>
    <cellStyle name="Normal 4 3 3 2 3 3 2 4" xfId="7523" xr:uid="{00000000-0005-0000-0000-000010200000}"/>
    <cellStyle name="Normal 4 3 3 2 3 3 2 4 2" xfId="19811" xr:uid="{00000000-0005-0000-0000-000011200000}"/>
    <cellStyle name="Normal 4 3 3 2 3 3 2 4 2 2" xfId="44387" xr:uid="{00000000-0005-0000-0000-000012200000}"/>
    <cellStyle name="Normal 4 3 3 2 3 3 2 4 3" xfId="32099" xr:uid="{00000000-0005-0000-0000-000013200000}"/>
    <cellStyle name="Normal 4 3 3 2 3 3 2 5" xfId="13667" xr:uid="{00000000-0005-0000-0000-000014200000}"/>
    <cellStyle name="Normal 4 3 3 2 3 3 2 5 2" xfId="38243" xr:uid="{00000000-0005-0000-0000-000015200000}"/>
    <cellStyle name="Normal 4 3 3 2 3 3 2 6" xfId="25955" xr:uid="{00000000-0005-0000-0000-000016200000}"/>
    <cellStyle name="Normal 4 3 3 2 3 3 3" xfId="2143" xr:uid="{00000000-0005-0000-0000-000017200000}"/>
    <cellStyle name="Normal 4 3 3 2 3 3 3 2" xfId="5219" xr:uid="{00000000-0005-0000-0000-000018200000}"/>
    <cellStyle name="Normal 4 3 3 2 3 3 3 2 2" xfId="11363" xr:uid="{00000000-0005-0000-0000-000019200000}"/>
    <cellStyle name="Normal 4 3 3 2 3 3 3 2 2 2" xfId="23651" xr:uid="{00000000-0005-0000-0000-00001A200000}"/>
    <cellStyle name="Normal 4 3 3 2 3 3 3 2 2 2 2" xfId="48227" xr:uid="{00000000-0005-0000-0000-00001B200000}"/>
    <cellStyle name="Normal 4 3 3 2 3 3 3 2 2 3" xfId="35939" xr:uid="{00000000-0005-0000-0000-00001C200000}"/>
    <cellStyle name="Normal 4 3 3 2 3 3 3 2 3" xfId="17507" xr:uid="{00000000-0005-0000-0000-00001D200000}"/>
    <cellStyle name="Normal 4 3 3 2 3 3 3 2 3 2" xfId="42083" xr:uid="{00000000-0005-0000-0000-00001E200000}"/>
    <cellStyle name="Normal 4 3 3 2 3 3 3 2 4" xfId="29795" xr:uid="{00000000-0005-0000-0000-00001F200000}"/>
    <cellStyle name="Normal 4 3 3 2 3 3 3 3" xfId="8291" xr:uid="{00000000-0005-0000-0000-000020200000}"/>
    <cellStyle name="Normal 4 3 3 2 3 3 3 3 2" xfId="20579" xr:uid="{00000000-0005-0000-0000-000021200000}"/>
    <cellStyle name="Normal 4 3 3 2 3 3 3 3 2 2" xfId="45155" xr:uid="{00000000-0005-0000-0000-000022200000}"/>
    <cellStyle name="Normal 4 3 3 2 3 3 3 3 3" xfId="32867" xr:uid="{00000000-0005-0000-0000-000023200000}"/>
    <cellStyle name="Normal 4 3 3 2 3 3 3 4" xfId="14435" xr:uid="{00000000-0005-0000-0000-000024200000}"/>
    <cellStyle name="Normal 4 3 3 2 3 3 3 4 2" xfId="39011" xr:uid="{00000000-0005-0000-0000-000025200000}"/>
    <cellStyle name="Normal 4 3 3 2 3 3 3 5" xfId="26723" xr:uid="{00000000-0005-0000-0000-000026200000}"/>
    <cellStyle name="Normal 4 3 3 2 3 3 4" xfId="3683" xr:uid="{00000000-0005-0000-0000-000027200000}"/>
    <cellStyle name="Normal 4 3 3 2 3 3 4 2" xfId="9827" xr:uid="{00000000-0005-0000-0000-000028200000}"/>
    <cellStyle name="Normal 4 3 3 2 3 3 4 2 2" xfId="22115" xr:uid="{00000000-0005-0000-0000-000029200000}"/>
    <cellStyle name="Normal 4 3 3 2 3 3 4 2 2 2" xfId="46691" xr:uid="{00000000-0005-0000-0000-00002A200000}"/>
    <cellStyle name="Normal 4 3 3 2 3 3 4 2 3" xfId="34403" xr:uid="{00000000-0005-0000-0000-00002B200000}"/>
    <cellStyle name="Normal 4 3 3 2 3 3 4 3" xfId="15971" xr:uid="{00000000-0005-0000-0000-00002C200000}"/>
    <cellStyle name="Normal 4 3 3 2 3 3 4 3 2" xfId="40547" xr:uid="{00000000-0005-0000-0000-00002D200000}"/>
    <cellStyle name="Normal 4 3 3 2 3 3 4 4" xfId="28259" xr:uid="{00000000-0005-0000-0000-00002E200000}"/>
    <cellStyle name="Normal 4 3 3 2 3 3 5" xfId="6755" xr:uid="{00000000-0005-0000-0000-00002F200000}"/>
    <cellStyle name="Normal 4 3 3 2 3 3 5 2" xfId="19043" xr:uid="{00000000-0005-0000-0000-000030200000}"/>
    <cellStyle name="Normal 4 3 3 2 3 3 5 2 2" xfId="43619" xr:uid="{00000000-0005-0000-0000-000031200000}"/>
    <cellStyle name="Normal 4 3 3 2 3 3 5 3" xfId="31331" xr:uid="{00000000-0005-0000-0000-000032200000}"/>
    <cellStyle name="Normal 4 3 3 2 3 3 6" xfId="12899" xr:uid="{00000000-0005-0000-0000-000033200000}"/>
    <cellStyle name="Normal 4 3 3 2 3 3 6 2" xfId="37475" xr:uid="{00000000-0005-0000-0000-000034200000}"/>
    <cellStyle name="Normal 4 3 3 2 3 3 7" xfId="25187" xr:uid="{00000000-0005-0000-0000-000035200000}"/>
    <cellStyle name="Normal 4 3 3 2 3 4" xfId="991" xr:uid="{00000000-0005-0000-0000-000036200000}"/>
    <cellStyle name="Normal 4 3 3 2 3 4 2" xfId="2527" xr:uid="{00000000-0005-0000-0000-000037200000}"/>
    <cellStyle name="Normal 4 3 3 2 3 4 2 2" xfId="5603" xr:uid="{00000000-0005-0000-0000-000038200000}"/>
    <cellStyle name="Normal 4 3 3 2 3 4 2 2 2" xfId="11747" xr:uid="{00000000-0005-0000-0000-000039200000}"/>
    <cellStyle name="Normal 4 3 3 2 3 4 2 2 2 2" xfId="24035" xr:uid="{00000000-0005-0000-0000-00003A200000}"/>
    <cellStyle name="Normal 4 3 3 2 3 4 2 2 2 2 2" xfId="48611" xr:uid="{00000000-0005-0000-0000-00003B200000}"/>
    <cellStyle name="Normal 4 3 3 2 3 4 2 2 2 3" xfId="36323" xr:uid="{00000000-0005-0000-0000-00003C200000}"/>
    <cellStyle name="Normal 4 3 3 2 3 4 2 2 3" xfId="17891" xr:uid="{00000000-0005-0000-0000-00003D200000}"/>
    <cellStyle name="Normal 4 3 3 2 3 4 2 2 3 2" xfId="42467" xr:uid="{00000000-0005-0000-0000-00003E200000}"/>
    <cellStyle name="Normal 4 3 3 2 3 4 2 2 4" xfId="30179" xr:uid="{00000000-0005-0000-0000-00003F200000}"/>
    <cellStyle name="Normal 4 3 3 2 3 4 2 3" xfId="8675" xr:uid="{00000000-0005-0000-0000-000040200000}"/>
    <cellStyle name="Normal 4 3 3 2 3 4 2 3 2" xfId="20963" xr:uid="{00000000-0005-0000-0000-000041200000}"/>
    <cellStyle name="Normal 4 3 3 2 3 4 2 3 2 2" xfId="45539" xr:uid="{00000000-0005-0000-0000-000042200000}"/>
    <cellStyle name="Normal 4 3 3 2 3 4 2 3 3" xfId="33251" xr:uid="{00000000-0005-0000-0000-000043200000}"/>
    <cellStyle name="Normal 4 3 3 2 3 4 2 4" xfId="14819" xr:uid="{00000000-0005-0000-0000-000044200000}"/>
    <cellStyle name="Normal 4 3 3 2 3 4 2 4 2" xfId="39395" xr:uid="{00000000-0005-0000-0000-000045200000}"/>
    <cellStyle name="Normal 4 3 3 2 3 4 2 5" xfId="27107" xr:uid="{00000000-0005-0000-0000-000046200000}"/>
    <cellStyle name="Normal 4 3 3 2 3 4 3" xfId="4067" xr:uid="{00000000-0005-0000-0000-000047200000}"/>
    <cellStyle name="Normal 4 3 3 2 3 4 3 2" xfId="10211" xr:uid="{00000000-0005-0000-0000-000048200000}"/>
    <cellStyle name="Normal 4 3 3 2 3 4 3 2 2" xfId="22499" xr:uid="{00000000-0005-0000-0000-000049200000}"/>
    <cellStyle name="Normal 4 3 3 2 3 4 3 2 2 2" xfId="47075" xr:uid="{00000000-0005-0000-0000-00004A200000}"/>
    <cellStyle name="Normal 4 3 3 2 3 4 3 2 3" xfId="34787" xr:uid="{00000000-0005-0000-0000-00004B200000}"/>
    <cellStyle name="Normal 4 3 3 2 3 4 3 3" xfId="16355" xr:uid="{00000000-0005-0000-0000-00004C200000}"/>
    <cellStyle name="Normal 4 3 3 2 3 4 3 3 2" xfId="40931" xr:uid="{00000000-0005-0000-0000-00004D200000}"/>
    <cellStyle name="Normal 4 3 3 2 3 4 3 4" xfId="28643" xr:uid="{00000000-0005-0000-0000-00004E200000}"/>
    <cellStyle name="Normal 4 3 3 2 3 4 4" xfId="7139" xr:uid="{00000000-0005-0000-0000-00004F200000}"/>
    <cellStyle name="Normal 4 3 3 2 3 4 4 2" xfId="19427" xr:uid="{00000000-0005-0000-0000-000050200000}"/>
    <cellStyle name="Normal 4 3 3 2 3 4 4 2 2" xfId="44003" xr:uid="{00000000-0005-0000-0000-000051200000}"/>
    <cellStyle name="Normal 4 3 3 2 3 4 4 3" xfId="31715" xr:uid="{00000000-0005-0000-0000-000052200000}"/>
    <cellStyle name="Normal 4 3 3 2 3 4 5" xfId="13283" xr:uid="{00000000-0005-0000-0000-000053200000}"/>
    <cellStyle name="Normal 4 3 3 2 3 4 5 2" xfId="37859" xr:uid="{00000000-0005-0000-0000-000054200000}"/>
    <cellStyle name="Normal 4 3 3 2 3 4 6" xfId="25571" xr:uid="{00000000-0005-0000-0000-000055200000}"/>
    <cellStyle name="Normal 4 3 3 2 3 5" xfId="1759" xr:uid="{00000000-0005-0000-0000-000056200000}"/>
    <cellStyle name="Normal 4 3 3 2 3 5 2" xfId="4835" xr:uid="{00000000-0005-0000-0000-000057200000}"/>
    <cellStyle name="Normal 4 3 3 2 3 5 2 2" xfId="10979" xr:uid="{00000000-0005-0000-0000-000058200000}"/>
    <cellStyle name="Normal 4 3 3 2 3 5 2 2 2" xfId="23267" xr:uid="{00000000-0005-0000-0000-000059200000}"/>
    <cellStyle name="Normal 4 3 3 2 3 5 2 2 2 2" xfId="47843" xr:uid="{00000000-0005-0000-0000-00005A200000}"/>
    <cellStyle name="Normal 4 3 3 2 3 5 2 2 3" xfId="35555" xr:uid="{00000000-0005-0000-0000-00005B200000}"/>
    <cellStyle name="Normal 4 3 3 2 3 5 2 3" xfId="17123" xr:uid="{00000000-0005-0000-0000-00005C200000}"/>
    <cellStyle name="Normal 4 3 3 2 3 5 2 3 2" xfId="41699" xr:uid="{00000000-0005-0000-0000-00005D200000}"/>
    <cellStyle name="Normal 4 3 3 2 3 5 2 4" xfId="29411" xr:uid="{00000000-0005-0000-0000-00005E200000}"/>
    <cellStyle name="Normal 4 3 3 2 3 5 3" xfId="7907" xr:uid="{00000000-0005-0000-0000-00005F200000}"/>
    <cellStyle name="Normal 4 3 3 2 3 5 3 2" xfId="20195" xr:uid="{00000000-0005-0000-0000-000060200000}"/>
    <cellStyle name="Normal 4 3 3 2 3 5 3 2 2" xfId="44771" xr:uid="{00000000-0005-0000-0000-000061200000}"/>
    <cellStyle name="Normal 4 3 3 2 3 5 3 3" xfId="32483" xr:uid="{00000000-0005-0000-0000-000062200000}"/>
    <cellStyle name="Normal 4 3 3 2 3 5 4" xfId="14051" xr:uid="{00000000-0005-0000-0000-000063200000}"/>
    <cellStyle name="Normal 4 3 3 2 3 5 4 2" xfId="38627" xr:uid="{00000000-0005-0000-0000-000064200000}"/>
    <cellStyle name="Normal 4 3 3 2 3 5 5" xfId="26339" xr:uid="{00000000-0005-0000-0000-000065200000}"/>
    <cellStyle name="Normal 4 3 3 2 3 6" xfId="3299" xr:uid="{00000000-0005-0000-0000-000066200000}"/>
    <cellStyle name="Normal 4 3 3 2 3 6 2" xfId="9443" xr:uid="{00000000-0005-0000-0000-000067200000}"/>
    <cellStyle name="Normal 4 3 3 2 3 6 2 2" xfId="21731" xr:uid="{00000000-0005-0000-0000-000068200000}"/>
    <cellStyle name="Normal 4 3 3 2 3 6 2 2 2" xfId="46307" xr:uid="{00000000-0005-0000-0000-000069200000}"/>
    <cellStyle name="Normal 4 3 3 2 3 6 2 3" xfId="34019" xr:uid="{00000000-0005-0000-0000-00006A200000}"/>
    <cellStyle name="Normal 4 3 3 2 3 6 3" xfId="15587" xr:uid="{00000000-0005-0000-0000-00006B200000}"/>
    <cellStyle name="Normal 4 3 3 2 3 6 3 2" xfId="40163" xr:uid="{00000000-0005-0000-0000-00006C200000}"/>
    <cellStyle name="Normal 4 3 3 2 3 6 4" xfId="27875" xr:uid="{00000000-0005-0000-0000-00006D200000}"/>
    <cellStyle name="Normal 4 3 3 2 3 7" xfId="6371" xr:uid="{00000000-0005-0000-0000-00006E200000}"/>
    <cellStyle name="Normal 4 3 3 2 3 7 2" xfId="18659" xr:uid="{00000000-0005-0000-0000-00006F200000}"/>
    <cellStyle name="Normal 4 3 3 2 3 7 2 2" xfId="43235" xr:uid="{00000000-0005-0000-0000-000070200000}"/>
    <cellStyle name="Normal 4 3 3 2 3 7 3" xfId="30947" xr:uid="{00000000-0005-0000-0000-000071200000}"/>
    <cellStyle name="Normal 4 3 3 2 3 8" xfId="12515" xr:uid="{00000000-0005-0000-0000-000072200000}"/>
    <cellStyle name="Normal 4 3 3 2 3 8 2" xfId="37091" xr:uid="{00000000-0005-0000-0000-000073200000}"/>
    <cellStyle name="Normal 4 3 3 2 3 9" xfId="24803" xr:uid="{00000000-0005-0000-0000-000074200000}"/>
    <cellStyle name="Normal 4 3 3 2 4" xfId="287" xr:uid="{00000000-0005-0000-0000-000075200000}"/>
    <cellStyle name="Normal 4 3 3 2 4 2" xfId="479" xr:uid="{00000000-0005-0000-0000-000076200000}"/>
    <cellStyle name="Normal 4 3 3 2 4 2 2" xfId="863" xr:uid="{00000000-0005-0000-0000-000077200000}"/>
    <cellStyle name="Normal 4 3 3 2 4 2 2 2" xfId="1631" xr:uid="{00000000-0005-0000-0000-000078200000}"/>
    <cellStyle name="Normal 4 3 3 2 4 2 2 2 2" xfId="3167" xr:uid="{00000000-0005-0000-0000-000079200000}"/>
    <cellStyle name="Normal 4 3 3 2 4 2 2 2 2 2" xfId="6243" xr:uid="{00000000-0005-0000-0000-00007A200000}"/>
    <cellStyle name="Normal 4 3 3 2 4 2 2 2 2 2 2" xfId="12387" xr:uid="{00000000-0005-0000-0000-00007B200000}"/>
    <cellStyle name="Normal 4 3 3 2 4 2 2 2 2 2 2 2" xfId="24675" xr:uid="{00000000-0005-0000-0000-00007C200000}"/>
    <cellStyle name="Normal 4 3 3 2 4 2 2 2 2 2 2 2 2" xfId="49251" xr:uid="{00000000-0005-0000-0000-00007D200000}"/>
    <cellStyle name="Normal 4 3 3 2 4 2 2 2 2 2 2 3" xfId="36963" xr:uid="{00000000-0005-0000-0000-00007E200000}"/>
    <cellStyle name="Normal 4 3 3 2 4 2 2 2 2 2 3" xfId="18531" xr:uid="{00000000-0005-0000-0000-00007F200000}"/>
    <cellStyle name="Normal 4 3 3 2 4 2 2 2 2 2 3 2" xfId="43107" xr:uid="{00000000-0005-0000-0000-000080200000}"/>
    <cellStyle name="Normal 4 3 3 2 4 2 2 2 2 2 4" xfId="30819" xr:uid="{00000000-0005-0000-0000-000081200000}"/>
    <cellStyle name="Normal 4 3 3 2 4 2 2 2 2 3" xfId="9315" xr:uid="{00000000-0005-0000-0000-000082200000}"/>
    <cellStyle name="Normal 4 3 3 2 4 2 2 2 2 3 2" xfId="21603" xr:uid="{00000000-0005-0000-0000-000083200000}"/>
    <cellStyle name="Normal 4 3 3 2 4 2 2 2 2 3 2 2" xfId="46179" xr:uid="{00000000-0005-0000-0000-000084200000}"/>
    <cellStyle name="Normal 4 3 3 2 4 2 2 2 2 3 3" xfId="33891" xr:uid="{00000000-0005-0000-0000-000085200000}"/>
    <cellStyle name="Normal 4 3 3 2 4 2 2 2 2 4" xfId="15459" xr:uid="{00000000-0005-0000-0000-000086200000}"/>
    <cellStyle name="Normal 4 3 3 2 4 2 2 2 2 4 2" xfId="40035" xr:uid="{00000000-0005-0000-0000-000087200000}"/>
    <cellStyle name="Normal 4 3 3 2 4 2 2 2 2 5" xfId="27747" xr:uid="{00000000-0005-0000-0000-000088200000}"/>
    <cellStyle name="Normal 4 3 3 2 4 2 2 2 3" xfId="4707" xr:uid="{00000000-0005-0000-0000-000089200000}"/>
    <cellStyle name="Normal 4 3 3 2 4 2 2 2 3 2" xfId="10851" xr:uid="{00000000-0005-0000-0000-00008A200000}"/>
    <cellStyle name="Normal 4 3 3 2 4 2 2 2 3 2 2" xfId="23139" xr:uid="{00000000-0005-0000-0000-00008B200000}"/>
    <cellStyle name="Normal 4 3 3 2 4 2 2 2 3 2 2 2" xfId="47715" xr:uid="{00000000-0005-0000-0000-00008C200000}"/>
    <cellStyle name="Normal 4 3 3 2 4 2 2 2 3 2 3" xfId="35427" xr:uid="{00000000-0005-0000-0000-00008D200000}"/>
    <cellStyle name="Normal 4 3 3 2 4 2 2 2 3 3" xfId="16995" xr:uid="{00000000-0005-0000-0000-00008E200000}"/>
    <cellStyle name="Normal 4 3 3 2 4 2 2 2 3 3 2" xfId="41571" xr:uid="{00000000-0005-0000-0000-00008F200000}"/>
    <cellStyle name="Normal 4 3 3 2 4 2 2 2 3 4" xfId="29283" xr:uid="{00000000-0005-0000-0000-000090200000}"/>
    <cellStyle name="Normal 4 3 3 2 4 2 2 2 4" xfId="7779" xr:uid="{00000000-0005-0000-0000-000091200000}"/>
    <cellStyle name="Normal 4 3 3 2 4 2 2 2 4 2" xfId="20067" xr:uid="{00000000-0005-0000-0000-000092200000}"/>
    <cellStyle name="Normal 4 3 3 2 4 2 2 2 4 2 2" xfId="44643" xr:uid="{00000000-0005-0000-0000-000093200000}"/>
    <cellStyle name="Normal 4 3 3 2 4 2 2 2 4 3" xfId="32355" xr:uid="{00000000-0005-0000-0000-000094200000}"/>
    <cellStyle name="Normal 4 3 3 2 4 2 2 2 5" xfId="13923" xr:uid="{00000000-0005-0000-0000-000095200000}"/>
    <cellStyle name="Normal 4 3 3 2 4 2 2 2 5 2" xfId="38499" xr:uid="{00000000-0005-0000-0000-000096200000}"/>
    <cellStyle name="Normal 4 3 3 2 4 2 2 2 6" xfId="26211" xr:uid="{00000000-0005-0000-0000-000097200000}"/>
    <cellStyle name="Normal 4 3 3 2 4 2 2 3" xfId="2399" xr:uid="{00000000-0005-0000-0000-000098200000}"/>
    <cellStyle name="Normal 4 3 3 2 4 2 2 3 2" xfId="5475" xr:uid="{00000000-0005-0000-0000-000099200000}"/>
    <cellStyle name="Normal 4 3 3 2 4 2 2 3 2 2" xfId="11619" xr:uid="{00000000-0005-0000-0000-00009A200000}"/>
    <cellStyle name="Normal 4 3 3 2 4 2 2 3 2 2 2" xfId="23907" xr:uid="{00000000-0005-0000-0000-00009B200000}"/>
    <cellStyle name="Normal 4 3 3 2 4 2 2 3 2 2 2 2" xfId="48483" xr:uid="{00000000-0005-0000-0000-00009C200000}"/>
    <cellStyle name="Normal 4 3 3 2 4 2 2 3 2 2 3" xfId="36195" xr:uid="{00000000-0005-0000-0000-00009D200000}"/>
    <cellStyle name="Normal 4 3 3 2 4 2 2 3 2 3" xfId="17763" xr:uid="{00000000-0005-0000-0000-00009E200000}"/>
    <cellStyle name="Normal 4 3 3 2 4 2 2 3 2 3 2" xfId="42339" xr:uid="{00000000-0005-0000-0000-00009F200000}"/>
    <cellStyle name="Normal 4 3 3 2 4 2 2 3 2 4" xfId="30051" xr:uid="{00000000-0005-0000-0000-0000A0200000}"/>
    <cellStyle name="Normal 4 3 3 2 4 2 2 3 3" xfId="8547" xr:uid="{00000000-0005-0000-0000-0000A1200000}"/>
    <cellStyle name="Normal 4 3 3 2 4 2 2 3 3 2" xfId="20835" xr:uid="{00000000-0005-0000-0000-0000A2200000}"/>
    <cellStyle name="Normal 4 3 3 2 4 2 2 3 3 2 2" xfId="45411" xr:uid="{00000000-0005-0000-0000-0000A3200000}"/>
    <cellStyle name="Normal 4 3 3 2 4 2 2 3 3 3" xfId="33123" xr:uid="{00000000-0005-0000-0000-0000A4200000}"/>
    <cellStyle name="Normal 4 3 3 2 4 2 2 3 4" xfId="14691" xr:uid="{00000000-0005-0000-0000-0000A5200000}"/>
    <cellStyle name="Normal 4 3 3 2 4 2 2 3 4 2" xfId="39267" xr:uid="{00000000-0005-0000-0000-0000A6200000}"/>
    <cellStyle name="Normal 4 3 3 2 4 2 2 3 5" xfId="26979" xr:uid="{00000000-0005-0000-0000-0000A7200000}"/>
    <cellStyle name="Normal 4 3 3 2 4 2 2 4" xfId="3939" xr:uid="{00000000-0005-0000-0000-0000A8200000}"/>
    <cellStyle name="Normal 4 3 3 2 4 2 2 4 2" xfId="10083" xr:uid="{00000000-0005-0000-0000-0000A9200000}"/>
    <cellStyle name="Normal 4 3 3 2 4 2 2 4 2 2" xfId="22371" xr:uid="{00000000-0005-0000-0000-0000AA200000}"/>
    <cellStyle name="Normal 4 3 3 2 4 2 2 4 2 2 2" xfId="46947" xr:uid="{00000000-0005-0000-0000-0000AB200000}"/>
    <cellStyle name="Normal 4 3 3 2 4 2 2 4 2 3" xfId="34659" xr:uid="{00000000-0005-0000-0000-0000AC200000}"/>
    <cellStyle name="Normal 4 3 3 2 4 2 2 4 3" xfId="16227" xr:uid="{00000000-0005-0000-0000-0000AD200000}"/>
    <cellStyle name="Normal 4 3 3 2 4 2 2 4 3 2" xfId="40803" xr:uid="{00000000-0005-0000-0000-0000AE200000}"/>
    <cellStyle name="Normal 4 3 3 2 4 2 2 4 4" xfId="28515" xr:uid="{00000000-0005-0000-0000-0000AF200000}"/>
    <cellStyle name="Normal 4 3 3 2 4 2 2 5" xfId="7011" xr:uid="{00000000-0005-0000-0000-0000B0200000}"/>
    <cellStyle name="Normal 4 3 3 2 4 2 2 5 2" xfId="19299" xr:uid="{00000000-0005-0000-0000-0000B1200000}"/>
    <cellStyle name="Normal 4 3 3 2 4 2 2 5 2 2" xfId="43875" xr:uid="{00000000-0005-0000-0000-0000B2200000}"/>
    <cellStyle name="Normal 4 3 3 2 4 2 2 5 3" xfId="31587" xr:uid="{00000000-0005-0000-0000-0000B3200000}"/>
    <cellStyle name="Normal 4 3 3 2 4 2 2 6" xfId="13155" xr:uid="{00000000-0005-0000-0000-0000B4200000}"/>
    <cellStyle name="Normal 4 3 3 2 4 2 2 6 2" xfId="37731" xr:uid="{00000000-0005-0000-0000-0000B5200000}"/>
    <cellStyle name="Normal 4 3 3 2 4 2 2 7" xfId="25443" xr:uid="{00000000-0005-0000-0000-0000B6200000}"/>
    <cellStyle name="Normal 4 3 3 2 4 2 3" xfId="1247" xr:uid="{00000000-0005-0000-0000-0000B7200000}"/>
    <cellStyle name="Normal 4 3 3 2 4 2 3 2" xfId="2783" xr:uid="{00000000-0005-0000-0000-0000B8200000}"/>
    <cellStyle name="Normal 4 3 3 2 4 2 3 2 2" xfId="5859" xr:uid="{00000000-0005-0000-0000-0000B9200000}"/>
    <cellStyle name="Normal 4 3 3 2 4 2 3 2 2 2" xfId="12003" xr:uid="{00000000-0005-0000-0000-0000BA200000}"/>
    <cellStyle name="Normal 4 3 3 2 4 2 3 2 2 2 2" xfId="24291" xr:uid="{00000000-0005-0000-0000-0000BB200000}"/>
    <cellStyle name="Normal 4 3 3 2 4 2 3 2 2 2 2 2" xfId="48867" xr:uid="{00000000-0005-0000-0000-0000BC200000}"/>
    <cellStyle name="Normal 4 3 3 2 4 2 3 2 2 2 3" xfId="36579" xr:uid="{00000000-0005-0000-0000-0000BD200000}"/>
    <cellStyle name="Normal 4 3 3 2 4 2 3 2 2 3" xfId="18147" xr:uid="{00000000-0005-0000-0000-0000BE200000}"/>
    <cellStyle name="Normal 4 3 3 2 4 2 3 2 2 3 2" xfId="42723" xr:uid="{00000000-0005-0000-0000-0000BF200000}"/>
    <cellStyle name="Normal 4 3 3 2 4 2 3 2 2 4" xfId="30435" xr:uid="{00000000-0005-0000-0000-0000C0200000}"/>
    <cellStyle name="Normal 4 3 3 2 4 2 3 2 3" xfId="8931" xr:uid="{00000000-0005-0000-0000-0000C1200000}"/>
    <cellStyle name="Normal 4 3 3 2 4 2 3 2 3 2" xfId="21219" xr:uid="{00000000-0005-0000-0000-0000C2200000}"/>
    <cellStyle name="Normal 4 3 3 2 4 2 3 2 3 2 2" xfId="45795" xr:uid="{00000000-0005-0000-0000-0000C3200000}"/>
    <cellStyle name="Normal 4 3 3 2 4 2 3 2 3 3" xfId="33507" xr:uid="{00000000-0005-0000-0000-0000C4200000}"/>
    <cellStyle name="Normal 4 3 3 2 4 2 3 2 4" xfId="15075" xr:uid="{00000000-0005-0000-0000-0000C5200000}"/>
    <cellStyle name="Normal 4 3 3 2 4 2 3 2 4 2" xfId="39651" xr:uid="{00000000-0005-0000-0000-0000C6200000}"/>
    <cellStyle name="Normal 4 3 3 2 4 2 3 2 5" xfId="27363" xr:uid="{00000000-0005-0000-0000-0000C7200000}"/>
    <cellStyle name="Normal 4 3 3 2 4 2 3 3" xfId="4323" xr:uid="{00000000-0005-0000-0000-0000C8200000}"/>
    <cellStyle name="Normal 4 3 3 2 4 2 3 3 2" xfId="10467" xr:uid="{00000000-0005-0000-0000-0000C9200000}"/>
    <cellStyle name="Normal 4 3 3 2 4 2 3 3 2 2" xfId="22755" xr:uid="{00000000-0005-0000-0000-0000CA200000}"/>
    <cellStyle name="Normal 4 3 3 2 4 2 3 3 2 2 2" xfId="47331" xr:uid="{00000000-0005-0000-0000-0000CB200000}"/>
    <cellStyle name="Normal 4 3 3 2 4 2 3 3 2 3" xfId="35043" xr:uid="{00000000-0005-0000-0000-0000CC200000}"/>
    <cellStyle name="Normal 4 3 3 2 4 2 3 3 3" xfId="16611" xr:uid="{00000000-0005-0000-0000-0000CD200000}"/>
    <cellStyle name="Normal 4 3 3 2 4 2 3 3 3 2" xfId="41187" xr:uid="{00000000-0005-0000-0000-0000CE200000}"/>
    <cellStyle name="Normal 4 3 3 2 4 2 3 3 4" xfId="28899" xr:uid="{00000000-0005-0000-0000-0000CF200000}"/>
    <cellStyle name="Normal 4 3 3 2 4 2 3 4" xfId="7395" xr:uid="{00000000-0005-0000-0000-0000D0200000}"/>
    <cellStyle name="Normal 4 3 3 2 4 2 3 4 2" xfId="19683" xr:uid="{00000000-0005-0000-0000-0000D1200000}"/>
    <cellStyle name="Normal 4 3 3 2 4 2 3 4 2 2" xfId="44259" xr:uid="{00000000-0005-0000-0000-0000D2200000}"/>
    <cellStyle name="Normal 4 3 3 2 4 2 3 4 3" xfId="31971" xr:uid="{00000000-0005-0000-0000-0000D3200000}"/>
    <cellStyle name="Normal 4 3 3 2 4 2 3 5" xfId="13539" xr:uid="{00000000-0005-0000-0000-0000D4200000}"/>
    <cellStyle name="Normal 4 3 3 2 4 2 3 5 2" xfId="38115" xr:uid="{00000000-0005-0000-0000-0000D5200000}"/>
    <cellStyle name="Normal 4 3 3 2 4 2 3 6" xfId="25827" xr:uid="{00000000-0005-0000-0000-0000D6200000}"/>
    <cellStyle name="Normal 4 3 3 2 4 2 4" xfId="2015" xr:uid="{00000000-0005-0000-0000-0000D7200000}"/>
    <cellStyle name="Normal 4 3 3 2 4 2 4 2" xfId="5091" xr:uid="{00000000-0005-0000-0000-0000D8200000}"/>
    <cellStyle name="Normal 4 3 3 2 4 2 4 2 2" xfId="11235" xr:uid="{00000000-0005-0000-0000-0000D9200000}"/>
    <cellStyle name="Normal 4 3 3 2 4 2 4 2 2 2" xfId="23523" xr:uid="{00000000-0005-0000-0000-0000DA200000}"/>
    <cellStyle name="Normal 4 3 3 2 4 2 4 2 2 2 2" xfId="48099" xr:uid="{00000000-0005-0000-0000-0000DB200000}"/>
    <cellStyle name="Normal 4 3 3 2 4 2 4 2 2 3" xfId="35811" xr:uid="{00000000-0005-0000-0000-0000DC200000}"/>
    <cellStyle name="Normal 4 3 3 2 4 2 4 2 3" xfId="17379" xr:uid="{00000000-0005-0000-0000-0000DD200000}"/>
    <cellStyle name="Normal 4 3 3 2 4 2 4 2 3 2" xfId="41955" xr:uid="{00000000-0005-0000-0000-0000DE200000}"/>
    <cellStyle name="Normal 4 3 3 2 4 2 4 2 4" xfId="29667" xr:uid="{00000000-0005-0000-0000-0000DF200000}"/>
    <cellStyle name="Normal 4 3 3 2 4 2 4 3" xfId="8163" xr:uid="{00000000-0005-0000-0000-0000E0200000}"/>
    <cellStyle name="Normal 4 3 3 2 4 2 4 3 2" xfId="20451" xr:uid="{00000000-0005-0000-0000-0000E1200000}"/>
    <cellStyle name="Normal 4 3 3 2 4 2 4 3 2 2" xfId="45027" xr:uid="{00000000-0005-0000-0000-0000E2200000}"/>
    <cellStyle name="Normal 4 3 3 2 4 2 4 3 3" xfId="32739" xr:uid="{00000000-0005-0000-0000-0000E3200000}"/>
    <cellStyle name="Normal 4 3 3 2 4 2 4 4" xfId="14307" xr:uid="{00000000-0005-0000-0000-0000E4200000}"/>
    <cellStyle name="Normal 4 3 3 2 4 2 4 4 2" xfId="38883" xr:uid="{00000000-0005-0000-0000-0000E5200000}"/>
    <cellStyle name="Normal 4 3 3 2 4 2 4 5" xfId="26595" xr:uid="{00000000-0005-0000-0000-0000E6200000}"/>
    <cellStyle name="Normal 4 3 3 2 4 2 5" xfId="3555" xr:uid="{00000000-0005-0000-0000-0000E7200000}"/>
    <cellStyle name="Normal 4 3 3 2 4 2 5 2" xfId="9699" xr:uid="{00000000-0005-0000-0000-0000E8200000}"/>
    <cellStyle name="Normal 4 3 3 2 4 2 5 2 2" xfId="21987" xr:uid="{00000000-0005-0000-0000-0000E9200000}"/>
    <cellStyle name="Normal 4 3 3 2 4 2 5 2 2 2" xfId="46563" xr:uid="{00000000-0005-0000-0000-0000EA200000}"/>
    <cellStyle name="Normal 4 3 3 2 4 2 5 2 3" xfId="34275" xr:uid="{00000000-0005-0000-0000-0000EB200000}"/>
    <cellStyle name="Normal 4 3 3 2 4 2 5 3" xfId="15843" xr:uid="{00000000-0005-0000-0000-0000EC200000}"/>
    <cellStyle name="Normal 4 3 3 2 4 2 5 3 2" xfId="40419" xr:uid="{00000000-0005-0000-0000-0000ED200000}"/>
    <cellStyle name="Normal 4 3 3 2 4 2 5 4" xfId="28131" xr:uid="{00000000-0005-0000-0000-0000EE200000}"/>
    <cellStyle name="Normal 4 3 3 2 4 2 6" xfId="6627" xr:uid="{00000000-0005-0000-0000-0000EF200000}"/>
    <cellStyle name="Normal 4 3 3 2 4 2 6 2" xfId="18915" xr:uid="{00000000-0005-0000-0000-0000F0200000}"/>
    <cellStyle name="Normal 4 3 3 2 4 2 6 2 2" xfId="43491" xr:uid="{00000000-0005-0000-0000-0000F1200000}"/>
    <cellStyle name="Normal 4 3 3 2 4 2 6 3" xfId="31203" xr:uid="{00000000-0005-0000-0000-0000F2200000}"/>
    <cellStyle name="Normal 4 3 3 2 4 2 7" xfId="12771" xr:uid="{00000000-0005-0000-0000-0000F3200000}"/>
    <cellStyle name="Normal 4 3 3 2 4 2 7 2" xfId="37347" xr:uid="{00000000-0005-0000-0000-0000F4200000}"/>
    <cellStyle name="Normal 4 3 3 2 4 2 8" xfId="25059" xr:uid="{00000000-0005-0000-0000-0000F5200000}"/>
    <cellStyle name="Normal 4 3 3 2 4 3" xfId="671" xr:uid="{00000000-0005-0000-0000-0000F6200000}"/>
    <cellStyle name="Normal 4 3 3 2 4 3 2" xfId="1439" xr:uid="{00000000-0005-0000-0000-0000F7200000}"/>
    <cellStyle name="Normal 4 3 3 2 4 3 2 2" xfId="2975" xr:uid="{00000000-0005-0000-0000-0000F8200000}"/>
    <cellStyle name="Normal 4 3 3 2 4 3 2 2 2" xfId="6051" xr:uid="{00000000-0005-0000-0000-0000F9200000}"/>
    <cellStyle name="Normal 4 3 3 2 4 3 2 2 2 2" xfId="12195" xr:uid="{00000000-0005-0000-0000-0000FA200000}"/>
    <cellStyle name="Normal 4 3 3 2 4 3 2 2 2 2 2" xfId="24483" xr:uid="{00000000-0005-0000-0000-0000FB200000}"/>
    <cellStyle name="Normal 4 3 3 2 4 3 2 2 2 2 2 2" xfId="49059" xr:uid="{00000000-0005-0000-0000-0000FC200000}"/>
    <cellStyle name="Normal 4 3 3 2 4 3 2 2 2 2 3" xfId="36771" xr:uid="{00000000-0005-0000-0000-0000FD200000}"/>
    <cellStyle name="Normal 4 3 3 2 4 3 2 2 2 3" xfId="18339" xr:uid="{00000000-0005-0000-0000-0000FE200000}"/>
    <cellStyle name="Normal 4 3 3 2 4 3 2 2 2 3 2" xfId="42915" xr:uid="{00000000-0005-0000-0000-0000FF200000}"/>
    <cellStyle name="Normal 4 3 3 2 4 3 2 2 2 4" xfId="30627" xr:uid="{00000000-0005-0000-0000-000000210000}"/>
    <cellStyle name="Normal 4 3 3 2 4 3 2 2 3" xfId="9123" xr:uid="{00000000-0005-0000-0000-000001210000}"/>
    <cellStyle name="Normal 4 3 3 2 4 3 2 2 3 2" xfId="21411" xr:uid="{00000000-0005-0000-0000-000002210000}"/>
    <cellStyle name="Normal 4 3 3 2 4 3 2 2 3 2 2" xfId="45987" xr:uid="{00000000-0005-0000-0000-000003210000}"/>
    <cellStyle name="Normal 4 3 3 2 4 3 2 2 3 3" xfId="33699" xr:uid="{00000000-0005-0000-0000-000004210000}"/>
    <cellStyle name="Normal 4 3 3 2 4 3 2 2 4" xfId="15267" xr:uid="{00000000-0005-0000-0000-000005210000}"/>
    <cellStyle name="Normal 4 3 3 2 4 3 2 2 4 2" xfId="39843" xr:uid="{00000000-0005-0000-0000-000006210000}"/>
    <cellStyle name="Normal 4 3 3 2 4 3 2 2 5" xfId="27555" xr:uid="{00000000-0005-0000-0000-000007210000}"/>
    <cellStyle name="Normal 4 3 3 2 4 3 2 3" xfId="4515" xr:uid="{00000000-0005-0000-0000-000008210000}"/>
    <cellStyle name="Normal 4 3 3 2 4 3 2 3 2" xfId="10659" xr:uid="{00000000-0005-0000-0000-000009210000}"/>
    <cellStyle name="Normal 4 3 3 2 4 3 2 3 2 2" xfId="22947" xr:uid="{00000000-0005-0000-0000-00000A210000}"/>
    <cellStyle name="Normal 4 3 3 2 4 3 2 3 2 2 2" xfId="47523" xr:uid="{00000000-0005-0000-0000-00000B210000}"/>
    <cellStyle name="Normal 4 3 3 2 4 3 2 3 2 3" xfId="35235" xr:uid="{00000000-0005-0000-0000-00000C210000}"/>
    <cellStyle name="Normal 4 3 3 2 4 3 2 3 3" xfId="16803" xr:uid="{00000000-0005-0000-0000-00000D210000}"/>
    <cellStyle name="Normal 4 3 3 2 4 3 2 3 3 2" xfId="41379" xr:uid="{00000000-0005-0000-0000-00000E210000}"/>
    <cellStyle name="Normal 4 3 3 2 4 3 2 3 4" xfId="29091" xr:uid="{00000000-0005-0000-0000-00000F210000}"/>
    <cellStyle name="Normal 4 3 3 2 4 3 2 4" xfId="7587" xr:uid="{00000000-0005-0000-0000-000010210000}"/>
    <cellStyle name="Normal 4 3 3 2 4 3 2 4 2" xfId="19875" xr:uid="{00000000-0005-0000-0000-000011210000}"/>
    <cellStyle name="Normal 4 3 3 2 4 3 2 4 2 2" xfId="44451" xr:uid="{00000000-0005-0000-0000-000012210000}"/>
    <cellStyle name="Normal 4 3 3 2 4 3 2 4 3" xfId="32163" xr:uid="{00000000-0005-0000-0000-000013210000}"/>
    <cellStyle name="Normal 4 3 3 2 4 3 2 5" xfId="13731" xr:uid="{00000000-0005-0000-0000-000014210000}"/>
    <cellStyle name="Normal 4 3 3 2 4 3 2 5 2" xfId="38307" xr:uid="{00000000-0005-0000-0000-000015210000}"/>
    <cellStyle name="Normal 4 3 3 2 4 3 2 6" xfId="26019" xr:uid="{00000000-0005-0000-0000-000016210000}"/>
    <cellStyle name="Normal 4 3 3 2 4 3 3" xfId="2207" xr:uid="{00000000-0005-0000-0000-000017210000}"/>
    <cellStyle name="Normal 4 3 3 2 4 3 3 2" xfId="5283" xr:uid="{00000000-0005-0000-0000-000018210000}"/>
    <cellStyle name="Normal 4 3 3 2 4 3 3 2 2" xfId="11427" xr:uid="{00000000-0005-0000-0000-000019210000}"/>
    <cellStyle name="Normal 4 3 3 2 4 3 3 2 2 2" xfId="23715" xr:uid="{00000000-0005-0000-0000-00001A210000}"/>
    <cellStyle name="Normal 4 3 3 2 4 3 3 2 2 2 2" xfId="48291" xr:uid="{00000000-0005-0000-0000-00001B210000}"/>
    <cellStyle name="Normal 4 3 3 2 4 3 3 2 2 3" xfId="36003" xr:uid="{00000000-0005-0000-0000-00001C210000}"/>
    <cellStyle name="Normal 4 3 3 2 4 3 3 2 3" xfId="17571" xr:uid="{00000000-0005-0000-0000-00001D210000}"/>
    <cellStyle name="Normal 4 3 3 2 4 3 3 2 3 2" xfId="42147" xr:uid="{00000000-0005-0000-0000-00001E210000}"/>
    <cellStyle name="Normal 4 3 3 2 4 3 3 2 4" xfId="29859" xr:uid="{00000000-0005-0000-0000-00001F210000}"/>
    <cellStyle name="Normal 4 3 3 2 4 3 3 3" xfId="8355" xr:uid="{00000000-0005-0000-0000-000020210000}"/>
    <cellStyle name="Normal 4 3 3 2 4 3 3 3 2" xfId="20643" xr:uid="{00000000-0005-0000-0000-000021210000}"/>
    <cellStyle name="Normal 4 3 3 2 4 3 3 3 2 2" xfId="45219" xr:uid="{00000000-0005-0000-0000-000022210000}"/>
    <cellStyle name="Normal 4 3 3 2 4 3 3 3 3" xfId="32931" xr:uid="{00000000-0005-0000-0000-000023210000}"/>
    <cellStyle name="Normal 4 3 3 2 4 3 3 4" xfId="14499" xr:uid="{00000000-0005-0000-0000-000024210000}"/>
    <cellStyle name="Normal 4 3 3 2 4 3 3 4 2" xfId="39075" xr:uid="{00000000-0005-0000-0000-000025210000}"/>
    <cellStyle name="Normal 4 3 3 2 4 3 3 5" xfId="26787" xr:uid="{00000000-0005-0000-0000-000026210000}"/>
    <cellStyle name="Normal 4 3 3 2 4 3 4" xfId="3747" xr:uid="{00000000-0005-0000-0000-000027210000}"/>
    <cellStyle name="Normal 4 3 3 2 4 3 4 2" xfId="9891" xr:uid="{00000000-0005-0000-0000-000028210000}"/>
    <cellStyle name="Normal 4 3 3 2 4 3 4 2 2" xfId="22179" xr:uid="{00000000-0005-0000-0000-000029210000}"/>
    <cellStyle name="Normal 4 3 3 2 4 3 4 2 2 2" xfId="46755" xr:uid="{00000000-0005-0000-0000-00002A210000}"/>
    <cellStyle name="Normal 4 3 3 2 4 3 4 2 3" xfId="34467" xr:uid="{00000000-0005-0000-0000-00002B210000}"/>
    <cellStyle name="Normal 4 3 3 2 4 3 4 3" xfId="16035" xr:uid="{00000000-0005-0000-0000-00002C210000}"/>
    <cellStyle name="Normal 4 3 3 2 4 3 4 3 2" xfId="40611" xr:uid="{00000000-0005-0000-0000-00002D210000}"/>
    <cellStyle name="Normal 4 3 3 2 4 3 4 4" xfId="28323" xr:uid="{00000000-0005-0000-0000-00002E210000}"/>
    <cellStyle name="Normal 4 3 3 2 4 3 5" xfId="6819" xr:uid="{00000000-0005-0000-0000-00002F210000}"/>
    <cellStyle name="Normal 4 3 3 2 4 3 5 2" xfId="19107" xr:uid="{00000000-0005-0000-0000-000030210000}"/>
    <cellStyle name="Normal 4 3 3 2 4 3 5 2 2" xfId="43683" xr:uid="{00000000-0005-0000-0000-000031210000}"/>
    <cellStyle name="Normal 4 3 3 2 4 3 5 3" xfId="31395" xr:uid="{00000000-0005-0000-0000-000032210000}"/>
    <cellStyle name="Normal 4 3 3 2 4 3 6" xfId="12963" xr:uid="{00000000-0005-0000-0000-000033210000}"/>
    <cellStyle name="Normal 4 3 3 2 4 3 6 2" xfId="37539" xr:uid="{00000000-0005-0000-0000-000034210000}"/>
    <cellStyle name="Normal 4 3 3 2 4 3 7" xfId="25251" xr:uid="{00000000-0005-0000-0000-000035210000}"/>
    <cellStyle name="Normal 4 3 3 2 4 4" xfId="1055" xr:uid="{00000000-0005-0000-0000-000036210000}"/>
    <cellStyle name="Normal 4 3 3 2 4 4 2" xfId="2591" xr:uid="{00000000-0005-0000-0000-000037210000}"/>
    <cellStyle name="Normal 4 3 3 2 4 4 2 2" xfId="5667" xr:uid="{00000000-0005-0000-0000-000038210000}"/>
    <cellStyle name="Normal 4 3 3 2 4 4 2 2 2" xfId="11811" xr:uid="{00000000-0005-0000-0000-000039210000}"/>
    <cellStyle name="Normal 4 3 3 2 4 4 2 2 2 2" xfId="24099" xr:uid="{00000000-0005-0000-0000-00003A210000}"/>
    <cellStyle name="Normal 4 3 3 2 4 4 2 2 2 2 2" xfId="48675" xr:uid="{00000000-0005-0000-0000-00003B210000}"/>
    <cellStyle name="Normal 4 3 3 2 4 4 2 2 2 3" xfId="36387" xr:uid="{00000000-0005-0000-0000-00003C210000}"/>
    <cellStyle name="Normal 4 3 3 2 4 4 2 2 3" xfId="17955" xr:uid="{00000000-0005-0000-0000-00003D210000}"/>
    <cellStyle name="Normal 4 3 3 2 4 4 2 2 3 2" xfId="42531" xr:uid="{00000000-0005-0000-0000-00003E210000}"/>
    <cellStyle name="Normal 4 3 3 2 4 4 2 2 4" xfId="30243" xr:uid="{00000000-0005-0000-0000-00003F210000}"/>
    <cellStyle name="Normal 4 3 3 2 4 4 2 3" xfId="8739" xr:uid="{00000000-0005-0000-0000-000040210000}"/>
    <cellStyle name="Normal 4 3 3 2 4 4 2 3 2" xfId="21027" xr:uid="{00000000-0005-0000-0000-000041210000}"/>
    <cellStyle name="Normal 4 3 3 2 4 4 2 3 2 2" xfId="45603" xr:uid="{00000000-0005-0000-0000-000042210000}"/>
    <cellStyle name="Normal 4 3 3 2 4 4 2 3 3" xfId="33315" xr:uid="{00000000-0005-0000-0000-000043210000}"/>
    <cellStyle name="Normal 4 3 3 2 4 4 2 4" xfId="14883" xr:uid="{00000000-0005-0000-0000-000044210000}"/>
    <cellStyle name="Normal 4 3 3 2 4 4 2 4 2" xfId="39459" xr:uid="{00000000-0005-0000-0000-000045210000}"/>
    <cellStyle name="Normal 4 3 3 2 4 4 2 5" xfId="27171" xr:uid="{00000000-0005-0000-0000-000046210000}"/>
    <cellStyle name="Normal 4 3 3 2 4 4 3" xfId="4131" xr:uid="{00000000-0005-0000-0000-000047210000}"/>
    <cellStyle name="Normal 4 3 3 2 4 4 3 2" xfId="10275" xr:uid="{00000000-0005-0000-0000-000048210000}"/>
    <cellStyle name="Normal 4 3 3 2 4 4 3 2 2" xfId="22563" xr:uid="{00000000-0005-0000-0000-000049210000}"/>
    <cellStyle name="Normal 4 3 3 2 4 4 3 2 2 2" xfId="47139" xr:uid="{00000000-0005-0000-0000-00004A210000}"/>
    <cellStyle name="Normal 4 3 3 2 4 4 3 2 3" xfId="34851" xr:uid="{00000000-0005-0000-0000-00004B210000}"/>
    <cellStyle name="Normal 4 3 3 2 4 4 3 3" xfId="16419" xr:uid="{00000000-0005-0000-0000-00004C210000}"/>
    <cellStyle name="Normal 4 3 3 2 4 4 3 3 2" xfId="40995" xr:uid="{00000000-0005-0000-0000-00004D210000}"/>
    <cellStyle name="Normal 4 3 3 2 4 4 3 4" xfId="28707" xr:uid="{00000000-0005-0000-0000-00004E210000}"/>
    <cellStyle name="Normal 4 3 3 2 4 4 4" xfId="7203" xr:uid="{00000000-0005-0000-0000-00004F210000}"/>
    <cellStyle name="Normal 4 3 3 2 4 4 4 2" xfId="19491" xr:uid="{00000000-0005-0000-0000-000050210000}"/>
    <cellStyle name="Normal 4 3 3 2 4 4 4 2 2" xfId="44067" xr:uid="{00000000-0005-0000-0000-000051210000}"/>
    <cellStyle name="Normal 4 3 3 2 4 4 4 3" xfId="31779" xr:uid="{00000000-0005-0000-0000-000052210000}"/>
    <cellStyle name="Normal 4 3 3 2 4 4 5" xfId="13347" xr:uid="{00000000-0005-0000-0000-000053210000}"/>
    <cellStyle name="Normal 4 3 3 2 4 4 5 2" xfId="37923" xr:uid="{00000000-0005-0000-0000-000054210000}"/>
    <cellStyle name="Normal 4 3 3 2 4 4 6" xfId="25635" xr:uid="{00000000-0005-0000-0000-000055210000}"/>
    <cellStyle name="Normal 4 3 3 2 4 5" xfId="1823" xr:uid="{00000000-0005-0000-0000-000056210000}"/>
    <cellStyle name="Normal 4 3 3 2 4 5 2" xfId="4899" xr:uid="{00000000-0005-0000-0000-000057210000}"/>
    <cellStyle name="Normal 4 3 3 2 4 5 2 2" xfId="11043" xr:uid="{00000000-0005-0000-0000-000058210000}"/>
    <cellStyle name="Normal 4 3 3 2 4 5 2 2 2" xfId="23331" xr:uid="{00000000-0005-0000-0000-000059210000}"/>
    <cellStyle name="Normal 4 3 3 2 4 5 2 2 2 2" xfId="47907" xr:uid="{00000000-0005-0000-0000-00005A210000}"/>
    <cellStyle name="Normal 4 3 3 2 4 5 2 2 3" xfId="35619" xr:uid="{00000000-0005-0000-0000-00005B210000}"/>
    <cellStyle name="Normal 4 3 3 2 4 5 2 3" xfId="17187" xr:uid="{00000000-0005-0000-0000-00005C210000}"/>
    <cellStyle name="Normal 4 3 3 2 4 5 2 3 2" xfId="41763" xr:uid="{00000000-0005-0000-0000-00005D210000}"/>
    <cellStyle name="Normal 4 3 3 2 4 5 2 4" xfId="29475" xr:uid="{00000000-0005-0000-0000-00005E210000}"/>
    <cellStyle name="Normal 4 3 3 2 4 5 3" xfId="7971" xr:uid="{00000000-0005-0000-0000-00005F210000}"/>
    <cellStyle name="Normal 4 3 3 2 4 5 3 2" xfId="20259" xr:uid="{00000000-0005-0000-0000-000060210000}"/>
    <cellStyle name="Normal 4 3 3 2 4 5 3 2 2" xfId="44835" xr:uid="{00000000-0005-0000-0000-000061210000}"/>
    <cellStyle name="Normal 4 3 3 2 4 5 3 3" xfId="32547" xr:uid="{00000000-0005-0000-0000-000062210000}"/>
    <cellStyle name="Normal 4 3 3 2 4 5 4" xfId="14115" xr:uid="{00000000-0005-0000-0000-000063210000}"/>
    <cellStyle name="Normal 4 3 3 2 4 5 4 2" xfId="38691" xr:uid="{00000000-0005-0000-0000-000064210000}"/>
    <cellStyle name="Normal 4 3 3 2 4 5 5" xfId="26403" xr:uid="{00000000-0005-0000-0000-000065210000}"/>
    <cellStyle name="Normal 4 3 3 2 4 6" xfId="3363" xr:uid="{00000000-0005-0000-0000-000066210000}"/>
    <cellStyle name="Normal 4 3 3 2 4 6 2" xfId="9507" xr:uid="{00000000-0005-0000-0000-000067210000}"/>
    <cellStyle name="Normal 4 3 3 2 4 6 2 2" xfId="21795" xr:uid="{00000000-0005-0000-0000-000068210000}"/>
    <cellStyle name="Normal 4 3 3 2 4 6 2 2 2" xfId="46371" xr:uid="{00000000-0005-0000-0000-000069210000}"/>
    <cellStyle name="Normal 4 3 3 2 4 6 2 3" xfId="34083" xr:uid="{00000000-0005-0000-0000-00006A210000}"/>
    <cellStyle name="Normal 4 3 3 2 4 6 3" xfId="15651" xr:uid="{00000000-0005-0000-0000-00006B210000}"/>
    <cellStyle name="Normal 4 3 3 2 4 6 3 2" xfId="40227" xr:uid="{00000000-0005-0000-0000-00006C210000}"/>
    <cellStyle name="Normal 4 3 3 2 4 6 4" xfId="27939" xr:uid="{00000000-0005-0000-0000-00006D210000}"/>
    <cellStyle name="Normal 4 3 3 2 4 7" xfId="6435" xr:uid="{00000000-0005-0000-0000-00006E210000}"/>
    <cellStyle name="Normal 4 3 3 2 4 7 2" xfId="18723" xr:uid="{00000000-0005-0000-0000-00006F210000}"/>
    <cellStyle name="Normal 4 3 3 2 4 7 2 2" xfId="43299" xr:uid="{00000000-0005-0000-0000-000070210000}"/>
    <cellStyle name="Normal 4 3 3 2 4 7 3" xfId="31011" xr:uid="{00000000-0005-0000-0000-000071210000}"/>
    <cellStyle name="Normal 4 3 3 2 4 8" xfId="12579" xr:uid="{00000000-0005-0000-0000-000072210000}"/>
    <cellStyle name="Normal 4 3 3 2 4 8 2" xfId="37155" xr:uid="{00000000-0005-0000-0000-000073210000}"/>
    <cellStyle name="Normal 4 3 3 2 4 9" xfId="24867" xr:uid="{00000000-0005-0000-0000-000074210000}"/>
    <cellStyle name="Normal 4 3 3 2 5" xfId="351" xr:uid="{00000000-0005-0000-0000-000075210000}"/>
    <cellStyle name="Normal 4 3 3 2 5 2" xfId="735" xr:uid="{00000000-0005-0000-0000-000076210000}"/>
    <cellStyle name="Normal 4 3 3 2 5 2 2" xfId="1503" xr:uid="{00000000-0005-0000-0000-000077210000}"/>
    <cellStyle name="Normal 4 3 3 2 5 2 2 2" xfId="3039" xr:uid="{00000000-0005-0000-0000-000078210000}"/>
    <cellStyle name="Normal 4 3 3 2 5 2 2 2 2" xfId="6115" xr:uid="{00000000-0005-0000-0000-000079210000}"/>
    <cellStyle name="Normal 4 3 3 2 5 2 2 2 2 2" xfId="12259" xr:uid="{00000000-0005-0000-0000-00007A210000}"/>
    <cellStyle name="Normal 4 3 3 2 5 2 2 2 2 2 2" xfId="24547" xr:uid="{00000000-0005-0000-0000-00007B210000}"/>
    <cellStyle name="Normal 4 3 3 2 5 2 2 2 2 2 2 2" xfId="49123" xr:uid="{00000000-0005-0000-0000-00007C210000}"/>
    <cellStyle name="Normal 4 3 3 2 5 2 2 2 2 2 3" xfId="36835" xr:uid="{00000000-0005-0000-0000-00007D210000}"/>
    <cellStyle name="Normal 4 3 3 2 5 2 2 2 2 3" xfId="18403" xr:uid="{00000000-0005-0000-0000-00007E210000}"/>
    <cellStyle name="Normal 4 3 3 2 5 2 2 2 2 3 2" xfId="42979" xr:uid="{00000000-0005-0000-0000-00007F210000}"/>
    <cellStyle name="Normal 4 3 3 2 5 2 2 2 2 4" xfId="30691" xr:uid="{00000000-0005-0000-0000-000080210000}"/>
    <cellStyle name="Normal 4 3 3 2 5 2 2 2 3" xfId="9187" xr:uid="{00000000-0005-0000-0000-000081210000}"/>
    <cellStyle name="Normal 4 3 3 2 5 2 2 2 3 2" xfId="21475" xr:uid="{00000000-0005-0000-0000-000082210000}"/>
    <cellStyle name="Normal 4 3 3 2 5 2 2 2 3 2 2" xfId="46051" xr:uid="{00000000-0005-0000-0000-000083210000}"/>
    <cellStyle name="Normal 4 3 3 2 5 2 2 2 3 3" xfId="33763" xr:uid="{00000000-0005-0000-0000-000084210000}"/>
    <cellStyle name="Normal 4 3 3 2 5 2 2 2 4" xfId="15331" xr:uid="{00000000-0005-0000-0000-000085210000}"/>
    <cellStyle name="Normal 4 3 3 2 5 2 2 2 4 2" xfId="39907" xr:uid="{00000000-0005-0000-0000-000086210000}"/>
    <cellStyle name="Normal 4 3 3 2 5 2 2 2 5" xfId="27619" xr:uid="{00000000-0005-0000-0000-000087210000}"/>
    <cellStyle name="Normal 4 3 3 2 5 2 2 3" xfId="4579" xr:uid="{00000000-0005-0000-0000-000088210000}"/>
    <cellStyle name="Normal 4 3 3 2 5 2 2 3 2" xfId="10723" xr:uid="{00000000-0005-0000-0000-000089210000}"/>
    <cellStyle name="Normal 4 3 3 2 5 2 2 3 2 2" xfId="23011" xr:uid="{00000000-0005-0000-0000-00008A210000}"/>
    <cellStyle name="Normal 4 3 3 2 5 2 2 3 2 2 2" xfId="47587" xr:uid="{00000000-0005-0000-0000-00008B210000}"/>
    <cellStyle name="Normal 4 3 3 2 5 2 2 3 2 3" xfId="35299" xr:uid="{00000000-0005-0000-0000-00008C210000}"/>
    <cellStyle name="Normal 4 3 3 2 5 2 2 3 3" xfId="16867" xr:uid="{00000000-0005-0000-0000-00008D210000}"/>
    <cellStyle name="Normal 4 3 3 2 5 2 2 3 3 2" xfId="41443" xr:uid="{00000000-0005-0000-0000-00008E210000}"/>
    <cellStyle name="Normal 4 3 3 2 5 2 2 3 4" xfId="29155" xr:uid="{00000000-0005-0000-0000-00008F210000}"/>
    <cellStyle name="Normal 4 3 3 2 5 2 2 4" xfId="7651" xr:uid="{00000000-0005-0000-0000-000090210000}"/>
    <cellStyle name="Normal 4 3 3 2 5 2 2 4 2" xfId="19939" xr:uid="{00000000-0005-0000-0000-000091210000}"/>
    <cellStyle name="Normal 4 3 3 2 5 2 2 4 2 2" xfId="44515" xr:uid="{00000000-0005-0000-0000-000092210000}"/>
    <cellStyle name="Normal 4 3 3 2 5 2 2 4 3" xfId="32227" xr:uid="{00000000-0005-0000-0000-000093210000}"/>
    <cellStyle name="Normal 4 3 3 2 5 2 2 5" xfId="13795" xr:uid="{00000000-0005-0000-0000-000094210000}"/>
    <cellStyle name="Normal 4 3 3 2 5 2 2 5 2" xfId="38371" xr:uid="{00000000-0005-0000-0000-000095210000}"/>
    <cellStyle name="Normal 4 3 3 2 5 2 2 6" xfId="26083" xr:uid="{00000000-0005-0000-0000-000096210000}"/>
    <cellStyle name="Normal 4 3 3 2 5 2 3" xfId="2271" xr:uid="{00000000-0005-0000-0000-000097210000}"/>
    <cellStyle name="Normal 4 3 3 2 5 2 3 2" xfId="5347" xr:uid="{00000000-0005-0000-0000-000098210000}"/>
    <cellStyle name="Normal 4 3 3 2 5 2 3 2 2" xfId="11491" xr:uid="{00000000-0005-0000-0000-000099210000}"/>
    <cellStyle name="Normal 4 3 3 2 5 2 3 2 2 2" xfId="23779" xr:uid="{00000000-0005-0000-0000-00009A210000}"/>
    <cellStyle name="Normal 4 3 3 2 5 2 3 2 2 2 2" xfId="48355" xr:uid="{00000000-0005-0000-0000-00009B210000}"/>
    <cellStyle name="Normal 4 3 3 2 5 2 3 2 2 3" xfId="36067" xr:uid="{00000000-0005-0000-0000-00009C210000}"/>
    <cellStyle name="Normal 4 3 3 2 5 2 3 2 3" xfId="17635" xr:uid="{00000000-0005-0000-0000-00009D210000}"/>
    <cellStyle name="Normal 4 3 3 2 5 2 3 2 3 2" xfId="42211" xr:uid="{00000000-0005-0000-0000-00009E210000}"/>
    <cellStyle name="Normal 4 3 3 2 5 2 3 2 4" xfId="29923" xr:uid="{00000000-0005-0000-0000-00009F210000}"/>
    <cellStyle name="Normal 4 3 3 2 5 2 3 3" xfId="8419" xr:uid="{00000000-0005-0000-0000-0000A0210000}"/>
    <cellStyle name="Normal 4 3 3 2 5 2 3 3 2" xfId="20707" xr:uid="{00000000-0005-0000-0000-0000A1210000}"/>
    <cellStyle name="Normal 4 3 3 2 5 2 3 3 2 2" xfId="45283" xr:uid="{00000000-0005-0000-0000-0000A2210000}"/>
    <cellStyle name="Normal 4 3 3 2 5 2 3 3 3" xfId="32995" xr:uid="{00000000-0005-0000-0000-0000A3210000}"/>
    <cellStyle name="Normal 4 3 3 2 5 2 3 4" xfId="14563" xr:uid="{00000000-0005-0000-0000-0000A4210000}"/>
    <cellStyle name="Normal 4 3 3 2 5 2 3 4 2" xfId="39139" xr:uid="{00000000-0005-0000-0000-0000A5210000}"/>
    <cellStyle name="Normal 4 3 3 2 5 2 3 5" xfId="26851" xr:uid="{00000000-0005-0000-0000-0000A6210000}"/>
    <cellStyle name="Normal 4 3 3 2 5 2 4" xfId="3811" xr:uid="{00000000-0005-0000-0000-0000A7210000}"/>
    <cellStyle name="Normal 4 3 3 2 5 2 4 2" xfId="9955" xr:uid="{00000000-0005-0000-0000-0000A8210000}"/>
    <cellStyle name="Normal 4 3 3 2 5 2 4 2 2" xfId="22243" xr:uid="{00000000-0005-0000-0000-0000A9210000}"/>
    <cellStyle name="Normal 4 3 3 2 5 2 4 2 2 2" xfId="46819" xr:uid="{00000000-0005-0000-0000-0000AA210000}"/>
    <cellStyle name="Normal 4 3 3 2 5 2 4 2 3" xfId="34531" xr:uid="{00000000-0005-0000-0000-0000AB210000}"/>
    <cellStyle name="Normal 4 3 3 2 5 2 4 3" xfId="16099" xr:uid="{00000000-0005-0000-0000-0000AC210000}"/>
    <cellStyle name="Normal 4 3 3 2 5 2 4 3 2" xfId="40675" xr:uid="{00000000-0005-0000-0000-0000AD210000}"/>
    <cellStyle name="Normal 4 3 3 2 5 2 4 4" xfId="28387" xr:uid="{00000000-0005-0000-0000-0000AE210000}"/>
    <cellStyle name="Normal 4 3 3 2 5 2 5" xfId="6883" xr:uid="{00000000-0005-0000-0000-0000AF210000}"/>
    <cellStyle name="Normal 4 3 3 2 5 2 5 2" xfId="19171" xr:uid="{00000000-0005-0000-0000-0000B0210000}"/>
    <cellStyle name="Normal 4 3 3 2 5 2 5 2 2" xfId="43747" xr:uid="{00000000-0005-0000-0000-0000B1210000}"/>
    <cellStyle name="Normal 4 3 3 2 5 2 5 3" xfId="31459" xr:uid="{00000000-0005-0000-0000-0000B2210000}"/>
    <cellStyle name="Normal 4 3 3 2 5 2 6" xfId="13027" xr:uid="{00000000-0005-0000-0000-0000B3210000}"/>
    <cellStyle name="Normal 4 3 3 2 5 2 6 2" xfId="37603" xr:uid="{00000000-0005-0000-0000-0000B4210000}"/>
    <cellStyle name="Normal 4 3 3 2 5 2 7" xfId="25315" xr:uid="{00000000-0005-0000-0000-0000B5210000}"/>
    <cellStyle name="Normal 4 3 3 2 5 3" xfId="1119" xr:uid="{00000000-0005-0000-0000-0000B6210000}"/>
    <cellStyle name="Normal 4 3 3 2 5 3 2" xfId="2655" xr:uid="{00000000-0005-0000-0000-0000B7210000}"/>
    <cellStyle name="Normal 4 3 3 2 5 3 2 2" xfId="5731" xr:uid="{00000000-0005-0000-0000-0000B8210000}"/>
    <cellStyle name="Normal 4 3 3 2 5 3 2 2 2" xfId="11875" xr:uid="{00000000-0005-0000-0000-0000B9210000}"/>
    <cellStyle name="Normal 4 3 3 2 5 3 2 2 2 2" xfId="24163" xr:uid="{00000000-0005-0000-0000-0000BA210000}"/>
    <cellStyle name="Normal 4 3 3 2 5 3 2 2 2 2 2" xfId="48739" xr:uid="{00000000-0005-0000-0000-0000BB210000}"/>
    <cellStyle name="Normal 4 3 3 2 5 3 2 2 2 3" xfId="36451" xr:uid="{00000000-0005-0000-0000-0000BC210000}"/>
    <cellStyle name="Normal 4 3 3 2 5 3 2 2 3" xfId="18019" xr:uid="{00000000-0005-0000-0000-0000BD210000}"/>
    <cellStyle name="Normal 4 3 3 2 5 3 2 2 3 2" xfId="42595" xr:uid="{00000000-0005-0000-0000-0000BE210000}"/>
    <cellStyle name="Normal 4 3 3 2 5 3 2 2 4" xfId="30307" xr:uid="{00000000-0005-0000-0000-0000BF210000}"/>
    <cellStyle name="Normal 4 3 3 2 5 3 2 3" xfId="8803" xr:uid="{00000000-0005-0000-0000-0000C0210000}"/>
    <cellStyle name="Normal 4 3 3 2 5 3 2 3 2" xfId="21091" xr:uid="{00000000-0005-0000-0000-0000C1210000}"/>
    <cellStyle name="Normal 4 3 3 2 5 3 2 3 2 2" xfId="45667" xr:uid="{00000000-0005-0000-0000-0000C2210000}"/>
    <cellStyle name="Normal 4 3 3 2 5 3 2 3 3" xfId="33379" xr:uid="{00000000-0005-0000-0000-0000C3210000}"/>
    <cellStyle name="Normal 4 3 3 2 5 3 2 4" xfId="14947" xr:uid="{00000000-0005-0000-0000-0000C4210000}"/>
    <cellStyle name="Normal 4 3 3 2 5 3 2 4 2" xfId="39523" xr:uid="{00000000-0005-0000-0000-0000C5210000}"/>
    <cellStyle name="Normal 4 3 3 2 5 3 2 5" xfId="27235" xr:uid="{00000000-0005-0000-0000-0000C6210000}"/>
    <cellStyle name="Normal 4 3 3 2 5 3 3" xfId="4195" xr:uid="{00000000-0005-0000-0000-0000C7210000}"/>
    <cellStyle name="Normal 4 3 3 2 5 3 3 2" xfId="10339" xr:uid="{00000000-0005-0000-0000-0000C8210000}"/>
    <cellStyle name="Normal 4 3 3 2 5 3 3 2 2" xfId="22627" xr:uid="{00000000-0005-0000-0000-0000C9210000}"/>
    <cellStyle name="Normal 4 3 3 2 5 3 3 2 2 2" xfId="47203" xr:uid="{00000000-0005-0000-0000-0000CA210000}"/>
    <cellStyle name="Normal 4 3 3 2 5 3 3 2 3" xfId="34915" xr:uid="{00000000-0005-0000-0000-0000CB210000}"/>
    <cellStyle name="Normal 4 3 3 2 5 3 3 3" xfId="16483" xr:uid="{00000000-0005-0000-0000-0000CC210000}"/>
    <cellStyle name="Normal 4 3 3 2 5 3 3 3 2" xfId="41059" xr:uid="{00000000-0005-0000-0000-0000CD210000}"/>
    <cellStyle name="Normal 4 3 3 2 5 3 3 4" xfId="28771" xr:uid="{00000000-0005-0000-0000-0000CE210000}"/>
    <cellStyle name="Normal 4 3 3 2 5 3 4" xfId="7267" xr:uid="{00000000-0005-0000-0000-0000CF210000}"/>
    <cellStyle name="Normal 4 3 3 2 5 3 4 2" xfId="19555" xr:uid="{00000000-0005-0000-0000-0000D0210000}"/>
    <cellStyle name="Normal 4 3 3 2 5 3 4 2 2" xfId="44131" xr:uid="{00000000-0005-0000-0000-0000D1210000}"/>
    <cellStyle name="Normal 4 3 3 2 5 3 4 3" xfId="31843" xr:uid="{00000000-0005-0000-0000-0000D2210000}"/>
    <cellStyle name="Normal 4 3 3 2 5 3 5" xfId="13411" xr:uid="{00000000-0005-0000-0000-0000D3210000}"/>
    <cellStyle name="Normal 4 3 3 2 5 3 5 2" xfId="37987" xr:uid="{00000000-0005-0000-0000-0000D4210000}"/>
    <cellStyle name="Normal 4 3 3 2 5 3 6" xfId="25699" xr:uid="{00000000-0005-0000-0000-0000D5210000}"/>
    <cellStyle name="Normal 4 3 3 2 5 4" xfId="1887" xr:uid="{00000000-0005-0000-0000-0000D6210000}"/>
    <cellStyle name="Normal 4 3 3 2 5 4 2" xfId="4963" xr:uid="{00000000-0005-0000-0000-0000D7210000}"/>
    <cellStyle name="Normal 4 3 3 2 5 4 2 2" xfId="11107" xr:uid="{00000000-0005-0000-0000-0000D8210000}"/>
    <cellStyle name="Normal 4 3 3 2 5 4 2 2 2" xfId="23395" xr:uid="{00000000-0005-0000-0000-0000D9210000}"/>
    <cellStyle name="Normal 4 3 3 2 5 4 2 2 2 2" xfId="47971" xr:uid="{00000000-0005-0000-0000-0000DA210000}"/>
    <cellStyle name="Normal 4 3 3 2 5 4 2 2 3" xfId="35683" xr:uid="{00000000-0005-0000-0000-0000DB210000}"/>
    <cellStyle name="Normal 4 3 3 2 5 4 2 3" xfId="17251" xr:uid="{00000000-0005-0000-0000-0000DC210000}"/>
    <cellStyle name="Normal 4 3 3 2 5 4 2 3 2" xfId="41827" xr:uid="{00000000-0005-0000-0000-0000DD210000}"/>
    <cellStyle name="Normal 4 3 3 2 5 4 2 4" xfId="29539" xr:uid="{00000000-0005-0000-0000-0000DE210000}"/>
    <cellStyle name="Normal 4 3 3 2 5 4 3" xfId="8035" xr:uid="{00000000-0005-0000-0000-0000DF210000}"/>
    <cellStyle name="Normal 4 3 3 2 5 4 3 2" xfId="20323" xr:uid="{00000000-0005-0000-0000-0000E0210000}"/>
    <cellStyle name="Normal 4 3 3 2 5 4 3 2 2" xfId="44899" xr:uid="{00000000-0005-0000-0000-0000E1210000}"/>
    <cellStyle name="Normal 4 3 3 2 5 4 3 3" xfId="32611" xr:uid="{00000000-0005-0000-0000-0000E2210000}"/>
    <cellStyle name="Normal 4 3 3 2 5 4 4" xfId="14179" xr:uid="{00000000-0005-0000-0000-0000E3210000}"/>
    <cellStyle name="Normal 4 3 3 2 5 4 4 2" xfId="38755" xr:uid="{00000000-0005-0000-0000-0000E4210000}"/>
    <cellStyle name="Normal 4 3 3 2 5 4 5" xfId="26467" xr:uid="{00000000-0005-0000-0000-0000E5210000}"/>
    <cellStyle name="Normal 4 3 3 2 5 5" xfId="3427" xr:uid="{00000000-0005-0000-0000-0000E6210000}"/>
    <cellStyle name="Normal 4 3 3 2 5 5 2" xfId="9571" xr:uid="{00000000-0005-0000-0000-0000E7210000}"/>
    <cellStyle name="Normal 4 3 3 2 5 5 2 2" xfId="21859" xr:uid="{00000000-0005-0000-0000-0000E8210000}"/>
    <cellStyle name="Normal 4 3 3 2 5 5 2 2 2" xfId="46435" xr:uid="{00000000-0005-0000-0000-0000E9210000}"/>
    <cellStyle name="Normal 4 3 3 2 5 5 2 3" xfId="34147" xr:uid="{00000000-0005-0000-0000-0000EA210000}"/>
    <cellStyle name="Normal 4 3 3 2 5 5 3" xfId="15715" xr:uid="{00000000-0005-0000-0000-0000EB210000}"/>
    <cellStyle name="Normal 4 3 3 2 5 5 3 2" xfId="40291" xr:uid="{00000000-0005-0000-0000-0000EC210000}"/>
    <cellStyle name="Normal 4 3 3 2 5 5 4" xfId="28003" xr:uid="{00000000-0005-0000-0000-0000ED210000}"/>
    <cellStyle name="Normal 4 3 3 2 5 6" xfId="6499" xr:uid="{00000000-0005-0000-0000-0000EE210000}"/>
    <cellStyle name="Normal 4 3 3 2 5 6 2" xfId="18787" xr:uid="{00000000-0005-0000-0000-0000EF210000}"/>
    <cellStyle name="Normal 4 3 3 2 5 6 2 2" xfId="43363" xr:uid="{00000000-0005-0000-0000-0000F0210000}"/>
    <cellStyle name="Normal 4 3 3 2 5 6 3" xfId="31075" xr:uid="{00000000-0005-0000-0000-0000F1210000}"/>
    <cellStyle name="Normal 4 3 3 2 5 7" xfId="12643" xr:uid="{00000000-0005-0000-0000-0000F2210000}"/>
    <cellStyle name="Normal 4 3 3 2 5 7 2" xfId="37219" xr:uid="{00000000-0005-0000-0000-0000F3210000}"/>
    <cellStyle name="Normal 4 3 3 2 5 8" xfId="24931" xr:uid="{00000000-0005-0000-0000-0000F4210000}"/>
    <cellStyle name="Normal 4 3 3 2 6" xfId="543" xr:uid="{00000000-0005-0000-0000-0000F5210000}"/>
    <cellStyle name="Normal 4 3 3 2 6 2" xfId="1311" xr:uid="{00000000-0005-0000-0000-0000F6210000}"/>
    <cellStyle name="Normal 4 3 3 2 6 2 2" xfId="2847" xr:uid="{00000000-0005-0000-0000-0000F7210000}"/>
    <cellStyle name="Normal 4 3 3 2 6 2 2 2" xfId="5923" xr:uid="{00000000-0005-0000-0000-0000F8210000}"/>
    <cellStyle name="Normal 4 3 3 2 6 2 2 2 2" xfId="12067" xr:uid="{00000000-0005-0000-0000-0000F9210000}"/>
    <cellStyle name="Normal 4 3 3 2 6 2 2 2 2 2" xfId="24355" xr:uid="{00000000-0005-0000-0000-0000FA210000}"/>
    <cellStyle name="Normal 4 3 3 2 6 2 2 2 2 2 2" xfId="48931" xr:uid="{00000000-0005-0000-0000-0000FB210000}"/>
    <cellStyle name="Normal 4 3 3 2 6 2 2 2 2 3" xfId="36643" xr:uid="{00000000-0005-0000-0000-0000FC210000}"/>
    <cellStyle name="Normal 4 3 3 2 6 2 2 2 3" xfId="18211" xr:uid="{00000000-0005-0000-0000-0000FD210000}"/>
    <cellStyle name="Normal 4 3 3 2 6 2 2 2 3 2" xfId="42787" xr:uid="{00000000-0005-0000-0000-0000FE210000}"/>
    <cellStyle name="Normal 4 3 3 2 6 2 2 2 4" xfId="30499" xr:uid="{00000000-0005-0000-0000-0000FF210000}"/>
    <cellStyle name="Normal 4 3 3 2 6 2 2 3" xfId="8995" xr:uid="{00000000-0005-0000-0000-000000220000}"/>
    <cellStyle name="Normal 4 3 3 2 6 2 2 3 2" xfId="21283" xr:uid="{00000000-0005-0000-0000-000001220000}"/>
    <cellStyle name="Normal 4 3 3 2 6 2 2 3 2 2" xfId="45859" xr:uid="{00000000-0005-0000-0000-000002220000}"/>
    <cellStyle name="Normal 4 3 3 2 6 2 2 3 3" xfId="33571" xr:uid="{00000000-0005-0000-0000-000003220000}"/>
    <cellStyle name="Normal 4 3 3 2 6 2 2 4" xfId="15139" xr:uid="{00000000-0005-0000-0000-000004220000}"/>
    <cellStyle name="Normal 4 3 3 2 6 2 2 4 2" xfId="39715" xr:uid="{00000000-0005-0000-0000-000005220000}"/>
    <cellStyle name="Normal 4 3 3 2 6 2 2 5" xfId="27427" xr:uid="{00000000-0005-0000-0000-000006220000}"/>
    <cellStyle name="Normal 4 3 3 2 6 2 3" xfId="4387" xr:uid="{00000000-0005-0000-0000-000007220000}"/>
    <cellStyle name="Normal 4 3 3 2 6 2 3 2" xfId="10531" xr:uid="{00000000-0005-0000-0000-000008220000}"/>
    <cellStyle name="Normal 4 3 3 2 6 2 3 2 2" xfId="22819" xr:uid="{00000000-0005-0000-0000-000009220000}"/>
    <cellStyle name="Normal 4 3 3 2 6 2 3 2 2 2" xfId="47395" xr:uid="{00000000-0005-0000-0000-00000A220000}"/>
    <cellStyle name="Normal 4 3 3 2 6 2 3 2 3" xfId="35107" xr:uid="{00000000-0005-0000-0000-00000B220000}"/>
    <cellStyle name="Normal 4 3 3 2 6 2 3 3" xfId="16675" xr:uid="{00000000-0005-0000-0000-00000C220000}"/>
    <cellStyle name="Normal 4 3 3 2 6 2 3 3 2" xfId="41251" xr:uid="{00000000-0005-0000-0000-00000D220000}"/>
    <cellStyle name="Normal 4 3 3 2 6 2 3 4" xfId="28963" xr:uid="{00000000-0005-0000-0000-00000E220000}"/>
    <cellStyle name="Normal 4 3 3 2 6 2 4" xfId="7459" xr:uid="{00000000-0005-0000-0000-00000F220000}"/>
    <cellStyle name="Normal 4 3 3 2 6 2 4 2" xfId="19747" xr:uid="{00000000-0005-0000-0000-000010220000}"/>
    <cellStyle name="Normal 4 3 3 2 6 2 4 2 2" xfId="44323" xr:uid="{00000000-0005-0000-0000-000011220000}"/>
    <cellStyle name="Normal 4 3 3 2 6 2 4 3" xfId="32035" xr:uid="{00000000-0005-0000-0000-000012220000}"/>
    <cellStyle name="Normal 4 3 3 2 6 2 5" xfId="13603" xr:uid="{00000000-0005-0000-0000-000013220000}"/>
    <cellStyle name="Normal 4 3 3 2 6 2 5 2" xfId="38179" xr:uid="{00000000-0005-0000-0000-000014220000}"/>
    <cellStyle name="Normal 4 3 3 2 6 2 6" xfId="25891" xr:uid="{00000000-0005-0000-0000-000015220000}"/>
    <cellStyle name="Normal 4 3 3 2 6 3" xfId="2079" xr:uid="{00000000-0005-0000-0000-000016220000}"/>
    <cellStyle name="Normal 4 3 3 2 6 3 2" xfId="5155" xr:uid="{00000000-0005-0000-0000-000017220000}"/>
    <cellStyle name="Normal 4 3 3 2 6 3 2 2" xfId="11299" xr:uid="{00000000-0005-0000-0000-000018220000}"/>
    <cellStyle name="Normal 4 3 3 2 6 3 2 2 2" xfId="23587" xr:uid="{00000000-0005-0000-0000-000019220000}"/>
    <cellStyle name="Normal 4 3 3 2 6 3 2 2 2 2" xfId="48163" xr:uid="{00000000-0005-0000-0000-00001A220000}"/>
    <cellStyle name="Normal 4 3 3 2 6 3 2 2 3" xfId="35875" xr:uid="{00000000-0005-0000-0000-00001B220000}"/>
    <cellStyle name="Normal 4 3 3 2 6 3 2 3" xfId="17443" xr:uid="{00000000-0005-0000-0000-00001C220000}"/>
    <cellStyle name="Normal 4 3 3 2 6 3 2 3 2" xfId="42019" xr:uid="{00000000-0005-0000-0000-00001D220000}"/>
    <cellStyle name="Normal 4 3 3 2 6 3 2 4" xfId="29731" xr:uid="{00000000-0005-0000-0000-00001E220000}"/>
    <cellStyle name="Normal 4 3 3 2 6 3 3" xfId="8227" xr:uid="{00000000-0005-0000-0000-00001F220000}"/>
    <cellStyle name="Normal 4 3 3 2 6 3 3 2" xfId="20515" xr:uid="{00000000-0005-0000-0000-000020220000}"/>
    <cellStyle name="Normal 4 3 3 2 6 3 3 2 2" xfId="45091" xr:uid="{00000000-0005-0000-0000-000021220000}"/>
    <cellStyle name="Normal 4 3 3 2 6 3 3 3" xfId="32803" xr:uid="{00000000-0005-0000-0000-000022220000}"/>
    <cellStyle name="Normal 4 3 3 2 6 3 4" xfId="14371" xr:uid="{00000000-0005-0000-0000-000023220000}"/>
    <cellStyle name="Normal 4 3 3 2 6 3 4 2" xfId="38947" xr:uid="{00000000-0005-0000-0000-000024220000}"/>
    <cellStyle name="Normal 4 3 3 2 6 3 5" xfId="26659" xr:uid="{00000000-0005-0000-0000-000025220000}"/>
    <cellStyle name="Normal 4 3 3 2 6 4" xfId="3619" xr:uid="{00000000-0005-0000-0000-000026220000}"/>
    <cellStyle name="Normal 4 3 3 2 6 4 2" xfId="9763" xr:uid="{00000000-0005-0000-0000-000027220000}"/>
    <cellStyle name="Normal 4 3 3 2 6 4 2 2" xfId="22051" xr:uid="{00000000-0005-0000-0000-000028220000}"/>
    <cellStyle name="Normal 4 3 3 2 6 4 2 2 2" xfId="46627" xr:uid="{00000000-0005-0000-0000-000029220000}"/>
    <cellStyle name="Normal 4 3 3 2 6 4 2 3" xfId="34339" xr:uid="{00000000-0005-0000-0000-00002A220000}"/>
    <cellStyle name="Normal 4 3 3 2 6 4 3" xfId="15907" xr:uid="{00000000-0005-0000-0000-00002B220000}"/>
    <cellStyle name="Normal 4 3 3 2 6 4 3 2" xfId="40483" xr:uid="{00000000-0005-0000-0000-00002C220000}"/>
    <cellStyle name="Normal 4 3 3 2 6 4 4" xfId="28195" xr:uid="{00000000-0005-0000-0000-00002D220000}"/>
    <cellStyle name="Normal 4 3 3 2 6 5" xfId="6691" xr:uid="{00000000-0005-0000-0000-00002E220000}"/>
    <cellStyle name="Normal 4 3 3 2 6 5 2" xfId="18979" xr:uid="{00000000-0005-0000-0000-00002F220000}"/>
    <cellStyle name="Normal 4 3 3 2 6 5 2 2" xfId="43555" xr:uid="{00000000-0005-0000-0000-000030220000}"/>
    <cellStyle name="Normal 4 3 3 2 6 5 3" xfId="31267" xr:uid="{00000000-0005-0000-0000-000031220000}"/>
    <cellStyle name="Normal 4 3 3 2 6 6" xfId="12835" xr:uid="{00000000-0005-0000-0000-000032220000}"/>
    <cellStyle name="Normal 4 3 3 2 6 6 2" xfId="37411" xr:uid="{00000000-0005-0000-0000-000033220000}"/>
    <cellStyle name="Normal 4 3 3 2 6 7" xfId="25123" xr:uid="{00000000-0005-0000-0000-000034220000}"/>
    <cellStyle name="Normal 4 3 3 2 7" xfId="927" xr:uid="{00000000-0005-0000-0000-000035220000}"/>
    <cellStyle name="Normal 4 3 3 2 7 2" xfId="2463" xr:uid="{00000000-0005-0000-0000-000036220000}"/>
    <cellStyle name="Normal 4 3 3 2 7 2 2" xfId="5539" xr:uid="{00000000-0005-0000-0000-000037220000}"/>
    <cellStyle name="Normal 4 3 3 2 7 2 2 2" xfId="11683" xr:uid="{00000000-0005-0000-0000-000038220000}"/>
    <cellStyle name="Normal 4 3 3 2 7 2 2 2 2" xfId="23971" xr:uid="{00000000-0005-0000-0000-000039220000}"/>
    <cellStyle name="Normal 4 3 3 2 7 2 2 2 2 2" xfId="48547" xr:uid="{00000000-0005-0000-0000-00003A220000}"/>
    <cellStyle name="Normal 4 3 3 2 7 2 2 2 3" xfId="36259" xr:uid="{00000000-0005-0000-0000-00003B220000}"/>
    <cellStyle name="Normal 4 3 3 2 7 2 2 3" xfId="17827" xr:uid="{00000000-0005-0000-0000-00003C220000}"/>
    <cellStyle name="Normal 4 3 3 2 7 2 2 3 2" xfId="42403" xr:uid="{00000000-0005-0000-0000-00003D220000}"/>
    <cellStyle name="Normal 4 3 3 2 7 2 2 4" xfId="30115" xr:uid="{00000000-0005-0000-0000-00003E220000}"/>
    <cellStyle name="Normal 4 3 3 2 7 2 3" xfId="8611" xr:uid="{00000000-0005-0000-0000-00003F220000}"/>
    <cellStyle name="Normal 4 3 3 2 7 2 3 2" xfId="20899" xr:uid="{00000000-0005-0000-0000-000040220000}"/>
    <cellStyle name="Normal 4 3 3 2 7 2 3 2 2" xfId="45475" xr:uid="{00000000-0005-0000-0000-000041220000}"/>
    <cellStyle name="Normal 4 3 3 2 7 2 3 3" xfId="33187" xr:uid="{00000000-0005-0000-0000-000042220000}"/>
    <cellStyle name="Normal 4 3 3 2 7 2 4" xfId="14755" xr:uid="{00000000-0005-0000-0000-000043220000}"/>
    <cellStyle name="Normal 4 3 3 2 7 2 4 2" xfId="39331" xr:uid="{00000000-0005-0000-0000-000044220000}"/>
    <cellStyle name="Normal 4 3 3 2 7 2 5" xfId="27043" xr:uid="{00000000-0005-0000-0000-000045220000}"/>
    <cellStyle name="Normal 4 3 3 2 7 3" xfId="4003" xr:uid="{00000000-0005-0000-0000-000046220000}"/>
    <cellStyle name="Normal 4 3 3 2 7 3 2" xfId="10147" xr:uid="{00000000-0005-0000-0000-000047220000}"/>
    <cellStyle name="Normal 4 3 3 2 7 3 2 2" xfId="22435" xr:uid="{00000000-0005-0000-0000-000048220000}"/>
    <cellStyle name="Normal 4 3 3 2 7 3 2 2 2" xfId="47011" xr:uid="{00000000-0005-0000-0000-000049220000}"/>
    <cellStyle name="Normal 4 3 3 2 7 3 2 3" xfId="34723" xr:uid="{00000000-0005-0000-0000-00004A220000}"/>
    <cellStyle name="Normal 4 3 3 2 7 3 3" xfId="16291" xr:uid="{00000000-0005-0000-0000-00004B220000}"/>
    <cellStyle name="Normal 4 3 3 2 7 3 3 2" xfId="40867" xr:uid="{00000000-0005-0000-0000-00004C220000}"/>
    <cellStyle name="Normal 4 3 3 2 7 3 4" xfId="28579" xr:uid="{00000000-0005-0000-0000-00004D220000}"/>
    <cellStyle name="Normal 4 3 3 2 7 4" xfId="7075" xr:uid="{00000000-0005-0000-0000-00004E220000}"/>
    <cellStyle name="Normal 4 3 3 2 7 4 2" xfId="19363" xr:uid="{00000000-0005-0000-0000-00004F220000}"/>
    <cellStyle name="Normal 4 3 3 2 7 4 2 2" xfId="43939" xr:uid="{00000000-0005-0000-0000-000050220000}"/>
    <cellStyle name="Normal 4 3 3 2 7 4 3" xfId="31651" xr:uid="{00000000-0005-0000-0000-000051220000}"/>
    <cellStyle name="Normal 4 3 3 2 7 5" xfId="13219" xr:uid="{00000000-0005-0000-0000-000052220000}"/>
    <cellStyle name="Normal 4 3 3 2 7 5 2" xfId="37795" xr:uid="{00000000-0005-0000-0000-000053220000}"/>
    <cellStyle name="Normal 4 3 3 2 7 6" xfId="25507" xr:uid="{00000000-0005-0000-0000-000054220000}"/>
    <cellStyle name="Normal 4 3 3 2 8" xfId="1695" xr:uid="{00000000-0005-0000-0000-000055220000}"/>
    <cellStyle name="Normal 4 3 3 2 8 2" xfId="4771" xr:uid="{00000000-0005-0000-0000-000056220000}"/>
    <cellStyle name="Normal 4 3 3 2 8 2 2" xfId="10915" xr:uid="{00000000-0005-0000-0000-000057220000}"/>
    <cellStyle name="Normal 4 3 3 2 8 2 2 2" xfId="23203" xr:uid="{00000000-0005-0000-0000-000058220000}"/>
    <cellStyle name="Normal 4 3 3 2 8 2 2 2 2" xfId="47779" xr:uid="{00000000-0005-0000-0000-000059220000}"/>
    <cellStyle name="Normal 4 3 3 2 8 2 2 3" xfId="35491" xr:uid="{00000000-0005-0000-0000-00005A220000}"/>
    <cellStyle name="Normal 4 3 3 2 8 2 3" xfId="17059" xr:uid="{00000000-0005-0000-0000-00005B220000}"/>
    <cellStyle name="Normal 4 3 3 2 8 2 3 2" xfId="41635" xr:uid="{00000000-0005-0000-0000-00005C220000}"/>
    <cellStyle name="Normal 4 3 3 2 8 2 4" xfId="29347" xr:uid="{00000000-0005-0000-0000-00005D220000}"/>
    <cellStyle name="Normal 4 3 3 2 8 3" xfId="7843" xr:uid="{00000000-0005-0000-0000-00005E220000}"/>
    <cellStyle name="Normal 4 3 3 2 8 3 2" xfId="20131" xr:uid="{00000000-0005-0000-0000-00005F220000}"/>
    <cellStyle name="Normal 4 3 3 2 8 3 2 2" xfId="44707" xr:uid="{00000000-0005-0000-0000-000060220000}"/>
    <cellStyle name="Normal 4 3 3 2 8 3 3" xfId="32419" xr:uid="{00000000-0005-0000-0000-000061220000}"/>
    <cellStyle name="Normal 4 3 3 2 8 4" xfId="13987" xr:uid="{00000000-0005-0000-0000-000062220000}"/>
    <cellStyle name="Normal 4 3 3 2 8 4 2" xfId="38563" xr:uid="{00000000-0005-0000-0000-000063220000}"/>
    <cellStyle name="Normal 4 3 3 2 8 5" xfId="26275" xr:uid="{00000000-0005-0000-0000-000064220000}"/>
    <cellStyle name="Normal 4 3 3 2 9" xfId="3235" xr:uid="{00000000-0005-0000-0000-000065220000}"/>
    <cellStyle name="Normal 4 3 3 2 9 2" xfId="9379" xr:uid="{00000000-0005-0000-0000-000066220000}"/>
    <cellStyle name="Normal 4 3 3 2 9 2 2" xfId="21667" xr:uid="{00000000-0005-0000-0000-000067220000}"/>
    <cellStyle name="Normal 4 3 3 2 9 2 2 2" xfId="46243" xr:uid="{00000000-0005-0000-0000-000068220000}"/>
    <cellStyle name="Normal 4 3 3 2 9 2 3" xfId="33955" xr:uid="{00000000-0005-0000-0000-000069220000}"/>
    <cellStyle name="Normal 4 3 3 2 9 3" xfId="15523" xr:uid="{00000000-0005-0000-0000-00006A220000}"/>
    <cellStyle name="Normal 4 3 3 2 9 3 2" xfId="40099" xr:uid="{00000000-0005-0000-0000-00006B220000}"/>
    <cellStyle name="Normal 4 3 3 2 9 4" xfId="27811" xr:uid="{00000000-0005-0000-0000-00006C220000}"/>
    <cellStyle name="Normal 4 3 3 3" xfId="174" xr:uid="{00000000-0005-0000-0000-00006D220000}"/>
    <cellStyle name="Normal 4 3 3 3 10" xfId="12467" xr:uid="{00000000-0005-0000-0000-00006E220000}"/>
    <cellStyle name="Normal 4 3 3 3 10 2" xfId="37043" xr:uid="{00000000-0005-0000-0000-00006F220000}"/>
    <cellStyle name="Normal 4 3 3 3 11" xfId="24755" xr:uid="{00000000-0005-0000-0000-000070220000}"/>
    <cellStyle name="Normal 4 3 3 3 2" xfId="239" xr:uid="{00000000-0005-0000-0000-000071220000}"/>
    <cellStyle name="Normal 4 3 3 3 2 2" xfId="431" xr:uid="{00000000-0005-0000-0000-000072220000}"/>
    <cellStyle name="Normal 4 3 3 3 2 2 2" xfId="815" xr:uid="{00000000-0005-0000-0000-000073220000}"/>
    <cellStyle name="Normal 4 3 3 3 2 2 2 2" xfId="1583" xr:uid="{00000000-0005-0000-0000-000074220000}"/>
    <cellStyle name="Normal 4 3 3 3 2 2 2 2 2" xfId="3119" xr:uid="{00000000-0005-0000-0000-000075220000}"/>
    <cellStyle name="Normal 4 3 3 3 2 2 2 2 2 2" xfId="6195" xr:uid="{00000000-0005-0000-0000-000076220000}"/>
    <cellStyle name="Normal 4 3 3 3 2 2 2 2 2 2 2" xfId="12339" xr:uid="{00000000-0005-0000-0000-000077220000}"/>
    <cellStyle name="Normal 4 3 3 3 2 2 2 2 2 2 2 2" xfId="24627" xr:uid="{00000000-0005-0000-0000-000078220000}"/>
    <cellStyle name="Normal 4 3 3 3 2 2 2 2 2 2 2 2 2" xfId="49203" xr:uid="{00000000-0005-0000-0000-000079220000}"/>
    <cellStyle name="Normal 4 3 3 3 2 2 2 2 2 2 2 3" xfId="36915" xr:uid="{00000000-0005-0000-0000-00007A220000}"/>
    <cellStyle name="Normal 4 3 3 3 2 2 2 2 2 2 3" xfId="18483" xr:uid="{00000000-0005-0000-0000-00007B220000}"/>
    <cellStyle name="Normal 4 3 3 3 2 2 2 2 2 2 3 2" xfId="43059" xr:uid="{00000000-0005-0000-0000-00007C220000}"/>
    <cellStyle name="Normal 4 3 3 3 2 2 2 2 2 2 4" xfId="30771" xr:uid="{00000000-0005-0000-0000-00007D220000}"/>
    <cellStyle name="Normal 4 3 3 3 2 2 2 2 2 3" xfId="9267" xr:uid="{00000000-0005-0000-0000-00007E220000}"/>
    <cellStyle name="Normal 4 3 3 3 2 2 2 2 2 3 2" xfId="21555" xr:uid="{00000000-0005-0000-0000-00007F220000}"/>
    <cellStyle name="Normal 4 3 3 3 2 2 2 2 2 3 2 2" xfId="46131" xr:uid="{00000000-0005-0000-0000-000080220000}"/>
    <cellStyle name="Normal 4 3 3 3 2 2 2 2 2 3 3" xfId="33843" xr:uid="{00000000-0005-0000-0000-000081220000}"/>
    <cellStyle name="Normal 4 3 3 3 2 2 2 2 2 4" xfId="15411" xr:uid="{00000000-0005-0000-0000-000082220000}"/>
    <cellStyle name="Normal 4 3 3 3 2 2 2 2 2 4 2" xfId="39987" xr:uid="{00000000-0005-0000-0000-000083220000}"/>
    <cellStyle name="Normal 4 3 3 3 2 2 2 2 2 5" xfId="27699" xr:uid="{00000000-0005-0000-0000-000084220000}"/>
    <cellStyle name="Normal 4 3 3 3 2 2 2 2 3" xfId="4659" xr:uid="{00000000-0005-0000-0000-000085220000}"/>
    <cellStyle name="Normal 4 3 3 3 2 2 2 2 3 2" xfId="10803" xr:uid="{00000000-0005-0000-0000-000086220000}"/>
    <cellStyle name="Normal 4 3 3 3 2 2 2 2 3 2 2" xfId="23091" xr:uid="{00000000-0005-0000-0000-000087220000}"/>
    <cellStyle name="Normal 4 3 3 3 2 2 2 2 3 2 2 2" xfId="47667" xr:uid="{00000000-0005-0000-0000-000088220000}"/>
    <cellStyle name="Normal 4 3 3 3 2 2 2 2 3 2 3" xfId="35379" xr:uid="{00000000-0005-0000-0000-000089220000}"/>
    <cellStyle name="Normal 4 3 3 3 2 2 2 2 3 3" xfId="16947" xr:uid="{00000000-0005-0000-0000-00008A220000}"/>
    <cellStyle name="Normal 4 3 3 3 2 2 2 2 3 3 2" xfId="41523" xr:uid="{00000000-0005-0000-0000-00008B220000}"/>
    <cellStyle name="Normal 4 3 3 3 2 2 2 2 3 4" xfId="29235" xr:uid="{00000000-0005-0000-0000-00008C220000}"/>
    <cellStyle name="Normal 4 3 3 3 2 2 2 2 4" xfId="7731" xr:uid="{00000000-0005-0000-0000-00008D220000}"/>
    <cellStyle name="Normal 4 3 3 3 2 2 2 2 4 2" xfId="20019" xr:uid="{00000000-0005-0000-0000-00008E220000}"/>
    <cellStyle name="Normal 4 3 3 3 2 2 2 2 4 2 2" xfId="44595" xr:uid="{00000000-0005-0000-0000-00008F220000}"/>
    <cellStyle name="Normal 4 3 3 3 2 2 2 2 4 3" xfId="32307" xr:uid="{00000000-0005-0000-0000-000090220000}"/>
    <cellStyle name="Normal 4 3 3 3 2 2 2 2 5" xfId="13875" xr:uid="{00000000-0005-0000-0000-000091220000}"/>
    <cellStyle name="Normal 4 3 3 3 2 2 2 2 5 2" xfId="38451" xr:uid="{00000000-0005-0000-0000-000092220000}"/>
    <cellStyle name="Normal 4 3 3 3 2 2 2 2 6" xfId="26163" xr:uid="{00000000-0005-0000-0000-000093220000}"/>
    <cellStyle name="Normal 4 3 3 3 2 2 2 3" xfId="2351" xr:uid="{00000000-0005-0000-0000-000094220000}"/>
    <cellStyle name="Normal 4 3 3 3 2 2 2 3 2" xfId="5427" xr:uid="{00000000-0005-0000-0000-000095220000}"/>
    <cellStyle name="Normal 4 3 3 3 2 2 2 3 2 2" xfId="11571" xr:uid="{00000000-0005-0000-0000-000096220000}"/>
    <cellStyle name="Normal 4 3 3 3 2 2 2 3 2 2 2" xfId="23859" xr:uid="{00000000-0005-0000-0000-000097220000}"/>
    <cellStyle name="Normal 4 3 3 3 2 2 2 3 2 2 2 2" xfId="48435" xr:uid="{00000000-0005-0000-0000-000098220000}"/>
    <cellStyle name="Normal 4 3 3 3 2 2 2 3 2 2 3" xfId="36147" xr:uid="{00000000-0005-0000-0000-000099220000}"/>
    <cellStyle name="Normal 4 3 3 3 2 2 2 3 2 3" xfId="17715" xr:uid="{00000000-0005-0000-0000-00009A220000}"/>
    <cellStyle name="Normal 4 3 3 3 2 2 2 3 2 3 2" xfId="42291" xr:uid="{00000000-0005-0000-0000-00009B220000}"/>
    <cellStyle name="Normal 4 3 3 3 2 2 2 3 2 4" xfId="30003" xr:uid="{00000000-0005-0000-0000-00009C220000}"/>
    <cellStyle name="Normal 4 3 3 3 2 2 2 3 3" xfId="8499" xr:uid="{00000000-0005-0000-0000-00009D220000}"/>
    <cellStyle name="Normal 4 3 3 3 2 2 2 3 3 2" xfId="20787" xr:uid="{00000000-0005-0000-0000-00009E220000}"/>
    <cellStyle name="Normal 4 3 3 3 2 2 2 3 3 2 2" xfId="45363" xr:uid="{00000000-0005-0000-0000-00009F220000}"/>
    <cellStyle name="Normal 4 3 3 3 2 2 2 3 3 3" xfId="33075" xr:uid="{00000000-0005-0000-0000-0000A0220000}"/>
    <cellStyle name="Normal 4 3 3 3 2 2 2 3 4" xfId="14643" xr:uid="{00000000-0005-0000-0000-0000A1220000}"/>
    <cellStyle name="Normal 4 3 3 3 2 2 2 3 4 2" xfId="39219" xr:uid="{00000000-0005-0000-0000-0000A2220000}"/>
    <cellStyle name="Normal 4 3 3 3 2 2 2 3 5" xfId="26931" xr:uid="{00000000-0005-0000-0000-0000A3220000}"/>
    <cellStyle name="Normal 4 3 3 3 2 2 2 4" xfId="3891" xr:uid="{00000000-0005-0000-0000-0000A4220000}"/>
    <cellStyle name="Normal 4 3 3 3 2 2 2 4 2" xfId="10035" xr:uid="{00000000-0005-0000-0000-0000A5220000}"/>
    <cellStyle name="Normal 4 3 3 3 2 2 2 4 2 2" xfId="22323" xr:uid="{00000000-0005-0000-0000-0000A6220000}"/>
    <cellStyle name="Normal 4 3 3 3 2 2 2 4 2 2 2" xfId="46899" xr:uid="{00000000-0005-0000-0000-0000A7220000}"/>
    <cellStyle name="Normal 4 3 3 3 2 2 2 4 2 3" xfId="34611" xr:uid="{00000000-0005-0000-0000-0000A8220000}"/>
    <cellStyle name="Normal 4 3 3 3 2 2 2 4 3" xfId="16179" xr:uid="{00000000-0005-0000-0000-0000A9220000}"/>
    <cellStyle name="Normal 4 3 3 3 2 2 2 4 3 2" xfId="40755" xr:uid="{00000000-0005-0000-0000-0000AA220000}"/>
    <cellStyle name="Normal 4 3 3 3 2 2 2 4 4" xfId="28467" xr:uid="{00000000-0005-0000-0000-0000AB220000}"/>
    <cellStyle name="Normal 4 3 3 3 2 2 2 5" xfId="6963" xr:uid="{00000000-0005-0000-0000-0000AC220000}"/>
    <cellStyle name="Normal 4 3 3 3 2 2 2 5 2" xfId="19251" xr:uid="{00000000-0005-0000-0000-0000AD220000}"/>
    <cellStyle name="Normal 4 3 3 3 2 2 2 5 2 2" xfId="43827" xr:uid="{00000000-0005-0000-0000-0000AE220000}"/>
    <cellStyle name="Normal 4 3 3 3 2 2 2 5 3" xfId="31539" xr:uid="{00000000-0005-0000-0000-0000AF220000}"/>
    <cellStyle name="Normal 4 3 3 3 2 2 2 6" xfId="13107" xr:uid="{00000000-0005-0000-0000-0000B0220000}"/>
    <cellStyle name="Normal 4 3 3 3 2 2 2 6 2" xfId="37683" xr:uid="{00000000-0005-0000-0000-0000B1220000}"/>
    <cellStyle name="Normal 4 3 3 3 2 2 2 7" xfId="25395" xr:uid="{00000000-0005-0000-0000-0000B2220000}"/>
    <cellStyle name="Normal 4 3 3 3 2 2 3" xfId="1199" xr:uid="{00000000-0005-0000-0000-0000B3220000}"/>
    <cellStyle name="Normal 4 3 3 3 2 2 3 2" xfId="2735" xr:uid="{00000000-0005-0000-0000-0000B4220000}"/>
    <cellStyle name="Normal 4 3 3 3 2 2 3 2 2" xfId="5811" xr:uid="{00000000-0005-0000-0000-0000B5220000}"/>
    <cellStyle name="Normal 4 3 3 3 2 2 3 2 2 2" xfId="11955" xr:uid="{00000000-0005-0000-0000-0000B6220000}"/>
    <cellStyle name="Normal 4 3 3 3 2 2 3 2 2 2 2" xfId="24243" xr:uid="{00000000-0005-0000-0000-0000B7220000}"/>
    <cellStyle name="Normal 4 3 3 3 2 2 3 2 2 2 2 2" xfId="48819" xr:uid="{00000000-0005-0000-0000-0000B8220000}"/>
    <cellStyle name="Normal 4 3 3 3 2 2 3 2 2 2 3" xfId="36531" xr:uid="{00000000-0005-0000-0000-0000B9220000}"/>
    <cellStyle name="Normal 4 3 3 3 2 2 3 2 2 3" xfId="18099" xr:uid="{00000000-0005-0000-0000-0000BA220000}"/>
    <cellStyle name="Normal 4 3 3 3 2 2 3 2 2 3 2" xfId="42675" xr:uid="{00000000-0005-0000-0000-0000BB220000}"/>
    <cellStyle name="Normal 4 3 3 3 2 2 3 2 2 4" xfId="30387" xr:uid="{00000000-0005-0000-0000-0000BC220000}"/>
    <cellStyle name="Normal 4 3 3 3 2 2 3 2 3" xfId="8883" xr:uid="{00000000-0005-0000-0000-0000BD220000}"/>
    <cellStyle name="Normal 4 3 3 3 2 2 3 2 3 2" xfId="21171" xr:uid="{00000000-0005-0000-0000-0000BE220000}"/>
    <cellStyle name="Normal 4 3 3 3 2 2 3 2 3 2 2" xfId="45747" xr:uid="{00000000-0005-0000-0000-0000BF220000}"/>
    <cellStyle name="Normal 4 3 3 3 2 2 3 2 3 3" xfId="33459" xr:uid="{00000000-0005-0000-0000-0000C0220000}"/>
    <cellStyle name="Normal 4 3 3 3 2 2 3 2 4" xfId="15027" xr:uid="{00000000-0005-0000-0000-0000C1220000}"/>
    <cellStyle name="Normal 4 3 3 3 2 2 3 2 4 2" xfId="39603" xr:uid="{00000000-0005-0000-0000-0000C2220000}"/>
    <cellStyle name="Normal 4 3 3 3 2 2 3 2 5" xfId="27315" xr:uid="{00000000-0005-0000-0000-0000C3220000}"/>
    <cellStyle name="Normal 4 3 3 3 2 2 3 3" xfId="4275" xr:uid="{00000000-0005-0000-0000-0000C4220000}"/>
    <cellStyle name="Normal 4 3 3 3 2 2 3 3 2" xfId="10419" xr:uid="{00000000-0005-0000-0000-0000C5220000}"/>
    <cellStyle name="Normal 4 3 3 3 2 2 3 3 2 2" xfId="22707" xr:uid="{00000000-0005-0000-0000-0000C6220000}"/>
    <cellStyle name="Normal 4 3 3 3 2 2 3 3 2 2 2" xfId="47283" xr:uid="{00000000-0005-0000-0000-0000C7220000}"/>
    <cellStyle name="Normal 4 3 3 3 2 2 3 3 2 3" xfId="34995" xr:uid="{00000000-0005-0000-0000-0000C8220000}"/>
    <cellStyle name="Normal 4 3 3 3 2 2 3 3 3" xfId="16563" xr:uid="{00000000-0005-0000-0000-0000C9220000}"/>
    <cellStyle name="Normal 4 3 3 3 2 2 3 3 3 2" xfId="41139" xr:uid="{00000000-0005-0000-0000-0000CA220000}"/>
    <cellStyle name="Normal 4 3 3 3 2 2 3 3 4" xfId="28851" xr:uid="{00000000-0005-0000-0000-0000CB220000}"/>
    <cellStyle name="Normal 4 3 3 3 2 2 3 4" xfId="7347" xr:uid="{00000000-0005-0000-0000-0000CC220000}"/>
    <cellStyle name="Normal 4 3 3 3 2 2 3 4 2" xfId="19635" xr:uid="{00000000-0005-0000-0000-0000CD220000}"/>
    <cellStyle name="Normal 4 3 3 3 2 2 3 4 2 2" xfId="44211" xr:uid="{00000000-0005-0000-0000-0000CE220000}"/>
    <cellStyle name="Normal 4 3 3 3 2 2 3 4 3" xfId="31923" xr:uid="{00000000-0005-0000-0000-0000CF220000}"/>
    <cellStyle name="Normal 4 3 3 3 2 2 3 5" xfId="13491" xr:uid="{00000000-0005-0000-0000-0000D0220000}"/>
    <cellStyle name="Normal 4 3 3 3 2 2 3 5 2" xfId="38067" xr:uid="{00000000-0005-0000-0000-0000D1220000}"/>
    <cellStyle name="Normal 4 3 3 3 2 2 3 6" xfId="25779" xr:uid="{00000000-0005-0000-0000-0000D2220000}"/>
    <cellStyle name="Normal 4 3 3 3 2 2 4" xfId="1967" xr:uid="{00000000-0005-0000-0000-0000D3220000}"/>
    <cellStyle name="Normal 4 3 3 3 2 2 4 2" xfId="5043" xr:uid="{00000000-0005-0000-0000-0000D4220000}"/>
    <cellStyle name="Normal 4 3 3 3 2 2 4 2 2" xfId="11187" xr:uid="{00000000-0005-0000-0000-0000D5220000}"/>
    <cellStyle name="Normal 4 3 3 3 2 2 4 2 2 2" xfId="23475" xr:uid="{00000000-0005-0000-0000-0000D6220000}"/>
    <cellStyle name="Normal 4 3 3 3 2 2 4 2 2 2 2" xfId="48051" xr:uid="{00000000-0005-0000-0000-0000D7220000}"/>
    <cellStyle name="Normal 4 3 3 3 2 2 4 2 2 3" xfId="35763" xr:uid="{00000000-0005-0000-0000-0000D8220000}"/>
    <cellStyle name="Normal 4 3 3 3 2 2 4 2 3" xfId="17331" xr:uid="{00000000-0005-0000-0000-0000D9220000}"/>
    <cellStyle name="Normal 4 3 3 3 2 2 4 2 3 2" xfId="41907" xr:uid="{00000000-0005-0000-0000-0000DA220000}"/>
    <cellStyle name="Normal 4 3 3 3 2 2 4 2 4" xfId="29619" xr:uid="{00000000-0005-0000-0000-0000DB220000}"/>
    <cellStyle name="Normal 4 3 3 3 2 2 4 3" xfId="8115" xr:uid="{00000000-0005-0000-0000-0000DC220000}"/>
    <cellStyle name="Normal 4 3 3 3 2 2 4 3 2" xfId="20403" xr:uid="{00000000-0005-0000-0000-0000DD220000}"/>
    <cellStyle name="Normal 4 3 3 3 2 2 4 3 2 2" xfId="44979" xr:uid="{00000000-0005-0000-0000-0000DE220000}"/>
    <cellStyle name="Normal 4 3 3 3 2 2 4 3 3" xfId="32691" xr:uid="{00000000-0005-0000-0000-0000DF220000}"/>
    <cellStyle name="Normal 4 3 3 3 2 2 4 4" xfId="14259" xr:uid="{00000000-0005-0000-0000-0000E0220000}"/>
    <cellStyle name="Normal 4 3 3 3 2 2 4 4 2" xfId="38835" xr:uid="{00000000-0005-0000-0000-0000E1220000}"/>
    <cellStyle name="Normal 4 3 3 3 2 2 4 5" xfId="26547" xr:uid="{00000000-0005-0000-0000-0000E2220000}"/>
    <cellStyle name="Normal 4 3 3 3 2 2 5" xfId="3507" xr:uid="{00000000-0005-0000-0000-0000E3220000}"/>
    <cellStyle name="Normal 4 3 3 3 2 2 5 2" xfId="9651" xr:uid="{00000000-0005-0000-0000-0000E4220000}"/>
    <cellStyle name="Normal 4 3 3 3 2 2 5 2 2" xfId="21939" xr:uid="{00000000-0005-0000-0000-0000E5220000}"/>
    <cellStyle name="Normal 4 3 3 3 2 2 5 2 2 2" xfId="46515" xr:uid="{00000000-0005-0000-0000-0000E6220000}"/>
    <cellStyle name="Normal 4 3 3 3 2 2 5 2 3" xfId="34227" xr:uid="{00000000-0005-0000-0000-0000E7220000}"/>
    <cellStyle name="Normal 4 3 3 3 2 2 5 3" xfId="15795" xr:uid="{00000000-0005-0000-0000-0000E8220000}"/>
    <cellStyle name="Normal 4 3 3 3 2 2 5 3 2" xfId="40371" xr:uid="{00000000-0005-0000-0000-0000E9220000}"/>
    <cellStyle name="Normal 4 3 3 3 2 2 5 4" xfId="28083" xr:uid="{00000000-0005-0000-0000-0000EA220000}"/>
    <cellStyle name="Normal 4 3 3 3 2 2 6" xfId="6579" xr:uid="{00000000-0005-0000-0000-0000EB220000}"/>
    <cellStyle name="Normal 4 3 3 3 2 2 6 2" xfId="18867" xr:uid="{00000000-0005-0000-0000-0000EC220000}"/>
    <cellStyle name="Normal 4 3 3 3 2 2 6 2 2" xfId="43443" xr:uid="{00000000-0005-0000-0000-0000ED220000}"/>
    <cellStyle name="Normal 4 3 3 3 2 2 6 3" xfId="31155" xr:uid="{00000000-0005-0000-0000-0000EE220000}"/>
    <cellStyle name="Normal 4 3 3 3 2 2 7" xfId="12723" xr:uid="{00000000-0005-0000-0000-0000EF220000}"/>
    <cellStyle name="Normal 4 3 3 3 2 2 7 2" xfId="37299" xr:uid="{00000000-0005-0000-0000-0000F0220000}"/>
    <cellStyle name="Normal 4 3 3 3 2 2 8" xfId="25011" xr:uid="{00000000-0005-0000-0000-0000F1220000}"/>
    <cellStyle name="Normal 4 3 3 3 2 3" xfId="623" xr:uid="{00000000-0005-0000-0000-0000F2220000}"/>
    <cellStyle name="Normal 4 3 3 3 2 3 2" xfId="1391" xr:uid="{00000000-0005-0000-0000-0000F3220000}"/>
    <cellStyle name="Normal 4 3 3 3 2 3 2 2" xfId="2927" xr:uid="{00000000-0005-0000-0000-0000F4220000}"/>
    <cellStyle name="Normal 4 3 3 3 2 3 2 2 2" xfId="6003" xr:uid="{00000000-0005-0000-0000-0000F5220000}"/>
    <cellStyle name="Normal 4 3 3 3 2 3 2 2 2 2" xfId="12147" xr:uid="{00000000-0005-0000-0000-0000F6220000}"/>
    <cellStyle name="Normal 4 3 3 3 2 3 2 2 2 2 2" xfId="24435" xr:uid="{00000000-0005-0000-0000-0000F7220000}"/>
    <cellStyle name="Normal 4 3 3 3 2 3 2 2 2 2 2 2" xfId="49011" xr:uid="{00000000-0005-0000-0000-0000F8220000}"/>
    <cellStyle name="Normal 4 3 3 3 2 3 2 2 2 2 3" xfId="36723" xr:uid="{00000000-0005-0000-0000-0000F9220000}"/>
    <cellStyle name="Normal 4 3 3 3 2 3 2 2 2 3" xfId="18291" xr:uid="{00000000-0005-0000-0000-0000FA220000}"/>
    <cellStyle name="Normal 4 3 3 3 2 3 2 2 2 3 2" xfId="42867" xr:uid="{00000000-0005-0000-0000-0000FB220000}"/>
    <cellStyle name="Normal 4 3 3 3 2 3 2 2 2 4" xfId="30579" xr:uid="{00000000-0005-0000-0000-0000FC220000}"/>
    <cellStyle name="Normal 4 3 3 3 2 3 2 2 3" xfId="9075" xr:uid="{00000000-0005-0000-0000-0000FD220000}"/>
    <cellStyle name="Normal 4 3 3 3 2 3 2 2 3 2" xfId="21363" xr:uid="{00000000-0005-0000-0000-0000FE220000}"/>
    <cellStyle name="Normal 4 3 3 3 2 3 2 2 3 2 2" xfId="45939" xr:uid="{00000000-0005-0000-0000-0000FF220000}"/>
    <cellStyle name="Normal 4 3 3 3 2 3 2 2 3 3" xfId="33651" xr:uid="{00000000-0005-0000-0000-000000230000}"/>
    <cellStyle name="Normal 4 3 3 3 2 3 2 2 4" xfId="15219" xr:uid="{00000000-0005-0000-0000-000001230000}"/>
    <cellStyle name="Normal 4 3 3 3 2 3 2 2 4 2" xfId="39795" xr:uid="{00000000-0005-0000-0000-000002230000}"/>
    <cellStyle name="Normal 4 3 3 3 2 3 2 2 5" xfId="27507" xr:uid="{00000000-0005-0000-0000-000003230000}"/>
    <cellStyle name="Normal 4 3 3 3 2 3 2 3" xfId="4467" xr:uid="{00000000-0005-0000-0000-000004230000}"/>
    <cellStyle name="Normal 4 3 3 3 2 3 2 3 2" xfId="10611" xr:uid="{00000000-0005-0000-0000-000005230000}"/>
    <cellStyle name="Normal 4 3 3 3 2 3 2 3 2 2" xfId="22899" xr:uid="{00000000-0005-0000-0000-000006230000}"/>
    <cellStyle name="Normal 4 3 3 3 2 3 2 3 2 2 2" xfId="47475" xr:uid="{00000000-0005-0000-0000-000007230000}"/>
    <cellStyle name="Normal 4 3 3 3 2 3 2 3 2 3" xfId="35187" xr:uid="{00000000-0005-0000-0000-000008230000}"/>
    <cellStyle name="Normal 4 3 3 3 2 3 2 3 3" xfId="16755" xr:uid="{00000000-0005-0000-0000-000009230000}"/>
    <cellStyle name="Normal 4 3 3 3 2 3 2 3 3 2" xfId="41331" xr:uid="{00000000-0005-0000-0000-00000A230000}"/>
    <cellStyle name="Normal 4 3 3 3 2 3 2 3 4" xfId="29043" xr:uid="{00000000-0005-0000-0000-00000B230000}"/>
    <cellStyle name="Normal 4 3 3 3 2 3 2 4" xfId="7539" xr:uid="{00000000-0005-0000-0000-00000C230000}"/>
    <cellStyle name="Normal 4 3 3 3 2 3 2 4 2" xfId="19827" xr:uid="{00000000-0005-0000-0000-00000D230000}"/>
    <cellStyle name="Normal 4 3 3 3 2 3 2 4 2 2" xfId="44403" xr:uid="{00000000-0005-0000-0000-00000E230000}"/>
    <cellStyle name="Normal 4 3 3 3 2 3 2 4 3" xfId="32115" xr:uid="{00000000-0005-0000-0000-00000F230000}"/>
    <cellStyle name="Normal 4 3 3 3 2 3 2 5" xfId="13683" xr:uid="{00000000-0005-0000-0000-000010230000}"/>
    <cellStyle name="Normal 4 3 3 3 2 3 2 5 2" xfId="38259" xr:uid="{00000000-0005-0000-0000-000011230000}"/>
    <cellStyle name="Normal 4 3 3 3 2 3 2 6" xfId="25971" xr:uid="{00000000-0005-0000-0000-000012230000}"/>
    <cellStyle name="Normal 4 3 3 3 2 3 3" xfId="2159" xr:uid="{00000000-0005-0000-0000-000013230000}"/>
    <cellStyle name="Normal 4 3 3 3 2 3 3 2" xfId="5235" xr:uid="{00000000-0005-0000-0000-000014230000}"/>
    <cellStyle name="Normal 4 3 3 3 2 3 3 2 2" xfId="11379" xr:uid="{00000000-0005-0000-0000-000015230000}"/>
    <cellStyle name="Normal 4 3 3 3 2 3 3 2 2 2" xfId="23667" xr:uid="{00000000-0005-0000-0000-000016230000}"/>
    <cellStyle name="Normal 4 3 3 3 2 3 3 2 2 2 2" xfId="48243" xr:uid="{00000000-0005-0000-0000-000017230000}"/>
    <cellStyle name="Normal 4 3 3 3 2 3 3 2 2 3" xfId="35955" xr:uid="{00000000-0005-0000-0000-000018230000}"/>
    <cellStyle name="Normal 4 3 3 3 2 3 3 2 3" xfId="17523" xr:uid="{00000000-0005-0000-0000-000019230000}"/>
    <cellStyle name="Normal 4 3 3 3 2 3 3 2 3 2" xfId="42099" xr:uid="{00000000-0005-0000-0000-00001A230000}"/>
    <cellStyle name="Normal 4 3 3 3 2 3 3 2 4" xfId="29811" xr:uid="{00000000-0005-0000-0000-00001B230000}"/>
    <cellStyle name="Normal 4 3 3 3 2 3 3 3" xfId="8307" xr:uid="{00000000-0005-0000-0000-00001C230000}"/>
    <cellStyle name="Normal 4 3 3 3 2 3 3 3 2" xfId="20595" xr:uid="{00000000-0005-0000-0000-00001D230000}"/>
    <cellStyle name="Normal 4 3 3 3 2 3 3 3 2 2" xfId="45171" xr:uid="{00000000-0005-0000-0000-00001E230000}"/>
    <cellStyle name="Normal 4 3 3 3 2 3 3 3 3" xfId="32883" xr:uid="{00000000-0005-0000-0000-00001F230000}"/>
    <cellStyle name="Normal 4 3 3 3 2 3 3 4" xfId="14451" xr:uid="{00000000-0005-0000-0000-000020230000}"/>
    <cellStyle name="Normal 4 3 3 3 2 3 3 4 2" xfId="39027" xr:uid="{00000000-0005-0000-0000-000021230000}"/>
    <cellStyle name="Normal 4 3 3 3 2 3 3 5" xfId="26739" xr:uid="{00000000-0005-0000-0000-000022230000}"/>
    <cellStyle name="Normal 4 3 3 3 2 3 4" xfId="3699" xr:uid="{00000000-0005-0000-0000-000023230000}"/>
    <cellStyle name="Normal 4 3 3 3 2 3 4 2" xfId="9843" xr:uid="{00000000-0005-0000-0000-000024230000}"/>
    <cellStyle name="Normal 4 3 3 3 2 3 4 2 2" xfId="22131" xr:uid="{00000000-0005-0000-0000-000025230000}"/>
    <cellStyle name="Normal 4 3 3 3 2 3 4 2 2 2" xfId="46707" xr:uid="{00000000-0005-0000-0000-000026230000}"/>
    <cellStyle name="Normal 4 3 3 3 2 3 4 2 3" xfId="34419" xr:uid="{00000000-0005-0000-0000-000027230000}"/>
    <cellStyle name="Normal 4 3 3 3 2 3 4 3" xfId="15987" xr:uid="{00000000-0005-0000-0000-000028230000}"/>
    <cellStyle name="Normal 4 3 3 3 2 3 4 3 2" xfId="40563" xr:uid="{00000000-0005-0000-0000-000029230000}"/>
    <cellStyle name="Normal 4 3 3 3 2 3 4 4" xfId="28275" xr:uid="{00000000-0005-0000-0000-00002A230000}"/>
    <cellStyle name="Normal 4 3 3 3 2 3 5" xfId="6771" xr:uid="{00000000-0005-0000-0000-00002B230000}"/>
    <cellStyle name="Normal 4 3 3 3 2 3 5 2" xfId="19059" xr:uid="{00000000-0005-0000-0000-00002C230000}"/>
    <cellStyle name="Normal 4 3 3 3 2 3 5 2 2" xfId="43635" xr:uid="{00000000-0005-0000-0000-00002D230000}"/>
    <cellStyle name="Normal 4 3 3 3 2 3 5 3" xfId="31347" xr:uid="{00000000-0005-0000-0000-00002E230000}"/>
    <cellStyle name="Normal 4 3 3 3 2 3 6" xfId="12915" xr:uid="{00000000-0005-0000-0000-00002F230000}"/>
    <cellStyle name="Normal 4 3 3 3 2 3 6 2" xfId="37491" xr:uid="{00000000-0005-0000-0000-000030230000}"/>
    <cellStyle name="Normal 4 3 3 3 2 3 7" xfId="25203" xr:uid="{00000000-0005-0000-0000-000031230000}"/>
    <cellStyle name="Normal 4 3 3 3 2 4" xfId="1007" xr:uid="{00000000-0005-0000-0000-000032230000}"/>
    <cellStyle name="Normal 4 3 3 3 2 4 2" xfId="2543" xr:uid="{00000000-0005-0000-0000-000033230000}"/>
    <cellStyle name="Normal 4 3 3 3 2 4 2 2" xfId="5619" xr:uid="{00000000-0005-0000-0000-000034230000}"/>
    <cellStyle name="Normal 4 3 3 3 2 4 2 2 2" xfId="11763" xr:uid="{00000000-0005-0000-0000-000035230000}"/>
    <cellStyle name="Normal 4 3 3 3 2 4 2 2 2 2" xfId="24051" xr:uid="{00000000-0005-0000-0000-000036230000}"/>
    <cellStyle name="Normal 4 3 3 3 2 4 2 2 2 2 2" xfId="48627" xr:uid="{00000000-0005-0000-0000-000037230000}"/>
    <cellStyle name="Normal 4 3 3 3 2 4 2 2 2 3" xfId="36339" xr:uid="{00000000-0005-0000-0000-000038230000}"/>
    <cellStyle name="Normal 4 3 3 3 2 4 2 2 3" xfId="17907" xr:uid="{00000000-0005-0000-0000-000039230000}"/>
    <cellStyle name="Normal 4 3 3 3 2 4 2 2 3 2" xfId="42483" xr:uid="{00000000-0005-0000-0000-00003A230000}"/>
    <cellStyle name="Normal 4 3 3 3 2 4 2 2 4" xfId="30195" xr:uid="{00000000-0005-0000-0000-00003B230000}"/>
    <cellStyle name="Normal 4 3 3 3 2 4 2 3" xfId="8691" xr:uid="{00000000-0005-0000-0000-00003C230000}"/>
    <cellStyle name="Normal 4 3 3 3 2 4 2 3 2" xfId="20979" xr:uid="{00000000-0005-0000-0000-00003D230000}"/>
    <cellStyle name="Normal 4 3 3 3 2 4 2 3 2 2" xfId="45555" xr:uid="{00000000-0005-0000-0000-00003E230000}"/>
    <cellStyle name="Normal 4 3 3 3 2 4 2 3 3" xfId="33267" xr:uid="{00000000-0005-0000-0000-00003F230000}"/>
    <cellStyle name="Normal 4 3 3 3 2 4 2 4" xfId="14835" xr:uid="{00000000-0005-0000-0000-000040230000}"/>
    <cellStyle name="Normal 4 3 3 3 2 4 2 4 2" xfId="39411" xr:uid="{00000000-0005-0000-0000-000041230000}"/>
    <cellStyle name="Normal 4 3 3 3 2 4 2 5" xfId="27123" xr:uid="{00000000-0005-0000-0000-000042230000}"/>
    <cellStyle name="Normal 4 3 3 3 2 4 3" xfId="4083" xr:uid="{00000000-0005-0000-0000-000043230000}"/>
    <cellStyle name="Normal 4 3 3 3 2 4 3 2" xfId="10227" xr:uid="{00000000-0005-0000-0000-000044230000}"/>
    <cellStyle name="Normal 4 3 3 3 2 4 3 2 2" xfId="22515" xr:uid="{00000000-0005-0000-0000-000045230000}"/>
    <cellStyle name="Normal 4 3 3 3 2 4 3 2 2 2" xfId="47091" xr:uid="{00000000-0005-0000-0000-000046230000}"/>
    <cellStyle name="Normal 4 3 3 3 2 4 3 2 3" xfId="34803" xr:uid="{00000000-0005-0000-0000-000047230000}"/>
    <cellStyle name="Normal 4 3 3 3 2 4 3 3" xfId="16371" xr:uid="{00000000-0005-0000-0000-000048230000}"/>
    <cellStyle name="Normal 4 3 3 3 2 4 3 3 2" xfId="40947" xr:uid="{00000000-0005-0000-0000-000049230000}"/>
    <cellStyle name="Normal 4 3 3 3 2 4 3 4" xfId="28659" xr:uid="{00000000-0005-0000-0000-00004A230000}"/>
    <cellStyle name="Normal 4 3 3 3 2 4 4" xfId="7155" xr:uid="{00000000-0005-0000-0000-00004B230000}"/>
    <cellStyle name="Normal 4 3 3 3 2 4 4 2" xfId="19443" xr:uid="{00000000-0005-0000-0000-00004C230000}"/>
    <cellStyle name="Normal 4 3 3 3 2 4 4 2 2" xfId="44019" xr:uid="{00000000-0005-0000-0000-00004D230000}"/>
    <cellStyle name="Normal 4 3 3 3 2 4 4 3" xfId="31731" xr:uid="{00000000-0005-0000-0000-00004E230000}"/>
    <cellStyle name="Normal 4 3 3 3 2 4 5" xfId="13299" xr:uid="{00000000-0005-0000-0000-00004F230000}"/>
    <cellStyle name="Normal 4 3 3 3 2 4 5 2" xfId="37875" xr:uid="{00000000-0005-0000-0000-000050230000}"/>
    <cellStyle name="Normal 4 3 3 3 2 4 6" xfId="25587" xr:uid="{00000000-0005-0000-0000-000051230000}"/>
    <cellStyle name="Normal 4 3 3 3 2 5" xfId="1775" xr:uid="{00000000-0005-0000-0000-000052230000}"/>
    <cellStyle name="Normal 4 3 3 3 2 5 2" xfId="4851" xr:uid="{00000000-0005-0000-0000-000053230000}"/>
    <cellStyle name="Normal 4 3 3 3 2 5 2 2" xfId="10995" xr:uid="{00000000-0005-0000-0000-000054230000}"/>
    <cellStyle name="Normal 4 3 3 3 2 5 2 2 2" xfId="23283" xr:uid="{00000000-0005-0000-0000-000055230000}"/>
    <cellStyle name="Normal 4 3 3 3 2 5 2 2 2 2" xfId="47859" xr:uid="{00000000-0005-0000-0000-000056230000}"/>
    <cellStyle name="Normal 4 3 3 3 2 5 2 2 3" xfId="35571" xr:uid="{00000000-0005-0000-0000-000057230000}"/>
    <cellStyle name="Normal 4 3 3 3 2 5 2 3" xfId="17139" xr:uid="{00000000-0005-0000-0000-000058230000}"/>
    <cellStyle name="Normal 4 3 3 3 2 5 2 3 2" xfId="41715" xr:uid="{00000000-0005-0000-0000-000059230000}"/>
    <cellStyle name="Normal 4 3 3 3 2 5 2 4" xfId="29427" xr:uid="{00000000-0005-0000-0000-00005A230000}"/>
    <cellStyle name="Normal 4 3 3 3 2 5 3" xfId="7923" xr:uid="{00000000-0005-0000-0000-00005B230000}"/>
    <cellStyle name="Normal 4 3 3 3 2 5 3 2" xfId="20211" xr:uid="{00000000-0005-0000-0000-00005C230000}"/>
    <cellStyle name="Normal 4 3 3 3 2 5 3 2 2" xfId="44787" xr:uid="{00000000-0005-0000-0000-00005D230000}"/>
    <cellStyle name="Normal 4 3 3 3 2 5 3 3" xfId="32499" xr:uid="{00000000-0005-0000-0000-00005E230000}"/>
    <cellStyle name="Normal 4 3 3 3 2 5 4" xfId="14067" xr:uid="{00000000-0005-0000-0000-00005F230000}"/>
    <cellStyle name="Normal 4 3 3 3 2 5 4 2" xfId="38643" xr:uid="{00000000-0005-0000-0000-000060230000}"/>
    <cellStyle name="Normal 4 3 3 3 2 5 5" xfId="26355" xr:uid="{00000000-0005-0000-0000-000061230000}"/>
    <cellStyle name="Normal 4 3 3 3 2 6" xfId="3315" xr:uid="{00000000-0005-0000-0000-000062230000}"/>
    <cellStyle name="Normal 4 3 3 3 2 6 2" xfId="9459" xr:uid="{00000000-0005-0000-0000-000063230000}"/>
    <cellStyle name="Normal 4 3 3 3 2 6 2 2" xfId="21747" xr:uid="{00000000-0005-0000-0000-000064230000}"/>
    <cellStyle name="Normal 4 3 3 3 2 6 2 2 2" xfId="46323" xr:uid="{00000000-0005-0000-0000-000065230000}"/>
    <cellStyle name="Normal 4 3 3 3 2 6 2 3" xfId="34035" xr:uid="{00000000-0005-0000-0000-000066230000}"/>
    <cellStyle name="Normal 4 3 3 3 2 6 3" xfId="15603" xr:uid="{00000000-0005-0000-0000-000067230000}"/>
    <cellStyle name="Normal 4 3 3 3 2 6 3 2" xfId="40179" xr:uid="{00000000-0005-0000-0000-000068230000}"/>
    <cellStyle name="Normal 4 3 3 3 2 6 4" xfId="27891" xr:uid="{00000000-0005-0000-0000-000069230000}"/>
    <cellStyle name="Normal 4 3 3 3 2 7" xfId="6387" xr:uid="{00000000-0005-0000-0000-00006A230000}"/>
    <cellStyle name="Normal 4 3 3 3 2 7 2" xfId="18675" xr:uid="{00000000-0005-0000-0000-00006B230000}"/>
    <cellStyle name="Normal 4 3 3 3 2 7 2 2" xfId="43251" xr:uid="{00000000-0005-0000-0000-00006C230000}"/>
    <cellStyle name="Normal 4 3 3 3 2 7 3" xfId="30963" xr:uid="{00000000-0005-0000-0000-00006D230000}"/>
    <cellStyle name="Normal 4 3 3 3 2 8" xfId="12531" xr:uid="{00000000-0005-0000-0000-00006E230000}"/>
    <cellStyle name="Normal 4 3 3 3 2 8 2" xfId="37107" xr:uid="{00000000-0005-0000-0000-00006F230000}"/>
    <cellStyle name="Normal 4 3 3 3 2 9" xfId="24819" xr:uid="{00000000-0005-0000-0000-000070230000}"/>
    <cellStyle name="Normal 4 3 3 3 3" xfId="303" xr:uid="{00000000-0005-0000-0000-000071230000}"/>
    <cellStyle name="Normal 4 3 3 3 3 2" xfId="495" xr:uid="{00000000-0005-0000-0000-000072230000}"/>
    <cellStyle name="Normal 4 3 3 3 3 2 2" xfId="879" xr:uid="{00000000-0005-0000-0000-000073230000}"/>
    <cellStyle name="Normal 4 3 3 3 3 2 2 2" xfId="1647" xr:uid="{00000000-0005-0000-0000-000074230000}"/>
    <cellStyle name="Normal 4 3 3 3 3 2 2 2 2" xfId="3183" xr:uid="{00000000-0005-0000-0000-000075230000}"/>
    <cellStyle name="Normal 4 3 3 3 3 2 2 2 2 2" xfId="6259" xr:uid="{00000000-0005-0000-0000-000076230000}"/>
    <cellStyle name="Normal 4 3 3 3 3 2 2 2 2 2 2" xfId="12403" xr:uid="{00000000-0005-0000-0000-000077230000}"/>
    <cellStyle name="Normal 4 3 3 3 3 2 2 2 2 2 2 2" xfId="24691" xr:uid="{00000000-0005-0000-0000-000078230000}"/>
    <cellStyle name="Normal 4 3 3 3 3 2 2 2 2 2 2 2 2" xfId="49267" xr:uid="{00000000-0005-0000-0000-000079230000}"/>
    <cellStyle name="Normal 4 3 3 3 3 2 2 2 2 2 2 3" xfId="36979" xr:uid="{00000000-0005-0000-0000-00007A230000}"/>
    <cellStyle name="Normal 4 3 3 3 3 2 2 2 2 2 3" xfId="18547" xr:uid="{00000000-0005-0000-0000-00007B230000}"/>
    <cellStyle name="Normal 4 3 3 3 3 2 2 2 2 2 3 2" xfId="43123" xr:uid="{00000000-0005-0000-0000-00007C230000}"/>
    <cellStyle name="Normal 4 3 3 3 3 2 2 2 2 2 4" xfId="30835" xr:uid="{00000000-0005-0000-0000-00007D230000}"/>
    <cellStyle name="Normal 4 3 3 3 3 2 2 2 2 3" xfId="9331" xr:uid="{00000000-0005-0000-0000-00007E230000}"/>
    <cellStyle name="Normal 4 3 3 3 3 2 2 2 2 3 2" xfId="21619" xr:uid="{00000000-0005-0000-0000-00007F230000}"/>
    <cellStyle name="Normal 4 3 3 3 3 2 2 2 2 3 2 2" xfId="46195" xr:uid="{00000000-0005-0000-0000-000080230000}"/>
    <cellStyle name="Normal 4 3 3 3 3 2 2 2 2 3 3" xfId="33907" xr:uid="{00000000-0005-0000-0000-000081230000}"/>
    <cellStyle name="Normal 4 3 3 3 3 2 2 2 2 4" xfId="15475" xr:uid="{00000000-0005-0000-0000-000082230000}"/>
    <cellStyle name="Normal 4 3 3 3 3 2 2 2 2 4 2" xfId="40051" xr:uid="{00000000-0005-0000-0000-000083230000}"/>
    <cellStyle name="Normal 4 3 3 3 3 2 2 2 2 5" xfId="27763" xr:uid="{00000000-0005-0000-0000-000084230000}"/>
    <cellStyle name="Normal 4 3 3 3 3 2 2 2 3" xfId="4723" xr:uid="{00000000-0005-0000-0000-000085230000}"/>
    <cellStyle name="Normal 4 3 3 3 3 2 2 2 3 2" xfId="10867" xr:uid="{00000000-0005-0000-0000-000086230000}"/>
    <cellStyle name="Normal 4 3 3 3 3 2 2 2 3 2 2" xfId="23155" xr:uid="{00000000-0005-0000-0000-000087230000}"/>
    <cellStyle name="Normal 4 3 3 3 3 2 2 2 3 2 2 2" xfId="47731" xr:uid="{00000000-0005-0000-0000-000088230000}"/>
    <cellStyle name="Normal 4 3 3 3 3 2 2 2 3 2 3" xfId="35443" xr:uid="{00000000-0005-0000-0000-000089230000}"/>
    <cellStyle name="Normal 4 3 3 3 3 2 2 2 3 3" xfId="17011" xr:uid="{00000000-0005-0000-0000-00008A230000}"/>
    <cellStyle name="Normal 4 3 3 3 3 2 2 2 3 3 2" xfId="41587" xr:uid="{00000000-0005-0000-0000-00008B230000}"/>
    <cellStyle name="Normal 4 3 3 3 3 2 2 2 3 4" xfId="29299" xr:uid="{00000000-0005-0000-0000-00008C230000}"/>
    <cellStyle name="Normal 4 3 3 3 3 2 2 2 4" xfId="7795" xr:uid="{00000000-0005-0000-0000-00008D230000}"/>
    <cellStyle name="Normal 4 3 3 3 3 2 2 2 4 2" xfId="20083" xr:uid="{00000000-0005-0000-0000-00008E230000}"/>
    <cellStyle name="Normal 4 3 3 3 3 2 2 2 4 2 2" xfId="44659" xr:uid="{00000000-0005-0000-0000-00008F230000}"/>
    <cellStyle name="Normal 4 3 3 3 3 2 2 2 4 3" xfId="32371" xr:uid="{00000000-0005-0000-0000-000090230000}"/>
    <cellStyle name="Normal 4 3 3 3 3 2 2 2 5" xfId="13939" xr:uid="{00000000-0005-0000-0000-000091230000}"/>
    <cellStyle name="Normal 4 3 3 3 3 2 2 2 5 2" xfId="38515" xr:uid="{00000000-0005-0000-0000-000092230000}"/>
    <cellStyle name="Normal 4 3 3 3 3 2 2 2 6" xfId="26227" xr:uid="{00000000-0005-0000-0000-000093230000}"/>
    <cellStyle name="Normal 4 3 3 3 3 2 2 3" xfId="2415" xr:uid="{00000000-0005-0000-0000-000094230000}"/>
    <cellStyle name="Normal 4 3 3 3 3 2 2 3 2" xfId="5491" xr:uid="{00000000-0005-0000-0000-000095230000}"/>
    <cellStyle name="Normal 4 3 3 3 3 2 2 3 2 2" xfId="11635" xr:uid="{00000000-0005-0000-0000-000096230000}"/>
    <cellStyle name="Normal 4 3 3 3 3 2 2 3 2 2 2" xfId="23923" xr:uid="{00000000-0005-0000-0000-000097230000}"/>
    <cellStyle name="Normal 4 3 3 3 3 2 2 3 2 2 2 2" xfId="48499" xr:uid="{00000000-0005-0000-0000-000098230000}"/>
    <cellStyle name="Normal 4 3 3 3 3 2 2 3 2 2 3" xfId="36211" xr:uid="{00000000-0005-0000-0000-000099230000}"/>
    <cellStyle name="Normal 4 3 3 3 3 2 2 3 2 3" xfId="17779" xr:uid="{00000000-0005-0000-0000-00009A230000}"/>
    <cellStyle name="Normal 4 3 3 3 3 2 2 3 2 3 2" xfId="42355" xr:uid="{00000000-0005-0000-0000-00009B230000}"/>
    <cellStyle name="Normal 4 3 3 3 3 2 2 3 2 4" xfId="30067" xr:uid="{00000000-0005-0000-0000-00009C230000}"/>
    <cellStyle name="Normal 4 3 3 3 3 2 2 3 3" xfId="8563" xr:uid="{00000000-0005-0000-0000-00009D230000}"/>
    <cellStyle name="Normal 4 3 3 3 3 2 2 3 3 2" xfId="20851" xr:uid="{00000000-0005-0000-0000-00009E230000}"/>
    <cellStyle name="Normal 4 3 3 3 3 2 2 3 3 2 2" xfId="45427" xr:uid="{00000000-0005-0000-0000-00009F230000}"/>
    <cellStyle name="Normal 4 3 3 3 3 2 2 3 3 3" xfId="33139" xr:uid="{00000000-0005-0000-0000-0000A0230000}"/>
    <cellStyle name="Normal 4 3 3 3 3 2 2 3 4" xfId="14707" xr:uid="{00000000-0005-0000-0000-0000A1230000}"/>
    <cellStyle name="Normal 4 3 3 3 3 2 2 3 4 2" xfId="39283" xr:uid="{00000000-0005-0000-0000-0000A2230000}"/>
    <cellStyle name="Normal 4 3 3 3 3 2 2 3 5" xfId="26995" xr:uid="{00000000-0005-0000-0000-0000A3230000}"/>
    <cellStyle name="Normal 4 3 3 3 3 2 2 4" xfId="3955" xr:uid="{00000000-0005-0000-0000-0000A4230000}"/>
    <cellStyle name="Normal 4 3 3 3 3 2 2 4 2" xfId="10099" xr:uid="{00000000-0005-0000-0000-0000A5230000}"/>
    <cellStyle name="Normal 4 3 3 3 3 2 2 4 2 2" xfId="22387" xr:uid="{00000000-0005-0000-0000-0000A6230000}"/>
    <cellStyle name="Normal 4 3 3 3 3 2 2 4 2 2 2" xfId="46963" xr:uid="{00000000-0005-0000-0000-0000A7230000}"/>
    <cellStyle name="Normal 4 3 3 3 3 2 2 4 2 3" xfId="34675" xr:uid="{00000000-0005-0000-0000-0000A8230000}"/>
    <cellStyle name="Normal 4 3 3 3 3 2 2 4 3" xfId="16243" xr:uid="{00000000-0005-0000-0000-0000A9230000}"/>
    <cellStyle name="Normal 4 3 3 3 3 2 2 4 3 2" xfId="40819" xr:uid="{00000000-0005-0000-0000-0000AA230000}"/>
    <cellStyle name="Normal 4 3 3 3 3 2 2 4 4" xfId="28531" xr:uid="{00000000-0005-0000-0000-0000AB230000}"/>
    <cellStyle name="Normal 4 3 3 3 3 2 2 5" xfId="7027" xr:uid="{00000000-0005-0000-0000-0000AC230000}"/>
    <cellStyle name="Normal 4 3 3 3 3 2 2 5 2" xfId="19315" xr:uid="{00000000-0005-0000-0000-0000AD230000}"/>
    <cellStyle name="Normal 4 3 3 3 3 2 2 5 2 2" xfId="43891" xr:uid="{00000000-0005-0000-0000-0000AE230000}"/>
    <cellStyle name="Normal 4 3 3 3 3 2 2 5 3" xfId="31603" xr:uid="{00000000-0005-0000-0000-0000AF230000}"/>
    <cellStyle name="Normal 4 3 3 3 3 2 2 6" xfId="13171" xr:uid="{00000000-0005-0000-0000-0000B0230000}"/>
    <cellStyle name="Normal 4 3 3 3 3 2 2 6 2" xfId="37747" xr:uid="{00000000-0005-0000-0000-0000B1230000}"/>
    <cellStyle name="Normal 4 3 3 3 3 2 2 7" xfId="25459" xr:uid="{00000000-0005-0000-0000-0000B2230000}"/>
    <cellStyle name="Normal 4 3 3 3 3 2 3" xfId="1263" xr:uid="{00000000-0005-0000-0000-0000B3230000}"/>
    <cellStyle name="Normal 4 3 3 3 3 2 3 2" xfId="2799" xr:uid="{00000000-0005-0000-0000-0000B4230000}"/>
    <cellStyle name="Normal 4 3 3 3 3 2 3 2 2" xfId="5875" xr:uid="{00000000-0005-0000-0000-0000B5230000}"/>
    <cellStyle name="Normal 4 3 3 3 3 2 3 2 2 2" xfId="12019" xr:uid="{00000000-0005-0000-0000-0000B6230000}"/>
    <cellStyle name="Normal 4 3 3 3 3 2 3 2 2 2 2" xfId="24307" xr:uid="{00000000-0005-0000-0000-0000B7230000}"/>
    <cellStyle name="Normal 4 3 3 3 3 2 3 2 2 2 2 2" xfId="48883" xr:uid="{00000000-0005-0000-0000-0000B8230000}"/>
    <cellStyle name="Normal 4 3 3 3 3 2 3 2 2 2 3" xfId="36595" xr:uid="{00000000-0005-0000-0000-0000B9230000}"/>
    <cellStyle name="Normal 4 3 3 3 3 2 3 2 2 3" xfId="18163" xr:uid="{00000000-0005-0000-0000-0000BA230000}"/>
    <cellStyle name="Normal 4 3 3 3 3 2 3 2 2 3 2" xfId="42739" xr:uid="{00000000-0005-0000-0000-0000BB230000}"/>
    <cellStyle name="Normal 4 3 3 3 3 2 3 2 2 4" xfId="30451" xr:uid="{00000000-0005-0000-0000-0000BC230000}"/>
    <cellStyle name="Normal 4 3 3 3 3 2 3 2 3" xfId="8947" xr:uid="{00000000-0005-0000-0000-0000BD230000}"/>
    <cellStyle name="Normal 4 3 3 3 3 2 3 2 3 2" xfId="21235" xr:uid="{00000000-0005-0000-0000-0000BE230000}"/>
    <cellStyle name="Normal 4 3 3 3 3 2 3 2 3 2 2" xfId="45811" xr:uid="{00000000-0005-0000-0000-0000BF230000}"/>
    <cellStyle name="Normal 4 3 3 3 3 2 3 2 3 3" xfId="33523" xr:uid="{00000000-0005-0000-0000-0000C0230000}"/>
    <cellStyle name="Normal 4 3 3 3 3 2 3 2 4" xfId="15091" xr:uid="{00000000-0005-0000-0000-0000C1230000}"/>
    <cellStyle name="Normal 4 3 3 3 3 2 3 2 4 2" xfId="39667" xr:uid="{00000000-0005-0000-0000-0000C2230000}"/>
    <cellStyle name="Normal 4 3 3 3 3 2 3 2 5" xfId="27379" xr:uid="{00000000-0005-0000-0000-0000C3230000}"/>
    <cellStyle name="Normal 4 3 3 3 3 2 3 3" xfId="4339" xr:uid="{00000000-0005-0000-0000-0000C4230000}"/>
    <cellStyle name="Normal 4 3 3 3 3 2 3 3 2" xfId="10483" xr:uid="{00000000-0005-0000-0000-0000C5230000}"/>
    <cellStyle name="Normal 4 3 3 3 3 2 3 3 2 2" xfId="22771" xr:uid="{00000000-0005-0000-0000-0000C6230000}"/>
    <cellStyle name="Normal 4 3 3 3 3 2 3 3 2 2 2" xfId="47347" xr:uid="{00000000-0005-0000-0000-0000C7230000}"/>
    <cellStyle name="Normal 4 3 3 3 3 2 3 3 2 3" xfId="35059" xr:uid="{00000000-0005-0000-0000-0000C8230000}"/>
    <cellStyle name="Normal 4 3 3 3 3 2 3 3 3" xfId="16627" xr:uid="{00000000-0005-0000-0000-0000C9230000}"/>
    <cellStyle name="Normal 4 3 3 3 3 2 3 3 3 2" xfId="41203" xr:uid="{00000000-0005-0000-0000-0000CA230000}"/>
    <cellStyle name="Normal 4 3 3 3 3 2 3 3 4" xfId="28915" xr:uid="{00000000-0005-0000-0000-0000CB230000}"/>
    <cellStyle name="Normal 4 3 3 3 3 2 3 4" xfId="7411" xr:uid="{00000000-0005-0000-0000-0000CC230000}"/>
    <cellStyle name="Normal 4 3 3 3 3 2 3 4 2" xfId="19699" xr:uid="{00000000-0005-0000-0000-0000CD230000}"/>
    <cellStyle name="Normal 4 3 3 3 3 2 3 4 2 2" xfId="44275" xr:uid="{00000000-0005-0000-0000-0000CE230000}"/>
    <cellStyle name="Normal 4 3 3 3 3 2 3 4 3" xfId="31987" xr:uid="{00000000-0005-0000-0000-0000CF230000}"/>
    <cellStyle name="Normal 4 3 3 3 3 2 3 5" xfId="13555" xr:uid="{00000000-0005-0000-0000-0000D0230000}"/>
    <cellStyle name="Normal 4 3 3 3 3 2 3 5 2" xfId="38131" xr:uid="{00000000-0005-0000-0000-0000D1230000}"/>
    <cellStyle name="Normal 4 3 3 3 3 2 3 6" xfId="25843" xr:uid="{00000000-0005-0000-0000-0000D2230000}"/>
    <cellStyle name="Normal 4 3 3 3 3 2 4" xfId="2031" xr:uid="{00000000-0005-0000-0000-0000D3230000}"/>
    <cellStyle name="Normal 4 3 3 3 3 2 4 2" xfId="5107" xr:uid="{00000000-0005-0000-0000-0000D4230000}"/>
    <cellStyle name="Normal 4 3 3 3 3 2 4 2 2" xfId="11251" xr:uid="{00000000-0005-0000-0000-0000D5230000}"/>
    <cellStyle name="Normal 4 3 3 3 3 2 4 2 2 2" xfId="23539" xr:uid="{00000000-0005-0000-0000-0000D6230000}"/>
    <cellStyle name="Normal 4 3 3 3 3 2 4 2 2 2 2" xfId="48115" xr:uid="{00000000-0005-0000-0000-0000D7230000}"/>
    <cellStyle name="Normal 4 3 3 3 3 2 4 2 2 3" xfId="35827" xr:uid="{00000000-0005-0000-0000-0000D8230000}"/>
    <cellStyle name="Normal 4 3 3 3 3 2 4 2 3" xfId="17395" xr:uid="{00000000-0005-0000-0000-0000D9230000}"/>
    <cellStyle name="Normal 4 3 3 3 3 2 4 2 3 2" xfId="41971" xr:uid="{00000000-0005-0000-0000-0000DA230000}"/>
    <cellStyle name="Normal 4 3 3 3 3 2 4 2 4" xfId="29683" xr:uid="{00000000-0005-0000-0000-0000DB230000}"/>
    <cellStyle name="Normal 4 3 3 3 3 2 4 3" xfId="8179" xr:uid="{00000000-0005-0000-0000-0000DC230000}"/>
    <cellStyle name="Normal 4 3 3 3 3 2 4 3 2" xfId="20467" xr:uid="{00000000-0005-0000-0000-0000DD230000}"/>
    <cellStyle name="Normal 4 3 3 3 3 2 4 3 2 2" xfId="45043" xr:uid="{00000000-0005-0000-0000-0000DE230000}"/>
    <cellStyle name="Normal 4 3 3 3 3 2 4 3 3" xfId="32755" xr:uid="{00000000-0005-0000-0000-0000DF230000}"/>
    <cellStyle name="Normal 4 3 3 3 3 2 4 4" xfId="14323" xr:uid="{00000000-0005-0000-0000-0000E0230000}"/>
    <cellStyle name="Normal 4 3 3 3 3 2 4 4 2" xfId="38899" xr:uid="{00000000-0005-0000-0000-0000E1230000}"/>
    <cellStyle name="Normal 4 3 3 3 3 2 4 5" xfId="26611" xr:uid="{00000000-0005-0000-0000-0000E2230000}"/>
    <cellStyle name="Normal 4 3 3 3 3 2 5" xfId="3571" xr:uid="{00000000-0005-0000-0000-0000E3230000}"/>
    <cellStyle name="Normal 4 3 3 3 3 2 5 2" xfId="9715" xr:uid="{00000000-0005-0000-0000-0000E4230000}"/>
    <cellStyle name="Normal 4 3 3 3 3 2 5 2 2" xfId="22003" xr:uid="{00000000-0005-0000-0000-0000E5230000}"/>
    <cellStyle name="Normal 4 3 3 3 3 2 5 2 2 2" xfId="46579" xr:uid="{00000000-0005-0000-0000-0000E6230000}"/>
    <cellStyle name="Normal 4 3 3 3 3 2 5 2 3" xfId="34291" xr:uid="{00000000-0005-0000-0000-0000E7230000}"/>
    <cellStyle name="Normal 4 3 3 3 3 2 5 3" xfId="15859" xr:uid="{00000000-0005-0000-0000-0000E8230000}"/>
    <cellStyle name="Normal 4 3 3 3 3 2 5 3 2" xfId="40435" xr:uid="{00000000-0005-0000-0000-0000E9230000}"/>
    <cellStyle name="Normal 4 3 3 3 3 2 5 4" xfId="28147" xr:uid="{00000000-0005-0000-0000-0000EA230000}"/>
    <cellStyle name="Normal 4 3 3 3 3 2 6" xfId="6643" xr:uid="{00000000-0005-0000-0000-0000EB230000}"/>
    <cellStyle name="Normal 4 3 3 3 3 2 6 2" xfId="18931" xr:uid="{00000000-0005-0000-0000-0000EC230000}"/>
    <cellStyle name="Normal 4 3 3 3 3 2 6 2 2" xfId="43507" xr:uid="{00000000-0005-0000-0000-0000ED230000}"/>
    <cellStyle name="Normal 4 3 3 3 3 2 6 3" xfId="31219" xr:uid="{00000000-0005-0000-0000-0000EE230000}"/>
    <cellStyle name="Normal 4 3 3 3 3 2 7" xfId="12787" xr:uid="{00000000-0005-0000-0000-0000EF230000}"/>
    <cellStyle name="Normal 4 3 3 3 3 2 7 2" xfId="37363" xr:uid="{00000000-0005-0000-0000-0000F0230000}"/>
    <cellStyle name="Normal 4 3 3 3 3 2 8" xfId="25075" xr:uid="{00000000-0005-0000-0000-0000F1230000}"/>
    <cellStyle name="Normal 4 3 3 3 3 3" xfId="687" xr:uid="{00000000-0005-0000-0000-0000F2230000}"/>
    <cellStyle name="Normal 4 3 3 3 3 3 2" xfId="1455" xr:uid="{00000000-0005-0000-0000-0000F3230000}"/>
    <cellStyle name="Normal 4 3 3 3 3 3 2 2" xfId="2991" xr:uid="{00000000-0005-0000-0000-0000F4230000}"/>
    <cellStyle name="Normal 4 3 3 3 3 3 2 2 2" xfId="6067" xr:uid="{00000000-0005-0000-0000-0000F5230000}"/>
    <cellStyle name="Normal 4 3 3 3 3 3 2 2 2 2" xfId="12211" xr:uid="{00000000-0005-0000-0000-0000F6230000}"/>
    <cellStyle name="Normal 4 3 3 3 3 3 2 2 2 2 2" xfId="24499" xr:uid="{00000000-0005-0000-0000-0000F7230000}"/>
    <cellStyle name="Normal 4 3 3 3 3 3 2 2 2 2 2 2" xfId="49075" xr:uid="{00000000-0005-0000-0000-0000F8230000}"/>
    <cellStyle name="Normal 4 3 3 3 3 3 2 2 2 2 3" xfId="36787" xr:uid="{00000000-0005-0000-0000-0000F9230000}"/>
    <cellStyle name="Normal 4 3 3 3 3 3 2 2 2 3" xfId="18355" xr:uid="{00000000-0005-0000-0000-0000FA230000}"/>
    <cellStyle name="Normal 4 3 3 3 3 3 2 2 2 3 2" xfId="42931" xr:uid="{00000000-0005-0000-0000-0000FB230000}"/>
    <cellStyle name="Normal 4 3 3 3 3 3 2 2 2 4" xfId="30643" xr:uid="{00000000-0005-0000-0000-0000FC230000}"/>
    <cellStyle name="Normal 4 3 3 3 3 3 2 2 3" xfId="9139" xr:uid="{00000000-0005-0000-0000-0000FD230000}"/>
    <cellStyle name="Normal 4 3 3 3 3 3 2 2 3 2" xfId="21427" xr:uid="{00000000-0005-0000-0000-0000FE230000}"/>
    <cellStyle name="Normal 4 3 3 3 3 3 2 2 3 2 2" xfId="46003" xr:uid="{00000000-0005-0000-0000-0000FF230000}"/>
    <cellStyle name="Normal 4 3 3 3 3 3 2 2 3 3" xfId="33715" xr:uid="{00000000-0005-0000-0000-000000240000}"/>
    <cellStyle name="Normal 4 3 3 3 3 3 2 2 4" xfId="15283" xr:uid="{00000000-0005-0000-0000-000001240000}"/>
    <cellStyle name="Normal 4 3 3 3 3 3 2 2 4 2" xfId="39859" xr:uid="{00000000-0005-0000-0000-000002240000}"/>
    <cellStyle name="Normal 4 3 3 3 3 3 2 2 5" xfId="27571" xr:uid="{00000000-0005-0000-0000-000003240000}"/>
    <cellStyle name="Normal 4 3 3 3 3 3 2 3" xfId="4531" xr:uid="{00000000-0005-0000-0000-000004240000}"/>
    <cellStyle name="Normal 4 3 3 3 3 3 2 3 2" xfId="10675" xr:uid="{00000000-0005-0000-0000-000005240000}"/>
    <cellStyle name="Normal 4 3 3 3 3 3 2 3 2 2" xfId="22963" xr:uid="{00000000-0005-0000-0000-000006240000}"/>
    <cellStyle name="Normal 4 3 3 3 3 3 2 3 2 2 2" xfId="47539" xr:uid="{00000000-0005-0000-0000-000007240000}"/>
    <cellStyle name="Normal 4 3 3 3 3 3 2 3 2 3" xfId="35251" xr:uid="{00000000-0005-0000-0000-000008240000}"/>
    <cellStyle name="Normal 4 3 3 3 3 3 2 3 3" xfId="16819" xr:uid="{00000000-0005-0000-0000-000009240000}"/>
    <cellStyle name="Normal 4 3 3 3 3 3 2 3 3 2" xfId="41395" xr:uid="{00000000-0005-0000-0000-00000A240000}"/>
    <cellStyle name="Normal 4 3 3 3 3 3 2 3 4" xfId="29107" xr:uid="{00000000-0005-0000-0000-00000B240000}"/>
    <cellStyle name="Normal 4 3 3 3 3 3 2 4" xfId="7603" xr:uid="{00000000-0005-0000-0000-00000C240000}"/>
    <cellStyle name="Normal 4 3 3 3 3 3 2 4 2" xfId="19891" xr:uid="{00000000-0005-0000-0000-00000D240000}"/>
    <cellStyle name="Normal 4 3 3 3 3 3 2 4 2 2" xfId="44467" xr:uid="{00000000-0005-0000-0000-00000E240000}"/>
    <cellStyle name="Normal 4 3 3 3 3 3 2 4 3" xfId="32179" xr:uid="{00000000-0005-0000-0000-00000F240000}"/>
    <cellStyle name="Normal 4 3 3 3 3 3 2 5" xfId="13747" xr:uid="{00000000-0005-0000-0000-000010240000}"/>
    <cellStyle name="Normal 4 3 3 3 3 3 2 5 2" xfId="38323" xr:uid="{00000000-0005-0000-0000-000011240000}"/>
    <cellStyle name="Normal 4 3 3 3 3 3 2 6" xfId="26035" xr:uid="{00000000-0005-0000-0000-000012240000}"/>
    <cellStyle name="Normal 4 3 3 3 3 3 3" xfId="2223" xr:uid="{00000000-0005-0000-0000-000013240000}"/>
    <cellStyle name="Normal 4 3 3 3 3 3 3 2" xfId="5299" xr:uid="{00000000-0005-0000-0000-000014240000}"/>
    <cellStyle name="Normal 4 3 3 3 3 3 3 2 2" xfId="11443" xr:uid="{00000000-0005-0000-0000-000015240000}"/>
    <cellStyle name="Normal 4 3 3 3 3 3 3 2 2 2" xfId="23731" xr:uid="{00000000-0005-0000-0000-000016240000}"/>
    <cellStyle name="Normal 4 3 3 3 3 3 3 2 2 2 2" xfId="48307" xr:uid="{00000000-0005-0000-0000-000017240000}"/>
    <cellStyle name="Normal 4 3 3 3 3 3 3 2 2 3" xfId="36019" xr:uid="{00000000-0005-0000-0000-000018240000}"/>
    <cellStyle name="Normal 4 3 3 3 3 3 3 2 3" xfId="17587" xr:uid="{00000000-0005-0000-0000-000019240000}"/>
    <cellStyle name="Normal 4 3 3 3 3 3 3 2 3 2" xfId="42163" xr:uid="{00000000-0005-0000-0000-00001A240000}"/>
    <cellStyle name="Normal 4 3 3 3 3 3 3 2 4" xfId="29875" xr:uid="{00000000-0005-0000-0000-00001B240000}"/>
    <cellStyle name="Normal 4 3 3 3 3 3 3 3" xfId="8371" xr:uid="{00000000-0005-0000-0000-00001C240000}"/>
    <cellStyle name="Normal 4 3 3 3 3 3 3 3 2" xfId="20659" xr:uid="{00000000-0005-0000-0000-00001D240000}"/>
    <cellStyle name="Normal 4 3 3 3 3 3 3 3 2 2" xfId="45235" xr:uid="{00000000-0005-0000-0000-00001E240000}"/>
    <cellStyle name="Normal 4 3 3 3 3 3 3 3 3" xfId="32947" xr:uid="{00000000-0005-0000-0000-00001F240000}"/>
    <cellStyle name="Normal 4 3 3 3 3 3 3 4" xfId="14515" xr:uid="{00000000-0005-0000-0000-000020240000}"/>
    <cellStyle name="Normal 4 3 3 3 3 3 3 4 2" xfId="39091" xr:uid="{00000000-0005-0000-0000-000021240000}"/>
    <cellStyle name="Normal 4 3 3 3 3 3 3 5" xfId="26803" xr:uid="{00000000-0005-0000-0000-000022240000}"/>
    <cellStyle name="Normal 4 3 3 3 3 3 4" xfId="3763" xr:uid="{00000000-0005-0000-0000-000023240000}"/>
    <cellStyle name="Normal 4 3 3 3 3 3 4 2" xfId="9907" xr:uid="{00000000-0005-0000-0000-000024240000}"/>
    <cellStyle name="Normal 4 3 3 3 3 3 4 2 2" xfId="22195" xr:uid="{00000000-0005-0000-0000-000025240000}"/>
    <cellStyle name="Normal 4 3 3 3 3 3 4 2 2 2" xfId="46771" xr:uid="{00000000-0005-0000-0000-000026240000}"/>
    <cellStyle name="Normal 4 3 3 3 3 3 4 2 3" xfId="34483" xr:uid="{00000000-0005-0000-0000-000027240000}"/>
    <cellStyle name="Normal 4 3 3 3 3 3 4 3" xfId="16051" xr:uid="{00000000-0005-0000-0000-000028240000}"/>
    <cellStyle name="Normal 4 3 3 3 3 3 4 3 2" xfId="40627" xr:uid="{00000000-0005-0000-0000-000029240000}"/>
    <cellStyle name="Normal 4 3 3 3 3 3 4 4" xfId="28339" xr:uid="{00000000-0005-0000-0000-00002A240000}"/>
    <cellStyle name="Normal 4 3 3 3 3 3 5" xfId="6835" xr:uid="{00000000-0005-0000-0000-00002B240000}"/>
    <cellStyle name="Normal 4 3 3 3 3 3 5 2" xfId="19123" xr:uid="{00000000-0005-0000-0000-00002C240000}"/>
    <cellStyle name="Normal 4 3 3 3 3 3 5 2 2" xfId="43699" xr:uid="{00000000-0005-0000-0000-00002D240000}"/>
    <cellStyle name="Normal 4 3 3 3 3 3 5 3" xfId="31411" xr:uid="{00000000-0005-0000-0000-00002E240000}"/>
    <cellStyle name="Normal 4 3 3 3 3 3 6" xfId="12979" xr:uid="{00000000-0005-0000-0000-00002F240000}"/>
    <cellStyle name="Normal 4 3 3 3 3 3 6 2" xfId="37555" xr:uid="{00000000-0005-0000-0000-000030240000}"/>
    <cellStyle name="Normal 4 3 3 3 3 3 7" xfId="25267" xr:uid="{00000000-0005-0000-0000-000031240000}"/>
    <cellStyle name="Normal 4 3 3 3 3 4" xfId="1071" xr:uid="{00000000-0005-0000-0000-000032240000}"/>
    <cellStyle name="Normal 4 3 3 3 3 4 2" xfId="2607" xr:uid="{00000000-0005-0000-0000-000033240000}"/>
    <cellStyle name="Normal 4 3 3 3 3 4 2 2" xfId="5683" xr:uid="{00000000-0005-0000-0000-000034240000}"/>
    <cellStyle name="Normal 4 3 3 3 3 4 2 2 2" xfId="11827" xr:uid="{00000000-0005-0000-0000-000035240000}"/>
    <cellStyle name="Normal 4 3 3 3 3 4 2 2 2 2" xfId="24115" xr:uid="{00000000-0005-0000-0000-000036240000}"/>
    <cellStyle name="Normal 4 3 3 3 3 4 2 2 2 2 2" xfId="48691" xr:uid="{00000000-0005-0000-0000-000037240000}"/>
    <cellStyle name="Normal 4 3 3 3 3 4 2 2 2 3" xfId="36403" xr:uid="{00000000-0005-0000-0000-000038240000}"/>
    <cellStyle name="Normal 4 3 3 3 3 4 2 2 3" xfId="17971" xr:uid="{00000000-0005-0000-0000-000039240000}"/>
    <cellStyle name="Normal 4 3 3 3 3 4 2 2 3 2" xfId="42547" xr:uid="{00000000-0005-0000-0000-00003A240000}"/>
    <cellStyle name="Normal 4 3 3 3 3 4 2 2 4" xfId="30259" xr:uid="{00000000-0005-0000-0000-00003B240000}"/>
    <cellStyle name="Normal 4 3 3 3 3 4 2 3" xfId="8755" xr:uid="{00000000-0005-0000-0000-00003C240000}"/>
    <cellStyle name="Normal 4 3 3 3 3 4 2 3 2" xfId="21043" xr:uid="{00000000-0005-0000-0000-00003D240000}"/>
    <cellStyle name="Normal 4 3 3 3 3 4 2 3 2 2" xfId="45619" xr:uid="{00000000-0005-0000-0000-00003E240000}"/>
    <cellStyle name="Normal 4 3 3 3 3 4 2 3 3" xfId="33331" xr:uid="{00000000-0005-0000-0000-00003F240000}"/>
    <cellStyle name="Normal 4 3 3 3 3 4 2 4" xfId="14899" xr:uid="{00000000-0005-0000-0000-000040240000}"/>
    <cellStyle name="Normal 4 3 3 3 3 4 2 4 2" xfId="39475" xr:uid="{00000000-0005-0000-0000-000041240000}"/>
    <cellStyle name="Normal 4 3 3 3 3 4 2 5" xfId="27187" xr:uid="{00000000-0005-0000-0000-000042240000}"/>
    <cellStyle name="Normal 4 3 3 3 3 4 3" xfId="4147" xr:uid="{00000000-0005-0000-0000-000043240000}"/>
    <cellStyle name="Normal 4 3 3 3 3 4 3 2" xfId="10291" xr:uid="{00000000-0005-0000-0000-000044240000}"/>
    <cellStyle name="Normal 4 3 3 3 3 4 3 2 2" xfId="22579" xr:uid="{00000000-0005-0000-0000-000045240000}"/>
    <cellStyle name="Normal 4 3 3 3 3 4 3 2 2 2" xfId="47155" xr:uid="{00000000-0005-0000-0000-000046240000}"/>
    <cellStyle name="Normal 4 3 3 3 3 4 3 2 3" xfId="34867" xr:uid="{00000000-0005-0000-0000-000047240000}"/>
    <cellStyle name="Normal 4 3 3 3 3 4 3 3" xfId="16435" xr:uid="{00000000-0005-0000-0000-000048240000}"/>
    <cellStyle name="Normal 4 3 3 3 3 4 3 3 2" xfId="41011" xr:uid="{00000000-0005-0000-0000-000049240000}"/>
    <cellStyle name="Normal 4 3 3 3 3 4 3 4" xfId="28723" xr:uid="{00000000-0005-0000-0000-00004A240000}"/>
    <cellStyle name="Normal 4 3 3 3 3 4 4" xfId="7219" xr:uid="{00000000-0005-0000-0000-00004B240000}"/>
    <cellStyle name="Normal 4 3 3 3 3 4 4 2" xfId="19507" xr:uid="{00000000-0005-0000-0000-00004C240000}"/>
    <cellStyle name="Normal 4 3 3 3 3 4 4 2 2" xfId="44083" xr:uid="{00000000-0005-0000-0000-00004D240000}"/>
    <cellStyle name="Normal 4 3 3 3 3 4 4 3" xfId="31795" xr:uid="{00000000-0005-0000-0000-00004E240000}"/>
    <cellStyle name="Normal 4 3 3 3 3 4 5" xfId="13363" xr:uid="{00000000-0005-0000-0000-00004F240000}"/>
    <cellStyle name="Normal 4 3 3 3 3 4 5 2" xfId="37939" xr:uid="{00000000-0005-0000-0000-000050240000}"/>
    <cellStyle name="Normal 4 3 3 3 3 4 6" xfId="25651" xr:uid="{00000000-0005-0000-0000-000051240000}"/>
    <cellStyle name="Normal 4 3 3 3 3 5" xfId="1839" xr:uid="{00000000-0005-0000-0000-000052240000}"/>
    <cellStyle name="Normal 4 3 3 3 3 5 2" xfId="4915" xr:uid="{00000000-0005-0000-0000-000053240000}"/>
    <cellStyle name="Normal 4 3 3 3 3 5 2 2" xfId="11059" xr:uid="{00000000-0005-0000-0000-000054240000}"/>
    <cellStyle name="Normal 4 3 3 3 3 5 2 2 2" xfId="23347" xr:uid="{00000000-0005-0000-0000-000055240000}"/>
    <cellStyle name="Normal 4 3 3 3 3 5 2 2 2 2" xfId="47923" xr:uid="{00000000-0005-0000-0000-000056240000}"/>
    <cellStyle name="Normal 4 3 3 3 3 5 2 2 3" xfId="35635" xr:uid="{00000000-0005-0000-0000-000057240000}"/>
    <cellStyle name="Normal 4 3 3 3 3 5 2 3" xfId="17203" xr:uid="{00000000-0005-0000-0000-000058240000}"/>
    <cellStyle name="Normal 4 3 3 3 3 5 2 3 2" xfId="41779" xr:uid="{00000000-0005-0000-0000-000059240000}"/>
    <cellStyle name="Normal 4 3 3 3 3 5 2 4" xfId="29491" xr:uid="{00000000-0005-0000-0000-00005A240000}"/>
    <cellStyle name="Normal 4 3 3 3 3 5 3" xfId="7987" xr:uid="{00000000-0005-0000-0000-00005B240000}"/>
    <cellStyle name="Normal 4 3 3 3 3 5 3 2" xfId="20275" xr:uid="{00000000-0005-0000-0000-00005C240000}"/>
    <cellStyle name="Normal 4 3 3 3 3 5 3 2 2" xfId="44851" xr:uid="{00000000-0005-0000-0000-00005D240000}"/>
    <cellStyle name="Normal 4 3 3 3 3 5 3 3" xfId="32563" xr:uid="{00000000-0005-0000-0000-00005E240000}"/>
    <cellStyle name="Normal 4 3 3 3 3 5 4" xfId="14131" xr:uid="{00000000-0005-0000-0000-00005F240000}"/>
    <cellStyle name="Normal 4 3 3 3 3 5 4 2" xfId="38707" xr:uid="{00000000-0005-0000-0000-000060240000}"/>
    <cellStyle name="Normal 4 3 3 3 3 5 5" xfId="26419" xr:uid="{00000000-0005-0000-0000-000061240000}"/>
    <cellStyle name="Normal 4 3 3 3 3 6" xfId="3379" xr:uid="{00000000-0005-0000-0000-000062240000}"/>
    <cellStyle name="Normal 4 3 3 3 3 6 2" xfId="9523" xr:uid="{00000000-0005-0000-0000-000063240000}"/>
    <cellStyle name="Normal 4 3 3 3 3 6 2 2" xfId="21811" xr:uid="{00000000-0005-0000-0000-000064240000}"/>
    <cellStyle name="Normal 4 3 3 3 3 6 2 2 2" xfId="46387" xr:uid="{00000000-0005-0000-0000-000065240000}"/>
    <cellStyle name="Normal 4 3 3 3 3 6 2 3" xfId="34099" xr:uid="{00000000-0005-0000-0000-000066240000}"/>
    <cellStyle name="Normal 4 3 3 3 3 6 3" xfId="15667" xr:uid="{00000000-0005-0000-0000-000067240000}"/>
    <cellStyle name="Normal 4 3 3 3 3 6 3 2" xfId="40243" xr:uid="{00000000-0005-0000-0000-000068240000}"/>
    <cellStyle name="Normal 4 3 3 3 3 6 4" xfId="27955" xr:uid="{00000000-0005-0000-0000-000069240000}"/>
    <cellStyle name="Normal 4 3 3 3 3 7" xfId="6451" xr:uid="{00000000-0005-0000-0000-00006A240000}"/>
    <cellStyle name="Normal 4 3 3 3 3 7 2" xfId="18739" xr:uid="{00000000-0005-0000-0000-00006B240000}"/>
    <cellStyle name="Normal 4 3 3 3 3 7 2 2" xfId="43315" xr:uid="{00000000-0005-0000-0000-00006C240000}"/>
    <cellStyle name="Normal 4 3 3 3 3 7 3" xfId="31027" xr:uid="{00000000-0005-0000-0000-00006D240000}"/>
    <cellStyle name="Normal 4 3 3 3 3 8" xfId="12595" xr:uid="{00000000-0005-0000-0000-00006E240000}"/>
    <cellStyle name="Normal 4 3 3 3 3 8 2" xfId="37171" xr:uid="{00000000-0005-0000-0000-00006F240000}"/>
    <cellStyle name="Normal 4 3 3 3 3 9" xfId="24883" xr:uid="{00000000-0005-0000-0000-000070240000}"/>
    <cellStyle name="Normal 4 3 3 3 4" xfId="367" xr:uid="{00000000-0005-0000-0000-000071240000}"/>
    <cellStyle name="Normal 4 3 3 3 4 2" xfId="751" xr:uid="{00000000-0005-0000-0000-000072240000}"/>
    <cellStyle name="Normal 4 3 3 3 4 2 2" xfId="1519" xr:uid="{00000000-0005-0000-0000-000073240000}"/>
    <cellStyle name="Normal 4 3 3 3 4 2 2 2" xfId="3055" xr:uid="{00000000-0005-0000-0000-000074240000}"/>
    <cellStyle name="Normal 4 3 3 3 4 2 2 2 2" xfId="6131" xr:uid="{00000000-0005-0000-0000-000075240000}"/>
    <cellStyle name="Normal 4 3 3 3 4 2 2 2 2 2" xfId="12275" xr:uid="{00000000-0005-0000-0000-000076240000}"/>
    <cellStyle name="Normal 4 3 3 3 4 2 2 2 2 2 2" xfId="24563" xr:uid="{00000000-0005-0000-0000-000077240000}"/>
    <cellStyle name="Normal 4 3 3 3 4 2 2 2 2 2 2 2" xfId="49139" xr:uid="{00000000-0005-0000-0000-000078240000}"/>
    <cellStyle name="Normal 4 3 3 3 4 2 2 2 2 2 3" xfId="36851" xr:uid="{00000000-0005-0000-0000-000079240000}"/>
    <cellStyle name="Normal 4 3 3 3 4 2 2 2 2 3" xfId="18419" xr:uid="{00000000-0005-0000-0000-00007A240000}"/>
    <cellStyle name="Normal 4 3 3 3 4 2 2 2 2 3 2" xfId="42995" xr:uid="{00000000-0005-0000-0000-00007B240000}"/>
    <cellStyle name="Normal 4 3 3 3 4 2 2 2 2 4" xfId="30707" xr:uid="{00000000-0005-0000-0000-00007C240000}"/>
    <cellStyle name="Normal 4 3 3 3 4 2 2 2 3" xfId="9203" xr:uid="{00000000-0005-0000-0000-00007D240000}"/>
    <cellStyle name="Normal 4 3 3 3 4 2 2 2 3 2" xfId="21491" xr:uid="{00000000-0005-0000-0000-00007E240000}"/>
    <cellStyle name="Normal 4 3 3 3 4 2 2 2 3 2 2" xfId="46067" xr:uid="{00000000-0005-0000-0000-00007F240000}"/>
    <cellStyle name="Normal 4 3 3 3 4 2 2 2 3 3" xfId="33779" xr:uid="{00000000-0005-0000-0000-000080240000}"/>
    <cellStyle name="Normal 4 3 3 3 4 2 2 2 4" xfId="15347" xr:uid="{00000000-0005-0000-0000-000081240000}"/>
    <cellStyle name="Normal 4 3 3 3 4 2 2 2 4 2" xfId="39923" xr:uid="{00000000-0005-0000-0000-000082240000}"/>
    <cellStyle name="Normal 4 3 3 3 4 2 2 2 5" xfId="27635" xr:uid="{00000000-0005-0000-0000-000083240000}"/>
    <cellStyle name="Normal 4 3 3 3 4 2 2 3" xfId="4595" xr:uid="{00000000-0005-0000-0000-000084240000}"/>
    <cellStyle name="Normal 4 3 3 3 4 2 2 3 2" xfId="10739" xr:uid="{00000000-0005-0000-0000-000085240000}"/>
    <cellStyle name="Normal 4 3 3 3 4 2 2 3 2 2" xfId="23027" xr:uid="{00000000-0005-0000-0000-000086240000}"/>
    <cellStyle name="Normal 4 3 3 3 4 2 2 3 2 2 2" xfId="47603" xr:uid="{00000000-0005-0000-0000-000087240000}"/>
    <cellStyle name="Normal 4 3 3 3 4 2 2 3 2 3" xfId="35315" xr:uid="{00000000-0005-0000-0000-000088240000}"/>
    <cellStyle name="Normal 4 3 3 3 4 2 2 3 3" xfId="16883" xr:uid="{00000000-0005-0000-0000-000089240000}"/>
    <cellStyle name="Normal 4 3 3 3 4 2 2 3 3 2" xfId="41459" xr:uid="{00000000-0005-0000-0000-00008A240000}"/>
    <cellStyle name="Normal 4 3 3 3 4 2 2 3 4" xfId="29171" xr:uid="{00000000-0005-0000-0000-00008B240000}"/>
    <cellStyle name="Normal 4 3 3 3 4 2 2 4" xfId="7667" xr:uid="{00000000-0005-0000-0000-00008C240000}"/>
    <cellStyle name="Normal 4 3 3 3 4 2 2 4 2" xfId="19955" xr:uid="{00000000-0005-0000-0000-00008D240000}"/>
    <cellStyle name="Normal 4 3 3 3 4 2 2 4 2 2" xfId="44531" xr:uid="{00000000-0005-0000-0000-00008E240000}"/>
    <cellStyle name="Normal 4 3 3 3 4 2 2 4 3" xfId="32243" xr:uid="{00000000-0005-0000-0000-00008F240000}"/>
    <cellStyle name="Normal 4 3 3 3 4 2 2 5" xfId="13811" xr:uid="{00000000-0005-0000-0000-000090240000}"/>
    <cellStyle name="Normal 4 3 3 3 4 2 2 5 2" xfId="38387" xr:uid="{00000000-0005-0000-0000-000091240000}"/>
    <cellStyle name="Normal 4 3 3 3 4 2 2 6" xfId="26099" xr:uid="{00000000-0005-0000-0000-000092240000}"/>
    <cellStyle name="Normal 4 3 3 3 4 2 3" xfId="2287" xr:uid="{00000000-0005-0000-0000-000093240000}"/>
    <cellStyle name="Normal 4 3 3 3 4 2 3 2" xfId="5363" xr:uid="{00000000-0005-0000-0000-000094240000}"/>
    <cellStyle name="Normal 4 3 3 3 4 2 3 2 2" xfId="11507" xr:uid="{00000000-0005-0000-0000-000095240000}"/>
    <cellStyle name="Normal 4 3 3 3 4 2 3 2 2 2" xfId="23795" xr:uid="{00000000-0005-0000-0000-000096240000}"/>
    <cellStyle name="Normal 4 3 3 3 4 2 3 2 2 2 2" xfId="48371" xr:uid="{00000000-0005-0000-0000-000097240000}"/>
    <cellStyle name="Normal 4 3 3 3 4 2 3 2 2 3" xfId="36083" xr:uid="{00000000-0005-0000-0000-000098240000}"/>
    <cellStyle name="Normal 4 3 3 3 4 2 3 2 3" xfId="17651" xr:uid="{00000000-0005-0000-0000-000099240000}"/>
    <cellStyle name="Normal 4 3 3 3 4 2 3 2 3 2" xfId="42227" xr:uid="{00000000-0005-0000-0000-00009A240000}"/>
    <cellStyle name="Normal 4 3 3 3 4 2 3 2 4" xfId="29939" xr:uid="{00000000-0005-0000-0000-00009B240000}"/>
    <cellStyle name="Normal 4 3 3 3 4 2 3 3" xfId="8435" xr:uid="{00000000-0005-0000-0000-00009C240000}"/>
    <cellStyle name="Normal 4 3 3 3 4 2 3 3 2" xfId="20723" xr:uid="{00000000-0005-0000-0000-00009D240000}"/>
    <cellStyle name="Normal 4 3 3 3 4 2 3 3 2 2" xfId="45299" xr:uid="{00000000-0005-0000-0000-00009E240000}"/>
    <cellStyle name="Normal 4 3 3 3 4 2 3 3 3" xfId="33011" xr:uid="{00000000-0005-0000-0000-00009F240000}"/>
    <cellStyle name="Normal 4 3 3 3 4 2 3 4" xfId="14579" xr:uid="{00000000-0005-0000-0000-0000A0240000}"/>
    <cellStyle name="Normal 4 3 3 3 4 2 3 4 2" xfId="39155" xr:uid="{00000000-0005-0000-0000-0000A1240000}"/>
    <cellStyle name="Normal 4 3 3 3 4 2 3 5" xfId="26867" xr:uid="{00000000-0005-0000-0000-0000A2240000}"/>
    <cellStyle name="Normal 4 3 3 3 4 2 4" xfId="3827" xr:uid="{00000000-0005-0000-0000-0000A3240000}"/>
    <cellStyle name="Normal 4 3 3 3 4 2 4 2" xfId="9971" xr:uid="{00000000-0005-0000-0000-0000A4240000}"/>
    <cellStyle name="Normal 4 3 3 3 4 2 4 2 2" xfId="22259" xr:uid="{00000000-0005-0000-0000-0000A5240000}"/>
    <cellStyle name="Normal 4 3 3 3 4 2 4 2 2 2" xfId="46835" xr:uid="{00000000-0005-0000-0000-0000A6240000}"/>
    <cellStyle name="Normal 4 3 3 3 4 2 4 2 3" xfId="34547" xr:uid="{00000000-0005-0000-0000-0000A7240000}"/>
    <cellStyle name="Normal 4 3 3 3 4 2 4 3" xfId="16115" xr:uid="{00000000-0005-0000-0000-0000A8240000}"/>
    <cellStyle name="Normal 4 3 3 3 4 2 4 3 2" xfId="40691" xr:uid="{00000000-0005-0000-0000-0000A9240000}"/>
    <cellStyle name="Normal 4 3 3 3 4 2 4 4" xfId="28403" xr:uid="{00000000-0005-0000-0000-0000AA240000}"/>
    <cellStyle name="Normal 4 3 3 3 4 2 5" xfId="6899" xr:uid="{00000000-0005-0000-0000-0000AB240000}"/>
    <cellStyle name="Normal 4 3 3 3 4 2 5 2" xfId="19187" xr:uid="{00000000-0005-0000-0000-0000AC240000}"/>
    <cellStyle name="Normal 4 3 3 3 4 2 5 2 2" xfId="43763" xr:uid="{00000000-0005-0000-0000-0000AD240000}"/>
    <cellStyle name="Normal 4 3 3 3 4 2 5 3" xfId="31475" xr:uid="{00000000-0005-0000-0000-0000AE240000}"/>
    <cellStyle name="Normal 4 3 3 3 4 2 6" xfId="13043" xr:uid="{00000000-0005-0000-0000-0000AF240000}"/>
    <cellStyle name="Normal 4 3 3 3 4 2 6 2" xfId="37619" xr:uid="{00000000-0005-0000-0000-0000B0240000}"/>
    <cellStyle name="Normal 4 3 3 3 4 2 7" xfId="25331" xr:uid="{00000000-0005-0000-0000-0000B1240000}"/>
    <cellStyle name="Normal 4 3 3 3 4 3" xfId="1135" xr:uid="{00000000-0005-0000-0000-0000B2240000}"/>
    <cellStyle name="Normal 4 3 3 3 4 3 2" xfId="2671" xr:uid="{00000000-0005-0000-0000-0000B3240000}"/>
    <cellStyle name="Normal 4 3 3 3 4 3 2 2" xfId="5747" xr:uid="{00000000-0005-0000-0000-0000B4240000}"/>
    <cellStyle name="Normal 4 3 3 3 4 3 2 2 2" xfId="11891" xr:uid="{00000000-0005-0000-0000-0000B5240000}"/>
    <cellStyle name="Normal 4 3 3 3 4 3 2 2 2 2" xfId="24179" xr:uid="{00000000-0005-0000-0000-0000B6240000}"/>
    <cellStyle name="Normal 4 3 3 3 4 3 2 2 2 2 2" xfId="48755" xr:uid="{00000000-0005-0000-0000-0000B7240000}"/>
    <cellStyle name="Normal 4 3 3 3 4 3 2 2 2 3" xfId="36467" xr:uid="{00000000-0005-0000-0000-0000B8240000}"/>
    <cellStyle name="Normal 4 3 3 3 4 3 2 2 3" xfId="18035" xr:uid="{00000000-0005-0000-0000-0000B9240000}"/>
    <cellStyle name="Normal 4 3 3 3 4 3 2 2 3 2" xfId="42611" xr:uid="{00000000-0005-0000-0000-0000BA240000}"/>
    <cellStyle name="Normal 4 3 3 3 4 3 2 2 4" xfId="30323" xr:uid="{00000000-0005-0000-0000-0000BB240000}"/>
    <cellStyle name="Normal 4 3 3 3 4 3 2 3" xfId="8819" xr:uid="{00000000-0005-0000-0000-0000BC240000}"/>
    <cellStyle name="Normal 4 3 3 3 4 3 2 3 2" xfId="21107" xr:uid="{00000000-0005-0000-0000-0000BD240000}"/>
    <cellStyle name="Normal 4 3 3 3 4 3 2 3 2 2" xfId="45683" xr:uid="{00000000-0005-0000-0000-0000BE240000}"/>
    <cellStyle name="Normal 4 3 3 3 4 3 2 3 3" xfId="33395" xr:uid="{00000000-0005-0000-0000-0000BF240000}"/>
    <cellStyle name="Normal 4 3 3 3 4 3 2 4" xfId="14963" xr:uid="{00000000-0005-0000-0000-0000C0240000}"/>
    <cellStyle name="Normal 4 3 3 3 4 3 2 4 2" xfId="39539" xr:uid="{00000000-0005-0000-0000-0000C1240000}"/>
    <cellStyle name="Normal 4 3 3 3 4 3 2 5" xfId="27251" xr:uid="{00000000-0005-0000-0000-0000C2240000}"/>
    <cellStyle name="Normal 4 3 3 3 4 3 3" xfId="4211" xr:uid="{00000000-0005-0000-0000-0000C3240000}"/>
    <cellStyle name="Normal 4 3 3 3 4 3 3 2" xfId="10355" xr:uid="{00000000-0005-0000-0000-0000C4240000}"/>
    <cellStyle name="Normal 4 3 3 3 4 3 3 2 2" xfId="22643" xr:uid="{00000000-0005-0000-0000-0000C5240000}"/>
    <cellStyle name="Normal 4 3 3 3 4 3 3 2 2 2" xfId="47219" xr:uid="{00000000-0005-0000-0000-0000C6240000}"/>
    <cellStyle name="Normal 4 3 3 3 4 3 3 2 3" xfId="34931" xr:uid="{00000000-0005-0000-0000-0000C7240000}"/>
    <cellStyle name="Normal 4 3 3 3 4 3 3 3" xfId="16499" xr:uid="{00000000-0005-0000-0000-0000C8240000}"/>
    <cellStyle name="Normal 4 3 3 3 4 3 3 3 2" xfId="41075" xr:uid="{00000000-0005-0000-0000-0000C9240000}"/>
    <cellStyle name="Normal 4 3 3 3 4 3 3 4" xfId="28787" xr:uid="{00000000-0005-0000-0000-0000CA240000}"/>
    <cellStyle name="Normal 4 3 3 3 4 3 4" xfId="7283" xr:uid="{00000000-0005-0000-0000-0000CB240000}"/>
    <cellStyle name="Normal 4 3 3 3 4 3 4 2" xfId="19571" xr:uid="{00000000-0005-0000-0000-0000CC240000}"/>
    <cellStyle name="Normal 4 3 3 3 4 3 4 2 2" xfId="44147" xr:uid="{00000000-0005-0000-0000-0000CD240000}"/>
    <cellStyle name="Normal 4 3 3 3 4 3 4 3" xfId="31859" xr:uid="{00000000-0005-0000-0000-0000CE240000}"/>
    <cellStyle name="Normal 4 3 3 3 4 3 5" xfId="13427" xr:uid="{00000000-0005-0000-0000-0000CF240000}"/>
    <cellStyle name="Normal 4 3 3 3 4 3 5 2" xfId="38003" xr:uid="{00000000-0005-0000-0000-0000D0240000}"/>
    <cellStyle name="Normal 4 3 3 3 4 3 6" xfId="25715" xr:uid="{00000000-0005-0000-0000-0000D1240000}"/>
    <cellStyle name="Normal 4 3 3 3 4 4" xfId="1903" xr:uid="{00000000-0005-0000-0000-0000D2240000}"/>
    <cellStyle name="Normal 4 3 3 3 4 4 2" xfId="4979" xr:uid="{00000000-0005-0000-0000-0000D3240000}"/>
    <cellStyle name="Normal 4 3 3 3 4 4 2 2" xfId="11123" xr:uid="{00000000-0005-0000-0000-0000D4240000}"/>
    <cellStyle name="Normal 4 3 3 3 4 4 2 2 2" xfId="23411" xr:uid="{00000000-0005-0000-0000-0000D5240000}"/>
    <cellStyle name="Normal 4 3 3 3 4 4 2 2 2 2" xfId="47987" xr:uid="{00000000-0005-0000-0000-0000D6240000}"/>
    <cellStyle name="Normal 4 3 3 3 4 4 2 2 3" xfId="35699" xr:uid="{00000000-0005-0000-0000-0000D7240000}"/>
    <cellStyle name="Normal 4 3 3 3 4 4 2 3" xfId="17267" xr:uid="{00000000-0005-0000-0000-0000D8240000}"/>
    <cellStyle name="Normal 4 3 3 3 4 4 2 3 2" xfId="41843" xr:uid="{00000000-0005-0000-0000-0000D9240000}"/>
    <cellStyle name="Normal 4 3 3 3 4 4 2 4" xfId="29555" xr:uid="{00000000-0005-0000-0000-0000DA240000}"/>
    <cellStyle name="Normal 4 3 3 3 4 4 3" xfId="8051" xr:uid="{00000000-0005-0000-0000-0000DB240000}"/>
    <cellStyle name="Normal 4 3 3 3 4 4 3 2" xfId="20339" xr:uid="{00000000-0005-0000-0000-0000DC240000}"/>
    <cellStyle name="Normal 4 3 3 3 4 4 3 2 2" xfId="44915" xr:uid="{00000000-0005-0000-0000-0000DD240000}"/>
    <cellStyle name="Normal 4 3 3 3 4 4 3 3" xfId="32627" xr:uid="{00000000-0005-0000-0000-0000DE240000}"/>
    <cellStyle name="Normal 4 3 3 3 4 4 4" xfId="14195" xr:uid="{00000000-0005-0000-0000-0000DF240000}"/>
    <cellStyle name="Normal 4 3 3 3 4 4 4 2" xfId="38771" xr:uid="{00000000-0005-0000-0000-0000E0240000}"/>
    <cellStyle name="Normal 4 3 3 3 4 4 5" xfId="26483" xr:uid="{00000000-0005-0000-0000-0000E1240000}"/>
    <cellStyle name="Normal 4 3 3 3 4 5" xfId="3443" xr:uid="{00000000-0005-0000-0000-0000E2240000}"/>
    <cellStyle name="Normal 4 3 3 3 4 5 2" xfId="9587" xr:uid="{00000000-0005-0000-0000-0000E3240000}"/>
    <cellStyle name="Normal 4 3 3 3 4 5 2 2" xfId="21875" xr:uid="{00000000-0005-0000-0000-0000E4240000}"/>
    <cellStyle name="Normal 4 3 3 3 4 5 2 2 2" xfId="46451" xr:uid="{00000000-0005-0000-0000-0000E5240000}"/>
    <cellStyle name="Normal 4 3 3 3 4 5 2 3" xfId="34163" xr:uid="{00000000-0005-0000-0000-0000E6240000}"/>
    <cellStyle name="Normal 4 3 3 3 4 5 3" xfId="15731" xr:uid="{00000000-0005-0000-0000-0000E7240000}"/>
    <cellStyle name="Normal 4 3 3 3 4 5 3 2" xfId="40307" xr:uid="{00000000-0005-0000-0000-0000E8240000}"/>
    <cellStyle name="Normal 4 3 3 3 4 5 4" xfId="28019" xr:uid="{00000000-0005-0000-0000-0000E9240000}"/>
    <cellStyle name="Normal 4 3 3 3 4 6" xfId="6515" xr:uid="{00000000-0005-0000-0000-0000EA240000}"/>
    <cellStyle name="Normal 4 3 3 3 4 6 2" xfId="18803" xr:uid="{00000000-0005-0000-0000-0000EB240000}"/>
    <cellStyle name="Normal 4 3 3 3 4 6 2 2" xfId="43379" xr:uid="{00000000-0005-0000-0000-0000EC240000}"/>
    <cellStyle name="Normal 4 3 3 3 4 6 3" xfId="31091" xr:uid="{00000000-0005-0000-0000-0000ED240000}"/>
    <cellStyle name="Normal 4 3 3 3 4 7" xfId="12659" xr:uid="{00000000-0005-0000-0000-0000EE240000}"/>
    <cellStyle name="Normal 4 3 3 3 4 7 2" xfId="37235" xr:uid="{00000000-0005-0000-0000-0000EF240000}"/>
    <cellStyle name="Normal 4 3 3 3 4 8" xfId="24947" xr:uid="{00000000-0005-0000-0000-0000F0240000}"/>
    <cellStyle name="Normal 4 3 3 3 5" xfId="559" xr:uid="{00000000-0005-0000-0000-0000F1240000}"/>
    <cellStyle name="Normal 4 3 3 3 5 2" xfId="1327" xr:uid="{00000000-0005-0000-0000-0000F2240000}"/>
    <cellStyle name="Normal 4 3 3 3 5 2 2" xfId="2863" xr:uid="{00000000-0005-0000-0000-0000F3240000}"/>
    <cellStyle name="Normal 4 3 3 3 5 2 2 2" xfId="5939" xr:uid="{00000000-0005-0000-0000-0000F4240000}"/>
    <cellStyle name="Normal 4 3 3 3 5 2 2 2 2" xfId="12083" xr:uid="{00000000-0005-0000-0000-0000F5240000}"/>
    <cellStyle name="Normal 4 3 3 3 5 2 2 2 2 2" xfId="24371" xr:uid="{00000000-0005-0000-0000-0000F6240000}"/>
    <cellStyle name="Normal 4 3 3 3 5 2 2 2 2 2 2" xfId="48947" xr:uid="{00000000-0005-0000-0000-0000F7240000}"/>
    <cellStyle name="Normal 4 3 3 3 5 2 2 2 2 3" xfId="36659" xr:uid="{00000000-0005-0000-0000-0000F8240000}"/>
    <cellStyle name="Normal 4 3 3 3 5 2 2 2 3" xfId="18227" xr:uid="{00000000-0005-0000-0000-0000F9240000}"/>
    <cellStyle name="Normal 4 3 3 3 5 2 2 2 3 2" xfId="42803" xr:uid="{00000000-0005-0000-0000-0000FA240000}"/>
    <cellStyle name="Normal 4 3 3 3 5 2 2 2 4" xfId="30515" xr:uid="{00000000-0005-0000-0000-0000FB240000}"/>
    <cellStyle name="Normal 4 3 3 3 5 2 2 3" xfId="9011" xr:uid="{00000000-0005-0000-0000-0000FC240000}"/>
    <cellStyle name="Normal 4 3 3 3 5 2 2 3 2" xfId="21299" xr:uid="{00000000-0005-0000-0000-0000FD240000}"/>
    <cellStyle name="Normal 4 3 3 3 5 2 2 3 2 2" xfId="45875" xr:uid="{00000000-0005-0000-0000-0000FE240000}"/>
    <cellStyle name="Normal 4 3 3 3 5 2 2 3 3" xfId="33587" xr:uid="{00000000-0005-0000-0000-0000FF240000}"/>
    <cellStyle name="Normal 4 3 3 3 5 2 2 4" xfId="15155" xr:uid="{00000000-0005-0000-0000-000000250000}"/>
    <cellStyle name="Normal 4 3 3 3 5 2 2 4 2" xfId="39731" xr:uid="{00000000-0005-0000-0000-000001250000}"/>
    <cellStyle name="Normal 4 3 3 3 5 2 2 5" xfId="27443" xr:uid="{00000000-0005-0000-0000-000002250000}"/>
    <cellStyle name="Normal 4 3 3 3 5 2 3" xfId="4403" xr:uid="{00000000-0005-0000-0000-000003250000}"/>
    <cellStyle name="Normal 4 3 3 3 5 2 3 2" xfId="10547" xr:uid="{00000000-0005-0000-0000-000004250000}"/>
    <cellStyle name="Normal 4 3 3 3 5 2 3 2 2" xfId="22835" xr:uid="{00000000-0005-0000-0000-000005250000}"/>
    <cellStyle name="Normal 4 3 3 3 5 2 3 2 2 2" xfId="47411" xr:uid="{00000000-0005-0000-0000-000006250000}"/>
    <cellStyle name="Normal 4 3 3 3 5 2 3 2 3" xfId="35123" xr:uid="{00000000-0005-0000-0000-000007250000}"/>
    <cellStyle name="Normal 4 3 3 3 5 2 3 3" xfId="16691" xr:uid="{00000000-0005-0000-0000-000008250000}"/>
    <cellStyle name="Normal 4 3 3 3 5 2 3 3 2" xfId="41267" xr:uid="{00000000-0005-0000-0000-000009250000}"/>
    <cellStyle name="Normal 4 3 3 3 5 2 3 4" xfId="28979" xr:uid="{00000000-0005-0000-0000-00000A250000}"/>
    <cellStyle name="Normal 4 3 3 3 5 2 4" xfId="7475" xr:uid="{00000000-0005-0000-0000-00000B250000}"/>
    <cellStyle name="Normal 4 3 3 3 5 2 4 2" xfId="19763" xr:uid="{00000000-0005-0000-0000-00000C250000}"/>
    <cellStyle name="Normal 4 3 3 3 5 2 4 2 2" xfId="44339" xr:uid="{00000000-0005-0000-0000-00000D250000}"/>
    <cellStyle name="Normal 4 3 3 3 5 2 4 3" xfId="32051" xr:uid="{00000000-0005-0000-0000-00000E250000}"/>
    <cellStyle name="Normal 4 3 3 3 5 2 5" xfId="13619" xr:uid="{00000000-0005-0000-0000-00000F250000}"/>
    <cellStyle name="Normal 4 3 3 3 5 2 5 2" xfId="38195" xr:uid="{00000000-0005-0000-0000-000010250000}"/>
    <cellStyle name="Normal 4 3 3 3 5 2 6" xfId="25907" xr:uid="{00000000-0005-0000-0000-000011250000}"/>
    <cellStyle name="Normal 4 3 3 3 5 3" xfId="2095" xr:uid="{00000000-0005-0000-0000-000012250000}"/>
    <cellStyle name="Normal 4 3 3 3 5 3 2" xfId="5171" xr:uid="{00000000-0005-0000-0000-000013250000}"/>
    <cellStyle name="Normal 4 3 3 3 5 3 2 2" xfId="11315" xr:uid="{00000000-0005-0000-0000-000014250000}"/>
    <cellStyle name="Normal 4 3 3 3 5 3 2 2 2" xfId="23603" xr:uid="{00000000-0005-0000-0000-000015250000}"/>
    <cellStyle name="Normal 4 3 3 3 5 3 2 2 2 2" xfId="48179" xr:uid="{00000000-0005-0000-0000-000016250000}"/>
    <cellStyle name="Normal 4 3 3 3 5 3 2 2 3" xfId="35891" xr:uid="{00000000-0005-0000-0000-000017250000}"/>
    <cellStyle name="Normal 4 3 3 3 5 3 2 3" xfId="17459" xr:uid="{00000000-0005-0000-0000-000018250000}"/>
    <cellStyle name="Normal 4 3 3 3 5 3 2 3 2" xfId="42035" xr:uid="{00000000-0005-0000-0000-000019250000}"/>
    <cellStyle name="Normal 4 3 3 3 5 3 2 4" xfId="29747" xr:uid="{00000000-0005-0000-0000-00001A250000}"/>
    <cellStyle name="Normal 4 3 3 3 5 3 3" xfId="8243" xr:uid="{00000000-0005-0000-0000-00001B250000}"/>
    <cellStyle name="Normal 4 3 3 3 5 3 3 2" xfId="20531" xr:uid="{00000000-0005-0000-0000-00001C250000}"/>
    <cellStyle name="Normal 4 3 3 3 5 3 3 2 2" xfId="45107" xr:uid="{00000000-0005-0000-0000-00001D250000}"/>
    <cellStyle name="Normal 4 3 3 3 5 3 3 3" xfId="32819" xr:uid="{00000000-0005-0000-0000-00001E250000}"/>
    <cellStyle name="Normal 4 3 3 3 5 3 4" xfId="14387" xr:uid="{00000000-0005-0000-0000-00001F250000}"/>
    <cellStyle name="Normal 4 3 3 3 5 3 4 2" xfId="38963" xr:uid="{00000000-0005-0000-0000-000020250000}"/>
    <cellStyle name="Normal 4 3 3 3 5 3 5" xfId="26675" xr:uid="{00000000-0005-0000-0000-000021250000}"/>
    <cellStyle name="Normal 4 3 3 3 5 4" xfId="3635" xr:uid="{00000000-0005-0000-0000-000022250000}"/>
    <cellStyle name="Normal 4 3 3 3 5 4 2" xfId="9779" xr:uid="{00000000-0005-0000-0000-000023250000}"/>
    <cellStyle name="Normal 4 3 3 3 5 4 2 2" xfId="22067" xr:uid="{00000000-0005-0000-0000-000024250000}"/>
    <cellStyle name="Normal 4 3 3 3 5 4 2 2 2" xfId="46643" xr:uid="{00000000-0005-0000-0000-000025250000}"/>
    <cellStyle name="Normal 4 3 3 3 5 4 2 3" xfId="34355" xr:uid="{00000000-0005-0000-0000-000026250000}"/>
    <cellStyle name="Normal 4 3 3 3 5 4 3" xfId="15923" xr:uid="{00000000-0005-0000-0000-000027250000}"/>
    <cellStyle name="Normal 4 3 3 3 5 4 3 2" xfId="40499" xr:uid="{00000000-0005-0000-0000-000028250000}"/>
    <cellStyle name="Normal 4 3 3 3 5 4 4" xfId="28211" xr:uid="{00000000-0005-0000-0000-000029250000}"/>
    <cellStyle name="Normal 4 3 3 3 5 5" xfId="6707" xr:uid="{00000000-0005-0000-0000-00002A250000}"/>
    <cellStyle name="Normal 4 3 3 3 5 5 2" xfId="18995" xr:uid="{00000000-0005-0000-0000-00002B250000}"/>
    <cellStyle name="Normal 4 3 3 3 5 5 2 2" xfId="43571" xr:uid="{00000000-0005-0000-0000-00002C250000}"/>
    <cellStyle name="Normal 4 3 3 3 5 5 3" xfId="31283" xr:uid="{00000000-0005-0000-0000-00002D250000}"/>
    <cellStyle name="Normal 4 3 3 3 5 6" xfId="12851" xr:uid="{00000000-0005-0000-0000-00002E250000}"/>
    <cellStyle name="Normal 4 3 3 3 5 6 2" xfId="37427" xr:uid="{00000000-0005-0000-0000-00002F250000}"/>
    <cellStyle name="Normal 4 3 3 3 5 7" xfId="25139" xr:uid="{00000000-0005-0000-0000-000030250000}"/>
    <cellStyle name="Normal 4 3 3 3 6" xfId="943" xr:uid="{00000000-0005-0000-0000-000031250000}"/>
    <cellStyle name="Normal 4 3 3 3 6 2" xfId="2479" xr:uid="{00000000-0005-0000-0000-000032250000}"/>
    <cellStyle name="Normal 4 3 3 3 6 2 2" xfId="5555" xr:uid="{00000000-0005-0000-0000-000033250000}"/>
    <cellStyle name="Normal 4 3 3 3 6 2 2 2" xfId="11699" xr:uid="{00000000-0005-0000-0000-000034250000}"/>
    <cellStyle name="Normal 4 3 3 3 6 2 2 2 2" xfId="23987" xr:uid="{00000000-0005-0000-0000-000035250000}"/>
    <cellStyle name="Normal 4 3 3 3 6 2 2 2 2 2" xfId="48563" xr:uid="{00000000-0005-0000-0000-000036250000}"/>
    <cellStyle name="Normal 4 3 3 3 6 2 2 2 3" xfId="36275" xr:uid="{00000000-0005-0000-0000-000037250000}"/>
    <cellStyle name="Normal 4 3 3 3 6 2 2 3" xfId="17843" xr:uid="{00000000-0005-0000-0000-000038250000}"/>
    <cellStyle name="Normal 4 3 3 3 6 2 2 3 2" xfId="42419" xr:uid="{00000000-0005-0000-0000-000039250000}"/>
    <cellStyle name="Normal 4 3 3 3 6 2 2 4" xfId="30131" xr:uid="{00000000-0005-0000-0000-00003A250000}"/>
    <cellStyle name="Normal 4 3 3 3 6 2 3" xfId="8627" xr:uid="{00000000-0005-0000-0000-00003B250000}"/>
    <cellStyle name="Normal 4 3 3 3 6 2 3 2" xfId="20915" xr:uid="{00000000-0005-0000-0000-00003C250000}"/>
    <cellStyle name="Normal 4 3 3 3 6 2 3 2 2" xfId="45491" xr:uid="{00000000-0005-0000-0000-00003D250000}"/>
    <cellStyle name="Normal 4 3 3 3 6 2 3 3" xfId="33203" xr:uid="{00000000-0005-0000-0000-00003E250000}"/>
    <cellStyle name="Normal 4 3 3 3 6 2 4" xfId="14771" xr:uid="{00000000-0005-0000-0000-00003F250000}"/>
    <cellStyle name="Normal 4 3 3 3 6 2 4 2" xfId="39347" xr:uid="{00000000-0005-0000-0000-000040250000}"/>
    <cellStyle name="Normal 4 3 3 3 6 2 5" xfId="27059" xr:uid="{00000000-0005-0000-0000-000041250000}"/>
    <cellStyle name="Normal 4 3 3 3 6 3" xfId="4019" xr:uid="{00000000-0005-0000-0000-000042250000}"/>
    <cellStyle name="Normal 4 3 3 3 6 3 2" xfId="10163" xr:uid="{00000000-0005-0000-0000-000043250000}"/>
    <cellStyle name="Normal 4 3 3 3 6 3 2 2" xfId="22451" xr:uid="{00000000-0005-0000-0000-000044250000}"/>
    <cellStyle name="Normal 4 3 3 3 6 3 2 2 2" xfId="47027" xr:uid="{00000000-0005-0000-0000-000045250000}"/>
    <cellStyle name="Normal 4 3 3 3 6 3 2 3" xfId="34739" xr:uid="{00000000-0005-0000-0000-000046250000}"/>
    <cellStyle name="Normal 4 3 3 3 6 3 3" xfId="16307" xr:uid="{00000000-0005-0000-0000-000047250000}"/>
    <cellStyle name="Normal 4 3 3 3 6 3 3 2" xfId="40883" xr:uid="{00000000-0005-0000-0000-000048250000}"/>
    <cellStyle name="Normal 4 3 3 3 6 3 4" xfId="28595" xr:uid="{00000000-0005-0000-0000-000049250000}"/>
    <cellStyle name="Normal 4 3 3 3 6 4" xfId="7091" xr:uid="{00000000-0005-0000-0000-00004A250000}"/>
    <cellStyle name="Normal 4 3 3 3 6 4 2" xfId="19379" xr:uid="{00000000-0005-0000-0000-00004B250000}"/>
    <cellStyle name="Normal 4 3 3 3 6 4 2 2" xfId="43955" xr:uid="{00000000-0005-0000-0000-00004C250000}"/>
    <cellStyle name="Normal 4 3 3 3 6 4 3" xfId="31667" xr:uid="{00000000-0005-0000-0000-00004D250000}"/>
    <cellStyle name="Normal 4 3 3 3 6 5" xfId="13235" xr:uid="{00000000-0005-0000-0000-00004E250000}"/>
    <cellStyle name="Normal 4 3 3 3 6 5 2" xfId="37811" xr:uid="{00000000-0005-0000-0000-00004F250000}"/>
    <cellStyle name="Normal 4 3 3 3 6 6" xfId="25523" xr:uid="{00000000-0005-0000-0000-000050250000}"/>
    <cellStyle name="Normal 4 3 3 3 7" xfId="1711" xr:uid="{00000000-0005-0000-0000-000051250000}"/>
    <cellStyle name="Normal 4 3 3 3 7 2" xfId="4787" xr:uid="{00000000-0005-0000-0000-000052250000}"/>
    <cellStyle name="Normal 4 3 3 3 7 2 2" xfId="10931" xr:uid="{00000000-0005-0000-0000-000053250000}"/>
    <cellStyle name="Normal 4 3 3 3 7 2 2 2" xfId="23219" xr:uid="{00000000-0005-0000-0000-000054250000}"/>
    <cellStyle name="Normal 4 3 3 3 7 2 2 2 2" xfId="47795" xr:uid="{00000000-0005-0000-0000-000055250000}"/>
    <cellStyle name="Normal 4 3 3 3 7 2 2 3" xfId="35507" xr:uid="{00000000-0005-0000-0000-000056250000}"/>
    <cellStyle name="Normal 4 3 3 3 7 2 3" xfId="17075" xr:uid="{00000000-0005-0000-0000-000057250000}"/>
    <cellStyle name="Normal 4 3 3 3 7 2 3 2" xfId="41651" xr:uid="{00000000-0005-0000-0000-000058250000}"/>
    <cellStyle name="Normal 4 3 3 3 7 2 4" xfId="29363" xr:uid="{00000000-0005-0000-0000-000059250000}"/>
    <cellStyle name="Normal 4 3 3 3 7 3" xfId="7859" xr:uid="{00000000-0005-0000-0000-00005A250000}"/>
    <cellStyle name="Normal 4 3 3 3 7 3 2" xfId="20147" xr:uid="{00000000-0005-0000-0000-00005B250000}"/>
    <cellStyle name="Normal 4 3 3 3 7 3 2 2" xfId="44723" xr:uid="{00000000-0005-0000-0000-00005C250000}"/>
    <cellStyle name="Normal 4 3 3 3 7 3 3" xfId="32435" xr:uid="{00000000-0005-0000-0000-00005D250000}"/>
    <cellStyle name="Normal 4 3 3 3 7 4" xfId="14003" xr:uid="{00000000-0005-0000-0000-00005E250000}"/>
    <cellStyle name="Normal 4 3 3 3 7 4 2" xfId="38579" xr:uid="{00000000-0005-0000-0000-00005F250000}"/>
    <cellStyle name="Normal 4 3 3 3 7 5" xfId="26291" xr:uid="{00000000-0005-0000-0000-000060250000}"/>
    <cellStyle name="Normal 4 3 3 3 8" xfId="3251" xr:uid="{00000000-0005-0000-0000-000061250000}"/>
    <cellStyle name="Normal 4 3 3 3 8 2" xfId="9395" xr:uid="{00000000-0005-0000-0000-000062250000}"/>
    <cellStyle name="Normal 4 3 3 3 8 2 2" xfId="21683" xr:uid="{00000000-0005-0000-0000-000063250000}"/>
    <cellStyle name="Normal 4 3 3 3 8 2 2 2" xfId="46259" xr:uid="{00000000-0005-0000-0000-000064250000}"/>
    <cellStyle name="Normal 4 3 3 3 8 2 3" xfId="33971" xr:uid="{00000000-0005-0000-0000-000065250000}"/>
    <cellStyle name="Normal 4 3 3 3 8 3" xfId="15539" xr:uid="{00000000-0005-0000-0000-000066250000}"/>
    <cellStyle name="Normal 4 3 3 3 8 3 2" xfId="40115" xr:uid="{00000000-0005-0000-0000-000067250000}"/>
    <cellStyle name="Normal 4 3 3 3 8 4" xfId="27827" xr:uid="{00000000-0005-0000-0000-000068250000}"/>
    <cellStyle name="Normal 4 3 3 3 9" xfId="6323" xr:uid="{00000000-0005-0000-0000-000069250000}"/>
    <cellStyle name="Normal 4 3 3 3 9 2" xfId="18611" xr:uid="{00000000-0005-0000-0000-00006A250000}"/>
    <cellStyle name="Normal 4 3 3 3 9 2 2" xfId="43187" xr:uid="{00000000-0005-0000-0000-00006B250000}"/>
    <cellStyle name="Normal 4 3 3 3 9 3" xfId="30899" xr:uid="{00000000-0005-0000-0000-00006C250000}"/>
    <cellStyle name="Normal 4 3 3 4" xfId="207" xr:uid="{00000000-0005-0000-0000-00006D250000}"/>
    <cellStyle name="Normal 4 3 3 4 2" xfId="399" xr:uid="{00000000-0005-0000-0000-00006E250000}"/>
    <cellStyle name="Normal 4 3 3 4 2 2" xfId="783" xr:uid="{00000000-0005-0000-0000-00006F250000}"/>
    <cellStyle name="Normal 4 3 3 4 2 2 2" xfId="1551" xr:uid="{00000000-0005-0000-0000-000070250000}"/>
    <cellStyle name="Normal 4 3 3 4 2 2 2 2" xfId="3087" xr:uid="{00000000-0005-0000-0000-000071250000}"/>
    <cellStyle name="Normal 4 3 3 4 2 2 2 2 2" xfId="6163" xr:uid="{00000000-0005-0000-0000-000072250000}"/>
    <cellStyle name="Normal 4 3 3 4 2 2 2 2 2 2" xfId="12307" xr:uid="{00000000-0005-0000-0000-000073250000}"/>
    <cellStyle name="Normal 4 3 3 4 2 2 2 2 2 2 2" xfId="24595" xr:uid="{00000000-0005-0000-0000-000074250000}"/>
    <cellStyle name="Normal 4 3 3 4 2 2 2 2 2 2 2 2" xfId="49171" xr:uid="{00000000-0005-0000-0000-000075250000}"/>
    <cellStyle name="Normal 4 3 3 4 2 2 2 2 2 2 3" xfId="36883" xr:uid="{00000000-0005-0000-0000-000076250000}"/>
    <cellStyle name="Normal 4 3 3 4 2 2 2 2 2 3" xfId="18451" xr:uid="{00000000-0005-0000-0000-000077250000}"/>
    <cellStyle name="Normal 4 3 3 4 2 2 2 2 2 3 2" xfId="43027" xr:uid="{00000000-0005-0000-0000-000078250000}"/>
    <cellStyle name="Normal 4 3 3 4 2 2 2 2 2 4" xfId="30739" xr:uid="{00000000-0005-0000-0000-000079250000}"/>
    <cellStyle name="Normal 4 3 3 4 2 2 2 2 3" xfId="9235" xr:uid="{00000000-0005-0000-0000-00007A250000}"/>
    <cellStyle name="Normal 4 3 3 4 2 2 2 2 3 2" xfId="21523" xr:uid="{00000000-0005-0000-0000-00007B250000}"/>
    <cellStyle name="Normal 4 3 3 4 2 2 2 2 3 2 2" xfId="46099" xr:uid="{00000000-0005-0000-0000-00007C250000}"/>
    <cellStyle name="Normal 4 3 3 4 2 2 2 2 3 3" xfId="33811" xr:uid="{00000000-0005-0000-0000-00007D250000}"/>
    <cellStyle name="Normal 4 3 3 4 2 2 2 2 4" xfId="15379" xr:uid="{00000000-0005-0000-0000-00007E250000}"/>
    <cellStyle name="Normal 4 3 3 4 2 2 2 2 4 2" xfId="39955" xr:uid="{00000000-0005-0000-0000-00007F250000}"/>
    <cellStyle name="Normal 4 3 3 4 2 2 2 2 5" xfId="27667" xr:uid="{00000000-0005-0000-0000-000080250000}"/>
    <cellStyle name="Normal 4 3 3 4 2 2 2 3" xfId="4627" xr:uid="{00000000-0005-0000-0000-000081250000}"/>
    <cellStyle name="Normal 4 3 3 4 2 2 2 3 2" xfId="10771" xr:uid="{00000000-0005-0000-0000-000082250000}"/>
    <cellStyle name="Normal 4 3 3 4 2 2 2 3 2 2" xfId="23059" xr:uid="{00000000-0005-0000-0000-000083250000}"/>
    <cellStyle name="Normal 4 3 3 4 2 2 2 3 2 2 2" xfId="47635" xr:uid="{00000000-0005-0000-0000-000084250000}"/>
    <cellStyle name="Normal 4 3 3 4 2 2 2 3 2 3" xfId="35347" xr:uid="{00000000-0005-0000-0000-000085250000}"/>
    <cellStyle name="Normal 4 3 3 4 2 2 2 3 3" xfId="16915" xr:uid="{00000000-0005-0000-0000-000086250000}"/>
    <cellStyle name="Normal 4 3 3 4 2 2 2 3 3 2" xfId="41491" xr:uid="{00000000-0005-0000-0000-000087250000}"/>
    <cellStyle name="Normal 4 3 3 4 2 2 2 3 4" xfId="29203" xr:uid="{00000000-0005-0000-0000-000088250000}"/>
    <cellStyle name="Normal 4 3 3 4 2 2 2 4" xfId="7699" xr:uid="{00000000-0005-0000-0000-000089250000}"/>
    <cellStyle name="Normal 4 3 3 4 2 2 2 4 2" xfId="19987" xr:uid="{00000000-0005-0000-0000-00008A250000}"/>
    <cellStyle name="Normal 4 3 3 4 2 2 2 4 2 2" xfId="44563" xr:uid="{00000000-0005-0000-0000-00008B250000}"/>
    <cellStyle name="Normal 4 3 3 4 2 2 2 4 3" xfId="32275" xr:uid="{00000000-0005-0000-0000-00008C250000}"/>
    <cellStyle name="Normal 4 3 3 4 2 2 2 5" xfId="13843" xr:uid="{00000000-0005-0000-0000-00008D250000}"/>
    <cellStyle name="Normal 4 3 3 4 2 2 2 5 2" xfId="38419" xr:uid="{00000000-0005-0000-0000-00008E250000}"/>
    <cellStyle name="Normal 4 3 3 4 2 2 2 6" xfId="26131" xr:uid="{00000000-0005-0000-0000-00008F250000}"/>
    <cellStyle name="Normal 4 3 3 4 2 2 3" xfId="2319" xr:uid="{00000000-0005-0000-0000-000090250000}"/>
    <cellStyle name="Normal 4 3 3 4 2 2 3 2" xfId="5395" xr:uid="{00000000-0005-0000-0000-000091250000}"/>
    <cellStyle name="Normal 4 3 3 4 2 2 3 2 2" xfId="11539" xr:uid="{00000000-0005-0000-0000-000092250000}"/>
    <cellStyle name="Normal 4 3 3 4 2 2 3 2 2 2" xfId="23827" xr:uid="{00000000-0005-0000-0000-000093250000}"/>
    <cellStyle name="Normal 4 3 3 4 2 2 3 2 2 2 2" xfId="48403" xr:uid="{00000000-0005-0000-0000-000094250000}"/>
    <cellStyle name="Normal 4 3 3 4 2 2 3 2 2 3" xfId="36115" xr:uid="{00000000-0005-0000-0000-000095250000}"/>
    <cellStyle name="Normal 4 3 3 4 2 2 3 2 3" xfId="17683" xr:uid="{00000000-0005-0000-0000-000096250000}"/>
    <cellStyle name="Normal 4 3 3 4 2 2 3 2 3 2" xfId="42259" xr:uid="{00000000-0005-0000-0000-000097250000}"/>
    <cellStyle name="Normal 4 3 3 4 2 2 3 2 4" xfId="29971" xr:uid="{00000000-0005-0000-0000-000098250000}"/>
    <cellStyle name="Normal 4 3 3 4 2 2 3 3" xfId="8467" xr:uid="{00000000-0005-0000-0000-000099250000}"/>
    <cellStyle name="Normal 4 3 3 4 2 2 3 3 2" xfId="20755" xr:uid="{00000000-0005-0000-0000-00009A250000}"/>
    <cellStyle name="Normal 4 3 3 4 2 2 3 3 2 2" xfId="45331" xr:uid="{00000000-0005-0000-0000-00009B250000}"/>
    <cellStyle name="Normal 4 3 3 4 2 2 3 3 3" xfId="33043" xr:uid="{00000000-0005-0000-0000-00009C250000}"/>
    <cellStyle name="Normal 4 3 3 4 2 2 3 4" xfId="14611" xr:uid="{00000000-0005-0000-0000-00009D250000}"/>
    <cellStyle name="Normal 4 3 3 4 2 2 3 4 2" xfId="39187" xr:uid="{00000000-0005-0000-0000-00009E250000}"/>
    <cellStyle name="Normal 4 3 3 4 2 2 3 5" xfId="26899" xr:uid="{00000000-0005-0000-0000-00009F250000}"/>
    <cellStyle name="Normal 4 3 3 4 2 2 4" xfId="3859" xr:uid="{00000000-0005-0000-0000-0000A0250000}"/>
    <cellStyle name="Normal 4 3 3 4 2 2 4 2" xfId="10003" xr:uid="{00000000-0005-0000-0000-0000A1250000}"/>
    <cellStyle name="Normal 4 3 3 4 2 2 4 2 2" xfId="22291" xr:uid="{00000000-0005-0000-0000-0000A2250000}"/>
    <cellStyle name="Normal 4 3 3 4 2 2 4 2 2 2" xfId="46867" xr:uid="{00000000-0005-0000-0000-0000A3250000}"/>
    <cellStyle name="Normal 4 3 3 4 2 2 4 2 3" xfId="34579" xr:uid="{00000000-0005-0000-0000-0000A4250000}"/>
    <cellStyle name="Normal 4 3 3 4 2 2 4 3" xfId="16147" xr:uid="{00000000-0005-0000-0000-0000A5250000}"/>
    <cellStyle name="Normal 4 3 3 4 2 2 4 3 2" xfId="40723" xr:uid="{00000000-0005-0000-0000-0000A6250000}"/>
    <cellStyle name="Normal 4 3 3 4 2 2 4 4" xfId="28435" xr:uid="{00000000-0005-0000-0000-0000A7250000}"/>
    <cellStyle name="Normal 4 3 3 4 2 2 5" xfId="6931" xr:uid="{00000000-0005-0000-0000-0000A8250000}"/>
    <cellStyle name="Normal 4 3 3 4 2 2 5 2" xfId="19219" xr:uid="{00000000-0005-0000-0000-0000A9250000}"/>
    <cellStyle name="Normal 4 3 3 4 2 2 5 2 2" xfId="43795" xr:uid="{00000000-0005-0000-0000-0000AA250000}"/>
    <cellStyle name="Normal 4 3 3 4 2 2 5 3" xfId="31507" xr:uid="{00000000-0005-0000-0000-0000AB250000}"/>
    <cellStyle name="Normal 4 3 3 4 2 2 6" xfId="13075" xr:uid="{00000000-0005-0000-0000-0000AC250000}"/>
    <cellStyle name="Normal 4 3 3 4 2 2 6 2" xfId="37651" xr:uid="{00000000-0005-0000-0000-0000AD250000}"/>
    <cellStyle name="Normal 4 3 3 4 2 2 7" xfId="25363" xr:uid="{00000000-0005-0000-0000-0000AE250000}"/>
    <cellStyle name="Normal 4 3 3 4 2 3" xfId="1167" xr:uid="{00000000-0005-0000-0000-0000AF250000}"/>
    <cellStyle name="Normal 4 3 3 4 2 3 2" xfId="2703" xr:uid="{00000000-0005-0000-0000-0000B0250000}"/>
    <cellStyle name="Normal 4 3 3 4 2 3 2 2" xfId="5779" xr:uid="{00000000-0005-0000-0000-0000B1250000}"/>
    <cellStyle name="Normal 4 3 3 4 2 3 2 2 2" xfId="11923" xr:uid="{00000000-0005-0000-0000-0000B2250000}"/>
    <cellStyle name="Normal 4 3 3 4 2 3 2 2 2 2" xfId="24211" xr:uid="{00000000-0005-0000-0000-0000B3250000}"/>
    <cellStyle name="Normal 4 3 3 4 2 3 2 2 2 2 2" xfId="48787" xr:uid="{00000000-0005-0000-0000-0000B4250000}"/>
    <cellStyle name="Normal 4 3 3 4 2 3 2 2 2 3" xfId="36499" xr:uid="{00000000-0005-0000-0000-0000B5250000}"/>
    <cellStyle name="Normal 4 3 3 4 2 3 2 2 3" xfId="18067" xr:uid="{00000000-0005-0000-0000-0000B6250000}"/>
    <cellStyle name="Normal 4 3 3 4 2 3 2 2 3 2" xfId="42643" xr:uid="{00000000-0005-0000-0000-0000B7250000}"/>
    <cellStyle name="Normal 4 3 3 4 2 3 2 2 4" xfId="30355" xr:uid="{00000000-0005-0000-0000-0000B8250000}"/>
    <cellStyle name="Normal 4 3 3 4 2 3 2 3" xfId="8851" xr:uid="{00000000-0005-0000-0000-0000B9250000}"/>
    <cellStyle name="Normal 4 3 3 4 2 3 2 3 2" xfId="21139" xr:uid="{00000000-0005-0000-0000-0000BA250000}"/>
    <cellStyle name="Normal 4 3 3 4 2 3 2 3 2 2" xfId="45715" xr:uid="{00000000-0005-0000-0000-0000BB250000}"/>
    <cellStyle name="Normal 4 3 3 4 2 3 2 3 3" xfId="33427" xr:uid="{00000000-0005-0000-0000-0000BC250000}"/>
    <cellStyle name="Normal 4 3 3 4 2 3 2 4" xfId="14995" xr:uid="{00000000-0005-0000-0000-0000BD250000}"/>
    <cellStyle name="Normal 4 3 3 4 2 3 2 4 2" xfId="39571" xr:uid="{00000000-0005-0000-0000-0000BE250000}"/>
    <cellStyle name="Normal 4 3 3 4 2 3 2 5" xfId="27283" xr:uid="{00000000-0005-0000-0000-0000BF250000}"/>
    <cellStyle name="Normal 4 3 3 4 2 3 3" xfId="4243" xr:uid="{00000000-0005-0000-0000-0000C0250000}"/>
    <cellStyle name="Normal 4 3 3 4 2 3 3 2" xfId="10387" xr:uid="{00000000-0005-0000-0000-0000C1250000}"/>
    <cellStyle name="Normal 4 3 3 4 2 3 3 2 2" xfId="22675" xr:uid="{00000000-0005-0000-0000-0000C2250000}"/>
    <cellStyle name="Normal 4 3 3 4 2 3 3 2 2 2" xfId="47251" xr:uid="{00000000-0005-0000-0000-0000C3250000}"/>
    <cellStyle name="Normal 4 3 3 4 2 3 3 2 3" xfId="34963" xr:uid="{00000000-0005-0000-0000-0000C4250000}"/>
    <cellStyle name="Normal 4 3 3 4 2 3 3 3" xfId="16531" xr:uid="{00000000-0005-0000-0000-0000C5250000}"/>
    <cellStyle name="Normal 4 3 3 4 2 3 3 3 2" xfId="41107" xr:uid="{00000000-0005-0000-0000-0000C6250000}"/>
    <cellStyle name="Normal 4 3 3 4 2 3 3 4" xfId="28819" xr:uid="{00000000-0005-0000-0000-0000C7250000}"/>
    <cellStyle name="Normal 4 3 3 4 2 3 4" xfId="7315" xr:uid="{00000000-0005-0000-0000-0000C8250000}"/>
    <cellStyle name="Normal 4 3 3 4 2 3 4 2" xfId="19603" xr:uid="{00000000-0005-0000-0000-0000C9250000}"/>
    <cellStyle name="Normal 4 3 3 4 2 3 4 2 2" xfId="44179" xr:uid="{00000000-0005-0000-0000-0000CA250000}"/>
    <cellStyle name="Normal 4 3 3 4 2 3 4 3" xfId="31891" xr:uid="{00000000-0005-0000-0000-0000CB250000}"/>
    <cellStyle name="Normal 4 3 3 4 2 3 5" xfId="13459" xr:uid="{00000000-0005-0000-0000-0000CC250000}"/>
    <cellStyle name="Normal 4 3 3 4 2 3 5 2" xfId="38035" xr:uid="{00000000-0005-0000-0000-0000CD250000}"/>
    <cellStyle name="Normal 4 3 3 4 2 3 6" xfId="25747" xr:uid="{00000000-0005-0000-0000-0000CE250000}"/>
    <cellStyle name="Normal 4 3 3 4 2 4" xfId="1935" xr:uid="{00000000-0005-0000-0000-0000CF250000}"/>
    <cellStyle name="Normal 4 3 3 4 2 4 2" xfId="5011" xr:uid="{00000000-0005-0000-0000-0000D0250000}"/>
    <cellStyle name="Normal 4 3 3 4 2 4 2 2" xfId="11155" xr:uid="{00000000-0005-0000-0000-0000D1250000}"/>
    <cellStyle name="Normal 4 3 3 4 2 4 2 2 2" xfId="23443" xr:uid="{00000000-0005-0000-0000-0000D2250000}"/>
    <cellStyle name="Normal 4 3 3 4 2 4 2 2 2 2" xfId="48019" xr:uid="{00000000-0005-0000-0000-0000D3250000}"/>
    <cellStyle name="Normal 4 3 3 4 2 4 2 2 3" xfId="35731" xr:uid="{00000000-0005-0000-0000-0000D4250000}"/>
    <cellStyle name="Normal 4 3 3 4 2 4 2 3" xfId="17299" xr:uid="{00000000-0005-0000-0000-0000D5250000}"/>
    <cellStyle name="Normal 4 3 3 4 2 4 2 3 2" xfId="41875" xr:uid="{00000000-0005-0000-0000-0000D6250000}"/>
    <cellStyle name="Normal 4 3 3 4 2 4 2 4" xfId="29587" xr:uid="{00000000-0005-0000-0000-0000D7250000}"/>
    <cellStyle name="Normal 4 3 3 4 2 4 3" xfId="8083" xr:uid="{00000000-0005-0000-0000-0000D8250000}"/>
    <cellStyle name="Normal 4 3 3 4 2 4 3 2" xfId="20371" xr:uid="{00000000-0005-0000-0000-0000D9250000}"/>
    <cellStyle name="Normal 4 3 3 4 2 4 3 2 2" xfId="44947" xr:uid="{00000000-0005-0000-0000-0000DA250000}"/>
    <cellStyle name="Normal 4 3 3 4 2 4 3 3" xfId="32659" xr:uid="{00000000-0005-0000-0000-0000DB250000}"/>
    <cellStyle name="Normal 4 3 3 4 2 4 4" xfId="14227" xr:uid="{00000000-0005-0000-0000-0000DC250000}"/>
    <cellStyle name="Normal 4 3 3 4 2 4 4 2" xfId="38803" xr:uid="{00000000-0005-0000-0000-0000DD250000}"/>
    <cellStyle name="Normal 4 3 3 4 2 4 5" xfId="26515" xr:uid="{00000000-0005-0000-0000-0000DE250000}"/>
    <cellStyle name="Normal 4 3 3 4 2 5" xfId="3475" xr:uid="{00000000-0005-0000-0000-0000DF250000}"/>
    <cellStyle name="Normal 4 3 3 4 2 5 2" xfId="9619" xr:uid="{00000000-0005-0000-0000-0000E0250000}"/>
    <cellStyle name="Normal 4 3 3 4 2 5 2 2" xfId="21907" xr:uid="{00000000-0005-0000-0000-0000E1250000}"/>
    <cellStyle name="Normal 4 3 3 4 2 5 2 2 2" xfId="46483" xr:uid="{00000000-0005-0000-0000-0000E2250000}"/>
    <cellStyle name="Normal 4 3 3 4 2 5 2 3" xfId="34195" xr:uid="{00000000-0005-0000-0000-0000E3250000}"/>
    <cellStyle name="Normal 4 3 3 4 2 5 3" xfId="15763" xr:uid="{00000000-0005-0000-0000-0000E4250000}"/>
    <cellStyle name="Normal 4 3 3 4 2 5 3 2" xfId="40339" xr:uid="{00000000-0005-0000-0000-0000E5250000}"/>
    <cellStyle name="Normal 4 3 3 4 2 5 4" xfId="28051" xr:uid="{00000000-0005-0000-0000-0000E6250000}"/>
    <cellStyle name="Normal 4 3 3 4 2 6" xfId="6547" xr:uid="{00000000-0005-0000-0000-0000E7250000}"/>
    <cellStyle name="Normal 4 3 3 4 2 6 2" xfId="18835" xr:uid="{00000000-0005-0000-0000-0000E8250000}"/>
    <cellStyle name="Normal 4 3 3 4 2 6 2 2" xfId="43411" xr:uid="{00000000-0005-0000-0000-0000E9250000}"/>
    <cellStyle name="Normal 4 3 3 4 2 6 3" xfId="31123" xr:uid="{00000000-0005-0000-0000-0000EA250000}"/>
    <cellStyle name="Normal 4 3 3 4 2 7" xfId="12691" xr:uid="{00000000-0005-0000-0000-0000EB250000}"/>
    <cellStyle name="Normal 4 3 3 4 2 7 2" xfId="37267" xr:uid="{00000000-0005-0000-0000-0000EC250000}"/>
    <cellStyle name="Normal 4 3 3 4 2 8" xfId="24979" xr:uid="{00000000-0005-0000-0000-0000ED250000}"/>
    <cellStyle name="Normal 4 3 3 4 3" xfId="591" xr:uid="{00000000-0005-0000-0000-0000EE250000}"/>
    <cellStyle name="Normal 4 3 3 4 3 2" xfId="1359" xr:uid="{00000000-0005-0000-0000-0000EF250000}"/>
    <cellStyle name="Normal 4 3 3 4 3 2 2" xfId="2895" xr:uid="{00000000-0005-0000-0000-0000F0250000}"/>
    <cellStyle name="Normal 4 3 3 4 3 2 2 2" xfId="5971" xr:uid="{00000000-0005-0000-0000-0000F1250000}"/>
    <cellStyle name="Normal 4 3 3 4 3 2 2 2 2" xfId="12115" xr:uid="{00000000-0005-0000-0000-0000F2250000}"/>
    <cellStyle name="Normal 4 3 3 4 3 2 2 2 2 2" xfId="24403" xr:uid="{00000000-0005-0000-0000-0000F3250000}"/>
    <cellStyle name="Normal 4 3 3 4 3 2 2 2 2 2 2" xfId="48979" xr:uid="{00000000-0005-0000-0000-0000F4250000}"/>
    <cellStyle name="Normal 4 3 3 4 3 2 2 2 2 3" xfId="36691" xr:uid="{00000000-0005-0000-0000-0000F5250000}"/>
    <cellStyle name="Normal 4 3 3 4 3 2 2 2 3" xfId="18259" xr:uid="{00000000-0005-0000-0000-0000F6250000}"/>
    <cellStyle name="Normal 4 3 3 4 3 2 2 2 3 2" xfId="42835" xr:uid="{00000000-0005-0000-0000-0000F7250000}"/>
    <cellStyle name="Normal 4 3 3 4 3 2 2 2 4" xfId="30547" xr:uid="{00000000-0005-0000-0000-0000F8250000}"/>
    <cellStyle name="Normal 4 3 3 4 3 2 2 3" xfId="9043" xr:uid="{00000000-0005-0000-0000-0000F9250000}"/>
    <cellStyle name="Normal 4 3 3 4 3 2 2 3 2" xfId="21331" xr:uid="{00000000-0005-0000-0000-0000FA250000}"/>
    <cellStyle name="Normal 4 3 3 4 3 2 2 3 2 2" xfId="45907" xr:uid="{00000000-0005-0000-0000-0000FB250000}"/>
    <cellStyle name="Normal 4 3 3 4 3 2 2 3 3" xfId="33619" xr:uid="{00000000-0005-0000-0000-0000FC250000}"/>
    <cellStyle name="Normal 4 3 3 4 3 2 2 4" xfId="15187" xr:uid="{00000000-0005-0000-0000-0000FD250000}"/>
    <cellStyle name="Normal 4 3 3 4 3 2 2 4 2" xfId="39763" xr:uid="{00000000-0005-0000-0000-0000FE250000}"/>
    <cellStyle name="Normal 4 3 3 4 3 2 2 5" xfId="27475" xr:uid="{00000000-0005-0000-0000-0000FF250000}"/>
    <cellStyle name="Normal 4 3 3 4 3 2 3" xfId="4435" xr:uid="{00000000-0005-0000-0000-000000260000}"/>
    <cellStyle name="Normal 4 3 3 4 3 2 3 2" xfId="10579" xr:uid="{00000000-0005-0000-0000-000001260000}"/>
    <cellStyle name="Normal 4 3 3 4 3 2 3 2 2" xfId="22867" xr:uid="{00000000-0005-0000-0000-000002260000}"/>
    <cellStyle name="Normal 4 3 3 4 3 2 3 2 2 2" xfId="47443" xr:uid="{00000000-0005-0000-0000-000003260000}"/>
    <cellStyle name="Normal 4 3 3 4 3 2 3 2 3" xfId="35155" xr:uid="{00000000-0005-0000-0000-000004260000}"/>
    <cellStyle name="Normal 4 3 3 4 3 2 3 3" xfId="16723" xr:uid="{00000000-0005-0000-0000-000005260000}"/>
    <cellStyle name="Normal 4 3 3 4 3 2 3 3 2" xfId="41299" xr:uid="{00000000-0005-0000-0000-000006260000}"/>
    <cellStyle name="Normal 4 3 3 4 3 2 3 4" xfId="29011" xr:uid="{00000000-0005-0000-0000-000007260000}"/>
    <cellStyle name="Normal 4 3 3 4 3 2 4" xfId="7507" xr:uid="{00000000-0005-0000-0000-000008260000}"/>
    <cellStyle name="Normal 4 3 3 4 3 2 4 2" xfId="19795" xr:uid="{00000000-0005-0000-0000-000009260000}"/>
    <cellStyle name="Normal 4 3 3 4 3 2 4 2 2" xfId="44371" xr:uid="{00000000-0005-0000-0000-00000A260000}"/>
    <cellStyle name="Normal 4 3 3 4 3 2 4 3" xfId="32083" xr:uid="{00000000-0005-0000-0000-00000B260000}"/>
    <cellStyle name="Normal 4 3 3 4 3 2 5" xfId="13651" xr:uid="{00000000-0005-0000-0000-00000C260000}"/>
    <cellStyle name="Normal 4 3 3 4 3 2 5 2" xfId="38227" xr:uid="{00000000-0005-0000-0000-00000D260000}"/>
    <cellStyle name="Normal 4 3 3 4 3 2 6" xfId="25939" xr:uid="{00000000-0005-0000-0000-00000E260000}"/>
    <cellStyle name="Normal 4 3 3 4 3 3" xfId="2127" xr:uid="{00000000-0005-0000-0000-00000F260000}"/>
    <cellStyle name="Normal 4 3 3 4 3 3 2" xfId="5203" xr:uid="{00000000-0005-0000-0000-000010260000}"/>
    <cellStyle name="Normal 4 3 3 4 3 3 2 2" xfId="11347" xr:uid="{00000000-0005-0000-0000-000011260000}"/>
    <cellStyle name="Normal 4 3 3 4 3 3 2 2 2" xfId="23635" xr:uid="{00000000-0005-0000-0000-000012260000}"/>
    <cellStyle name="Normal 4 3 3 4 3 3 2 2 2 2" xfId="48211" xr:uid="{00000000-0005-0000-0000-000013260000}"/>
    <cellStyle name="Normal 4 3 3 4 3 3 2 2 3" xfId="35923" xr:uid="{00000000-0005-0000-0000-000014260000}"/>
    <cellStyle name="Normal 4 3 3 4 3 3 2 3" xfId="17491" xr:uid="{00000000-0005-0000-0000-000015260000}"/>
    <cellStyle name="Normal 4 3 3 4 3 3 2 3 2" xfId="42067" xr:uid="{00000000-0005-0000-0000-000016260000}"/>
    <cellStyle name="Normal 4 3 3 4 3 3 2 4" xfId="29779" xr:uid="{00000000-0005-0000-0000-000017260000}"/>
    <cellStyle name="Normal 4 3 3 4 3 3 3" xfId="8275" xr:uid="{00000000-0005-0000-0000-000018260000}"/>
    <cellStyle name="Normal 4 3 3 4 3 3 3 2" xfId="20563" xr:uid="{00000000-0005-0000-0000-000019260000}"/>
    <cellStyle name="Normal 4 3 3 4 3 3 3 2 2" xfId="45139" xr:uid="{00000000-0005-0000-0000-00001A260000}"/>
    <cellStyle name="Normal 4 3 3 4 3 3 3 3" xfId="32851" xr:uid="{00000000-0005-0000-0000-00001B260000}"/>
    <cellStyle name="Normal 4 3 3 4 3 3 4" xfId="14419" xr:uid="{00000000-0005-0000-0000-00001C260000}"/>
    <cellStyle name="Normal 4 3 3 4 3 3 4 2" xfId="38995" xr:uid="{00000000-0005-0000-0000-00001D260000}"/>
    <cellStyle name="Normal 4 3 3 4 3 3 5" xfId="26707" xr:uid="{00000000-0005-0000-0000-00001E260000}"/>
    <cellStyle name="Normal 4 3 3 4 3 4" xfId="3667" xr:uid="{00000000-0005-0000-0000-00001F260000}"/>
    <cellStyle name="Normal 4 3 3 4 3 4 2" xfId="9811" xr:uid="{00000000-0005-0000-0000-000020260000}"/>
    <cellStyle name="Normal 4 3 3 4 3 4 2 2" xfId="22099" xr:uid="{00000000-0005-0000-0000-000021260000}"/>
    <cellStyle name="Normal 4 3 3 4 3 4 2 2 2" xfId="46675" xr:uid="{00000000-0005-0000-0000-000022260000}"/>
    <cellStyle name="Normal 4 3 3 4 3 4 2 3" xfId="34387" xr:uid="{00000000-0005-0000-0000-000023260000}"/>
    <cellStyle name="Normal 4 3 3 4 3 4 3" xfId="15955" xr:uid="{00000000-0005-0000-0000-000024260000}"/>
    <cellStyle name="Normal 4 3 3 4 3 4 3 2" xfId="40531" xr:uid="{00000000-0005-0000-0000-000025260000}"/>
    <cellStyle name="Normal 4 3 3 4 3 4 4" xfId="28243" xr:uid="{00000000-0005-0000-0000-000026260000}"/>
    <cellStyle name="Normal 4 3 3 4 3 5" xfId="6739" xr:uid="{00000000-0005-0000-0000-000027260000}"/>
    <cellStyle name="Normal 4 3 3 4 3 5 2" xfId="19027" xr:uid="{00000000-0005-0000-0000-000028260000}"/>
    <cellStyle name="Normal 4 3 3 4 3 5 2 2" xfId="43603" xr:uid="{00000000-0005-0000-0000-000029260000}"/>
    <cellStyle name="Normal 4 3 3 4 3 5 3" xfId="31315" xr:uid="{00000000-0005-0000-0000-00002A260000}"/>
    <cellStyle name="Normal 4 3 3 4 3 6" xfId="12883" xr:uid="{00000000-0005-0000-0000-00002B260000}"/>
    <cellStyle name="Normal 4 3 3 4 3 6 2" xfId="37459" xr:uid="{00000000-0005-0000-0000-00002C260000}"/>
    <cellStyle name="Normal 4 3 3 4 3 7" xfId="25171" xr:uid="{00000000-0005-0000-0000-00002D260000}"/>
    <cellStyle name="Normal 4 3 3 4 4" xfId="975" xr:uid="{00000000-0005-0000-0000-00002E260000}"/>
    <cellStyle name="Normal 4 3 3 4 4 2" xfId="2511" xr:uid="{00000000-0005-0000-0000-00002F260000}"/>
    <cellStyle name="Normal 4 3 3 4 4 2 2" xfId="5587" xr:uid="{00000000-0005-0000-0000-000030260000}"/>
    <cellStyle name="Normal 4 3 3 4 4 2 2 2" xfId="11731" xr:uid="{00000000-0005-0000-0000-000031260000}"/>
    <cellStyle name="Normal 4 3 3 4 4 2 2 2 2" xfId="24019" xr:uid="{00000000-0005-0000-0000-000032260000}"/>
    <cellStyle name="Normal 4 3 3 4 4 2 2 2 2 2" xfId="48595" xr:uid="{00000000-0005-0000-0000-000033260000}"/>
    <cellStyle name="Normal 4 3 3 4 4 2 2 2 3" xfId="36307" xr:uid="{00000000-0005-0000-0000-000034260000}"/>
    <cellStyle name="Normal 4 3 3 4 4 2 2 3" xfId="17875" xr:uid="{00000000-0005-0000-0000-000035260000}"/>
    <cellStyle name="Normal 4 3 3 4 4 2 2 3 2" xfId="42451" xr:uid="{00000000-0005-0000-0000-000036260000}"/>
    <cellStyle name="Normal 4 3 3 4 4 2 2 4" xfId="30163" xr:uid="{00000000-0005-0000-0000-000037260000}"/>
    <cellStyle name="Normal 4 3 3 4 4 2 3" xfId="8659" xr:uid="{00000000-0005-0000-0000-000038260000}"/>
    <cellStyle name="Normal 4 3 3 4 4 2 3 2" xfId="20947" xr:uid="{00000000-0005-0000-0000-000039260000}"/>
    <cellStyle name="Normal 4 3 3 4 4 2 3 2 2" xfId="45523" xr:uid="{00000000-0005-0000-0000-00003A260000}"/>
    <cellStyle name="Normal 4 3 3 4 4 2 3 3" xfId="33235" xr:uid="{00000000-0005-0000-0000-00003B260000}"/>
    <cellStyle name="Normal 4 3 3 4 4 2 4" xfId="14803" xr:uid="{00000000-0005-0000-0000-00003C260000}"/>
    <cellStyle name="Normal 4 3 3 4 4 2 4 2" xfId="39379" xr:uid="{00000000-0005-0000-0000-00003D260000}"/>
    <cellStyle name="Normal 4 3 3 4 4 2 5" xfId="27091" xr:uid="{00000000-0005-0000-0000-00003E260000}"/>
    <cellStyle name="Normal 4 3 3 4 4 3" xfId="4051" xr:uid="{00000000-0005-0000-0000-00003F260000}"/>
    <cellStyle name="Normal 4 3 3 4 4 3 2" xfId="10195" xr:uid="{00000000-0005-0000-0000-000040260000}"/>
    <cellStyle name="Normal 4 3 3 4 4 3 2 2" xfId="22483" xr:uid="{00000000-0005-0000-0000-000041260000}"/>
    <cellStyle name="Normal 4 3 3 4 4 3 2 2 2" xfId="47059" xr:uid="{00000000-0005-0000-0000-000042260000}"/>
    <cellStyle name="Normal 4 3 3 4 4 3 2 3" xfId="34771" xr:uid="{00000000-0005-0000-0000-000043260000}"/>
    <cellStyle name="Normal 4 3 3 4 4 3 3" xfId="16339" xr:uid="{00000000-0005-0000-0000-000044260000}"/>
    <cellStyle name="Normal 4 3 3 4 4 3 3 2" xfId="40915" xr:uid="{00000000-0005-0000-0000-000045260000}"/>
    <cellStyle name="Normal 4 3 3 4 4 3 4" xfId="28627" xr:uid="{00000000-0005-0000-0000-000046260000}"/>
    <cellStyle name="Normal 4 3 3 4 4 4" xfId="7123" xr:uid="{00000000-0005-0000-0000-000047260000}"/>
    <cellStyle name="Normal 4 3 3 4 4 4 2" xfId="19411" xr:uid="{00000000-0005-0000-0000-000048260000}"/>
    <cellStyle name="Normal 4 3 3 4 4 4 2 2" xfId="43987" xr:uid="{00000000-0005-0000-0000-000049260000}"/>
    <cellStyle name="Normal 4 3 3 4 4 4 3" xfId="31699" xr:uid="{00000000-0005-0000-0000-00004A260000}"/>
    <cellStyle name="Normal 4 3 3 4 4 5" xfId="13267" xr:uid="{00000000-0005-0000-0000-00004B260000}"/>
    <cellStyle name="Normal 4 3 3 4 4 5 2" xfId="37843" xr:uid="{00000000-0005-0000-0000-00004C260000}"/>
    <cellStyle name="Normal 4 3 3 4 4 6" xfId="25555" xr:uid="{00000000-0005-0000-0000-00004D260000}"/>
    <cellStyle name="Normal 4 3 3 4 5" xfId="1743" xr:uid="{00000000-0005-0000-0000-00004E260000}"/>
    <cellStyle name="Normal 4 3 3 4 5 2" xfId="4819" xr:uid="{00000000-0005-0000-0000-00004F260000}"/>
    <cellStyle name="Normal 4 3 3 4 5 2 2" xfId="10963" xr:uid="{00000000-0005-0000-0000-000050260000}"/>
    <cellStyle name="Normal 4 3 3 4 5 2 2 2" xfId="23251" xr:uid="{00000000-0005-0000-0000-000051260000}"/>
    <cellStyle name="Normal 4 3 3 4 5 2 2 2 2" xfId="47827" xr:uid="{00000000-0005-0000-0000-000052260000}"/>
    <cellStyle name="Normal 4 3 3 4 5 2 2 3" xfId="35539" xr:uid="{00000000-0005-0000-0000-000053260000}"/>
    <cellStyle name="Normal 4 3 3 4 5 2 3" xfId="17107" xr:uid="{00000000-0005-0000-0000-000054260000}"/>
    <cellStyle name="Normal 4 3 3 4 5 2 3 2" xfId="41683" xr:uid="{00000000-0005-0000-0000-000055260000}"/>
    <cellStyle name="Normal 4 3 3 4 5 2 4" xfId="29395" xr:uid="{00000000-0005-0000-0000-000056260000}"/>
    <cellStyle name="Normal 4 3 3 4 5 3" xfId="7891" xr:uid="{00000000-0005-0000-0000-000057260000}"/>
    <cellStyle name="Normal 4 3 3 4 5 3 2" xfId="20179" xr:uid="{00000000-0005-0000-0000-000058260000}"/>
    <cellStyle name="Normal 4 3 3 4 5 3 2 2" xfId="44755" xr:uid="{00000000-0005-0000-0000-000059260000}"/>
    <cellStyle name="Normal 4 3 3 4 5 3 3" xfId="32467" xr:uid="{00000000-0005-0000-0000-00005A260000}"/>
    <cellStyle name="Normal 4 3 3 4 5 4" xfId="14035" xr:uid="{00000000-0005-0000-0000-00005B260000}"/>
    <cellStyle name="Normal 4 3 3 4 5 4 2" xfId="38611" xr:uid="{00000000-0005-0000-0000-00005C260000}"/>
    <cellStyle name="Normal 4 3 3 4 5 5" xfId="26323" xr:uid="{00000000-0005-0000-0000-00005D260000}"/>
    <cellStyle name="Normal 4 3 3 4 6" xfId="3283" xr:uid="{00000000-0005-0000-0000-00005E260000}"/>
    <cellStyle name="Normal 4 3 3 4 6 2" xfId="9427" xr:uid="{00000000-0005-0000-0000-00005F260000}"/>
    <cellStyle name="Normal 4 3 3 4 6 2 2" xfId="21715" xr:uid="{00000000-0005-0000-0000-000060260000}"/>
    <cellStyle name="Normal 4 3 3 4 6 2 2 2" xfId="46291" xr:uid="{00000000-0005-0000-0000-000061260000}"/>
    <cellStyle name="Normal 4 3 3 4 6 2 3" xfId="34003" xr:uid="{00000000-0005-0000-0000-000062260000}"/>
    <cellStyle name="Normal 4 3 3 4 6 3" xfId="15571" xr:uid="{00000000-0005-0000-0000-000063260000}"/>
    <cellStyle name="Normal 4 3 3 4 6 3 2" xfId="40147" xr:uid="{00000000-0005-0000-0000-000064260000}"/>
    <cellStyle name="Normal 4 3 3 4 6 4" xfId="27859" xr:uid="{00000000-0005-0000-0000-000065260000}"/>
    <cellStyle name="Normal 4 3 3 4 7" xfId="6355" xr:uid="{00000000-0005-0000-0000-000066260000}"/>
    <cellStyle name="Normal 4 3 3 4 7 2" xfId="18643" xr:uid="{00000000-0005-0000-0000-000067260000}"/>
    <cellStyle name="Normal 4 3 3 4 7 2 2" xfId="43219" xr:uid="{00000000-0005-0000-0000-000068260000}"/>
    <cellStyle name="Normal 4 3 3 4 7 3" xfId="30931" xr:uid="{00000000-0005-0000-0000-000069260000}"/>
    <cellStyle name="Normal 4 3 3 4 8" xfId="12499" xr:uid="{00000000-0005-0000-0000-00006A260000}"/>
    <cellStyle name="Normal 4 3 3 4 8 2" xfId="37075" xr:uid="{00000000-0005-0000-0000-00006B260000}"/>
    <cellStyle name="Normal 4 3 3 4 9" xfId="24787" xr:uid="{00000000-0005-0000-0000-00006C260000}"/>
    <cellStyle name="Normal 4 3 3 5" xfId="271" xr:uid="{00000000-0005-0000-0000-00006D260000}"/>
    <cellStyle name="Normal 4 3 3 5 2" xfId="463" xr:uid="{00000000-0005-0000-0000-00006E260000}"/>
    <cellStyle name="Normal 4 3 3 5 2 2" xfId="847" xr:uid="{00000000-0005-0000-0000-00006F260000}"/>
    <cellStyle name="Normal 4 3 3 5 2 2 2" xfId="1615" xr:uid="{00000000-0005-0000-0000-000070260000}"/>
    <cellStyle name="Normal 4 3 3 5 2 2 2 2" xfId="3151" xr:uid="{00000000-0005-0000-0000-000071260000}"/>
    <cellStyle name="Normal 4 3 3 5 2 2 2 2 2" xfId="6227" xr:uid="{00000000-0005-0000-0000-000072260000}"/>
    <cellStyle name="Normal 4 3 3 5 2 2 2 2 2 2" xfId="12371" xr:uid="{00000000-0005-0000-0000-000073260000}"/>
    <cellStyle name="Normal 4 3 3 5 2 2 2 2 2 2 2" xfId="24659" xr:uid="{00000000-0005-0000-0000-000074260000}"/>
    <cellStyle name="Normal 4 3 3 5 2 2 2 2 2 2 2 2" xfId="49235" xr:uid="{00000000-0005-0000-0000-000075260000}"/>
    <cellStyle name="Normal 4 3 3 5 2 2 2 2 2 2 3" xfId="36947" xr:uid="{00000000-0005-0000-0000-000076260000}"/>
    <cellStyle name="Normal 4 3 3 5 2 2 2 2 2 3" xfId="18515" xr:uid="{00000000-0005-0000-0000-000077260000}"/>
    <cellStyle name="Normal 4 3 3 5 2 2 2 2 2 3 2" xfId="43091" xr:uid="{00000000-0005-0000-0000-000078260000}"/>
    <cellStyle name="Normal 4 3 3 5 2 2 2 2 2 4" xfId="30803" xr:uid="{00000000-0005-0000-0000-000079260000}"/>
    <cellStyle name="Normal 4 3 3 5 2 2 2 2 3" xfId="9299" xr:uid="{00000000-0005-0000-0000-00007A260000}"/>
    <cellStyle name="Normal 4 3 3 5 2 2 2 2 3 2" xfId="21587" xr:uid="{00000000-0005-0000-0000-00007B260000}"/>
    <cellStyle name="Normal 4 3 3 5 2 2 2 2 3 2 2" xfId="46163" xr:uid="{00000000-0005-0000-0000-00007C260000}"/>
    <cellStyle name="Normal 4 3 3 5 2 2 2 2 3 3" xfId="33875" xr:uid="{00000000-0005-0000-0000-00007D260000}"/>
    <cellStyle name="Normal 4 3 3 5 2 2 2 2 4" xfId="15443" xr:uid="{00000000-0005-0000-0000-00007E260000}"/>
    <cellStyle name="Normal 4 3 3 5 2 2 2 2 4 2" xfId="40019" xr:uid="{00000000-0005-0000-0000-00007F260000}"/>
    <cellStyle name="Normal 4 3 3 5 2 2 2 2 5" xfId="27731" xr:uid="{00000000-0005-0000-0000-000080260000}"/>
    <cellStyle name="Normal 4 3 3 5 2 2 2 3" xfId="4691" xr:uid="{00000000-0005-0000-0000-000081260000}"/>
    <cellStyle name="Normal 4 3 3 5 2 2 2 3 2" xfId="10835" xr:uid="{00000000-0005-0000-0000-000082260000}"/>
    <cellStyle name="Normal 4 3 3 5 2 2 2 3 2 2" xfId="23123" xr:uid="{00000000-0005-0000-0000-000083260000}"/>
    <cellStyle name="Normal 4 3 3 5 2 2 2 3 2 2 2" xfId="47699" xr:uid="{00000000-0005-0000-0000-000084260000}"/>
    <cellStyle name="Normal 4 3 3 5 2 2 2 3 2 3" xfId="35411" xr:uid="{00000000-0005-0000-0000-000085260000}"/>
    <cellStyle name="Normal 4 3 3 5 2 2 2 3 3" xfId="16979" xr:uid="{00000000-0005-0000-0000-000086260000}"/>
    <cellStyle name="Normal 4 3 3 5 2 2 2 3 3 2" xfId="41555" xr:uid="{00000000-0005-0000-0000-000087260000}"/>
    <cellStyle name="Normal 4 3 3 5 2 2 2 3 4" xfId="29267" xr:uid="{00000000-0005-0000-0000-000088260000}"/>
    <cellStyle name="Normal 4 3 3 5 2 2 2 4" xfId="7763" xr:uid="{00000000-0005-0000-0000-000089260000}"/>
    <cellStyle name="Normal 4 3 3 5 2 2 2 4 2" xfId="20051" xr:uid="{00000000-0005-0000-0000-00008A260000}"/>
    <cellStyle name="Normal 4 3 3 5 2 2 2 4 2 2" xfId="44627" xr:uid="{00000000-0005-0000-0000-00008B260000}"/>
    <cellStyle name="Normal 4 3 3 5 2 2 2 4 3" xfId="32339" xr:uid="{00000000-0005-0000-0000-00008C260000}"/>
    <cellStyle name="Normal 4 3 3 5 2 2 2 5" xfId="13907" xr:uid="{00000000-0005-0000-0000-00008D260000}"/>
    <cellStyle name="Normal 4 3 3 5 2 2 2 5 2" xfId="38483" xr:uid="{00000000-0005-0000-0000-00008E260000}"/>
    <cellStyle name="Normal 4 3 3 5 2 2 2 6" xfId="26195" xr:uid="{00000000-0005-0000-0000-00008F260000}"/>
    <cellStyle name="Normal 4 3 3 5 2 2 3" xfId="2383" xr:uid="{00000000-0005-0000-0000-000090260000}"/>
    <cellStyle name="Normal 4 3 3 5 2 2 3 2" xfId="5459" xr:uid="{00000000-0005-0000-0000-000091260000}"/>
    <cellStyle name="Normal 4 3 3 5 2 2 3 2 2" xfId="11603" xr:uid="{00000000-0005-0000-0000-000092260000}"/>
    <cellStyle name="Normal 4 3 3 5 2 2 3 2 2 2" xfId="23891" xr:uid="{00000000-0005-0000-0000-000093260000}"/>
    <cellStyle name="Normal 4 3 3 5 2 2 3 2 2 2 2" xfId="48467" xr:uid="{00000000-0005-0000-0000-000094260000}"/>
    <cellStyle name="Normal 4 3 3 5 2 2 3 2 2 3" xfId="36179" xr:uid="{00000000-0005-0000-0000-000095260000}"/>
    <cellStyle name="Normal 4 3 3 5 2 2 3 2 3" xfId="17747" xr:uid="{00000000-0005-0000-0000-000096260000}"/>
    <cellStyle name="Normal 4 3 3 5 2 2 3 2 3 2" xfId="42323" xr:uid="{00000000-0005-0000-0000-000097260000}"/>
    <cellStyle name="Normal 4 3 3 5 2 2 3 2 4" xfId="30035" xr:uid="{00000000-0005-0000-0000-000098260000}"/>
    <cellStyle name="Normal 4 3 3 5 2 2 3 3" xfId="8531" xr:uid="{00000000-0005-0000-0000-000099260000}"/>
    <cellStyle name="Normal 4 3 3 5 2 2 3 3 2" xfId="20819" xr:uid="{00000000-0005-0000-0000-00009A260000}"/>
    <cellStyle name="Normal 4 3 3 5 2 2 3 3 2 2" xfId="45395" xr:uid="{00000000-0005-0000-0000-00009B260000}"/>
    <cellStyle name="Normal 4 3 3 5 2 2 3 3 3" xfId="33107" xr:uid="{00000000-0005-0000-0000-00009C260000}"/>
    <cellStyle name="Normal 4 3 3 5 2 2 3 4" xfId="14675" xr:uid="{00000000-0005-0000-0000-00009D260000}"/>
    <cellStyle name="Normal 4 3 3 5 2 2 3 4 2" xfId="39251" xr:uid="{00000000-0005-0000-0000-00009E260000}"/>
    <cellStyle name="Normal 4 3 3 5 2 2 3 5" xfId="26963" xr:uid="{00000000-0005-0000-0000-00009F260000}"/>
    <cellStyle name="Normal 4 3 3 5 2 2 4" xfId="3923" xr:uid="{00000000-0005-0000-0000-0000A0260000}"/>
    <cellStyle name="Normal 4 3 3 5 2 2 4 2" xfId="10067" xr:uid="{00000000-0005-0000-0000-0000A1260000}"/>
    <cellStyle name="Normal 4 3 3 5 2 2 4 2 2" xfId="22355" xr:uid="{00000000-0005-0000-0000-0000A2260000}"/>
    <cellStyle name="Normal 4 3 3 5 2 2 4 2 2 2" xfId="46931" xr:uid="{00000000-0005-0000-0000-0000A3260000}"/>
    <cellStyle name="Normal 4 3 3 5 2 2 4 2 3" xfId="34643" xr:uid="{00000000-0005-0000-0000-0000A4260000}"/>
    <cellStyle name="Normal 4 3 3 5 2 2 4 3" xfId="16211" xr:uid="{00000000-0005-0000-0000-0000A5260000}"/>
    <cellStyle name="Normal 4 3 3 5 2 2 4 3 2" xfId="40787" xr:uid="{00000000-0005-0000-0000-0000A6260000}"/>
    <cellStyle name="Normal 4 3 3 5 2 2 4 4" xfId="28499" xr:uid="{00000000-0005-0000-0000-0000A7260000}"/>
    <cellStyle name="Normal 4 3 3 5 2 2 5" xfId="6995" xr:uid="{00000000-0005-0000-0000-0000A8260000}"/>
    <cellStyle name="Normal 4 3 3 5 2 2 5 2" xfId="19283" xr:uid="{00000000-0005-0000-0000-0000A9260000}"/>
    <cellStyle name="Normal 4 3 3 5 2 2 5 2 2" xfId="43859" xr:uid="{00000000-0005-0000-0000-0000AA260000}"/>
    <cellStyle name="Normal 4 3 3 5 2 2 5 3" xfId="31571" xr:uid="{00000000-0005-0000-0000-0000AB260000}"/>
    <cellStyle name="Normal 4 3 3 5 2 2 6" xfId="13139" xr:uid="{00000000-0005-0000-0000-0000AC260000}"/>
    <cellStyle name="Normal 4 3 3 5 2 2 6 2" xfId="37715" xr:uid="{00000000-0005-0000-0000-0000AD260000}"/>
    <cellStyle name="Normal 4 3 3 5 2 2 7" xfId="25427" xr:uid="{00000000-0005-0000-0000-0000AE260000}"/>
    <cellStyle name="Normal 4 3 3 5 2 3" xfId="1231" xr:uid="{00000000-0005-0000-0000-0000AF260000}"/>
    <cellStyle name="Normal 4 3 3 5 2 3 2" xfId="2767" xr:uid="{00000000-0005-0000-0000-0000B0260000}"/>
    <cellStyle name="Normal 4 3 3 5 2 3 2 2" xfId="5843" xr:uid="{00000000-0005-0000-0000-0000B1260000}"/>
    <cellStyle name="Normal 4 3 3 5 2 3 2 2 2" xfId="11987" xr:uid="{00000000-0005-0000-0000-0000B2260000}"/>
    <cellStyle name="Normal 4 3 3 5 2 3 2 2 2 2" xfId="24275" xr:uid="{00000000-0005-0000-0000-0000B3260000}"/>
    <cellStyle name="Normal 4 3 3 5 2 3 2 2 2 2 2" xfId="48851" xr:uid="{00000000-0005-0000-0000-0000B4260000}"/>
    <cellStyle name="Normal 4 3 3 5 2 3 2 2 2 3" xfId="36563" xr:uid="{00000000-0005-0000-0000-0000B5260000}"/>
    <cellStyle name="Normal 4 3 3 5 2 3 2 2 3" xfId="18131" xr:uid="{00000000-0005-0000-0000-0000B6260000}"/>
    <cellStyle name="Normal 4 3 3 5 2 3 2 2 3 2" xfId="42707" xr:uid="{00000000-0005-0000-0000-0000B7260000}"/>
    <cellStyle name="Normal 4 3 3 5 2 3 2 2 4" xfId="30419" xr:uid="{00000000-0005-0000-0000-0000B8260000}"/>
    <cellStyle name="Normal 4 3 3 5 2 3 2 3" xfId="8915" xr:uid="{00000000-0005-0000-0000-0000B9260000}"/>
    <cellStyle name="Normal 4 3 3 5 2 3 2 3 2" xfId="21203" xr:uid="{00000000-0005-0000-0000-0000BA260000}"/>
    <cellStyle name="Normal 4 3 3 5 2 3 2 3 2 2" xfId="45779" xr:uid="{00000000-0005-0000-0000-0000BB260000}"/>
    <cellStyle name="Normal 4 3 3 5 2 3 2 3 3" xfId="33491" xr:uid="{00000000-0005-0000-0000-0000BC260000}"/>
    <cellStyle name="Normal 4 3 3 5 2 3 2 4" xfId="15059" xr:uid="{00000000-0005-0000-0000-0000BD260000}"/>
    <cellStyle name="Normal 4 3 3 5 2 3 2 4 2" xfId="39635" xr:uid="{00000000-0005-0000-0000-0000BE260000}"/>
    <cellStyle name="Normal 4 3 3 5 2 3 2 5" xfId="27347" xr:uid="{00000000-0005-0000-0000-0000BF260000}"/>
    <cellStyle name="Normal 4 3 3 5 2 3 3" xfId="4307" xr:uid="{00000000-0005-0000-0000-0000C0260000}"/>
    <cellStyle name="Normal 4 3 3 5 2 3 3 2" xfId="10451" xr:uid="{00000000-0005-0000-0000-0000C1260000}"/>
    <cellStyle name="Normal 4 3 3 5 2 3 3 2 2" xfId="22739" xr:uid="{00000000-0005-0000-0000-0000C2260000}"/>
    <cellStyle name="Normal 4 3 3 5 2 3 3 2 2 2" xfId="47315" xr:uid="{00000000-0005-0000-0000-0000C3260000}"/>
    <cellStyle name="Normal 4 3 3 5 2 3 3 2 3" xfId="35027" xr:uid="{00000000-0005-0000-0000-0000C4260000}"/>
    <cellStyle name="Normal 4 3 3 5 2 3 3 3" xfId="16595" xr:uid="{00000000-0005-0000-0000-0000C5260000}"/>
    <cellStyle name="Normal 4 3 3 5 2 3 3 3 2" xfId="41171" xr:uid="{00000000-0005-0000-0000-0000C6260000}"/>
    <cellStyle name="Normal 4 3 3 5 2 3 3 4" xfId="28883" xr:uid="{00000000-0005-0000-0000-0000C7260000}"/>
    <cellStyle name="Normal 4 3 3 5 2 3 4" xfId="7379" xr:uid="{00000000-0005-0000-0000-0000C8260000}"/>
    <cellStyle name="Normal 4 3 3 5 2 3 4 2" xfId="19667" xr:uid="{00000000-0005-0000-0000-0000C9260000}"/>
    <cellStyle name="Normal 4 3 3 5 2 3 4 2 2" xfId="44243" xr:uid="{00000000-0005-0000-0000-0000CA260000}"/>
    <cellStyle name="Normal 4 3 3 5 2 3 4 3" xfId="31955" xr:uid="{00000000-0005-0000-0000-0000CB260000}"/>
    <cellStyle name="Normal 4 3 3 5 2 3 5" xfId="13523" xr:uid="{00000000-0005-0000-0000-0000CC260000}"/>
    <cellStyle name="Normal 4 3 3 5 2 3 5 2" xfId="38099" xr:uid="{00000000-0005-0000-0000-0000CD260000}"/>
    <cellStyle name="Normal 4 3 3 5 2 3 6" xfId="25811" xr:uid="{00000000-0005-0000-0000-0000CE260000}"/>
    <cellStyle name="Normal 4 3 3 5 2 4" xfId="1999" xr:uid="{00000000-0005-0000-0000-0000CF260000}"/>
    <cellStyle name="Normal 4 3 3 5 2 4 2" xfId="5075" xr:uid="{00000000-0005-0000-0000-0000D0260000}"/>
    <cellStyle name="Normal 4 3 3 5 2 4 2 2" xfId="11219" xr:uid="{00000000-0005-0000-0000-0000D1260000}"/>
    <cellStyle name="Normal 4 3 3 5 2 4 2 2 2" xfId="23507" xr:uid="{00000000-0005-0000-0000-0000D2260000}"/>
    <cellStyle name="Normal 4 3 3 5 2 4 2 2 2 2" xfId="48083" xr:uid="{00000000-0005-0000-0000-0000D3260000}"/>
    <cellStyle name="Normal 4 3 3 5 2 4 2 2 3" xfId="35795" xr:uid="{00000000-0005-0000-0000-0000D4260000}"/>
    <cellStyle name="Normal 4 3 3 5 2 4 2 3" xfId="17363" xr:uid="{00000000-0005-0000-0000-0000D5260000}"/>
    <cellStyle name="Normal 4 3 3 5 2 4 2 3 2" xfId="41939" xr:uid="{00000000-0005-0000-0000-0000D6260000}"/>
    <cellStyle name="Normal 4 3 3 5 2 4 2 4" xfId="29651" xr:uid="{00000000-0005-0000-0000-0000D7260000}"/>
    <cellStyle name="Normal 4 3 3 5 2 4 3" xfId="8147" xr:uid="{00000000-0005-0000-0000-0000D8260000}"/>
    <cellStyle name="Normal 4 3 3 5 2 4 3 2" xfId="20435" xr:uid="{00000000-0005-0000-0000-0000D9260000}"/>
    <cellStyle name="Normal 4 3 3 5 2 4 3 2 2" xfId="45011" xr:uid="{00000000-0005-0000-0000-0000DA260000}"/>
    <cellStyle name="Normal 4 3 3 5 2 4 3 3" xfId="32723" xr:uid="{00000000-0005-0000-0000-0000DB260000}"/>
    <cellStyle name="Normal 4 3 3 5 2 4 4" xfId="14291" xr:uid="{00000000-0005-0000-0000-0000DC260000}"/>
    <cellStyle name="Normal 4 3 3 5 2 4 4 2" xfId="38867" xr:uid="{00000000-0005-0000-0000-0000DD260000}"/>
    <cellStyle name="Normal 4 3 3 5 2 4 5" xfId="26579" xr:uid="{00000000-0005-0000-0000-0000DE260000}"/>
    <cellStyle name="Normal 4 3 3 5 2 5" xfId="3539" xr:uid="{00000000-0005-0000-0000-0000DF260000}"/>
    <cellStyle name="Normal 4 3 3 5 2 5 2" xfId="9683" xr:uid="{00000000-0005-0000-0000-0000E0260000}"/>
    <cellStyle name="Normal 4 3 3 5 2 5 2 2" xfId="21971" xr:uid="{00000000-0005-0000-0000-0000E1260000}"/>
    <cellStyle name="Normal 4 3 3 5 2 5 2 2 2" xfId="46547" xr:uid="{00000000-0005-0000-0000-0000E2260000}"/>
    <cellStyle name="Normal 4 3 3 5 2 5 2 3" xfId="34259" xr:uid="{00000000-0005-0000-0000-0000E3260000}"/>
    <cellStyle name="Normal 4 3 3 5 2 5 3" xfId="15827" xr:uid="{00000000-0005-0000-0000-0000E4260000}"/>
    <cellStyle name="Normal 4 3 3 5 2 5 3 2" xfId="40403" xr:uid="{00000000-0005-0000-0000-0000E5260000}"/>
    <cellStyle name="Normal 4 3 3 5 2 5 4" xfId="28115" xr:uid="{00000000-0005-0000-0000-0000E6260000}"/>
    <cellStyle name="Normal 4 3 3 5 2 6" xfId="6611" xr:uid="{00000000-0005-0000-0000-0000E7260000}"/>
    <cellStyle name="Normal 4 3 3 5 2 6 2" xfId="18899" xr:uid="{00000000-0005-0000-0000-0000E8260000}"/>
    <cellStyle name="Normal 4 3 3 5 2 6 2 2" xfId="43475" xr:uid="{00000000-0005-0000-0000-0000E9260000}"/>
    <cellStyle name="Normal 4 3 3 5 2 6 3" xfId="31187" xr:uid="{00000000-0005-0000-0000-0000EA260000}"/>
    <cellStyle name="Normal 4 3 3 5 2 7" xfId="12755" xr:uid="{00000000-0005-0000-0000-0000EB260000}"/>
    <cellStyle name="Normal 4 3 3 5 2 7 2" xfId="37331" xr:uid="{00000000-0005-0000-0000-0000EC260000}"/>
    <cellStyle name="Normal 4 3 3 5 2 8" xfId="25043" xr:uid="{00000000-0005-0000-0000-0000ED260000}"/>
    <cellStyle name="Normal 4 3 3 5 3" xfId="655" xr:uid="{00000000-0005-0000-0000-0000EE260000}"/>
    <cellStyle name="Normal 4 3 3 5 3 2" xfId="1423" xr:uid="{00000000-0005-0000-0000-0000EF260000}"/>
    <cellStyle name="Normal 4 3 3 5 3 2 2" xfId="2959" xr:uid="{00000000-0005-0000-0000-0000F0260000}"/>
    <cellStyle name="Normal 4 3 3 5 3 2 2 2" xfId="6035" xr:uid="{00000000-0005-0000-0000-0000F1260000}"/>
    <cellStyle name="Normal 4 3 3 5 3 2 2 2 2" xfId="12179" xr:uid="{00000000-0005-0000-0000-0000F2260000}"/>
    <cellStyle name="Normal 4 3 3 5 3 2 2 2 2 2" xfId="24467" xr:uid="{00000000-0005-0000-0000-0000F3260000}"/>
    <cellStyle name="Normal 4 3 3 5 3 2 2 2 2 2 2" xfId="49043" xr:uid="{00000000-0005-0000-0000-0000F4260000}"/>
    <cellStyle name="Normal 4 3 3 5 3 2 2 2 2 3" xfId="36755" xr:uid="{00000000-0005-0000-0000-0000F5260000}"/>
    <cellStyle name="Normal 4 3 3 5 3 2 2 2 3" xfId="18323" xr:uid="{00000000-0005-0000-0000-0000F6260000}"/>
    <cellStyle name="Normal 4 3 3 5 3 2 2 2 3 2" xfId="42899" xr:uid="{00000000-0005-0000-0000-0000F7260000}"/>
    <cellStyle name="Normal 4 3 3 5 3 2 2 2 4" xfId="30611" xr:uid="{00000000-0005-0000-0000-0000F8260000}"/>
    <cellStyle name="Normal 4 3 3 5 3 2 2 3" xfId="9107" xr:uid="{00000000-0005-0000-0000-0000F9260000}"/>
    <cellStyle name="Normal 4 3 3 5 3 2 2 3 2" xfId="21395" xr:uid="{00000000-0005-0000-0000-0000FA260000}"/>
    <cellStyle name="Normal 4 3 3 5 3 2 2 3 2 2" xfId="45971" xr:uid="{00000000-0005-0000-0000-0000FB260000}"/>
    <cellStyle name="Normal 4 3 3 5 3 2 2 3 3" xfId="33683" xr:uid="{00000000-0005-0000-0000-0000FC260000}"/>
    <cellStyle name="Normal 4 3 3 5 3 2 2 4" xfId="15251" xr:uid="{00000000-0005-0000-0000-0000FD260000}"/>
    <cellStyle name="Normal 4 3 3 5 3 2 2 4 2" xfId="39827" xr:uid="{00000000-0005-0000-0000-0000FE260000}"/>
    <cellStyle name="Normal 4 3 3 5 3 2 2 5" xfId="27539" xr:uid="{00000000-0005-0000-0000-0000FF260000}"/>
    <cellStyle name="Normal 4 3 3 5 3 2 3" xfId="4499" xr:uid="{00000000-0005-0000-0000-000000270000}"/>
    <cellStyle name="Normal 4 3 3 5 3 2 3 2" xfId="10643" xr:uid="{00000000-0005-0000-0000-000001270000}"/>
    <cellStyle name="Normal 4 3 3 5 3 2 3 2 2" xfId="22931" xr:uid="{00000000-0005-0000-0000-000002270000}"/>
    <cellStyle name="Normal 4 3 3 5 3 2 3 2 2 2" xfId="47507" xr:uid="{00000000-0005-0000-0000-000003270000}"/>
    <cellStyle name="Normal 4 3 3 5 3 2 3 2 3" xfId="35219" xr:uid="{00000000-0005-0000-0000-000004270000}"/>
    <cellStyle name="Normal 4 3 3 5 3 2 3 3" xfId="16787" xr:uid="{00000000-0005-0000-0000-000005270000}"/>
    <cellStyle name="Normal 4 3 3 5 3 2 3 3 2" xfId="41363" xr:uid="{00000000-0005-0000-0000-000006270000}"/>
    <cellStyle name="Normal 4 3 3 5 3 2 3 4" xfId="29075" xr:uid="{00000000-0005-0000-0000-000007270000}"/>
    <cellStyle name="Normal 4 3 3 5 3 2 4" xfId="7571" xr:uid="{00000000-0005-0000-0000-000008270000}"/>
    <cellStyle name="Normal 4 3 3 5 3 2 4 2" xfId="19859" xr:uid="{00000000-0005-0000-0000-000009270000}"/>
    <cellStyle name="Normal 4 3 3 5 3 2 4 2 2" xfId="44435" xr:uid="{00000000-0005-0000-0000-00000A270000}"/>
    <cellStyle name="Normal 4 3 3 5 3 2 4 3" xfId="32147" xr:uid="{00000000-0005-0000-0000-00000B270000}"/>
    <cellStyle name="Normal 4 3 3 5 3 2 5" xfId="13715" xr:uid="{00000000-0005-0000-0000-00000C270000}"/>
    <cellStyle name="Normal 4 3 3 5 3 2 5 2" xfId="38291" xr:uid="{00000000-0005-0000-0000-00000D270000}"/>
    <cellStyle name="Normal 4 3 3 5 3 2 6" xfId="26003" xr:uid="{00000000-0005-0000-0000-00000E270000}"/>
    <cellStyle name="Normal 4 3 3 5 3 3" xfId="2191" xr:uid="{00000000-0005-0000-0000-00000F270000}"/>
    <cellStyle name="Normal 4 3 3 5 3 3 2" xfId="5267" xr:uid="{00000000-0005-0000-0000-000010270000}"/>
    <cellStyle name="Normal 4 3 3 5 3 3 2 2" xfId="11411" xr:uid="{00000000-0005-0000-0000-000011270000}"/>
    <cellStyle name="Normal 4 3 3 5 3 3 2 2 2" xfId="23699" xr:uid="{00000000-0005-0000-0000-000012270000}"/>
    <cellStyle name="Normal 4 3 3 5 3 3 2 2 2 2" xfId="48275" xr:uid="{00000000-0005-0000-0000-000013270000}"/>
    <cellStyle name="Normal 4 3 3 5 3 3 2 2 3" xfId="35987" xr:uid="{00000000-0005-0000-0000-000014270000}"/>
    <cellStyle name="Normal 4 3 3 5 3 3 2 3" xfId="17555" xr:uid="{00000000-0005-0000-0000-000015270000}"/>
    <cellStyle name="Normal 4 3 3 5 3 3 2 3 2" xfId="42131" xr:uid="{00000000-0005-0000-0000-000016270000}"/>
    <cellStyle name="Normal 4 3 3 5 3 3 2 4" xfId="29843" xr:uid="{00000000-0005-0000-0000-000017270000}"/>
    <cellStyle name="Normal 4 3 3 5 3 3 3" xfId="8339" xr:uid="{00000000-0005-0000-0000-000018270000}"/>
    <cellStyle name="Normal 4 3 3 5 3 3 3 2" xfId="20627" xr:uid="{00000000-0005-0000-0000-000019270000}"/>
    <cellStyle name="Normal 4 3 3 5 3 3 3 2 2" xfId="45203" xr:uid="{00000000-0005-0000-0000-00001A270000}"/>
    <cellStyle name="Normal 4 3 3 5 3 3 3 3" xfId="32915" xr:uid="{00000000-0005-0000-0000-00001B270000}"/>
    <cellStyle name="Normal 4 3 3 5 3 3 4" xfId="14483" xr:uid="{00000000-0005-0000-0000-00001C270000}"/>
    <cellStyle name="Normal 4 3 3 5 3 3 4 2" xfId="39059" xr:uid="{00000000-0005-0000-0000-00001D270000}"/>
    <cellStyle name="Normal 4 3 3 5 3 3 5" xfId="26771" xr:uid="{00000000-0005-0000-0000-00001E270000}"/>
    <cellStyle name="Normal 4 3 3 5 3 4" xfId="3731" xr:uid="{00000000-0005-0000-0000-00001F270000}"/>
    <cellStyle name="Normal 4 3 3 5 3 4 2" xfId="9875" xr:uid="{00000000-0005-0000-0000-000020270000}"/>
    <cellStyle name="Normal 4 3 3 5 3 4 2 2" xfId="22163" xr:uid="{00000000-0005-0000-0000-000021270000}"/>
    <cellStyle name="Normal 4 3 3 5 3 4 2 2 2" xfId="46739" xr:uid="{00000000-0005-0000-0000-000022270000}"/>
    <cellStyle name="Normal 4 3 3 5 3 4 2 3" xfId="34451" xr:uid="{00000000-0005-0000-0000-000023270000}"/>
    <cellStyle name="Normal 4 3 3 5 3 4 3" xfId="16019" xr:uid="{00000000-0005-0000-0000-000024270000}"/>
    <cellStyle name="Normal 4 3 3 5 3 4 3 2" xfId="40595" xr:uid="{00000000-0005-0000-0000-000025270000}"/>
    <cellStyle name="Normal 4 3 3 5 3 4 4" xfId="28307" xr:uid="{00000000-0005-0000-0000-000026270000}"/>
    <cellStyle name="Normal 4 3 3 5 3 5" xfId="6803" xr:uid="{00000000-0005-0000-0000-000027270000}"/>
    <cellStyle name="Normal 4 3 3 5 3 5 2" xfId="19091" xr:uid="{00000000-0005-0000-0000-000028270000}"/>
    <cellStyle name="Normal 4 3 3 5 3 5 2 2" xfId="43667" xr:uid="{00000000-0005-0000-0000-000029270000}"/>
    <cellStyle name="Normal 4 3 3 5 3 5 3" xfId="31379" xr:uid="{00000000-0005-0000-0000-00002A270000}"/>
    <cellStyle name="Normal 4 3 3 5 3 6" xfId="12947" xr:uid="{00000000-0005-0000-0000-00002B270000}"/>
    <cellStyle name="Normal 4 3 3 5 3 6 2" xfId="37523" xr:uid="{00000000-0005-0000-0000-00002C270000}"/>
    <cellStyle name="Normal 4 3 3 5 3 7" xfId="25235" xr:uid="{00000000-0005-0000-0000-00002D270000}"/>
    <cellStyle name="Normal 4 3 3 5 4" xfId="1039" xr:uid="{00000000-0005-0000-0000-00002E270000}"/>
    <cellStyle name="Normal 4 3 3 5 4 2" xfId="2575" xr:uid="{00000000-0005-0000-0000-00002F270000}"/>
    <cellStyle name="Normal 4 3 3 5 4 2 2" xfId="5651" xr:uid="{00000000-0005-0000-0000-000030270000}"/>
    <cellStyle name="Normal 4 3 3 5 4 2 2 2" xfId="11795" xr:uid="{00000000-0005-0000-0000-000031270000}"/>
    <cellStyle name="Normal 4 3 3 5 4 2 2 2 2" xfId="24083" xr:uid="{00000000-0005-0000-0000-000032270000}"/>
    <cellStyle name="Normal 4 3 3 5 4 2 2 2 2 2" xfId="48659" xr:uid="{00000000-0005-0000-0000-000033270000}"/>
    <cellStyle name="Normal 4 3 3 5 4 2 2 2 3" xfId="36371" xr:uid="{00000000-0005-0000-0000-000034270000}"/>
    <cellStyle name="Normal 4 3 3 5 4 2 2 3" xfId="17939" xr:uid="{00000000-0005-0000-0000-000035270000}"/>
    <cellStyle name="Normal 4 3 3 5 4 2 2 3 2" xfId="42515" xr:uid="{00000000-0005-0000-0000-000036270000}"/>
    <cellStyle name="Normal 4 3 3 5 4 2 2 4" xfId="30227" xr:uid="{00000000-0005-0000-0000-000037270000}"/>
    <cellStyle name="Normal 4 3 3 5 4 2 3" xfId="8723" xr:uid="{00000000-0005-0000-0000-000038270000}"/>
    <cellStyle name="Normal 4 3 3 5 4 2 3 2" xfId="21011" xr:uid="{00000000-0005-0000-0000-000039270000}"/>
    <cellStyle name="Normal 4 3 3 5 4 2 3 2 2" xfId="45587" xr:uid="{00000000-0005-0000-0000-00003A270000}"/>
    <cellStyle name="Normal 4 3 3 5 4 2 3 3" xfId="33299" xr:uid="{00000000-0005-0000-0000-00003B270000}"/>
    <cellStyle name="Normal 4 3 3 5 4 2 4" xfId="14867" xr:uid="{00000000-0005-0000-0000-00003C270000}"/>
    <cellStyle name="Normal 4 3 3 5 4 2 4 2" xfId="39443" xr:uid="{00000000-0005-0000-0000-00003D270000}"/>
    <cellStyle name="Normal 4 3 3 5 4 2 5" xfId="27155" xr:uid="{00000000-0005-0000-0000-00003E270000}"/>
    <cellStyle name="Normal 4 3 3 5 4 3" xfId="4115" xr:uid="{00000000-0005-0000-0000-00003F270000}"/>
    <cellStyle name="Normal 4 3 3 5 4 3 2" xfId="10259" xr:uid="{00000000-0005-0000-0000-000040270000}"/>
    <cellStyle name="Normal 4 3 3 5 4 3 2 2" xfId="22547" xr:uid="{00000000-0005-0000-0000-000041270000}"/>
    <cellStyle name="Normal 4 3 3 5 4 3 2 2 2" xfId="47123" xr:uid="{00000000-0005-0000-0000-000042270000}"/>
    <cellStyle name="Normal 4 3 3 5 4 3 2 3" xfId="34835" xr:uid="{00000000-0005-0000-0000-000043270000}"/>
    <cellStyle name="Normal 4 3 3 5 4 3 3" xfId="16403" xr:uid="{00000000-0005-0000-0000-000044270000}"/>
    <cellStyle name="Normal 4 3 3 5 4 3 3 2" xfId="40979" xr:uid="{00000000-0005-0000-0000-000045270000}"/>
    <cellStyle name="Normal 4 3 3 5 4 3 4" xfId="28691" xr:uid="{00000000-0005-0000-0000-000046270000}"/>
    <cellStyle name="Normal 4 3 3 5 4 4" xfId="7187" xr:uid="{00000000-0005-0000-0000-000047270000}"/>
    <cellStyle name="Normal 4 3 3 5 4 4 2" xfId="19475" xr:uid="{00000000-0005-0000-0000-000048270000}"/>
    <cellStyle name="Normal 4 3 3 5 4 4 2 2" xfId="44051" xr:uid="{00000000-0005-0000-0000-000049270000}"/>
    <cellStyle name="Normal 4 3 3 5 4 4 3" xfId="31763" xr:uid="{00000000-0005-0000-0000-00004A270000}"/>
    <cellStyle name="Normal 4 3 3 5 4 5" xfId="13331" xr:uid="{00000000-0005-0000-0000-00004B270000}"/>
    <cellStyle name="Normal 4 3 3 5 4 5 2" xfId="37907" xr:uid="{00000000-0005-0000-0000-00004C270000}"/>
    <cellStyle name="Normal 4 3 3 5 4 6" xfId="25619" xr:uid="{00000000-0005-0000-0000-00004D270000}"/>
    <cellStyle name="Normal 4 3 3 5 5" xfId="1807" xr:uid="{00000000-0005-0000-0000-00004E270000}"/>
    <cellStyle name="Normal 4 3 3 5 5 2" xfId="4883" xr:uid="{00000000-0005-0000-0000-00004F270000}"/>
    <cellStyle name="Normal 4 3 3 5 5 2 2" xfId="11027" xr:uid="{00000000-0005-0000-0000-000050270000}"/>
    <cellStyle name="Normal 4 3 3 5 5 2 2 2" xfId="23315" xr:uid="{00000000-0005-0000-0000-000051270000}"/>
    <cellStyle name="Normal 4 3 3 5 5 2 2 2 2" xfId="47891" xr:uid="{00000000-0005-0000-0000-000052270000}"/>
    <cellStyle name="Normal 4 3 3 5 5 2 2 3" xfId="35603" xr:uid="{00000000-0005-0000-0000-000053270000}"/>
    <cellStyle name="Normal 4 3 3 5 5 2 3" xfId="17171" xr:uid="{00000000-0005-0000-0000-000054270000}"/>
    <cellStyle name="Normal 4 3 3 5 5 2 3 2" xfId="41747" xr:uid="{00000000-0005-0000-0000-000055270000}"/>
    <cellStyle name="Normal 4 3 3 5 5 2 4" xfId="29459" xr:uid="{00000000-0005-0000-0000-000056270000}"/>
    <cellStyle name="Normal 4 3 3 5 5 3" xfId="7955" xr:uid="{00000000-0005-0000-0000-000057270000}"/>
    <cellStyle name="Normal 4 3 3 5 5 3 2" xfId="20243" xr:uid="{00000000-0005-0000-0000-000058270000}"/>
    <cellStyle name="Normal 4 3 3 5 5 3 2 2" xfId="44819" xr:uid="{00000000-0005-0000-0000-000059270000}"/>
    <cellStyle name="Normal 4 3 3 5 5 3 3" xfId="32531" xr:uid="{00000000-0005-0000-0000-00005A270000}"/>
    <cellStyle name="Normal 4 3 3 5 5 4" xfId="14099" xr:uid="{00000000-0005-0000-0000-00005B270000}"/>
    <cellStyle name="Normal 4 3 3 5 5 4 2" xfId="38675" xr:uid="{00000000-0005-0000-0000-00005C270000}"/>
    <cellStyle name="Normal 4 3 3 5 5 5" xfId="26387" xr:uid="{00000000-0005-0000-0000-00005D270000}"/>
    <cellStyle name="Normal 4 3 3 5 6" xfId="3347" xr:uid="{00000000-0005-0000-0000-00005E270000}"/>
    <cellStyle name="Normal 4 3 3 5 6 2" xfId="9491" xr:uid="{00000000-0005-0000-0000-00005F270000}"/>
    <cellStyle name="Normal 4 3 3 5 6 2 2" xfId="21779" xr:uid="{00000000-0005-0000-0000-000060270000}"/>
    <cellStyle name="Normal 4 3 3 5 6 2 2 2" xfId="46355" xr:uid="{00000000-0005-0000-0000-000061270000}"/>
    <cellStyle name="Normal 4 3 3 5 6 2 3" xfId="34067" xr:uid="{00000000-0005-0000-0000-000062270000}"/>
    <cellStyle name="Normal 4 3 3 5 6 3" xfId="15635" xr:uid="{00000000-0005-0000-0000-000063270000}"/>
    <cellStyle name="Normal 4 3 3 5 6 3 2" xfId="40211" xr:uid="{00000000-0005-0000-0000-000064270000}"/>
    <cellStyle name="Normal 4 3 3 5 6 4" xfId="27923" xr:uid="{00000000-0005-0000-0000-000065270000}"/>
    <cellStyle name="Normal 4 3 3 5 7" xfId="6419" xr:uid="{00000000-0005-0000-0000-000066270000}"/>
    <cellStyle name="Normal 4 3 3 5 7 2" xfId="18707" xr:uid="{00000000-0005-0000-0000-000067270000}"/>
    <cellStyle name="Normal 4 3 3 5 7 2 2" xfId="43283" xr:uid="{00000000-0005-0000-0000-000068270000}"/>
    <cellStyle name="Normal 4 3 3 5 7 3" xfId="30995" xr:uid="{00000000-0005-0000-0000-000069270000}"/>
    <cellStyle name="Normal 4 3 3 5 8" xfId="12563" xr:uid="{00000000-0005-0000-0000-00006A270000}"/>
    <cellStyle name="Normal 4 3 3 5 8 2" xfId="37139" xr:uid="{00000000-0005-0000-0000-00006B270000}"/>
    <cellStyle name="Normal 4 3 3 5 9" xfId="24851" xr:uid="{00000000-0005-0000-0000-00006C270000}"/>
    <cellStyle name="Normal 4 3 3 6" xfId="335" xr:uid="{00000000-0005-0000-0000-00006D270000}"/>
    <cellStyle name="Normal 4 3 3 6 2" xfId="719" xr:uid="{00000000-0005-0000-0000-00006E270000}"/>
    <cellStyle name="Normal 4 3 3 6 2 2" xfId="1487" xr:uid="{00000000-0005-0000-0000-00006F270000}"/>
    <cellStyle name="Normal 4 3 3 6 2 2 2" xfId="3023" xr:uid="{00000000-0005-0000-0000-000070270000}"/>
    <cellStyle name="Normal 4 3 3 6 2 2 2 2" xfId="6099" xr:uid="{00000000-0005-0000-0000-000071270000}"/>
    <cellStyle name="Normal 4 3 3 6 2 2 2 2 2" xfId="12243" xr:uid="{00000000-0005-0000-0000-000072270000}"/>
    <cellStyle name="Normal 4 3 3 6 2 2 2 2 2 2" xfId="24531" xr:uid="{00000000-0005-0000-0000-000073270000}"/>
    <cellStyle name="Normal 4 3 3 6 2 2 2 2 2 2 2" xfId="49107" xr:uid="{00000000-0005-0000-0000-000074270000}"/>
    <cellStyle name="Normal 4 3 3 6 2 2 2 2 2 3" xfId="36819" xr:uid="{00000000-0005-0000-0000-000075270000}"/>
    <cellStyle name="Normal 4 3 3 6 2 2 2 2 3" xfId="18387" xr:uid="{00000000-0005-0000-0000-000076270000}"/>
    <cellStyle name="Normal 4 3 3 6 2 2 2 2 3 2" xfId="42963" xr:uid="{00000000-0005-0000-0000-000077270000}"/>
    <cellStyle name="Normal 4 3 3 6 2 2 2 2 4" xfId="30675" xr:uid="{00000000-0005-0000-0000-000078270000}"/>
    <cellStyle name="Normal 4 3 3 6 2 2 2 3" xfId="9171" xr:uid="{00000000-0005-0000-0000-000079270000}"/>
    <cellStyle name="Normal 4 3 3 6 2 2 2 3 2" xfId="21459" xr:uid="{00000000-0005-0000-0000-00007A270000}"/>
    <cellStyle name="Normal 4 3 3 6 2 2 2 3 2 2" xfId="46035" xr:uid="{00000000-0005-0000-0000-00007B270000}"/>
    <cellStyle name="Normal 4 3 3 6 2 2 2 3 3" xfId="33747" xr:uid="{00000000-0005-0000-0000-00007C270000}"/>
    <cellStyle name="Normal 4 3 3 6 2 2 2 4" xfId="15315" xr:uid="{00000000-0005-0000-0000-00007D270000}"/>
    <cellStyle name="Normal 4 3 3 6 2 2 2 4 2" xfId="39891" xr:uid="{00000000-0005-0000-0000-00007E270000}"/>
    <cellStyle name="Normal 4 3 3 6 2 2 2 5" xfId="27603" xr:uid="{00000000-0005-0000-0000-00007F270000}"/>
    <cellStyle name="Normal 4 3 3 6 2 2 3" xfId="4563" xr:uid="{00000000-0005-0000-0000-000080270000}"/>
    <cellStyle name="Normal 4 3 3 6 2 2 3 2" xfId="10707" xr:uid="{00000000-0005-0000-0000-000081270000}"/>
    <cellStyle name="Normal 4 3 3 6 2 2 3 2 2" xfId="22995" xr:uid="{00000000-0005-0000-0000-000082270000}"/>
    <cellStyle name="Normal 4 3 3 6 2 2 3 2 2 2" xfId="47571" xr:uid="{00000000-0005-0000-0000-000083270000}"/>
    <cellStyle name="Normal 4 3 3 6 2 2 3 2 3" xfId="35283" xr:uid="{00000000-0005-0000-0000-000084270000}"/>
    <cellStyle name="Normal 4 3 3 6 2 2 3 3" xfId="16851" xr:uid="{00000000-0005-0000-0000-000085270000}"/>
    <cellStyle name="Normal 4 3 3 6 2 2 3 3 2" xfId="41427" xr:uid="{00000000-0005-0000-0000-000086270000}"/>
    <cellStyle name="Normal 4 3 3 6 2 2 3 4" xfId="29139" xr:uid="{00000000-0005-0000-0000-000087270000}"/>
    <cellStyle name="Normal 4 3 3 6 2 2 4" xfId="7635" xr:uid="{00000000-0005-0000-0000-000088270000}"/>
    <cellStyle name="Normal 4 3 3 6 2 2 4 2" xfId="19923" xr:uid="{00000000-0005-0000-0000-000089270000}"/>
    <cellStyle name="Normal 4 3 3 6 2 2 4 2 2" xfId="44499" xr:uid="{00000000-0005-0000-0000-00008A270000}"/>
    <cellStyle name="Normal 4 3 3 6 2 2 4 3" xfId="32211" xr:uid="{00000000-0005-0000-0000-00008B270000}"/>
    <cellStyle name="Normal 4 3 3 6 2 2 5" xfId="13779" xr:uid="{00000000-0005-0000-0000-00008C270000}"/>
    <cellStyle name="Normal 4 3 3 6 2 2 5 2" xfId="38355" xr:uid="{00000000-0005-0000-0000-00008D270000}"/>
    <cellStyle name="Normal 4 3 3 6 2 2 6" xfId="26067" xr:uid="{00000000-0005-0000-0000-00008E270000}"/>
    <cellStyle name="Normal 4 3 3 6 2 3" xfId="2255" xr:uid="{00000000-0005-0000-0000-00008F270000}"/>
    <cellStyle name="Normal 4 3 3 6 2 3 2" xfId="5331" xr:uid="{00000000-0005-0000-0000-000090270000}"/>
    <cellStyle name="Normal 4 3 3 6 2 3 2 2" xfId="11475" xr:uid="{00000000-0005-0000-0000-000091270000}"/>
    <cellStyle name="Normal 4 3 3 6 2 3 2 2 2" xfId="23763" xr:uid="{00000000-0005-0000-0000-000092270000}"/>
    <cellStyle name="Normal 4 3 3 6 2 3 2 2 2 2" xfId="48339" xr:uid="{00000000-0005-0000-0000-000093270000}"/>
    <cellStyle name="Normal 4 3 3 6 2 3 2 2 3" xfId="36051" xr:uid="{00000000-0005-0000-0000-000094270000}"/>
    <cellStyle name="Normal 4 3 3 6 2 3 2 3" xfId="17619" xr:uid="{00000000-0005-0000-0000-000095270000}"/>
    <cellStyle name="Normal 4 3 3 6 2 3 2 3 2" xfId="42195" xr:uid="{00000000-0005-0000-0000-000096270000}"/>
    <cellStyle name="Normal 4 3 3 6 2 3 2 4" xfId="29907" xr:uid="{00000000-0005-0000-0000-000097270000}"/>
    <cellStyle name="Normal 4 3 3 6 2 3 3" xfId="8403" xr:uid="{00000000-0005-0000-0000-000098270000}"/>
    <cellStyle name="Normal 4 3 3 6 2 3 3 2" xfId="20691" xr:uid="{00000000-0005-0000-0000-000099270000}"/>
    <cellStyle name="Normal 4 3 3 6 2 3 3 2 2" xfId="45267" xr:uid="{00000000-0005-0000-0000-00009A270000}"/>
    <cellStyle name="Normal 4 3 3 6 2 3 3 3" xfId="32979" xr:uid="{00000000-0005-0000-0000-00009B270000}"/>
    <cellStyle name="Normal 4 3 3 6 2 3 4" xfId="14547" xr:uid="{00000000-0005-0000-0000-00009C270000}"/>
    <cellStyle name="Normal 4 3 3 6 2 3 4 2" xfId="39123" xr:uid="{00000000-0005-0000-0000-00009D270000}"/>
    <cellStyle name="Normal 4 3 3 6 2 3 5" xfId="26835" xr:uid="{00000000-0005-0000-0000-00009E270000}"/>
    <cellStyle name="Normal 4 3 3 6 2 4" xfId="3795" xr:uid="{00000000-0005-0000-0000-00009F270000}"/>
    <cellStyle name="Normal 4 3 3 6 2 4 2" xfId="9939" xr:uid="{00000000-0005-0000-0000-0000A0270000}"/>
    <cellStyle name="Normal 4 3 3 6 2 4 2 2" xfId="22227" xr:uid="{00000000-0005-0000-0000-0000A1270000}"/>
    <cellStyle name="Normal 4 3 3 6 2 4 2 2 2" xfId="46803" xr:uid="{00000000-0005-0000-0000-0000A2270000}"/>
    <cellStyle name="Normal 4 3 3 6 2 4 2 3" xfId="34515" xr:uid="{00000000-0005-0000-0000-0000A3270000}"/>
    <cellStyle name="Normal 4 3 3 6 2 4 3" xfId="16083" xr:uid="{00000000-0005-0000-0000-0000A4270000}"/>
    <cellStyle name="Normal 4 3 3 6 2 4 3 2" xfId="40659" xr:uid="{00000000-0005-0000-0000-0000A5270000}"/>
    <cellStyle name="Normal 4 3 3 6 2 4 4" xfId="28371" xr:uid="{00000000-0005-0000-0000-0000A6270000}"/>
    <cellStyle name="Normal 4 3 3 6 2 5" xfId="6867" xr:uid="{00000000-0005-0000-0000-0000A7270000}"/>
    <cellStyle name="Normal 4 3 3 6 2 5 2" xfId="19155" xr:uid="{00000000-0005-0000-0000-0000A8270000}"/>
    <cellStyle name="Normal 4 3 3 6 2 5 2 2" xfId="43731" xr:uid="{00000000-0005-0000-0000-0000A9270000}"/>
    <cellStyle name="Normal 4 3 3 6 2 5 3" xfId="31443" xr:uid="{00000000-0005-0000-0000-0000AA270000}"/>
    <cellStyle name="Normal 4 3 3 6 2 6" xfId="13011" xr:uid="{00000000-0005-0000-0000-0000AB270000}"/>
    <cellStyle name="Normal 4 3 3 6 2 6 2" xfId="37587" xr:uid="{00000000-0005-0000-0000-0000AC270000}"/>
    <cellStyle name="Normal 4 3 3 6 2 7" xfId="25299" xr:uid="{00000000-0005-0000-0000-0000AD270000}"/>
    <cellStyle name="Normal 4 3 3 6 3" xfId="1103" xr:uid="{00000000-0005-0000-0000-0000AE270000}"/>
    <cellStyle name="Normal 4 3 3 6 3 2" xfId="2639" xr:uid="{00000000-0005-0000-0000-0000AF270000}"/>
    <cellStyle name="Normal 4 3 3 6 3 2 2" xfId="5715" xr:uid="{00000000-0005-0000-0000-0000B0270000}"/>
    <cellStyle name="Normal 4 3 3 6 3 2 2 2" xfId="11859" xr:uid="{00000000-0005-0000-0000-0000B1270000}"/>
    <cellStyle name="Normal 4 3 3 6 3 2 2 2 2" xfId="24147" xr:uid="{00000000-0005-0000-0000-0000B2270000}"/>
    <cellStyle name="Normal 4 3 3 6 3 2 2 2 2 2" xfId="48723" xr:uid="{00000000-0005-0000-0000-0000B3270000}"/>
    <cellStyle name="Normal 4 3 3 6 3 2 2 2 3" xfId="36435" xr:uid="{00000000-0005-0000-0000-0000B4270000}"/>
    <cellStyle name="Normal 4 3 3 6 3 2 2 3" xfId="18003" xr:uid="{00000000-0005-0000-0000-0000B5270000}"/>
    <cellStyle name="Normal 4 3 3 6 3 2 2 3 2" xfId="42579" xr:uid="{00000000-0005-0000-0000-0000B6270000}"/>
    <cellStyle name="Normal 4 3 3 6 3 2 2 4" xfId="30291" xr:uid="{00000000-0005-0000-0000-0000B7270000}"/>
    <cellStyle name="Normal 4 3 3 6 3 2 3" xfId="8787" xr:uid="{00000000-0005-0000-0000-0000B8270000}"/>
    <cellStyle name="Normal 4 3 3 6 3 2 3 2" xfId="21075" xr:uid="{00000000-0005-0000-0000-0000B9270000}"/>
    <cellStyle name="Normal 4 3 3 6 3 2 3 2 2" xfId="45651" xr:uid="{00000000-0005-0000-0000-0000BA270000}"/>
    <cellStyle name="Normal 4 3 3 6 3 2 3 3" xfId="33363" xr:uid="{00000000-0005-0000-0000-0000BB270000}"/>
    <cellStyle name="Normal 4 3 3 6 3 2 4" xfId="14931" xr:uid="{00000000-0005-0000-0000-0000BC270000}"/>
    <cellStyle name="Normal 4 3 3 6 3 2 4 2" xfId="39507" xr:uid="{00000000-0005-0000-0000-0000BD270000}"/>
    <cellStyle name="Normal 4 3 3 6 3 2 5" xfId="27219" xr:uid="{00000000-0005-0000-0000-0000BE270000}"/>
    <cellStyle name="Normal 4 3 3 6 3 3" xfId="4179" xr:uid="{00000000-0005-0000-0000-0000BF270000}"/>
    <cellStyle name="Normal 4 3 3 6 3 3 2" xfId="10323" xr:uid="{00000000-0005-0000-0000-0000C0270000}"/>
    <cellStyle name="Normal 4 3 3 6 3 3 2 2" xfId="22611" xr:uid="{00000000-0005-0000-0000-0000C1270000}"/>
    <cellStyle name="Normal 4 3 3 6 3 3 2 2 2" xfId="47187" xr:uid="{00000000-0005-0000-0000-0000C2270000}"/>
    <cellStyle name="Normal 4 3 3 6 3 3 2 3" xfId="34899" xr:uid="{00000000-0005-0000-0000-0000C3270000}"/>
    <cellStyle name="Normal 4 3 3 6 3 3 3" xfId="16467" xr:uid="{00000000-0005-0000-0000-0000C4270000}"/>
    <cellStyle name="Normal 4 3 3 6 3 3 3 2" xfId="41043" xr:uid="{00000000-0005-0000-0000-0000C5270000}"/>
    <cellStyle name="Normal 4 3 3 6 3 3 4" xfId="28755" xr:uid="{00000000-0005-0000-0000-0000C6270000}"/>
    <cellStyle name="Normal 4 3 3 6 3 4" xfId="7251" xr:uid="{00000000-0005-0000-0000-0000C7270000}"/>
    <cellStyle name="Normal 4 3 3 6 3 4 2" xfId="19539" xr:uid="{00000000-0005-0000-0000-0000C8270000}"/>
    <cellStyle name="Normal 4 3 3 6 3 4 2 2" xfId="44115" xr:uid="{00000000-0005-0000-0000-0000C9270000}"/>
    <cellStyle name="Normal 4 3 3 6 3 4 3" xfId="31827" xr:uid="{00000000-0005-0000-0000-0000CA270000}"/>
    <cellStyle name="Normal 4 3 3 6 3 5" xfId="13395" xr:uid="{00000000-0005-0000-0000-0000CB270000}"/>
    <cellStyle name="Normal 4 3 3 6 3 5 2" xfId="37971" xr:uid="{00000000-0005-0000-0000-0000CC270000}"/>
    <cellStyle name="Normal 4 3 3 6 3 6" xfId="25683" xr:uid="{00000000-0005-0000-0000-0000CD270000}"/>
    <cellStyle name="Normal 4 3 3 6 4" xfId="1871" xr:uid="{00000000-0005-0000-0000-0000CE270000}"/>
    <cellStyle name="Normal 4 3 3 6 4 2" xfId="4947" xr:uid="{00000000-0005-0000-0000-0000CF270000}"/>
    <cellStyle name="Normal 4 3 3 6 4 2 2" xfId="11091" xr:uid="{00000000-0005-0000-0000-0000D0270000}"/>
    <cellStyle name="Normal 4 3 3 6 4 2 2 2" xfId="23379" xr:uid="{00000000-0005-0000-0000-0000D1270000}"/>
    <cellStyle name="Normal 4 3 3 6 4 2 2 2 2" xfId="47955" xr:uid="{00000000-0005-0000-0000-0000D2270000}"/>
    <cellStyle name="Normal 4 3 3 6 4 2 2 3" xfId="35667" xr:uid="{00000000-0005-0000-0000-0000D3270000}"/>
    <cellStyle name="Normal 4 3 3 6 4 2 3" xfId="17235" xr:uid="{00000000-0005-0000-0000-0000D4270000}"/>
    <cellStyle name="Normal 4 3 3 6 4 2 3 2" xfId="41811" xr:uid="{00000000-0005-0000-0000-0000D5270000}"/>
    <cellStyle name="Normal 4 3 3 6 4 2 4" xfId="29523" xr:uid="{00000000-0005-0000-0000-0000D6270000}"/>
    <cellStyle name="Normal 4 3 3 6 4 3" xfId="8019" xr:uid="{00000000-0005-0000-0000-0000D7270000}"/>
    <cellStyle name="Normal 4 3 3 6 4 3 2" xfId="20307" xr:uid="{00000000-0005-0000-0000-0000D8270000}"/>
    <cellStyle name="Normal 4 3 3 6 4 3 2 2" xfId="44883" xr:uid="{00000000-0005-0000-0000-0000D9270000}"/>
    <cellStyle name="Normal 4 3 3 6 4 3 3" xfId="32595" xr:uid="{00000000-0005-0000-0000-0000DA270000}"/>
    <cellStyle name="Normal 4 3 3 6 4 4" xfId="14163" xr:uid="{00000000-0005-0000-0000-0000DB270000}"/>
    <cellStyle name="Normal 4 3 3 6 4 4 2" xfId="38739" xr:uid="{00000000-0005-0000-0000-0000DC270000}"/>
    <cellStyle name="Normal 4 3 3 6 4 5" xfId="26451" xr:uid="{00000000-0005-0000-0000-0000DD270000}"/>
    <cellStyle name="Normal 4 3 3 6 5" xfId="3411" xr:uid="{00000000-0005-0000-0000-0000DE270000}"/>
    <cellStyle name="Normal 4 3 3 6 5 2" xfId="9555" xr:uid="{00000000-0005-0000-0000-0000DF270000}"/>
    <cellStyle name="Normal 4 3 3 6 5 2 2" xfId="21843" xr:uid="{00000000-0005-0000-0000-0000E0270000}"/>
    <cellStyle name="Normal 4 3 3 6 5 2 2 2" xfId="46419" xr:uid="{00000000-0005-0000-0000-0000E1270000}"/>
    <cellStyle name="Normal 4 3 3 6 5 2 3" xfId="34131" xr:uid="{00000000-0005-0000-0000-0000E2270000}"/>
    <cellStyle name="Normal 4 3 3 6 5 3" xfId="15699" xr:uid="{00000000-0005-0000-0000-0000E3270000}"/>
    <cellStyle name="Normal 4 3 3 6 5 3 2" xfId="40275" xr:uid="{00000000-0005-0000-0000-0000E4270000}"/>
    <cellStyle name="Normal 4 3 3 6 5 4" xfId="27987" xr:uid="{00000000-0005-0000-0000-0000E5270000}"/>
    <cellStyle name="Normal 4 3 3 6 6" xfId="6483" xr:uid="{00000000-0005-0000-0000-0000E6270000}"/>
    <cellStyle name="Normal 4 3 3 6 6 2" xfId="18771" xr:uid="{00000000-0005-0000-0000-0000E7270000}"/>
    <cellStyle name="Normal 4 3 3 6 6 2 2" xfId="43347" xr:uid="{00000000-0005-0000-0000-0000E8270000}"/>
    <cellStyle name="Normal 4 3 3 6 6 3" xfId="31059" xr:uid="{00000000-0005-0000-0000-0000E9270000}"/>
    <cellStyle name="Normal 4 3 3 6 7" xfId="12627" xr:uid="{00000000-0005-0000-0000-0000EA270000}"/>
    <cellStyle name="Normal 4 3 3 6 7 2" xfId="37203" xr:uid="{00000000-0005-0000-0000-0000EB270000}"/>
    <cellStyle name="Normal 4 3 3 6 8" xfId="24915" xr:uid="{00000000-0005-0000-0000-0000EC270000}"/>
    <cellStyle name="Normal 4 3 3 7" xfId="527" xr:uid="{00000000-0005-0000-0000-0000ED270000}"/>
    <cellStyle name="Normal 4 3 3 7 2" xfId="1295" xr:uid="{00000000-0005-0000-0000-0000EE270000}"/>
    <cellStyle name="Normal 4 3 3 7 2 2" xfId="2831" xr:uid="{00000000-0005-0000-0000-0000EF270000}"/>
    <cellStyle name="Normal 4 3 3 7 2 2 2" xfId="5907" xr:uid="{00000000-0005-0000-0000-0000F0270000}"/>
    <cellStyle name="Normal 4 3 3 7 2 2 2 2" xfId="12051" xr:uid="{00000000-0005-0000-0000-0000F1270000}"/>
    <cellStyle name="Normal 4 3 3 7 2 2 2 2 2" xfId="24339" xr:uid="{00000000-0005-0000-0000-0000F2270000}"/>
    <cellStyle name="Normal 4 3 3 7 2 2 2 2 2 2" xfId="48915" xr:uid="{00000000-0005-0000-0000-0000F3270000}"/>
    <cellStyle name="Normal 4 3 3 7 2 2 2 2 3" xfId="36627" xr:uid="{00000000-0005-0000-0000-0000F4270000}"/>
    <cellStyle name="Normal 4 3 3 7 2 2 2 3" xfId="18195" xr:uid="{00000000-0005-0000-0000-0000F5270000}"/>
    <cellStyle name="Normal 4 3 3 7 2 2 2 3 2" xfId="42771" xr:uid="{00000000-0005-0000-0000-0000F6270000}"/>
    <cellStyle name="Normal 4 3 3 7 2 2 2 4" xfId="30483" xr:uid="{00000000-0005-0000-0000-0000F7270000}"/>
    <cellStyle name="Normal 4 3 3 7 2 2 3" xfId="8979" xr:uid="{00000000-0005-0000-0000-0000F8270000}"/>
    <cellStyle name="Normal 4 3 3 7 2 2 3 2" xfId="21267" xr:uid="{00000000-0005-0000-0000-0000F9270000}"/>
    <cellStyle name="Normal 4 3 3 7 2 2 3 2 2" xfId="45843" xr:uid="{00000000-0005-0000-0000-0000FA270000}"/>
    <cellStyle name="Normal 4 3 3 7 2 2 3 3" xfId="33555" xr:uid="{00000000-0005-0000-0000-0000FB270000}"/>
    <cellStyle name="Normal 4 3 3 7 2 2 4" xfId="15123" xr:uid="{00000000-0005-0000-0000-0000FC270000}"/>
    <cellStyle name="Normal 4 3 3 7 2 2 4 2" xfId="39699" xr:uid="{00000000-0005-0000-0000-0000FD270000}"/>
    <cellStyle name="Normal 4 3 3 7 2 2 5" xfId="27411" xr:uid="{00000000-0005-0000-0000-0000FE270000}"/>
    <cellStyle name="Normal 4 3 3 7 2 3" xfId="4371" xr:uid="{00000000-0005-0000-0000-0000FF270000}"/>
    <cellStyle name="Normal 4 3 3 7 2 3 2" xfId="10515" xr:uid="{00000000-0005-0000-0000-000000280000}"/>
    <cellStyle name="Normal 4 3 3 7 2 3 2 2" xfId="22803" xr:uid="{00000000-0005-0000-0000-000001280000}"/>
    <cellStyle name="Normal 4 3 3 7 2 3 2 2 2" xfId="47379" xr:uid="{00000000-0005-0000-0000-000002280000}"/>
    <cellStyle name="Normal 4 3 3 7 2 3 2 3" xfId="35091" xr:uid="{00000000-0005-0000-0000-000003280000}"/>
    <cellStyle name="Normal 4 3 3 7 2 3 3" xfId="16659" xr:uid="{00000000-0005-0000-0000-000004280000}"/>
    <cellStyle name="Normal 4 3 3 7 2 3 3 2" xfId="41235" xr:uid="{00000000-0005-0000-0000-000005280000}"/>
    <cellStyle name="Normal 4 3 3 7 2 3 4" xfId="28947" xr:uid="{00000000-0005-0000-0000-000006280000}"/>
    <cellStyle name="Normal 4 3 3 7 2 4" xfId="7443" xr:uid="{00000000-0005-0000-0000-000007280000}"/>
    <cellStyle name="Normal 4 3 3 7 2 4 2" xfId="19731" xr:uid="{00000000-0005-0000-0000-000008280000}"/>
    <cellStyle name="Normal 4 3 3 7 2 4 2 2" xfId="44307" xr:uid="{00000000-0005-0000-0000-000009280000}"/>
    <cellStyle name="Normal 4 3 3 7 2 4 3" xfId="32019" xr:uid="{00000000-0005-0000-0000-00000A280000}"/>
    <cellStyle name="Normal 4 3 3 7 2 5" xfId="13587" xr:uid="{00000000-0005-0000-0000-00000B280000}"/>
    <cellStyle name="Normal 4 3 3 7 2 5 2" xfId="38163" xr:uid="{00000000-0005-0000-0000-00000C280000}"/>
    <cellStyle name="Normal 4 3 3 7 2 6" xfId="25875" xr:uid="{00000000-0005-0000-0000-00000D280000}"/>
    <cellStyle name="Normal 4 3 3 7 3" xfId="2063" xr:uid="{00000000-0005-0000-0000-00000E280000}"/>
    <cellStyle name="Normal 4 3 3 7 3 2" xfId="5139" xr:uid="{00000000-0005-0000-0000-00000F280000}"/>
    <cellStyle name="Normal 4 3 3 7 3 2 2" xfId="11283" xr:uid="{00000000-0005-0000-0000-000010280000}"/>
    <cellStyle name="Normal 4 3 3 7 3 2 2 2" xfId="23571" xr:uid="{00000000-0005-0000-0000-000011280000}"/>
    <cellStyle name="Normal 4 3 3 7 3 2 2 2 2" xfId="48147" xr:uid="{00000000-0005-0000-0000-000012280000}"/>
    <cellStyle name="Normal 4 3 3 7 3 2 2 3" xfId="35859" xr:uid="{00000000-0005-0000-0000-000013280000}"/>
    <cellStyle name="Normal 4 3 3 7 3 2 3" xfId="17427" xr:uid="{00000000-0005-0000-0000-000014280000}"/>
    <cellStyle name="Normal 4 3 3 7 3 2 3 2" xfId="42003" xr:uid="{00000000-0005-0000-0000-000015280000}"/>
    <cellStyle name="Normal 4 3 3 7 3 2 4" xfId="29715" xr:uid="{00000000-0005-0000-0000-000016280000}"/>
    <cellStyle name="Normal 4 3 3 7 3 3" xfId="8211" xr:uid="{00000000-0005-0000-0000-000017280000}"/>
    <cellStyle name="Normal 4 3 3 7 3 3 2" xfId="20499" xr:uid="{00000000-0005-0000-0000-000018280000}"/>
    <cellStyle name="Normal 4 3 3 7 3 3 2 2" xfId="45075" xr:uid="{00000000-0005-0000-0000-000019280000}"/>
    <cellStyle name="Normal 4 3 3 7 3 3 3" xfId="32787" xr:uid="{00000000-0005-0000-0000-00001A280000}"/>
    <cellStyle name="Normal 4 3 3 7 3 4" xfId="14355" xr:uid="{00000000-0005-0000-0000-00001B280000}"/>
    <cellStyle name="Normal 4 3 3 7 3 4 2" xfId="38931" xr:uid="{00000000-0005-0000-0000-00001C280000}"/>
    <cellStyle name="Normal 4 3 3 7 3 5" xfId="26643" xr:uid="{00000000-0005-0000-0000-00001D280000}"/>
    <cellStyle name="Normal 4 3 3 7 4" xfId="3603" xr:uid="{00000000-0005-0000-0000-00001E280000}"/>
    <cellStyle name="Normal 4 3 3 7 4 2" xfId="9747" xr:uid="{00000000-0005-0000-0000-00001F280000}"/>
    <cellStyle name="Normal 4 3 3 7 4 2 2" xfId="22035" xr:uid="{00000000-0005-0000-0000-000020280000}"/>
    <cellStyle name="Normal 4 3 3 7 4 2 2 2" xfId="46611" xr:uid="{00000000-0005-0000-0000-000021280000}"/>
    <cellStyle name="Normal 4 3 3 7 4 2 3" xfId="34323" xr:uid="{00000000-0005-0000-0000-000022280000}"/>
    <cellStyle name="Normal 4 3 3 7 4 3" xfId="15891" xr:uid="{00000000-0005-0000-0000-000023280000}"/>
    <cellStyle name="Normal 4 3 3 7 4 3 2" xfId="40467" xr:uid="{00000000-0005-0000-0000-000024280000}"/>
    <cellStyle name="Normal 4 3 3 7 4 4" xfId="28179" xr:uid="{00000000-0005-0000-0000-000025280000}"/>
    <cellStyle name="Normal 4 3 3 7 5" xfId="6675" xr:uid="{00000000-0005-0000-0000-000026280000}"/>
    <cellStyle name="Normal 4 3 3 7 5 2" xfId="18963" xr:uid="{00000000-0005-0000-0000-000027280000}"/>
    <cellStyle name="Normal 4 3 3 7 5 2 2" xfId="43539" xr:uid="{00000000-0005-0000-0000-000028280000}"/>
    <cellStyle name="Normal 4 3 3 7 5 3" xfId="31251" xr:uid="{00000000-0005-0000-0000-000029280000}"/>
    <cellStyle name="Normal 4 3 3 7 6" xfId="12819" xr:uid="{00000000-0005-0000-0000-00002A280000}"/>
    <cellStyle name="Normal 4 3 3 7 6 2" xfId="37395" xr:uid="{00000000-0005-0000-0000-00002B280000}"/>
    <cellStyle name="Normal 4 3 3 7 7" xfId="25107" xr:uid="{00000000-0005-0000-0000-00002C280000}"/>
    <cellStyle name="Normal 4 3 3 8" xfId="911" xr:uid="{00000000-0005-0000-0000-00002D280000}"/>
    <cellStyle name="Normal 4 3 3 8 2" xfId="2447" xr:uid="{00000000-0005-0000-0000-00002E280000}"/>
    <cellStyle name="Normal 4 3 3 8 2 2" xfId="5523" xr:uid="{00000000-0005-0000-0000-00002F280000}"/>
    <cellStyle name="Normal 4 3 3 8 2 2 2" xfId="11667" xr:uid="{00000000-0005-0000-0000-000030280000}"/>
    <cellStyle name="Normal 4 3 3 8 2 2 2 2" xfId="23955" xr:uid="{00000000-0005-0000-0000-000031280000}"/>
    <cellStyle name="Normal 4 3 3 8 2 2 2 2 2" xfId="48531" xr:uid="{00000000-0005-0000-0000-000032280000}"/>
    <cellStyle name="Normal 4 3 3 8 2 2 2 3" xfId="36243" xr:uid="{00000000-0005-0000-0000-000033280000}"/>
    <cellStyle name="Normal 4 3 3 8 2 2 3" xfId="17811" xr:uid="{00000000-0005-0000-0000-000034280000}"/>
    <cellStyle name="Normal 4 3 3 8 2 2 3 2" xfId="42387" xr:uid="{00000000-0005-0000-0000-000035280000}"/>
    <cellStyle name="Normal 4 3 3 8 2 2 4" xfId="30099" xr:uid="{00000000-0005-0000-0000-000036280000}"/>
    <cellStyle name="Normal 4 3 3 8 2 3" xfId="8595" xr:uid="{00000000-0005-0000-0000-000037280000}"/>
    <cellStyle name="Normal 4 3 3 8 2 3 2" xfId="20883" xr:uid="{00000000-0005-0000-0000-000038280000}"/>
    <cellStyle name="Normal 4 3 3 8 2 3 2 2" xfId="45459" xr:uid="{00000000-0005-0000-0000-000039280000}"/>
    <cellStyle name="Normal 4 3 3 8 2 3 3" xfId="33171" xr:uid="{00000000-0005-0000-0000-00003A280000}"/>
    <cellStyle name="Normal 4 3 3 8 2 4" xfId="14739" xr:uid="{00000000-0005-0000-0000-00003B280000}"/>
    <cellStyle name="Normal 4 3 3 8 2 4 2" xfId="39315" xr:uid="{00000000-0005-0000-0000-00003C280000}"/>
    <cellStyle name="Normal 4 3 3 8 2 5" xfId="27027" xr:uid="{00000000-0005-0000-0000-00003D280000}"/>
    <cellStyle name="Normal 4 3 3 8 3" xfId="3987" xr:uid="{00000000-0005-0000-0000-00003E280000}"/>
    <cellStyle name="Normal 4 3 3 8 3 2" xfId="10131" xr:uid="{00000000-0005-0000-0000-00003F280000}"/>
    <cellStyle name="Normal 4 3 3 8 3 2 2" xfId="22419" xr:uid="{00000000-0005-0000-0000-000040280000}"/>
    <cellStyle name="Normal 4 3 3 8 3 2 2 2" xfId="46995" xr:uid="{00000000-0005-0000-0000-000041280000}"/>
    <cellStyle name="Normal 4 3 3 8 3 2 3" xfId="34707" xr:uid="{00000000-0005-0000-0000-000042280000}"/>
    <cellStyle name="Normal 4 3 3 8 3 3" xfId="16275" xr:uid="{00000000-0005-0000-0000-000043280000}"/>
    <cellStyle name="Normal 4 3 3 8 3 3 2" xfId="40851" xr:uid="{00000000-0005-0000-0000-000044280000}"/>
    <cellStyle name="Normal 4 3 3 8 3 4" xfId="28563" xr:uid="{00000000-0005-0000-0000-000045280000}"/>
    <cellStyle name="Normal 4 3 3 8 4" xfId="7059" xr:uid="{00000000-0005-0000-0000-000046280000}"/>
    <cellStyle name="Normal 4 3 3 8 4 2" xfId="19347" xr:uid="{00000000-0005-0000-0000-000047280000}"/>
    <cellStyle name="Normal 4 3 3 8 4 2 2" xfId="43923" xr:uid="{00000000-0005-0000-0000-000048280000}"/>
    <cellStyle name="Normal 4 3 3 8 4 3" xfId="31635" xr:uid="{00000000-0005-0000-0000-000049280000}"/>
    <cellStyle name="Normal 4 3 3 8 5" xfId="13203" xr:uid="{00000000-0005-0000-0000-00004A280000}"/>
    <cellStyle name="Normal 4 3 3 8 5 2" xfId="37779" xr:uid="{00000000-0005-0000-0000-00004B280000}"/>
    <cellStyle name="Normal 4 3 3 8 6" xfId="25491" xr:uid="{00000000-0005-0000-0000-00004C280000}"/>
    <cellStyle name="Normal 4 3 3 9" xfId="1679" xr:uid="{00000000-0005-0000-0000-00004D280000}"/>
    <cellStyle name="Normal 4 3 3 9 2" xfId="4755" xr:uid="{00000000-0005-0000-0000-00004E280000}"/>
    <cellStyle name="Normal 4 3 3 9 2 2" xfId="10899" xr:uid="{00000000-0005-0000-0000-00004F280000}"/>
    <cellStyle name="Normal 4 3 3 9 2 2 2" xfId="23187" xr:uid="{00000000-0005-0000-0000-000050280000}"/>
    <cellStyle name="Normal 4 3 3 9 2 2 2 2" xfId="47763" xr:uid="{00000000-0005-0000-0000-000051280000}"/>
    <cellStyle name="Normal 4 3 3 9 2 2 3" xfId="35475" xr:uid="{00000000-0005-0000-0000-000052280000}"/>
    <cellStyle name="Normal 4 3 3 9 2 3" xfId="17043" xr:uid="{00000000-0005-0000-0000-000053280000}"/>
    <cellStyle name="Normal 4 3 3 9 2 3 2" xfId="41619" xr:uid="{00000000-0005-0000-0000-000054280000}"/>
    <cellStyle name="Normal 4 3 3 9 2 4" xfId="29331" xr:uid="{00000000-0005-0000-0000-000055280000}"/>
    <cellStyle name="Normal 4 3 3 9 3" xfId="7827" xr:uid="{00000000-0005-0000-0000-000056280000}"/>
    <cellStyle name="Normal 4 3 3 9 3 2" xfId="20115" xr:uid="{00000000-0005-0000-0000-000057280000}"/>
    <cellStyle name="Normal 4 3 3 9 3 2 2" xfId="44691" xr:uid="{00000000-0005-0000-0000-000058280000}"/>
    <cellStyle name="Normal 4 3 3 9 3 3" xfId="32403" xr:uid="{00000000-0005-0000-0000-000059280000}"/>
    <cellStyle name="Normal 4 3 3 9 4" xfId="13971" xr:uid="{00000000-0005-0000-0000-00005A280000}"/>
    <cellStyle name="Normal 4 3 3 9 4 2" xfId="38547" xr:uid="{00000000-0005-0000-0000-00005B280000}"/>
    <cellStyle name="Normal 4 3 3 9 5" xfId="26259" xr:uid="{00000000-0005-0000-0000-00005C280000}"/>
    <cellStyle name="Normal 4 3 4" xfId="110" xr:uid="{00000000-0005-0000-0000-00005D280000}"/>
    <cellStyle name="Normal 4 3 4 10" xfId="6299" xr:uid="{00000000-0005-0000-0000-00005E280000}"/>
    <cellStyle name="Normal 4 3 4 10 2" xfId="18587" xr:uid="{00000000-0005-0000-0000-00005F280000}"/>
    <cellStyle name="Normal 4 3 4 10 2 2" xfId="43163" xr:uid="{00000000-0005-0000-0000-000060280000}"/>
    <cellStyle name="Normal 4 3 4 10 3" xfId="30875" xr:uid="{00000000-0005-0000-0000-000061280000}"/>
    <cellStyle name="Normal 4 3 4 11" xfId="12443" xr:uid="{00000000-0005-0000-0000-000062280000}"/>
    <cellStyle name="Normal 4 3 4 11 2" xfId="37019" xr:uid="{00000000-0005-0000-0000-000063280000}"/>
    <cellStyle name="Normal 4 3 4 12" xfId="24731" xr:uid="{00000000-0005-0000-0000-000064280000}"/>
    <cellStyle name="Normal 4 3 4 2" xfId="182" xr:uid="{00000000-0005-0000-0000-000065280000}"/>
    <cellStyle name="Normal 4 3 4 2 10" xfId="12475" xr:uid="{00000000-0005-0000-0000-000066280000}"/>
    <cellStyle name="Normal 4 3 4 2 10 2" xfId="37051" xr:uid="{00000000-0005-0000-0000-000067280000}"/>
    <cellStyle name="Normal 4 3 4 2 11" xfId="24763" xr:uid="{00000000-0005-0000-0000-000068280000}"/>
    <cellStyle name="Normal 4 3 4 2 2" xfId="247" xr:uid="{00000000-0005-0000-0000-000069280000}"/>
    <cellStyle name="Normal 4 3 4 2 2 2" xfId="439" xr:uid="{00000000-0005-0000-0000-00006A280000}"/>
    <cellStyle name="Normal 4 3 4 2 2 2 2" xfId="823" xr:uid="{00000000-0005-0000-0000-00006B280000}"/>
    <cellStyle name="Normal 4 3 4 2 2 2 2 2" xfId="1591" xr:uid="{00000000-0005-0000-0000-00006C280000}"/>
    <cellStyle name="Normal 4 3 4 2 2 2 2 2 2" xfId="3127" xr:uid="{00000000-0005-0000-0000-00006D280000}"/>
    <cellStyle name="Normal 4 3 4 2 2 2 2 2 2 2" xfId="6203" xr:uid="{00000000-0005-0000-0000-00006E280000}"/>
    <cellStyle name="Normal 4 3 4 2 2 2 2 2 2 2 2" xfId="12347" xr:uid="{00000000-0005-0000-0000-00006F280000}"/>
    <cellStyle name="Normal 4 3 4 2 2 2 2 2 2 2 2 2" xfId="24635" xr:uid="{00000000-0005-0000-0000-000070280000}"/>
    <cellStyle name="Normal 4 3 4 2 2 2 2 2 2 2 2 2 2" xfId="49211" xr:uid="{00000000-0005-0000-0000-000071280000}"/>
    <cellStyle name="Normal 4 3 4 2 2 2 2 2 2 2 2 3" xfId="36923" xr:uid="{00000000-0005-0000-0000-000072280000}"/>
    <cellStyle name="Normal 4 3 4 2 2 2 2 2 2 2 3" xfId="18491" xr:uid="{00000000-0005-0000-0000-000073280000}"/>
    <cellStyle name="Normal 4 3 4 2 2 2 2 2 2 2 3 2" xfId="43067" xr:uid="{00000000-0005-0000-0000-000074280000}"/>
    <cellStyle name="Normal 4 3 4 2 2 2 2 2 2 2 4" xfId="30779" xr:uid="{00000000-0005-0000-0000-000075280000}"/>
    <cellStyle name="Normal 4 3 4 2 2 2 2 2 2 3" xfId="9275" xr:uid="{00000000-0005-0000-0000-000076280000}"/>
    <cellStyle name="Normal 4 3 4 2 2 2 2 2 2 3 2" xfId="21563" xr:uid="{00000000-0005-0000-0000-000077280000}"/>
    <cellStyle name="Normal 4 3 4 2 2 2 2 2 2 3 2 2" xfId="46139" xr:uid="{00000000-0005-0000-0000-000078280000}"/>
    <cellStyle name="Normal 4 3 4 2 2 2 2 2 2 3 3" xfId="33851" xr:uid="{00000000-0005-0000-0000-000079280000}"/>
    <cellStyle name="Normal 4 3 4 2 2 2 2 2 2 4" xfId="15419" xr:uid="{00000000-0005-0000-0000-00007A280000}"/>
    <cellStyle name="Normal 4 3 4 2 2 2 2 2 2 4 2" xfId="39995" xr:uid="{00000000-0005-0000-0000-00007B280000}"/>
    <cellStyle name="Normal 4 3 4 2 2 2 2 2 2 5" xfId="27707" xr:uid="{00000000-0005-0000-0000-00007C280000}"/>
    <cellStyle name="Normal 4 3 4 2 2 2 2 2 3" xfId="4667" xr:uid="{00000000-0005-0000-0000-00007D280000}"/>
    <cellStyle name="Normal 4 3 4 2 2 2 2 2 3 2" xfId="10811" xr:uid="{00000000-0005-0000-0000-00007E280000}"/>
    <cellStyle name="Normal 4 3 4 2 2 2 2 2 3 2 2" xfId="23099" xr:uid="{00000000-0005-0000-0000-00007F280000}"/>
    <cellStyle name="Normal 4 3 4 2 2 2 2 2 3 2 2 2" xfId="47675" xr:uid="{00000000-0005-0000-0000-000080280000}"/>
    <cellStyle name="Normal 4 3 4 2 2 2 2 2 3 2 3" xfId="35387" xr:uid="{00000000-0005-0000-0000-000081280000}"/>
    <cellStyle name="Normal 4 3 4 2 2 2 2 2 3 3" xfId="16955" xr:uid="{00000000-0005-0000-0000-000082280000}"/>
    <cellStyle name="Normal 4 3 4 2 2 2 2 2 3 3 2" xfId="41531" xr:uid="{00000000-0005-0000-0000-000083280000}"/>
    <cellStyle name="Normal 4 3 4 2 2 2 2 2 3 4" xfId="29243" xr:uid="{00000000-0005-0000-0000-000084280000}"/>
    <cellStyle name="Normal 4 3 4 2 2 2 2 2 4" xfId="7739" xr:uid="{00000000-0005-0000-0000-000085280000}"/>
    <cellStyle name="Normal 4 3 4 2 2 2 2 2 4 2" xfId="20027" xr:uid="{00000000-0005-0000-0000-000086280000}"/>
    <cellStyle name="Normal 4 3 4 2 2 2 2 2 4 2 2" xfId="44603" xr:uid="{00000000-0005-0000-0000-000087280000}"/>
    <cellStyle name="Normal 4 3 4 2 2 2 2 2 4 3" xfId="32315" xr:uid="{00000000-0005-0000-0000-000088280000}"/>
    <cellStyle name="Normal 4 3 4 2 2 2 2 2 5" xfId="13883" xr:uid="{00000000-0005-0000-0000-000089280000}"/>
    <cellStyle name="Normal 4 3 4 2 2 2 2 2 5 2" xfId="38459" xr:uid="{00000000-0005-0000-0000-00008A280000}"/>
    <cellStyle name="Normal 4 3 4 2 2 2 2 2 6" xfId="26171" xr:uid="{00000000-0005-0000-0000-00008B280000}"/>
    <cellStyle name="Normal 4 3 4 2 2 2 2 3" xfId="2359" xr:uid="{00000000-0005-0000-0000-00008C280000}"/>
    <cellStyle name="Normal 4 3 4 2 2 2 2 3 2" xfId="5435" xr:uid="{00000000-0005-0000-0000-00008D280000}"/>
    <cellStyle name="Normal 4 3 4 2 2 2 2 3 2 2" xfId="11579" xr:uid="{00000000-0005-0000-0000-00008E280000}"/>
    <cellStyle name="Normal 4 3 4 2 2 2 2 3 2 2 2" xfId="23867" xr:uid="{00000000-0005-0000-0000-00008F280000}"/>
    <cellStyle name="Normal 4 3 4 2 2 2 2 3 2 2 2 2" xfId="48443" xr:uid="{00000000-0005-0000-0000-000090280000}"/>
    <cellStyle name="Normal 4 3 4 2 2 2 2 3 2 2 3" xfId="36155" xr:uid="{00000000-0005-0000-0000-000091280000}"/>
    <cellStyle name="Normal 4 3 4 2 2 2 2 3 2 3" xfId="17723" xr:uid="{00000000-0005-0000-0000-000092280000}"/>
    <cellStyle name="Normal 4 3 4 2 2 2 2 3 2 3 2" xfId="42299" xr:uid="{00000000-0005-0000-0000-000093280000}"/>
    <cellStyle name="Normal 4 3 4 2 2 2 2 3 2 4" xfId="30011" xr:uid="{00000000-0005-0000-0000-000094280000}"/>
    <cellStyle name="Normal 4 3 4 2 2 2 2 3 3" xfId="8507" xr:uid="{00000000-0005-0000-0000-000095280000}"/>
    <cellStyle name="Normal 4 3 4 2 2 2 2 3 3 2" xfId="20795" xr:uid="{00000000-0005-0000-0000-000096280000}"/>
    <cellStyle name="Normal 4 3 4 2 2 2 2 3 3 2 2" xfId="45371" xr:uid="{00000000-0005-0000-0000-000097280000}"/>
    <cellStyle name="Normal 4 3 4 2 2 2 2 3 3 3" xfId="33083" xr:uid="{00000000-0005-0000-0000-000098280000}"/>
    <cellStyle name="Normal 4 3 4 2 2 2 2 3 4" xfId="14651" xr:uid="{00000000-0005-0000-0000-000099280000}"/>
    <cellStyle name="Normal 4 3 4 2 2 2 2 3 4 2" xfId="39227" xr:uid="{00000000-0005-0000-0000-00009A280000}"/>
    <cellStyle name="Normal 4 3 4 2 2 2 2 3 5" xfId="26939" xr:uid="{00000000-0005-0000-0000-00009B280000}"/>
    <cellStyle name="Normal 4 3 4 2 2 2 2 4" xfId="3899" xr:uid="{00000000-0005-0000-0000-00009C280000}"/>
    <cellStyle name="Normal 4 3 4 2 2 2 2 4 2" xfId="10043" xr:uid="{00000000-0005-0000-0000-00009D280000}"/>
    <cellStyle name="Normal 4 3 4 2 2 2 2 4 2 2" xfId="22331" xr:uid="{00000000-0005-0000-0000-00009E280000}"/>
    <cellStyle name="Normal 4 3 4 2 2 2 2 4 2 2 2" xfId="46907" xr:uid="{00000000-0005-0000-0000-00009F280000}"/>
    <cellStyle name="Normal 4 3 4 2 2 2 2 4 2 3" xfId="34619" xr:uid="{00000000-0005-0000-0000-0000A0280000}"/>
    <cellStyle name="Normal 4 3 4 2 2 2 2 4 3" xfId="16187" xr:uid="{00000000-0005-0000-0000-0000A1280000}"/>
    <cellStyle name="Normal 4 3 4 2 2 2 2 4 3 2" xfId="40763" xr:uid="{00000000-0005-0000-0000-0000A2280000}"/>
    <cellStyle name="Normal 4 3 4 2 2 2 2 4 4" xfId="28475" xr:uid="{00000000-0005-0000-0000-0000A3280000}"/>
    <cellStyle name="Normal 4 3 4 2 2 2 2 5" xfId="6971" xr:uid="{00000000-0005-0000-0000-0000A4280000}"/>
    <cellStyle name="Normal 4 3 4 2 2 2 2 5 2" xfId="19259" xr:uid="{00000000-0005-0000-0000-0000A5280000}"/>
    <cellStyle name="Normal 4 3 4 2 2 2 2 5 2 2" xfId="43835" xr:uid="{00000000-0005-0000-0000-0000A6280000}"/>
    <cellStyle name="Normal 4 3 4 2 2 2 2 5 3" xfId="31547" xr:uid="{00000000-0005-0000-0000-0000A7280000}"/>
    <cellStyle name="Normal 4 3 4 2 2 2 2 6" xfId="13115" xr:uid="{00000000-0005-0000-0000-0000A8280000}"/>
    <cellStyle name="Normal 4 3 4 2 2 2 2 6 2" xfId="37691" xr:uid="{00000000-0005-0000-0000-0000A9280000}"/>
    <cellStyle name="Normal 4 3 4 2 2 2 2 7" xfId="25403" xr:uid="{00000000-0005-0000-0000-0000AA280000}"/>
    <cellStyle name="Normal 4 3 4 2 2 2 3" xfId="1207" xr:uid="{00000000-0005-0000-0000-0000AB280000}"/>
    <cellStyle name="Normal 4 3 4 2 2 2 3 2" xfId="2743" xr:uid="{00000000-0005-0000-0000-0000AC280000}"/>
    <cellStyle name="Normal 4 3 4 2 2 2 3 2 2" xfId="5819" xr:uid="{00000000-0005-0000-0000-0000AD280000}"/>
    <cellStyle name="Normal 4 3 4 2 2 2 3 2 2 2" xfId="11963" xr:uid="{00000000-0005-0000-0000-0000AE280000}"/>
    <cellStyle name="Normal 4 3 4 2 2 2 3 2 2 2 2" xfId="24251" xr:uid="{00000000-0005-0000-0000-0000AF280000}"/>
    <cellStyle name="Normal 4 3 4 2 2 2 3 2 2 2 2 2" xfId="48827" xr:uid="{00000000-0005-0000-0000-0000B0280000}"/>
    <cellStyle name="Normal 4 3 4 2 2 2 3 2 2 2 3" xfId="36539" xr:uid="{00000000-0005-0000-0000-0000B1280000}"/>
    <cellStyle name="Normal 4 3 4 2 2 2 3 2 2 3" xfId="18107" xr:uid="{00000000-0005-0000-0000-0000B2280000}"/>
    <cellStyle name="Normal 4 3 4 2 2 2 3 2 2 3 2" xfId="42683" xr:uid="{00000000-0005-0000-0000-0000B3280000}"/>
    <cellStyle name="Normal 4 3 4 2 2 2 3 2 2 4" xfId="30395" xr:uid="{00000000-0005-0000-0000-0000B4280000}"/>
    <cellStyle name="Normal 4 3 4 2 2 2 3 2 3" xfId="8891" xr:uid="{00000000-0005-0000-0000-0000B5280000}"/>
    <cellStyle name="Normal 4 3 4 2 2 2 3 2 3 2" xfId="21179" xr:uid="{00000000-0005-0000-0000-0000B6280000}"/>
    <cellStyle name="Normal 4 3 4 2 2 2 3 2 3 2 2" xfId="45755" xr:uid="{00000000-0005-0000-0000-0000B7280000}"/>
    <cellStyle name="Normal 4 3 4 2 2 2 3 2 3 3" xfId="33467" xr:uid="{00000000-0005-0000-0000-0000B8280000}"/>
    <cellStyle name="Normal 4 3 4 2 2 2 3 2 4" xfId="15035" xr:uid="{00000000-0005-0000-0000-0000B9280000}"/>
    <cellStyle name="Normal 4 3 4 2 2 2 3 2 4 2" xfId="39611" xr:uid="{00000000-0005-0000-0000-0000BA280000}"/>
    <cellStyle name="Normal 4 3 4 2 2 2 3 2 5" xfId="27323" xr:uid="{00000000-0005-0000-0000-0000BB280000}"/>
    <cellStyle name="Normal 4 3 4 2 2 2 3 3" xfId="4283" xr:uid="{00000000-0005-0000-0000-0000BC280000}"/>
    <cellStyle name="Normal 4 3 4 2 2 2 3 3 2" xfId="10427" xr:uid="{00000000-0005-0000-0000-0000BD280000}"/>
    <cellStyle name="Normal 4 3 4 2 2 2 3 3 2 2" xfId="22715" xr:uid="{00000000-0005-0000-0000-0000BE280000}"/>
    <cellStyle name="Normal 4 3 4 2 2 2 3 3 2 2 2" xfId="47291" xr:uid="{00000000-0005-0000-0000-0000BF280000}"/>
    <cellStyle name="Normal 4 3 4 2 2 2 3 3 2 3" xfId="35003" xr:uid="{00000000-0005-0000-0000-0000C0280000}"/>
    <cellStyle name="Normal 4 3 4 2 2 2 3 3 3" xfId="16571" xr:uid="{00000000-0005-0000-0000-0000C1280000}"/>
    <cellStyle name="Normal 4 3 4 2 2 2 3 3 3 2" xfId="41147" xr:uid="{00000000-0005-0000-0000-0000C2280000}"/>
    <cellStyle name="Normal 4 3 4 2 2 2 3 3 4" xfId="28859" xr:uid="{00000000-0005-0000-0000-0000C3280000}"/>
    <cellStyle name="Normal 4 3 4 2 2 2 3 4" xfId="7355" xr:uid="{00000000-0005-0000-0000-0000C4280000}"/>
    <cellStyle name="Normal 4 3 4 2 2 2 3 4 2" xfId="19643" xr:uid="{00000000-0005-0000-0000-0000C5280000}"/>
    <cellStyle name="Normal 4 3 4 2 2 2 3 4 2 2" xfId="44219" xr:uid="{00000000-0005-0000-0000-0000C6280000}"/>
    <cellStyle name="Normal 4 3 4 2 2 2 3 4 3" xfId="31931" xr:uid="{00000000-0005-0000-0000-0000C7280000}"/>
    <cellStyle name="Normal 4 3 4 2 2 2 3 5" xfId="13499" xr:uid="{00000000-0005-0000-0000-0000C8280000}"/>
    <cellStyle name="Normal 4 3 4 2 2 2 3 5 2" xfId="38075" xr:uid="{00000000-0005-0000-0000-0000C9280000}"/>
    <cellStyle name="Normal 4 3 4 2 2 2 3 6" xfId="25787" xr:uid="{00000000-0005-0000-0000-0000CA280000}"/>
    <cellStyle name="Normal 4 3 4 2 2 2 4" xfId="1975" xr:uid="{00000000-0005-0000-0000-0000CB280000}"/>
    <cellStyle name="Normal 4 3 4 2 2 2 4 2" xfId="5051" xr:uid="{00000000-0005-0000-0000-0000CC280000}"/>
    <cellStyle name="Normal 4 3 4 2 2 2 4 2 2" xfId="11195" xr:uid="{00000000-0005-0000-0000-0000CD280000}"/>
    <cellStyle name="Normal 4 3 4 2 2 2 4 2 2 2" xfId="23483" xr:uid="{00000000-0005-0000-0000-0000CE280000}"/>
    <cellStyle name="Normal 4 3 4 2 2 2 4 2 2 2 2" xfId="48059" xr:uid="{00000000-0005-0000-0000-0000CF280000}"/>
    <cellStyle name="Normal 4 3 4 2 2 2 4 2 2 3" xfId="35771" xr:uid="{00000000-0005-0000-0000-0000D0280000}"/>
    <cellStyle name="Normal 4 3 4 2 2 2 4 2 3" xfId="17339" xr:uid="{00000000-0005-0000-0000-0000D1280000}"/>
    <cellStyle name="Normal 4 3 4 2 2 2 4 2 3 2" xfId="41915" xr:uid="{00000000-0005-0000-0000-0000D2280000}"/>
    <cellStyle name="Normal 4 3 4 2 2 2 4 2 4" xfId="29627" xr:uid="{00000000-0005-0000-0000-0000D3280000}"/>
    <cellStyle name="Normal 4 3 4 2 2 2 4 3" xfId="8123" xr:uid="{00000000-0005-0000-0000-0000D4280000}"/>
    <cellStyle name="Normal 4 3 4 2 2 2 4 3 2" xfId="20411" xr:uid="{00000000-0005-0000-0000-0000D5280000}"/>
    <cellStyle name="Normal 4 3 4 2 2 2 4 3 2 2" xfId="44987" xr:uid="{00000000-0005-0000-0000-0000D6280000}"/>
    <cellStyle name="Normal 4 3 4 2 2 2 4 3 3" xfId="32699" xr:uid="{00000000-0005-0000-0000-0000D7280000}"/>
    <cellStyle name="Normal 4 3 4 2 2 2 4 4" xfId="14267" xr:uid="{00000000-0005-0000-0000-0000D8280000}"/>
    <cellStyle name="Normal 4 3 4 2 2 2 4 4 2" xfId="38843" xr:uid="{00000000-0005-0000-0000-0000D9280000}"/>
    <cellStyle name="Normal 4 3 4 2 2 2 4 5" xfId="26555" xr:uid="{00000000-0005-0000-0000-0000DA280000}"/>
    <cellStyle name="Normal 4 3 4 2 2 2 5" xfId="3515" xr:uid="{00000000-0005-0000-0000-0000DB280000}"/>
    <cellStyle name="Normal 4 3 4 2 2 2 5 2" xfId="9659" xr:uid="{00000000-0005-0000-0000-0000DC280000}"/>
    <cellStyle name="Normal 4 3 4 2 2 2 5 2 2" xfId="21947" xr:uid="{00000000-0005-0000-0000-0000DD280000}"/>
    <cellStyle name="Normal 4 3 4 2 2 2 5 2 2 2" xfId="46523" xr:uid="{00000000-0005-0000-0000-0000DE280000}"/>
    <cellStyle name="Normal 4 3 4 2 2 2 5 2 3" xfId="34235" xr:uid="{00000000-0005-0000-0000-0000DF280000}"/>
    <cellStyle name="Normal 4 3 4 2 2 2 5 3" xfId="15803" xr:uid="{00000000-0005-0000-0000-0000E0280000}"/>
    <cellStyle name="Normal 4 3 4 2 2 2 5 3 2" xfId="40379" xr:uid="{00000000-0005-0000-0000-0000E1280000}"/>
    <cellStyle name="Normal 4 3 4 2 2 2 5 4" xfId="28091" xr:uid="{00000000-0005-0000-0000-0000E2280000}"/>
    <cellStyle name="Normal 4 3 4 2 2 2 6" xfId="6587" xr:uid="{00000000-0005-0000-0000-0000E3280000}"/>
    <cellStyle name="Normal 4 3 4 2 2 2 6 2" xfId="18875" xr:uid="{00000000-0005-0000-0000-0000E4280000}"/>
    <cellStyle name="Normal 4 3 4 2 2 2 6 2 2" xfId="43451" xr:uid="{00000000-0005-0000-0000-0000E5280000}"/>
    <cellStyle name="Normal 4 3 4 2 2 2 6 3" xfId="31163" xr:uid="{00000000-0005-0000-0000-0000E6280000}"/>
    <cellStyle name="Normal 4 3 4 2 2 2 7" xfId="12731" xr:uid="{00000000-0005-0000-0000-0000E7280000}"/>
    <cellStyle name="Normal 4 3 4 2 2 2 7 2" xfId="37307" xr:uid="{00000000-0005-0000-0000-0000E8280000}"/>
    <cellStyle name="Normal 4 3 4 2 2 2 8" xfId="25019" xr:uid="{00000000-0005-0000-0000-0000E9280000}"/>
    <cellStyle name="Normal 4 3 4 2 2 3" xfId="631" xr:uid="{00000000-0005-0000-0000-0000EA280000}"/>
    <cellStyle name="Normal 4 3 4 2 2 3 2" xfId="1399" xr:uid="{00000000-0005-0000-0000-0000EB280000}"/>
    <cellStyle name="Normal 4 3 4 2 2 3 2 2" xfId="2935" xr:uid="{00000000-0005-0000-0000-0000EC280000}"/>
    <cellStyle name="Normal 4 3 4 2 2 3 2 2 2" xfId="6011" xr:uid="{00000000-0005-0000-0000-0000ED280000}"/>
    <cellStyle name="Normal 4 3 4 2 2 3 2 2 2 2" xfId="12155" xr:uid="{00000000-0005-0000-0000-0000EE280000}"/>
    <cellStyle name="Normal 4 3 4 2 2 3 2 2 2 2 2" xfId="24443" xr:uid="{00000000-0005-0000-0000-0000EF280000}"/>
    <cellStyle name="Normal 4 3 4 2 2 3 2 2 2 2 2 2" xfId="49019" xr:uid="{00000000-0005-0000-0000-0000F0280000}"/>
    <cellStyle name="Normal 4 3 4 2 2 3 2 2 2 2 3" xfId="36731" xr:uid="{00000000-0005-0000-0000-0000F1280000}"/>
    <cellStyle name="Normal 4 3 4 2 2 3 2 2 2 3" xfId="18299" xr:uid="{00000000-0005-0000-0000-0000F2280000}"/>
    <cellStyle name="Normal 4 3 4 2 2 3 2 2 2 3 2" xfId="42875" xr:uid="{00000000-0005-0000-0000-0000F3280000}"/>
    <cellStyle name="Normal 4 3 4 2 2 3 2 2 2 4" xfId="30587" xr:uid="{00000000-0005-0000-0000-0000F4280000}"/>
    <cellStyle name="Normal 4 3 4 2 2 3 2 2 3" xfId="9083" xr:uid="{00000000-0005-0000-0000-0000F5280000}"/>
    <cellStyle name="Normal 4 3 4 2 2 3 2 2 3 2" xfId="21371" xr:uid="{00000000-0005-0000-0000-0000F6280000}"/>
    <cellStyle name="Normal 4 3 4 2 2 3 2 2 3 2 2" xfId="45947" xr:uid="{00000000-0005-0000-0000-0000F7280000}"/>
    <cellStyle name="Normal 4 3 4 2 2 3 2 2 3 3" xfId="33659" xr:uid="{00000000-0005-0000-0000-0000F8280000}"/>
    <cellStyle name="Normal 4 3 4 2 2 3 2 2 4" xfId="15227" xr:uid="{00000000-0005-0000-0000-0000F9280000}"/>
    <cellStyle name="Normal 4 3 4 2 2 3 2 2 4 2" xfId="39803" xr:uid="{00000000-0005-0000-0000-0000FA280000}"/>
    <cellStyle name="Normal 4 3 4 2 2 3 2 2 5" xfId="27515" xr:uid="{00000000-0005-0000-0000-0000FB280000}"/>
    <cellStyle name="Normal 4 3 4 2 2 3 2 3" xfId="4475" xr:uid="{00000000-0005-0000-0000-0000FC280000}"/>
    <cellStyle name="Normal 4 3 4 2 2 3 2 3 2" xfId="10619" xr:uid="{00000000-0005-0000-0000-0000FD280000}"/>
    <cellStyle name="Normal 4 3 4 2 2 3 2 3 2 2" xfId="22907" xr:uid="{00000000-0005-0000-0000-0000FE280000}"/>
    <cellStyle name="Normal 4 3 4 2 2 3 2 3 2 2 2" xfId="47483" xr:uid="{00000000-0005-0000-0000-0000FF280000}"/>
    <cellStyle name="Normal 4 3 4 2 2 3 2 3 2 3" xfId="35195" xr:uid="{00000000-0005-0000-0000-000000290000}"/>
    <cellStyle name="Normal 4 3 4 2 2 3 2 3 3" xfId="16763" xr:uid="{00000000-0005-0000-0000-000001290000}"/>
    <cellStyle name="Normal 4 3 4 2 2 3 2 3 3 2" xfId="41339" xr:uid="{00000000-0005-0000-0000-000002290000}"/>
    <cellStyle name="Normal 4 3 4 2 2 3 2 3 4" xfId="29051" xr:uid="{00000000-0005-0000-0000-000003290000}"/>
    <cellStyle name="Normal 4 3 4 2 2 3 2 4" xfId="7547" xr:uid="{00000000-0005-0000-0000-000004290000}"/>
    <cellStyle name="Normal 4 3 4 2 2 3 2 4 2" xfId="19835" xr:uid="{00000000-0005-0000-0000-000005290000}"/>
    <cellStyle name="Normal 4 3 4 2 2 3 2 4 2 2" xfId="44411" xr:uid="{00000000-0005-0000-0000-000006290000}"/>
    <cellStyle name="Normal 4 3 4 2 2 3 2 4 3" xfId="32123" xr:uid="{00000000-0005-0000-0000-000007290000}"/>
    <cellStyle name="Normal 4 3 4 2 2 3 2 5" xfId="13691" xr:uid="{00000000-0005-0000-0000-000008290000}"/>
    <cellStyle name="Normal 4 3 4 2 2 3 2 5 2" xfId="38267" xr:uid="{00000000-0005-0000-0000-000009290000}"/>
    <cellStyle name="Normal 4 3 4 2 2 3 2 6" xfId="25979" xr:uid="{00000000-0005-0000-0000-00000A290000}"/>
    <cellStyle name="Normal 4 3 4 2 2 3 3" xfId="2167" xr:uid="{00000000-0005-0000-0000-00000B290000}"/>
    <cellStyle name="Normal 4 3 4 2 2 3 3 2" xfId="5243" xr:uid="{00000000-0005-0000-0000-00000C290000}"/>
    <cellStyle name="Normal 4 3 4 2 2 3 3 2 2" xfId="11387" xr:uid="{00000000-0005-0000-0000-00000D290000}"/>
    <cellStyle name="Normal 4 3 4 2 2 3 3 2 2 2" xfId="23675" xr:uid="{00000000-0005-0000-0000-00000E290000}"/>
    <cellStyle name="Normal 4 3 4 2 2 3 3 2 2 2 2" xfId="48251" xr:uid="{00000000-0005-0000-0000-00000F290000}"/>
    <cellStyle name="Normal 4 3 4 2 2 3 3 2 2 3" xfId="35963" xr:uid="{00000000-0005-0000-0000-000010290000}"/>
    <cellStyle name="Normal 4 3 4 2 2 3 3 2 3" xfId="17531" xr:uid="{00000000-0005-0000-0000-000011290000}"/>
    <cellStyle name="Normal 4 3 4 2 2 3 3 2 3 2" xfId="42107" xr:uid="{00000000-0005-0000-0000-000012290000}"/>
    <cellStyle name="Normal 4 3 4 2 2 3 3 2 4" xfId="29819" xr:uid="{00000000-0005-0000-0000-000013290000}"/>
    <cellStyle name="Normal 4 3 4 2 2 3 3 3" xfId="8315" xr:uid="{00000000-0005-0000-0000-000014290000}"/>
    <cellStyle name="Normal 4 3 4 2 2 3 3 3 2" xfId="20603" xr:uid="{00000000-0005-0000-0000-000015290000}"/>
    <cellStyle name="Normal 4 3 4 2 2 3 3 3 2 2" xfId="45179" xr:uid="{00000000-0005-0000-0000-000016290000}"/>
    <cellStyle name="Normal 4 3 4 2 2 3 3 3 3" xfId="32891" xr:uid="{00000000-0005-0000-0000-000017290000}"/>
    <cellStyle name="Normal 4 3 4 2 2 3 3 4" xfId="14459" xr:uid="{00000000-0005-0000-0000-000018290000}"/>
    <cellStyle name="Normal 4 3 4 2 2 3 3 4 2" xfId="39035" xr:uid="{00000000-0005-0000-0000-000019290000}"/>
    <cellStyle name="Normal 4 3 4 2 2 3 3 5" xfId="26747" xr:uid="{00000000-0005-0000-0000-00001A290000}"/>
    <cellStyle name="Normal 4 3 4 2 2 3 4" xfId="3707" xr:uid="{00000000-0005-0000-0000-00001B290000}"/>
    <cellStyle name="Normal 4 3 4 2 2 3 4 2" xfId="9851" xr:uid="{00000000-0005-0000-0000-00001C290000}"/>
    <cellStyle name="Normal 4 3 4 2 2 3 4 2 2" xfId="22139" xr:uid="{00000000-0005-0000-0000-00001D290000}"/>
    <cellStyle name="Normal 4 3 4 2 2 3 4 2 2 2" xfId="46715" xr:uid="{00000000-0005-0000-0000-00001E290000}"/>
    <cellStyle name="Normal 4 3 4 2 2 3 4 2 3" xfId="34427" xr:uid="{00000000-0005-0000-0000-00001F290000}"/>
    <cellStyle name="Normal 4 3 4 2 2 3 4 3" xfId="15995" xr:uid="{00000000-0005-0000-0000-000020290000}"/>
    <cellStyle name="Normal 4 3 4 2 2 3 4 3 2" xfId="40571" xr:uid="{00000000-0005-0000-0000-000021290000}"/>
    <cellStyle name="Normal 4 3 4 2 2 3 4 4" xfId="28283" xr:uid="{00000000-0005-0000-0000-000022290000}"/>
    <cellStyle name="Normal 4 3 4 2 2 3 5" xfId="6779" xr:uid="{00000000-0005-0000-0000-000023290000}"/>
    <cellStyle name="Normal 4 3 4 2 2 3 5 2" xfId="19067" xr:uid="{00000000-0005-0000-0000-000024290000}"/>
    <cellStyle name="Normal 4 3 4 2 2 3 5 2 2" xfId="43643" xr:uid="{00000000-0005-0000-0000-000025290000}"/>
    <cellStyle name="Normal 4 3 4 2 2 3 5 3" xfId="31355" xr:uid="{00000000-0005-0000-0000-000026290000}"/>
    <cellStyle name="Normal 4 3 4 2 2 3 6" xfId="12923" xr:uid="{00000000-0005-0000-0000-000027290000}"/>
    <cellStyle name="Normal 4 3 4 2 2 3 6 2" xfId="37499" xr:uid="{00000000-0005-0000-0000-000028290000}"/>
    <cellStyle name="Normal 4 3 4 2 2 3 7" xfId="25211" xr:uid="{00000000-0005-0000-0000-000029290000}"/>
    <cellStyle name="Normal 4 3 4 2 2 4" xfId="1015" xr:uid="{00000000-0005-0000-0000-00002A290000}"/>
    <cellStyle name="Normal 4 3 4 2 2 4 2" xfId="2551" xr:uid="{00000000-0005-0000-0000-00002B290000}"/>
    <cellStyle name="Normal 4 3 4 2 2 4 2 2" xfId="5627" xr:uid="{00000000-0005-0000-0000-00002C290000}"/>
    <cellStyle name="Normal 4 3 4 2 2 4 2 2 2" xfId="11771" xr:uid="{00000000-0005-0000-0000-00002D290000}"/>
    <cellStyle name="Normal 4 3 4 2 2 4 2 2 2 2" xfId="24059" xr:uid="{00000000-0005-0000-0000-00002E290000}"/>
    <cellStyle name="Normal 4 3 4 2 2 4 2 2 2 2 2" xfId="48635" xr:uid="{00000000-0005-0000-0000-00002F290000}"/>
    <cellStyle name="Normal 4 3 4 2 2 4 2 2 2 3" xfId="36347" xr:uid="{00000000-0005-0000-0000-000030290000}"/>
    <cellStyle name="Normal 4 3 4 2 2 4 2 2 3" xfId="17915" xr:uid="{00000000-0005-0000-0000-000031290000}"/>
    <cellStyle name="Normal 4 3 4 2 2 4 2 2 3 2" xfId="42491" xr:uid="{00000000-0005-0000-0000-000032290000}"/>
    <cellStyle name="Normal 4 3 4 2 2 4 2 2 4" xfId="30203" xr:uid="{00000000-0005-0000-0000-000033290000}"/>
    <cellStyle name="Normal 4 3 4 2 2 4 2 3" xfId="8699" xr:uid="{00000000-0005-0000-0000-000034290000}"/>
    <cellStyle name="Normal 4 3 4 2 2 4 2 3 2" xfId="20987" xr:uid="{00000000-0005-0000-0000-000035290000}"/>
    <cellStyle name="Normal 4 3 4 2 2 4 2 3 2 2" xfId="45563" xr:uid="{00000000-0005-0000-0000-000036290000}"/>
    <cellStyle name="Normal 4 3 4 2 2 4 2 3 3" xfId="33275" xr:uid="{00000000-0005-0000-0000-000037290000}"/>
    <cellStyle name="Normal 4 3 4 2 2 4 2 4" xfId="14843" xr:uid="{00000000-0005-0000-0000-000038290000}"/>
    <cellStyle name="Normal 4 3 4 2 2 4 2 4 2" xfId="39419" xr:uid="{00000000-0005-0000-0000-000039290000}"/>
    <cellStyle name="Normal 4 3 4 2 2 4 2 5" xfId="27131" xr:uid="{00000000-0005-0000-0000-00003A290000}"/>
    <cellStyle name="Normal 4 3 4 2 2 4 3" xfId="4091" xr:uid="{00000000-0005-0000-0000-00003B290000}"/>
    <cellStyle name="Normal 4 3 4 2 2 4 3 2" xfId="10235" xr:uid="{00000000-0005-0000-0000-00003C290000}"/>
    <cellStyle name="Normal 4 3 4 2 2 4 3 2 2" xfId="22523" xr:uid="{00000000-0005-0000-0000-00003D290000}"/>
    <cellStyle name="Normal 4 3 4 2 2 4 3 2 2 2" xfId="47099" xr:uid="{00000000-0005-0000-0000-00003E290000}"/>
    <cellStyle name="Normal 4 3 4 2 2 4 3 2 3" xfId="34811" xr:uid="{00000000-0005-0000-0000-00003F290000}"/>
    <cellStyle name="Normal 4 3 4 2 2 4 3 3" xfId="16379" xr:uid="{00000000-0005-0000-0000-000040290000}"/>
    <cellStyle name="Normal 4 3 4 2 2 4 3 3 2" xfId="40955" xr:uid="{00000000-0005-0000-0000-000041290000}"/>
    <cellStyle name="Normal 4 3 4 2 2 4 3 4" xfId="28667" xr:uid="{00000000-0005-0000-0000-000042290000}"/>
    <cellStyle name="Normal 4 3 4 2 2 4 4" xfId="7163" xr:uid="{00000000-0005-0000-0000-000043290000}"/>
    <cellStyle name="Normal 4 3 4 2 2 4 4 2" xfId="19451" xr:uid="{00000000-0005-0000-0000-000044290000}"/>
    <cellStyle name="Normal 4 3 4 2 2 4 4 2 2" xfId="44027" xr:uid="{00000000-0005-0000-0000-000045290000}"/>
    <cellStyle name="Normal 4 3 4 2 2 4 4 3" xfId="31739" xr:uid="{00000000-0005-0000-0000-000046290000}"/>
    <cellStyle name="Normal 4 3 4 2 2 4 5" xfId="13307" xr:uid="{00000000-0005-0000-0000-000047290000}"/>
    <cellStyle name="Normal 4 3 4 2 2 4 5 2" xfId="37883" xr:uid="{00000000-0005-0000-0000-000048290000}"/>
    <cellStyle name="Normal 4 3 4 2 2 4 6" xfId="25595" xr:uid="{00000000-0005-0000-0000-000049290000}"/>
    <cellStyle name="Normal 4 3 4 2 2 5" xfId="1783" xr:uid="{00000000-0005-0000-0000-00004A290000}"/>
    <cellStyle name="Normal 4 3 4 2 2 5 2" xfId="4859" xr:uid="{00000000-0005-0000-0000-00004B290000}"/>
    <cellStyle name="Normal 4 3 4 2 2 5 2 2" xfId="11003" xr:uid="{00000000-0005-0000-0000-00004C290000}"/>
    <cellStyle name="Normal 4 3 4 2 2 5 2 2 2" xfId="23291" xr:uid="{00000000-0005-0000-0000-00004D290000}"/>
    <cellStyle name="Normal 4 3 4 2 2 5 2 2 2 2" xfId="47867" xr:uid="{00000000-0005-0000-0000-00004E290000}"/>
    <cellStyle name="Normal 4 3 4 2 2 5 2 2 3" xfId="35579" xr:uid="{00000000-0005-0000-0000-00004F290000}"/>
    <cellStyle name="Normal 4 3 4 2 2 5 2 3" xfId="17147" xr:uid="{00000000-0005-0000-0000-000050290000}"/>
    <cellStyle name="Normal 4 3 4 2 2 5 2 3 2" xfId="41723" xr:uid="{00000000-0005-0000-0000-000051290000}"/>
    <cellStyle name="Normal 4 3 4 2 2 5 2 4" xfId="29435" xr:uid="{00000000-0005-0000-0000-000052290000}"/>
    <cellStyle name="Normal 4 3 4 2 2 5 3" xfId="7931" xr:uid="{00000000-0005-0000-0000-000053290000}"/>
    <cellStyle name="Normal 4 3 4 2 2 5 3 2" xfId="20219" xr:uid="{00000000-0005-0000-0000-000054290000}"/>
    <cellStyle name="Normal 4 3 4 2 2 5 3 2 2" xfId="44795" xr:uid="{00000000-0005-0000-0000-000055290000}"/>
    <cellStyle name="Normal 4 3 4 2 2 5 3 3" xfId="32507" xr:uid="{00000000-0005-0000-0000-000056290000}"/>
    <cellStyle name="Normal 4 3 4 2 2 5 4" xfId="14075" xr:uid="{00000000-0005-0000-0000-000057290000}"/>
    <cellStyle name="Normal 4 3 4 2 2 5 4 2" xfId="38651" xr:uid="{00000000-0005-0000-0000-000058290000}"/>
    <cellStyle name="Normal 4 3 4 2 2 5 5" xfId="26363" xr:uid="{00000000-0005-0000-0000-000059290000}"/>
    <cellStyle name="Normal 4 3 4 2 2 6" xfId="3323" xr:uid="{00000000-0005-0000-0000-00005A290000}"/>
    <cellStyle name="Normal 4 3 4 2 2 6 2" xfId="9467" xr:uid="{00000000-0005-0000-0000-00005B290000}"/>
    <cellStyle name="Normal 4 3 4 2 2 6 2 2" xfId="21755" xr:uid="{00000000-0005-0000-0000-00005C290000}"/>
    <cellStyle name="Normal 4 3 4 2 2 6 2 2 2" xfId="46331" xr:uid="{00000000-0005-0000-0000-00005D290000}"/>
    <cellStyle name="Normal 4 3 4 2 2 6 2 3" xfId="34043" xr:uid="{00000000-0005-0000-0000-00005E290000}"/>
    <cellStyle name="Normal 4 3 4 2 2 6 3" xfId="15611" xr:uid="{00000000-0005-0000-0000-00005F290000}"/>
    <cellStyle name="Normal 4 3 4 2 2 6 3 2" xfId="40187" xr:uid="{00000000-0005-0000-0000-000060290000}"/>
    <cellStyle name="Normal 4 3 4 2 2 6 4" xfId="27899" xr:uid="{00000000-0005-0000-0000-000061290000}"/>
    <cellStyle name="Normal 4 3 4 2 2 7" xfId="6395" xr:uid="{00000000-0005-0000-0000-000062290000}"/>
    <cellStyle name="Normal 4 3 4 2 2 7 2" xfId="18683" xr:uid="{00000000-0005-0000-0000-000063290000}"/>
    <cellStyle name="Normal 4 3 4 2 2 7 2 2" xfId="43259" xr:uid="{00000000-0005-0000-0000-000064290000}"/>
    <cellStyle name="Normal 4 3 4 2 2 7 3" xfId="30971" xr:uid="{00000000-0005-0000-0000-000065290000}"/>
    <cellStyle name="Normal 4 3 4 2 2 8" xfId="12539" xr:uid="{00000000-0005-0000-0000-000066290000}"/>
    <cellStyle name="Normal 4 3 4 2 2 8 2" xfId="37115" xr:uid="{00000000-0005-0000-0000-000067290000}"/>
    <cellStyle name="Normal 4 3 4 2 2 9" xfId="24827" xr:uid="{00000000-0005-0000-0000-000068290000}"/>
    <cellStyle name="Normal 4 3 4 2 3" xfId="311" xr:uid="{00000000-0005-0000-0000-000069290000}"/>
    <cellStyle name="Normal 4 3 4 2 3 2" xfId="503" xr:uid="{00000000-0005-0000-0000-00006A290000}"/>
    <cellStyle name="Normal 4 3 4 2 3 2 2" xfId="887" xr:uid="{00000000-0005-0000-0000-00006B290000}"/>
    <cellStyle name="Normal 4 3 4 2 3 2 2 2" xfId="1655" xr:uid="{00000000-0005-0000-0000-00006C290000}"/>
    <cellStyle name="Normal 4 3 4 2 3 2 2 2 2" xfId="3191" xr:uid="{00000000-0005-0000-0000-00006D290000}"/>
    <cellStyle name="Normal 4 3 4 2 3 2 2 2 2 2" xfId="6267" xr:uid="{00000000-0005-0000-0000-00006E290000}"/>
    <cellStyle name="Normal 4 3 4 2 3 2 2 2 2 2 2" xfId="12411" xr:uid="{00000000-0005-0000-0000-00006F290000}"/>
    <cellStyle name="Normal 4 3 4 2 3 2 2 2 2 2 2 2" xfId="24699" xr:uid="{00000000-0005-0000-0000-000070290000}"/>
    <cellStyle name="Normal 4 3 4 2 3 2 2 2 2 2 2 2 2" xfId="49275" xr:uid="{00000000-0005-0000-0000-000071290000}"/>
    <cellStyle name="Normal 4 3 4 2 3 2 2 2 2 2 2 3" xfId="36987" xr:uid="{00000000-0005-0000-0000-000072290000}"/>
    <cellStyle name="Normal 4 3 4 2 3 2 2 2 2 2 3" xfId="18555" xr:uid="{00000000-0005-0000-0000-000073290000}"/>
    <cellStyle name="Normal 4 3 4 2 3 2 2 2 2 2 3 2" xfId="43131" xr:uid="{00000000-0005-0000-0000-000074290000}"/>
    <cellStyle name="Normal 4 3 4 2 3 2 2 2 2 2 4" xfId="30843" xr:uid="{00000000-0005-0000-0000-000075290000}"/>
    <cellStyle name="Normal 4 3 4 2 3 2 2 2 2 3" xfId="9339" xr:uid="{00000000-0005-0000-0000-000076290000}"/>
    <cellStyle name="Normal 4 3 4 2 3 2 2 2 2 3 2" xfId="21627" xr:uid="{00000000-0005-0000-0000-000077290000}"/>
    <cellStyle name="Normal 4 3 4 2 3 2 2 2 2 3 2 2" xfId="46203" xr:uid="{00000000-0005-0000-0000-000078290000}"/>
    <cellStyle name="Normal 4 3 4 2 3 2 2 2 2 3 3" xfId="33915" xr:uid="{00000000-0005-0000-0000-000079290000}"/>
    <cellStyle name="Normal 4 3 4 2 3 2 2 2 2 4" xfId="15483" xr:uid="{00000000-0005-0000-0000-00007A290000}"/>
    <cellStyle name="Normal 4 3 4 2 3 2 2 2 2 4 2" xfId="40059" xr:uid="{00000000-0005-0000-0000-00007B290000}"/>
    <cellStyle name="Normal 4 3 4 2 3 2 2 2 2 5" xfId="27771" xr:uid="{00000000-0005-0000-0000-00007C290000}"/>
    <cellStyle name="Normal 4 3 4 2 3 2 2 2 3" xfId="4731" xr:uid="{00000000-0005-0000-0000-00007D290000}"/>
    <cellStyle name="Normal 4 3 4 2 3 2 2 2 3 2" xfId="10875" xr:uid="{00000000-0005-0000-0000-00007E290000}"/>
    <cellStyle name="Normal 4 3 4 2 3 2 2 2 3 2 2" xfId="23163" xr:uid="{00000000-0005-0000-0000-00007F290000}"/>
    <cellStyle name="Normal 4 3 4 2 3 2 2 2 3 2 2 2" xfId="47739" xr:uid="{00000000-0005-0000-0000-000080290000}"/>
    <cellStyle name="Normal 4 3 4 2 3 2 2 2 3 2 3" xfId="35451" xr:uid="{00000000-0005-0000-0000-000081290000}"/>
    <cellStyle name="Normal 4 3 4 2 3 2 2 2 3 3" xfId="17019" xr:uid="{00000000-0005-0000-0000-000082290000}"/>
    <cellStyle name="Normal 4 3 4 2 3 2 2 2 3 3 2" xfId="41595" xr:uid="{00000000-0005-0000-0000-000083290000}"/>
    <cellStyle name="Normal 4 3 4 2 3 2 2 2 3 4" xfId="29307" xr:uid="{00000000-0005-0000-0000-000084290000}"/>
    <cellStyle name="Normal 4 3 4 2 3 2 2 2 4" xfId="7803" xr:uid="{00000000-0005-0000-0000-000085290000}"/>
    <cellStyle name="Normal 4 3 4 2 3 2 2 2 4 2" xfId="20091" xr:uid="{00000000-0005-0000-0000-000086290000}"/>
    <cellStyle name="Normal 4 3 4 2 3 2 2 2 4 2 2" xfId="44667" xr:uid="{00000000-0005-0000-0000-000087290000}"/>
    <cellStyle name="Normal 4 3 4 2 3 2 2 2 4 3" xfId="32379" xr:uid="{00000000-0005-0000-0000-000088290000}"/>
    <cellStyle name="Normal 4 3 4 2 3 2 2 2 5" xfId="13947" xr:uid="{00000000-0005-0000-0000-000089290000}"/>
    <cellStyle name="Normal 4 3 4 2 3 2 2 2 5 2" xfId="38523" xr:uid="{00000000-0005-0000-0000-00008A290000}"/>
    <cellStyle name="Normal 4 3 4 2 3 2 2 2 6" xfId="26235" xr:uid="{00000000-0005-0000-0000-00008B290000}"/>
    <cellStyle name="Normal 4 3 4 2 3 2 2 3" xfId="2423" xr:uid="{00000000-0005-0000-0000-00008C290000}"/>
    <cellStyle name="Normal 4 3 4 2 3 2 2 3 2" xfId="5499" xr:uid="{00000000-0005-0000-0000-00008D290000}"/>
    <cellStyle name="Normal 4 3 4 2 3 2 2 3 2 2" xfId="11643" xr:uid="{00000000-0005-0000-0000-00008E290000}"/>
    <cellStyle name="Normal 4 3 4 2 3 2 2 3 2 2 2" xfId="23931" xr:uid="{00000000-0005-0000-0000-00008F290000}"/>
    <cellStyle name="Normal 4 3 4 2 3 2 2 3 2 2 2 2" xfId="48507" xr:uid="{00000000-0005-0000-0000-000090290000}"/>
    <cellStyle name="Normal 4 3 4 2 3 2 2 3 2 2 3" xfId="36219" xr:uid="{00000000-0005-0000-0000-000091290000}"/>
    <cellStyle name="Normal 4 3 4 2 3 2 2 3 2 3" xfId="17787" xr:uid="{00000000-0005-0000-0000-000092290000}"/>
    <cellStyle name="Normal 4 3 4 2 3 2 2 3 2 3 2" xfId="42363" xr:uid="{00000000-0005-0000-0000-000093290000}"/>
    <cellStyle name="Normal 4 3 4 2 3 2 2 3 2 4" xfId="30075" xr:uid="{00000000-0005-0000-0000-000094290000}"/>
    <cellStyle name="Normal 4 3 4 2 3 2 2 3 3" xfId="8571" xr:uid="{00000000-0005-0000-0000-000095290000}"/>
    <cellStyle name="Normal 4 3 4 2 3 2 2 3 3 2" xfId="20859" xr:uid="{00000000-0005-0000-0000-000096290000}"/>
    <cellStyle name="Normal 4 3 4 2 3 2 2 3 3 2 2" xfId="45435" xr:uid="{00000000-0005-0000-0000-000097290000}"/>
    <cellStyle name="Normal 4 3 4 2 3 2 2 3 3 3" xfId="33147" xr:uid="{00000000-0005-0000-0000-000098290000}"/>
    <cellStyle name="Normal 4 3 4 2 3 2 2 3 4" xfId="14715" xr:uid="{00000000-0005-0000-0000-000099290000}"/>
    <cellStyle name="Normal 4 3 4 2 3 2 2 3 4 2" xfId="39291" xr:uid="{00000000-0005-0000-0000-00009A290000}"/>
    <cellStyle name="Normal 4 3 4 2 3 2 2 3 5" xfId="27003" xr:uid="{00000000-0005-0000-0000-00009B290000}"/>
    <cellStyle name="Normal 4 3 4 2 3 2 2 4" xfId="3963" xr:uid="{00000000-0005-0000-0000-00009C290000}"/>
    <cellStyle name="Normal 4 3 4 2 3 2 2 4 2" xfId="10107" xr:uid="{00000000-0005-0000-0000-00009D290000}"/>
    <cellStyle name="Normal 4 3 4 2 3 2 2 4 2 2" xfId="22395" xr:uid="{00000000-0005-0000-0000-00009E290000}"/>
    <cellStyle name="Normal 4 3 4 2 3 2 2 4 2 2 2" xfId="46971" xr:uid="{00000000-0005-0000-0000-00009F290000}"/>
    <cellStyle name="Normal 4 3 4 2 3 2 2 4 2 3" xfId="34683" xr:uid="{00000000-0005-0000-0000-0000A0290000}"/>
    <cellStyle name="Normal 4 3 4 2 3 2 2 4 3" xfId="16251" xr:uid="{00000000-0005-0000-0000-0000A1290000}"/>
    <cellStyle name="Normal 4 3 4 2 3 2 2 4 3 2" xfId="40827" xr:uid="{00000000-0005-0000-0000-0000A2290000}"/>
    <cellStyle name="Normal 4 3 4 2 3 2 2 4 4" xfId="28539" xr:uid="{00000000-0005-0000-0000-0000A3290000}"/>
    <cellStyle name="Normal 4 3 4 2 3 2 2 5" xfId="7035" xr:uid="{00000000-0005-0000-0000-0000A4290000}"/>
    <cellStyle name="Normal 4 3 4 2 3 2 2 5 2" xfId="19323" xr:uid="{00000000-0005-0000-0000-0000A5290000}"/>
    <cellStyle name="Normal 4 3 4 2 3 2 2 5 2 2" xfId="43899" xr:uid="{00000000-0005-0000-0000-0000A6290000}"/>
    <cellStyle name="Normal 4 3 4 2 3 2 2 5 3" xfId="31611" xr:uid="{00000000-0005-0000-0000-0000A7290000}"/>
    <cellStyle name="Normal 4 3 4 2 3 2 2 6" xfId="13179" xr:uid="{00000000-0005-0000-0000-0000A8290000}"/>
    <cellStyle name="Normal 4 3 4 2 3 2 2 6 2" xfId="37755" xr:uid="{00000000-0005-0000-0000-0000A9290000}"/>
    <cellStyle name="Normal 4 3 4 2 3 2 2 7" xfId="25467" xr:uid="{00000000-0005-0000-0000-0000AA290000}"/>
    <cellStyle name="Normal 4 3 4 2 3 2 3" xfId="1271" xr:uid="{00000000-0005-0000-0000-0000AB290000}"/>
    <cellStyle name="Normal 4 3 4 2 3 2 3 2" xfId="2807" xr:uid="{00000000-0005-0000-0000-0000AC290000}"/>
    <cellStyle name="Normal 4 3 4 2 3 2 3 2 2" xfId="5883" xr:uid="{00000000-0005-0000-0000-0000AD290000}"/>
    <cellStyle name="Normal 4 3 4 2 3 2 3 2 2 2" xfId="12027" xr:uid="{00000000-0005-0000-0000-0000AE290000}"/>
    <cellStyle name="Normal 4 3 4 2 3 2 3 2 2 2 2" xfId="24315" xr:uid="{00000000-0005-0000-0000-0000AF290000}"/>
    <cellStyle name="Normal 4 3 4 2 3 2 3 2 2 2 2 2" xfId="48891" xr:uid="{00000000-0005-0000-0000-0000B0290000}"/>
    <cellStyle name="Normal 4 3 4 2 3 2 3 2 2 2 3" xfId="36603" xr:uid="{00000000-0005-0000-0000-0000B1290000}"/>
    <cellStyle name="Normal 4 3 4 2 3 2 3 2 2 3" xfId="18171" xr:uid="{00000000-0005-0000-0000-0000B2290000}"/>
    <cellStyle name="Normal 4 3 4 2 3 2 3 2 2 3 2" xfId="42747" xr:uid="{00000000-0005-0000-0000-0000B3290000}"/>
    <cellStyle name="Normal 4 3 4 2 3 2 3 2 2 4" xfId="30459" xr:uid="{00000000-0005-0000-0000-0000B4290000}"/>
    <cellStyle name="Normal 4 3 4 2 3 2 3 2 3" xfId="8955" xr:uid="{00000000-0005-0000-0000-0000B5290000}"/>
    <cellStyle name="Normal 4 3 4 2 3 2 3 2 3 2" xfId="21243" xr:uid="{00000000-0005-0000-0000-0000B6290000}"/>
    <cellStyle name="Normal 4 3 4 2 3 2 3 2 3 2 2" xfId="45819" xr:uid="{00000000-0005-0000-0000-0000B7290000}"/>
    <cellStyle name="Normal 4 3 4 2 3 2 3 2 3 3" xfId="33531" xr:uid="{00000000-0005-0000-0000-0000B8290000}"/>
    <cellStyle name="Normal 4 3 4 2 3 2 3 2 4" xfId="15099" xr:uid="{00000000-0005-0000-0000-0000B9290000}"/>
    <cellStyle name="Normal 4 3 4 2 3 2 3 2 4 2" xfId="39675" xr:uid="{00000000-0005-0000-0000-0000BA290000}"/>
    <cellStyle name="Normal 4 3 4 2 3 2 3 2 5" xfId="27387" xr:uid="{00000000-0005-0000-0000-0000BB290000}"/>
    <cellStyle name="Normal 4 3 4 2 3 2 3 3" xfId="4347" xr:uid="{00000000-0005-0000-0000-0000BC290000}"/>
    <cellStyle name="Normal 4 3 4 2 3 2 3 3 2" xfId="10491" xr:uid="{00000000-0005-0000-0000-0000BD290000}"/>
    <cellStyle name="Normal 4 3 4 2 3 2 3 3 2 2" xfId="22779" xr:uid="{00000000-0005-0000-0000-0000BE290000}"/>
    <cellStyle name="Normal 4 3 4 2 3 2 3 3 2 2 2" xfId="47355" xr:uid="{00000000-0005-0000-0000-0000BF290000}"/>
    <cellStyle name="Normal 4 3 4 2 3 2 3 3 2 3" xfId="35067" xr:uid="{00000000-0005-0000-0000-0000C0290000}"/>
    <cellStyle name="Normal 4 3 4 2 3 2 3 3 3" xfId="16635" xr:uid="{00000000-0005-0000-0000-0000C1290000}"/>
    <cellStyle name="Normal 4 3 4 2 3 2 3 3 3 2" xfId="41211" xr:uid="{00000000-0005-0000-0000-0000C2290000}"/>
    <cellStyle name="Normal 4 3 4 2 3 2 3 3 4" xfId="28923" xr:uid="{00000000-0005-0000-0000-0000C3290000}"/>
    <cellStyle name="Normal 4 3 4 2 3 2 3 4" xfId="7419" xr:uid="{00000000-0005-0000-0000-0000C4290000}"/>
    <cellStyle name="Normal 4 3 4 2 3 2 3 4 2" xfId="19707" xr:uid="{00000000-0005-0000-0000-0000C5290000}"/>
    <cellStyle name="Normal 4 3 4 2 3 2 3 4 2 2" xfId="44283" xr:uid="{00000000-0005-0000-0000-0000C6290000}"/>
    <cellStyle name="Normal 4 3 4 2 3 2 3 4 3" xfId="31995" xr:uid="{00000000-0005-0000-0000-0000C7290000}"/>
    <cellStyle name="Normal 4 3 4 2 3 2 3 5" xfId="13563" xr:uid="{00000000-0005-0000-0000-0000C8290000}"/>
    <cellStyle name="Normal 4 3 4 2 3 2 3 5 2" xfId="38139" xr:uid="{00000000-0005-0000-0000-0000C9290000}"/>
    <cellStyle name="Normal 4 3 4 2 3 2 3 6" xfId="25851" xr:uid="{00000000-0005-0000-0000-0000CA290000}"/>
    <cellStyle name="Normal 4 3 4 2 3 2 4" xfId="2039" xr:uid="{00000000-0005-0000-0000-0000CB290000}"/>
    <cellStyle name="Normal 4 3 4 2 3 2 4 2" xfId="5115" xr:uid="{00000000-0005-0000-0000-0000CC290000}"/>
    <cellStyle name="Normal 4 3 4 2 3 2 4 2 2" xfId="11259" xr:uid="{00000000-0005-0000-0000-0000CD290000}"/>
    <cellStyle name="Normal 4 3 4 2 3 2 4 2 2 2" xfId="23547" xr:uid="{00000000-0005-0000-0000-0000CE290000}"/>
    <cellStyle name="Normal 4 3 4 2 3 2 4 2 2 2 2" xfId="48123" xr:uid="{00000000-0005-0000-0000-0000CF290000}"/>
    <cellStyle name="Normal 4 3 4 2 3 2 4 2 2 3" xfId="35835" xr:uid="{00000000-0005-0000-0000-0000D0290000}"/>
    <cellStyle name="Normal 4 3 4 2 3 2 4 2 3" xfId="17403" xr:uid="{00000000-0005-0000-0000-0000D1290000}"/>
    <cellStyle name="Normal 4 3 4 2 3 2 4 2 3 2" xfId="41979" xr:uid="{00000000-0005-0000-0000-0000D2290000}"/>
    <cellStyle name="Normal 4 3 4 2 3 2 4 2 4" xfId="29691" xr:uid="{00000000-0005-0000-0000-0000D3290000}"/>
    <cellStyle name="Normal 4 3 4 2 3 2 4 3" xfId="8187" xr:uid="{00000000-0005-0000-0000-0000D4290000}"/>
    <cellStyle name="Normal 4 3 4 2 3 2 4 3 2" xfId="20475" xr:uid="{00000000-0005-0000-0000-0000D5290000}"/>
    <cellStyle name="Normal 4 3 4 2 3 2 4 3 2 2" xfId="45051" xr:uid="{00000000-0005-0000-0000-0000D6290000}"/>
    <cellStyle name="Normal 4 3 4 2 3 2 4 3 3" xfId="32763" xr:uid="{00000000-0005-0000-0000-0000D7290000}"/>
    <cellStyle name="Normal 4 3 4 2 3 2 4 4" xfId="14331" xr:uid="{00000000-0005-0000-0000-0000D8290000}"/>
    <cellStyle name="Normal 4 3 4 2 3 2 4 4 2" xfId="38907" xr:uid="{00000000-0005-0000-0000-0000D9290000}"/>
    <cellStyle name="Normal 4 3 4 2 3 2 4 5" xfId="26619" xr:uid="{00000000-0005-0000-0000-0000DA290000}"/>
    <cellStyle name="Normal 4 3 4 2 3 2 5" xfId="3579" xr:uid="{00000000-0005-0000-0000-0000DB290000}"/>
    <cellStyle name="Normal 4 3 4 2 3 2 5 2" xfId="9723" xr:uid="{00000000-0005-0000-0000-0000DC290000}"/>
    <cellStyle name="Normal 4 3 4 2 3 2 5 2 2" xfId="22011" xr:uid="{00000000-0005-0000-0000-0000DD290000}"/>
    <cellStyle name="Normal 4 3 4 2 3 2 5 2 2 2" xfId="46587" xr:uid="{00000000-0005-0000-0000-0000DE290000}"/>
    <cellStyle name="Normal 4 3 4 2 3 2 5 2 3" xfId="34299" xr:uid="{00000000-0005-0000-0000-0000DF290000}"/>
    <cellStyle name="Normal 4 3 4 2 3 2 5 3" xfId="15867" xr:uid="{00000000-0005-0000-0000-0000E0290000}"/>
    <cellStyle name="Normal 4 3 4 2 3 2 5 3 2" xfId="40443" xr:uid="{00000000-0005-0000-0000-0000E1290000}"/>
    <cellStyle name="Normal 4 3 4 2 3 2 5 4" xfId="28155" xr:uid="{00000000-0005-0000-0000-0000E2290000}"/>
    <cellStyle name="Normal 4 3 4 2 3 2 6" xfId="6651" xr:uid="{00000000-0005-0000-0000-0000E3290000}"/>
    <cellStyle name="Normal 4 3 4 2 3 2 6 2" xfId="18939" xr:uid="{00000000-0005-0000-0000-0000E4290000}"/>
    <cellStyle name="Normal 4 3 4 2 3 2 6 2 2" xfId="43515" xr:uid="{00000000-0005-0000-0000-0000E5290000}"/>
    <cellStyle name="Normal 4 3 4 2 3 2 6 3" xfId="31227" xr:uid="{00000000-0005-0000-0000-0000E6290000}"/>
    <cellStyle name="Normal 4 3 4 2 3 2 7" xfId="12795" xr:uid="{00000000-0005-0000-0000-0000E7290000}"/>
    <cellStyle name="Normal 4 3 4 2 3 2 7 2" xfId="37371" xr:uid="{00000000-0005-0000-0000-0000E8290000}"/>
    <cellStyle name="Normal 4 3 4 2 3 2 8" xfId="25083" xr:uid="{00000000-0005-0000-0000-0000E9290000}"/>
    <cellStyle name="Normal 4 3 4 2 3 3" xfId="695" xr:uid="{00000000-0005-0000-0000-0000EA290000}"/>
    <cellStyle name="Normal 4 3 4 2 3 3 2" xfId="1463" xr:uid="{00000000-0005-0000-0000-0000EB290000}"/>
    <cellStyle name="Normal 4 3 4 2 3 3 2 2" xfId="2999" xr:uid="{00000000-0005-0000-0000-0000EC290000}"/>
    <cellStyle name="Normal 4 3 4 2 3 3 2 2 2" xfId="6075" xr:uid="{00000000-0005-0000-0000-0000ED290000}"/>
    <cellStyle name="Normal 4 3 4 2 3 3 2 2 2 2" xfId="12219" xr:uid="{00000000-0005-0000-0000-0000EE290000}"/>
    <cellStyle name="Normal 4 3 4 2 3 3 2 2 2 2 2" xfId="24507" xr:uid="{00000000-0005-0000-0000-0000EF290000}"/>
    <cellStyle name="Normal 4 3 4 2 3 3 2 2 2 2 2 2" xfId="49083" xr:uid="{00000000-0005-0000-0000-0000F0290000}"/>
    <cellStyle name="Normal 4 3 4 2 3 3 2 2 2 2 3" xfId="36795" xr:uid="{00000000-0005-0000-0000-0000F1290000}"/>
    <cellStyle name="Normal 4 3 4 2 3 3 2 2 2 3" xfId="18363" xr:uid="{00000000-0005-0000-0000-0000F2290000}"/>
    <cellStyle name="Normal 4 3 4 2 3 3 2 2 2 3 2" xfId="42939" xr:uid="{00000000-0005-0000-0000-0000F3290000}"/>
    <cellStyle name="Normal 4 3 4 2 3 3 2 2 2 4" xfId="30651" xr:uid="{00000000-0005-0000-0000-0000F4290000}"/>
    <cellStyle name="Normal 4 3 4 2 3 3 2 2 3" xfId="9147" xr:uid="{00000000-0005-0000-0000-0000F5290000}"/>
    <cellStyle name="Normal 4 3 4 2 3 3 2 2 3 2" xfId="21435" xr:uid="{00000000-0005-0000-0000-0000F6290000}"/>
    <cellStyle name="Normal 4 3 4 2 3 3 2 2 3 2 2" xfId="46011" xr:uid="{00000000-0005-0000-0000-0000F7290000}"/>
    <cellStyle name="Normal 4 3 4 2 3 3 2 2 3 3" xfId="33723" xr:uid="{00000000-0005-0000-0000-0000F8290000}"/>
    <cellStyle name="Normal 4 3 4 2 3 3 2 2 4" xfId="15291" xr:uid="{00000000-0005-0000-0000-0000F9290000}"/>
    <cellStyle name="Normal 4 3 4 2 3 3 2 2 4 2" xfId="39867" xr:uid="{00000000-0005-0000-0000-0000FA290000}"/>
    <cellStyle name="Normal 4 3 4 2 3 3 2 2 5" xfId="27579" xr:uid="{00000000-0005-0000-0000-0000FB290000}"/>
    <cellStyle name="Normal 4 3 4 2 3 3 2 3" xfId="4539" xr:uid="{00000000-0005-0000-0000-0000FC290000}"/>
    <cellStyle name="Normal 4 3 4 2 3 3 2 3 2" xfId="10683" xr:uid="{00000000-0005-0000-0000-0000FD290000}"/>
    <cellStyle name="Normal 4 3 4 2 3 3 2 3 2 2" xfId="22971" xr:uid="{00000000-0005-0000-0000-0000FE290000}"/>
    <cellStyle name="Normal 4 3 4 2 3 3 2 3 2 2 2" xfId="47547" xr:uid="{00000000-0005-0000-0000-0000FF290000}"/>
    <cellStyle name="Normal 4 3 4 2 3 3 2 3 2 3" xfId="35259" xr:uid="{00000000-0005-0000-0000-0000002A0000}"/>
    <cellStyle name="Normal 4 3 4 2 3 3 2 3 3" xfId="16827" xr:uid="{00000000-0005-0000-0000-0000012A0000}"/>
    <cellStyle name="Normal 4 3 4 2 3 3 2 3 3 2" xfId="41403" xr:uid="{00000000-0005-0000-0000-0000022A0000}"/>
    <cellStyle name="Normal 4 3 4 2 3 3 2 3 4" xfId="29115" xr:uid="{00000000-0005-0000-0000-0000032A0000}"/>
    <cellStyle name="Normal 4 3 4 2 3 3 2 4" xfId="7611" xr:uid="{00000000-0005-0000-0000-0000042A0000}"/>
    <cellStyle name="Normal 4 3 4 2 3 3 2 4 2" xfId="19899" xr:uid="{00000000-0005-0000-0000-0000052A0000}"/>
    <cellStyle name="Normal 4 3 4 2 3 3 2 4 2 2" xfId="44475" xr:uid="{00000000-0005-0000-0000-0000062A0000}"/>
    <cellStyle name="Normal 4 3 4 2 3 3 2 4 3" xfId="32187" xr:uid="{00000000-0005-0000-0000-0000072A0000}"/>
    <cellStyle name="Normal 4 3 4 2 3 3 2 5" xfId="13755" xr:uid="{00000000-0005-0000-0000-0000082A0000}"/>
    <cellStyle name="Normal 4 3 4 2 3 3 2 5 2" xfId="38331" xr:uid="{00000000-0005-0000-0000-0000092A0000}"/>
    <cellStyle name="Normal 4 3 4 2 3 3 2 6" xfId="26043" xr:uid="{00000000-0005-0000-0000-00000A2A0000}"/>
    <cellStyle name="Normal 4 3 4 2 3 3 3" xfId="2231" xr:uid="{00000000-0005-0000-0000-00000B2A0000}"/>
    <cellStyle name="Normal 4 3 4 2 3 3 3 2" xfId="5307" xr:uid="{00000000-0005-0000-0000-00000C2A0000}"/>
    <cellStyle name="Normal 4 3 4 2 3 3 3 2 2" xfId="11451" xr:uid="{00000000-0005-0000-0000-00000D2A0000}"/>
    <cellStyle name="Normal 4 3 4 2 3 3 3 2 2 2" xfId="23739" xr:uid="{00000000-0005-0000-0000-00000E2A0000}"/>
    <cellStyle name="Normal 4 3 4 2 3 3 3 2 2 2 2" xfId="48315" xr:uid="{00000000-0005-0000-0000-00000F2A0000}"/>
    <cellStyle name="Normal 4 3 4 2 3 3 3 2 2 3" xfId="36027" xr:uid="{00000000-0005-0000-0000-0000102A0000}"/>
    <cellStyle name="Normal 4 3 4 2 3 3 3 2 3" xfId="17595" xr:uid="{00000000-0005-0000-0000-0000112A0000}"/>
    <cellStyle name="Normal 4 3 4 2 3 3 3 2 3 2" xfId="42171" xr:uid="{00000000-0005-0000-0000-0000122A0000}"/>
    <cellStyle name="Normal 4 3 4 2 3 3 3 2 4" xfId="29883" xr:uid="{00000000-0005-0000-0000-0000132A0000}"/>
    <cellStyle name="Normal 4 3 4 2 3 3 3 3" xfId="8379" xr:uid="{00000000-0005-0000-0000-0000142A0000}"/>
    <cellStyle name="Normal 4 3 4 2 3 3 3 3 2" xfId="20667" xr:uid="{00000000-0005-0000-0000-0000152A0000}"/>
    <cellStyle name="Normal 4 3 4 2 3 3 3 3 2 2" xfId="45243" xr:uid="{00000000-0005-0000-0000-0000162A0000}"/>
    <cellStyle name="Normal 4 3 4 2 3 3 3 3 3" xfId="32955" xr:uid="{00000000-0005-0000-0000-0000172A0000}"/>
    <cellStyle name="Normal 4 3 4 2 3 3 3 4" xfId="14523" xr:uid="{00000000-0005-0000-0000-0000182A0000}"/>
    <cellStyle name="Normal 4 3 4 2 3 3 3 4 2" xfId="39099" xr:uid="{00000000-0005-0000-0000-0000192A0000}"/>
    <cellStyle name="Normal 4 3 4 2 3 3 3 5" xfId="26811" xr:uid="{00000000-0005-0000-0000-00001A2A0000}"/>
    <cellStyle name="Normal 4 3 4 2 3 3 4" xfId="3771" xr:uid="{00000000-0005-0000-0000-00001B2A0000}"/>
    <cellStyle name="Normal 4 3 4 2 3 3 4 2" xfId="9915" xr:uid="{00000000-0005-0000-0000-00001C2A0000}"/>
    <cellStyle name="Normal 4 3 4 2 3 3 4 2 2" xfId="22203" xr:uid="{00000000-0005-0000-0000-00001D2A0000}"/>
    <cellStyle name="Normal 4 3 4 2 3 3 4 2 2 2" xfId="46779" xr:uid="{00000000-0005-0000-0000-00001E2A0000}"/>
    <cellStyle name="Normal 4 3 4 2 3 3 4 2 3" xfId="34491" xr:uid="{00000000-0005-0000-0000-00001F2A0000}"/>
    <cellStyle name="Normal 4 3 4 2 3 3 4 3" xfId="16059" xr:uid="{00000000-0005-0000-0000-0000202A0000}"/>
    <cellStyle name="Normal 4 3 4 2 3 3 4 3 2" xfId="40635" xr:uid="{00000000-0005-0000-0000-0000212A0000}"/>
    <cellStyle name="Normal 4 3 4 2 3 3 4 4" xfId="28347" xr:uid="{00000000-0005-0000-0000-0000222A0000}"/>
    <cellStyle name="Normal 4 3 4 2 3 3 5" xfId="6843" xr:uid="{00000000-0005-0000-0000-0000232A0000}"/>
    <cellStyle name="Normal 4 3 4 2 3 3 5 2" xfId="19131" xr:uid="{00000000-0005-0000-0000-0000242A0000}"/>
    <cellStyle name="Normal 4 3 4 2 3 3 5 2 2" xfId="43707" xr:uid="{00000000-0005-0000-0000-0000252A0000}"/>
    <cellStyle name="Normal 4 3 4 2 3 3 5 3" xfId="31419" xr:uid="{00000000-0005-0000-0000-0000262A0000}"/>
    <cellStyle name="Normal 4 3 4 2 3 3 6" xfId="12987" xr:uid="{00000000-0005-0000-0000-0000272A0000}"/>
    <cellStyle name="Normal 4 3 4 2 3 3 6 2" xfId="37563" xr:uid="{00000000-0005-0000-0000-0000282A0000}"/>
    <cellStyle name="Normal 4 3 4 2 3 3 7" xfId="25275" xr:uid="{00000000-0005-0000-0000-0000292A0000}"/>
    <cellStyle name="Normal 4 3 4 2 3 4" xfId="1079" xr:uid="{00000000-0005-0000-0000-00002A2A0000}"/>
    <cellStyle name="Normal 4 3 4 2 3 4 2" xfId="2615" xr:uid="{00000000-0005-0000-0000-00002B2A0000}"/>
    <cellStyle name="Normal 4 3 4 2 3 4 2 2" xfId="5691" xr:uid="{00000000-0005-0000-0000-00002C2A0000}"/>
    <cellStyle name="Normal 4 3 4 2 3 4 2 2 2" xfId="11835" xr:uid="{00000000-0005-0000-0000-00002D2A0000}"/>
    <cellStyle name="Normal 4 3 4 2 3 4 2 2 2 2" xfId="24123" xr:uid="{00000000-0005-0000-0000-00002E2A0000}"/>
    <cellStyle name="Normal 4 3 4 2 3 4 2 2 2 2 2" xfId="48699" xr:uid="{00000000-0005-0000-0000-00002F2A0000}"/>
    <cellStyle name="Normal 4 3 4 2 3 4 2 2 2 3" xfId="36411" xr:uid="{00000000-0005-0000-0000-0000302A0000}"/>
    <cellStyle name="Normal 4 3 4 2 3 4 2 2 3" xfId="17979" xr:uid="{00000000-0005-0000-0000-0000312A0000}"/>
    <cellStyle name="Normal 4 3 4 2 3 4 2 2 3 2" xfId="42555" xr:uid="{00000000-0005-0000-0000-0000322A0000}"/>
    <cellStyle name="Normal 4 3 4 2 3 4 2 2 4" xfId="30267" xr:uid="{00000000-0005-0000-0000-0000332A0000}"/>
    <cellStyle name="Normal 4 3 4 2 3 4 2 3" xfId="8763" xr:uid="{00000000-0005-0000-0000-0000342A0000}"/>
    <cellStyle name="Normal 4 3 4 2 3 4 2 3 2" xfId="21051" xr:uid="{00000000-0005-0000-0000-0000352A0000}"/>
    <cellStyle name="Normal 4 3 4 2 3 4 2 3 2 2" xfId="45627" xr:uid="{00000000-0005-0000-0000-0000362A0000}"/>
    <cellStyle name="Normal 4 3 4 2 3 4 2 3 3" xfId="33339" xr:uid="{00000000-0005-0000-0000-0000372A0000}"/>
    <cellStyle name="Normal 4 3 4 2 3 4 2 4" xfId="14907" xr:uid="{00000000-0005-0000-0000-0000382A0000}"/>
    <cellStyle name="Normal 4 3 4 2 3 4 2 4 2" xfId="39483" xr:uid="{00000000-0005-0000-0000-0000392A0000}"/>
    <cellStyle name="Normal 4 3 4 2 3 4 2 5" xfId="27195" xr:uid="{00000000-0005-0000-0000-00003A2A0000}"/>
    <cellStyle name="Normal 4 3 4 2 3 4 3" xfId="4155" xr:uid="{00000000-0005-0000-0000-00003B2A0000}"/>
    <cellStyle name="Normal 4 3 4 2 3 4 3 2" xfId="10299" xr:uid="{00000000-0005-0000-0000-00003C2A0000}"/>
    <cellStyle name="Normal 4 3 4 2 3 4 3 2 2" xfId="22587" xr:uid="{00000000-0005-0000-0000-00003D2A0000}"/>
    <cellStyle name="Normal 4 3 4 2 3 4 3 2 2 2" xfId="47163" xr:uid="{00000000-0005-0000-0000-00003E2A0000}"/>
    <cellStyle name="Normal 4 3 4 2 3 4 3 2 3" xfId="34875" xr:uid="{00000000-0005-0000-0000-00003F2A0000}"/>
    <cellStyle name="Normal 4 3 4 2 3 4 3 3" xfId="16443" xr:uid="{00000000-0005-0000-0000-0000402A0000}"/>
    <cellStyle name="Normal 4 3 4 2 3 4 3 3 2" xfId="41019" xr:uid="{00000000-0005-0000-0000-0000412A0000}"/>
    <cellStyle name="Normal 4 3 4 2 3 4 3 4" xfId="28731" xr:uid="{00000000-0005-0000-0000-0000422A0000}"/>
    <cellStyle name="Normal 4 3 4 2 3 4 4" xfId="7227" xr:uid="{00000000-0005-0000-0000-0000432A0000}"/>
    <cellStyle name="Normal 4 3 4 2 3 4 4 2" xfId="19515" xr:uid="{00000000-0005-0000-0000-0000442A0000}"/>
    <cellStyle name="Normal 4 3 4 2 3 4 4 2 2" xfId="44091" xr:uid="{00000000-0005-0000-0000-0000452A0000}"/>
    <cellStyle name="Normal 4 3 4 2 3 4 4 3" xfId="31803" xr:uid="{00000000-0005-0000-0000-0000462A0000}"/>
    <cellStyle name="Normal 4 3 4 2 3 4 5" xfId="13371" xr:uid="{00000000-0005-0000-0000-0000472A0000}"/>
    <cellStyle name="Normal 4 3 4 2 3 4 5 2" xfId="37947" xr:uid="{00000000-0005-0000-0000-0000482A0000}"/>
    <cellStyle name="Normal 4 3 4 2 3 4 6" xfId="25659" xr:uid="{00000000-0005-0000-0000-0000492A0000}"/>
    <cellStyle name="Normal 4 3 4 2 3 5" xfId="1847" xr:uid="{00000000-0005-0000-0000-00004A2A0000}"/>
    <cellStyle name="Normal 4 3 4 2 3 5 2" xfId="4923" xr:uid="{00000000-0005-0000-0000-00004B2A0000}"/>
    <cellStyle name="Normal 4 3 4 2 3 5 2 2" xfId="11067" xr:uid="{00000000-0005-0000-0000-00004C2A0000}"/>
    <cellStyle name="Normal 4 3 4 2 3 5 2 2 2" xfId="23355" xr:uid="{00000000-0005-0000-0000-00004D2A0000}"/>
    <cellStyle name="Normal 4 3 4 2 3 5 2 2 2 2" xfId="47931" xr:uid="{00000000-0005-0000-0000-00004E2A0000}"/>
    <cellStyle name="Normal 4 3 4 2 3 5 2 2 3" xfId="35643" xr:uid="{00000000-0005-0000-0000-00004F2A0000}"/>
    <cellStyle name="Normal 4 3 4 2 3 5 2 3" xfId="17211" xr:uid="{00000000-0005-0000-0000-0000502A0000}"/>
    <cellStyle name="Normal 4 3 4 2 3 5 2 3 2" xfId="41787" xr:uid="{00000000-0005-0000-0000-0000512A0000}"/>
    <cellStyle name="Normal 4 3 4 2 3 5 2 4" xfId="29499" xr:uid="{00000000-0005-0000-0000-0000522A0000}"/>
    <cellStyle name="Normal 4 3 4 2 3 5 3" xfId="7995" xr:uid="{00000000-0005-0000-0000-0000532A0000}"/>
    <cellStyle name="Normal 4 3 4 2 3 5 3 2" xfId="20283" xr:uid="{00000000-0005-0000-0000-0000542A0000}"/>
    <cellStyle name="Normal 4 3 4 2 3 5 3 2 2" xfId="44859" xr:uid="{00000000-0005-0000-0000-0000552A0000}"/>
    <cellStyle name="Normal 4 3 4 2 3 5 3 3" xfId="32571" xr:uid="{00000000-0005-0000-0000-0000562A0000}"/>
    <cellStyle name="Normal 4 3 4 2 3 5 4" xfId="14139" xr:uid="{00000000-0005-0000-0000-0000572A0000}"/>
    <cellStyle name="Normal 4 3 4 2 3 5 4 2" xfId="38715" xr:uid="{00000000-0005-0000-0000-0000582A0000}"/>
    <cellStyle name="Normal 4 3 4 2 3 5 5" xfId="26427" xr:uid="{00000000-0005-0000-0000-0000592A0000}"/>
    <cellStyle name="Normal 4 3 4 2 3 6" xfId="3387" xr:uid="{00000000-0005-0000-0000-00005A2A0000}"/>
    <cellStyle name="Normal 4 3 4 2 3 6 2" xfId="9531" xr:uid="{00000000-0005-0000-0000-00005B2A0000}"/>
    <cellStyle name="Normal 4 3 4 2 3 6 2 2" xfId="21819" xr:uid="{00000000-0005-0000-0000-00005C2A0000}"/>
    <cellStyle name="Normal 4 3 4 2 3 6 2 2 2" xfId="46395" xr:uid="{00000000-0005-0000-0000-00005D2A0000}"/>
    <cellStyle name="Normal 4 3 4 2 3 6 2 3" xfId="34107" xr:uid="{00000000-0005-0000-0000-00005E2A0000}"/>
    <cellStyle name="Normal 4 3 4 2 3 6 3" xfId="15675" xr:uid="{00000000-0005-0000-0000-00005F2A0000}"/>
    <cellStyle name="Normal 4 3 4 2 3 6 3 2" xfId="40251" xr:uid="{00000000-0005-0000-0000-0000602A0000}"/>
    <cellStyle name="Normal 4 3 4 2 3 6 4" xfId="27963" xr:uid="{00000000-0005-0000-0000-0000612A0000}"/>
    <cellStyle name="Normal 4 3 4 2 3 7" xfId="6459" xr:uid="{00000000-0005-0000-0000-0000622A0000}"/>
    <cellStyle name="Normal 4 3 4 2 3 7 2" xfId="18747" xr:uid="{00000000-0005-0000-0000-0000632A0000}"/>
    <cellStyle name="Normal 4 3 4 2 3 7 2 2" xfId="43323" xr:uid="{00000000-0005-0000-0000-0000642A0000}"/>
    <cellStyle name="Normal 4 3 4 2 3 7 3" xfId="31035" xr:uid="{00000000-0005-0000-0000-0000652A0000}"/>
    <cellStyle name="Normal 4 3 4 2 3 8" xfId="12603" xr:uid="{00000000-0005-0000-0000-0000662A0000}"/>
    <cellStyle name="Normal 4 3 4 2 3 8 2" xfId="37179" xr:uid="{00000000-0005-0000-0000-0000672A0000}"/>
    <cellStyle name="Normal 4 3 4 2 3 9" xfId="24891" xr:uid="{00000000-0005-0000-0000-0000682A0000}"/>
    <cellStyle name="Normal 4 3 4 2 4" xfId="375" xr:uid="{00000000-0005-0000-0000-0000692A0000}"/>
    <cellStyle name="Normal 4 3 4 2 4 2" xfId="759" xr:uid="{00000000-0005-0000-0000-00006A2A0000}"/>
    <cellStyle name="Normal 4 3 4 2 4 2 2" xfId="1527" xr:uid="{00000000-0005-0000-0000-00006B2A0000}"/>
    <cellStyle name="Normal 4 3 4 2 4 2 2 2" xfId="3063" xr:uid="{00000000-0005-0000-0000-00006C2A0000}"/>
    <cellStyle name="Normal 4 3 4 2 4 2 2 2 2" xfId="6139" xr:uid="{00000000-0005-0000-0000-00006D2A0000}"/>
    <cellStyle name="Normal 4 3 4 2 4 2 2 2 2 2" xfId="12283" xr:uid="{00000000-0005-0000-0000-00006E2A0000}"/>
    <cellStyle name="Normal 4 3 4 2 4 2 2 2 2 2 2" xfId="24571" xr:uid="{00000000-0005-0000-0000-00006F2A0000}"/>
    <cellStyle name="Normal 4 3 4 2 4 2 2 2 2 2 2 2" xfId="49147" xr:uid="{00000000-0005-0000-0000-0000702A0000}"/>
    <cellStyle name="Normal 4 3 4 2 4 2 2 2 2 2 3" xfId="36859" xr:uid="{00000000-0005-0000-0000-0000712A0000}"/>
    <cellStyle name="Normal 4 3 4 2 4 2 2 2 2 3" xfId="18427" xr:uid="{00000000-0005-0000-0000-0000722A0000}"/>
    <cellStyle name="Normal 4 3 4 2 4 2 2 2 2 3 2" xfId="43003" xr:uid="{00000000-0005-0000-0000-0000732A0000}"/>
    <cellStyle name="Normal 4 3 4 2 4 2 2 2 2 4" xfId="30715" xr:uid="{00000000-0005-0000-0000-0000742A0000}"/>
    <cellStyle name="Normal 4 3 4 2 4 2 2 2 3" xfId="9211" xr:uid="{00000000-0005-0000-0000-0000752A0000}"/>
    <cellStyle name="Normal 4 3 4 2 4 2 2 2 3 2" xfId="21499" xr:uid="{00000000-0005-0000-0000-0000762A0000}"/>
    <cellStyle name="Normal 4 3 4 2 4 2 2 2 3 2 2" xfId="46075" xr:uid="{00000000-0005-0000-0000-0000772A0000}"/>
    <cellStyle name="Normal 4 3 4 2 4 2 2 2 3 3" xfId="33787" xr:uid="{00000000-0005-0000-0000-0000782A0000}"/>
    <cellStyle name="Normal 4 3 4 2 4 2 2 2 4" xfId="15355" xr:uid="{00000000-0005-0000-0000-0000792A0000}"/>
    <cellStyle name="Normal 4 3 4 2 4 2 2 2 4 2" xfId="39931" xr:uid="{00000000-0005-0000-0000-00007A2A0000}"/>
    <cellStyle name="Normal 4 3 4 2 4 2 2 2 5" xfId="27643" xr:uid="{00000000-0005-0000-0000-00007B2A0000}"/>
    <cellStyle name="Normal 4 3 4 2 4 2 2 3" xfId="4603" xr:uid="{00000000-0005-0000-0000-00007C2A0000}"/>
    <cellStyle name="Normal 4 3 4 2 4 2 2 3 2" xfId="10747" xr:uid="{00000000-0005-0000-0000-00007D2A0000}"/>
    <cellStyle name="Normal 4 3 4 2 4 2 2 3 2 2" xfId="23035" xr:uid="{00000000-0005-0000-0000-00007E2A0000}"/>
    <cellStyle name="Normal 4 3 4 2 4 2 2 3 2 2 2" xfId="47611" xr:uid="{00000000-0005-0000-0000-00007F2A0000}"/>
    <cellStyle name="Normal 4 3 4 2 4 2 2 3 2 3" xfId="35323" xr:uid="{00000000-0005-0000-0000-0000802A0000}"/>
    <cellStyle name="Normal 4 3 4 2 4 2 2 3 3" xfId="16891" xr:uid="{00000000-0005-0000-0000-0000812A0000}"/>
    <cellStyle name="Normal 4 3 4 2 4 2 2 3 3 2" xfId="41467" xr:uid="{00000000-0005-0000-0000-0000822A0000}"/>
    <cellStyle name="Normal 4 3 4 2 4 2 2 3 4" xfId="29179" xr:uid="{00000000-0005-0000-0000-0000832A0000}"/>
    <cellStyle name="Normal 4 3 4 2 4 2 2 4" xfId="7675" xr:uid="{00000000-0005-0000-0000-0000842A0000}"/>
    <cellStyle name="Normal 4 3 4 2 4 2 2 4 2" xfId="19963" xr:uid="{00000000-0005-0000-0000-0000852A0000}"/>
    <cellStyle name="Normal 4 3 4 2 4 2 2 4 2 2" xfId="44539" xr:uid="{00000000-0005-0000-0000-0000862A0000}"/>
    <cellStyle name="Normal 4 3 4 2 4 2 2 4 3" xfId="32251" xr:uid="{00000000-0005-0000-0000-0000872A0000}"/>
    <cellStyle name="Normal 4 3 4 2 4 2 2 5" xfId="13819" xr:uid="{00000000-0005-0000-0000-0000882A0000}"/>
    <cellStyle name="Normal 4 3 4 2 4 2 2 5 2" xfId="38395" xr:uid="{00000000-0005-0000-0000-0000892A0000}"/>
    <cellStyle name="Normal 4 3 4 2 4 2 2 6" xfId="26107" xr:uid="{00000000-0005-0000-0000-00008A2A0000}"/>
    <cellStyle name="Normal 4 3 4 2 4 2 3" xfId="2295" xr:uid="{00000000-0005-0000-0000-00008B2A0000}"/>
    <cellStyle name="Normal 4 3 4 2 4 2 3 2" xfId="5371" xr:uid="{00000000-0005-0000-0000-00008C2A0000}"/>
    <cellStyle name="Normal 4 3 4 2 4 2 3 2 2" xfId="11515" xr:uid="{00000000-0005-0000-0000-00008D2A0000}"/>
    <cellStyle name="Normal 4 3 4 2 4 2 3 2 2 2" xfId="23803" xr:uid="{00000000-0005-0000-0000-00008E2A0000}"/>
    <cellStyle name="Normal 4 3 4 2 4 2 3 2 2 2 2" xfId="48379" xr:uid="{00000000-0005-0000-0000-00008F2A0000}"/>
    <cellStyle name="Normal 4 3 4 2 4 2 3 2 2 3" xfId="36091" xr:uid="{00000000-0005-0000-0000-0000902A0000}"/>
    <cellStyle name="Normal 4 3 4 2 4 2 3 2 3" xfId="17659" xr:uid="{00000000-0005-0000-0000-0000912A0000}"/>
    <cellStyle name="Normal 4 3 4 2 4 2 3 2 3 2" xfId="42235" xr:uid="{00000000-0005-0000-0000-0000922A0000}"/>
    <cellStyle name="Normal 4 3 4 2 4 2 3 2 4" xfId="29947" xr:uid="{00000000-0005-0000-0000-0000932A0000}"/>
    <cellStyle name="Normal 4 3 4 2 4 2 3 3" xfId="8443" xr:uid="{00000000-0005-0000-0000-0000942A0000}"/>
    <cellStyle name="Normal 4 3 4 2 4 2 3 3 2" xfId="20731" xr:uid="{00000000-0005-0000-0000-0000952A0000}"/>
    <cellStyle name="Normal 4 3 4 2 4 2 3 3 2 2" xfId="45307" xr:uid="{00000000-0005-0000-0000-0000962A0000}"/>
    <cellStyle name="Normal 4 3 4 2 4 2 3 3 3" xfId="33019" xr:uid="{00000000-0005-0000-0000-0000972A0000}"/>
    <cellStyle name="Normal 4 3 4 2 4 2 3 4" xfId="14587" xr:uid="{00000000-0005-0000-0000-0000982A0000}"/>
    <cellStyle name="Normal 4 3 4 2 4 2 3 4 2" xfId="39163" xr:uid="{00000000-0005-0000-0000-0000992A0000}"/>
    <cellStyle name="Normal 4 3 4 2 4 2 3 5" xfId="26875" xr:uid="{00000000-0005-0000-0000-00009A2A0000}"/>
    <cellStyle name="Normal 4 3 4 2 4 2 4" xfId="3835" xr:uid="{00000000-0005-0000-0000-00009B2A0000}"/>
    <cellStyle name="Normal 4 3 4 2 4 2 4 2" xfId="9979" xr:uid="{00000000-0005-0000-0000-00009C2A0000}"/>
    <cellStyle name="Normal 4 3 4 2 4 2 4 2 2" xfId="22267" xr:uid="{00000000-0005-0000-0000-00009D2A0000}"/>
    <cellStyle name="Normal 4 3 4 2 4 2 4 2 2 2" xfId="46843" xr:uid="{00000000-0005-0000-0000-00009E2A0000}"/>
    <cellStyle name="Normal 4 3 4 2 4 2 4 2 3" xfId="34555" xr:uid="{00000000-0005-0000-0000-00009F2A0000}"/>
    <cellStyle name="Normal 4 3 4 2 4 2 4 3" xfId="16123" xr:uid="{00000000-0005-0000-0000-0000A02A0000}"/>
    <cellStyle name="Normal 4 3 4 2 4 2 4 3 2" xfId="40699" xr:uid="{00000000-0005-0000-0000-0000A12A0000}"/>
    <cellStyle name="Normal 4 3 4 2 4 2 4 4" xfId="28411" xr:uid="{00000000-0005-0000-0000-0000A22A0000}"/>
    <cellStyle name="Normal 4 3 4 2 4 2 5" xfId="6907" xr:uid="{00000000-0005-0000-0000-0000A32A0000}"/>
    <cellStyle name="Normal 4 3 4 2 4 2 5 2" xfId="19195" xr:uid="{00000000-0005-0000-0000-0000A42A0000}"/>
    <cellStyle name="Normal 4 3 4 2 4 2 5 2 2" xfId="43771" xr:uid="{00000000-0005-0000-0000-0000A52A0000}"/>
    <cellStyle name="Normal 4 3 4 2 4 2 5 3" xfId="31483" xr:uid="{00000000-0005-0000-0000-0000A62A0000}"/>
    <cellStyle name="Normal 4 3 4 2 4 2 6" xfId="13051" xr:uid="{00000000-0005-0000-0000-0000A72A0000}"/>
    <cellStyle name="Normal 4 3 4 2 4 2 6 2" xfId="37627" xr:uid="{00000000-0005-0000-0000-0000A82A0000}"/>
    <cellStyle name="Normal 4 3 4 2 4 2 7" xfId="25339" xr:uid="{00000000-0005-0000-0000-0000A92A0000}"/>
    <cellStyle name="Normal 4 3 4 2 4 3" xfId="1143" xr:uid="{00000000-0005-0000-0000-0000AA2A0000}"/>
    <cellStyle name="Normal 4 3 4 2 4 3 2" xfId="2679" xr:uid="{00000000-0005-0000-0000-0000AB2A0000}"/>
    <cellStyle name="Normal 4 3 4 2 4 3 2 2" xfId="5755" xr:uid="{00000000-0005-0000-0000-0000AC2A0000}"/>
    <cellStyle name="Normal 4 3 4 2 4 3 2 2 2" xfId="11899" xr:uid="{00000000-0005-0000-0000-0000AD2A0000}"/>
    <cellStyle name="Normal 4 3 4 2 4 3 2 2 2 2" xfId="24187" xr:uid="{00000000-0005-0000-0000-0000AE2A0000}"/>
    <cellStyle name="Normal 4 3 4 2 4 3 2 2 2 2 2" xfId="48763" xr:uid="{00000000-0005-0000-0000-0000AF2A0000}"/>
    <cellStyle name="Normal 4 3 4 2 4 3 2 2 2 3" xfId="36475" xr:uid="{00000000-0005-0000-0000-0000B02A0000}"/>
    <cellStyle name="Normal 4 3 4 2 4 3 2 2 3" xfId="18043" xr:uid="{00000000-0005-0000-0000-0000B12A0000}"/>
    <cellStyle name="Normal 4 3 4 2 4 3 2 2 3 2" xfId="42619" xr:uid="{00000000-0005-0000-0000-0000B22A0000}"/>
    <cellStyle name="Normal 4 3 4 2 4 3 2 2 4" xfId="30331" xr:uid="{00000000-0005-0000-0000-0000B32A0000}"/>
    <cellStyle name="Normal 4 3 4 2 4 3 2 3" xfId="8827" xr:uid="{00000000-0005-0000-0000-0000B42A0000}"/>
    <cellStyle name="Normal 4 3 4 2 4 3 2 3 2" xfId="21115" xr:uid="{00000000-0005-0000-0000-0000B52A0000}"/>
    <cellStyle name="Normal 4 3 4 2 4 3 2 3 2 2" xfId="45691" xr:uid="{00000000-0005-0000-0000-0000B62A0000}"/>
    <cellStyle name="Normal 4 3 4 2 4 3 2 3 3" xfId="33403" xr:uid="{00000000-0005-0000-0000-0000B72A0000}"/>
    <cellStyle name="Normal 4 3 4 2 4 3 2 4" xfId="14971" xr:uid="{00000000-0005-0000-0000-0000B82A0000}"/>
    <cellStyle name="Normal 4 3 4 2 4 3 2 4 2" xfId="39547" xr:uid="{00000000-0005-0000-0000-0000B92A0000}"/>
    <cellStyle name="Normal 4 3 4 2 4 3 2 5" xfId="27259" xr:uid="{00000000-0005-0000-0000-0000BA2A0000}"/>
    <cellStyle name="Normal 4 3 4 2 4 3 3" xfId="4219" xr:uid="{00000000-0005-0000-0000-0000BB2A0000}"/>
    <cellStyle name="Normal 4 3 4 2 4 3 3 2" xfId="10363" xr:uid="{00000000-0005-0000-0000-0000BC2A0000}"/>
    <cellStyle name="Normal 4 3 4 2 4 3 3 2 2" xfId="22651" xr:uid="{00000000-0005-0000-0000-0000BD2A0000}"/>
    <cellStyle name="Normal 4 3 4 2 4 3 3 2 2 2" xfId="47227" xr:uid="{00000000-0005-0000-0000-0000BE2A0000}"/>
    <cellStyle name="Normal 4 3 4 2 4 3 3 2 3" xfId="34939" xr:uid="{00000000-0005-0000-0000-0000BF2A0000}"/>
    <cellStyle name="Normal 4 3 4 2 4 3 3 3" xfId="16507" xr:uid="{00000000-0005-0000-0000-0000C02A0000}"/>
    <cellStyle name="Normal 4 3 4 2 4 3 3 3 2" xfId="41083" xr:uid="{00000000-0005-0000-0000-0000C12A0000}"/>
    <cellStyle name="Normal 4 3 4 2 4 3 3 4" xfId="28795" xr:uid="{00000000-0005-0000-0000-0000C22A0000}"/>
    <cellStyle name="Normal 4 3 4 2 4 3 4" xfId="7291" xr:uid="{00000000-0005-0000-0000-0000C32A0000}"/>
    <cellStyle name="Normal 4 3 4 2 4 3 4 2" xfId="19579" xr:uid="{00000000-0005-0000-0000-0000C42A0000}"/>
    <cellStyle name="Normal 4 3 4 2 4 3 4 2 2" xfId="44155" xr:uid="{00000000-0005-0000-0000-0000C52A0000}"/>
    <cellStyle name="Normal 4 3 4 2 4 3 4 3" xfId="31867" xr:uid="{00000000-0005-0000-0000-0000C62A0000}"/>
    <cellStyle name="Normal 4 3 4 2 4 3 5" xfId="13435" xr:uid="{00000000-0005-0000-0000-0000C72A0000}"/>
    <cellStyle name="Normal 4 3 4 2 4 3 5 2" xfId="38011" xr:uid="{00000000-0005-0000-0000-0000C82A0000}"/>
    <cellStyle name="Normal 4 3 4 2 4 3 6" xfId="25723" xr:uid="{00000000-0005-0000-0000-0000C92A0000}"/>
    <cellStyle name="Normal 4 3 4 2 4 4" xfId="1911" xr:uid="{00000000-0005-0000-0000-0000CA2A0000}"/>
    <cellStyle name="Normal 4 3 4 2 4 4 2" xfId="4987" xr:uid="{00000000-0005-0000-0000-0000CB2A0000}"/>
    <cellStyle name="Normal 4 3 4 2 4 4 2 2" xfId="11131" xr:uid="{00000000-0005-0000-0000-0000CC2A0000}"/>
    <cellStyle name="Normal 4 3 4 2 4 4 2 2 2" xfId="23419" xr:uid="{00000000-0005-0000-0000-0000CD2A0000}"/>
    <cellStyle name="Normal 4 3 4 2 4 4 2 2 2 2" xfId="47995" xr:uid="{00000000-0005-0000-0000-0000CE2A0000}"/>
    <cellStyle name="Normal 4 3 4 2 4 4 2 2 3" xfId="35707" xr:uid="{00000000-0005-0000-0000-0000CF2A0000}"/>
    <cellStyle name="Normal 4 3 4 2 4 4 2 3" xfId="17275" xr:uid="{00000000-0005-0000-0000-0000D02A0000}"/>
    <cellStyle name="Normal 4 3 4 2 4 4 2 3 2" xfId="41851" xr:uid="{00000000-0005-0000-0000-0000D12A0000}"/>
    <cellStyle name="Normal 4 3 4 2 4 4 2 4" xfId="29563" xr:uid="{00000000-0005-0000-0000-0000D22A0000}"/>
    <cellStyle name="Normal 4 3 4 2 4 4 3" xfId="8059" xr:uid="{00000000-0005-0000-0000-0000D32A0000}"/>
    <cellStyle name="Normal 4 3 4 2 4 4 3 2" xfId="20347" xr:uid="{00000000-0005-0000-0000-0000D42A0000}"/>
    <cellStyle name="Normal 4 3 4 2 4 4 3 2 2" xfId="44923" xr:uid="{00000000-0005-0000-0000-0000D52A0000}"/>
    <cellStyle name="Normal 4 3 4 2 4 4 3 3" xfId="32635" xr:uid="{00000000-0005-0000-0000-0000D62A0000}"/>
    <cellStyle name="Normal 4 3 4 2 4 4 4" xfId="14203" xr:uid="{00000000-0005-0000-0000-0000D72A0000}"/>
    <cellStyle name="Normal 4 3 4 2 4 4 4 2" xfId="38779" xr:uid="{00000000-0005-0000-0000-0000D82A0000}"/>
    <cellStyle name="Normal 4 3 4 2 4 4 5" xfId="26491" xr:uid="{00000000-0005-0000-0000-0000D92A0000}"/>
    <cellStyle name="Normal 4 3 4 2 4 5" xfId="3451" xr:uid="{00000000-0005-0000-0000-0000DA2A0000}"/>
    <cellStyle name="Normal 4 3 4 2 4 5 2" xfId="9595" xr:uid="{00000000-0005-0000-0000-0000DB2A0000}"/>
    <cellStyle name="Normal 4 3 4 2 4 5 2 2" xfId="21883" xr:uid="{00000000-0005-0000-0000-0000DC2A0000}"/>
    <cellStyle name="Normal 4 3 4 2 4 5 2 2 2" xfId="46459" xr:uid="{00000000-0005-0000-0000-0000DD2A0000}"/>
    <cellStyle name="Normal 4 3 4 2 4 5 2 3" xfId="34171" xr:uid="{00000000-0005-0000-0000-0000DE2A0000}"/>
    <cellStyle name="Normal 4 3 4 2 4 5 3" xfId="15739" xr:uid="{00000000-0005-0000-0000-0000DF2A0000}"/>
    <cellStyle name="Normal 4 3 4 2 4 5 3 2" xfId="40315" xr:uid="{00000000-0005-0000-0000-0000E02A0000}"/>
    <cellStyle name="Normal 4 3 4 2 4 5 4" xfId="28027" xr:uid="{00000000-0005-0000-0000-0000E12A0000}"/>
    <cellStyle name="Normal 4 3 4 2 4 6" xfId="6523" xr:uid="{00000000-0005-0000-0000-0000E22A0000}"/>
    <cellStyle name="Normal 4 3 4 2 4 6 2" xfId="18811" xr:uid="{00000000-0005-0000-0000-0000E32A0000}"/>
    <cellStyle name="Normal 4 3 4 2 4 6 2 2" xfId="43387" xr:uid="{00000000-0005-0000-0000-0000E42A0000}"/>
    <cellStyle name="Normal 4 3 4 2 4 6 3" xfId="31099" xr:uid="{00000000-0005-0000-0000-0000E52A0000}"/>
    <cellStyle name="Normal 4 3 4 2 4 7" xfId="12667" xr:uid="{00000000-0005-0000-0000-0000E62A0000}"/>
    <cellStyle name="Normal 4 3 4 2 4 7 2" xfId="37243" xr:uid="{00000000-0005-0000-0000-0000E72A0000}"/>
    <cellStyle name="Normal 4 3 4 2 4 8" xfId="24955" xr:uid="{00000000-0005-0000-0000-0000E82A0000}"/>
    <cellStyle name="Normal 4 3 4 2 5" xfId="567" xr:uid="{00000000-0005-0000-0000-0000E92A0000}"/>
    <cellStyle name="Normal 4 3 4 2 5 2" xfId="1335" xr:uid="{00000000-0005-0000-0000-0000EA2A0000}"/>
    <cellStyle name="Normal 4 3 4 2 5 2 2" xfId="2871" xr:uid="{00000000-0005-0000-0000-0000EB2A0000}"/>
    <cellStyle name="Normal 4 3 4 2 5 2 2 2" xfId="5947" xr:uid="{00000000-0005-0000-0000-0000EC2A0000}"/>
    <cellStyle name="Normal 4 3 4 2 5 2 2 2 2" xfId="12091" xr:uid="{00000000-0005-0000-0000-0000ED2A0000}"/>
    <cellStyle name="Normal 4 3 4 2 5 2 2 2 2 2" xfId="24379" xr:uid="{00000000-0005-0000-0000-0000EE2A0000}"/>
    <cellStyle name="Normal 4 3 4 2 5 2 2 2 2 2 2" xfId="48955" xr:uid="{00000000-0005-0000-0000-0000EF2A0000}"/>
    <cellStyle name="Normal 4 3 4 2 5 2 2 2 2 3" xfId="36667" xr:uid="{00000000-0005-0000-0000-0000F02A0000}"/>
    <cellStyle name="Normal 4 3 4 2 5 2 2 2 3" xfId="18235" xr:uid="{00000000-0005-0000-0000-0000F12A0000}"/>
    <cellStyle name="Normal 4 3 4 2 5 2 2 2 3 2" xfId="42811" xr:uid="{00000000-0005-0000-0000-0000F22A0000}"/>
    <cellStyle name="Normal 4 3 4 2 5 2 2 2 4" xfId="30523" xr:uid="{00000000-0005-0000-0000-0000F32A0000}"/>
    <cellStyle name="Normal 4 3 4 2 5 2 2 3" xfId="9019" xr:uid="{00000000-0005-0000-0000-0000F42A0000}"/>
    <cellStyle name="Normal 4 3 4 2 5 2 2 3 2" xfId="21307" xr:uid="{00000000-0005-0000-0000-0000F52A0000}"/>
    <cellStyle name="Normal 4 3 4 2 5 2 2 3 2 2" xfId="45883" xr:uid="{00000000-0005-0000-0000-0000F62A0000}"/>
    <cellStyle name="Normal 4 3 4 2 5 2 2 3 3" xfId="33595" xr:uid="{00000000-0005-0000-0000-0000F72A0000}"/>
    <cellStyle name="Normal 4 3 4 2 5 2 2 4" xfId="15163" xr:uid="{00000000-0005-0000-0000-0000F82A0000}"/>
    <cellStyle name="Normal 4 3 4 2 5 2 2 4 2" xfId="39739" xr:uid="{00000000-0005-0000-0000-0000F92A0000}"/>
    <cellStyle name="Normal 4 3 4 2 5 2 2 5" xfId="27451" xr:uid="{00000000-0005-0000-0000-0000FA2A0000}"/>
    <cellStyle name="Normal 4 3 4 2 5 2 3" xfId="4411" xr:uid="{00000000-0005-0000-0000-0000FB2A0000}"/>
    <cellStyle name="Normal 4 3 4 2 5 2 3 2" xfId="10555" xr:uid="{00000000-0005-0000-0000-0000FC2A0000}"/>
    <cellStyle name="Normal 4 3 4 2 5 2 3 2 2" xfId="22843" xr:uid="{00000000-0005-0000-0000-0000FD2A0000}"/>
    <cellStyle name="Normal 4 3 4 2 5 2 3 2 2 2" xfId="47419" xr:uid="{00000000-0005-0000-0000-0000FE2A0000}"/>
    <cellStyle name="Normal 4 3 4 2 5 2 3 2 3" xfId="35131" xr:uid="{00000000-0005-0000-0000-0000FF2A0000}"/>
    <cellStyle name="Normal 4 3 4 2 5 2 3 3" xfId="16699" xr:uid="{00000000-0005-0000-0000-0000002B0000}"/>
    <cellStyle name="Normal 4 3 4 2 5 2 3 3 2" xfId="41275" xr:uid="{00000000-0005-0000-0000-0000012B0000}"/>
    <cellStyle name="Normal 4 3 4 2 5 2 3 4" xfId="28987" xr:uid="{00000000-0005-0000-0000-0000022B0000}"/>
    <cellStyle name="Normal 4 3 4 2 5 2 4" xfId="7483" xr:uid="{00000000-0005-0000-0000-0000032B0000}"/>
    <cellStyle name="Normal 4 3 4 2 5 2 4 2" xfId="19771" xr:uid="{00000000-0005-0000-0000-0000042B0000}"/>
    <cellStyle name="Normal 4 3 4 2 5 2 4 2 2" xfId="44347" xr:uid="{00000000-0005-0000-0000-0000052B0000}"/>
    <cellStyle name="Normal 4 3 4 2 5 2 4 3" xfId="32059" xr:uid="{00000000-0005-0000-0000-0000062B0000}"/>
    <cellStyle name="Normal 4 3 4 2 5 2 5" xfId="13627" xr:uid="{00000000-0005-0000-0000-0000072B0000}"/>
    <cellStyle name="Normal 4 3 4 2 5 2 5 2" xfId="38203" xr:uid="{00000000-0005-0000-0000-0000082B0000}"/>
    <cellStyle name="Normal 4 3 4 2 5 2 6" xfId="25915" xr:uid="{00000000-0005-0000-0000-0000092B0000}"/>
    <cellStyle name="Normal 4 3 4 2 5 3" xfId="2103" xr:uid="{00000000-0005-0000-0000-00000A2B0000}"/>
    <cellStyle name="Normal 4 3 4 2 5 3 2" xfId="5179" xr:uid="{00000000-0005-0000-0000-00000B2B0000}"/>
    <cellStyle name="Normal 4 3 4 2 5 3 2 2" xfId="11323" xr:uid="{00000000-0005-0000-0000-00000C2B0000}"/>
    <cellStyle name="Normal 4 3 4 2 5 3 2 2 2" xfId="23611" xr:uid="{00000000-0005-0000-0000-00000D2B0000}"/>
    <cellStyle name="Normal 4 3 4 2 5 3 2 2 2 2" xfId="48187" xr:uid="{00000000-0005-0000-0000-00000E2B0000}"/>
    <cellStyle name="Normal 4 3 4 2 5 3 2 2 3" xfId="35899" xr:uid="{00000000-0005-0000-0000-00000F2B0000}"/>
    <cellStyle name="Normal 4 3 4 2 5 3 2 3" xfId="17467" xr:uid="{00000000-0005-0000-0000-0000102B0000}"/>
    <cellStyle name="Normal 4 3 4 2 5 3 2 3 2" xfId="42043" xr:uid="{00000000-0005-0000-0000-0000112B0000}"/>
    <cellStyle name="Normal 4 3 4 2 5 3 2 4" xfId="29755" xr:uid="{00000000-0005-0000-0000-0000122B0000}"/>
    <cellStyle name="Normal 4 3 4 2 5 3 3" xfId="8251" xr:uid="{00000000-0005-0000-0000-0000132B0000}"/>
    <cellStyle name="Normal 4 3 4 2 5 3 3 2" xfId="20539" xr:uid="{00000000-0005-0000-0000-0000142B0000}"/>
    <cellStyle name="Normal 4 3 4 2 5 3 3 2 2" xfId="45115" xr:uid="{00000000-0005-0000-0000-0000152B0000}"/>
    <cellStyle name="Normal 4 3 4 2 5 3 3 3" xfId="32827" xr:uid="{00000000-0005-0000-0000-0000162B0000}"/>
    <cellStyle name="Normal 4 3 4 2 5 3 4" xfId="14395" xr:uid="{00000000-0005-0000-0000-0000172B0000}"/>
    <cellStyle name="Normal 4 3 4 2 5 3 4 2" xfId="38971" xr:uid="{00000000-0005-0000-0000-0000182B0000}"/>
    <cellStyle name="Normal 4 3 4 2 5 3 5" xfId="26683" xr:uid="{00000000-0005-0000-0000-0000192B0000}"/>
    <cellStyle name="Normal 4 3 4 2 5 4" xfId="3643" xr:uid="{00000000-0005-0000-0000-00001A2B0000}"/>
    <cellStyle name="Normal 4 3 4 2 5 4 2" xfId="9787" xr:uid="{00000000-0005-0000-0000-00001B2B0000}"/>
    <cellStyle name="Normal 4 3 4 2 5 4 2 2" xfId="22075" xr:uid="{00000000-0005-0000-0000-00001C2B0000}"/>
    <cellStyle name="Normal 4 3 4 2 5 4 2 2 2" xfId="46651" xr:uid="{00000000-0005-0000-0000-00001D2B0000}"/>
    <cellStyle name="Normal 4 3 4 2 5 4 2 3" xfId="34363" xr:uid="{00000000-0005-0000-0000-00001E2B0000}"/>
    <cellStyle name="Normal 4 3 4 2 5 4 3" xfId="15931" xr:uid="{00000000-0005-0000-0000-00001F2B0000}"/>
    <cellStyle name="Normal 4 3 4 2 5 4 3 2" xfId="40507" xr:uid="{00000000-0005-0000-0000-0000202B0000}"/>
    <cellStyle name="Normal 4 3 4 2 5 4 4" xfId="28219" xr:uid="{00000000-0005-0000-0000-0000212B0000}"/>
    <cellStyle name="Normal 4 3 4 2 5 5" xfId="6715" xr:uid="{00000000-0005-0000-0000-0000222B0000}"/>
    <cellStyle name="Normal 4 3 4 2 5 5 2" xfId="19003" xr:uid="{00000000-0005-0000-0000-0000232B0000}"/>
    <cellStyle name="Normal 4 3 4 2 5 5 2 2" xfId="43579" xr:uid="{00000000-0005-0000-0000-0000242B0000}"/>
    <cellStyle name="Normal 4 3 4 2 5 5 3" xfId="31291" xr:uid="{00000000-0005-0000-0000-0000252B0000}"/>
    <cellStyle name="Normal 4 3 4 2 5 6" xfId="12859" xr:uid="{00000000-0005-0000-0000-0000262B0000}"/>
    <cellStyle name="Normal 4 3 4 2 5 6 2" xfId="37435" xr:uid="{00000000-0005-0000-0000-0000272B0000}"/>
    <cellStyle name="Normal 4 3 4 2 5 7" xfId="25147" xr:uid="{00000000-0005-0000-0000-0000282B0000}"/>
    <cellStyle name="Normal 4 3 4 2 6" xfId="951" xr:uid="{00000000-0005-0000-0000-0000292B0000}"/>
    <cellStyle name="Normal 4 3 4 2 6 2" xfId="2487" xr:uid="{00000000-0005-0000-0000-00002A2B0000}"/>
    <cellStyle name="Normal 4 3 4 2 6 2 2" xfId="5563" xr:uid="{00000000-0005-0000-0000-00002B2B0000}"/>
    <cellStyle name="Normal 4 3 4 2 6 2 2 2" xfId="11707" xr:uid="{00000000-0005-0000-0000-00002C2B0000}"/>
    <cellStyle name="Normal 4 3 4 2 6 2 2 2 2" xfId="23995" xr:uid="{00000000-0005-0000-0000-00002D2B0000}"/>
    <cellStyle name="Normal 4 3 4 2 6 2 2 2 2 2" xfId="48571" xr:uid="{00000000-0005-0000-0000-00002E2B0000}"/>
    <cellStyle name="Normal 4 3 4 2 6 2 2 2 3" xfId="36283" xr:uid="{00000000-0005-0000-0000-00002F2B0000}"/>
    <cellStyle name="Normal 4 3 4 2 6 2 2 3" xfId="17851" xr:uid="{00000000-0005-0000-0000-0000302B0000}"/>
    <cellStyle name="Normal 4 3 4 2 6 2 2 3 2" xfId="42427" xr:uid="{00000000-0005-0000-0000-0000312B0000}"/>
    <cellStyle name="Normal 4 3 4 2 6 2 2 4" xfId="30139" xr:uid="{00000000-0005-0000-0000-0000322B0000}"/>
    <cellStyle name="Normal 4 3 4 2 6 2 3" xfId="8635" xr:uid="{00000000-0005-0000-0000-0000332B0000}"/>
    <cellStyle name="Normal 4 3 4 2 6 2 3 2" xfId="20923" xr:uid="{00000000-0005-0000-0000-0000342B0000}"/>
    <cellStyle name="Normal 4 3 4 2 6 2 3 2 2" xfId="45499" xr:uid="{00000000-0005-0000-0000-0000352B0000}"/>
    <cellStyle name="Normal 4 3 4 2 6 2 3 3" xfId="33211" xr:uid="{00000000-0005-0000-0000-0000362B0000}"/>
    <cellStyle name="Normal 4 3 4 2 6 2 4" xfId="14779" xr:uid="{00000000-0005-0000-0000-0000372B0000}"/>
    <cellStyle name="Normal 4 3 4 2 6 2 4 2" xfId="39355" xr:uid="{00000000-0005-0000-0000-0000382B0000}"/>
    <cellStyle name="Normal 4 3 4 2 6 2 5" xfId="27067" xr:uid="{00000000-0005-0000-0000-0000392B0000}"/>
    <cellStyle name="Normal 4 3 4 2 6 3" xfId="4027" xr:uid="{00000000-0005-0000-0000-00003A2B0000}"/>
    <cellStyle name="Normal 4 3 4 2 6 3 2" xfId="10171" xr:uid="{00000000-0005-0000-0000-00003B2B0000}"/>
    <cellStyle name="Normal 4 3 4 2 6 3 2 2" xfId="22459" xr:uid="{00000000-0005-0000-0000-00003C2B0000}"/>
    <cellStyle name="Normal 4 3 4 2 6 3 2 2 2" xfId="47035" xr:uid="{00000000-0005-0000-0000-00003D2B0000}"/>
    <cellStyle name="Normal 4 3 4 2 6 3 2 3" xfId="34747" xr:uid="{00000000-0005-0000-0000-00003E2B0000}"/>
    <cellStyle name="Normal 4 3 4 2 6 3 3" xfId="16315" xr:uid="{00000000-0005-0000-0000-00003F2B0000}"/>
    <cellStyle name="Normal 4 3 4 2 6 3 3 2" xfId="40891" xr:uid="{00000000-0005-0000-0000-0000402B0000}"/>
    <cellStyle name="Normal 4 3 4 2 6 3 4" xfId="28603" xr:uid="{00000000-0005-0000-0000-0000412B0000}"/>
    <cellStyle name="Normal 4 3 4 2 6 4" xfId="7099" xr:uid="{00000000-0005-0000-0000-0000422B0000}"/>
    <cellStyle name="Normal 4 3 4 2 6 4 2" xfId="19387" xr:uid="{00000000-0005-0000-0000-0000432B0000}"/>
    <cellStyle name="Normal 4 3 4 2 6 4 2 2" xfId="43963" xr:uid="{00000000-0005-0000-0000-0000442B0000}"/>
    <cellStyle name="Normal 4 3 4 2 6 4 3" xfId="31675" xr:uid="{00000000-0005-0000-0000-0000452B0000}"/>
    <cellStyle name="Normal 4 3 4 2 6 5" xfId="13243" xr:uid="{00000000-0005-0000-0000-0000462B0000}"/>
    <cellStyle name="Normal 4 3 4 2 6 5 2" xfId="37819" xr:uid="{00000000-0005-0000-0000-0000472B0000}"/>
    <cellStyle name="Normal 4 3 4 2 6 6" xfId="25531" xr:uid="{00000000-0005-0000-0000-0000482B0000}"/>
    <cellStyle name="Normal 4 3 4 2 7" xfId="1719" xr:uid="{00000000-0005-0000-0000-0000492B0000}"/>
    <cellStyle name="Normal 4 3 4 2 7 2" xfId="4795" xr:uid="{00000000-0005-0000-0000-00004A2B0000}"/>
    <cellStyle name="Normal 4 3 4 2 7 2 2" xfId="10939" xr:uid="{00000000-0005-0000-0000-00004B2B0000}"/>
    <cellStyle name="Normal 4 3 4 2 7 2 2 2" xfId="23227" xr:uid="{00000000-0005-0000-0000-00004C2B0000}"/>
    <cellStyle name="Normal 4 3 4 2 7 2 2 2 2" xfId="47803" xr:uid="{00000000-0005-0000-0000-00004D2B0000}"/>
    <cellStyle name="Normal 4 3 4 2 7 2 2 3" xfId="35515" xr:uid="{00000000-0005-0000-0000-00004E2B0000}"/>
    <cellStyle name="Normal 4 3 4 2 7 2 3" xfId="17083" xr:uid="{00000000-0005-0000-0000-00004F2B0000}"/>
    <cellStyle name="Normal 4 3 4 2 7 2 3 2" xfId="41659" xr:uid="{00000000-0005-0000-0000-0000502B0000}"/>
    <cellStyle name="Normal 4 3 4 2 7 2 4" xfId="29371" xr:uid="{00000000-0005-0000-0000-0000512B0000}"/>
    <cellStyle name="Normal 4 3 4 2 7 3" xfId="7867" xr:uid="{00000000-0005-0000-0000-0000522B0000}"/>
    <cellStyle name="Normal 4 3 4 2 7 3 2" xfId="20155" xr:uid="{00000000-0005-0000-0000-0000532B0000}"/>
    <cellStyle name="Normal 4 3 4 2 7 3 2 2" xfId="44731" xr:uid="{00000000-0005-0000-0000-0000542B0000}"/>
    <cellStyle name="Normal 4 3 4 2 7 3 3" xfId="32443" xr:uid="{00000000-0005-0000-0000-0000552B0000}"/>
    <cellStyle name="Normal 4 3 4 2 7 4" xfId="14011" xr:uid="{00000000-0005-0000-0000-0000562B0000}"/>
    <cellStyle name="Normal 4 3 4 2 7 4 2" xfId="38587" xr:uid="{00000000-0005-0000-0000-0000572B0000}"/>
    <cellStyle name="Normal 4 3 4 2 7 5" xfId="26299" xr:uid="{00000000-0005-0000-0000-0000582B0000}"/>
    <cellStyle name="Normal 4 3 4 2 8" xfId="3259" xr:uid="{00000000-0005-0000-0000-0000592B0000}"/>
    <cellStyle name="Normal 4 3 4 2 8 2" xfId="9403" xr:uid="{00000000-0005-0000-0000-00005A2B0000}"/>
    <cellStyle name="Normal 4 3 4 2 8 2 2" xfId="21691" xr:uid="{00000000-0005-0000-0000-00005B2B0000}"/>
    <cellStyle name="Normal 4 3 4 2 8 2 2 2" xfId="46267" xr:uid="{00000000-0005-0000-0000-00005C2B0000}"/>
    <cellStyle name="Normal 4 3 4 2 8 2 3" xfId="33979" xr:uid="{00000000-0005-0000-0000-00005D2B0000}"/>
    <cellStyle name="Normal 4 3 4 2 8 3" xfId="15547" xr:uid="{00000000-0005-0000-0000-00005E2B0000}"/>
    <cellStyle name="Normal 4 3 4 2 8 3 2" xfId="40123" xr:uid="{00000000-0005-0000-0000-00005F2B0000}"/>
    <cellStyle name="Normal 4 3 4 2 8 4" xfId="27835" xr:uid="{00000000-0005-0000-0000-0000602B0000}"/>
    <cellStyle name="Normal 4 3 4 2 9" xfId="6331" xr:uid="{00000000-0005-0000-0000-0000612B0000}"/>
    <cellStyle name="Normal 4 3 4 2 9 2" xfId="18619" xr:uid="{00000000-0005-0000-0000-0000622B0000}"/>
    <cellStyle name="Normal 4 3 4 2 9 2 2" xfId="43195" xr:uid="{00000000-0005-0000-0000-0000632B0000}"/>
    <cellStyle name="Normal 4 3 4 2 9 3" xfId="30907" xr:uid="{00000000-0005-0000-0000-0000642B0000}"/>
    <cellStyle name="Normal 4 3 4 3" xfId="215" xr:uid="{00000000-0005-0000-0000-0000652B0000}"/>
    <cellStyle name="Normal 4 3 4 3 2" xfId="407" xr:uid="{00000000-0005-0000-0000-0000662B0000}"/>
    <cellStyle name="Normal 4 3 4 3 2 2" xfId="791" xr:uid="{00000000-0005-0000-0000-0000672B0000}"/>
    <cellStyle name="Normal 4 3 4 3 2 2 2" xfId="1559" xr:uid="{00000000-0005-0000-0000-0000682B0000}"/>
    <cellStyle name="Normal 4 3 4 3 2 2 2 2" xfId="3095" xr:uid="{00000000-0005-0000-0000-0000692B0000}"/>
    <cellStyle name="Normal 4 3 4 3 2 2 2 2 2" xfId="6171" xr:uid="{00000000-0005-0000-0000-00006A2B0000}"/>
    <cellStyle name="Normal 4 3 4 3 2 2 2 2 2 2" xfId="12315" xr:uid="{00000000-0005-0000-0000-00006B2B0000}"/>
    <cellStyle name="Normal 4 3 4 3 2 2 2 2 2 2 2" xfId="24603" xr:uid="{00000000-0005-0000-0000-00006C2B0000}"/>
    <cellStyle name="Normal 4 3 4 3 2 2 2 2 2 2 2 2" xfId="49179" xr:uid="{00000000-0005-0000-0000-00006D2B0000}"/>
    <cellStyle name="Normal 4 3 4 3 2 2 2 2 2 2 3" xfId="36891" xr:uid="{00000000-0005-0000-0000-00006E2B0000}"/>
    <cellStyle name="Normal 4 3 4 3 2 2 2 2 2 3" xfId="18459" xr:uid="{00000000-0005-0000-0000-00006F2B0000}"/>
    <cellStyle name="Normal 4 3 4 3 2 2 2 2 2 3 2" xfId="43035" xr:uid="{00000000-0005-0000-0000-0000702B0000}"/>
    <cellStyle name="Normal 4 3 4 3 2 2 2 2 2 4" xfId="30747" xr:uid="{00000000-0005-0000-0000-0000712B0000}"/>
    <cellStyle name="Normal 4 3 4 3 2 2 2 2 3" xfId="9243" xr:uid="{00000000-0005-0000-0000-0000722B0000}"/>
    <cellStyle name="Normal 4 3 4 3 2 2 2 2 3 2" xfId="21531" xr:uid="{00000000-0005-0000-0000-0000732B0000}"/>
    <cellStyle name="Normal 4 3 4 3 2 2 2 2 3 2 2" xfId="46107" xr:uid="{00000000-0005-0000-0000-0000742B0000}"/>
    <cellStyle name="Normal 4 3 4 3 2 2 2 2 3 3" xfId="33819" xr:uid="{00000000-0005-0000-0000-0000752B0000}"/>
    <cellStyle name="Normal 4 3 4 3 2 2 2 2 4" xfId="15387" xr:uid="{00000000-0005-0000-0000-0000762B0000}"/>
    <cellStyle name="Normal 4 3 4 3 2 2 2 2 4 2" xfId="39963" xr:uid="{00000000-0005-0000-0000-0000772B0000}"/>
    <cellStyle name="Normal 4 3 4 3 2 2 2 2 5" xfId="27675" xr:uid="{00000000-0005-0000-0000-0000782B0000}"/>
    <cellStyle name="Normal 4 3 4 3 2 2 2 3" xfId="4635" xr:uid="{00000000-0005-0000-0000-0000792B0000}"/>
    <cellStyle name="Normal 4 3 4 3 2 2 2 3 2" xfId="10779" xr:uid="{00000000-0005-0000-0000-00007A2B0000}"/>
    <cellStyle name="Normal 4 3 4 3 2 2 2 3 2 2" xfId="23067" xr:uid="{00000000-0005-0000-0000-00007B2B0000}"/>
    <cellStyle name="Normal 4 3 4 3 2 2 2 3 2 2 2" xfId="47643" xr:uid="{00000000-0005-0000-0000-00007C2B0000}"/>
    <cellStyle name="Normal 4 3 4 3 2 2 2 3 2 3" xfId="35355" xr:uid="{00000000-0005-0000-0000-00007D2B0000}"/>
    <cellStyle name="Normal 4 3 4 3 2 2 2 3 3" xfId="16923" xr:uid="{00000000-0005-0000-0000-00007E2B0000}"/>
    <cellStyle name="Normal 4 3 4 3 2 2 2 3 3 2" xfId="41499" xr:uid="{00000000-0005-0000-0000-00007F2B0000}"/>
    <cellStyle name="Normal 4 3 4 3 2 2 2 3 4" xfId="29211" xr:uid="{00000000-0005-0000-0000-0000802B0000}"/>
    <cellStyle name="Normal 4 3 4 3 2 2 2 4" xfId="7707" xr:uid="{00000000-0005-0000-0000-0000812B0000}"/>
    <cellStyle name="Normal 4 3 4 3 2 2 2 4 2" xfId="19995" xr:uid="{00000000-0005-0000-0000-0000822B0000}"/>
    <cellStyle name="Normal 4 3 4 3 2 2 2 4 2 2" xfId="44571" xr:uid="{00000000-0005-0000-0000-0000832B0000}"/>
    <cellStyle name="Normal 4 3 4 3 2 2 2 4 3" xfId="32283" xr:uid="{00000000-0005-0000-0000-0000842B0000}"/>
    <cellStyle name="Normal 4 3 4 3 2 2 2 5" xfId="13851" xr:uid="{00000000-0005-0000-0000-0000852B0000}"/>
    <cellStyle name="Normal 4 3 4 3 2 2 2 5 2" xfId="38427" xr:uid="{00000000-0005-0000-0000-0000862B0000}"/>
    <cellStyle name="Normal 4 3 4 3 2 2 2 6" xfId="26139" xr:uid="{00000000-0005-0000-0000-0000872B0000}"/>
    <cellStyle name="Normal 4 3 4 3 2 2 3" xfId="2327" xr:uid="{00000000-0005-0000-0000-0000882B0000}"/>
    <cellStyle name="Normal 4 3 4 3 2 2 3 2" xfId="5403" xr:uid="{00000000-0005-0000-0000-0000892B0000}"/>
    <cellStyle name="Normal 4 3 4 3 2 2 3 2 2" xfId="11547" xr:uid="{00000000-0005-0000-0000-00008A2B0000}"/>
    <cellStyle name="Normal 4 3 4 3 2 2 3 2 2 2" xfId="23835" xr:uid="{00000000-0005-0000-0000-00008B2B0000}"/>
    <cellStyle name="Normal 4 3 4 3 2 2 3 2 2 2 2" xfId="48411" xr:uid="{00000000-0005-0000-0000-00008C2B0000}"/>
    <cellStyle name="Normal 4 3 4 3 2 2 3 2 2 3" xfId="36123" xr:uid="{00000000-0005-0000-0000-00008D2B0000}"/>
    <cellStyle name="Normal 4 3 4 3 2 2 3 2 3" xfId="17691" xr:uid="{00000000-0005-0000-0000-00008E2B0000}"/>
    <cellStyle name="Normal 4 3 4 3 2 2 3 2 3 2" xfId="42267" xr:uid="{00000000-0005-0000-0000-00008F2B0000}"/>
    <cellStyle name="Normal 4 3 4 3 2 2 3 2 4" xfId="29979" xr:uid="{00000000-0005-0000-0000-0000902B0000}"/>
    <cellStyle name="Normal 4 3 4 3 2 2 3 3" xfId="8475" xr:uid="{00000000-0005-0000-0000-0000912B0000}"/>
    <cellStyle name="Normal 4 3 4 3 2 2 3 3 2" xfId="20763" xr:uid="{00000000-0005-0000-0000-0000922B0000}"/>
    <cellStyle name="Normal 4 3 4 3 2 2 3 3 2 2" xfId="45339" xr:uid="{00000000-0005-0000-0000-0000932B0000}"/>
    <cellStyle name="Normal 4 3 4 3 2 2 3 3 3" xfId="33051" xr:uid="{00000000-0005-0000-0000-0000942B0000}"/>
    <cellStyle name="Normal 4 3 4 3 2 2 3 4" xfId="14619" xr:uid="{00000000-0005-0000-0000-0000952B0000}"/>
    <cellStyle name="Normal 4 3 4 3 2 2 3 4 2" xfId="39195" xr:uid="{00000000-0005-0000-0000-0000962B0000}"/>
    <cellStyle name="Normal 4 3 4 3 2 2 3 5" xfId="26907" xr:uid="{00000000-0005-0000-0000-0000972B0000}"/>
    <cellStyle name="Normal 4 3 4 3 2 2 4" xfId="3867" xr:uid="{00000000-0005-0000-0000-0000982B0000}"/>
    <cellStyle name="Normal 4 3 4 3 2 2 4 2" xfId="10011" xr:uid="{00000000-0005-0000-0000-0000992B0000}"/>
    <cellStyle name="Normal 4 3 4 3 2 2 4 2 2" xfId="22299" xr:uid="{00000000-0005-0000-0000-00009A2B0000}"/>
    <cellStyle name="Normal 4 3 4 3 2 2 4 2 2 2" xfId="46875" xr:uid="{00000000-0005-0000-0000-00009B2B0000}"/>
    <cellStyle name="Normal 4 3 4 3 2 2 4 2 3" xfId="34587" xr:uid="{00000000-0005-0000-0000-00009C2B0000}"/>
    <cellStyle name="Normal 4 3 4 3 2 2 4 3" xfId="16155" xr:uid="{00000000-0005-0000-0000-00009D2B0000}"/>
    <cellStyle name="Normal 4 3 4 3 2 2 4 3 2" xfId="40731" xr:uid="{00000000-0005-0000-0000-00009E2B0000}"/>
    <cellStyle name="Normal 4 3 4 3 2 2 4 4" xfId="28443" xr:uid="{00000000-0005-0000-0000-00009F2B0000}"/>
    <cellStyle name="Normal 4 3 4 3 2 2 5" xfId="6939" xr:uid="{00000000-0005-0000-0000-0000A02B0000}"/>
    <cellStyle name="Normal 4 3 4 3 2 2 5 2" xfId="19227" xr:uid="{00000000-0005-0000-0000-0000A12B0000}"/>
    <cellStyle name="Normal 4 3 4 3 2 2 5 2 2" xfId="43803" xr:uid="{00000000-0005-0000-0000-0000A22B0000}"/>
    <cellStyle name="Normal 4 3 4 3 2 2 5 3" xfId="31515" xr:uid="{00000000-0005-0000-0000-0000A32B0000}"/>
    <cellStyle name="Normal 4 3 4 3 2 2 6" xfId="13083" xr:uid="{00000000-0005-0000-0000-0000A42B0000}"/>
    <cellStyle name="Normal 4 3 4 3 2 2 6 2" xfId="37659" xr:uid="{00000000-0005-0000-0000-0000A52B0000}"/>
    <cellStyle name="Normal 4 3 4 3 2 2 7" xfId="25371" xr:uid="{00000000-0005-0000-0000-0000A62B0000}"/>
    <cellStyle name="Normal 4 3 4 3 2 3" xfId="1175" xr:uid="{00000000-0005-0000-0000-0000A72B0000}"/>
    <cellStyle name="Normal 4 3 4 3 2 3 2" xfId="2711" xr:uid="{00000000-0005-0000-0000-0000A82B0000}"/>
    <cellStyle name="Normal 4 3 4 3 2 3 2 2" xfId="5787" xr:uid="{00000000-0005-0000-0000-0000A92B0000}"/>
    <cellStyle name="Normal 4 3 4 3 2 3 2 2 2" xfId="11931" xr:uid="{00000000-0005-0000-0000-0000AA2B0000}"/>
    <cellStyle name="Normal 4 3 4 3 2 3 2 2 2 2" xfId="24219" xr:uid="{00000000-0005-0000-0000-0000AB2B0000}"/>
    <cellStyle name="Normal 4 3 4 3 2 3 2 2 2 2 2" xfId="48795" xr:uid="{00000000-0005-0000-0000-0000AC2B0000}"/>
    <cellStyle name="Normal 4 3 4 3 2 3 2 2 2 3" xfId="36507" xr:uid="{00000000-0005-0000-0000-0000AD2B0000}"/>
    <cellStyle name="Normal 4 3 4 3 2 3 2 2 3" xfId="18075" xr:uid="{00000000-0005-0000-0000-0000AE2B0000}"/>
    <cellStyle name="Normal 4 3 4 3 2 3 2 2 3 2" xfId="42651" xr:uid="{00000000-0005-0000-0000-0000AF2B0000}"/>
    <cellStyle name="Normal 4 3 4 3 2 3 2 2 4" xfId="30363" xr:uid="{00000000-0005-0000-0000-0000B02B0000}"/>
    <cellStyle name="Normal 4 3 4 3 2 3 2 3" xfId="8859" xr:uid="{00000000-0005-0000-0000-0000B12B0000}"/>
    <cellStyle name="Normal 4 3 4 3 2 3 2 3 2" xfId="21147" xr:uid="{00000000-0005-0000-0000-0000B22B0000}"/>
    <cellStyle name="Normal 4 3 4 3 2 3 2 3 2 2" xfId="45723" xr:uid="{00000000-0005-0000-0000-0000B32B0000}"/>
    <cellStyle name="Normal 4 3 4 3 2 3 2 3 3" xfId="33435" xr:uid="{00000000-0005-0000-0000-0000B42B0000}"/>
    <cellStyle name="Normal 4 3 4 3 2 3 2 4" xfId="15003" xr:uid="{00000000-0005-0000-0000-0000B52B0000}"/>
    <cellStyle name="Normal 4 3 4 3 2 3 2 4 2" xfId="39579" xr:uid="{00000000-0005-0000-0000-0000B62B0000}"/>
    <cellStyle name="Normal 4 3 4 3 2 3 2 5" xfId="27291" xr:uid="{00000000-0005-0000-0000-0000B72B0000}"/>
    <cellStyle name="Normal 4 3 4 3 2 3 3" xfId="4251" xr:uid="{00000000-0005-0000-0000-0000B82B0000}"/>
    <cellStyle name="Normal 4 3 4 3 2 3 3 2" xfId="10395" xr:uid="{00000000-0005-0000-0000-0000B92B0000}"/>
    <cellStyle name="Normal 4 3 4 3 2 3 3 2 2" xfId="22683" xr:uid="{00000000-0005-0000-0000-0000BA2B0000}"/>
    <cellStyle name="Normal 4 3 4 3 2 3 3 2 2 2" xfId="47259" xr:uid="{00000000-0005-0000-0000-0000BB2B0000}"/>
    <cellStyle name="Normal 4 3 4 3 2 3 3 2 3" xfId="34971" xr:uid="{00000000-0005-0000-0000-0000BC2B0000}"/>
    <cellStyle name="Normal 4 3 4 3 2 3 3 3" xfId="16539" xr:uid="{00000000-0005-0000-0000-0000BD2B0000}"/>
    <cellStyle name="Normal 4 3 4 3 2 3 3 3 2" xfId="41115" xr:uid="{00000000-0005-0000-0000-0000BE2B0000}"/>
    <cellStyle name="Normal 4 3 4 3 2 3 3 4" xfId="28827" xr:uid="{00000000-0005-0000-0000-0000BF2B0000}"/>
    <cellStyle name="Normal 4 3 4 3 2 3 4" xfId="7323" xr:uid="{00000000-0005-0000-0000-0000C02B0000}"/>
    <cellStyle name="Normal 4 3 4 3 2 3 4 2" xfId="19611" xr:uid="{00000000-0005-0000-0000-0000C12B0000}"/>
    <cellStyle name="Normal 4 3 4 3 2 3 4 2 2" xfId="44187" xr:uid="{00000000-0005-0000-0000-0000C22B0000}"/>
    <cellStyle name="Normal 4 3 4 3 2 3 4 3" xfId="31899" xr:uid="{00000000-0005-0000-0000-0000C32B0000}"/>
    <cellStyle name="Normal 4 3 4 3 2 3 5" xfId="13467" xr:uid="{00000000-0005-0000-0000-0000C42B0000}"/>
    <cellStyle name="Normal 4 3 4 3 2 3 5 2" xfId="38043" xr:uid="{00000000-0005-0000-0000-0000C52B0000}"/>
    <cellStyle name="Normal 4 3 4 3 2 3 6" xfId="25755" xr:uid="{00000000-0005-0000-0000-0000C62B0000}"/>
    <cellStyle name="Normal 4 3 4 3 2 4" xfId="1943" xr:uid="{00000000-0005-0000-0000-0000C72B0000}"/>
    <cellStyle name="Normal 4 3 4 3 2 4 2" xfId="5019" xr:uid="{00000000-0005-0000-0000-0000C82B0000}"/>
    <cellStyle name="Normal 4 3 4 3 2 4 2 2" xfId="11163" xr:uid="{00000000-0005-0000-0000-0000C92B0000}"/>
    <cellStyle name="Normal 4 3 4 3 2 4 2 2 2" xfId="23451" xr:uid="{00000000-0005-0000-0000-0000CA2B0000}"/>
    <cellStyle name="Normal 4 3 4 3 2 4 2 2 2 2" xfId="48027" xr:uid="{00000000-0005-0000-0000-0000CB2B0000}"/>
    <cellStyle name="Normal 4 3 4 3 2 4 2 2 3" xfId="35739" xr:uid="{00000000-0005-0000-0000-0000CC2B0000}"/>
    <cellStyle name="Normal 4 3 4 3 2 4 2 3" xfId="17307" xr:uid="{00000000-0005-0000-0000-0000CD2B0000}"/>
    <cellStyle name="Normal 4 3 4 3 2 4 2 3 2" xfId="41883" xr:uid="{00000000-0005-0000-0000-0000CE2B0000}"/>
    <cellStyle name="Normal 4 3 4 3 2 4 2 4" xfId="29595" xr:uid="{00000000-0005-0000-0000-0000CF2B0000}"/>
    <cellStyle name="Normal 4 3 4 3 2 4 3" xfId="8091" xr:uid="{00000000-0005-0000-0000-0000D02B0000}"/>
    <cellStyle name="Normal 4 3 4 3 2 4 3 2" xfId="20379" xr:uid="{00000000-0005-0000-0000-0000D12B0000}"/>
    <cellStyle name="Normal 4 3 4 3 2 4 3 2 2" xfId="44955" xr:uid="{00000000-0005-0000-0000-0000D22B0000}"/>
    <cellStyle name="Normal 4 3 4 3 2 4 3 3" xfId="32667" xr:uid="{00000000-0005-0000-0000-0000D32B0000}"/>
    <cellStyle name="Normal 4 3 4 3 2 4 4" xfId="14235" xr:uid="{00000000-0005-0000-0000-0000D42B0000}"/>
    <cellStyle name="Normal 4 3 4 3 2 4 4 2" xfId="38811" xr:uid="{00000000-0005-0000-0000-0000D52B0000}"/>
    <cellStyle name="Normal 4 3 4 3 2 4 5" xfId="26523" xr:uid="{00000000-0005-0000-0000-0000D62B0000}"/>
    <cellStyle name="Normal 4 3 4 3 2 5" xfId="3483" xr:uid="{00000000-0005-0000-0000-0000D72B0000}"/>
    <cellStyle name="Normal 4 3 4 3 2 5 2" xfId="9627" xr:uid="{00000000-0005-0000-0000-0000D82B0000}"/>
    <cellStyle name="Normal 4 3 4 3 2 5 2 2" xfId="21915" xr:uid="{00000000-0005-0000-0000-0000D92B0000}"/>
    <cellStyle name="Normal 4 3 4 3 2 5 2 2 2" xfId="46491" xr:uid="{00000000-0005-0000-0000-0000DA2B0000}"/>
    <cellStyle name="Normal 4 3 4 3 2 5 2 3" xfId="34203" xr:uid="{00000000-0005-0000-0000-0000DB2B0000}"/>
    <cellStyle name="Normal 4 3 4 3 2 5 3" xfId="15771" xr:uid="{00000000-0005-0000-0000-0000DC2B0000}"/>
    <cellStyle name="Normal 4 3 4 3 2 5 3 2" xfId="40347" xr:uid="{00000000-0005-0000-0000-0000DD2B0000}"/>
    <cellStyle name="Normal 4 3 4 3 2 5 4" xfId="28059" xr:uid="{00000000-0005-0000-0000-0000DE2B0000}"/>
    <cellStyle name="Normal 4 3 4 3 2 6" xfId="6555" xr:uid="{00000000-0005-0000-0000-0000DF2B0000}"/>
    <cellStyle name="Normal 4 3 4 3 2 6 2" xfId="18843" xr:uid="{00000000-0005-0000-0000-0000E02B0000}"/>
    <cellStyle name="Normal 4 3 4 3 2 6 2 2" xfId="43419" xr:uid="{00000000-0005-0000-0000-0000E12B0000}"/>
    <cellStyle name="Normal 4 3 4 3 2 6 3" xfId="31131" xr:uid="{00000000-0005-0000-0000-0000E22B0000}"/>
    <cellStyle name="Normal 4 3 4 3 2 7" xfId="12699" xr:uid="{00000000-0005-0000-0000-0000E32B0000}"/>
    <cellStyle name="Normal 4 3 4 3 2 7 2" xfId="37275" xr:uid="{00000000-0005-0000-0000-0000E42B0000}"/>
    <cellStyle name="Normal 4 3 4 3 2 8" xfId="24987" xr:uid="{00000000-0005-0000-0000-0000E52B0000}"/>
    <cellStyle name="Normal 4 3 4 3 3" xfId="599" xr:uid="{00000000-0005-0000-0000-0000E62B0000}"/>
    <cellStyle name="Normal 4 3 4 3 3 2" xfId="1367" xr:uid="{00000000-0005-0000-0000-0000E72B0000}"/>
    <cellStyle name="Normal 4 3 4 3 3 2 2" xfId="2903" xr:uid="{00000000-0005-0000-0000-0000E82B0000}"/>
    <cellStyle name="Normal 4 3 4 3 3 2 2 2" xfId="5979" xr:uid="{00000000-0005-0000-0000-0000E92B0000}"/>
    <cellStyle name="Normal 4 3 4 3 3 2 2 2 2" xfId="12123" xr:uid="{00000000-0005-0000-0000-0000EA2B0000}"/>
    <cellStyle name="Normal 4 3 4 3 3 2 2 2 2 2" xfId="24411" xr:uid="{00000000-0005-0000-0000-0000EB2B0000}"/>
    <cellStyle name="Normal 4 3 4 3 3 2 2 2 2 2 2" xfId="48987" xr:uid="{00000000-0005-0000-0000-0000EC2B0000}"/>
    <cellStyle name="Normal 4 3 4 3 3 2 2 2 2 3" xfId="36699" xr:uid="{00000000-0005-0000-0000-0000ED2B0000}"/>
    <cellStyle name="Normal 4 3 4 3 3 2 2 2 3" xfId="18267" xr:uid="{00000000-0005-0000-0000-0000EE2B0000}"/>
    <cellStyle name="Normal 4 3 4 3 3 2 2 2 3 2" xfId="42843" xr:uid="{00000000-0005-0000-0000-0000EF2B0000}"/>
    <cellStyle name="Normal 4 3 4 3 3 2 2 2 4" xfId="30555" xr:uid="{00000000-0005-0000-0000-0000F02B0000}"/>
    <cellStyle name="Normal 4 3 4 3 3 2 2 3" xfId="9051" xr:uid="{00000000-0005-0000-0000-0000F12B0000}"/>
    <cellStyle name="Normal 4 3 4 3 3 2 2 3 2" xfId="21339" xr:uid="{00000000-0005-0000-0000-0000F22B0000}"/>
    <cellStyle name="Normal 4 3 4 3 3 2 2 3 2 2" xfId="45915" xr:uid="{00000000-0005-0000-0000-0000F32B0000}"/>
    <cellStyle name="Normal 4 3 4 3 3 2 2 3 3" xfId="33627" xr:uid="{00000000-0005-0000-0000-0000F42B0000}"/>
    <cellStyle name="Normal 4 3 4 3 3 2 2 4" xfId="15195" xr:uid="{00000000-0005-0000-0000-0000F52B0000}"/>
    <cellStyle name="Normal 4 3 4 3 3 2 2 4 2" xfId="39771" xr:uid="{00000000-0005-0000-0000-0000F62B0000}"/>
    <cellStyle name="Normal 4 3 4 3 3 2 2 5" xfId="27483" xr:uid="{00000000-0005-0000-0000-0000F72B0000}"/>
    <cellStyle name="Normal 4 3 4 3 3 2 3" xfId="4443" xr:uid="{00000000-0005-0000-0000-0000F82B0000}"/>
    <cellStyle name="Normal 4 3 4 3 3 2 3 2" xfId="10587" xr:uid="{00000000-0005-0000-0000-0000F92B0000}"/>
    <cellStyle name="Normal 4 3 4 3 3 2 3 2 2" xfId="22875" xr:uid="{00000000-0005-0000-0000-0000FA2B0000}"/>
    <cellStyle name="Normal 4 3 4 3 3 2 3 2 2 2" xfId="47451" xr:uid="{00000000-0005-0000-0000-0000FB2B0000}"/>
    <cellStyle name="Normal 4 3 4 3 3 2 3 2 3" xfId="35163" xr:uid="{00000000-0005-0000-0000-0000FC2B0000}"/>
    <cellStyle name="Normal 4 3 4 3 3 2 3 3" xfId="16731" xr:uid="{00000000-0005-0000-0000-0000FD2B0000}"/>
    <cellStyle name="Normal 4 3 4 3 3 2 3 3 2" xfId="41307" xr:uid="{00000000-0005-0000-0000-0000FE2B0000}"/>
    <cellStyle name="Normal 4 3 4 3 3 2 3 4" xfId="29019" xr:uid="{00000000-0005-0000-0000-0000FF2B0000}"/>
    <cellStyle name="Normal 4 3 4 3 3 2 4" xfId="7515" xr:uid="{00000000-0005-0000-0000-0000002C0000}"/>
    <cellStyle name="Normal 4 3 4 3 3 2 4 2" xfId="19803" xr:uid="{00000000-0005-0000-0000-0000012C0000}"/>
    <cellStyle name="Normal 4 3 4 3 3 2 4 2 2" xfId="44379" xr:uid="{00000000-0005-0000-0000-0000022C0000}"/>
    <cellStyle name="Normal 4 3 4 3 3 2 4 3" xfId="32091" xr:uid="{00000000-0005-0000-0000-0000032C0000}"/>
    <cellStyle name="Normal 4 3 4 3 3 2 5" xfId="13659" xr:uid="{00000000-0005-0000-0000-0000042C0000}"/>
    <cellStyle name="Normal 4 3 4 3 3 2 5 2" xfId="38235" xr:uid="{00000000-0005-0000-0000-0000052C0000}"/>
    <cellStyle name="Normal 4 3 4 3 3 2 6" xfId="25947" xr:uid="{00000000-0005-0000-0000-0000062C0000}"/>
    <cellStyle name="Normal 4 3 4 3 3 3" xfId="2135" xr:uid="{00000000-0005-0000-0000-0000072C0000}"/>
    <cellStyle name="Normal 4 3 4 3 3 3 2" xfId="5211" xr:uid="{00000000-0005-0000-0000-0000082C0000}"/>
    <cellStyle name="Normal 4 3 4 3 3 3 2 2" xfId="11355" xr:uid="{00000000-0005-0000-0000-0000092C0000}"/>
    <cellStyle name="Normal 4 3 4 3 3 3 2 2 2" xfId="23643" xr:uid="{00000000-0005-0000-0000-00000A2C0000}"/>
    <cellStyle name="Normal 4 3 4 3 3 3 2 2 2 2" xfId="48219" xr:uid="{00000000-0005-0000-0000-00000B2C0000}"/>
    <cellStyle name="Normal 4 3 4 3 3 3 2 2 3" xfId="35931" xr:uid="{00000000-0005-0000-0000-00000C2C0000}"/>
    <cellStyle name="Normal 4 3 4 3 3 3 2 3" xfId="17499" xr:uid="{00000000-0005-0000-0000-00000D2C0000}"/>
    <cellStyle name="Normal 4 3 4 3 3 3 2 3 2" xfId="42075" xr:uid="{00000000-0005-0000-0000-00000E2C0000}"/>
    <cellStyle name="Normal 4 3 4 3 3 3 2 4" xfId="29787" xr:uid="{00000000-0005-0000-0000-00000F2C0000}"/>
    <cellStyle name="Normal 4 3 4 3 3 3 3" xfId="8283" xr:uid="{00000000-0005-0000-0000-0000102C0000}"/>
    <cellStyle name="Normal 4 3 4 3 3 3 3 2" xfId="20571" xr:uid="{00000000-0005-0000-0000-0000112C0000}"/>
    <cellStyle name="Normal 4 3 4 3 3 3 3 2 2" xfId="45147" xr:uid="{00000000-0005-0000-0000-0000122C0000}"/>
    <cellStyle name="Normal 4 3 4 3 3 3 3 3" xfId="32859" xr:uid="{00000000-0005-0000-0000-0000132C0000}"/>
    <cellStyle name="Normal 4 3 4 3 3 3 4" xfId="14427" xr:uid="{00000000-0005-0000-0000-0000142C0000}"/>
    <cellStyle name="Normal 4 3 4 3 3 3 4 2" xfId="39003" xr:uid="{00000000-0005-0000-0000-0000152C0000}"/>
    <cellStyle name="Normal 4 3 4 3 3 3 5" xfId="26715" xr:uid="{00000000-0005-0000-0000-0000162C0000}"/>
    <cellStyle name="Normal 4 3 4 3 3 4" xfId="3675" xr:uid="{00000000-0005-0000-0000-0000172C0000}"/>
    <cellStyle name="Normal 4 3 4 3 3 4 2" xfId="9819" xr:uid="{00000000-0005-0000-0000-0000182C0000}"/>
    <cellStyle name="Normal 4 3 4 3 3 4 2 2" xfId="22107" xr:uid="{00000000-0005-0000-0000-0000192C0000}"/>
    <cellStyle name="Normal 4 3 4 3 3 4 2 2 2" xfId="46683" xr:uid="{00000000-0005-0000-0000-00001A2C0000}"/>
    <cellStyle name="Normal 4 3 4 3 3 4 2 3" xfId="34395" xr:uid="{00000000-0005-0000-0000-00001B2C0000}"/>
    <cellStyle name="Normal 4 3 4 3 3 4 3" xfId="15963" xr:uid="{00000000-0005-0000-0000-00001C2C0000}"/>
    <cellStyle name="Normal 4 3 4 3 3 4 3 2" xfId="40539" xr:uid="{00000000-0005-0000-0000-00001D2C0000}"/>
    <cellStyle name="Normal 4 3 4 3 3 4 4" xfId="28251" xr:uid="{00000000-0005-0000-0000-00001E2C0000}"/>
    <cellStyle name="Normal 4 3 4 3 3 5" xfId="6747" xr:uid="{00000000-0005-0000-0000-00001F2C0000}"/>
    <cellStyle name="Normal 4 3 4 3 3 5 2" xfId="19035" xr:uid="{00000000-0005-0000-0000-0000202C0000}"/>
    <cellStyle name="Normal 4 3 4 3 3 5 2 2" xfId="43611" xr:uid="{00000000-0005-0000-0000-0000212C0000}"/>
    <cellStyle name="Normal 4 3 4 3 3 5 3" xfId="31323" xr:uid="{00000000-0005-0000-0000-0000222C0000}"/>
    <cellStyle name="Normal 4 3 4 3 3 6" xfId="12891" xr:uid="{00000000-0005-0000-0000-0000232C0000}"/>
    <cellStyle name="Normal 4 3 4 3 3 6 2" xfId="37467" xr:uid="{00000000-0005-0000-0000-0000242C0000}"/>
    <cellStyle name="Normal 4 3 4 3 3 7" xfId="25179" xr:uid="{00000000-0005-0000-0000-0000252C0000}"/>
    <cellStyle name="Normal 4 3 4 3 4" xfId="983" xr:uid="{00000000-0005-0000-0000-0000262C0000}"/>
    <cellStyle name="Normal 4 3 4 3 4 2" xfId="2519" xr:uid="{00000000-0005-0000-0000-0000272C0000}"/>
    <cellStyle name="Normal 4 3 4 3 4 2 2" xfId="5595" xr:uid="{00000000-0005-0000-0000-0000282C0000}"/>
    <cellStyle name="Normal 4 3 4 3 4 2 2 2" xfId="11739" xr:uid="{00000000-0005-0000-0000-0000292C0000}"/>
    <cellStyle name="Normal 4 3 4 3 4 2 2 2 2" xfId="24027" xr:uid="{00000000-0005-0000-0000-00002A2C0000}"/>
    <cellStyle name="Normal 4 3 4 3 4 2 2 2 2 2" xfId="48603" xr:uid="{00000000-0005-0000-0000-00002B2C0000}"/>
    <cellStyle name="Normal 4 3 4 3 4 2 2 2 3" xfId="36315" xr:uid="{00000000-0005-0000-0000-00002C2C0000}"/>
    <cellStyle name="Normal 4 3 4 3 4 2 2 3" xfId="17883" xr:uid="{00000000-0005-0000-0000-00002D2C0000}"/>
    <cellStyle name="Normal 4 3 4 3 4 2 2 3 2" xfId="42459" xr:uid="{00000000-0005-0000-0000-00002E2C0000}"/>
    <cellStyle name="Normal 4 3 4 3 4 2 2 4" xfId="30171" xr:uid="{00000000-0005-0000-0000-00002F2C0000}"/>
    <cellStyle name="Normal 4 3 4 3 4 2 3" xfId="8667" xr:uid="{00000000-0005-0000-0000-0000302C0000}"/>
    <cellStyle name="Normal 4 3 4 3 4 2 3 2" xfId="20955" xr:uid="{00000000-0005-0000-0000-0000312C0000}"/>
    <cellStyle name="Normal 4 3 4 3 4 2 3 2 2" xfId="45531" xr:uid="{00000000-0005-0000-0000-0000322C0000}"/>
    <cellStyle name="Normal 4 3 4 3 4 2 3 3" xfId="33243" xr:uid="{00000000-0005-0000-0000-0000332C0000}"/>
    <cellStyle name="Normal 4 3 4 3 4 2 4" xfId="14811" xr:uid="{00000000-0005-0000-0000-0000342C0000}"/>
    <cellStyle name="Normal 4 3 4 3 4 2 4 2" xfId="39387" xr:uid="{00000000-0005-0000-0000-0000352C0000}"/>
    <cellStyle name="Normal 4 3 4 3 4 2 5" xfId="27099" xr:uid="{00000000-0005-0000-0000-0000362C0000}"/>
    <cellStyle name="Normal 4 3 4 3 4 3" xfId="4059" xr:uid="{00000000-0005-0000-0000-0000372C0000}"/>
    <cellStyle name="Normal 4 3 4 3 4 3 2" xfId="10203" xr:uid="{00000000-0005-0000-0000-0000382C0000}"/>
    <cellStyle name="Normal 4 3 4 3 4 3 2 2" xfId="22491" xr:uid="{00000000-0005-0000-0000-0000392C0000}"/>
    <cellStyle name="Normal 4 3 4 3 4 3 2 2 2" xfId="47067" xr:uid="{00000000-0005-0000-0000-00003A2C0000}"/>
    <cellStyle name="Normal 4 3 4 3 4 3 2 3" xfId="34779" xr:uid="{00000000-0005-0000-0000-00003B2C0000}"/>
    <cellStyle name="Normal 4 3 4 3 4 3 3" xfId="16347" xr:uid="{00000000-0005-0000-0000-00003C2C0000}"/>
    <cellStyle name="Normal 4 3 4 3 4 3 3 2" xfId="40923" xr:uid="{00000000-0005-0000-0000-00003D2C0000}"/>
    <cellStyle name="Normal 4 3 4 3 4 3 4" xfId="28635" xr:uid="{00000000-0005-0000-0000-00003E2C0000}"/>
    <cellStyle name="Normal 4 3 4 3 4 4" xfId="7131" xr:uid="{00000000-0005-0000-0000-00003F2C0000}"/>
    <cellStyle name="Normal 4 3 4 3 4 4 2" xfId="19419" xr:uid="{00000000-0005-0000-0000-0000402C0000}"/>
    <cellStyle name="Normal 4 3 4 3 4 4 2 2" xfId="43995" xr:uid="{00000000-0005-0000-0000-0000412C0000}"/>
    <cellStyle name="Normal 4 3 4 3 4 4 3" xfId="31707" xr:uid="{00000000-0005-0000-0000-0000422C0000}"/>
    <cellStyle name="Normal 4 3 4 3 4 5" xfId="13275" xr:uid="{00000000-0005-0000-0000-0000432C0000}"/>
    <cellStyle name="Normal 4 3 4 3 4 5 2" xfId="37851" xr:uid="{00000000-0005-0000-0000-0000442C0000}"/>
    <cellStyle name="Normal 4 3 4 3 4 6" xfId="25563" xr:uid="{00000000-0005-0000-0000-0000452C0000}"/>
    <cellStyle name="Normal 4 3 4 3 5" xfId="1751" xr:uid="{00000000-0005-0000-0000-0000462C0000}"/>
    <cellStyle name="Normal 4 3 4 3 5 2" xfId="4827" xr:uid="{00000000-0005-0000-0000-0000472C0000}"/>
    <cellStyle name="Normal 4 3 4 3 5 2 2" xfId="10971" xr:uid="{00000000-0005-0000-0000-0000482C0000}"/>
    <cellStyle name="Normal 4 3 4 3 5 2 2 2" xfId="23259" xr:uid="{00000000-0005-0000-0000-0000492C0000}"/>
    <cellStyle name="Normal 4 3 4 3 5 2 2 2 2" xfId="47835" xr:uid="{00000000-0005-0000-0000-00004A2C0000}"/>
    <cellStyle name="Normal 4 3 4 3 5 2 2 3" xfId="35547" xr:uid="{00000000-0005-0000-0000-00004B2C0000}"/>
    <cellStyle name="Normal 4 3 4 3 5 2 3" xfId="17115" xr:uid="{00000000-0005-0000-0000-00004C2C0000}"/>
    <cellStyle name="Normal 4 3 4 3 5 2 3 2" xfId="41691" xr:uid="{00000000-0005-0000-0000-00004D2C0000}"/>
    <cellStyle name="Normal 4 3 4 3 5 2 4" xfId="29403" xr:uid="{00000000-0005-0000-0000-00004E2C0000}"/>
    <cellStyle name="Normal 4 3 4 3 5 3" xfId="7899" xr:uid="{00000000-0005-0000-0000-00004F2C0000}"/>
    <cellStyle name="Normal 4 3 4 3 5 3 2" xfId="20187" xr:uid="{00000000-0005-0000-0000-0000502C0000}"/>
    <cellStyle name="Normal 4 3 4 3 5 3 2 2" xfId="44763" xr:uid="{00000000-0005-0000-0000-0000512C0000}"/>
    <cellStyle name="Normal 4 3 4 3 5 3 3" xfId="32475" xr:uid="{00000000-0005-0000-0000-0000522C0000}"/>
    <cellStyle name="Normal 4 3 4 3 5 4" xfId="14043" xr:uid="{00000000-0005-0000-0000-0000532C0000}"/>
    <cellStyle name="Normal 4 3 4 3 5 4 2" xfId="38619" xr:uid="{00000000-0005-0000-0000-0000542C0000}"/>
    <cellStyle name="Normal 4 3 4 3 5 5" xfId="26331" xr:uid="{00000000-0005-0000-0000-0000552C0000}"/>
    <cellStyle name="Normal 4 3 4 3 6" xfId="3291" xr:uid="{00000000-0005-0000-0000-0000562C0000}"/>
    <cellStyle name="Normal 4 3 4 3 6 2" xfId="9435" xr:uid="{00000000-0005-0000-0000-0000572C0000}"/>
    <cellStyle name="Normal 4 3 4 3 6 2 2" xfId="21723" xr:uid="{00000000-0005-0000-0000-0000582C0000}"/>
    <cellStyle name="Normal 4 3 4 3 6 2 2 2" xfId="46299" xr:uid="{00000000-0005-0000-0000-0000592C0000}"/>
    <cellStyle name="Normal 4 3 4 3 6 2 3" xfId="34011" xr:uid="{00000000-0005-0000-0000-00005A2C0000}"/>
    <cellStyle name="Normal 4 3 4 3 6 3" xfId="15579" xr:uid="{00000000-0005-0000-0000-00005B2C0000}"/>
    <cellStyle name="Normal 4 3 4 3 6 3 2" xfId="40155" xr:uid="{00000000-0005-0000-0000-00005C2C0000}"/>
    <cellStyle name="Normal 4 3 4 3 6 4" xfId="27867" xr:uid="{00000000-0005-0000-0000-00005D2C0000}"/>
    <cellStyle name="Normal 4 3 4 3 7" xfId="6363" xr:uid="{00000000-0005-0000-0000-00005E2C0000}"/>
    <cellStyle name="Normal 4 3 4 3 7 2" xfId="18651" xr:uid="{00000000-0005-0000-0000-00005F2C0000}"/>
    <cellStyle name="Normal 4 3 4 3 7 2 2" xfId="43227" xr:uid="{00000000-0005-0000-0000-0000602C0000}"/>
    <cellStyle name="Normal 4 3 4 3 7 3" xfId="30939" xr:uid="{00000000-0005-0000-0000-0000612C0000}"/>
    <cellStyle name="Normal 4 3 4 3 8" xfId="12507" xr:uid="{00000000-0005-0000-0000-0000622C0000}"/>
    <cellStyle name="Normal 4 3 4 3 8 2" xfId="37083" xr:uid="{00000000-0005-0000-0000-0000632C0000}"/>
    <cellStyle name="Normal 4 3 4 3 9" xfId="24795" xr:uid="{00000000-0005-0000-0000-0000642C0000}"/>
    <cellStyle name="Normal 4 3 4 4" xfId="279" xr:uid="{00000000-0005-0000-0000-0000652C0000}"/>
    <cellStyle name="Normal 4 3 4 4 2" xfId="471" xr:uid="{00000000-0005-0000-0000-0000662C0000}"/>
    <cellStyle name="Normal 4 3 4 4 2 2" xfId="855" xr:uid="{00000000-0005-0000-0000-0000672C0000}"/>
    <cellStyle name="Normal 4 3 4 4 2 2 2" xfId="1623" xr:uid="{00000000-0005-0000-0000-0000682C0000}"/>
    <cellStyle name="Normal 4 3 4 4 2 2 2 2" xfId="3159" xr:uid="{00000000-0005-0000-0000-0000692C0000}"/>
    <cellStyle name="Normal 4 3 4 4 2 2 2 2 2" xfId="6235" xr:uid="{00000000-0005-0000-0000-00006A2C0000}"/>
    <cellStyle name="Normal 4 3 4 4 2 2 2 2 2 2" xfId="12379" xr:uid="{00000000-0005-0000-0000-00006B2C0000}"/>
    <cellStyle name="Normal 4 3 4 4 2 2 2 2 2 2 2" xfId="24667" xr:uid="{00000000-0005-0000-0000-00006C2C0000}"/>
    <cellStyle name="Normal 4 3 4 4 2 2 2 2 2 2 2 2" xfId="49243" xr:uid="{00000000-0005-0000-0000-00006D2C0000}"/>
    <cellStyle name="Normal 4 3 4 4 2 2 2 2 2 2 3" xfId="36955" xr:uid="{00000000-0005-0000-0000-00006E2C0000}"/>
    <cellStyle name="Normal 4 3 4 4 2 2 2 2 2 3" xfId="18523" xr:uid="{00000000-0005-0000-0000-00006F2C0000}"/>
    <cellStyle name="Normal 4 3 4 4 2 2 2 2 2 3 2" xfId="43099" xr:uid="{00000000-0005-0000-0000-0000702C0000}"/>
    <cellStyle name="Normal 4 3 4 4 2 2 2 2 2 4" xfId="30811" xr:uid="{00000000-0005-0000-0000-0000712C0000}"/>
    <cellStyle name="Normal 4 3 4 4 2 2 2 2 3" xfId="9307" xr:uid="{00000000-0005-0000-0000-0000722C0000}"/>
    <cellStyle name="Normal 4 3 4 4 2 2 2 2 3 2" xfId="21595" xr:uid="{00000000-0005-0000-0000-0000732C0000}"/>
    <cellStyle name="Normal 4 3 4 4 2 2 2 2 3 2 2" xfId="46171" xr:uid="{00000000-0005-0000-0000-0000742C0000}"/>
    <cellStyle name="Normal 4 3 4 4 2 2 2 2 3 3" xfId="33883" xr:uid="{00000000-0005-0000-0000-0000752C0000}"/>
    <cellStyle name="Normal 4 3 4 4 2 2 2 2 4" xfId="15451" xr:uid="{00000000-0005-0000-0000-0000762C0000}"/>
    <cellStyle name="Normal 4 3 4 4 2 2 2 2 4 2" xfId="40027" xr:uid="{00000000-0005-0000-0000-0000772C0000}"/>
    <cellStyle name="Normal 4 3 4 4 2 2 2 2 5" xfId="27739" xr:uid="{00000000-0005-0000-0000-0000782C0000}"/>
    <cellStyle name="Normal 4 3 4 4 2 2 2 3" xfId="4699" xr:uid="{00000000-0005-0000-0000-0000792C0000}"/>
    <cellStyle name="Normal 4 3 4 4 2 2 2 3 2" xfId="10843" xr:uid="{00000000-0005-0000-0000-00007A2C0000}"/>
    <cellStyle name="Normal 4 3 4 4 2 2 2 3 2 2" xfId="23131" xr:uid="{00000000-0005-0000-0000-00007B2C0000}"/>
    <cellStyle name="Normal 4 3 4 4 2 2 2 3 2 2 2" xfId="47707" xr:uid="{00000000-0005-0000-0000-00007C2C0000}"/>
    <cellStyle name="Normal 4 3 4 4 2 2 2 3 2 3" xfId="35419" xr:uid="{00000000-0005-0000-0000-00007D2C0000}"/>
    <cellStyle name="Normal 4 3 4 4 2 2 2 3 3" xfId="16987" xr:uid="{00000000-0005-0000-0000-00007E2C0000}"/>
    <cellStyle name="Normal 4 3 4 4 2 2 2 3 3 2" xfId="41563" xr:uid="{00000000-0005-0000-0000-00007F2C0000}"/>
    <cellStyle name="Normal 4 3 4 4 2 2 2 3 4" xfId="29275" xr:uid="{00000000-0005-0000-0000-0000802C0000}"/>
    <cellStyle name="Normal 4 3 4 4 2 2 2 4" xfId="7771" xr:uid="{00000000-0005-0000-0000-0000812C0000}"/>
    <cellStyle name="Normal 4 3 4 4 2 2 2 4 2" xfId="20059" xr:uid="{00000000-0005-0000-0000-0000822C0000}"/>
    <cellStyle name="Normal 4 3 4 4 2 2 2 4 2 2" xfId="44635" xr:uid="{00000000-0005-0000-0000-0000832C0000}"/>
    <cellStyle name="Normal 4 3 4 4 2 2 2 4 3" xfId="32347" xr:uid="{00000000-0005-0000-0000-0000842C0000}"/>
    <cellStyle name="Normal 4 3 4 4 2 2 2 5" xfId="13915" xr:uid="{00000000-0005-0000-0000-0000852C0000}"/>
    <cellStyle name="Normal 4 3 4 4 2 2 2 5 2" xfId="38491" xr:uid="{00000000-0005-0000-0000-0000862C0000}"/>
    <cellStyle name="Normal 4 3 4 4 2 2 2 6" xfId="26203" xr:uid="{00000000-0005-0000-0000-0000872C0000}"/>
    <cellStyle name="Normal 4 3 4 4 2 2 3" xfId="2391" xr:uid="{00000000-0005-0000-0000-0000882C0000}"/>
    <cellStyle name="Normal 4 3 4 4 2 2 3 2" xfId="5467" xr:uid="{00000000-0005-0000-0000-0000892C0000}"/>
    <cellStyle name="Normal 4 3 4 4 2 2 3 2 2" xfId="11611" xr:uid="{00000000-0005-0000-0000-00008A2C0000}"/>
    <cellStyle name="Normal 4 3 4 4 2 2 3 2 2 2" xfId="23899" xr:uid="{00000000-0005-0000-0000-00008B2C0000}"/>
    <cellStyle name="Normal 4 3 4 4 2 2 3 2 2 2 2" xfId="48475" xr:uid="{00000000-0005-0000-0000-00008C2C0000}"/>
    <cellStyle name="Normal 4 3 4 4 2 2 3 2 2 3" xfId="36187" xr:uid="{00000000-0005-0000-0000-00008D2C0000}"/>
    <cellStyle name="Normal 4 3 4 4 2 2 3 2 3" xfId="17755" xr:uid="{00000000-0005-0000-0000-00008E2C0000}"/>
    <cellStyle name="Normal 4 3 4 4 2 2 3 2 3 2" xfId="42331" xr:uid="{00000000-0005-0000-0000-00008F2C0000}"/>
    <cellStyle name="Normal 4 3 4 4 2 2 3 2 4" xfId="30043" xr:uid="{00000000-0005-0000-0000-0000902C0000}"/>
    <cellStyle name="Normal 4 3 4 4 2 2 3 3" xfId="8539" xr:uid="{00000000-0005-0000-0000-0000912C0000}"/>
    <cellStyle name="Normal 4 3 4 4 2 2 3 3 2" xfId="20827" xr:uid="{00000000-0005-0000-0000-0000922C0000}"/>
    <cellStyle name="Normal 4 3 4 4 2 2 3 3 2 2" xfId="45403" xr:uid="{00000000-0005-0000-0000-0000932C0000}"/>
    <cellStyle name="Normal 4 3 4 4 2 2 3 3 3" xfId="33115" xr:uid="{00000000-0005-0000-0000-0000942C0000}"/>
    <cellStyle name="Normal 4 3 4 4 2 2 3 4" xfId="14683" xr:uid="{00000000-0005-0000-0000-0000952C0000}"/>
    <cellStyle name="Normal 4 3 4 4 2 2 3 4 2" xfId="39259" xr:uid="{00000000-0005-0000-0000-0000962C0000}"/>
    <cellStyle name="Normal 4 3 4 4 2 2 3 5" xfId="26971" xr:uid="{00000000-0005-0000-0000-0000972C0000}"/>
    <cellStyle name="Normal 4 3 4 4 2 2 4" xfId="3931" xr:uid="{00000000-0005-0000-0000-0000982C0000}"/>
    <cellStyle name="Normal 4 3 4 4 2 2 4 2" xfId="10075" xr:uid="{00000000-0005-0000-0000-0000992C0000}"/>
    <cellStyle name="Normal 4 3 4 4 2 2 4 2 2" xfId="22363" xr:uid="{00000000-0005-0000-0000-00009A2C0000}"/>
    <cellStyle name="Normal 4 3 4 4 2 2 4 2 2 2" xfId="46939" xr:uid="{00000000-0005-0000-0000-00009B2C0000}"/>
    <cellStyle name="Normal 4 3 4 4 2 2 4 2 3" xfId="34651" xr:uid="{00000000-0005-0000-0000-00009C2C0000}"/>
    <cellStyle name="Normal 4 3 4 4 2 2 4 3" xfId="16219" xr:uid="{00000000-0005-0000-0000-00009D2C0000}"/>
    <cellStyle name="Normal 4 3 4 4 2 2 4 3 2" xfId="40795" xr:uid="{00000000-0005-0000-0000-00009E2C0000}"/>
    <cellStyle name="Normal 4 3 4 4 2 2 4 4" xfId="28507" xr:uid="{00000000-0005-0000-0000-00009F2C0000}"/>
    <cellStyle name="Normal 4 3 4 4 2 2 5" xfId="7003" xr:uid="{00000000-0005-0000-0000-0000A02C0000}"/>
    <cellStyle name="Normal 4 3 4 4 2 2 5 2" xfId="19291" xr:uid="{00000000-0005-0000-0000-0000A12C0000}"/>
    <cellStyle name="Normal 4 3 4 4 2 2 5 2 2" xfId="43867" xr:uid="{00000000-0005-0000-0000-0000A22C0000}"/>
    <cellStyle name="Normal 4 3 4 4 2 2 5 3" xfId="31579" xr:uid="{00000000-0005-0000-0000-0000A32C0000}"/>
    <cellStyle name="Normal 4 3 4 4 2 2 6" xfId="13147" xr:uid="{00000000-0005-0000-0000-0000A42C0000}"/>
    <cellStyle name="Normal 4 3 4 4 2 2 6 2" xfId="37723" xr:uid="{00000000-0005-0000-0000-0000A52C0000}"/>
    <cellStyle name="Normal 4 3 4 4 2 2 7" xfId="25435" xr:uid="{00000000-0005-0000-0000-0000A62C0000}"/>
    <cellStyle name="Normal 4 3 4 4 2 3" xfId="1239" xr:uid="{00000000-0005-0000-0000-0000A72C0000}"/>
    <cellStyle name="Normal 4 3 4 4 2 3 2" xfId="2775" xr:uid="{00000000-0005-0000-0000-0000A82C0000}"/>
    <cellStyle name="Normal 4 3 4 4 2 3 2 2" xfId="5851" xr:uid="{00000000-0005-0000-0000-0000A92C0000}"/>
    <cellStyle name="Normal 4 3 4 4 2 3 2 2 2" xfId="11995" xr:uid="{00000000-0005-0000-0000-0000AA2C0000}"/>
    <cellStyle name="Normal 4 3 4 4 2 3 2 2 2 2" xfId="24283" xr:uid="{00000000-0005-0000-0000-0000AB2C0000}"/>
    <cellStyle name="Normal 4 3 4 4 2 3 2 2 2 2 2" xfId="48859" xr:uid="{00000000-0005-0000-0000-0000AC2C0000}"/>
    <cellStyle name="Normal 4 3 4 4 2 3 2 2 2 3" xfId="36571" xr:uid="{00000000-0005-0000-0000-0000AD2C0000}"/>
    <cellStyle name="Normal 4 3 4 4 2 3 2 2 3" xfId="18139" xr:uid="{00000000-0005-0000-0000-0000AE2C0000}"/>
    <cellStyle name="Normal 4 3 4 4 2 3 2 2 3 2" xfId="42715" xr:uid="{00000000-0005-0000-0000-0000AF2C0000}"/>
    <cellStyle name="Normal 4 3 4 4 2 3 2 2 4" xfId="30427" xr:uid="{00000000-0005-0000-0000-0000B02C0000}"/>
    <cellStyle name="Normal 4 3 4 4 2 3 2 3" xfId="8923" xr:uid="{00000000-0005-0000-0000-0000B12C0000}"/>
    <cellStyle name="Normal 4 3 4 4 2 3 2 3 2" xfId="21211" xr:uid="{00000000-0005-0000-0000-0000B22C0000}"/>
    <cellStyle name="Normal 4 3 4 4 2 3 2 3 2 2" xfId="45787" xr:uid="{00000000-0005-0000-0000-0000B32C0000}"/>
    <cellStyle name="Normal 4 3 4 4 2 3 2 3 3" xfId="33499" xr:uid="{00000000-0005-0000-0000-0000B42C0000}"/>
    <cellStyle name="Normal 4 3 4 4 2 3 2 4" xfId="15067" xr:uid="{00000000-0005-0000-0000-0000B52C0000}"/>
    <cellStyle name="Normal 4 3 4 4 2 3 2 4 2" xfId="39643" xr:uid="{00000000-0005-0000-0000-0000B62C0000}"/>
    <cellStyle name="Normal 4 3 4 4 2 3 2 5" xfId="27355" xr:uid="{00000000-0005-0000-0000-0000B72C0000}"/>
    <cellStyle name="Normal 4 3 4 4 2 3 3" xfId="4315" xr:uid="{00000000-0005-0000-0000-0000B82C0000}"/>
    <cellStyle name="Normal 4 3 4 4 2 3 3 2" xfId="10459" xr:uid="{00000000-0005-0000-0000-0000B92C0000}"/>
    <cellStyle name="Normal 4 3 4 4 2 3 3 2 2" xfId="22747" xr:uid="{00000000-0005-0000-0000-0000BA2C0000}"/>
    <cellStyle name="Normal 4 3 4 4 2 3 3 2 2 2" xfId="47323" xr:uid="{00000000-0005-0000-0000-0000BB2C0000}"/>
    <cellStyle name="Normal 4 3 4 4 2 3 3 2 3" xfId="35035" xr:uid="{00000000-0005-0000-0000-0000BC2C0000}"/>
    <cellStyle name="Normal 4 3 4 4 2 3 3 3" xfId="16603" xr:uid="{00000000-0005-0000-0000-0000BD2C0000}"/>
    <cellStyle name="Normal 4 3 4 4 2 3 3 3 2" xfId="41179" xr:uid="{00000000-0005-0000-0000-0000BE2C0000}"/>
    <cellStyle name="Normal 4 3 4 4 2 3 3 4" xfId="28891" xr:uid="{00000000-0005-0000-0000-0000BF2C0000}"/>
    <cellStyle name="Normal 4 3 4 4 2 3 4" xfId="7387" xr:uid="{00000000-0005-0000-0000-0000C02C0000}"/>
    <cellStyle name="Normal 4 3 4 4 2 3 4 2" xfId="19675" xr:uid="{00000000-0005-0000-0000-0000C12C0000}"/>
    <cellStyle name="Normal 4 3 4 4 2 3 4 2 2" xfId="44251" xr:uid="{00000000-0005-0000-0000-0000C22C0000}"/>
    <cellStyle name="Normal 4 3 4 4 2 3 4 3" xfId="31963" xr:uid="{00000000-0005-0000-0000-0000C32C0000}"/>
    <cellStyle name="Normal 4 3 4 4 2 3 5" xfId="13531" xr:uid="{00000000-0005-0000-0000-0000C42C0000}"/>
    <cellStyle name="Normal 4 3 4 4 2 3 5 2" xfId="38107" xr:uid="{00000000-0005-0000-0000-0000C52C0000}"/>
    <cellStyle name="Normal 4 3 4 4 2 3 6" xfId="25819" xr:uid="{00000000-0005-0000-0000-0000C62C0000}"/>
    <cellStyle name="Normal 4 3 4 4 2 4" xfId="2007" xr:uid="{00000000-0005-0000-0000-0000C72C0000}"/>
    <cellStyle name="Normal 4 3 4 4 2 4 2" xfId="5083" xr:uid="{00000000-0005-0000-0000-0000C82C0000}"/>
    <cellStyle name="Normal 4 3 4 4 2 4 2 2" xfId="11227" xr:uid="{00000000-0005-0000-0000-0000C92C0000}"/>
    <cellStyle name="Normal 4 3 4 4 2 4 2 2 2" xfId="23515" xr:uid="{00000000-0005-0000-0000-0000CA2C0000}"/>
    <cellStyle name="Normal 4 3 4 4 2 4 2 2 2 2" xfId="48091" xr:uid="{00000000-0005-0000-0000-0000CB2C0000}"/>
    <cellStyle name="Normal 4 3 4 4 2 4 2 2 3" xfId="35803" xr:uid="{00000000-0005-0000-0000-0000CC2C0000}"/>
    <cellStyle name="Normal 4 3 4 4 2 4 2 3" xfId="17371" xr:uid="{00000000-0005-0000-0000-0000CD2C0000}"/>
    <cellStyle name="Normal 4 3 4 4 2 4 2 3 2" xfId="41947" xr:uid="{00000000-0005-0000-0000-0000CE2C0000}"/>
    <cellStyle name="Normal 4 3 4 4 2 4 2 4" xfId="29659" xr:uid="{00000000-0005-0000-0000-0000CF2C0000}"/>
    <cellStyle name="Normal 4 3 4 4 2 4 3" xfId="8155" xr:uid="{00000000-0005-0000-0000-0000D02C0000}"/>
    <cellStyle name="Normal 4 3 4 4 2 4 3 2" xfId="20443" xr:uid="{00000000-0005-0000-0000-0000D12C0000}"/>
    <cellStyle name="Normal 4 3 4 4 2 4 3 2 2" xfId="45019" xr:uid="{00000000-0005-0000-0000-0000D22C0000}"/>
    <cellStyle name="Normal 4 3 4 4 2 4 3 3" xfId="32731" xr:uid="{00000000-0005-0000-0000-0000D32C0000}"/>
    <cellStyle name="Normal 4 3 4 4 2 4 4" xfId="14299" xr:uid="{00000000-0005-0000-0000-0000D42C0000}"/>
    <cellStyle name="Normal 4 3 4 4 2 4 4 2" xfId="38875" xr:uid="{00000000-0005-0000-0000-0000D52C0000}"/>
    <cellStyle name="Normal 4 3 4 4 2 4 5" xfId="26587" xr:uid="{00000000-0005-0000-0000-0000D62C0000}"/>
    <cellStyle name="Normal 4 3 4 4 2 5" xfId="3547" xr:uid="{00000000-0005-0000-0000-0000D72C0000}"/>
    <cellStyle name="Normal 4 3 4 4 2 5 2" xfId="9691" xr:uid="{00000000-0005-0000-0000-0000D82C0000}"/>
    <cellStyle name="Normal 4 3 4 4 2 5 2 2" xfId="21979" xr:uid="{00000000-0005-0000-0000-0000D92C0000}"/>
    <cellStyle name="Normal 4 3 4 4 2 5 2 2 2" xfId="46555" xr:uid="{00000000-0005-0000-0000-0000DA2C0000}"/>
    <cellStyle name="Normal 4 3 4 4 2 5 2 3" xfId="34267" xr:uid="{00000000-0005-0000-0000-0000DB2C0000}"/>
    <cellStyle name="Normal 4 3 4 4 2 5 3" xfId="15835" xr:uid="{00000000-0005-0000-0000-0000DC2C0000}"/>
    <cellStyle name="Normal 4 3 4 4 2 5 3 2" xfId="40411" xr:uid="{00000000-0005-0000-0000-0000DD2C0000}"/>
    <cellStyle name="Normal 4 3 4 4 2 5 4" xfId="28123" xr:uid="{00000000-0005-0000-0000-0000DE2C0000}"/>
    <cellStyle name="Normal 4 3 4 4 2 6" xfId="6619" xr:uid="{00000000-0005-0000-0000-0000DF2C0000}"/>
    <cellStyle name="Normal 4 3 4 4 2 6 2" xfId="18907" xr:uid="{00000000-0005-0000-0000-0000E02C0000}"/>
    <cellStyle name="Normal 4 3 4 4 2 6 2 2" xfId="43483" xr:uid="{00000000-0005-0000-0000-0000E12C0000}"/>
    <cellStyle name="Normal 4 3 4 4 2 6 3" xfId="31195" xr:uid="{00000000-0005-0000-0000-0000E22C0000}"/>
    <cellStyle name="Normal 4 3 4 4 2 7" xfId="12763" xr:uid="{00000000-0005-0000-0000-0000E32C0000}"/>
    <cellStyle name="Normal 4 3 4 4 2 7 2" xfId="37339" xr:uid="{00000000-0005-0000-0000-0000E42C0000}"/>
    <cellStyle name="Normal 4 3 4 4 2 8" xfId="25051" xr:uid="{00000000-0005-0000-0000-0000E52C0000}"/>
    <cellStyle name="Normal 4 3 4 4 3" xfId="663" xr:uid="{00000000-0005-0000-0000-0000E62C0000}"/>
    <cellStyle name="Normal 4 3 4 4 3 2" xfId="1431" xr:uid="{00000000-0005-0000-0000-0000E72C0000}"/>
    <cellStyle name="Normal 4 3 4 4 3 2 2" xfId="2967" xr:uid="{00000000-0005-0000-0000-0000E82C0000}"/>
    <cellStyle name="Normal 4 3 4 4 3 2 2 2" xfId="6043" xr:uid="{00000000-0005-0000-0000-0000E92C0000}"/>
    <cellStyle name="Normal 4 3 4 4 3 2 2 2 2" xfId="12187" xr:uid="{00000000-0005-0000-0000-0000EA2C0000}"/>
    <cellStyle name="Normal 4 3 4 4 3 2 2 2 2 2" xfId="24475" xr:uid="{00000000-0005-0000-0000-0000EB2C0000}"/>
    <cellStyle name="Normal 4 3 4 4 3 2 2 2 2 2 2" xfId="49051" xr:uid="{00000000-0005-0000-0000-0000EC2C0000}"/>
    <cellStyle name="Normal 4 3 4 4 3 2 2 2 2 3" xfId="36763" xr:uid="{00000000-0005-0000-0000-0000ED2C0000}"/>
    <cellStyle name="Normal 4 3 4 4 3 2 2 2 3" xfId="18331" xr:uid="{00000000-0005-0000-0000-0000EE2C0000}"/>
    <cellStyle name="Normal 4 3 4 4 3 2 2 2 3 2" xfId="42907" xr:uid="{00000000-0005-0000-0000-0000EF2C0000}"/>
    <cellStyle name="Normal 4 3 4 4 3 2 2 2 4" xfId="30619" xr:uid="{00000000-0005-0000-0000-0000F02C0000}"/>
    <cellStyle name="Normal 4 3 4 4 3 2 2 3" xfId="9115" xr:uid="{00000000-0005-0000-0000-0000F12C0000}"/>
    <cellStyle name="Normal 4 3 4 4 3 2 2 3 2" xfId="21403" xr:uid="{00000000-0005-0000-0000-0000F22C0000}"/>
    <cellStyle name="Normal 4 3 4 4 3 2 2 3 2 2" xfId="45979" xr:uid="{00000000-0005-0000-0000-0000F32C0000}"/>
    <cellStyle name="Normal 4 3 4 4 3 2 2 3 3" xfId="33691" xr:uid="{00000000-0005-0000-0000-0000F42C0000}"/>
    <cellStyle name="Normal 4 3 4 4 3 2 2 4" xfId="15259" xr:uid="{00000000-0005-0000-0000-0000F52C0000}"/>
    <cellStyle name="Normal 4 3 4 4 3 2 2 4 2" xfId="39835" xr:uid="{00000000-0005-0000-0000-0000F62C0000}"/>
    <cellStyle name="Normal 4 3 4 4 3 2 2 5" xfId="27547" xr:uid="{00000000-0005-0000-0000-0000F72C0000}"/>
    <cellStyle name="Normal 4 3 4 4 3 2 3" xfId="4507" xr:uid="{00000000-0005-0000-0000-0000F82C0000}"/>
    <cellStyle name="Normal 4 3 4 4 3 2 3 2" xfId="10651" xr:uid="{00000000-0005-0000-0000-0000F92C0000}"/>
    <cellStyle name="Normal 4 3 4 4 3 2 3 2 2" xfId="22939" xr:uid="{00000000-0005-0000-0000-0000FA2C0000}"/>
    <cellStyle name="Normal 4 3 4 4 3 2 3 2 2 2" xfId="47515" xr:uid="{00000000-0005-0000-0000-0000FB2C0000}"/>
    <cellStyle name="Normal 4 3 4 4 3 2 3 2 3" xfId="35227" xr:uid="{00000000-0005-0000-0000-0000FC2C0000}"/>
    <cellStyle name="Normal 4 3 4 4 3 2 3 3" xfId="16795" xr:uid="{00000000-0005-0000-0000-0000FD2C0000}"/>
    <cellStyle name="Normal 4 3 4 4 3 2 3 3 2" xfId="41371" xr:uid="{00000000-0005-0000-0000-0000FE2C0000}"/>
    <cellStyle name="Normal 4 3 4 4 3 2 3 4" xfId="29083" xr:uid="{00000000-0005-0000-0000-0000FF2C0000}"/>
    <cellStyle name="Normal 4 3 4 4 3 2 4" xfId="7579" xr:uid="{00000000-0005-0000-0000-0000002D0000}"/>
    <cellStyle name="Normal 4 3 4 4 3 2 4 2" xfId="19867" xr:uid="{00000000-0005-0000-0000-0000012D0000}"/>
    <cellStyle name="Normal 4 3 4 4 3 2 4 2 2" xfId="44443" xr:uid="{00000000-0005-0000-0000-0000022D0000}"/>
    <cellStyle name="Normal 4 3 4 4 3 2 4 3" xfId="32155" xr:uid="{00000000-0005-0000-0000-0000032D0000}"/>
    <cellStyle name="Normal 4 3 4 4 3 2 5" xfId="13723" xr:uid="{00000000-0005-0000-0000-0000042D0000}"/>
    <cellStyle name="Normal 4 3 4 4 3 2 5 2" xfId="38299" xr:uid="{00000000-0005-0000-0000-0000052D0000}"/>
    <cellStyle name="Normal 4 3 4 4 3 2 6" xfId="26011" xr:uid="{00000000-0005-0000-0000-0000062D0000}"/>
    <cellStyle name="Normal 4 3 4 4 3 3" xfId="2199" xr:uid="{00000000-0005-0000-0000-0000072D0000}"/>
    <cellStyle name="Normal 4 3 4 4 3 3 2" xfId="5275" xr:uid="{00000000-0005-0000-0000-0000082D0000}"/>
    <cellStyle name="Normal 4 3 4 4 3 3 2 2" xfId="11419" xr:uid="{00000000-0005-0000-0000-0000092D0000}"/>
    <cellStyle name="Normal 4 3 4 4 3 3 2 2 2" xfId="23707" xr:uid="{00000000-0005-0000-0000-00000A2D0000}"/>
    <cellStyle name="Normal 4 3 4 4 3 3 2 2 2 2" xfId="48283" xr:uid="{00000000-0005-0000-0000-00000B2D0000}"/>
    <cellStyle name="Normal 4 3 4 4 3 3 2 2 3" xfId="35995" xr:uid="{00000000-0005-0000-0000-00000C2D0000}"/>
    <cellStyle name="Normal 4 3 4 4 3 3 2 3" xfId="17563" xr:uid="{00000000-0005-0000-0000-00000D2D0000}"/>
    <cellStyle name="Normal 4 3 4 4 3 3 2 3 2" xfId="42139" xr:uid="{00000000-0005-0000-0000-00000E2D0000}"/>
    <cellStyle name="Normal 4 3 4 4 3 3 2 4" xfId="29851" xr:uid="{00000000-0005-0000-0000-00000F2D0000}"/>
    <cellStyle name="Normal 4 3 4 4 3 3 3" xfId="8347" xr:uid="{00000000-0005-0000-0000-0000102D0000}"/>
    <cellStyle name="Normal 4 3 4 4 3 3 3 2" xfId="20635" xr:uid="{00000000-0005-0000-0000-0000112D0000}"/>
    <cellStyle name="Normal 4 3 4 4 3 3 3 2 2" xfId="45211" xr:uid="{00000000-0005-0000-0000-0000122D0000}"/>
    <cellStyle name="Normal 4 3 4 4 3 3 3 3" xfId="32923" xr:uid="{00000000-0005-0000-0000-0000132D0000}"/>
    <cellStyle name="Normal 4 3 4 4 3 3 4" xfId="14491" xr:uid="{00000000-0005-0000-0000-0000142D0000}"/>
    <cellStyle name="Normal 4 3 4 4 3 3 4 2" xfId="39067" xr:uid="{00000000-0005-0000-0000-0000152D0000}"/>
    <cellStyle name="Normal 4 3 4 4 3 3 5" xfId="26779" xr:uid="{00000000-0005-0000-0000-0000162D0000}"/>
    <cellStyle name="Normal 4 3 4 4 3 4" xfId="3739" xr:uid="{00000000-0005-0000-0000-0000172D0000}"/>
    <cellStyle name="Normal 4 3 4 4 3 4 2" xfId="9883" xr:uid="{00000000-0005-0000-0000-0000182D0000}"/>
    <cellStyle name="Normal 4 3 4 4 3 4 2 2" xfId="22171" xr:uid="{00000000-0005-0000-0000-0000192D0000}"/>
    <cellStyle name="Normal 4 3 4 4 3 4 2 2 2" xfId="46747" xr:uid="{00000000-0005-0000-0000-00001A2D0000}"/>
    <cellStyle name="Normal 4 3 4 4 3 4 2 3" xfId="34459" xr:uid="{00000000-0005-0000-0000-00001B2D0000}"/>
    <cellStyle name="Normal 4 3 4 4 3 4 3" xfId="16027" xr:uid="{00000000-0005-0000-0000-00001C2D0000}"/>
    <cellStyle name="Normal 4 3 4 4 3 4 3 2" xfId="40603" xr:uid="{00000000-0005-0000-0000-00001D2D0000}"/>
    <cellStyle name="Normal 4 3 4 4 3 4 4" xfId="28315" xr:uid="{00000000-0005-0000-0000-00001E2D0000}"/>
    <cellStyle name="Normal 4 3 4 4 3 5" xfId="6811" xr:uid="{00000000-0005-0000-0000-00001F2D0000}"/>
    <cellStyle name="Normal 4 3 4 4 3 5 2" xfId="19099" xr:uid="{00000000-0005-0000-0000-0000202D0000}"/>
    <cellStyle name="Normal 4 3 4 4 3 5 2 2" xfId="43675" xr:uid="{00000000-0005-0000-0000-0000212D0000}"/>
    <cellStyle name="Normal 4 3 4 4 3 5 3" xfId="31387" xr:uid="{00000000-0005-0000-0000-0000222D0000}"/>
    <cellStyle name="Normal 4 3 4 4 3 6" xfId="12955" xr:uid="{00000000-0005-0000-0000-0000232D0000}"/>
    <cellStyle name="Normal 4 3 4 4 3 6 2" xfId="37531" xr:uid="{00000000-0005-0000-0000-0000242D0000}"/>
    <cellStyle name="Normal 4 3 4 4 3 7" xfId="25243" xr:uid="{00000000-0005-0000-0000-0000252D0000}"/>
    <cellStyle name="Normal 4 3 4 4 4" xfId="1047" xr:uid="{00000000-0005-0000-0000-0000262D0000}"/>
    <cellStyle name="Normal 4 3 4 4 4 2" xfId="2583" xr:uid="{00000000-0005-0000-0000-0000272D0000}"/>
    <cellStyle name="Normal 4 3 4 4 4 2 2" xfId="5659" xr:uid="{00000000-0005-0000-0000-0000282D0000}"/>
    <cellStyle name="Normal 4 3 4 4 4 2 2 2" xfId="11803" xr:uid="{00000000-0005-0000-0000-0000292D0000}"/>
    <cellStyle name="Normal 4 3 4 4 4 2 2 2 2" xfId="24091" xr:uid="{00000000-0005-0000-0000-00002A2D0000}"/>
    <cellStyle name="Normal 4 3 4 4 4 2 2 2 2 2" xfId="48667" xr:uid="{00000000-0005-0000-0000-00002B2D0000}"/>
    <cellStyle name="Normal 4 3 4 4 4 2 2 2 3" xfId="36379" xr:uid="{00000000-0005-0000-0000-00002C2D0000}"/>
    <cellStyle name="Normal 4 3 4 4 4 2 2 3" xfId="17947" xr:uid="{00000000-0005-0000-0000-00002D2D0000}"/>
    <cellStyle name="Normal 4 3 4 4 4 2 2 3 2" xfId="42523" xr:uid="{00000000-0005-0000-0000-00002E2D0000}"/>
    <cellStyle name="Normal 4 3 4 4 4 2 2 4" xfId="30235" xr:uid="{00000000-0005-0000-0000-00002F2D0000}"/>
    <cellStyle name="Normal 4 3 4 4 4 2 3" xfId="8731" xr:uid="{00000000-0005-0000-0000-0000302D0000}"/>
    <cellStyle name="Normal 4 3 4 4 4 2 3 2" xfId="21019" xr:uid="{00000000-0005-0000-0000-0000312D0000}"/>
    <cellStyle name="Normal 4 3 4 4 4 2 3 2 2" xfId="45595" xr:uid="{00000000-0005-0000-0000-0000322D0000}"/>
    <cellStyle name="Normal 4 3 4 4 4 2 3 3" xfId="33307" xr:uid="{00000000-0005-0000-0000-0000332D0000}"/>
    <cellStyle name="Normal 4 3 4 4 4 2 4" xfId="14875" xr:uid="{00000000-0005-0000-0000-0000342D0000}"/>
    <cellStyle name="Normal 4 3 4 4 4 2 4 2" xfId="39451" xr:uid="{00000000-0005-0000-0000-0000352D0000}"/>
    <cellStyle name="Normal 4 3 4 4 4 2 5" xfId="27163" xr:uid="{00000000-0005-0000-0000-0000362D0000}"/>
    <cellStyle name="Normal 4 3 4 4 4 3" xfId="4123" xr:uid="{00000000-0005-0000-0000-0000372D0000}"/>
    <cellStyle name="Normal 4 3 4 4 4 3 2" xfId="10267" xr:uid="{00000000-0005-0000-0000-0000382D0000}"/>
    <cellStyle name="Normal 4 3 4 4 4 3 2 2" xfId="22555" xr:uid="{00000000-0005-0000-0000-0000392D0000}"/>
    <cellStyle name="Normal 4 3 4 4 4 3 2 2 2" xfId="47131" xr:uid="{00000000-0005-0000-0000-00003A2D0000}"/>
    <cellStyle name="Normal 4 3 4 4 4 3 2 3" xfId="34843" xr:uid="{00000000-0005-0000-0000-00003B2D0000}"/>
    <cellStyle name="Normal 4 3 4 4 4 3 3" xfId="16411" xr:uid="{00000000-0005-0000-0000-00003C2D0000}"/>
    <cellStyle name="Normal 4 3 4 4 4 3 3 2" xfId="40987" xr:uid="{00000000-0005-0000-0000-00003D2D0000}"/>
    <cellStyle name="Normal 4 3 4 4 4 3 4" xfId="28699" xr:uid="{00000000-0005-0000-0000-00003E2D0000}"/>
    <cellStyle name="Normal 4 3 4 4 4 4" xfId="7195" xr:uid="{00000000-0005-0000-0000-00003F2D0000}"/>
    <cellStyle name="Normal 4 3 4 4 4 4 2" xfId="19483" xr:uid="{00000000-0005-0000-0000-0000402D0000}"/>
    <cellStyle name="Normal 4 3 4 4 4 4 2 2" xfId="44059" xr:uid="{00000000-0005-0000-0000-0000412D0000}"/>
    <cellStyle name="Normal 4 3 4 4 4 4 3" xfId="31771" xr:uid="{00000000-0005-0000-0000-0000422D0000}"/>
    <cellStyle name="Normal 4 3 4 4 4 5" xfId="13339" xr:uid="{00000000-0005-0000-0000-0000432D0000}"/>
    <cellStyle name="Normal 4 3 4 4 4 5 2" xfId="37915" xr:uid="{00000000-0005-0000-0000-0000442D0000}"/>
    <cellStyle name="Normal 4 3 4 4 4 6" xfId="25627" xr:uid="{00000000-0005-0000-0000-0000452D0000}"/>
    <cellStyle name="Normal 4 3 4 4 5" xfId="1815" xr:uid="{00000000-0005-0000-0000-0000462D0000}"/>
    <cellStyle name="Normal 4 3 4 4 5 2" xfId="4891" xr:uid="{00000000-0005-0000-0000-0000472D0000}"/>
    <cellStyle name="Normal 4 3 4 4 5 2 2" xfId="11035" xr:uid="{00000000-0005-0000-0000-0000482D0000}"/>
    <cellStyle name="Normal 4 3 4 4 5 2 2 2" xfId="23323" xr:uid="{00000000-0005-0000-0000-0000492D0000}"/>
    <cellStyle name="Normal 4 3 4 4 5 2 2 2 2" xfId="47899" xr:uid="{00000000-0005-0000-0000-00004A2D0000}"/>
    <cellStyle name="Normal 4 3 4 4 5 2 2 3" xfId="35611" xr:uid="{00000000-0005-0000-0000-00004B2D0000}"/>
    <cellStyle name="Normal 4 3 4 4 5 2 3" xfId="17179" xr:uid="{00000000-0005-0000-0000-00004C2D0000}"/>
    <cellStyle name="Normal 4 3 4 4 5 2 3 2" xfId="41755" xr:uid="{00000000-0005-0000-0000-00004D2D0000}"/>
    <cellStyle name="Normal 4 3 4 4 5 2 4" xfId="29467" xr:uid="{00000000-0005-0000-0000-00004E2D0000}"/>
    <cellStyle name="Normal 4 3 4 4 5 3" xfId="7963" xr:uid="{00000000-0005-0000-0000-00004F2D0000}"/>
    <cellStyle name="Normal 4 3 4 4 5 3 2" xfId="20251" xr:uid="{00000000-0005-0000-0000-0000502D0000}"/>
    <cellStyle name="Normal 4 3 4 4 5 3 2 2" xfId="44827" xr:uid="{00000000-0005-0000-0000-0000512D0000}"/>
    <cellStyle name="Normal 4 3 4 4 5 3 3" xfId="32539" xr:uid="{00000000-0005-0000-0000-0000522D0000}"/>
    <cellStyle name="Normal 4 3 4 4 5 4" xfId="14107" xr:uid="{00000000-0005-0000-0000-0000532D0000}"/>
    <cellStyle name="Normal 4 3 4 4 5 4 2" xfId="38683" xr:uid="{00000000-0005-0000-0000-0000542D0000}"/>
    <cellStyle name="Normal 4 3 4 4 5 5" xfId="26395" xr:uid="{00000000-0005-0000-0000-0000552D0000}"/>
    <cellStyle name="Normal 4 3 4 4 6" xfId="3355" xr:uid="{00000000-0005-0000-0000-0000562D0000}"/>
    <cellStyle name="Normal 4 3 4 4 6 2" xfId="9499" xr:uid="{00000000-0005-0000-0000-0000572D0000}"/>
    <cellStyle name="Normal 4 3 4 4 6 2 2" xfId="21787" xr:uid="{00000000-0005-0000-0000-0000582D0000}"/>
    <cellStyle name="Normal 4 3 4 4 6 2 2 2" xfId="46363" xr:uid="{00000000-0005-0000-0000-0000592D0000}"/>
    <cellStyle name="Normal 4 3 4 4 6 2 3" xfId="34075" xr:uid="{00000000-0005-0000-0000-00005A2D0000}"/>
    <cellStyle name="Normal 4 3 4 4 6 3" xfId="15643" xr:uid="{00000000-0005-0000-0000-00005B2D0000}"/>
    <cellStyle name="Normal 4 3 4 4 6 3 2" xfId="40219" xr:uid="{00000000-0005-0000-0000-00005C2D0000}"/>
    <cellStyle name="Normal 4 3 4 4 6 4" xfId="27931" xr:uid="{00000000-0005-0000-0000-00005D2D0000}"/>
    <cellStyle name="Normal 4 3 4 4 7" xfId="6427" xr:uid="{00000000-0005-0000-0000-00005E2D0000}"/>
    <cellStyle name="Normal 4 3 4 4 7 2" xfId="18715" xr:uid="{00000000-0005-0000-0000-00005F2D0000}"/>
    <cellStyle name="Normal 4 3 4 4 7 2 2" xfId="43291" xr:uid="{00000000-0005-0000-0000-0000602D0000}"/>
    <cellStyle name="Normal 4 3 4 4 7 3" xfId="31003" xr:uid="{00000000-0005-0000-0000-0000612D0000}"/>
    <cellStyle name="Normal 4 3 4 4 8" xfId="12571" xr:uid="{00000000-0005-0000-0000-0000622D0000}"/>
    <cellStyle name="Normal 4 3 4 4 8 2" xfId="37147" xr:uid="{00000000-0005-0000-0000-0000632D0000}"/>
    <cellStyle name="Normal 4 3 4 4 9" xfId="24859" xr:uid="{00000000-0005-0000-0000-0000642D0000}"/>
    <cellStyle name="Normal 4 3 4 5" xfId="343" xr:uid="{00000000-0005-0000-0000-0000652D0000}"/>
    <cellStyle name="Normal 4 3 4 5 2" xfId="727" xr:uid="{00000000-0005-0000-0000-0000662D0000}"/>
    <cellStyle name="Normal 4 3 4 5 2 2" xfId="1495" xr:uid="{00000000-0005-0000-0000-0000672D0000}"/>
    <cellStyle name="Normal 4 3 4 5 2 2 2" xfId="3031" xr:uid="{00000000-0005-0000-0000-0000682D0000}"/>
    <cellStyle name="Normal 4 3 4 5 2 2 2 2" xfId="6107" xr:uid="{00000000-0005-0000-0000-0000692D0000}"/>
    <cellStyle name="Normal 4 3 4 5 2 2 2 2 2" xfId="12251" xr:uid="{00000000-0005-0000-0000-00006A2D0000}"/>
    <cellStyle name="Normal 4 3 4 5 2 2 2 2 2 2" xfId="24539" xr:uid="{00000000-0005-0000-0000-00006B2D0000}"/>
    <cellStyle name="Normal 4 3 4 5 2 2 2 2 2 2 2" xfId="49115" xr:uid="{00000000-0005-0000-0000-00006C2D0000}"/>
    <cellStyle name="Normal 4 3 4 5 2 2 2 2 2 3" xfId="36827" xr:uid="{00000000-0005-0000-0000-00006D2D0000}"/>
    <cellStyle name="Normal 4 3 4 5 2 2 2 2 3" xfId="18395" xr:uid="{00000000-0005-0000-0000-00006E2D0000}"/>
    <cellStyle name="Normal 4 3 4 5 2 2 2 2 3 2" xfId="42971" xr:uid="{00000000-0005-0000-0000-00006F2D0000}"/>
    <cellStyle name="Normal 4 3 4 5 2 2 2 2 4" xfId="30683" xr:uid="{00000000-0005-0000-0000-0000702D0000}"/>
    <cellStyle name="Normal 4 3 4 5 2 2 2 3" xfId="9179" xr:uid="{00000000-0005-0000-0000-0000712D0000}"/>
    <cellStyle name="Normal 4 3 4 5 2 2 2 3 2" xfId="21467" xr:uid="{00000000-0005-0000-0000-0000722D0000}"/>
    <cellStyle name="Normal 4 3 4 5 2 2 2 3 2 2" xfId="46043" xr:uid="{00000000-0005-0000-0000-0000732D0000}"/>
    <cellStyle name="Normal 4 3 4 5 2 2 2 3 3" xfId="33755" xr:uid="{00000000-0005-0000-0000-0000742D0000}"/>
    <cellStyle name="Normal 4 3 4 5 2 2 2 4" xfId="15323" xr:uid="{00000000-0005-0000-0000-0000752D0000}"/>
    <cellStyle name="Normal 4 3 4 5 2 2 2 4 2" xfId="39899" xr:uid="{00000000-0005-0000-0000-0000762D0000}"/>
    <cellStyle name="Normal 4 3 4 5 2 2 2 5" xfId="27611" xr:uid="{00000000-0005-0000-0000-0000772D0000}"/>
    <cellStyle name="Normal 4 3 4 5 2 2 3" xfId="4571" xr:uid="{00000000-0005-0000-0000-0000782D0000}"/>
    <cellStyle name="Normal 4 3 4 5 2 2 3 2" xfId="10715" xr:uid="{00000000-0005-0000-0000-0000792D0000}"/>
    <cellStyle name="Normal 4 3 4 5 2 2 3 2 2" xfId="23003" xr:uid="{00000000-0005-0000-0000-00007A2D0000}"/>
    <cellStyle name="Normal 4 3 4 5 2 2 3 2 2 2" xfId="47579" xr:uid="{00000000-0005-0000-0000-00007B2D0000}"/>
    <cellStyle name="Normal 4 3 4 5 2 2 3 2 3" xfId="35291" xr:uid="{00000000-0005-0000-0000-00007C2D0000}"/>
    <cellStyle name="Normal 4 3 4 5 2 2 3 3" xfId="16859" xr:uid="{00000000-0005-0000-0000-00007D2D0000}"/>
    <cellStyle name="Normal 4 3 4 5 2 2 3 3 2" xfId="41435" xr:uid="{00000000-0005-0000-0000-00007E2D0000}"/>
    <cellStyle name="Normal 4 3 4 5 2 2 3 4" xfId="29147" xr:uid="{00000000-0005-0000-0000-00007F2D0000}"/>
    <cellStyle name="Normal 4 3 4 5 2 2 4" xfId="7643" xr:uid="{00000000-0005-0000-0000-0000802D0000}"/>
    <cellStyle name="Normal 4 3 4 5 2 2 4 2" xfId="19931" xr:uid="{00000000-0005-0000-0000-0000812D0000}"/>
    <cellStyle name="Normal 4 3 4 5 2 2 4 2 2" xfId="44507" xr:uid="{00000000-0005-0000-0000-0000822D0000}"/>
    <cellStyle name="Normal 4 3 4 5 2 2 4 3" xfId="32219" xr:uid="{00000000-0005-0000-0000-0000832D0000}"/>
    <cellStyle name="Normal 4 3 4 5 2 2 5" xfId="13787" xr:uid="{00000000-0005-0000-0000-0000842D0000}"/>
    <cellStyle name="Normal 4 3 4 5 2 2 5 2" xfId="38363" xr:uid="{00000000-0005-0000-0000-0000852D0000}"/>
    <cellStyle name="Normal 4 3 4 5 2 2 6" xfId="26075" xr:uid="{00000000-0005-0000-0000-0000862D0000}"/>
    <cellStyle name="Normal 4 3 4 5 2 3" xfId="2263" xr:uid="{00000000-0005-0000-0000-0000872D0000}"/>
    <cellStyle name="Normal 4 3 4 5 2 3 2" xfId="5339" xr:uid="{00000000-0005-0000-0000-0000882D0000}"/>
    <cellStyle name="Normal 4 3 4 5 2 3 2 2" xfId="11483" xr:uid="{00000000-0005-0000-0000-0000892D0000}"/>
    <cellStyle name="Normal 4 3 4 5 2 3 2 2 2" xfId="23771" xr:uid="{00000000-0005-0000-0000-00008A2D0000}"/>
    <cellStyle name="Normal 4 3 4 5 2 3 2 2 2 2" xfId="48347" xr:uid="{00000000-0005-0000-0000-00008B2D0000}"/>
    <cellStyle name="Normal 4 3 4 5 2 3 2 2 3" xfId="36059" xr:uid="{00000000-0005-0000-0000-00008C2D0000}"/>
    <cellStyle name="Normal 4 3 4 5 2 3 2 3" xfId="17627" xr:uid="{00000000-0005-0000-0000-00008D2D0000}"/>
    <cellStyle name="Normal 4 3 4 5 2 3 2 3 2" xfId="42203" xr:uid="{00000000-0005-0000-0000-00008E2D0000}"/>
    <cellStyle name="Normal 4 3 4 5 2 3 2 4" xfId="29915" xr:uid="{00000000-0005-0000-0000-00008F2D0000}"/>
    <cellStyle name="Normal 4 3 4 5 2 3 3" xfId="8411" xr:uid="{00000000-0005-0000-0000-0000902D0000}"/>
    <cellStyle name="Normal 4 3 4 5 2 3 3 2" xfId="20699" xr:uid="{00000000-0005-0000-0000-0000912D0000}"/>
    <cellStyle name="Normal 4 3 4 5 2 3 3 2 2" xfId="45275" xr:uid="{00000000-0005-0000-0000-0000922D0000}"/>
    <cellStyle name="Normal 4 3 4 5 2 3 3 3" xfId="32987" xr:uid="{00000000-0005-0000-0000-0000932D0000}"/>
    <cellStyle name="Normal 4 3 4 5 2 3 4" xfId="14555" xr:uid="{00000000-0005-0000-0000-0000942D0000}"/>
    <cellStyle name="Normal 4 3 4 5 2 3 4 2" xfId="39131" xr:uid="{00000000-0005-0000-0000-0000952D0000}"/>
    <cellStyle name="Normal 4 3 4 5 2 3 5" xfId="26843" xr:uid="{00000000-0005-0000-0000-0000962D0000}"/>
    <cellStyle name="Normal 4 3 4 5 2 4" xfId="3803" xr:uid="{00000000-0005-0000-0000-0000972D0000}"/>
    <cellStyle name="Normal 4 3 4 5 2 4 2" xfId="9947" xr:uid="{00000000-0005-0000-0000-0000982D0000}"/>
    <cellStyle name="Normal 4 3 4 5 2 4 2 2" xfId="22235" xr:uid="{00000000-0005-0000-0000-0000992D0000}"/>
    <cellStyle name="Normal 4 3 4 5 2 4 2 2 2" xfId="46811" xr:uid="{00000000-0005-0000-0000-00009A2D0000}"/>
    <cellStyle name="Normal 4 3 4 5 2 4 2 3" xfId="34523" xr:uid="{00000000-0005-0000-0000-00009B2D0000}"/>
    <cellStyle name="Normal 4 3 4 5 2 4 3" xfId="16091" xr:uid="{00000000-0005-0000-0000-00009C2D0000}"/>
    <cellStyle name="Normal 4 3 4 5 2 4 3 2" xfId="40667" xr:uid="{00000000-0005-0000-0000-00009D2D0000}"/>
    <cellStyle name="Normal 4 3 4 5 2 4 4" xfId="28379" xr:uid="{00000000-0005-0000-0000-00009E2D0000}"/>
    <cellStyle name="Normal 4 3 4 5 2 5" xfId="6875" xr:uid="{00000000-0005-0000-0000-00009F2D0000}"/>
    <cellStyle name="Normal 4 3 4 5 2 5 2" xfId="19163" xr:uid="{00000000-0005-0000-0000-0000A02D0000}"/>
    <cellStyle name="Normal 4 3 4 5 2 5 2 2" xfId="43739" xr:uid="{00000000-0005-0000-0000-0000A12D0000}"/>
    <cellStyle name="Normal 4 3 4 5 2 5 3" xfId="31451" xr:uid="{00000000-0005-0000-0000-0000A22D0000}"/>
    <cellStyle name="Normal 4 3 4 5 2 6" xfId="13019" xr:uid="{00000000-0005-0000-0000-0000A32D0000}"/>
    <cellStyle name="Normal 4 3 4 5 2 6 2" xfId="37595" xr:uid="{00000000-0005-0000-0000-0000A42D0000}"/>
    <cellStyle name="Normal 4 3 4 5 2 7" xfId="25307" xr:uid="{00000000-0005-0000-0000-0000A52D0000}"/>
    <cellStyle name="Normal 4 3 4 5 3" xfId="1111" xr:uid="{00000000-0005-0000-0000-0000A62D0000}"/>
    <cellStyle name="Normal 4 3 4 5 3 2" xfId="2647" xr:uid="{00000000-0005-0000-0000-0000A72D0000}"/>
    <cellStyle name="Normal 4 3 4 5 3 2 2" xfId="5723" xr:uid="{00000000-0005-0000-0000-0000A82D0000}"/>
    <cellStyle name="Normal 4 3 4 5 3 2 2 2" xfId="11867" xr:uid="{00000000-0005-0000-0000-0000A92D0000}"/>
    <cellStyle name="Normal 4 3 4 5 3 2 2 2 2" xfId="24155" xr:uid="{00000000-0005-0000-0000-0000AA2D0000}"/>
    <cellStyle name="Normal 4 3 4 5 3 2 2 2 2 2" xfId="48731" xr:uid="{00000000-0005-0000-0000-0000AB2D0000}"/>
    <cellStyle name="Normal 4 3 4 5 3 2 2 2 3" xfId="36443" xr:uid="{00000000-0005-0000-0000-0000AC2D0000}"/>
    <cellStyle name="Normal 4 3 4 5 3 2 2 3" xfId="18011" xr:uid="{00000000-0005-0000-0000-0000AD2D0000}"/>
    <cellStyle name="Normal 4 3 4 5 3 2 2 3 2" xfId="42587" xr:uid="{00000000-0005-0000-0000-0000AE2D0000}"/>
    <cellStyle name="Normal 4 3 4 5 3 2 2 4" xfId="30299" xr:uid="{00000000-0005-0000-0000-0000AF2D0000}"/>
    <cellStyle name="Normal 4 3 4 5 3 2 3" xfId="8795" xr:uid="{00000000-0005-0000-0000-0000B02D0000}"/>
    <cellStyle name="Normal 4 3 4 5 3 2 3 2" xfId="21083" xr:uid="{00000000-0005-0000-0000-0000B12D0000}"/>
    <cellStyle name="Normal 4 3 4 5 3 2 3 2 2" xfId="45659" xr:uid="{00000000-0005-0000-0000-0000B22D0000}"/>
    <cellStyle name="Normal 4 3 4 5 3 2 3 3" xfId="33371" xr:uid="{00000000-0005-0000-0000-0000B32D0000}"/>
    <cellStyle name="Normal 4 3 4 5 3 2 4" xfId="14939" xr:uid="{00000000-0005-0000-0000-0000B42D0000}"/>
    <cellStyle name="Normal 4 3 4 5 3 2 4 2" xfId="39515" xr:uid="{00000000-0005-0000-0000-0000B52D0000}"/>
    <cellStyle name="Normal 4 3 4 5 3 2 5" xfId="27227" xr:uid="{00000000-0005-0000-0000-0000B62D0000}"/>
    <cellStyle name="Normal 4 3 4 5 3 3" xfId="4187" xr:uid="{00000000-0005-0000-0000-0000B72D0000}"/>
    <cellStyle name="Normal 4 3 4 5 3 3 2" xfId="10331" xr:uid="{00000000-0005-0000-0000-0000B82D0000}"/>
    <cellStyle name="Normal 4 3 4 5 3 3 2 2" xfId="22619" xr:uid="{00000000-0005-0000-0000-0000B92D0000}"/>
    <cellStyle name="Normal 4 3 4 5 3 3 2 2 2" xfId="47195" xr:uid="{00000000-0005-0000-0000-0000BA2D0000}"/>
    <cellStyle name="Normal 4 3 4 5 3 3 2 3" xfId="34907" xr:uid="{00000000-0005-0000-0000-0000BB2D0000}"/>
    <cellStyle name="Normal 4 3 4 5 3 3 3" xfId="16475" xr:uid="{00000000-0005-0000-0000-0000BC2D0000}"/>
    <cellStyle name="Normal 4 3 4 5 3 3 3 2" xfId="41051" xr:uid="{00000000-0005-0000-0000-0000BD2D0000}"/>
    <cellStyle name="Normal 4 3 4 5 3 3 4" xfId="28763" xr:uid="{00000000-0005-0000-0000-0000BE2D0000}"/>
    <cellStyle name="Normal 4 3 4 5 3 4" xfId="7259" xr:uid="{00000000-0005-0000-0000-0000BF2D0000}"/>
    <cellStyle name="Normal 4 3 4 5 3 4 2" xfId="19547" xr:uid="{00000000-0005-0000-0000-0000C02D0000}"/>
    <cellStyle name="Normal 4 3 4 5 3 4 2 2" xfId="44123" xr:uid="{00000000-0005-0000-0000-0000C12D0000}"/>
    <cellStyle name="Normal 4 3 4 5 3 4 3" xfId="31835" xr:uid="{00000000-0005-0000-0000-0000C22D0000}"/>
    <cellStyle name="Normal 4 3 4 5 3 5" xfId="13403" xr:uid="{00000000-0005-0000-0000-0000C32D0000}"/>
    <cellStyle name="Normal 4 3 4 5 3 5 2" xfId="37979" xr:uid="{00000000-0005-0000-0000-0000C42D0000}"/>
    <cellStyle name="Normal 4 3 4 5 3 6" xfId="25691" xr:uid="{00000000-0005-0000-0000-0000C52D0000}"/>
    <cellStyle name="Normal 4 3 4 5 4" xfId="1879" xr:uid="{00000000-0005-0000-0000-0000C62D0000}"/>
    <cellStyle name="Normal 4 3 4 5 4 2" xfId="4955" xr:uid="{00000000-0005-0000-0000-0000C72D0000}"/>
    <cellStyle name="Normal 4 3 4 5 4 2 2" xfId="11099" xr:uid="{00000000-0005-0000-0000-0000C82D0000}"/>
    <cellStyle name="Normal 4 3 4 5 4 2 2 2" xfId="23387" xr:uid="{00000000-0005-0000-0000-0000C92D0000}"/>
    <cellStyle name="Normal 4 3 4 5 4 2 2 2 2" xfId="47963" xr:uid="{00000000-0005-0000-0000-0000CA2D0000}"/>
    <cellStyle name="Normal 4 3 4 5 4 2 2 3" xfId="35675" xr:uid="{00000000-0005-0000-0000-0000CB2D0000}"/>
    <cellStyle name="Normal 4 3 4 5 4 2 3" xfId="17243" xr:uid="{00000000-0005-0000-0000-0000CC2D0000}"/>
    <cellStyle name="Normal 4 3 4 5 4 2 3 2" xfId="41819" xr:uid="{00000000-0005-0000-0000-0000CD2D0000}"/>
    <cellStyle name="Normal 4 3 4 5 4 2 4" xfId="29531" xr:uid="{00000000-0005-0000-0000-0000CE2D0000}"/>
    <cellStyle name="Normal 4 3 4 5 4 3" xfId="8027" xr:uid="{00000000-0005-0000-0000-0000CF2D0000}"/>
    <cellStyle name="Normal 4 3 4 5 4 3 2" xfId="20315" xr:uid="{00000000-0005-0000-0000-0000D02D0000}"/>
    <cellStyle name="Normal 4 3 4 5 4 3 2 2" xfId="44891" xr:uid="{00000000-0005-0000-0000-0000D12D0000}"/>
    <cellStyle name="Normal 4 3 4 5 4 3 3" xfId="32603" xr:uid="{00000000-0005-0000-0000-0000D22D0000}"/>
    <cellStyle name="Normal 4 3 4 5 4 4" xfId="14171" xr:uid="{00000000-0005-0000-0000-0000D32D0000}"/>
    <cellStyle name="Normal 4 3 4 5 4 4 2" xfId="38747" xr:uid="{00000000-0005-0000-0000-0000D42D0000}"/>
    <cellStyle name="Normal 4 3 4 5 4 5" xfId="26459" xr:uid="{00000000-0005-0000-0000-0000D52D0000}"/>
    <cellStyle name="Normal 4 3 4 5 5" xfId="3419" xr:uid="{00000000-0005-0000-0000-0000D62D0000}"/>
    <cellStyle name="Normal 4 3 4 5 5 2" xfId="9563" xr:uid="{00000000-0005-0000-0000-0000D72D0000}"/>
    <cellStyle name="Normal 4 3 4 5 5 2 2" xfId="21851" xr:uid="{00000000-0005-0000-0000-0000D82D0000}"/>
    <cellStyle name="Normal 4 3 4 5 5 2 2 2" xfId="46427" xr:uid="{00000000-0005-0000-0000-0000D92D0000}"/>
    <cellStyle name="Normal 4 3 4 5 5 2 3" xfId="34139" xr:uid="{00000000-0005-0000-0000-0000DA2D0000}"/>
    <cellStyle name="Normal 4 3 4 5 5 3" xfId="15707" xr:uid="{00000000-0005-0000-0000-0000DB2D0000}"/>
    <cellStyle name="Normal 4 3 4 5 5 3 2" xfId="40283" xr:uid="{00000000-0005-0000-0000-0000DC2D0000}"/>
    <cellStyle name="Normal 4 3 4 5 5 4" xfId="27995" xr:uid="{00000000-0005-0000-0000-0000DD2D0000}"/>
    <cellStyle name="Normal 4 3 4 5 6" xfId="6491" xr:uid="{00000000-0005-0000-0000-0000DE2D0000}"/>
    <cellStyle name="Normal 4 3 4 5 6 2" xfId="18779" xr:uid="{00000000-0005-0000-0000-0000DF2D0000}"/>
    <cellStyle name="Normal 4 3 4 5 6 2 2" xfId="43355" xr:uid="{00000000-0005-0000-0000-0000E02D0000}"/>
    <cellStyle name="Normal 4 3 4 5 6 3" xfId="31067" xr:uid="{00000000-0005-0000-0000-0000E12D0000}"/>
    <cellStyle name="Normal 4 3 4 5 7" xfId="12635" xr:uid="{00000000-0005-0000-0000-0000E22D0000}"/>
    <cellStyle name="Normal 4 3 4 5 7 2" xfId="37211" xr:uid="{00000000-0005-0000-0000-0000E32D0000}"/>
    <cellStyle name="Normal 4 3 4 5 8" xfId="24923" xr:uid="{00000000-0005-0000-0000-0000E42D0000}"/>
    <cellStyle name="Normal 4 3 4 6" xfId="535" xr:uid="{00000000-0005-0000-0000-0000E52D0000}"/>
    <cellStyle name="Normal 4 3 4 6 2" xfId="1303" xr:uid="{00000000-0005-0000-0000-0000E62D0000}"/>
    <cellStyle name="Normal 4 3 4 6 2 2" xfId="2839" xr:uid="{00000000-0005-0000-0000-0000E72D0000}"/>
    <cellStyle name="Normal 4 3 4 6 2 2 2" xfId="5915" xr:uid="{00000000-0005-0000-0000-0000E82D0000}"/>
    <cellStyle name="Normal 4 3 4 6 2 2 2 2" xfId="12059" xr:uid="{00000000-0005-0000-0000-0000E92D0000}"/>
    <cellStyle name="Normal 4 3 4 6 2 2 2 2 2" xfId="24347" xr:uid="{00000000-0005-0000-0000-0000EA2D0000}"/>
    <cellStyle name="Normal 4 3 4 6 2 2 2 2 2 2" xfId="48923" xr:uid="{00000000-0005-0000-0000-0000EB2D0000}"/>
    <cellStyle name="Normal 4 3 4 6 2 2 2 2 3" xfId="36635" xr:uid="{00000000-0005-0000-0000-0000EC2D0000}"/>
    <cellStyle name="Normal 4 3 4 6 2 2 2 3" xfId="18203" xr:uid="{00000000-0005-0000-0000-0000ED2D0000}"/>
    <cellStyle name="Normal 4 3 4 6 2 2 2 3 2" xfId="42779" xr:uid="{00000000-0005-0000-0000-0000EE2D0000}"/>
    <cellStyle name="Normal 4 3 4 6 2 2 2 4" xfId="30491" xr:uid="{00000000-0005-0000-0000-0000EF2D0000}"/>
    <cellStyle name="Normal 4 3 4 6 2 2 3" xfId="8987" xr:uid="{00000000-0005-0000-0000-0000F02D0000}"/>
    <cellStyle name="Normal 4 3 4 6 2 2 3 2" xfId="21275" xr:uid="{00000000-0005-0000-0000-0000F12D0000}"/>
    <cellStyle name="Normal 4 3 4 6 2 2 3 2 2" xfId="45851" xr:uid="{00000000-0005-0000-0000-0000F22D0000}"/>
    <cellStyle name="Normal 4 3 4 6 2 2 3 3" xfId="33563" xr:uid="{00000000-0005-0000-0000-0000F32D0000}"/>
    <cellStyle name="Normal 4 3 4 6 2 2 4" xfId="15131" xr:uid="{00000000-0005-0000-0000-0000F42D0000}"/>
    <cellStyle name="Normal 4 3 4 6 2 2 4 2" xfId="39707" xr:uid="{00000000-0005-0000-0000-0000F52D0000}"/>
    <cellStyle name="Normal 4 3 4 6 2 2 5" xfId="27419" xr:uid="{00000000-0005-0000-0000-0000F62D0000}"/>
    <cellStyle name="Normal 4 3 4 6 2 3" xfId="4379" xr:uid="{00000000-0005-0000-0000-0000F72D0000}"/>
    <cellStyle name="Normal 4 3 4 6 2 3 2" xfId="10523" xr:uid="{00000000-0005-0000-0000-0000F82D0000}"/>
    <cellStyle name="Normal 4 3 4 6 2 3 2 2" xfId="22811" xr:uid="{00000000-0005-0000-0000-0000F92D0000}"/>
    <cellStyle name="Normal 4 3 4 6 2 3 2 2 2" xfId="47387" xr:uid="{00000000-0005-0000-0000-0000FA2D0000}"/>
    <cellStyle name="Normal 4 3 4 6 2 3 2 3" xfId="35099" xr:uid="{00000000-0005-0000-0000-0000FB2D0000}"/>
    <cellStyle name="Normal 4 3 4 6 2 3 3" xfId="16667" xr:uid="{00000000-0005-0000-0000-0000FC2D0000}"/>
    <cellStyle name="Normal 4 3 4 6 2 3 3 2" xfId="41243" xr:uid="{00000000-0005-0000-0000-0000FD2D0000}"/>
    <cellStyle name="Normal 4 3 4 6 2 3 4" xfId="28955" xr:uid="{00000000-0005-0000-0000-0000FE2D0000}"/>
    <cellStyle name="Normal 4 3 4 6 2 4" xfId="7451" xr:uid="{00000000-0005-0000-0000-0000FF2D0000}"/>
    <cellStyle name="Normal 4 3 4 6 2 4 2" xfId="19739" xr:uid="{00000000-0005-0000-0000-0000002E0000}"/>
    <cellStyle name="Normal 4 3 4 6 2 4 2 2" xfId="44315" xr:uid="{00000000-0005-0000-0000-0000012E0000}"/>
    <cellStyle name="Normal 4 3 4 6 2 4 3" xfId="32027" xr:uid="{00000000-0005-0000-0000-0000022E0000}"/>
    <cellStyle name="Normal 4 3 4 6 2 5" xfId="13595" xr:uid="{00000000-0005-0000-0000-0000032E0000}"/>
    <cellStyle name="Normal 4 3 4 6 2 5 2" xfId="38171" xr:uid="{00000000-0005-0000-0000-0000042E0000}"/>
    <cellStyle name="Normal 4 3 4 6 2 6" xfId="25883" xr:uid="{00000000-0005-0000-0000-0000052E0000}"/>
    <cellStyle name="Normal 4 3 4 6 3" xfId="2071" xr:uid="{00000000-0005-0000-0000-0000062E0000}"/>
    <cellStyle name="Normal 4 3 4 6 3 2" xfId="5147" xr:uid="{00000000-0005-0000-0000-0000072E0000}"/>
    <cellStyle name="Normal 4 3 4 6 3 2 2" xfId="11291" xr:uid="{00000000-0005-0000-0000-0000082E0000}"/>
    <cellStyle name="Normal 4 3 4 6 3 2 2 2" xfId="23579" xr:uid="{00000000-0005-0000-0000-0000092E0000}"/>
    <cellStyle name="Normal 4 3 4 6 3 2 2 2 2" xfId="48155" xr:uid="{00000000-0005-0000-0000-00000A2E0000}"/>
    <cellStyle name="Normal 4 3 4 6 3 2 2 3" xfId="35867" xr:uid="{00000000-0005-0000-0000-00000B2E0000}"/>
    <cellStyle name="Normal 4 3 4 6 3 2 3" xfId="17435" xr:uid="{00000000-0005-0000-0000-00000C2E0000}"/>
    <cellStyle name="Normal 4 3 4 6 3 2 3 2" xfId="42011" xr:uid="{00000000-0005-0000-0000-00000D2E0000}"/>
    <cellStyle name="Normal 4 3 4 6 3 2 4" xfId="29723" xr:uid="{00000000-0005-0000-0000-00000E2E0000}"/>
    <cellStyle name="Normal 4 3 4 6 3 3" xfId="8219" xr:uid="{00000000-0005-0000-0000-00000F2E0000}"/>
    <cellStyle name="Normal 4 3 4 6 3 3 2" xfId="20507" xr:uid="{00000000-0005-0000-0000-0000102E0000}"/>
    <cellStyle name="Normal 4 3 4 6 3 3 2 2" xfId="45083" xr:uid="{00000000-0005-0000-0000-0000112E0000}"/>
    <cellStyle name="Normal 4 3 4 6 3 3 3" xfId="32795" xr:uid="{00000000-0005-0000-0000-0000122E0000}"/>
    <cellStyle name="Normal 4 3 4 6 3 4" xfId="14363" xr:uid="{00000000-0005-0000-0000-0000132E0000}"/>
    <cellStyle name="Normal 4 3 4 6 3 4 2" xfId="38939" xr:uid="{00000000-0005-0000-0000-0000142E0000}"/>
    <cellStyle name="Normal 4 3 4 6 3 5" xfId="26651" xr:uid="{00000000-0005-0000-0000-0000152E0000}"/>
    <cellStyle name="Normal 4 3 4 6 4" xfId="3611" xr:uid="{00000000-0005-0000-0000-0000162E0000}"/>
    <cellStyle name="Normal 4 3 4 6 4 2" xfId="9755" xr:uid="{00000000-0005-0000-0000-0000172E0000}"/>
    <cellStyle name="Normal 4 3 4 6 4 2 2" xfId="22043" xr:uid="{00000000-0005-0000-0000-0000182E0000}"/>
    <cellStyle name="Normal 4 3 4 6 4 2 2 2" xfId="46619" xr:uid="{00000000-0005-0000-0000-0000192E0000}"/>
    <cellStyle name="Normal 4 3 4 6 4 2 3" xfId="34331" xr:uid="{00000000-0005-0000-0000-00001A2E0000}"/>
    <cellStyle name="Normal 4 3 4 6 4 3" xfId="15899" xr:uid="{00000000-0005-0000-0000-00001B2E0000}"/>
    <cellStyle name="Normal 4 3 4 6 4 3 2" xfId="40475" xr:uid="{00000000-0005-0000-0000-00001C2E0000}"/>
    <cellStyle name="Normal 4 3 4 6 4 4" xfId="28187" xr:uid="{00000000-0005-0000-0000-00001D2E0000}"/>
    <cellStyle name="Normal 4 3 4 6 5" xfId="6683" xr:uid="{00000000-0005-0000-0000-00001E2E0000}"/>
    <cellStyle name="Normal 4 3 4 6 5 2" xfId="18971" xr:uid="{00000000-0005-0000-0000-00001F2E0000}"/>
    <cellStyle name="Normal 4 3 4 6 5 2 2" xfId="43547" xr:uid="{00000000-0005-0000-0000-0000202E0000}"/>
    <cellStyle name="Normal 4 3 4 6 5 3" xfId="31259" xr:uid="{00000000-0005-0000-0000-0000212E0000}"/>
    <cellStyle name="Normal 4 3 4 6 6" xfId="12827" xr:uid="{00000000-0005-0000-0000-0000222E0000}"/>
    <cellStyle name="Normal 4 3 4 6 6 2" xfId="37403" xr:uid="{00000000-0005-0000-0000-0000232E0000}"/>
    <cellStyle name="Normal 4 3 4 6 7" xfId="25115" xr:uid="{00000000-0005-0000-0000-0000242E0000}"/>
    <cellStyle name="Normal 4 3 4 7" xfId="919" xr:uid="{00000000-0005-0000-0000-0000252E0000}"/>
    <cellStyle name="Normal 4 3 4 7 2" xfId="2455" xr:uid="{00000000-0005-0000-0000-0000262E0000}"/>
    <cellStyle name="Normal 4 3 4 7 2 2" xfId="5531" xr:uid="{00000000-0005-0000-0000-0000272E0000}"/>
    <cellStyle name="Normal 4 3 4 7 2 2 2" xfId="11675" xr:uid="{00000000-0005-0000-0000-0000282E0000}"/>
    <cellStyle name="Normal 4 3 4 7 2 2 2 2" xfId="23963" xr:uid="{00000000-0005-0000-0000-0000292E0000}"/>
    <cellStyle name="Normal 4 3 4 7 2 2 2 2 2" xfId="48539" xr:uid="{00000000-0005-0000-0000-00002A2E0000}"/>
    <cellStyle name="Normal 4 3 4 7 2 2 2 3" xfId="36251" xr:uid="{00000000-0005-0000-0000-00002B2E0000}"/>
    <cellStyle name="Normal 4 3 4 7 2 2 3" xfId="17819" xr:uid="{00000000-0005-0000-0000-00002C2E0000}"/>
    <cellStyle name="Normal 4 3 4 7 2 2 3 2" xfId="42395" xr:uid="{00000000-0005-0000-0000-00002D2E0000}"/>
    <cellStyle name="Normal 4 3 4 7 2 2 4" xfId="30107" xr:uid="{00000000-0005-0000-0000-00002E2E0000}"/>
    <cellStyle name="Normal 4 3 4 7 2 3" xfId="8603" xr:uid="{00000000-0005-0000-0000-00002F2E0000}"/>
    <cellStyle name="Normal 4 3 4 7 2 3 2" xfId="20891" xr:uid="{00000000-0005-0000-0000-0000302E0000}"/>
    <cellStyle name="Normal 4 3 4 7 2 3 2 2" xfId="45467" xr:uid="{00000000-0005-0000-0000-0000312E0000}"/>
    <cellStyle name="Normal 4 3 4 7 2 3 3" xfId="33179" xr:uid="{00000000-0005-0000-0000-0000322E0000}"/>
    <cellStyle name="Normal 4 3 4 7 2 4" xfId="14747" xr:uid="{00000000-0005-0000-0000-0000332E0000}"/>
    <cellStyle name="Normal 4 3 4 7 2 4 2" xfId="39323" xr:uid="{00000000-0005-0000-0000-0000342E0000}"/>
    <cellStyle name="Normal 4 3 4 7 2 5" xfId="27035" xr:uid="{00000000-0005-0000-0000-0000352E0000}"/>
    <cellStyle name="Normal 4 3 4 7 3" xfId="3995" xr:uid="{00000000-0005-0000-0000-0000362E0000}"/>
    <cellStyle name="Normal 4 3 4 7 3 2" xfId="10139" xr:uid="{00000000-0005-0000-0000-0000372E0000}"/>
    <cellStyle name="Normal 4 3 4 7 3 2 2" xfId="22427" xr:uid="{00000000-0005-0000-0000-0000382E0000}"/>
    <cellStyle name="Normal 4 3 4 7 3 2 2 2" xfId="47003" xr:uid="{00000000-0005-0000-0000-0000392E0000}"/>
    <cellStyle name="Normal 4 3 4 7 3 2 3" xfId="34715" xr:uid="{00000000-0005-0000-0000-00003A2E0000}"/>
    <cellStyle name="Normal 4 3 4 7 3 3" xfId="16283" xr:uid="{00000000-0005-0000-0000-00003B2E0000}"/>
    <cellStyle name="Normal 4 3 4 7 3 3 2" xfId="40859" xr:uid="{00000000-0005-0000-0000-00003C2E0000}"/>
    <cellStyle name="Normal 4 3 4 7 3 4" xfId="28571" xr:uid="{00000000-0005-0000-0000-00003D2E0000}"/>
    <cellStyle name="Normal 4 3 4 7 4" xfId="7067" xr:uid="{00000000-0005-0000-0000-00003E2E0000}"/>
    <cellStyle name="Normal 4 3 4 7 4 2" xfId="19355" xr:uid="{00000000-0005-0000-0000-00003F2E0000}"/>
    <cellStyle name="Normal 4 3 4 7 4 2 2" xfId="43931" xr:uid="{00000000-0005-0000-0000-0000402E0000}"/>
    <cellStyle name="Normal 4 3 4 7 4 3" xfId="31643" xr:uid="{00000000-0005-0000-0000-0000412E0000}"/>
    <cellStyle name="Normal 4 3 4 7 5" xfId="13211" xr:uid="{00000000-0005-0000-0000-0000422E0000}"/>
    <cellStyle name="Normal 4 3 4 7 5 2" xfId="37787" xr:uid="{00000000-0005-0000-0000-0000432E0000}"/>
    <cellStyle name="Normal 4 3 4 7 6" xfId="25499" xr:uid="{00000000-0005-0000-0000-0000442E0000}"/>
    <cellStyle name="Normal 4 3 4 8" xfId="1687" xr:uid="{00000000-0005-0000-0000-0000452E0000}"/>
    <cellStyle name="Normal 4 3 4 8 2" xfId="4763" xr:uid="{00000000-0005-0000-0000-0000462E0000}"/>
    <cellStyle name="Normal 4 3 4 8 2 2" xfId="10907" xr:uid="{00000000-0005-0000-0000-0000472E0000}"/>
    <cellStyle name="Normal 4 3 4 8 2 2 2" xfId="23195" xr:uid="{00000000-0005-0000-0000-0000482E0000}"/>
    <cellStyle name="Normal 4 3 4 8 2 2 2 2" xfId="47771" xr:uid="{00000000-0005-0000-0000-0000492E0000}"/>
    <cellStyle name="Normal 4 3 4 8 2 2 3" xfId="35483" xr:uid="{00000000-0005-0000-0000-00004A2E0000}"/>
    <cellStyle name="Normal 4 3 4 8 2 3" xfId="17051" xr:uid="{00000000-0005-0000-0000-00004B2E0000}"/>
    <cellStyle name="Normal 4 3 4 8 2 3 2" xfId="41627" xr:uid="{00000000-0005-0000-0000-00004C2E0000}"/>
    <cellStyle name="Normal 4 3 4 8 2 4" xfId="29339" xr:uid="{00000000-0005-0000-0000-00004D2E0000}"/>
    <cellStyle name="Normal 4 3 4 8 3" xfId="7835" xr:uid="{00000000-0005-0000-0000-00004E2E0000}"/>
    <cellStyle name="Normal 4 3 4 8 3 2" xfId="20123" xr:uid="{00000000-0005-0000-0000-00004F2E0000}"/>
    <cellStyle name="Normal 4 3 4 8 3 2 2" xfId="44699" xr:uid="{00000000-0005-0000-0000-0000502E0000}"/>
    <cellStyle name="Normal 4 3 4 8 3 3" xfId="32411" xr:uid="{00000000-0005-0000-0000-0000512E0000}"/>
    <cellStyle name="Normal 4 3 4 8 4" xfId="13979" xr:uid="{00000000-0005-0000-0000-0000522E0000}"/>
    <cellStyle name="Normal 4 3 4 8 4 2" xfId="38555" xr:uid="{00000000-0005-0000-0000-0000532E0000}"/>
    <cellStyle name="Normal 4 3 4 8 5" xfId="26267" xr:uid="{00000000-0005-0000-0000-0000542E0000}"/>
    <cellStyle name="Normal 4 3 4 9" xfId="3227" xr:uid="{00000000-0005-0000-0000-0000552E0000}"/>
    <cellStyle name="Normal 4 3 4 9 2" xfId="9371" xr:uid="{00000000-0005-0000-0000-0000562E0000}"/>
    <cellStyle name="Normal 4 3 4 9 2 2" xfId="21659" xr:uid="{00000000-0005-0000-0000-0000572E0000}"/>
    <cellStyle name="Normal 4 3 4 9 2 2 2" xfId="46235" xr:uid="{00000000-0005-0000-0000-0000582E0000}"/>
    <cellStyle name="Normal 4 3 4 9 2 3" xfId="33947" xr:uid="{00000000-0005-0000-0000-0000592E0000}"/>
    <cellStyle name="Normal 4 3 4 9 3" xfId="15515" xr:uid="{00000000-0005-0000-0000-00005A2E0000}"/>
    <cellStyle name="Normal 4 3 4 9 3 2" xfId="40091" xr:uid="{00000000-0005-0000-0000-00005B2E0000}"/>
    <cellStyle name="Normal 4 3 4 9 4" xfId="27803" xr:uid="{00000000-0005-0000-0000-00005C2E0000}"/>
    <cellStyle name="Normal 4 3 5" xfId="166" xr:uid="{00000000-0005-0000-0000-00005D2E0000}"/>
    <cellStyle name="Normal 4 3 5 10" xfId="12459" xr:uid="{00000000-0005-0000-0000-00005E2E0000}"/>
    <cellStyle name="Normal 4 3 5 10 2" xfId="37035" xr:uid="{00000000-0005-0000-0000-00005F2E0000}"/>
    <cellStyle name="Normal 4 3 5 11" xfId="24747" xr:uid="{00000000-0005-0000-0000-0000602E0000}"/>
    <cellStyle name="Normal 4 3 5 2" xfId="231" xr:uid="{00000000-0005-0000-0000-0000612E0000}"/>
    <cellStyle name="Normal 4 3 5 2 2" xfId="423" xr:uid="{00000000-0005-0000-0000-0000622E0000}"/>
    <cellStyle name="Normal 4 3 5 2 2 2" xfId="807" xr:uid="{00000000-0005-0000-0000-0000632E0000}"/>
    <cellStyle name="Normal 4 3 5 2 2 2 2" xfId="1575" xr:uid="{00000000-0005-0000-0000-0000642E0000}"/>
    <cellStyle name="Normal 4 3 5 2 2 2 2 2" xfId="3111" xr:uid="{00000000-0005-0000-0000-0000652E0000}"/>
    <cellStyle name="Normal 4 3 5 2 2 2 2 2 2" xfId="6187" xr:uid="{00000000-0005-0000-0000-0000662E0000}"/>
    <cellStyle name="Normal 4 3 5 2 2 2 2 2 2 2" xfId="12331" xr:uid="{00000000-0005-0000-0000-0000672E0000}"/>
    <cellStyle name="Normal 4 3 5 2 2 2 2 2 2 2 2" xfId="24619" xr:uid="{00000000-0005-0000-0000-0000682E0000}"/>
    <cellStyle name="Normal 4 3 5 2 2 2 2 2 2 2 2 2" xfId="49195" xr:uid="{00000000-0005-0000-0000-0000692E0000}"/>
    <cellStyle name="Normal 4 3 5 2 2 2 2 2 2 2 3" xfId="36907" xr:uid="{00000000-0005-0000-0000-00006A2E0000}"/>
    <cellStyle name="Normal 4 3 5 2 2 2 2 2 2 3" xfId="18475" xr:uid="{00000000-0005-0000-0000-00006B2E0000}"/>
    <cellStyle name="Normal 4 3 5 2 2 2 2 2 2 3 2" xfId="43051" xr:uid="{00000000-0005-0000-0000-00006C2E0000}"/>
    <cellStyle name="Normal 4 3 5 2 2 2 2 2 2 4" xfId="30763" xr:uid="{00000000-0005-0000-0000-00006D2E0000}"/>
    <cellStyle name="Normal 4 3 5 2 2 2 2 2 3" xfId="9259" xr:uid="{00000000-0005-0000-0000-00006E2E0000}"/>
    <cellStyle name="Normal 4 3 5 2 2 2 2 2 3 2" xfId="21547" xr:uid="{00000000-0005-0000-0000-00006F2E0000}"/>
    <cellStyle name="Normal 4 3 5 2 2 2 2 2 3 2 2" xfId="46123" xr:uid="{00000000-0005-0000-0000-0000702E0000}"/>
    <cellStyle name="Normal 4 3 5 2 2 2 2 2 3 3" xfId="33835" xr:uid="{00000000-0005-0000-0000-0000712E0000}"/>
    <cellStyle name="Normal 4 3 5 2 2 2 2 2 4" xfId="15403" xr:uid="{00000000-0005-0000-0000-0000722E0000}"/>
    <cellStyle name="Normal 4 3 5 2 2 2 2 2 4 2" xfId="39979" xr:uid="{00000000-0005-0000-0000-0000732E0000}"/>
    <cellStyle name="Normal 4 3 5 2 2 2 2 2 5" xfId="27691" xr:uid="{00000000-0005-0000-0000-0000742E0000}"/>
    <cellStyle name="Normal 4 3 5 2 2 2 2 3" xfId="4651" xr:uid="{00000000-0005-0000-0000-0000752E0000}"/>
    <cellStyle name="Normal 4 3 5 2 2 2 2 3 2" xfId="10795" xr:uid="{00000000-0005-0000-0000-0000762E0000}"/>
    <cellStyle name="Normal 4 3 5 2 2 2 2 3 2 2" xfId="23083" xr:uid="{00000000-0005-0000-0000-0000772E0000}"/>
    <cellStyle name="Normal 4 3 5 2 2 2 2 3 2 2 2" xfId="47659" xr:uid="{00000000-0005-0000-0000-0000782E0000}"/>
    <cellStyle name="Normal 4 3 5 2 2 2 2 3 2 3" xfId="35371" xr:uid="{00000000-0005-0000-0000-0000792E0000}"/>
    <cellStyle name="Normal 4 3 5 2 2 2 2 3 3" xfId="16939" xr:uid="{00000000-0005-0000-0000-00007A2E0000}"/>
    <cellStyle name="Normal 4 3 5 2 2 2 2 3 3 2" xfId="41515" xr:uid="{00000000-0005-0000-0000-00007B2E0000}"/>
    <cellStyle name="Normal 4 3 5 2 2 2 2 3 4" xfId="29227" xr:uid="{00000000-0005-0000-0000-00007C2E0000}"/>
    <cellStyle name="Normal 4 3 5 2 2 2 2 4" xfId="7723" xr:uid="{00000000-0005-0000-0000-00007D2E0000}"/>
    <cellStyle name="Normal 4 3 5 2 2 2 2 4 2" xfId="20011" xr:uid="{00000000-0005-0000-0000-00007E2E0000}"/>
    <cellStyle name="Normal 4 3 5 2 2 2 2 4 2 2" xfId="44587" xr:uid="{00000000-0005-0000-0000-00007F2E0000}"/>
    <cellStyle name="Normal 4 3 5 2 2 2 2 4 3" xfId="32299" xr:uid="{00000000-0005-0000-0000-0000802E0000}"/>
    <cellStyle name="Normal 4 3 5 2 2 2 2 5" xfId="13867" xr:uid="{00000000-0005-0000-0000-0000812E0000}"/>
    <cellStyle name="Normal 4 3 5 2 2 2 2 5 2" xfId="38443" xr:uid="{00000000-0005-0000-0000-0000822E0000}"/>
    <cellStyle name="Normal 4 3 5 2 2 2 2 6" xfId="26155" xr:uid="{00000000-0005-0000-0000-0000832E0000}"/>
    <cellStyle name="Normal 4 3 5 2 2 2 3" xfId="2343" xr:uid="{00000000-0005-0000-0000-0000842E0000}"/>
    <cellStyle name="Normal 4 3 5 2 2 2 3 2" xfId="5419" xr:uid="{00000000-0005-0000-0000-0000852E0000}"/>
    <cellStyle name="Normal 4 3 5 2 2 2 3 2 2" xfId="11563" xr:uid="{00000000-0005-0000-0000-0000862E0000}"/>
    <cellStyle name="Normal 4 3 5 2 2 2 3 2 2 2" xfId="23851" xr:uid="{00000000-0005-0000-0000-0000872E0000}"/>
    <cellStyle name="Normal 4 3 5 2 2 2 3 2 2 2 2" xfId="48427" xr:uid="{00000000-0005-0000-0000-0000882E0000}"/>
    <cellStyle name="Normal 4 3 5 2 2 2 3 2 2 3" xfId="36139" xr:uid="{00000000-0005-0000-0000-0000892E0000}"/>
    <cellStyle name="Normal 4 3 5 2 2 2 3 2 3" xfId="17707" xr:uid="{00000000-0005-0000-0000-00008A2E0000}"/>
    <cellStyle name="Normal 4 3 5 2 2 2 3 2 3 2" xfId="42283" xr:uid="{00000000-0005-0000-0000-00008B2E0000}"/>
    <cellStyle name="Normal 4 3 5 2 2 2 3 2 4" xfId="29995" xr:uid="{00000000-0005-0000-0000-00008C2E0000}"/>
    <cellStyle name="Normal 4 3 5 2 2 2 3 3" xfId="8491" xr:uid="{00000000-0005-0000-0000-00008D2E0000}"/>
    <cellStyle name="Normal 4 3 5 2 2 2 3 3 2" xfId="20779" xr:uid="{00000000-0005-0000-0000-00008E2E0000}"/>
    <cellStyle name="Normal 4 3 5 2 2 2 3 3 2 2" xfId="45355" xr:uid="{00000000-0005-0000-0000-00008F2E0000}"/>
    <cellStyle name="Normal 4 3 5 2 2 2 3 3 3" xfId="33067" xr:uid="{00000000-0005-0000-0000-0000902E0000}"/>
    <cellStyle name="Normal 4 3 5 2 2 2 3 4" xfId="14635" xr:uid="{00000000-0005-0000-0000-0000912E0000}"/>
    <cellStyle name="Normal 4 3 5 2 2 2 3 4 2" xfId="39211" xr:uid="{00000000-0005-0000-0000-0000922E0000}"/>
    <cellStyle name="Normal 4 3 5 2 2 2 3 5" xfId="26923" xr:uid="{00000000-0005-0000-0000-0000932E0000}"/>
    <cellStyle name="Normal 4 3 5 2 2 2 4" xfId="3883" xr:uid="{00000000-0005-0000-0000-0000942E0000}"/>
    <cellStyle name="Normal 4 3 5 2 2 2 4 2" xfId="10027" xr:uid="{00000000-0005-0000-0000-0000952E0000}"/>
    <cellStyle name="Normal 4 3 5 2 2 2 4 2 2" xfId="22315" xr:uid="{00000000-0005-0000-0000-0000962E0000}"/>
    <cellStyle name="Normal 4 3 5 2 2 2 4 2 2 2" xfId="46891" xr:uid="{00000000-0005-0000-0000-0000972E0000}"/>
    <cellStyle name="Normal 4 3 5 2 2 2 4 2 3" xfId="34603" xr:uid="{00000000-0005-0000-0000-0000982E0000}"/>
    <cellStyle name="Normal 4 3 5 2 2 2 4 3" xfId="16171" xr:uid="{00000000-0005-0000-0000-0000992E0000}"/>
    <cellStyle name="Normal 4 3 5 2 2 2 4 3 2" xfId="40747" xr:uid="{00000000-0005-0000-0000-00009A2E0000}"/>
    <cellStyle name="Normal 4 3 5 2 2 2 4 4" xfId="28459" xr:uid="{00000000-0005-0000-0000-00009B2E0000}"/>
    <cellStyle name="Normal 4 3 5 2 2 2 5" xfId="6955" xr:uid="{00000000-0005-0000-0000-00009C2E0000}"/>
    <cellStyle name="Normal 4 3 5 2 2 2 5 2" xfId="19243" xr:uid="{00000000-0005-0000-0000-00009D2E0000}"/>
    <cellStyle name="Normal 4 3 5 2 2 2 5 2 2" xfId="43819" xr:uid="{00000000-0005-0000-0000-00009E2E0000}"/>
    <cellStyle name="Normal 4 3 5 2 2 2 5 3" xfId="31531" xr:uid="{00000000-0005-0000-0000-00009F2E0000}"/>
    <cellStyle name="Normal 4 3 5 2 2 2 6" xfId="13099" xr:uid="{00000000-0005-0000-0000-0000A02E0000}"/>
    <cellStyle name="Normal 4 3 5 2 2 2 6 2" xfId="37675" xr:uid="{00000000-0005-0000-0000-0000A12E0000}"/>
    <cellStyle name="Normal 4 3 5 2 2 2 7" xfId="25387" xr:uid="{00000000-0005-0000-0000-0000A22E0000}"/>
    <cellStyle name="Normal 4 3 5 2 2 3" xfId="1191" xr:uid="{00000000-0005-0000-0000-0000A32E0000}"/>
    <cellStyle name="Normal 4 3 5 2 2 3 2" xfId="2727" xr:uid="{00000000-0005-0000-0000-0000A42E0000}"/>
    <cellStyle name="Normal 4 3 5 2 2 3 2 2" xfId="5803" xr:uid="{00000000-0005-0000-0000-0000A52E0000}"/>
    <cellStyle name="Normal 4 3 5 2 2 3 2 2 2" xfId="11947" xr:uid="{00000000-0005-0000-0000-0000A62E0000}"/>
    <cellStyle name="Normal 4 3 5 2 2 3 2 2 2 2" xfId="24235" xr:uid="{00000000-0005-0000-0000-0000A72E0000}"/>
    <cellStyle name="Normal 4 3 5 2 2 3 2 2 2 2 2" xfId="48811" xr:uid="{00000000-0005-0000-0000-0000A82E0000}"/>
    <cellStyle name="Normal 4 3 5 2 2 3 2 2 2 3" xfId="36523" xr:uid="{00000000-0005-0000-0000-0000A92E0000}"/>
    <cellStyle name="Normal 4 3 5 2 2 3 2 2 3" xfId="18091" xr:uid="{00000000-0005-0000-0000-0000AA2E0000}"/>
    <cellStyle name="Normal 4 3 5 2 2 3 2 2 3 2" xfId="42667" xr:uid="{00000000-0005-0000-0000-0000AB2E0000}"/>
    <cellStyle name="Normal 4 3 5 2 2 3 2 2 4" xfId="30379" xr:uid="{00000000-0005-0000-0000-0000AC2E0000}"/>
    <cellStyle name="Normal 4 3 5 2 2 3 2 3" xfId="8875" xr:uid="{00000000-0005-0000-0000-0000AD2E0000}"/>
    <cellStyle name="Normal 4 3 5 2 2 3 2 3 2" xfId="21163" xr:uid="{00000000-0005-0000-0000-0000AE2E0000}"/>
    <cellStyle name="Normal 4 3 5 2 2 3 2 3 2 2" xfId="45739" xr:uid="{00000000-0005-0000-0000-0000AF2E0000}"/>
    <cellStyle name="Normal 4 3 5 2 2 3 2 3 3" xfId="33451" xr:uid="{00000000-0005-0000-0000-0000B02E0000}"/>
    <cellStyle name="Normal 4 3 5 2 2 3 2 4" xfId="15019" xr:uid="{00000000-0005-0000-0000-0000B12E0000}"/>
    <cellStyle name="Normal 4 3 5 2 2 3 2 4 2" xfId="39595" xr:uid="{00000000-0005-0000-0000-0000B22E0000}"/>
    <cellStyle name="Normal 4 3 5 2 2 3 2 5" xfId="27307" xr:uid="{00000000-0005-0000-0000-0000B32E0000}"/>
    <cellStyle name="Normal 4 3 5 2 2 3 3" xfId="4267" xr:uid="{00000000-0005-0000-0000-0000B42E0000}"/>
    <cellStyle name="Normal 4 3 5 2 2 3 3 2" xfId="10411" xr:uid="{00000000-0005-0000-0000-0000B52E0000}"/>
    <cellStyle name="Normal 4 3 5 2 2 3 3 2 2" xfId="22699" xr:uid="{00000000-0005-0000-0000-0000B62E0000}"/>
    <cellStyle name="Normal 4 3 5 2 2 3 3 2 2 2" xfId="47275" xr:uid="{00000000-0005-0000-0000-0000B72E0000}"/>
    <cellStyle name="Normal 4 3 5 2 2 3 3 2 3" xfId="34987" xr:uid="{00000000-0005-0000-0000-0000B82E0000}"/>
    <cellStyle name="Normal 4 3 5 2 2 3 3 3" xfId="16555" xr:uid="{00000000-0005-0000-0000-0000B92E0000}"/>
    <cellStyle name="Normal 4 3 5 2 2 3 3 3 2" xfId="41131" xr:uid="{00000000-0005-0000-0000-0000BA2E0000}"/>
    <cellStyle name="Normal 4 3 5 2 2 3 3 4" xfId="28843" xr:uid="{00000000-0005-0000-0000-0000BB2E0000}"/>
    <cellStyle name="Normal 4 3 5 2 2 3 4" xfId="7339" xr:uid="{00000000-0005-0000-0000-0000BC2E0000}"/>
    <cellStyle name="Normal 4 3 5 2 2 3 4 2" xfId="19627" xr:uid="{00000000-0005-0000-0000-0000BD2E0000}"/>
    <cellStyle name="Normal 4 3 5 2 2 3 4 2 2" xfId="44203" xr:uid="{00000000-0005-0000-0000-0000BE2E0000}"/>
    <cellStyle name="Normal 4 3 5 2 2 3 4 3" xfId="31915" xr:uid="{00000000-0005-0000-0000-0000BF2E0000}"/>
    <cellStyle name="Normal 4 3 5 2 2 3 5" xfId="13483" xr:uid="{00000000-0005-0000-0000-0000C02E0000}"/>
    <cellStyle name="Normal 4 3 5 2 2 3 5 2" xfId="38059" xr:uid="{00000000-0005-0000-0000-0000C12E0000}"/>
    <cellStyle name="Normal 4 3 5 2 2 3 6" xfId="25771" xr:uid="{00000000-0005-0000-0000-0000C22E0000}"/>
    <cellStyle name="Normal 4 3 5 2 2 4" xfId="1959" xr:uid="{00000000-0005-0000-0000-0000C32E0000}"/>
    <cellStyle name="Normal 4 3 5 2 2 4 2" xfId="5035" xr:uid="{00000000-0005-0000-0000-0000C42E0000}"/>
    <cellStyle name="Normal 4 3 5 2 2 4 2 2" xfId="11179" xr:uid="{00000000-0005-0000-0000-0000C52E0000}"/>
    <cellStyle name="Normal 4 3 5 2 2 4 2 2 2" xfId="23467" xr:uid="{00000000-0005-0000-0000-0000C62E0000}"/>
    <cellStyle name="Normal 4 3 5 2 2 4 2 2 2 2" xfId="48043" xr:uid="{00000000-0005-0000-0000-0000C72E0000}"/>
    <cellStyle name="Normal 4 3 5 2 2 4 2 2 3" xfId="35755" xr:uid="{00000000-0005-0000-0000-0000C82E0000}"/>
    <cellStyle name="Normal 4 3 5 2 2 4 2 3" xfId="17323" xr:uid="{00000000-0005-0000-0000-0000C92E0000}"/>
    <cellStyle name="Normal 4 3 5 2 2 4 2 3 2" xfId="41899" xr:uid="{00000000-0005-0000-0000-0000CA2E0000}"/>
    <cellStyle name="Normal 4 3 5 2 2 4 2 4" xfId="29611" xr:uid="{00000000-0005-0000-0000-0000CB2E0000}"/>
    <cellStyle name="Normal 4 3 5 2 2 4 3" xfId="8107" xr:uid="{00000000-0005-0000-0000-0000CC2E0000}"/>
    <cellStyle name="Normal 4 3 5 2 2 4 3 2" xfId="20395" xr:uid="{00000000-0005-0000-0000-0000CD2E0000}"/>
    <cellStyle name="Normal 4 3 5 2 2 4 3 2 2" xfId="44971" xr:uid="{00000000-0005-0000-0000-0000CE2E0000}"/>
    <cellStyle name="Normal 4 3 5 2 2 4 3 3" xfId="32683" xr:uid="{00000000-0005-0000-0000-0000CF2E0000}"/>
    <cellStyle name="Normal 4 3 5 2 2 4 4" xfId="14251" xr:uid="{00000000-0005-0000-0000-0000D02E0000}"/>
    <cellStyle name="Normal 4 3 5 2 2 4 4 2" xfId="38827" xr:uid="{00000000-0005-0000-0000-0000D12E0000}"/>
    <cellStyle name="Normal 4 3 5 2 2 4 5" xfId="26539" xr:uid="{00000000-0005-0000-0000-0000D22E0000}"/>
    <cellStyle name="Normal 4 3 5 2 2 5" xfId="3499" xr:uid="{00000000-0005-0000-0000-0000D32E0000}"/>
    <cellStyle name="Normal 4 3 5 2 2 5 2" xfId="9643" xr:uid="{00000000-0005-0000-0000-0000D42E0000}"/>
    <cellStyle name="Normal 4 3 5 2 2 5 2 2" xfId="21931" xr:uid="{00000000-0005-0000-0000-0000D52E0000}"/>
    <cellStyle name="Normal 4 3 5 2 2 5 2 2 2" xfId="46507" xr:uid="{00000000-0005-0000-0000-0000D62E0000}"/>
    <cellStyle name="Normal 4 3 5 2 2 5 2 3" xfId="34219" xr:uid="{00000000-0005-0000-0000-0000D72E0000}"/>
    <cellStyle name="Normal 4 3 5 2 2 5 3" xfId="15787" xr:uid="{00000000-0005-0000-0000-0000D82E0000}"/>
    <cellStyle name="Normal 4 3 5 2 2 5 3 2" xfId="40363" xr:uid="{00000000-0005-0000-0000-0000D92E0000}"/>
    <cellStyle name="Normal 4 3 5 2 2 5 4" xfId="28075" xr:uid="{00000000-0005-0000-0000-0000DA2E0000}"/>
    <cellStyle name="Normal 4 3 5 2 2 6" xfId="6571" xr:uid="{00000000-0005-0000-0000-0000DB2E0000}"/>
    <cellStyle name="Normal 4 3 5 2 2 6 2" xfId="18859" xr:uid="{00000000-0005-0000-0000-0000DC2E0000}"/>
    <cellStyle name="Normal 4 3 5 2 2 6 2 2" xfId="43435" xr:uid="{00000000-0005-0000-0000-0000DD2E0000}"/>
    <cellStyle name="Normal 4 3 5 2 2 6 3" xfId="31147" xr:uid="{00000000-0005-0000-0000-0000DE2E0000}"/>
    <cellStyle name="Normal 4 3 5 2 2 7" xfId="12715" xr:uid="{00000000-0005-0000-0000-0000DF2E0000}"/>
    <cellStyle name="Normal 4 3 5 2 2 7 2" xfId="37291" xr:uid="{00000000-0005-0000-0000-0000E02E0000}"/>
    <cellStyle name="Normal 4 3 5 2 2 8" xfId="25003" xr:uid="{00000000-0005-0000-0000-0000E12E0000}"/>
    <cellStyle name="Normal 4 3 5 2 3" xfId="615" xr:uid="{00000000-0005-0000-0000-0000E22E0000}"/>
    <cellStyle name="Normal 4 3 5 2 3 2" xfId="1383" xr:uid="{00000000-0005-0000-0000-0000E32E0000}"/>
    <cellStyle name="Normal 4 3 5 2 3 2 2" xfId="2919" xr:uid="{00000000-0005-0000-0000-0000E42E0000}"/>
    <cellStyle name="Normal 4 3 5 2 3 2 2 2" xfId="5995" xr:uid="{00000000-0005-0000-0000-0000E52E0000}"/>
    <cellStyle name="Normal 4 3 5 2 3 2 2 2 2" xfId="12139" xr:uid="{00000000-0005-0000-0000-0000E62E0000}"/>
    <cellStyle name="Normal 4 3 5 2 3 2 2 2 2 2" xfId="24427" xr:uid="{00000000-0005-0000-0000-0000E72E0000}"/>
    <cellStyle name="Normal 4 3 5 2 3 2 2 2 2 2 2" xfId="49003" xr:uid="{00000000-0005-0000-0000-0000E82E0000}"/>
    <cellStyle name="Normal 4 3 5 2 3 2 2 2 2 3" xfId="36715" xr:uid="{00000000-0005-0000-0000-0000E92E0000}"/>
    <cellStyle name="Normal 4 3 5 2 3 2 2 2 3" xfId="18283" xr:uid="{00000000-0005-0000-0000-0000EA2E0000}"/>
    <cellStyle name="Normal 4 3 5 2 3 2 2 2 3 2" xfId="42859" xr:uid="{00000000-0005-0000-0000-0000EB2E0000}"/>
    <cellStyle name="Normal 4 3 5 2 3 2 2 2 4" xfId="30571" xr:uid="{00000000-0005-0000-0000-0000EC2E0000}"/>
    <cellStyle name="Normal 4 3 5 2 3 2 2 3" xfId="9067" xr:uid="{00000000-0005-0000-0000-0000ED2E0000}"/>
    <cellStyle name="Normal 4 3 5 2 3 2 2 3 2" xfId="21355" xr:uid="{00000000-0005-0000-0000-0000EE2E0000}"/>
    <cellStyle name="Normal 4 3 5 2 3 2 2 3 2 2" xfId="45931" xr:uid="{00000000-0005-0000-0000-0000EF2E0000}"/>
    <cellStyle name="Normal 4 3 5 2 3 2 2 3 3" xfId="33643" xr:uid="{00000000-0005-0000-0000-0000F02E0000}"/>
    <cellStyle name="Normal 4 3 5 2 3 2 2 4" xfId="15211" xr:uid="{00000000-0005-0000-0000-0000F12E0000}"/>
    <cellStyle name="Normal 4 3 5 2 3 2 2 4 2" xfId="39787" xr:uid="{00000000-0005-0000-0000-0000F22E0000}"/>
    <cellStyle name="Normal 4 3 5 2 3 2 2 5" xfId="27499" xr:uid="{00000000-0005-0000-0000-0000F32E0000}"/>
    <cellStyle name="Normal 4 3 5 2 3 2 3" xfId="4459" xr:uid="{00000000-0005-0000-0000-0000F42E0000}"/>
    <cellStyle name="Normal 4 3 5 2 3 2 3 2" xfId="10603" xr:uid="{00000000-0005-0000-0000-0000F52E0000}"/>
    <cellStyle name="Normal 4 3 5 2 3 2 3 2 2" xfId="22891" xr:uid="{00000000-0005-0000-0000-0000F62E0000}"/>
    <cellStyle name="Normal 4 3 5 2 3 2 3 2 2 2" xfId="47467" xr:uid="{00000000-0005-0000-0000-0000F72E0000}"/>
    <cellStyle name="Normal 4 3 5 2 3 2 3 2 3" xfId="35179" xr:uid="{00000000-0005-0000-0000-0000F82E0000}"/>
    <cellStyle name="Normal 4 3 5 2 3 2 3 3" xfId="16747" xr:uid="{00000000-0005-0000-0000-0000F92E0000}"/>
    <cellStyle name="Normal 4 3 5 2 3 2 3 3 2" xfId="41323" xr:uid="{00000000-0005-0000-0000-0000FA2E0000}"/>
    <cellStyle name="Normal 4 3 5 2 3 2 3 4" xfId="29035" xr:uid="{00000000-0005-0000-0000-0000FB2E0000}"/>
    <cellStyle name="Normal 4 3 5 2 3 2 4" xfId="7531" xr:uid="{00000000-0005-0000-0000-0000FC2E0000}"/>
    <cellStyle name="Normal 4 3 5 2 3 2 4 2" xfId="19819" xr:uid="{00000000-0005-0000-0000-0000FD2E0000}"/>
    <cellStyle name="Normal 4 3 5 2 3 2 4 2 2" xfId="44395" xr:uid="{00000000-0005-0000-0000-0000FE2E0000}"/>
    <cellStyle name="Normal 4 3 5 2 3 2 4 3" xfId="32107" xr:uid="{00000000-0005-0000-0000-0000FF2E0000}"/>
    <cellStyle name="Normal 4 3 5 2 3 2 5" xfId="13675" xr:uid="{00000000-0005-0000-0000-0000002F0000}"/>
    <cellStyle name="Normal 4 3 5 2 3 2 5 2" xfId="38251" xr:uid="{00000000-0005-0000-0000-0000012F0000}"/>
    <cellStyle name="Normal 4 3 5 2 3 2 6" xfId="25963" xr:uid="{00000000-0005-0000-0000-0000022F0000}"/>
    <cellStyle name="Normal 4 3 5 2 3 3" xfId="2151" xr:uid="{00000000-0005-0000-0000-0000032F0000}"/>
    <cellStyle name="Normal 4 3 5 2 3 3 2" xfId="5227" xr:uid="{00000000-0005-0000-0000-0000042F0000}"/>
    <cellStyle name="Normal 4 3 5 2 3 3 2 2" xfId="11371" xr:uid="{00000000-0005-0000-0000-0000052F0000}"/>
    <cellStyle name="Normal 4 3 5 2 3 3 2 2 2" xfId="23659" xr:uid="{00000000-0005-0000-0000-0000062F0000}"/>
    <cellStyle name="Normal 4 3 5 2 3 3 2 2 2 2" xfId="48235" xr:uid="{00000000-0005-0000-0000-0000072F0000}"/>
    <cellStyle name="Normal 4 3 5 2 3 3 2 2 3" xfId="35947" xr:uid="{00000000-0005-0000-0000-0000082F0000}"/>
    <cellStyle name="Normal 4 3 5 2 3 3 2 3" xfId="17515" xr:uid="{00000000-0005-0000-0000-0000092F0000}"/>
    <cellStyle name="Normal 4 3 5 2 3 3 2 3 2" xfId="42091" xr:uid="{00000000-0005-0000-0000-00000A2F0000}"/>
    <cellStyle name="Normal 4 3 5 2 3 3 2 4" xfId="29803" xr:uid="{00000000-0005-0000-0000-00000B2F0000}"/>
    <cellStyle name="Normal 4 3 5 2 3 3 3" xfId="8299" xr:uid="{00000000-0005-0000-0000-00000C2F0000}"/>
    <cellStyle name="Normal 4 3 5 2 3 3 3 2" xfId="20587" xr:uid="{00000000-0005-0000-0000-00000D2F0000}"/>
    <cellStyle name="Normal 4 3 5 2 3 3 3 2 2" xfId="45163" xr:uid="{00000000-0005-0000-0000-00000E2F0000}"/>
    <cellStyle name="Normal 4 3 5 2 3 3 3 3" xfId="32875" xr:uid="{00000000-0005-0000-0000-00000F2F0000}"/>
    <cellStyle name="Normal 4 3 5 2 3 3 4" xfId="14443" xr:uid="{00000000-0005-0000-0000-0000102F0000}"/>
    <cellStyle name="Normal 4 3 5 2 3 3 4 2" xfId="39019" xr:uid="{00000000-0005-0000-0000-0000112F0000}"/>
    <cellStyle name="Normal 4 3 5 2 3 3 5" xfId="26731" xr:uid="{00000000-0005-0000-0000-0000122F0000}"/>
    <cellStyle name="Normal 4 3 5 2 3 4" xfId="3691" xr:uid="{00000000-0005-0000-0000-0000132F0000}"/>
    <cellStyle name="Normal 4 3 5 2 3 4 2" xfId="9835" xr:uid="{00000000-0005-0000-0000-0000142F0000}"/>
    <cellStyle name="Normal 4 3 5 2 3 4 2 2" xfId="22123" xr:uid="{00000000-0005-0000-0000-0000152F0000}"/>
    <cellStyle name="Normal 4 3 5 2 3 4 2 2 2" xfId="46699" xr:uid="{00000000-0005-0000-0000-0000162F0000}"/>
    <cellStyle name="Normal 4 3 5 2 3 4 2 3" xfId="34411" xr:uid="{00000000-0005-0000-0000-0000172F0000}"/>
    <cellStyle name="Normal 4 3 5 2 3 4 3" xfId="15979" xr:uid="{00000000-0005-0000-0000-0000182F0000}"/>
    <cellStyle name="Normal 4 3 5 2 3 4 3 2" xfId="40555" xr:uid="{00000000-0005-0000-0000-0000192F0000}"/>
    <cellStyle name="Normal 4 3 5 2 3 4 4" xfId="28267" xr:uid="{00000000-0005-0000-0000-00001A2F0000}"/>
    <cellStyle name="Normal 4 3 5 2 3 5" xfId="6763" xr:uid="{00000000-0005-0000-0000-00001B2F0000}"/>
    <cellStyle name="Normal 4 3 5 2 3 5 2" xfId="19051" xr:uid="{00000000-0005-0000-0000-00001C2F0000}"/>
    <cellStyle name="Normal 4 3 5 2 3 5 2 2" xfId="43627" xr:uid="{00000000-0005-0000-0000-00001D2F0000}"/>
    <cellStyle name="Normal 4 3 5 2 3 5 3" xfId="31339" xr:uid="{00000000-0005-0000-0000-00001E2F0000}"/>
    <cellStyle name="Normal 4 3 5 2 3 6" xfId="12907" xr:uid="{00000000-0005-0000-0000-00001F2F0000}"/>
    <cellStyle name="Normal 4 3 5 2 3 6 2" xfId="37483" xr:uid="{00000000-0005-0000-0000-0000202F0000}"/>
    <cellStyle name="Normal 4 3 5 2 3 7" xfId="25195" xr:uid="{00000000-0005-0000-0000-0000212F0000}"/>
    <cellStyle name="Normal 4 3 5 2 4" xfId="999" xr:uid="{00000000-0005-0000-0000-0000222F0000}"/>
    <cellStyle name="Normal 4 3 5 2 4 2" xfId="2535" xr:uid="{00000000-0005-0000-0000-0000232F0000}"/>
    <cellStyle name="Normal 4 3 5 2 4 2 2" xfId="5611" xr:uid="{00000000-0005-0000-0000-0000242F0000}"/>
    <cellStyle name="Normal 4 3 5 2 4 2 2 2" xfId="11755" xr:uid="{00000000-0005-0000-0000-0000252F0000}"/>
    <cellStyle name="Normal 4 3 5 2 4 2 2 2 2" xfId="24043" xr:uid="{00000000-0005-0000-0000-0000262F0000}"/>
    <cellStyle name="Normal 4 3 5 2 4 2 2 2 2 2" xfId="48619" xr:uid="{00000000-0005-0000-0000-0000272F0000}"/>
    <cellStyle name="Normal 4 3 5 2 4 2 2 2 3" xfId="36331" xr:uid="{00000000-0005-0000-0000-0000282F0000}"/>
    <cellStyle name="Normal 4 3 5 2 4 2 2 3" xfId="17899" xr:uid="{00000000-0005-0000-0000-0000292F0000}"/>
    <cellStyle name="Normal 4 3 5 2 4 2 2 3 2" xfId="42475" xr:uid="{00000000-0005-0000-0000-00002A2F0000}"/>
    <cellStyle name="Normal 4 3 5 2 4 2 2 4" xfId="30187" xr:uid="{00000000-0005-0000-0000-00002B2F0000}"/>
    <cellStyle name="Normal 4 3 5 2 4 2 3" xfId="8683" xr:uid="{00000000-0005-0000-0000-00002C2F0000}"/>
    <cellStyle name="Normal 4 3 5 2 4 2 3 2" xfId="20971" xr:uid="{00000000-0005-0000-0000-00002D2F0000}"/>
    <cellStyle name="Normal 4 3 5 2 4 2 3 2 2" xfId="45547" xr:uid="{00000000-0005-0000-0000-00002E2F0000}"/>
    <cellStyle name="Normal 4 3 5 2 4 2 3 3" xfId="33259" xr:uid="{00000000-0005-0000-0000-00002F2F0000}"/>
    <cellStyle name="Normal 4 3 5 2 4 2 4" xfId="14827" xr:uid="{00000000-0005-0000-0000-0000302F0000}"/>
    <cellStyle name="Normal 4 3 5 2 4 2 4 2" xfId="39403" xr:uid="{00000000-0005-0000-0000-0000312F0000}"/>
    <cellStyle name="Normal 4 3 5 2 4 2 5" xfId="27115" xr:uid="{00000000-0005-0000-0000-0000322F0000}"/>
    <cellStyle name="Normal 4 3 5 2 4 3" xfId="4075" xr:uid="{00000000-0005-0000-0000-0000332F0000}"/>
    <cellStyle name="Normal 4 3 5 2 4 3 2" xfId="10219" xr:uid="{00000000-0005-0000-0000-0000342F0000}"/>
    <cellStyle name="Normal 4 3 5 2 4 3 2 2" xfId="22507" xr:uid="{00000000-0005-0000-0000-0000352F0000}"/>
    <cellStyle name="Normal 4 3 5 2 4 3 2 2 2" xfId="47083" xr:uid="{00000000-0005-0000-0000-0000362F0000}"/>
    <cellStyle name="Normal 4 3 5 2 4 3 2 3" xfId="34795" xr:uid="{00000000-0005-0000-0000-0000372F0000}"/>
    <cellStyle name="Normal 4 3 5 2 4 3 3" xfId="16363" xr:uid="{00000000-0005-0000-0000-0000382F0000}"/>
    <cellStyle name="Normal 4 3 5 2 4 3 3 2" xfId="40939" xr:uid="{00000000-0005-0000-0000-0000392F0000}"/>
    <cellStyle name="Normal 4 3 5 2 4 3 4" xfId="28651" xr:uid="{00000000-0005-0000-0000-00003A2F0000}"/>
    <cellStyle name="Normal 4 3 5 2 4 4" xfId="7147" xr:uid="{00000000-0005-0000-0000-00003B2F0000}"/>
    <cellStyle name="Normal 4 3 5 2 4 4 2" xfId="19435" xr:uid="{00000000-0005-0000-0000-00003C2F0000}"/>
    <cellStyle name="Normal 4 3 5 2 4 4 2 2" xfId="44011" xr:uid="{00000000-0005-0000-0000-00003D2F0000}"/>
    <cellStyle name="Normal 4 3 5 2 4 4 3" xfId="31723" xr:uid="{00000000-0005-0000-0000-00003E2F0000}"/>
    <cellStyle name="Normal 4 3 5 2 4 5" xfId="13291" xr:uid="{00000000-0005-0000-0000-00003F2F0000}"/>
    <cellStyle name="Normal 4 3 5 2 4 5 2" xfId="37867" xr:uid="{00000000-0005-0000-0000-0000402F0000}"/>
    <cellStyle name="Normal 4 3 5 2 4 6" xfId="25579" xr:uid="{00000000-0005-0000-0000-0000412F0000}"/>
    <cellStyle name="Normal 4 3 5 2 5" xfId="1767" xr:uid="{00000000-0005-0000-0000-0000422F0000}"/>
    <cellStyle name="Normal 4 3 5 2 5 2" xfId="4843" xr:uid="{00000000-0005-0000-0000-0000432F0000}"/>
    <cellStyle name="Normal 4 3 5 2 5 2 2" xfId="10987" xr:uid="{00000000-0005-0000-0000-0000442F0000}"/>
    <cellStyle name="Normal 4 3 5 2 5 2 2 2" xfId="23275" xr:uid="{00000000-0005-0000-0000-0000452F0000}"/>
    <cellStyle name="Normal 4 3 5 2 5 2 2 2 2" xfId="47851" xr:uid="{00000000-0005-0000-0000-0000462F0000}"/>
    <cellStyle name="Normal 4 3 5 2 5 2 2 3" xfId="35563" xr:uid="{00000000-0005-0000-0000-0000472F0000}"/>
    <cellStyle name="Normal 4 3 5 2 5 2 3" xfId="17131" xr:uid="{00000000-0005-0000-0000-0000482F0000}"/>
    <cellStyle name="Normal 4 3 5 2 5 2 3 2" xfId="41707" xr:uid="{00000000-0005-0000-0000-0000492F0000}"/>
    <cellStyle name="Normal 4 3 5 2 5 2 4" xfId="29419" xr:uid="{00000000-0005-0000-0000-00004A2F0000}"/>
    <cellStyle name="Normal 4 3 5 2 5 3" xfId="7915" xr:uid="{00000000-0005-0000-0000-00004B2F0000}"/>
    <cellStyle name="Normal 4 3 5 2 5 3 2" xfId="20203" xr:uid="{00000000-0005-0000-0000-00004C2F0000}"/>
    <cellStyle name="Normal 4 3 5 2 5 3 2 2" xfId="44779" xr:uid="{00000000-0005-0000-0000-00004D2F0000}"/>
    <cellStyle name="Normal 4 3 5 2 5 3 3" xfId="32491" xr:uid="{00000000-0005-0000-0000-00004E2F0000}"/>
    <cellStyle name="Normal 4 3 5 2 5 4" xfId="14059" xr:uid="{00000000-0005-0000-0000-00004F2F0000}"/>
    <cellStyle name="Normal 4 3 5 2 5 4 2" xfId="38635" xr:uid="{00000000-0005-0000-0000-0000502F0000}"/>
    <cellStyle name="Normal 4 3 5 2 5 5" xfId="26347" xr:uid="{00000000-0005-0000-0000-0000512F0000}"/>
    <cellStyle name="Normal 4 3 5 2 6" xfId="3307" xr:uid="{00000000-0005-0000-0000-0000522F0000}"/>
    <cellStyle name="Normal 4 3 5 2 6 2" xfId="9451" xr:uid="{00000000-0005-0000-0000-0000532F0000}"/>
    <cellStyle name="Normal 4 3 5 2 6 2 2" xfId="21739" xr:uid="{00000000-0005-0000-0000-0000542F0000}"/>
    <cellStyle name="Normal 4 3 5 2 6 2 2 2" xfId="46315" xr:uid="{00000000-0005-0000-0000-0000552F0000}"/>
    <cellStyle name="Normal 4 3 5 2 6 2 3" xfId="34027" xr:uid="{00000000-0005-0000-0000-0000562F0000}"/>
    <cellStyle name="Normal 4 3 5 2 6 3" xfId="15595" xr:uid="{00000000-0005-0000-0000-0000572F0000}"/>
    <cellStyle name="Normal 4 3 5 2 6 3 2" xfId="40171" xr:uid="{00000000-0005-0000-0000-0000582F0000}"/>
    <cellStyle name="Normal 4 3 5 2 6 4" xfId="27883" xr:uid="{00000000-0005-0000-0000-0000592F0000}"/>
    <cellStyle name="Normal 4 3 5 2 7" xfId="6379" xr:uid="{00000000-0005-0000-0000-00005A2F0000}"/>
    <cellStyle name="Normal 4 3 5 2 7 2" xfId="18667" xr:uid="{00000000-0005-0000-0000-00005B2F0000}"/>
    <cellStyle name="Normal 4 3 5 2 7 2 2" xfId="43243" xr:uid="{00000000-0005-0000-0000-00005C2F0000}"/>
    <cellStyle name="Normal 4 3 5 2 7 3" xfId="30955" xr:uid="{00000000-0005-0000-0000-00005D2F0000}"/>
    <cellStyle name="Normal 4 3 5 2 8" xfId="12523" xr:uid="{00000000-0005-0000-0000-00005E2F0000}"/>
    <cellStyle name="Normal 4 3 5 2 8 2" xfId="37099" xr:uid="{00000000-0005-0000-0000-00005F2F0000}"/>
    <cellStyle name="Normal 4 3 5 2 9" xfId="24811" xr:uid="{00000000-0005-0000-0000-0000602F0000}"/>
    <cellStyle name="Normal 4 3 5 3" xfId="295" xr:uid="{00000000-0005-0000-0000-0000612F0000}"/>
    <cellStyle name="Normal 4 3 5 3 2" xfId="487" xr:uid="{00000000-0005-0000-0000-0000622F0000}"/>
    <cellStyle name="Normal 4 3 5 3 2 2" xfId="871" xr:uid="{00000000-0005-0000-0000-0000632F0000}"/>
    <cellStyle name="Normal 4 3 5 3 2 2 2" xfId="1639" xr:uid="{00000000-0005-0000-0000-0000642F0000}"/>
    <cellStyle name="Normal 4 3 5 3 2 2 2 2" xfId="3175" xr:uid="{00000000-0005-0000-0000-0000652F0000}"/>
    <cellStyle name="Normal 4 3 5 3 2 2 2 2 2" xfId="6251" xr:uid="{00000000-0005-0000-0000-0000662F0000}"/>
    <cellStyle name="Normal 4 3 5 3 2 2 2 2 2 2" xfId="12395" xr:uid="{00000000-0005-0000-0000-0000672F0000}"/>
    <cellStyle name="Normal 4 3 5 3 2 2 2 2 2 2 2" xfId="24683" xr:uid="{00000000-0005-0000-0000-0000682F0000}"/>
    <cellStyle name="Normal 4 3 5 3 2 2 2 2 2 2 2 2" xfId="49259" xr:uid="{00000000-0005-0000-0000-0000692F0000}"/>
    <cellStyle name="Normal 4 3 5 3 2 2 2 2 2 2 3" xfId="36971" xr:uid="{00000000-0005-0000-0000-00006A2F0000}"/>
    <cellStyle name="Normal 4 3 5 3 2 2 2 2 2 3" xfId="18539" xr:uid="{00000000-0005-0000-0000-00006B2F0000}"/>
    <cellStyle name="Normal 4 3 5 3 2 2 2 2 2 3 2" xfId="43115" xr:uid="{00000000-0005-0000-0000-00006C2F0000}"/>
    <cellStyle name="Normal 4 3 5 3 2 2 2 2 2 4" xfId="30827" xr:uid="{00000000-0005-0000-0000-00006D2F0000}"/>
    <cellStyle name="Normal 4 3 5 3 2 2 2 2 3" xfId="9323" xr:uid="{00000000-0005-0000-0000-00006E2F0000}"/>
    <cellStyle name="Normal 4 3 5 3 2 2 2 2 3 2" xfId="21611" xr:uid="{00000000-0005-0000-0000-00006F2F0000}"/>
    <cellStyle name="Normal 4 3 5 3 2 2 2 2 3 2 2" xfId="46187" xr:uid="{00000000-0005-0000-0000-0000702F0000}"/>
    <cellStyle name="Normal 4 3 5 3 2 2 2 2 3 3" xfId="33899" xr:uid="{00000000-0005-0000-0000-0000712F0000}"/>
    <cellStyle name="Normal 4 3 5 3 2 2 2 2 4" xfId="15467" xr:uid="{00000000-0005-0000-0000-0000722F0000}"/>
    <cellStyle name="Normal 4 3 5 3 2 2 2 2 4 2" xfId="40043" xr:uid="{00000000-0005-0000-0000-0000732F0000}"/>
    <cellStyle name="Normal 4 3 5 3 2 2 2 2 5" xfId="27755" xr:uid="{00000000-0005-0000-0000-0000742F0000}"/>
    <cellStyle name="Normal 4 3 5 3 2 2 2 3" xfId="4715" xr:uid="{00000000-0005-0000-0000-0000752F0000}"/>
    <cellStyle name="Normal 4 3 5 3 2 2 2 3 2" xfId="10859" xr:uid="{00000000-0005-0000-0000-0000762F0000}"/>
    <cellStyle name="Normal 4 3 5 3 2 2 2 3 2 2" xfId="23147" xr:uid="{00000000-0005-0000-0000-0000772F0000}"/>
    <cellStyle name="Normal 4 3 5 3 2 2 2 3 2 2 2" xfId="47723" xr:uid="{00000000-0005-0000-0000-0000782F0000}"/>
    <cellStyle name="Normal 4 3 5 3 2 2 2 3 2 3" xfId="35435" xr:uid="{00000000-0005-0000-0000-0000792F0000}"/>
    <cellStyle name="Normal 4 3 5 3 2 2 2 3 3" xfId="17003" xr:uid="{00000000-0005-0000-0000-00007A2F0000}"/>
    <cellStyle name="Normal 4 3 5 3 2 2 2 3 3 2" xfId="41579" xr:uid="{00000000-0005-0000-0000-00007B2F0000}"/>
    <cellStyle name="Normal 4 3 5 3 2 2 2 3 4" xfId="29291" xr:uid="{00000000-0005-0000-0000-00007C2F0000}"/>
    <cellStyle name="Normal 4 3 5 3 2 2 2 4" xfId="7787" xr:uid="{00000000-0005-0000-0000-00007D2F0000}"/>
    <cellStyle name="Normal 4 3 5 3 2 2 2 4 2" xfId="20075" xr:uid="{00000000-0005-0000-0000-00007E2F0000}"/>
    <cellStyle name="Normal 4 3 5 3 2 2 2 4 2 2" xfId="44651" xr:uid="{00000000-0005-0000-0000-00007F2F0000}"/>
    <cellStyle name="Normal 4 3 5 3 2 2 2 4 3" xfId="32363" xr:uid="{00000000-0005-0000-0000-0000802F0000}"/>
    <cellStyle name="Normal 4 3 5 3 2 2 2 5" xfId="13931" xr:uid="{00000000-0005-0000-0000-0000812F0000}"/>
    <cellStyle name="Normal 4 3 5 3 2 2 2 5 2" xfId="38507" xr:uid="{00000000-0005-0000-0000-0000822F0000}"/>
    <cellStyle name="Normal 4 3 5 3 2 2 2 6" xfId="26219" xr:uid="{00000000-0005-0000-0000-0000832F0000}"/>
    <cellStyle name="Normal 4 3 5 3 2 2 3" xfId="2407" xr:uid="{00000000-0005-0000-0000-0000842F0000}"/>
    <cellStyle name="Normal 4 3 5 3 2 2 3 2" xfId="5483" xr:uid="{00000000-0005-0000-0000-0000852F0000}"/>
    <cellStyle name="Normal 4 3 5 3 2 2 3 2 2" xfId="11627" xr:uid="{00000000-0005-0000-0000-0000862F0000}"/>
    <cellStyle name="Normal 4 3 5 3 2 2 3 2 2 2" xfId="23915" xr:uid="{00000000-0005-0000-0000-0000872F0000}"/>
    <cellStyle name="Normal 4 3 5 3 2 2 3 2 2 2 2" xfId="48491" xr:uid="{00000000-0005-0000-0000-0000882F0000}"/>
    <cellStyle name="Normal 4 3 5 3 2 2 3 2 2 3" xfId="36203" xr:uid="{00000000-0005-0000-0000-0000892F0000}"/>
    <cellStyle name="Normal 4 3 5 3 2 2 3 2 3" xfId="17771" xr:uid="{00000000-0005-0000-0000-00008A2F0000}"/>
    <cellStyle name="Normal 4 3 5 3 2 2 3 2 3 2" xfId="42347" xr:uid="{00000000-0005-0000-0000-00008B2F0000}"/>
    <cellStyle name="Normal 4 3 5 3 2 2 3 2 4" xfId="30059" xr:uid="{00000000-0005-0000-0000-00008C2F0000}"/>
    <cellStyle name="Normal 4 3 5 3 2 2 3 3" xfId="8555" xr:uid="{00000000-0005-0000-0000-00008D2F0000}"/>
    <cellStyle name="Normal 4 3 5 3 2 2 3 3 2" xfId="20843" xr:uid="{00000000-0005-0000-0000-00008E2F0000}"/>
    <cellStyle name="Normal 4 3 5 3 2 2 3 3 2 2" xfId="45419" xr:uid="{00000000-0005-0000-0000-00008F2F0000}"/>
    <cellStyle name="Normal 4 3 5 3 2 2 3 3 3" xfId="33131" xr:uid="{00000000-0005-0000-0000-0000902F0000}"/>
    <cellStyle name="Normal 4 3 5 3 2 2 3 4" xfId="14699" xr:uid="{00000000-0005-0000-0000-0000912F0000}"/>
    <cellStyle name="Normal 4 3 5 3 2 2 3 4 2" xfId="39275" xr:uid="{00000000-0005-0000-0000-0000922F0000}"/>
    <cellStyle name="Normal 4 3 5 3 2 2 3 5" xfId="26987" xr:uid="{00000000-0005-0000-0000-0000932F0000}"/>
    <cellStyle name="Normal 4 3 5 3 2 2 4" xfId="3947" xr:uid="{00000000-0005-0000-0000-0000942F0000}"/>
    <cellStyle name="Normal 4 3 5 3 2 2 4 2" xfId="10091" xr:uid="{00000000-0005-0000-0000-0000952F0000}"/>
    <cellStyle name="Normal 4 3 5 3 2 2 4 2 2" xfId="22379" xr:uid="{00000000-0005-0000-0000-0000962F0000}"/>
    <cellStyle name="Normal 4 3 5 3 2 2 4 2 2 2" xfId="46955" xr:uid="{00000000-0005-0000-0000-0000972F0000}"/>
    <cellStyle name="Normal 4 3 5 3 2 2 4 2 3" xfId="34667" xr:uid="{00000000-0005-0000-0000-0000982F0000}"/>
    <cellStyle name="Normal 4 3 5 3 2 2 4 3" xfId="16235" xr:uid="{00000000-0005-0000-0000-0000992F0000}"/>
    <cellStyle name="Normal 4 3 5 3 2 2 4 3 2" xfId="40811" xr:uid="{00000000-0005-0000-0000-00009A2F0000}"/>
    <cellStyle name="Normal 4 3 5 3 2 2 4 4" xfId="28523" xr:uid="{00000000-0005-0000-0000-00009B2F0000}"/>
    <cellStyle name="Normal 4 3 5 3 2 2 5" xfId="7019" xr:uid="{00000000-0005-0000-0000-00009C2F0000}"/>
    <cellStyle name="Normal 4 3 5 3 2 2 5 2" xfId="19307" xr:uid="{00000000-0005-0000-0000-00009D2F0000}"/>
    <cellStyle name="Normal 4 3 5 3 2 2 5 2 2" xfId="43883" xr:uid="{00000000-0005-0000-0000-00009E2F0000}"/>
    <cellStyle name="Normal 4 3 5 3 2 2 5 3" xfId="31595" xr:uid="{00000000-0005-0000-0000-00009F2F0000}"/>
    <cellStyle name="Normal 4 3 5 3 2 2 6" xfId="13163" xr:uid="{00000000-0005-0000-0000-0000A02F0000}"/>
    <cellStyle name="Normal 4 3 5 3 2 2 6 2" xfId="37739" xr:uid="{00000000-0005-0000-0000-0000A12F0000}"/>
    <cellStyle name="Normal 4 3 5 3 2 2 7" xfId="25451" xr:uid="{00000000-0005-0000-0000-0000A22F0000}"/>
    <cellStyle name="Normal 4 3 5 3 2 3" xfId="1255" xr:uid="{00000000-0005-0000-0000-0000A32F0000}"/>
    <cellStyle name="Normal 4 3 5 3 2 3 2" xfId="2791" xr:uid="{00000000-0005-0000-0000-0000A42F0000}"/>
    <cellStyle name="Normal 4 3 5 3 2 3 2 2" xfId="5867" xr:uid="{00000000-0005-0000-0000-0000A52F0000}"/>
    <cellStyle name="Normal 4 3 5 3 2 3 2 2 2" xfId="12011" xr:uid="{00000000-0005-0000-0000-0000A62F0000}"/>
    <cellStyle name="Normal 4 3 5 3 2 3 2 2 2 2" xfId="24299" xr:uid="{00000000-0005-0000-0000-0000A72F0000}"/>
    <cellStyle name="Normal 4 3 5 3 2 3 2 2 2 2 2" xfId="48875" xr:uid="{00000000-0005-0000-0000-0000A82F0000}"/>
    <cellStyle name="Normal 4 3 5 3 2 3 2 2 2 3" xfId="36587" xr:uid="{00000000-0005-0000-0000-0000A92F0000}"/>
    <cellStyle name="Normal 4 3 5 3 2 3 2 2 3" xfId="18155" xr:uid="{00000000-0005-0000-0000-0000AA2F0000}"/>
    <cellStyle name="Normal 4 3 5 3 2 3 2 2 3 2" xfId="42731" xr:uid="{00000000-0005-0000-0000-0000AB2F0000}"/>
    <cellStyle name="Normal 4 3 5 3 2 3 2 2 4" xfId="30443" xr:uid="{00000000-0005-0000-0000-0000AC2F0000}"/>
    <cellStyle name="Normal 4 3 5 3 2 3 2 3" xfId="8939" xr:uid="{00000000-0005-0000-0000-0000AD2F0000}"/>
    <cellStyle name="Normal 4 3 5 3 2 3 2 3 2" xfId="21227" xr:uid="{00000000-0005-0000-0000-0000AE2F0000}"/>
    <cellStyle name="Normal 4 3 5 3 2 3 2 3 2 2" xfId="45803" xr:uid="{00000000-0005-0000-0000-0000AF2F0000}"/>
    <cellStyle name="Normal 4 3 5 3 2 3 2 3 3" xfId="33515" xr:uid="{00000000-0005-0000-0000-0000B02F0000}"/>
    <cellStyle name="Normal 4 3 5 3 2 3 2 4" xfId="15083" xr:uid="{00000000-0005-0000-0000-0000B12F0000}"/>
    <cellStyle name="Normal 4 3 5 3 2 3 2 4 2" xfId="39659" xr:uid="{00000000-0005-0000-0000-0000B22F0000}"/>
    <cellStyle name="Normal 4 3 5 3 2 3 2 5" xfId="27371" xr:uid="{00000000-0005-0000-0000-0000B32F0000}"/>
    <cellStyle name="Normal 4 3 5 3 2 3 3" xfId="4331" xr:uid="{00000000-0005-0000-0000-0000B42F0000}"/>
    <cellStyle name="Normal 4 3 5 3 2 3 3 2" xfId="10475" xr:uid="{00000000-0005-0000-0000-0000B52F0000}"/>
    <cellStyle name="Normal 4 3 5 3 2 3 3 2 2" xfId="22763" xr:uid="{00000000-0005-0000-0000-0000B62F0000}"/>
    <cellStyle name="Normal 4 3 5 3 2 3 3 2 2 2" xfId="47339" xr:uid="{00000000-0005-0000-0000-0000B72F0000}"/>
    <cellStyle name="Normal 4 3 5 3 2 3 3 2 3" xfId="35051" xr:uid="{00000000-0005-0000-0000-0000B82F0000}"/>
    <cellStyle name="Normal 4 3 5 3 2 3 3 3" xfId="16619" xr:uid="{00000000-0005-0000-0000-0000B92F0000}"/>
    <cellStyle name="Normal 4 3 5 3 2 3 3 3 2" xfId="41195" xr:uid="{00000000-0005-0000-0000-0000BA2F0000}"/>
    <cellStyle name="Normal 4 3 5 3 2 3 3 4" xfId="28907" xr:uid="{00000000-0005-0000-0000-0000BB2F0000}"/>
    <cellStyle name="Normal 4 3 5 3 2 3 4" xfId="7403" xr:uid="{00000000-0005-0000-0000-0000BC2F0000}"/>
    <cellStyle name="Normal 4 3 5 3 2 3 4 2" xfId="19691" xr:uid="{00000000-0005-0000-0000-0000BD2F0000}"/>
    <cellStyle name="Normal 4 3 5 3 2 3 4 2 2" xfId="44267" xr:uid="{00000000-0005-0000-0000-0000BE2F0000}"/>
    <cellStyle name="Normal 4 3 5 3 2 3 4 3" xfId="31979" xr:uid="{00000000-0005-0000-0000-0000BF2F0000}"/>
    <cellStyle name="Normal 4 3 5 3 2 3 5" xfId="13547" xr:uid="{00000000-0005-0000-0000-0000C02F0000}"/>
    <cellStyle name="Normal 4 3 5 3 2 3 5 2" xfId="38123" xr:uid="{00000000-0005-0000-0000-0000C12F0000}"/>
    <cellStyle name="Normal 4 3 5 3 2 3 6" xfId="25835" xr:uid="{00000000-0005-0000-0000-0000C22F0000}"/>
    <cellStyle name="Normal 4 3 5 3 2 4" xfId="2023" xr:uid="{00000000-0005-0000-0000-0000C32F0000}"/>
    <cellStyle name="Normal 4 3 5 3 2 4 2" xfId="5099" xr:uid="{00000000-0005-0000-0000-0000C42F0000}"/>
    <cellStyle name="Normal 4 3 5 3 2 4 2 2" xfId="11243" xr:uid="{00000000-0005-0000-0000-0000C52F0000}"/>
    <cellStyle name="Normal 4 3 5 3 2 4 2 2 2" xfId="23531" xr:uid="{00000000-0005-0000-0000-0000C62F0000}"/>
    <cellStyle name="Normal 4 3 5 3 2 4 2 2 2 2" xfId="48107" xr:uid="{00000000-0005-0000-0000-0000C72F0000}"/>
    <cellStyle name="Normal 4 3 5 3 2 4 2 2 3" xfId="35819" xr:uid="{00000000-0005-0000-0000-0000C82F0000}"/>
    <cellStyle name="Normal 4 3 5 3 2 4 2 3" xfId="17387" xr:uid="{00000000-0005-0000-0000-0000C92F0000}"/>
    <cellStyle name="Normal 4 3 5 3 2 4 2 3 2" xfId="41963" xr:uid="{00000000-0005-0000-0000-0000CA2F0000}"/>
    <cellStyle name="Normal 4 3 5 3 2 4 2 4" xfId="29675" xr:uid="{00000000-0005-0000-0000-0000CB2F0000}"/>
    <cellStyle name="Normal 4 3 5 3 2 4 3" xfId="8171" xr:uid="{00000000-0005-0000-0000-0000CC2F0000}"/>
    <cellStyle name="Normal 4 3 5 3 2 4 3 2" xfId="20459" xr:uid="{00000000-0005-0000-0000-0000CD2F0000}"/>
    <cellStyle name="Normal 4 3 5 3 2 4 3 2 2" xfId="45035" xr:uid="{00000000-0005-0000-0000-0000CE2F0000}"/>
    <cellStyle name="Normal 4 3 5 3 2 4 3 3" xfId="32747" xr:uid="{00000000-0005-0000-0000-0000CF2F0000}"/>
    <cellStyle name="Normal 4 3 5 3 2 4 4" xfId="14315" xr:uid="{00000000-0005-0000-0000-0000D02F0000}"/>
    <cellStyle name="Normal 4 3 5 3 2 4 4 2" xfId="38891" xr:uid="{00000000-0005-0000-0000-0000D12F0000}"/>
    <cellStyle name="Normal 4 3 5 3 2 4 5" xfId="26603" xr:uid="{00000000-0005-0000-0000-0000D22F0000}"/>
    <cellStyle name="Normal 4 3 5 3 2 5" xfId="3563" xr:uid="{00000000-0005-0000-0000-0000D32F0000}"/>
    <cellStyle name="Normal 4 3 5 3 2 5 2" xfId="9707" xr:uid="{00000000-0005-0000-0000-0000D42F0000}"/>
    <cellStyle name="Normal 4 3 5 3 2 5 2 2" xfId="21995" xr:uid="{00000000-0005-0000-0000-0000D52F0000}"/>
    <cellStyle name="Normal 4 3 5 3 2 5 2 2 2" xfId="46571" xr:uid="{00000000-0005-0000-0000-0000D62F0000}"/>
    <cellStyle name="Normal 4 3 5 3 2 5 2 3" xfId="34283" xr:uid="{00000000-0005-0000-0000-0000D72F0000}"/>
    <cellStyle name="Normal 4 3 5 3 2 5 3" xfId="15851" xr:uid="{00000000-0005-0000-0000-0000D82F0000}"/>
    <cellStyle name="Normal 4 3 5 3 2 5 3 2" xfId="40427" xr:uid="{00000000-0005-0000-0000-0000D92F0000}"/>
    <cellStyle name="Normal 4 3 5 3 2 5 4" xfId="28139" xr:uid="{00000000-0005-0000-0000-0000DA2F0000}"/>
    <cellStyle name="Normal 4 3 5 3 2 6" xfId="6635" xr:uid="{00000000-0005-0000-0000-0000DB2F0000}"/>
    <cellStyle name="Normal 4 3 5 3 2 6 2" xfId="18923" xr:uid="{00000000-0005-0000-0000-0000DC2F0000}"/>
    <cellStyle name="Normal 4 3 5 3 2 6 2 2" xfId="43499" xr:uid="{00000000-0005-0000-0000-0000DD2F0000}"/>
    <cellStyle name="Normal 4 3 5 3 2 6 3" xfId="31211" xr:uid="{00000000-0005-0000-0000-0000DE2F0000}"/>
    <cellStyle name="Normal 4 3 5 3 2 7" xfId="12779" xr:uid="{00000000-0005-0000-0000-0000DF2F0000}"/>
    <cellStyle name="Normal 4 3 5 3 2 7 2" xfId="37355" xr:uid="{00000000-0005-0000-0000-0000E02F0000}"/>
    <cellStyle name="Normal 4 3 5 3 2 8" xfId="25067" xr:uid="{00000000-0005-0000-0000-0000E12F0000}"/>
    <cellStyle name="Normal 4 3 5 3 3" xfId="679" xr:uid="{00000000-0005-0000-0000-0000E22F0000}"/>
    <cellStyle name="Normal 4 3 5 3 3 2" xfId="1447" xr:uid="{00000000-0005-0000-0000-0000E32F0000}"/>
    <cellStyle name="Normal 4 3 5 3 3 2 2" xfId="2983" xr:uid="{00000000-0005-0000-0000-0000E42F0000}"/>
    <cellStyle name="Normal 4 3 5 3 3 2 2 2" xfId="6059" xr:uid="{00000000-0005-0000-0000-0000E52F0000}"/>
    <cellStyle name="Normal 4 3 5 3 3 2 2 2 2" xfId="12203" xr:uid="{00000000-0005-0000-0000-0000E62F0000}"/>
    <cellStyle name="Normal 4 3 5 3 3 2 2 2 2 2" xfId="24491" xr:uid="{00000000-0005-0000-0000-0000E72F0000}"/>
    <cellStyle name="Normal 4 3 5 3 3 2 2 2 2 2 2" xfId="49067" xr:uid="{00000000-0005-0000-0000-0000E82F0000}"/>
    <cellStyle name="Normal 4 3 5 3 3 2 2 2 2 3" xfId="36779" xr:uid="{00000000-0005-0000-0000-0000E92F0000}"/>
    <cellStyle name="Normal 4 3 5 3 3 2 2 2 3" xfId="18347" xr:uid="{00000000-0005-0000-0000-0000EA2F0000}"/>
    <cellStyle name="Normal 4 3 5 3 3 2 2 2 3 2" xfId="42923" xr:uid="{00000000-0005-0000-0000-0000EB2F0000}"/>
    <cellStyle name="Normal 4 3 5 3 3 2 2 2 4" xfId="30635" xr:uid="{00000000-0005-0000-0000-0000EC2F0000}"/>
    <cellStyle name="Normal 4 3 5 3 3 2 2 3" xfId="9131" xr:uid="{00000000-0005-0000-0000-0000ED2F0000}"/>
    <cellStyle name="Normal 4 3 5 3 3 2 2 3 2" xfId="21419" xr:uid="{00000000-0005-0000-0000-0000EE2F0000}"/>
    <cellStyle name="Normal 4 3 5 3 3 2 2 3 2 2" xfId="45995" xr:uid="{00000000-0005-0000-0000-0000EF2F0000}"/>
    <cellStyle name="Normal 4 3 5 3 3 2 2 3 3" xfId="33707" xr:uid="{00000000-0005-0000-0000-0000F02F0000}"/>
    <cellStyle name="Normal 4 3 5 3 3 2 2 4" xfId="15275" xr:uid="{00000000-0005-0000-0000-0000F12F0000}"/>
    <cellStyle name="Normal 4 3 5 3 3 2 2 4 2" xfId="39851" xr:uid="{00000000-0005-0000-0000-0000F22F0000}"/>
    <cellStyle name="Normal 4 3 5 3 3 2 2 5" xfId="27563" xr:uid="{00000000-0005-0000-0000-0000F32F0000}"/>
    <cellStyle name="Normal 4 3 5 3 3 2 3" xfId="4523" xr:uid="{00000000-0005-0000-0000-0000F42F0000}"/>
    <cellStyle name="Normal 4 3 5 3 3 2 3 2" xfId="10667" xr:uid="{00000000-0005-0000-0000-0000F52F0000}"/>
    <cellStyle name="Normal 4 3 5 3 3 2 3 2 2" xfId="22955" xr:uid="{00000000-0005-0000-0000-0000F62F0000}"/>
    <cellStyle name="Normal 4 3 5 3 3 2 3 2 2 2" xfId="47531" xr:uid="{00000000-0005-0000-0000-0000F72F0000}"/>
    <cellStyle name="Normal 4 3 5 3 3 2 3 2 3" xfId="35243" xr:uid="{00000000-0005-0000-0000-0000F82F0000}"/>
    <cellStyle name="Normal 4 3 5 3 3 2 3 3" xfId="16811" xr:uid="{00000000-0005-0000-0000-0000F92F0000}"/>
    <cellStyle name="Normal 4 3 5 3 3 2 3 3 2" xfId="41387" xr:uid="{00000000-0005-0000-0000-0000FA2F0000}"/>
    <cellStyle name="Normal 4 3 5 3 3 2 3 4" xfId="29099" xr:uid="{00000000-0005-0000-0000-0000FB2F0000}"/>
    <cellStyle name="Normal 4 3 5 3 3 2 4" xfId="7595" xr:uid="{00000000-0005-0000-0000-0000FC2F0000}"/>
    <cellStyle name="Normal 4 3 5 3 3 2 4 2" xfId="19883" xr:uid="{00000000-0005-0000-0000-0000FD2F0000}"/>
    <cellStyle name="Normal 4 3 5 3 3 2 4 2 2" xfId="44459" xr:uid="{00000000-0005-0000-0000-0000FE2F0000}"/>
    <cellStyle name="Normal 4 3 5 3 3 2 4 3" xfId="32171" xr:uid="{00000000-0005-0000-0000-0000FF2F0000}"/>
    <cellStyle name="Normal 4 3 5 3 3 2 5" xfId="13739" xr:uid="{00000000-0005-0000-0000-000000300000}"/>
    <cellStyle name="Normal 4 3 5 3 3 2 5 2" xfId="38315" xr:uid="{00000000-0005-0000-0000-000001300000}"/>
    <cellStyle name="Normal 4 3 5 3 3 2 6" xfId="26027" xr:uid="{00000000-0005-0000-0000-000002300000}"/>
    <cellStyle name="Normal 4 3 5 3 3 3" xfId="2215" xr:uid="{00000000-0005-0000-0000-000003300000}"/>
    <cellStyle name="Normal 4 3 5 3 3 3 2" xfId="5291" xr:uid="{00000000-0005-0000-0000-000004300000}"/>
    <cellStyle name="Normal 4 3 5 3 3 3 2 2" xfId="11435" xr:uid="{00000000-0005-0000-0000-000005300000}"/>
    <cellStyle name="Normal 4 3 5 3 3 3 2 2 2" xfId="23723" xr:uid="{00000000-0005-0000-0000-000006300000}"/>
    <cellStyle name="Normal 4 3 5 3 3 3 2 2 2 2" xfId="48299" xr:uid="{00000000-0005-0000-0000-000007300000}"/>
    <cellStyle name="Normal 4 3 5 3 3 3 2 2 3" xfId="36011" xr:uid="{00000000-0005-0000-0000-000008300000}"/>
    <cellStyle name="Normal 4 3 5 3 3 3 2 3" xfId="17579" xr:uid="{00000000-0005-0000-0000-000009300000}"/>
    <cellStyle name="Normal 4 3 5 3 3 3 2 3 2" xfId="42155" xr:uid="{00000000-0005-0000-0000-00000A300000}"/>
    <cellStyle name="Normal 4 3 5 3 3 3 2 4" xfId="29867" xr:uid="{00000000-0005-0000-0000-00000B300000}"/>
    <cellStyle name="Normal 4 3 5 3 3 3 3" xfId="8363" xr:uid="{00000000-0005-0000-0000-00000C300000}"/>
    <cellStyle name="Normal 4 3 5 3 3 3 3 2" xfId="20651" xr:uid="{00000000-0005-0000-0000-00000D300000}"/>
    <cellStyle name="Normal 4 3 5 3 3 3 3 2 2" xfId="45227" xr:uid="{00000000-0005-0000-0000-00000E300000}"/>
    <cellStyle name="Normal 4 3 5 3 3 3 3 3" xfId="32939" xr:uid="{00000000-0005-0000-0000-00000F300000}"/>
    <cellStyle name="Normal 4 3 5 3 3 3 4" xfId="14507" xr:uid="{00000000-0005-0000-0000-000010300000}"/>
    <cellStyle name="Normal 4 3 5 3 3 3 4 2" xfId="39083" xr:uid="{00000000-0005-0000-0000-000011300000}"/>
    <cellStyle name="Normal 4 3 5 3 3 3 5" xfId="26795" xr:uid="{00000000-0005-0000-0000-000012300000}"/>
    <cellStyle name="Normal 4 3 5 3 3 4" xfId="3755" xr:uid="{00000000-0005-0000-0000-000013300000}"/>
    <cellStyle name="Normal 4 3 5 3 3 4 2" xfId="9899" xr:uid="{00000000-0005-0000-0000-000014300000}"/>
    <cellStyle name="Normal 4 3 5 3 3 4 2 2" xfId="22187" xr:uid="{00000000-0005-0000-0000-000015300000}"/>
    <cellStyle name="Normal 4 3 5 3 3 4 2 2 2" xfId="46763" xr:uid="{00000000-0005-0000-0000-000016300000}"/>
    <cellStyle name="Normal 4 3 5 3 3 4 2 3" xfId="34475" xr:uid="{00000000-0005-0000-0000-000017300000}"/>
    <cellStyle name="Normal 4 3 5 3 3 4 3" xfId="16043" xr:uid="{00000000-0005-0000-0000-000018300000}"/>
    <cellStyle name="Normal 4 3 5 3 3 4 3 2" xfId="40619" xr:uid="{00000000-0005-0000-0000-000019300000}"/>
    <cellStyle name="Normal 4 3 5 3 3 4 4" xfId="28331" xr:uid="{00000000-0005-0000-0000-00001A300000}"/>
    <cellStyle name="Normal 4 3 5 3 3 5" xfId="6827" xr:uid="{00000000-0005-0000-0000-00001B300000}"/>
    <cellStyle name="Normal 4 3 5 3 3 5 2" xfId="19115" xr:uid="{00000000-0005-0000-0000-00001C300000}"/>
    <cellStyle name="Normal 4 3 5 3 3 5 2 2" xfId="43691" xr:uid="{00000000-0005-0000-0000-00001D300000}"/>
    <cellStyle name="Normal 4 3 5 3 3 5 3" xfId="31403" xr:uid="{00000000-0005-0000-0000-00001E300000}"/>
    <cellStyle name="Normal 4 3 5 3 3 6" xfId="12971" xr:uid="{00000000-0005-0000-0000-00001F300000}"/>
    <cellStyle name="Normal 4 3 5 3 3 6 2" xfId="37547" xr:uid="{00000000-0005-0000-0000-000020300000}"/>
    <cellStyle name="Normal 4 3 5 3 3 7" xfId="25259" xr:uid="{00000000-0005-0000-0000-000021300000}"/>
    <cellStyle name="Normal 4 3 5 3 4" xfId="1063" xr:uid="{00000000-0005-0000-0000-000022300000}"/>
    <cellStyle name="Normal 4 3 5 3 4 2" xfId="2599" xr:uid="{00000000-0005-0000-0000-000023300000}"/>
    <cellStyle name="Normal 4 3 5 3 4 2 2" xfId="5675" xr:uid="{00000000-0005-0000-0000-000024300000}"/>
    <cellStyle name="Normal 4 3 5 3 4 2 2 2" xfId="11819" xr:uid="{00000000-0005-0000-0000-000025300000}"/>
    <cellStyle name="Normal 4 3 5 3 4 2 2 2 2" xfId="24107" xr:uid="{00000000-0005-0000-0000-000026300000}"/>
    <cellStyle name="Normal 4 3 5 3 4 2 2 2 2 2" xfId="48683" xr:uid="{00000000-0005-0000-0000-000027300000}"/>
    <cellStyle name="Normal 4 3 5 3 4 2 2 2 3" xfId="36395" xr:uid="{00000000-0005-0000-0000-000028300000}"/>
    <cellStyle name="Normal 4 3 5 3 4 2 2 3" xfId="17963" xr:uid="{00000000-0005-0000-0000-000029300000}"/>
    <cellStyle name="Normal 4 3 5 3 4 2 2 3 2" xfId="42539" xr:uid="{00000000-0005-0000-0000-00002A300000}"/>
    <cellStyle name="Normal 4 3 5 3 4 2 2 4" xfId="30251" xr:uid="{00000000-0005-0000-0000-00002B300000}"/>
    <cellStyle name="Normal 4 3 5 3 4 2 3" xfId="8747" xr:uid="{00000000-0005-0000-0000-00002C300000}"/>
    <cellStyle name="Normal 4 3 5 3 4 2 3 2" xfId="21035" xr:uid="{00000000-0005-0000-0000-00002D300000}"/>
    <cellStyle name="Normal 4 3 5 3 4 2 3 2 2" xfId="45611" xr:uid="{00000000-0005-0000-0000-00002E300000}"/>
    <cellStyle name="Normal 4 3 5 3 4 2 3 3" xfId="33323" xr:uid="{00000000-0005-0000-0000-00002F300000}"/>
    <cellStyle name="Normal 4 3 5 3 4 2 4" xfId="14891" xr:uid="{00000000-0005-0000-0000-000030300000}"/>
    <cellStyle name="Normal 4 3 5 3 4 2 4 2" xfId="39467" xr:uid="{00000000-0005-0000-0000-000031300000}"/>
    <cellStyle name="Normal 4 3 5 3 4 2 5" xfId="27179" xr:uid="{00000000-0005-0000-0000-000032300000}"/>
    <cellStyle name="Normal 4 3 5 3 4 3" xfId="4139" xr:uid="{00000000-0005-0000-0000-000033300000}"/>
    <cellStyle name="Normal 4 3 5 3 4 3 2" xfId="10283" xr:uid="{00000000-0005-0000-0000-000034300000}"/>
    <cellStyle name="Normal 4 3 5 3 4 3 2 2" xfId="22571" xr:uid="{00000000-0005-0000-0000-000035300000}"/>
    <cellStyle name="Normal 4 3 5 3 4 3 2 2 2" xfId="47147" xr:uid="{00000000-0005-0000-0000-000036300000}"/>
    <cellStyle name="Normal 4 3 5 3 4 3 2 3" xfId="34859" xr:uid="{00000000-0005-0000-0000-000037300000}"/>
    <cellStyle name="Normal 4 3 5 3 4 3 3" xfId="16427" xr:uid="{00000000-0005-0000-0000-000038300000}"/>
    <cellStyle name="Normal 4 3 5 3 4 3 3 2" xfId="41003" xr:uid="{00000000-0005-0000-0000-000039300000}"/>
    <cellStyle name="Normal 4 3 5 3 4 3 4" xfId="28715" xr:uid="{00000000-0005-0000-0000-00003A300000}"/>
    <cellStyle name="Normal 4 3 5 3 4 4" xfId="7211" xr:uid="{00000000-0005-0000-0000-00003B300000}"/>
    <cellStyle name="Normal 4 3 5 3 4 4 2" xfId="19499" xr:uid="{00000000-0005-0000-0000-00003C300000}"/>
    <cellStyle name="Normal 4 3 5 3 4 4 2 2" xfId="44075" xr:uid="{00000000-0005-0000-0000-00003D300000}"/>
    <cellStyle name="Normal 4 3 5 3 4 4 3" xfId="31787" xr:uid="{00000000-0005-0000-0000-00003E300000}"/>
    <cellStyle name="Normal 4 3 5 3 4 5" xfId="13355" xr:uid="{00000000-0005-0000-0000-00003F300000}"/>
    <cellStyle name="Normal 4 3 5 3 4 5 2" xfId="37931" xr:uid="{00000000-0005-0000-0000-000040300000}"/>
    <cellStyle name="Normal 4 3 5 3 4 6" xfId="25643" xr:uid="{00000000-0005-0000-0000-000041300000}"/>
    <cellStyle name="Normal 4 3 5 3 5" xfId="1831" xr:uid="{00000000-0005-0000-0000-000042300000}"/>
    <cellStyle name="Normal 4 3 5 3 5 2" xfId="4907" xr:uid="{00000000-0005-0000-0000-000043300000}"/>
    <cellStyle name="Normal 4 3 5 3 5 2 2" xfId="11051" xr:uid="{00000000-0005-0000-0000-000044300000}"/>
    <cellStyle name="Normal 4 3 5 3 5 2 2 2" xfId="23339" xr:uid="{00000000-0005-0000-0000-000045300000}"/>
    <cellStyle name="Normal 4 3 5 3 5 2 2 2 2" xfId="47915" xr:uid="{00000000-0005-0000-0000-000046300000}"/>
    <cellStyle name="Normal 4 3 5 3 5 2 2 3" xfId="35627" xr:uid="{00000000-0005-0000-0000-000047300000}"/>
    <cellStyle name="Normal 4 3 5 3 5 2 3" xfId="17195" xr:uid="{00000000-0005-0000-0000-000048300000}"/>
    <cellStyle name="Normal 4 3 5 3 5 2 3 2" xfId="41771" xr:uid="{00000000-0005-0000-0000-000049300000}"/>
    <cellStyle name="Normal 4 3 5 3 5 2 4" xfId="29483" xr:uid="{00000000-0005-0000-0000-00004A300000}"/>
    <cellStyle name="Normal 4 3 5 3 5 3" xfId="7979" xr:uid="{00000000-0005-0000-0000-00004B300000}"/>
    <cellStyle name="Normal 4 3 5 3 5 3 2" xfId="20267" xr:uid="{00000000-0005-0000-0000-00004C300000}"/>
    <cellStyle name="Normal 4 3 5 3 5 3 2 2" xfId="44843" xr:uid="{00000000-0005-0000-0000-00004D300000}"/>
    <cellStyle name="Normal 4 3 5 3 5 3 3" xfId="32555" xr:uid="{00000000-0005-0000-0000-00004E300000}"/>
    <cellStyle name="Normal 4 3 5 3 5 4" xfId="14123" xr:uid="{00000000-0005-0000-0000-00004F300000}"/>
    <cellStyle name="Normal 4 3 5 3 5 4 2" xfId="38699" xr:uid="{00000000-0005-0000-0000-000050300000}"/>
    <cellStyle name="Normal 4 3 5 3 5 5" xfId="26411" xr:uid="{00000000-0005-0000-0000-000051300000}"/>
    <cellStyle name="Normal 4 3 5 3 6" xfId="3371" xr:uid="{00000000-0005-0000-0000-000052300000}"/>
    <cellStyle name="Normal 4 3 5 3 6 2" xfId="9515" xr:uid="{00000000-0005-0000-0000-000053300000}"/>
    <cellStyle name="Normal 4 3 5 3 6 2 2" xfId="21803" xr:uid="{00000000-0005-0000-0000-000054300000}"/>
    <cellStyle name="Normal 4 3 5 3 6 2 2 2" xfId="46379" xr:uid="{00000000-0005-0000-0000-000055300000}"/>
    <cellStyle name="Normal 4 3 5 3 6 2 3" xfId="34091" xr:uid="{00000000-0005-0000-0000-000056300000}"/>
    <cellStyle name="Normal 4 3 5 3 6 3" xfId="15659" xr:uid="{00000000-0005-0000-0000-000057300000}"/>
    <cellStyle name="Normal 4 3 5 3 6 3 2" xfId="40235" xr:uid="{00000000-0005-0000-0000-000058300000}"/>
    <cellStyle name="Normal 4 3 5 3 6 4" xfId="27947" xr:uid="{00000000-0005-0000-0000-000059300000}"/>
    <cellStyle name="Normal 4 3 5 3 7" xfId="6443" xr:uid="{00000000-0005-0000-0000-00005A300000}"/>
    <cellStyle name="Normal 4 3 5 3 7 2" xfId="18731" xr:uid="{00000000-0005-0000-0000-00005B300000}"/>
    <cellStyle name="Normal 4 3 5 3 7 2 2" xfId="43307" xr:uid="{00000000-0005-0000-0000-00005C300000}"/>
    <cellStyle name="Normal 4 3 5 3 7 3" xfId="31019" xr:uid="{00000000-0005-0000-0000-00005D300000}"/>
    <cellStyle name="Normal 4 3 5 3 8" xfId="12587" xr:uid="{00000000-0005-0000-0000-00005E300000}"/>
    <cellStyle name="Normal 4 3 5 3 8 2" xfId="37163" xr:uid="{00000000-0005-0000-0000-00005F300000}"/>
    <cellStyle name="Normal 4 3 5 3 9" xfId="24875" xr:uid="{00000000-0005-0000-0000-000060300000}"/>
    <cellStyle name="Normal 4 3 5 4" xfId="359" xr:uid="{00000000-0005-0000-0000-000061300000}"/>
    <cellStyle name="Normal 4 3 5 4 2" xfId="743" xr:uid="{00000000-0005-0000-0000-000062300000}"/>
    <cellStyle name="Normal 4 3 5 4 2 2" xfId="1511" xr:uid="{00000000-0005-0000-0000-000063300000}"/>
    <cellStyle name="Normal 4 3 5 4 2 2 2" xfId="3047" xr:uid="{00000000-0005-0000-0000-000064300000}"/>
    <cellStyle name="Normal 4 3 5 4 2 2 2 2" xfId="6123" xr:uid="{00000000-0005-0000-0000-000065300000}"/>
    <cellStyle name="Normal 4 3 5 4 2 2 2 2 2" xfId="12267" xr:uid="{00000000-0005-0000-0000-000066300000}"/>
    <cellStyle name="Normal 4 3 5 4 2 2 2 2 2 2" xfId="24555" xr:uid="{00000000-0005-0000-0000-000067300000}"/>
    <cellStyle name="Normal 4 3 5 4 2 2 2 2 2 2 2" xfId="49131" xr:uid="{00000000-0005-0000-0000-000068300000}"/>
    <cellStyle name="Normal 4 3 5 4 2 2 2 2 2 3" xfId="36843" xr:uid="{00000000-0005-0000-0000-000069300000}"/>
    <cellStyle name="Normal 4 3 5 4 2 2 2 2 3" xfId="18411" xr:uid="{00000000-0005-0000-0000-00006A300000}"/>
    <cellStyle name="Normal 4 3 5 4 2 2 2 2 3 2" xfId="42987" xr:uid="{00000000-0005-0000-0000-00006B300000}"/>
    <cellStyle name="Normal 4 3 5 4 2 2 2 2 4" xfId="30699" xr:uid="{00000000-0005-0000-0000-00006C300000}"/>
    <cellStyle name="Normal 4 3 5 4 2 2 2 3" xfId="9195" xr:uid="{00000000-0005-0000-0000-00006D300000}"/>
    <cellStyle name="Normal 4 3 5 4 2 2 2 3 2" xfId="21483" xr:uid="{00000000-0005-0000-0000-00006E300000}"/>
    <cellStyle name="Normal 4 3 5 4 2 2 2 3 2 2" xfId="46059" xr:uid="{00000000-0005-0000-0000-00006F300000}"/>
    <cellStyle name="Normal 4 3 5 4 2 2 2 3 3" xfId="33771" xr:uid="{00000000-0005-0000-0000-000070300000}"/>
    <cellStyle name="Normal 4 3 5 4 2 2 2 4" xfId="15339" xr:uid="{00000000-0005-0000-0000-000071300000}"/>
    <cellStyle name="Normal 4 3 5 4 2 2 2 4 2" xfId="39915" xr:uid="{00000000-0005-0000-0000-000072300000}"/>
    <cellStyle name="Normal 4 3 5 4 2 2 2 5" xfId="27627" xr:uid="{00000000-0005-0000-0000-000073300000}"/>
    <cellStyle name="Normal 4 3 5 4 2 2 3" xfId="4587" xr:uid="{00000000-0005-0000-0000-000074300000}"/>
    <cellStyle name="Normal 4 3 5 4 2 2 3 2" xfId="10731" xr:uid="{00000000-0005-0000-0000-000075300000}"/>
    <cellStyle name="Normal 4 3 5 4 2 2 3 2 2" xfId="23019" xr:uid="{00000000-0005-0000-0000-000076300000}"/>
    <cellStyle name="Normal 4 3 5 4 2 2 3 2 2 2" xfId="47595" xr:uid="{00000000-0005-0000-0000-000077300000}"/>
    <cellStyle name="Normal 4 3 5 4 2 2 3 2 3" xfId="35307" xr:uid="{00000000-0005-0000-0000-000078300000}"/>
    <cellStyle name="Normal 4 3 5 4 2 2 3 3" xfId="16875" xr:uid="{00000000-0005-0000-0000-000079300000}"/>
    <cellStyle name="Normal 4 3 5 4 2 2 3 3 2" xfId="41451" xr:uid="{00000000-0005-0000-0000-00007A300000}"/>
    <cellStyle name="Normal 4 3 5 4 2 2 3 4" xfId="29163" xr:uid="{00000000-0005-0000-0000-00007B300000}"/>
    <cellStyle name="Normal 4 3 5 4 2 2 4" xfId="7659" xr:uid="{00000000-0005-0000-0000-00007C300000}"/>
    <cellStyle name="Normal 4 3 5 4 2 2 4 2" xfId="19947" xr:uid="{00000000-0005-0000-0000-00007D300000}"/>
    <cellStyle name="Normal 4 3 5 4 2 2 4 2 2" xfId="44523" xr:uid="{00000000-0005-0000-0000-00007E300000}"/>
    <cellStyle name="Normal 4 3 5 4 2 2 4 3" xfId="32235" xr:uid="{00000000-0005-0000-0000-00007F300000}"/>
    <cellStyle name="Normal 4 3 5 4 2 2 5" xfId="13803" xr:uid="{00000000-0005-0000-0000-000080300000}"/>
    <cellStyle name="Normal 4 3 5 4 2 2 5 2" xfId="38379" xr:uid="{00000000-0005-0000-0000-000081300000}"/>
    <cellStyle name="Normal 4 3 5 4 2 2 6" xfId="26091" xr:uid="{00000000-0005-0000-0000-000082300000}"/>
    <cellStyle name="Normal 4 3 5 4 2 3" xfId="2279" xr:uid="{00000000-0005-0000-0000-000083300000}"/>
    <cellStyle name="Normal 4 3 5 4 2 3 2" xfId="5355" xr:uid="{00000000-0005-0000-0000-000084300000}"/>
    <cellStyle name="Normal 4 3 5 4 2 3 2 2" xfId="11499" xr:uid="{00000000-0005-0000-0000-000085300000}"/>
    <cellStyle name="Normal 4 3 5 4 2 3 2 2 2" xfId="23787" xr:uid="{00000000-0005-0000-0000-000086300000}"/>
    <cellStyle name="Normal 4 3 5 4 2 3 2 2 2 2" xfId="48363" xr:uid="{00000000-0005-0000-0000-000087300000}"/>
    <cellStyle name="Normal 4 3 5 4 2 3 2 2 3" xfId="36075" xr:uid="{00000000-0005-0000-0000-000088300000}"/>
    <cellStyle name="Normal 4 3 5 4 2 3 2 3" xfId="17643" xr:uid="{00000000-0005-0000-0000-000089300000}"/>
    <cellStyle name="Normal 4 3 5 4 2 3 2 3 2" xfId="42219" xr:uid="{00000000-0005-0000-0000-00008A300000}"/>
    <cellStyle name="Normal 4 3 5 4 2 3 2 4" xfId="29931" xr:uid="{00000000-0005-0000-0000-00008B300000}"/>
    <cellStyle name="Normal 4 3 5 4 2 3 3" xfId="8427" xr:uid="{00000000-0005-0000-0000-00008C300000}"/>
    <cellStyle name="Normal 4 3 5 4 2 3 3 2" xfId="20715" xr:uid="{00000000-0005-0000-0000-00008D300000}"/>
    <cellStyle name="Normal 4 3 5 4 2 3 3 2 2" xfId="45291" xr:uid="{00000000-0005-0000-0000-00008E300000}"/>
    <cellStyle name="Normal 4 3 5 4 2 3 3 3" xfId="33003" xr:uid="{00000000-0005-0000-0000-00008F300000}"/>
    <cellStyle name="Normal 4 3 5 4 2 3 4" xfId="14571" xr:uid="{00000000-0005-0000-0000-000090300000}"/>
    <cellStyle name="Normal 4 3 5 4 2 3 4 2" xfId="39147" xr:uid="{00000000-0005-0000-0000-000091300000}"/>
    <cellStyle name="Normal 4 3 5 4 2 3 5" xfId="26859" xr:uid="{00000000-0005-0000-0000-000092300000}"/>
    <cellStyle name="Normal 4 3 5 4 2 4" xfId="3819" xr:uid="{00000000-0005-0000-0000-000093300000}"/>
    <cellStyle name="Normal 4 3 5 4 2 4 2" xfId="9963" xr:uid="{00000000-0005-0000-0000-000094300000}"/>
    <cellStyle name="Normal 4 3 5 4 2 4 2 2" xfId="22251" xr:uid="{00000000-0005-0000-0000-000095300000}"/>
    <cellStyle name="Normal 4 3 5 4 2 4 2 2 2" xfId="46827" xr:uid="{00000000-0005-0000-0000-000096300000}"/>
    <cellStyle name="Normal 4 3 5 4 2 4 2 3" xfId="34539" xr:uid="{00000000-0005-0000-0000-000097300000}"/>
    <cellStyle name="Normal 4 3 5 4 2 4 3" xfId="16107" xr:uid="{00000000-0005-0000-0000-000098300000}"/>
    <cellStyle name="Normal 4 3 5 4 2 4 3 2" xfId="40683" xr:uid="{00000000-0005-0000-0000-000099300000}"/>
    <cellStyle name="Normal 4 3 5 4 2 4 4" xfId="28395" xr:uid="{00000000-0005-0000-0000-00009A300000}"/>
    <cellStyle name="Normal 4 3 5 4 2 5" xfId="6891" xr:uid="{00000000-0005-0000-0000-00009B300000}"/>
    <cellStyle name="Normal 4 3 5 4 2 5 2" xfId="19179" xr:uid="{00000000-0005-0000-0000-00009C300000}"/>
    <cellStyle name="Normal 4 3 5 4 2 5 2 2" xfId="43755" xr:uid="{00000000-0005-0000-0000-00009D300000}"/>
    <cellStyle name="Normal 4 3 5 4 2 5 3" xfId="31467" xr:uid="{00000000-0005-0000-0000-00009E300000}"/>
    <cellStyle name="Normal 4 3 5 4 2 6" xfId="13035" xr:uid="{00000000-0005-0000-0000-00009F300000}"/>
    <cellStyle name="Normal 4 3 5 4 2 6 2" xfId="37611" xr:uid="{00000000-0005-0000-0000-0000A0300000}"/>
    <cellStyle name="Normal 4 3 5 4 2 7" xfId="25323" xr:uid="{00000000-0005-0000-0000-0000A1300000}"/>
    <cellStyle name="Normal 4 3 5 4 3" xfId="1127" xr:uid="{00000000-0005-0000-0000-0000A2300000}"/>
    <cellStyle name="Normal 4 3 5 4 3 2" xfId="2663" xr:uid="{00000000-0005-0000-0000-0000A3300000}"/>
    <cellStyle name="Normal 4 3 5 4 3 2 2" xfId="5739" xr:uid="{00000000-0005-0000-0000-0000A4300000}"/>
    <cellStyle name="Normal 4 3 5 4 3 2 2 2" xfId="11883" xr:uid="{00000000-0005-0000-0000-0000A5300000}"/>
    <cellStyle name="Normal 4 3 5 4 3 2 2 2 2" xfId="24171" xr:uid="{00000000-0005-0000-0000-0000A6300000}"/>
    <cellStyle name="Normal 4 3 5 4 3 2 2 2 2 2" xfId="48747" xr:uid="{00000000-0005-0000-0000-0000A7300000}"/>
    <cellStyle name="Normal 4 3 5 4 3 2 2 2 3" xfId="36459" xr:uid="{00000000-0005-0000-0000-0000A8300000}"/>
    <cellStyle name="Normal 4 3 5 4 3 2 2 3" xfId="18027" xr:uid="{00000000-0005-0000-0000-0000A9300000}"/>
    <cellStyle name="Normal 4 3 5 4 3 2 2 3 2" xfId="42603" xr:uid="{00000000-0005-0000-0000-0000AA300000}"/>
    <cellStyle name="Normal 4 3 5 4 3 2 2 4" xfId="30315" xr:uid="{00000000-0005-0000-0000-0000AB300000}"/>
    <cellStyle name="Normal 4 3 5 4 3 2 3" xfId="8811" xr:uid="{00000000-0005-0000-0000-0000AC300000}"/>
    <cellStyle name="Normal 4 3 5 4 3 2 3 2" xfId="21099" xr:uid="{00000000-0005-0000-0000-0000AD300000}"/>
    <cellStyle name="Normal 4 3 5 4 3 2 3 2 2" xfId="45675" xr:uid="{00000000-0005-0000-0000-0000AE300000}"/>
    <cellStyle name="Normal 4 3 5 4 3 2 3 3" xfId="33387" xr:uid="{00000000-0005-0000-0000-0000AF300000}"/>
    <cellStyle name="Normal 4 3 5 4 3 2 4" xfId="14955" xr:uid="{00000000-0005-0000-0000-0000B0300000}"/>
    <cellStyle name="Normal 4 3 5 4 3 2 4 2" xfId="39531" xr:uid="{00000000-0005-0000-0000-0000B1300000}"/>
    <cellStyle name="Normal 4 3 5 4 3 2 5" xfId="27243" xr:uid="{00000000-0005-0000-0000-0000B2300000}"/>
    <cellStyle name="Normal 4 3 5 4 3 3" xfId="4203" xr:uid="{00000000-0005-0000-0000-0000B3300000}"/>
    <cellStyle name="Normal 4 3 5 4 3 3 2" xfId="10347" xr:uid="{00000000-0005-0000-0000-0000B4300000}"/>
    <cellStyle name="Normal 4 3 5 4 3 3 2 2" xfId="22635" xr:uid="{00000000-0005-0000-0000-0000B5300000}"/>
    <cellStyle name="Normal 4 3 5 4 3 3 2 2 2" xfId="47211" xr:uid="{00000000-0005-0000-0000-0000B6300000}"/>
    <cellStyle name="Normal 4 3 5 4 3 3 2 3" xfId="34923" xr:uid="{00000000-0005-0000-0000-0000B7300000}"/>
    <cellStyle name="Normal 4 3 5 4 3 3 3" xfId="16491" xr:uid="{00000000-0005-0000-0000-0000B8300000}"/>
    <cellStyle name="Normal 4 3 5 4 3 3 3 2" xfId="41067" xr:uid="{00000000-0005-0000-0000-0000B9300000}"/>
    <cellStyle name="Normal 4 3 5 4 3 3 4" xfId="28779" xr:uid="{00000000-0005-0000-0000-0000BA300000}"/>
    <cellStyle name="Normal 4 3 5 4 3 4" xfId="7275" xr:uid="{00000000-0005-0000-0000-0000BB300000}"/>
    <cellStyle name="Normal 4 3 5 4 3 4 2" xfId="19563" xr:uid="{00000000-0005-0000-0000-0000BC300000}"/>
    <cellStyle name="Normal 4 3 5 4 3 4 2 2" xfId="44139" xr:uid="{00000000-0005-0000-0000-0000BD300000}"/>
    <cellStyle name="Normal 4 3 5 4 3 4 3" xfId="31851" xr:uid="{00000000-0005-0000-0000-0000BE300000}"/>
    <cellStyle name="Normal 4 3 5 4 3 5" xfId="13419" xr:uid="{00000000-0005-0000-0000-0000BF300000}"/>
    <cellStyle name="Normal 4 3 5 4 3 5 2" xfId="37995" xr:uid="{00000000-0005-0000-0000-0000C0300000}"/>
    <cellStyle name="Normal 4 3 5 4 3 6" xfId="25707" xr:uid="{00000000-0005-0000-0000-0000C1300000}"/>
    <cellStyle name="Normal 4 3 5 4 4" xfId="1895" xr:uid="{00000000-0005-0000-0000-0000C2300000}"/>
    <cellStyle name="Normal 4 3 5 4 4 2" xfId="4971" xr:uid="{00000000-0005-0000-0000-0000C3300000}"/>
    <cellStyle name="Normal 4 3 5 4 4 2 2" xfId="11115" xr:uid="{00000000-0005-0000-0000-0000C4300000}"/>
    <cellStyle name="Normal 4 3 5 4 4 2 2 2" xfId="23403" xr:uid="{00000000-0005-0000-0000-0000C5300000}"/>
    <cellStyle name="Normal 4 3 5 4 4 2 2 2 2" xfId="47979" xr:uid="{00000000-0005-0000-0000-0000C6300000}"/>
    <cellStyle name="Normal 4 3 5 4 4 2 2 3" xfId="35691" xr:uid="{00000000-0005-0000-0000-0000C7300000}"/>
    <cellStyle name="Normal 4 3 5 4 4 2 3" xfId="17259" xr:uid="{00000000-0005-0000-0000-0000C8300000}"/>
    <cellStyle name="Normal 4 3 5 4 4 2 3 2" xfId="41835" xr:uid="{00000000-0005-0000-0000-0000C9300000}"/>
    <cellStyle name="Normal 4 3 5 4 4 2 4" xfId="29547" xr:uid="{00000000-0005-0000-0000-0000CA300000}"/>
    <cellStyle name="Normal 4 3 5 4 4 3" xfId="8043" xr:uid="{00000000-0005-0000-0000-0000CB300000}"/>
    <cellStyle name="Normal 4 3 5 4 4 3 2" xfId="20331" xr:uid="{00000000-0005-0000-0000-0000CC300000}"/>
    <cellStyle name="Normal 4 3 5 4 4 3 2 2" xfId="44907" xr:uid="{00000000-0005-0000-0000-0000CD300000}"/>
    <cellStyle name="Normal 4 3 5 4 4 3 3" xfId="32619" xr:uid="{00000000-0005-0000-0000-0000CE300000}"/>
    <cellStyle name="Normal 4 3 5 4 4 4" xfId="14187" xr:uid="{00000000-0005-0000-0000-0000CF300000}"/>
    <cellStyle name="Normal 4 3 5 4 4 4 2" xfId="38763" xr:uid="{00000000-0005-0000-0000-0000D0300000}"/>
    <cellStyle name="Normal 4 3 5 4 4 5" xfId="26475" xr:uid="{00000000-0005-0000-0000-0000D1300000}"/>
    <cellStyle name="Normal 4 3 5 4 5" xfId="3435" xr:uid="{00000000-0005-0000-0000-0000D2300000}"/>
    <cellStyle name="Normal 4 3 5 4 5 2" xfId="9579" xr:uid="{00000000-0005-0000-0000-0000D3300000}"/>
    <cellStyle name="Normal 4 3 5 4 5 2 2" xfId="21867" xr:uid="{00000000-0005-0000-0000-0000D4300000}"/>
    <cellStyle name="Normal 4 3 5 4 5 2 2 2" xfId="46443" xr:uid="{00000000-0005-0000-0000-0000D5300000}"/>
    <cellStyle name="Normal 4 3 5 4 5 2 3" xfId="34155" xr:uid="{00000000-0005-0000-0000-0000D6300000}"/>
    <cellStyle name="Normal 4 3 5 4 5 3" xfId="15723" xr:uid="{00000000-0005-0000-0000-0000D7300000}"/>
    <cellStyle name="Normal 4 3 5 4 5 3 2" xfId="40299" xr:uid="{00000000-0005-0000-0000-0000D8300000}"/>
    <cellStyle name="Normal 4 3 5 4 5 4" xfId="28011" xr:uid="{00000000-0005-0000-0000-0000D9300000}"/>
    <cellStyle name="Normal 4 3 5 4 6" xfId="6507" xr:uid="{00000000-0005-0000-0000-0000DA300000}"/>
    <cellStyle name="Normal 4 3 5 4 6 2" xfId="18795" xr:uid="{00000000-0005-0000-0000-0000DB300000}"/>
    <cellStyle name="Normal 4 3 5 4 6 2 2" xfId="43371" xr:uid="{00000000-0005-0000-0000-0000DC300000}"/>
    <cellStyle name="Normal 4 3 5 4 6 3" xfId="31083" xr:uid="{00000000-0005-0000-0000-0000DD300000}"/>
    <cellStyle name="Normal 4 3 5 4 7" xfId="12651" xr:uid="{00000000-0005-0000-0000-0000DE300000}"/>
    <cellStyle name="Normal 4 3 5 4 7 2" xfId="37227" xr:uid="{00000000-0005-0000-0000-0000DF300000}"/>
    <cellStyle name="Normal 4 3 5 4 8" xfId="24939" xr:uid="{00000000-0005-0000-0000-0000E0300000}"/>
    <cellStyle name="Normal 4 3 5 5" xfId="551" xr:uid="{00000000-0005-0000-0000-0000E1300000}"/>
    <cellStyle name="Normal 4 3 5 5 2" xfId="1319" xr:uid="{00000000-0005-0000-0000-0000E2300000}"/>
    <cellStyle name="Normal 4 3 5 5 2 2" xfId="2855" xr:uid="{00000000-0005-0000-0000-0000E3300000}"/>
    <cellStyle name="Normal 4 3 5 5 2 2 2" xfId="5931" xr:uid="{00000000-0005-0000-0000-0000E4300000}"/>
    <cellStyle name="Normal 4 3 5 5 2 2 2 2" xfId="12075" xr:uid="{00000000-0005-0000-0000-0000E5300000}"/>
    <cellStyle name="Normal 4 3 5 5 2 2 2 2 2" xfId="24363" xr:uid="{00000000-0005-0000-0000-0000E6300000}"/>
    <cellStyle name="Normal 4 3 5 5 2 2 2 2 2 2" xfId="48939" xr:uid="{00000000-0005-0000-0000-0000E7300000}"/>
    <cellStyle name="Normal 4 3 5 5 2 2 2 2 3" xfId="36651" xr:uid="{00000000-0005-0000-0000-0000E8300000}"/>
    <cellStyle name="Normal 4 3 5 5 2 2 2 3" xfId="18219" xr:uid="{00000000-0005-0000-0000-0000E9300000}"/>
    <cellStyle name="Normal 4 3 5 5 2 2 2 3 2" xfId="42795" xr:uid="{00000000-0005-0000-0000-0000EA300000}"/>
    <cellStyle name="Normal 4 3 5 5 2 2 2 4" xfId="30507" xr:uid="{00000000-0005-0000-0000-0000EB300000}"/>
    <cellStyle name="Normal 4 3 5 5 2 2 3" xfId="9003" xr:uid="{00000000-0005-0000-0000-0000EC300000}"/>
    <cellStyle name="Normal 4 3 5 5 2 2 3 2" xfId="21291" xr:uid="{00000000-0005-0000-0000-0000ED300000}"/>
    <cellStyle name="Normal 4 3 5 5 2 2 3 2 2" xfId="45867" xr:uid="{00000000-0005-0000-0000-0000EE300000}"/>
    <cellStyle name="Normal 4 3 5 5 2 2 3 3" xfId="33579" xr:uid="{00000000-0005-0000-0000-0000EF300000}"/>
    <cellStyle name="Normal 4 3 5 5 2 2 4" xfId="15147" xr:uid="{00000000-0005-0000-0000-0000F0300000}"/>
    <cellStyle name="Normal 4 3 5 5 2 2 4 2" xfId="39723" xr:uid="{00000000-0005-0000-0000-0000F1300000}"/>
    <cellStyle name="Normal 4 3 5 5 2 2 5" xfId="27435" xr:uid="{00000000-0005-0000-0000-0000F2300000}"/>
    <cellStyle name="Normal 4 3 5 5 2 3" xfId="4395" xr:uid="{00000000-0005-0000-0000-0000F3300000}"/>
    <cellStyle name="Normal 4 3 5 5 2 3 2" xfId="10539" xr:uid="{00000000-0005-0000-0000-0000F4300000}"/>
    <cellStyle name="Normal 4 3 5 5 2 3 2 2" xfId="22827" xr:uid="{00000000-0005-0000-0000-0000F5300000}"/>
    <cellStyle name="Normal 4 3 5 5 2 3 2 2 2" xfId="47403" xr:uid="{00000000-0005-0000-0000-0000F6300000}"/>
    <cellStyle name="Normal 4 3 5 5 2 3 2 3" xfId="35115" xr:uid="{00000000-0005-0000-0000-0000F7300000}"/>
    <cellStyle name="Normal 4 3 5 5 2 3 3" xfId="16683" xr:uid="{00000000-0005-0000-0000-0000F8300000}"/>
    <cellStyle name="Normal 4 3 5 5 2 3 3 2" xfId="41259" xr:uid="{00000000-0005-0000-0000-0000F9300000}"/>
    <cellStyle name="Normal 4 3 5 5 2 3 4" xfId="28971" xr:uid="{00000000-0005-0000-0000-0000FA300000}"/>
    <cellStyle name="Normal 4 3 5 5 2 4" xfId="7467" xr:uid="{00000000-0005-0000-0000-0000FB300000}"/>
    <cellStyle name="Normal 4 3 5 5 2 4 2" xfId="19755" xr:uid="{00000000-0005-0000-0000-0000FC300000}"/>
    <cellStyle name="Normal 4 3 5 5 2 4 2 2" xfId="44331" xr:uid="{00000000-0005-0000-0000-0000FD300000}"/>
    <cellStyle name="Normal 4 3 5 5 2 4 3" xfId="32043" xr:uid="{00000000-0005-0000-0000-0000FE300000}"/>
    <cellStyle name="Normal 4 3 5 5 2 5" xfId="13611" xr:uid="{00000000-0005-0000-0000-0000FF300000}"/>
    <cellStyle name="Normal 4 3 5 5 2 5 2" xfId="38187" xr:uid="{00000000-0005-0000-0000-000000310000}"/>
    <cellStyle name="Normal 4 3 5 5 2 6" xfId="25899" xr:uid="{00000000-0005-0000-0000-000001310000}"/>
    <cellStyle name="Normal 4 3 5 5 3" xfId="2087" xr:uid="{00000000-0005-0000-0000-000002310000}"/>
    <cellStyle name="Normal 4 3 5 5 3 2" xfId="5163" xr:uid="{00000000-0005-0000-0000-000003310000}"/>
    <cellStyle name="Normal 4 3 5 5 3 2 2" xfId="11307" xr:uid="{00000000-0005-0000-0000-000004310000}"/>
    <cellStyle name="Normal 4 3 5 5 3 2 2 2" xfId="23595" xr:uid="{00000000-0005-0000-0000-000005310000}"/>
    <cellStyle name="Normal 4 3 5 5 3 2 2 2 2" xfId="48171" xr:uid="{00000000-0005-0000-0000-000006310000}"/>
    <cellStyle name="Normal 4 3 5 5 3 2 2 3" xfId="35883" xr:uid="{00000000-0005-0000-0000-000007310000}"/>
    <cellStyle name="Normal 4 3 5 5 3 2 3" xfId="17451" xr:uid="{00000000-0005-0000-0000-000008310000}"/>
    <cellStyle name="Normal 4 3 5 5 3 2 3 2" xfId="42027" xr:uid="{00000000-0005-0000-0000-000009310000}"/>
    <cellStyle name="Normal 4 3 5 5 3 2 4" xfId="29739" xr:uid="{00000000-0005-0000-0000-00000A310000}"/>
    <cellStyle name="Normal 4 3 5 5 3 3" xfId="8235" xr:uid="{00000000-0005-0000-0000-00000B310000}"/>
    <cellStyle name="Normal 4 3 5 5 3 3 2" xfId="20523" xr:uid="{00000000-0005-0000-0000-00000C310000}"/>
    <cellStyle name="Normal 4 3 5 5 3 3 2 2" xfId="45099" xr:uid="{00000000-0005-0000-0000-00000D310000}"/>
    <cellStyle name="Normal 4 3 5 5 3 3 3" xfId="32811" xr:uid="{00000000-0005-0000-0000-00000E310000}"/>
    <cellStyle name="Normal 4 3 5 5 3 4" xfId="14379" xr:uid="{00000000-0005-0000-0000-00000F310000}"/>
    <cellStyle name="Normal 4 3 5 5 3 4 2" xfId="38955" xr:uid="{00000000-0005-0000-0000-000010310000}"/>
    <cellStyle name="Normal 4 3 5 5 3 5" xfId="26667" xr:uid="{00000000-0005-0000-0000-000011310000}"/>
    <cellStyle name="Normal 4 3 5 5 4" xfId="3627" xr:uid="{00000000-0005-0000-0000-000012310000}"/>
    <cellStyle name="Normal 4 3 5 5 4 2" xfId="9771" xr:uid="{00000000-0005-0000-0000-000013310000}"/>
    <cellStyle name="Normal 4 3 5 5 4 2 2" xfId="22059" xr:uid="{00000000-0005-0000-0000-000014310000}"/>
    <cellStyle name="Normal 4 3 5 5 4 2 2 2" xfId="46635" xr:uid="{00000000-0005-0000-0000-000015310000}"/>
    <cellStyle name="Normal 4 3 5 5 4 2 3" xfId="34347" xr:uid="{00000000-0005-0000-0000-000016310000}"/>
    <cellStyle name="Normal 4 3 5 5 4 3" xfId="15915" xr:uid="{00000000-0005-0000-0000-000017310000}"/>
    <cellStyle name="Normal 4 3 5 5 4 3 2" xfId="40491" xr:uid="{00000000-0005-0000-0000-000018310000}"/>
    <cellStyle name="Normal 4 3 5 5 4 4" xfId="28203" xr:uid="{00000000-0005-0000-0000-000019310000}"/>
    <cellStyle name="Normal 4 3 5 5 5" xfId="6699" xr:uid="{00000000-0005-0000-0000-00001A310000}"/>
    <cellStyle name="Normal 4 3 5 5 5 2" xfId="18987" xr:uid="{00000000-0005-0000-0000-00001B310000}"/>
    <cellStyle name="Normal 4 3 5 5 5 2 2" xfId="43563" xr:uid="{00000000-0005-0000-0000-00001C310000}"/>
    <cellStyle name="Normal 4 3 5 5 5 3" xfId="31275" xr:uid="{00000000-0005-0000-0000-00001D310000}"/>
    <cellStyle name="Normal 4 3 5 5 6" xfId="12843" xr:uid="{00000000-0005-0000-0000-00001E310000}"/>
    <cellStyle name="Normal 4 3 5 5 6 2" xfId="37419" xr:uid="{00000000-0005-0000-0000-00001F310000}"/>
    <cellStyle name="Normal 4 3 5 5 7" xfId="25131" xr:uid="{00000000-0005-0000-0000-000020310000}"/>
    <cellStyle name="Normal 4 3 5 6" xfId="935" xr:uid="{00000000-0005-0000-0000-000021310000}"/>
    <cellStyle name="Normal 4 3 5 6 2" xfId="2471" xr:uid="{00000000-0005-0000-0000-000022310000}"/>
    <cellStyle name="Normal 4 3 5 6 2 2" xfId="5547" xr:uid="{00000000-0005-0000-0000-000023310000}"/>
    <cellStyle name="Normal 4 3 5 6 2 2 2" xfId="11691" xr:uid="{00000000-0005-0000-0000-000024310000}"/>
    <cellStyle name="Normal 4 3 5 6 2 2 2 2" xfId="23979" xr:uid="{00000000-0005-0000-0000-000025310000}"/>
    <cellStyle name="Normal 4 3 5 6 2 2 2 2 2" xfId="48555" xr:uid="{00000000-0005-0000-0000-000026310000}"/>
    <cellStyle name="Normal 4 3 5 6 2 2 2 3" xfId="36267" xr:uid="{00000000-0005-0000-0000-000027310000}"/>
    <cellStyle name="Normal 4 3 5 6 2 2 3" xfId="17835" xr:uid="{00000000-0005-0000-0000-000028310000}"/>
    <cellStyle name="Normal 4 3 5 6 2 2 3 2" xfId="42411" xr:uid="{00000000-0005-0000-0000-000029310000}"/>
    <cellStyle name="Normal 4 3 5 6 2 2 4" xfId="30123" xr:uid="{00000000-0005-0000-0000-00002A310000}"/>
    <cellStyle name="Normal 4 3 5 6 2 3" xfId="8619" xr:uid="{00000000-0005-0000-0000-00002B310000}"/>
    <cellStyle name="Normal 4 3 5 6 2 3 2" xfId="20907" xr:uid="{00000000-0005-0000-0000-00002C310000}"/>
    <cellStyle name="Normal 4 3 5 6 2 3 2 2" xfId="45483" xr:uid="{00000000-0005-0000-0000-00002D310000}"/>
    <cellStyle name="Normal 4 3 5 6 2 3 3" xfId="33195" xr:uid="{00000000-0005-0000-0000-00002E310000}"/>
    <cellStyle name="Normal 4 3 5 6 2 4" xfId="14763" xr:uid="{00000000-0005-0000-0000-00002F310000}"/>
    <cellStyle name="Normal 4 3 5 6 2 4 2" xfId="39339" xr:uid="{00000000-0005-0000-0000-000030310000}"/>
    <cellStyle name="Normal 4 3 5 6 2 5" xfId="27051" xr:uid="{00000000-0005-0000-0000-000031310000}"/>
    <cellStyle name="Normal 4 3 5 6 3" xfId="4011" xr:uid="{00000000-0005-0000-0000-000032310000}"/>
    <cellStyle name="Normal 4 3 5 6 3 2" xfId="10155" xr:uid="{00000000-0005-0000-0000-000033310000}"/>
    <cellStyle name="Normal 4 3 5 6 3 2 2" xfId="22443" xr:uid="{00000000-0005-0000-0000-000034310000}"/>
    <cellStyle name="Normal 4 3 5 6 3 2 2 2" xfId="47019" xr:uid="{00000000-0005-0000-0000-000035310000}"/>
    <cellStyle name="Normal 4 3 5 6 3 2 3" xfId="34731" xr:uid="{00000000-0005-0000-0000-000036310000}"/>
    <cellStyle name="Normal 4 3 5 6 3 3" xfId="16299" xr:uid="{00000000-0005-0000-0000-000037310000}"/>
    <cellStyle name="Normal 4 3 5 6 3 3 2" xfId="40875" xr:uid="{00000000-0005-0000-0000-000038310000}"/>
    <cellStyle name="Normal 4 3 5 6 3 4" xfId="28587" xr:uid="{00000000-0005-0000-0000-000039310000}"/>
    <cellStyle name="Normal 4 3 5 6 4" xfId="7083" xr:uid="{00000000-0005-0000-0000-00003A310000}"/>
    <cellStyle name="Normal 4 3 5 6 4 2" xfId="19371" xr:uid="{00000000-0005-0000-0000-00003B310000}"/>
    <cellStyle name="Normal 4 3 5 6 4 2 2" xfId="43947" xr:uid="{00000000-0005-0000-0000-00003C310000}"/>
    <cellStyle name="Normal 4 3 5 6 4 3" xfId="31659" xr:uid="{00000000-0005-0000-0000-00003D310000}"/>
    <cellStyle name="Normal 4 3 5 6 5" xfId="13227" xr:uid="{00000000-0005-0000-0000-00003E310000}"/>
    <cellStyle name="Normal 4 3 5 6 5 2" xfId="37803" xr:uid="{00000000-0005-0000-0000-00003F310000}"/>
    <cellStyle name="Normal 4 3 5 6 6" xfId="25515" xr:uid="{00000000-0005-0000-0000-000040310000}"/>
    <cellStyle name="Normal 4 3 5 7" xfId="1703" xr:uid="{00000000-0005-0000-0000-000041310000}"/>
    <cellStyle name="Normal 4 3 5 7 2" xfId="4779" xr:uid="{00000000-0005-0000-0000-000042310000}"/>
    <cellStyle name="Normal 4 3 5 7 2 2" xfId="10923" xr:uid="{00000000-0005-0000-0000-000043310000}"/>
    <cellStyle name="Normal 4 3 5 7 2 2 2" xfId="23211" xr:uid="{00000000-0005-0000-0000-000044310000}"/>
    <cellStyle name="Normal 4 3 5 7 2 2 2 2" xfId="47787" xr:uid="{00000000-0005-0000-0000-000045310000}"/>
    <cellStyle name="Normal 4 3 5 7 2 2 3" xfId="35499" xr:uid="{00000000-0005-0000-0000-000046310000}"/>
    <cellStyle name="Normal 4 3 5 7 2 3" xfId="17067" xr:uid="{00000000-0005-0000-0000-000047310000}"/>
    <cellStyle name="Normal 4 3 5 7 2 3 2" xfId="41643" xr:uid="{00000000-0005-0000-0000-000048310000}"/>
    <cellStyle name="Normal 4 3 5 7 2 4" xfId="29355" xr:uid="{00000000-0005-0000-0000-000049310000}"/>
    <cellStyle name="Normal 4 3 5 7 3" xfId="7851" xr:uid="{00000000-0005-0000-0000-00004A310000}"/>
    <cellStyle name="Normal 4 3 5 7 3 2" xfId="20139" xr:uid="{00000000-0005-0000-0000-00004B310000}"/>
    <cellStyle name="Normal 4 3 5 7 3 2 2" xfId="44715" xr:uid="{00000000-0005-0000-0000-00004C310000}"/>
    <cellStyle name="Normal 4 3 5 7 3 3" xfId="32427" xr:uid="{00000000-0005-0000-0000-00004D310000}"/>
    <cellStyle name="Normal 4 3 5 7 4" xfId="13995" xr:uid="{00000000-0005-0000-0000-00004E310000}"/>
    <cellStyle name="Normal 4 3 5 7 4 2" xfId="38571" xr:uid="{00000000-0005-0000-0000-00004F310000}"/>
    <cellStyle name="Normal 4 3 5 7 5" xfId="26283" xr:uid="{00000000-0005-0000-0000-000050310000}"/>
    <cellStyle name="Normal 4 3 5 8" xfId="3243" xr:uid="{00000000-0005-0000-0000-000051310000}"/>
    <cellStyle name="Normal 4 3 5 8 2" xfId="9387" xr:uid="{00000000-0005-0000-0000-000052310000}"/>
    <cellStyle name="Normal 4 3 5 8 2 2" xfId="21675" xr:uid="{00000000-0005-0000-0000-000053310000}"/>
    <cellStyle name="Normal 4 3 5 8 2 2 2" xfId="46251" xr:uid="{00000000-0005-0000-0000-000054310000}"/>
    <cellStyle name="Normal 4 3 5 8 2 3" xfId="33963" xr:uid="{00000000-0005-0000-0000-000055310000}"/>
    <cellStyle name="Normal 4 3 5 8 3" xfId="15531" xr:uid="{00000000-0005-0000-0000-000056310000}"/>
    <cellStyle name="Normal 4 3 5 8 3 2" xfId="40107" xr:uid="{00000000-0005-0000-0000-000057310000}"/>
    <cellStyle name="Normal 4 3 5 8 4" xfId="27819" xr:uid="{00000000-0005-0000-0000-000058310000}"/>
    <cellStyle name="Normal 4 3 5 9" xfId="6315" xr:uid="{00000000-0005-0000-0000-000059310000}"/>
    <cellStyle name="Normal 4 3 5 9 2" xfId="18603" xr:uid="{00000000-0005-0000-0000-00005A310000}"/>
    <cellStyle name="Normal 4 3 5 9 2 2" xfId="43179" xr:uid="{00000000-0005-0000-0000-00005B310000}"/>
    <cellStyle name="Normal 4 3 5 9 3" xfId="30891" xr:uid="{00000000-0005-0000-0000-00005C310000}"/>
    <cellStyle name="Normal 4 3 6" xfId="199" xr:uid="{00000000-0005-0000-0000-00005D310000}"/>
    <cellStyle name="Normal 4 3 6 2" xfId="391" xr:uid="{00000000-0005-0000-0000-00005E310000}"/>
    <cellStyle name="Normal 4 3 6 2 2" xfId="775" xr:uid="{00000000-0005-0000-0000-00005F310000}"/>
    <cellStyle name="Normal 4 3 6 2 2 2" xfId="1543" xr:uid="{00000000-0005-0000-0000-000060310000}"/>
    <cellStyle name="Normal 4 3 6 2 2 2 2" xfId="3079" xr:uid="{00000000-0005-0000-0000-000061310000}"/>
    <cellStyle name="Normal 4 3 6 2 2 2 2 2" xfId="6155" xr:uid="{00000000-0005-0000-0000-000062310000}"/>
    <cellStyle name="Normal 4 3 6 2 2 2 2 2 2" xfId="12299" xr:uid="{00000000-0005-0000-0000-000063310000}"/>
    <cellStyle name="Normal 4 3 6 2 2 2 2 2 2 2" xfId="24587" xr:uid="{00000000-0005-0000-0000-000064310000}"/>
    <cellStyle name="Normal 4 3 6 2 2 2 2 2 2 2 2" xfId="49163" xr:uid="{00000000-0005-0000-0000-000065310000}"/>
    <cellStyle name="Normal 4 3 6 2 2 2 2 2 2 3" xfId="36875" xr:uid="{00000000-0005-0000-0000-000066310000}"/>
    <cellStyle name="Normal 4 3 6 2 2 2 2 2 3" xfId="18443" xr:uid="{00000000-0005-0000-0000-000067310000}"/>
    <cellStyle name="Normal 4 3 6 2 2 2 2 2 3 2" xfId="43019" xr:uid="{00000000-0005-0000-0000-000068310000}"/>
    <cellStyle name="Normal 4 3 6 2 2 2 2 2 4" xfId="30731" xr:uid="{00000000-0005-0000-0000-000069310000}"/>
    <cellStyle name="Normal 4 3 6 2 2 2 2 3" xfId="9227" xr:uid="{00000000-0005-0000-0000-00006A310000}"/>
    <cellStyle name="Normal 4 3 6 2 2 2 2 3 2" xfId="21515" xr:uid="{00000000-0005-0000-0000-00006B310000}"/>
    <cellStyle name="Normal 4 3 6 2 2 2 2 3 2 2" xfId="46091" xr:uid="{00000000-0005-0000-0000-00006C310000}"/>
    <cellStyle name="Normal 4 3 6 2 2 2 2 3 3" xfId="33803" xr:uid="{00000000-0005-0000-0000-00006D310000}"/>
    <cellStyle name="Normal 4 3 6 2 2 2 2 4" xfId="15371" xr:uid="{00000000-0005-0000-0000-00006E310000}"/>
    <cellStyle name="Normal 4 3 6 2 2 2 2 4 2" xfId="39947" xr:uid="{00000000-0005-0000-0000-00006F310000}"/>
    <cellStyle name="Normal 4 3 6 2 2 2 2 5" xfId="27659" xr:uid="{00000000-0005-0000-0000-000070310000}"/>
    <cellStyle name="Normal 4 3 6 2 2 2 3" xfId="4619" xr:uid="{00000000-0005-0000-0000-000071310000}"/>
    <cellStyle name="Normal 4 3 6 2 2 2 3 2" xfId="10763" xr:uid="{00000000-0005-0000-0000-000072310000}"/>
    <cellStyle name="Normal 4 3 6 2 2 2 3 2 2" xfId="23051" xr:uid="{00000000-0005-0000-0000-000073310000}"/>
    <cellStyle name="Normal 4 3 6 2 2 2 3 2 2 2" xfId="47627" xr:uid="{00000000-0005-0000-0000-000074310000}"/>
    <cellStyle name="Normal 4 3 6 2 2 2 3 2 3" xfId="35339" xr:uid="{00000000-0005-0000-0000-000075310000}"/>
    <cellStyle name="Normal 4 3 6 2 2 2 3 3" xfId="16907" xr:uid="{00000000-0005-0000-0000-000076310000}"/>
    <cellStyle name="Normal 4 3 6 2 2 2 3 3 2" xfId="41483" xr:uid="{00000000-0005-0000-0000-000077310000}"/>
    <cellStyle name="Normal 4 3 6 2 2 2 3 4" xfId="29195" xr:uid="{00000000-0005-0000-0000-000078310000}"/>
    <cellStyle name="Normal 4 3 6 2 2 2 4" xfId="7691" xr:uid="{00000000-0005-0000-0000-000079310000}"/>
    <cellStyle name="Normal 4 3 6 2 2 2 4 2" xfId="19979" xr:uid="{00000000-0005-0000-0000-00007A310000}"/>
    <cellStyle name="Normal 4 3 6 2 2 2 4 2 2" xfId="44555" xr:uid="{00000000-0005-0000-0000-00007B310000}"/>
    <cellStyle name="Normal 4 3 6 2 2 2 4 3" xfId="32267" xr:uid="{00000000-0005-0000-0000-00007C310000}"/>
    <cellStyle name="Normal 4 3 6 2 2 2 5" xfId="13835" xr:uid="{00000000-0005-0000-0000-00007D310000}"/>
    <cellStyle name="Normal 4 3 6 2 2 2 5 2" xfId="38411" xr:uid="{00000000-0005-0000-0000-00007E310000}"/>
    <cellStyle name="Normal 4 3 6 2 2 2 6" xfId="26123" xr:uid="{00000000-0005-0000-0000-00007F310000}"/>
    <cellStyle name="Normal 4 3 6 2 2 3" xfId="2311" xr:uid="{00000000-0005-0000-0000-000080310000}"/>
    <cellStyle name="Normal 4 3 6 2 2 3 2" xfId="5387" xr:uid="{00000000-0005-0000-0000-000081310000}"/>
    <cellStyle name="Normal 4 3 6 2 2 3 2 2" xfId="11531" xr:uid="{00000000-0005-0000-0000-000082310000}"/>
    <cellStyle name="Normal 4 3 6 2 2 3 2 2 2" xfId="23819" xr:uid="{00000000-0005-0000-0000-000083310000}"/>
    <cellStyle name="Normal 4 3 6 2 2 3 2 2 2 2" xfId="48395" xr:uid="{00000000-0005-0000-0000-000084310000}"/>
    <cellStyle name="Normal 4 3 6 2 2 3 2 2 3" xfId="36107" xr:uid="{00000000-0005-0000-0000-000085310000}"/>
    <cellStyle name="Normal 4 3 6 2 2 3 2 3" xfId="17675" xr:uid="{00000000-0005-0000-0000-000086310000}"/>
    <cellStyle name="Normal 4 3 6 2 2 3 2 3 2" xfId="42251" xr:uid="{00000000-0005-0000-0000-000087310000}"/>
    <cellStyle name="Normal 4 3 6 2 2 3 2 4" xfId="29963" xr:uid="{00000000-0005-0000-0000-000088310000}"/>
    <cellStyle name="Normal 4 3 6 2 2 3 3" xfId="8459" xr:uid="{00000000-0005-0000-0000-000089310000}"/>
    <cellStyle name="Normal 4 3 6 2 2 3 3 2" xfId="20747" xr:uid="{00000000-0005-0000-0000-00008A310000}"/>
    <cellStyle name="Normal 4 3 6 2 2 3 3 2 2" xfId="45323" xr:uid="{00000000-0005-0000-0000-00008B310000}"/>
    <cellStyle name="Normal 4 3 6 2 2 3 3 3" xfId="33035" xr:uid="{00000000-0005-0000-0000-00008C310000}"/>
    <cellStyle name="Normal 4 3 6 2 2 3 4" xfId="14603" xr:uid="{00000000-0005-0000-0000-00008D310000}"/>
    <cellStyle name="Normal 4 3 6 2 2 3 4 2" xfId="39179" xr:uid="{00000000-0005-0000-0000-00008E310000}"/>
    <cellStyle name="Normal 4 3 6 2 2 3 5" xfId="26891" xr:uid="{00000000-0005-0000-0000-00008F310000}"/>
    <cellStyle name="Normal 4 3 6 2 2 4" xfId="3851" xr:uid="{00000000-0005-0000-0000-000090310000}"/>
    <cellStyle name="Normal 4 3 6 2 2 4 2" xfId="9995" xr:uid="{00000000-0005-0000-0000-000091310000}"/>
    <cellStyle name="Normal 4 3 6 2 2 4 2 2" xfId="22283" xr:uid="{00000000-0005-0000-0000-000092310000}"/>
    <cellStyle name="Normal 4 3 6 2 2 4 2 2 2" xfId="46859" xr:uid="{00000000-0005-0000-0000-000093310000}"/>
    <cellStyle name="Normal 4 3 6 2 2 4 2 3" xfId="34571" xr:uid="{00000000-0005-0000-0000-000094310000}"/>
    <cellStyle name="Normal 4 3 6 2 2 4 3" xfId="16139" xr:uid="{00000000-0005-0000-0000-000095310000}"/>
    <cellStyle name="Normal 4 3 6 2 2 4 3 2" xfId="40715" xr:uid="{00000000-0005-0000-0000-000096310000}"/>
    <cellStyle name="Normal 4 3 6 2 2 4 4" xfId="28427" xr:uid="{00000000-0005-0000-0000-000097310000}"/>
    <cellStyle name="Normal 4 3 6 2 2 5" xfId="6923" xr:uid="{00000000-0005-0000-0000-000098310000}"/>
    <cellStyle name="Normal 4 3 6 2 2 5 2" xfId="19211" xr:uid="{00000000-0005-0000-0000-000099310000}"/>
    <cellStyle name="Normal 4 3 6 2 2 5 2 2" xfId="43787" xr:uid="{00000000-0005-0000-0000-00009A310000}"/>
    <cellStyle name="Normal 4 3 6 2 2 5 3" xfId="31499" xr:uid="{00000000-0005-0000-0000-00009B310000}"/>
    <cellStyle name="Normal 4 3 6 2 2 6" xfId="13067" xr:uid="{00000000-0005-0000-0000-00009C310000}"/>
    <cellStyle name="Normal 4 3 6 2 2 6 2" xfId="37643" xr:uid="{00000000-0005-0000-0000-00009D310000}"/>
    <cellStyle name="Normal 4 3 6 2 2 7" xfId="25355" xr:uid="{00000000-0005-0000-0000-00009E310000}"/>
    <cellStyle name="Normal 4 3 6 2 3" xfId="1159" xr:uid="{00000000-0005-0000-0000-00009F310000}"/>
    <cellStyle name="Normal 4 3 6 2 3 2" xfId="2695" xr:uid="{00000000-0005-0000-0000-0000A0310000}"/>
    <cellStyle name="Normal 4 3 6 2 3 2 2" xfId="5771" xr:uid="{00000000-0005-0000-0000-0000A1310000}"/>
    <cellStyle name="Normal 4 3 6 2 3 2 2 2" xfId="11915" xr:uid="{00000000-0005-0000-0000-0000A2310000}"/>
    <cellStyle name="Normal 4 3 6 2 3 2 2 2 2" xfId="24203" xr:uid="{00000000-0005-0000-0000-0000A3310000}"/>
    <cellStyle name="Normal 4 3 6 2 3 2 2 2 2 2" xfId="48779" xr:uid="{00000000-0005-0000-0000-0000A4310000}"/>
    <cellStyle name="Normal 4 3 6 2 3 2 2 2 3" xfId="36491" xr:uid="{00000000-0005-0000-0000-0000A5310000}"/>
    <cellStyle name="Normal 4 3 6 2 3 2 2 3" xfId="18059" xr:uid="{00000000-0005-0000-0000-0000A6310000}"/>
    <cellStyle name="Normal 4 3 6 2 3 2 2 3 2" xfId="42635" xr:uid="{00000000-0005-0000-0000-0000A7310000}"/>
    <cellStyle name="Normal 4 3 6 2 3 2 2 4" xfId="30347" xr:uid="{00000000-0005-0000-0000-0000A8310000}"/>
    <cellStyle name="Normal 4 3 6 2 3 2 3" xfId="8843" xr:uid="{00000000-0005-0000-0000-0000A9310000}"/>
    <cellStyle name="Normal 4 3 6 2 3 2 3 2" xfId="21131" xr:uid="{00000000-0005-0000-0000-0000AA310000}"/>
    <cellStyle name="Normal 4 3 6 2 3 2 3 2 2" xfId="45707" xr:uid="{00000000-0005-0000-0000-0000AB310000}"/>
    <cellStyle name="Normal 4 3 6 2 3 2 3 3" xfId="33419" xr:uid="{00000000-0005-0000-0000-0000AC310000}"/>
    <cellStyle name="Normal 4 3 6 2 3 2 4" xfId="14987" xr:uid="{00000000-0005-0000-0000-0000AD310000}"/>
    <cellStyle name="Normal 4 3 6 2 3 2 4 2" xfId="39563" xr:uid="{00000000-0005-0000-0000-0000AE310000}"/>
    <cellStyle name="Normal 4 3 6 2 3 2 5" xfId="27275" xr:uid="{00000000-0005-0000-0000-0000AF310000}"/>
    <cellStyle name="Normal 4 3 6 2 3 3" xfId="4235" xr:uid="{00000000-0005-0000-0000-0000B0310000}"/>
    <cellStyle name="Normal 4 3 6 2 3 3 2" xfId="10379" xr:uid="{00000000-0005-0000-0000-0000B1310000}"/>
    <cellStyle name="Normal 4 3 6 2 3 3 2 2" xfId="22667" xr:uid="{00000000-0005-0000-0000-0000B2310000}"/>
    <cellStyle name="Normal 4 3 6 2 3 3 2 2 2" xfId="47243" xr:uid="{00000000-0005-0000-0000-0000B3310000}"/>
    <cellStyle name="Normal 4 3 6 2 3 3 2 3" xfId="34955" xr:uid="{00000000-0005-0000-0000-0000B4310000}"/>
    <cellStyle name="Normal 4 3 6 2 3 3 3" xfId="16523" xr:uid="{00000000-0005-0000-0000-0000B5310000}"/>
    <cellStyle name="Normal 4 3 6 2 3 3 3 2" xfId="41099" xr:uid="{00000000-0005-0000-0000-0000B6310000}"/>
    <cellStyle name="Normal 4 3 6 2 3 3 4" xfId="28811" xr:uid="{00000000-0005-0000-0000-0000B7310000}"/>
    <cellStyle name="Normal 4 3 6 2 3 4" xfId="7307" xr:uid="{00000000-0005-0000-0000-0000B8310000}"/>
    <cellStyle name="Normal 4 3 6 2 3 4 2" xfId="19595" xr:uid="{00000000-0005-0000-0000-0000B9310000}"/>
    <cellStyle name="Normal 4 3 6 2 3 4 2 2" xfId="44171" xr:uid="{00000000-0005-0000-0000-0000BA310000}"/>
    <cellStyle name="Normal 4 3 6 2 3 4 3" xfId="31883" xr:uid="{00000000-0005-0000-0000-0000BB310000}"/>
    <cellStyle name="Normal 4 3 6 2 3 5" xfId="13451" xr:uid="{00000000-0005-0000-0000-0000BC310000}"/>
    <cellStyle name="Normal 4 3 6 2 3 5 2" xfId="38027" xr:uid="{00000000-0005-0000-0000-0000BD310000}"/>
    <cellStyle name="Normal 4 3 6 2 3 6" xfId="25739" xr:uid="{00000000-0005-0000-0000-0000BE310000}"/>
    <cellStyle name="Normal 4 3 6 2 4" xfId="1927" xr:uid="{00000000-0005-0000-0000-0000BF310000}"/>
    <cellStyle name="Normal 4 3 6 2 4 2" xfId="5003" xr:uid="{00000000-0005-0000-0000-0000C0310000}"/>
    <cellStyle name="Normal 4 3 6 2 4 2 2" xfId="11147" xr:uid="{00000000-0005-0000-0000-0000C1310000}"/>
    <cellStyle name="Normal 4 3 6 2 4 2 2 2" xfId="23435" xr:uid="{00000000-0005-0000-0000-0000C2310000}"/>
    <cellStyle name="Normal 4 3 6 2 4 2 2 2 2" xfId="48011" xr:uid="{00000000-0005-0000-0000-0000C3310000}"/>
    <cellStyle name="Normal 4 3 6 2 4 2 2 3" xfId="35723" xr:uid="{00000000-0005-0000-0000-0000C4310000}"/>
    <cellStyle name="Normal 4 3 6 2 4 2 3" xfId="17291" xr:uid="{00000000-0005-0000-0000-0000C5310000}"/>
    <cellStyle name="Normal 4 3 6 2 4 2 3 2" xfId="41867" xr:uid="{00000000-0005-0000-0000-0000C6310000}"/>
    <cellStyle name="Normal 4 3 6 2 4 2 4" xfId="29579" xr:uid="{00000000-0005-0000-0000-0000C7310000}"/>
    <cellStyle name="Normal 4 3 6 2 4 3" xfId="8075" xr:uid="{00000000-0005-0000-0000-0000C8310000}"/>
    <cellStyle name="Normal 4 3 6 2 4 3 2" xfId="20363" xr:uid="{00000000-0005-0000-0000-0000C9310000}"/>
    <cellStyle name="Normal 4 3 6 2 4 3 2 2" xfId="44939" xr:uid="{00000000-0005-0000-0000-0000CA310000}"/>
    <cellStyle name="Normal 4 3 6 2 4 3 3" xfId="32651" xr:uid="{00000000-0005-0000-0000-0000CB310000}"/>
    <cellStyle name="Normal 4 3 6 2 4 4" xfId="14219" xr:uid="{00000000-0005-0000-0000-0000CC310000}"/>
    <cellStyle name="Normal 4 3 6 2 4 4 2" xfId="38795" xr:uid="{00000000-0005-0000-0000-0000CD310000}"/>
    <cellStyle name="Normal 4 3 6 2 4 5" xfId="26507" xr:uid="{00000000-0005-0000-0000-0000CE310000}"/>
    <cellStyle name="Normal 4 3 6 2 5" xfId="3467" xr:uid="{00000000-0005-0000-0000-0000CF310000}"/>
    <cellStyle name="Normal 4 3 6 2 5 2" xfId="9611" xr:uid="{00000000-0005-0000-0000-0000D0310000}"/>
    <cellStyle name="Normal 4 3 6 2 5 2 2" xfId="21899" xr:uid="{00000000-0005-0000-0000-0000D1310000}"/>
    <cellStyle name="Normal 4 3 6 2 5 2 2 2" xfId="46475" xr:uid="{00000000-0005-0000-0000-0000D2310000}"/>
    <cellStyle name="Normal 4 3 6 2 5 2 3" xfId="34187" xr:uid="{00000000-0005-0000-0000-0000D3310000}"/>
    <cellStyle name="Normal 4 3 6 2 5 3" xfId="15755" xr:uid="{00000000-0005-0000-0000-0000D4310000}"/>
    <cellStyle name="Normal 4 3 6 2 5 3 2" xfId="40331" xr:uid="{00000000-0005-0000-0000-0000D5310000}"/>
    <cellStyle name="Normal 4 3 6 2 5 4" xfId="28043" xr:uid="{00000000-0005-0000-0000-0000D6310000}"/>
    <cellStyle name="Normal 4 3 6 2 6" xfId="6539" xr:uid="{00000000-0005-0000-0000-0000D7310000}"/>
    <cellStyle name="Normal 4 3 6 2 6 2" xfId="18827" xr:uid="{00000000-0005-0000-0000-0000D8310000}"/>
    <cellStyle name="Normal 4 3 6 2 6 2 2" xfId="43403" xr:uid="{00000000-0005-0000-0000-0000D9310000}"/>
    <cellStyle name="Normal 4 3 6 2 6 3" xfId="31115" xr:uid="{00000000-0005-0000-0000-0000DA310000}"/>
    <cellStyle name="Normal 4 3 6 2 7" xfId="12683" xr:uid="{00000000-0005-0000-0000-0000DB310000}"/>
    <cellStyle name="Normal 4 3 6 2 7 2" xfId="37259" xr:uid="{00000000-0005-0000-0000-0000DC310000}"/>
    <cellStyle name="Normal 4 3 6 2 8" xfId="24971" xr:uid="{00000000-0005-0000-0000-0000DD310000}"/>
    <cellStyle name="Normal 4 3 6 3" xfId="583" xr:uid="{00000000-0005-0000-0000-0000DE310000}"/>
    <cellStyle name="Normal 4 3 6 3 2" xfId="1351" xr:uid="{00000000-0005-0000-0000-0000DF310000}"/>
    <cellStyle name="Normal 4 3 6 3 2 2" xfId="2887" xr:uid="{00000000-0005-0000-0000-0000E0310000}"/>
    <cellStyle name="Normal 4 3 6 3 2 2 2" xfId="5963" xr:uid="{00000000-0005-0000-0000-0000E1310000}"/>
    <cellStyle name="Normal 4 3 6 3 2 2 2 2" xfId="12107" xr:uid="{00000000-0005-0000-0000-0000E2310000}"/>
    <cellStyle name="Normal 4 3 6 3 2 2 2 2 2" xfId="24395" xr:uid="{00000000-0005-0000-0000-0000E3310000}"/>
    <cellStyle name="Normal 4 3 6 3 2 2 2 2 2 2" xfId="48971" xr:uid="{00000000-0005-0000-0000-0000E4310000}"/>
    <cellStyle name="Normal 4 3 6 3 2 2 2 2 3" xfId="36683" xr:uid="{00000000-0005-0000-0000-0000E5310000}"/>
    <cellStyle name="Normal 4 3 6 3 2 2 2 3" xfId="18251" xr:uid="{00000000-0005-0000-0000-0000E6310000}"/>
    <cellStyle name="Normal 4 3 6 3 2 2 2 3 2" xfId="42827" xr:uid="{00000000-0005-0000-0000-0000E7310000}"/>
    <cellStyle name="Normal 4 3 6 3 2 2 2 4" xfId="30539" xr:uid="{00000000-0005-0000-0000-0000E8310000}"/>
    <cellStyle name="Normal 4 3 6 3 2 2 3" xfId="9035" xr:uid="{00000000-0005-0000-0000-0000E9310000}"/>
    <cellStyle name="Normal 4 3 6 3 2 2 3 2" xfId="21323" xr:uid="{00000000-0005-0000-0000-0000EA310000}"/>
    <cellStyle name="Normal 4 3 6 3 2 2 3 2 2" xfId="45899" xr:uid="{00000000-0005-0000-0000-0000EB310000}"/>
    <cellStyle name="Normal 4 3 6 3 2 2 3 3" xfId="33611" xr:uid="{00000000-0005-0000-0000-0000EC310000}"/>
    <cellStyle name="Normal 4 3 6 3 2 2 4" xfId="15179" xr:uid="{00000000-0005-0000-0000-0000ED310000}"/>
    <cellStyle name="Normal 4 3 6 3 2 2 4 2" xfId="39755" xr:uid="{00000000-0005-0000-0000-0000EE310000}"/>
    <cellStyle name="Normal 4 3 6 3 2 2 5" xfId="27467" xr:uid="{00000000-0005-0000-0000-0000EF310000}"/>
    <cellStyle name="Normal 4 3 6 3 2 3" xfId="4427" xr:uid="{00000000-0005-0000-0000-0000F0310000}"/>
    <cellStyle name="Normal 4 3 6 3 2 3 2" xfId="10571" xr:uid="{00000000-0005-0000-0000-0000F1310000}"/>
    <cellStyle name="Normal 4 3 6 3 2 3 2 2" xfId="22859" xr:uid="{00000000-0005-0000-0000-0000F2310000}"/>
    <cellStyle name="Normal 4 3 6 3 2 3 2 2 2" xfId="47435" xr:uid="{00000000-0005-0000-0000-0000F3310000}"/>
    <cellStyle name="Normal 4 3 6 3 2 3 2 3" xfId="35147" xr:uid="{00000000-0005-0000-0000-0000F4310000}"/>
    <cellStyle name="Normal 4 3 6 3 2 3 3" xfId="16715" xr:uid="{00000000-0005-0000-0000-0000F5310000}"/>
    <cellStyle name="Normal 4 3 6 3 2 3 3 2" xfId="41291" xr:uid="{00000000-0005-0000-0000-0000F6310000}"/>
    <cellStyle name="Normal 4 3 6 3 2 3 4" xfId="29003" xr:uid="{00000000-0005-0000-0000-0000F7310000}"/>
    <cellStyle name="Normal 4 3 6 3 2 4" xfId="7499" xr:uid="{00000000-0005-0000-0000-0000F8310000}"/>
    <cellStyle name="Normal 4 3 6 3 2 4 2" xfId="19787" xr:uid="{00000000-0005-0000-0000-0000F9310000}"/>
    <cellStyle name="Normal 4 3 6 3 2 4 2 2" xfId="44363" xr:uid="{00000000-0005-0000-0000-0000FA310000}"/>
    <cellStyle name="Normal 4 3 6 3 2 4 3" xfId="32075" xr:uid="{00000000-0005-0000-0000-0000FB310000}"/>
    <cellStyle name="Normal 4 3 6 3 2 5" xfId="13643" xr:uid="{00000000-0005-0000-0000-0000FC310000}"/>
    <cellStyle name="Normal 4 3 6 3 2 5 2" xfId="38219" xr:uid="{00000000-0005-0000-0000-0000FD310000}"/>
    <cellStyle name="Normal 4 3 6 3 2 6" xfId="25931" xr:uid="{00000000-0005-0000-0000-0000FE310000}"/>
    <cellStyle name="Normal 4 3 6 3 3" xfId="2119" xr:uid="{00000000-0005-0000-0000-0000FF310000}"/>
    <cellStyle name="Normal 4 3 6 3 3 2" xfId="5195" xr:uid="{00000000-0005-0000-0000-000000320000}"/>
    <cellStyle name="Normal 4 3 6 3 3 2 2" xfId="11339" xr:uid="{00000000-0005-0000-0000-000001320000}"/>
    <cellStyle name="Normal 4 3 6 3 3 2 2 2" xfId="23627" xr:uid="{00000000-0005-0000-0000-000002320000}"/>
    <cellStyle name="Normal 4 3 6 3 3 2 2 2 2" xfId="48203" xr:uid="{00000000-0005-0000-0000-000003320000}"/>
    <cellStyle name="Normal 4 3 6 3 3 2 2 3" xfId="35915" xr:uid="{00000000-0005-0000-0000-000004320000}"/>
    <cellStyle name="Normal 4 3 6 3 3 2 3" xfId="17483" xr:uid="{00000000-0005-0000-0000-000005320000}"/>
    <cellStyle name="Normal 4 3 6 3 3 2 3 2" xfId="42059" xr:uid="{00000000-0005-0000-0000-000006320000}"/>
    <cellStyle name="Normal 4 3 6 3 3 2 4" xfId="29771" xr:uid="{00000000-0005-0000-0000-000007320000}"/>
    <cellStyle name="Normal 4 3 6 3 3 3" xfId="8267" xr:uid="{00000000-0005-0000-0000-000008320000}"/>
    <cellStyle name="Normal 4 3 6 3 3 3 2" xfId="20555" xr:uid="{00000000-0005-0000-0000-000009320000}"/>
    <cellStyle name="Normal 4 3 6 3 3 3 2 2" xfId="45131" xr:uid="{00000000-0005-0000-0000-00000A320000}"/>
    <cellStyle name="Normal 4 3 6 3 3 3 3" xfId="32843" xr:uid="{00000000-0005-0000-0000-00000B320000}"/>
    <cellStyle name="Normal 4 3 6 3 3 4" xfId="14411" xr:uid="{00000000-0005-0000-0000-00000C320000}"/>
    <cellStyle name="Normal 4 3 6 3 3 4 2" xfId="38987" xr:uid="{00000000-0005-0000-0000-00000D320000}"/>
    <cellStyle name="Normal 4 3 6 3 3 5" xfId="26699" xr:uid="{00000000-0005-0000-0000-00000E320000}"/>
    <cellStyle name="Normal 4 3 6 3 4" xfId="3659" xr:uid="{00000000-0005-0000-0000-00000F320000}"/>
    <cellStyle name="Normal 4 3 6 3 4 2" xfId="9803" xr:uid="{00000000-0005-0000-0000-000010320000}"/>
    <cellStyle name="Normal 4 3 6 3 4 2 2" xfId="22091" xr:uid="{00000000-0005-0000-0000-000011320000}"/>
    <cellStyle name="Normal 4 3 6 3 4 2 2 2" xfId="46667" xr:uid="{00000000-0005-0000-0000-000012320000}"/>
    <cellStyle name="Normal 4 3 6 3 4 2 3" xfId="34379" xr:uid="{00000000-0005-0000-0000-000013320000}"/>
    <cellStyle name="Normal 4 3 6 3 4 3" xfId="15947" xr:uid="{00000000-0005-0000-0000-000014320000}"/>
    <cellStyle name="Normal 4 3 6 3 4 3 2" xfId="40523" xr:uid="{00000000-0005-0000-0000-000015320000}"/>
    <cellStyle name="Normal 4 3 6 3 4 4" xfId="28235" xr:uid="{00000000-0005-0000-0000-000016320000}"/>
    <cellStyle name="Normal 4 3 6 3 5" xfId="6731" xr:uid="{00000000-0005-0000-0000-000017320000}"/>
    <cellStyle name="Normal 4 3 6 3 5 2" xfId="19019" xr:uid="{00000000-0005-0000-0000-000018320000}"/>
    <cellStyle name="Normal 4 3 6 3 5 2 2" xfId="43595" xr:uid="{00000000-0005-0000-0000-000019320000}"/>
    <cellStyle name="Normal 4 3 6 3 5 3" xfId="31307" xr:uid="{00000000-0005-0000-0000-00001A320000}"/>
    <cellStyle name="Normal 4 3 6 3 6" xfId="12875" xr:uid="{00000000-0005-0000-0000-00001B320000}"/>
    <cellStyle name="Normal 4 3 6 3 6 2" xfId="37451" xr:uid="{00000000-0005-0000-0000-00001C320000}"/>
    <cellStyle name="Normal 4 3 6 3 7" xfId="25163" xr:uid="{00000000-0005-0000-0000-00001D320000}"/>
    <cellStyle name="Normal 4 3 6 4" xfId="967" xr:uid="{00000000-0005-0000-0000-00001E320000}"/>
    <cellStyle name="Normal 4 3 6 4 2" xfId="2503" xr:uid="{00000000-0005-0000-0000-00001F320000}"/>
    <cellStyle name="Normal 4 3 6 4 2 2" xfId="5579" xr:uid="{00000000-0005-0000-0000-000020320000}"/>
    <cellStyle name="Normal 4 3 6 4 2 2 2" xfId="11723" xr:uid="{00000000-0005-0000-0000-000021320000}"/>
    <cellStyle name="Normal 4 3 6 4 2 2 2 2" xfId="24011" xr:uid="{00000000-0005-0000-0000-000022320000}"/>
    <cellStyle name="Normal 4 3 6 4 2 2 2 2 2" xfId="48587" xr:uid="{00000000-0005-0000-0000-000023320000}"/>
    <cellStyle name="Normal 4 3 6 4 2 2 2 3" xfId="36299" xr:uid="{00000000-0005-0000-0000-000024320000}"/>
    <cellStyle name="Normal 4 3 6 4 2 2 3" xfId="17867" xr:uid="{00000000-0005-0000-0000-000025320000}"/>
    <cellStyle name="Normal 4 3 6 4 2 2 3 2" xfId="42443" xr:uid="{00000000-0005-0000-0000-000026320000}"/>
    <cellStyle name="Normal 4 3 6 4 2 2 4" xfId="30155" xr:uid="{00000000-0005-0000-0000-000027320000}"/>
    <cellStyle name="Normal 4 3 6 4 2 3" xfId="8651" xr:uid="{00000000-0005-0000-0000-000028320000}"/>
    <cellStyle name="Normal 4 3 6 4 2 3 2" xfId="20939" xr:uid="{00000000-0005-0000-0000-000029320000}"/>
    <cellStyle name="Normal 4 3 6 4 2 3 2 2" xfId="45515" xr:uid="{00000000-0005-0000-0000-00002A320000}"/>
    <cellStyle name="Normal 4 3 6 4 2 3 3" xfId="33227" xr:uid="{00000000-0005-0000-0000-00002B320000}"/>
    <cellStyle name="Normal 4 3 6 4 2 4" xfId="14795" xr:uid="{00000000-0005-0000-0000-00002C320000}"/>
    <cellStyle name="Normal 4 3 6 4 2 4 2" xfId="39371" xr:uid="{00000000-0005-0000-0000-00002D320000}"/>
    <cellStyle name="Normal 4 3 6 4 2 5" xfId="27083" xr:uid="{00000000-0005-0000-0000-00002E320000}"/>
    <cellStyle name="Normal 4 3 6 4 3" xfId="4043" xr:uid="{00000000-0005-0000-0000-00002F320000}"/>
    <cellStyle name="Normal 4 3 6 4 3 2" xfId="10187" xr:uid="{00000000-0005-0000-0000-000030320000}"/>
    <cellStyle name="Normal 4 3 6 4 3 2 2" xfId="22475" xr:uid="{00000000-0005-0000-0000-000031320000}"/>
    <cellStyle name="Normal 4 3 6 4 3 2 2 2" xfId="47051" xr:uid="{00000000-0005-0000-0000-000032320000}"/>
    <cellStyle name="Normal 4 3 6 4 3 2 3" xfId="34763" xr:uid="{00000000-0005-0000-0000-000033320000}"/>
    <cellStyle name="Normal 4 3 6 4 3 3" xfId="16331" xr:uid="{00000000-0005-0000-0000-000034320000}"/>
    <cellStyle name="Normal 4 3 6 4 3 3 2" xfId="40907" xr:uid="{00000000-0005-0000-0000-000035320000}"/>
    <cellStyle name="Normal 4 3 6 4 3 4" xfId="28619" xr:uid="{00000000-0005-0000-0000-000036320000}"/>
    <cellStyle name="Normal 4 3 6 4 4" xfId="7115" xr:uid="{00000000-0005-0000-0000-000037320000}"/>
    <cellStyle name="Normal 4 3 6 4 4 2" xfId="19403" xr:uid="{00000000-0005-0000-0000-000038320000}"/>
    <cellStyle name="Normal 4 3 6 4 4 2 2" xfId="43979" xr:uid="{00000000-0005-0000-0000-000039320000}"/>
    <cellStyle name="Normal 4 3 6 4 4 3" xfId="31691" xr:uid="{00000000-0005-0000-0000-00003A320000}"/>
    <cellStyle name="Normal 4 3 6 4 5" xfId="13259" xr:uid="{00000000-0005-0000-0000-00003B320000}"/>
    <cellStyle name="Normal 4 3 6 4 5 2" xfId="37835" xr:uid="{00000000-0005-0000-0000-00003C320000}"/>
    <cellStyle name="Normal 4 3 6 4 6" xfId="25547" xr:uid="{00000000-0005-0000-0000-00003D320000}"/>
    <cellStyle name="Normal 4 3 6 5" xfId="1735" xr:uid="{00000000-0005-0000-0000-00003E320000}"/>
    <cellStyle name="Normal 4 3 6 5 2" xfId="4811" xr:uid="{00000000-0005-0000-0000-00003F320000}"/>
    <cellStyle name="Normal 4 3 6 5 2 2" xfId="10955" xr:uid="{00000000-0005-0000-0000-000040320000}"/>
    <cellStyle name="Normal 4 3 6 5 2 2 2" xfId="23243" xr:uid="{00000000-0005-0000-0000-000041320000}"/>
    <cellStyle name="Normal 4 3 6 5 2 2 2 2" xfId="47819" xr:uid="{00000000-0005-0000-0000-000042320000}"/>
    <cellStyle name="Normal 4 3 6 5 2 2 3" xfId="35531" xr:uid="{00000000-0005-0000-0000-000043320000}"/>
    <cellStyle name="Normal 4 3 6 5 2 3" xfId="17099" xr:uid="{00000000-0005-0000-0000-000044320000}"/>
    <cellStyle name="Normal 4 3 6 5 2 3 2" xfId="41675" xr:uid="{00000000-0005-0000-0000-000045320000}"/>
    <cellStyle name="Normal 4 3 6 5 2 4" xfId="29387" xr:uid="{00000000-0005-0000-0000-000046320000}"/>
    <cellStyle name="Normal 4 3 6 5 3" xfId="7883" xr:uid="{00000000-0005-0000-0000-000047320000}"/>
    <cellStyle name="Normal 4 3 6 5 3 2" xfId="20171" xr:uid="{00000000-0005-0000-0000-000048320000}"/>
    <cellStyle name="Normal 4 3 6 5 3 2 2" xfId="44747" xr:uid="{00000000-0005-0000-0000-000049320000}"/>
    <cellStyle name="Normal 4 3 6 5 3 3" xfId="32459" xr:uid="{00000000-0005-0000-0000-00004A320000}"/>
    <cellStyle name="Normal 4 3 6 5 4" xfId="14027" xr:uid="{00000000-0005-0000-0000-00004B320000}"/>
    <cellStyle name="Normal 4 3 6 5 4 2" xfId="38603" xr:uid="{00000000-0005-0000-0000-00004C320000}"/>
    <cellStyle name="Normal 4 3 6 5 5" xfId="26315" xr:uid="{00000000-0005-0000-0000-00004D320000}"/>
    <cellStyle name="Normal 4 3 6 6" xfId="3275" xr:uid="{00000000-0005-0000-0000-00004E320000}"/>
    <cellStyle name="Normal 4 3 6 6 2" xfId="9419" xr:uid="{00000000-0005-0000-0000-00004F320000}"/>
    <cellStyle name="Normal 4 3 6 6 2 2" xfId="21707" xr:uid="{00000000-0005-0000-0000-000050320000}"/>
    <cellStyle name="Normal 4 3 6 6 2 2 2" xfId="46283" xr:uid="{00000000-0005-0000-0000-000051320000}"/>
    <cellStyle name="Normal 4 3 6 6 2 3" xfId="33995" xr:uid="{00000000-0005-0000-0000-000052320000}"/>
    <cellStyle name="Normal 4 3 6 6 3" xfId="15563" xr:uid="{00000000-0005-0000-0000-000053320000}"/>
    <cellStyle name="Normal 4 3 6 6 3 2" xfId="40139" xr:uid="{00000000-0005-0000-0000-000054320000}"/>
    <cellStyle name="Normal 4 3 6 6 4" xfId="27851" xr:uid="{00000000-0005-0000-0000-000055320000}"/>
    <cellStyle name="Normal 4 3 6 7" xfId="6347" xr:uid="{00000000-0005-0000-0000-000056320000}"/>
    <cellStyle name="Normal 4 3 6 7 2" xfId="18635" xr:uid="{00000000-0005-0000-0000-000057320000}"/>
    <cellStyle name="Normal 4 3 6 7 2 2" xfId="43211" xr:uid="{00000000-0005-0000-0000-000058320000}"/>
    <cellStyle name="Normal 4 3 6 7 3" xfId="30923" xr:uid="{00000000-0005-0000-0000-000059320000}"/>
    <cellStyle name="Normal 4 3 6 8" xfId="12491" xr:uid="{00000000-0005-0000-0000-00005A320000}"/>
    <cellStyle name="Normal 4 3 6 8 2" xfId="37067" xr:uid="{00000000-0005-0000-0000-00005B320000}"/>
    <cellStyle name="Normal 4 3 6 9" xfId="24779" xr:uid="{00000000-0005-0000-0000-00005C320000}"/>
    <cellStyle name="Normal 4 3 7" xfId="263" xr:uid="{00000000-0005-0000-0000-00005D320000}"/>
    <cellStyle name="Normal 4 3 7 2" xfId="455" xr:uid="{00000000-0005-0000-0000-00005E320000}"/>
    <cellStyle name="Normal 4 3 7 2 2" xfId="839" xr:uid="{00000000-0005-0000-0000-00005F320000}"/>
    <cellStyle name="Normal 4 3 7 2 2 2" xfId="1607" xr:uid="{00000000-0005-0000-0000-000060320000}"/>
    <cellStyle name="Normal 4 3 7 2 2 2 2" xfId="3143" xr:uid="{00000000-0005-0000-0000-000061320000}"/>
    <cellStyle name="Normal 4 3 7 2 2 2 2 2" xfId="6219" xr:uid="{00000000-0005-0000-0000-000062320000}"/>
    <cellStyle name="Normal 4 3 7 2 2 2 2 2 2" xfId="12363" xr:uid="{00000000-0005-0000-0000-000063320000}"/>
    <cellStyle name="Normal 4 3 7 2 2 2 2 2 2 2" xfId="24651" xr:uid="{00000000-0005-0000-0000-000064320000}"/>
    <cellStyle name="Normal 4 3 7 2 2 2 2 2 2 2 2" xfId="49227" xr:uid="{00000000-0005-0000-0000-000065320000}"/>
    <cellStyle name="Normal 4 3 7 2 2 2 2 2 2 3" xfId="36939" xr:uid="{00000000-0005-0000-0000-000066320000}"/>
    <cellStyle name="Normal 4 3 7 2 2 2 2 2 3" xfId="18507" xr:uid="{00000000-0005-0000-0000-000067320000}"/>
    <cellStyle name="Normal 4 3 7 2 2 2 2 2 3 2" xfId="43083" xr:uid="{00000000-0005-0000-0000-000068320000}"/>
    <cellStyle name="Normal 4 3 7 2 2 2 2 2 4" xfId="30795" xr:uid="{00000000-0005-0000-0000-000069320000}"/>
    <cellStyle name="Normal 4 3 7 2 2 2 2 3" xfId="9291" xr:uid="{00000000-0005-0000-0000-00006A320000}"/>
    <cellStyle name="Normal 4 3 7 2 2 2 2 3 2" xfId="21579" xr:uid="{00000000-0005-0000-0000-00006B320000}"/>
    <cellStyle name="Normal 4 3 7 2 2 2 2 3 2 2" xfId="46155" xr:uid="{00000000-0005-0000-0000-00006C320000}"/>
    <cellStyle name="Normal 4 3 7 2 2 2 2 3 3" xfId="33867" xr:uid="{00000000-0005-0000-0000-00006D320000}"/>
    <cellStyle name="Normal 4 3 7 2 2 2 2 4" xfId="15435" xr:uid="{00000000-0005-0000-0000-00006E320000}"/>
    <cellStyle name="Normal 4 3 7 2 2 2 2 4 2" xfId="40011" xr:uid="{00000000-0005-0000-0000-00006F320000}"/>
    <cellStyle name="Normal 4 3 7 2 2 2 2 5" xfId="27723" xr:uid="{00000000-0005-0000-0000-000070320000}"/>
    <cellStyle name="Normal 4 3 7 2 2 2 3" xfId="4683" xr:uid="{00000000-0005-0000-0000-000071320000}"/>
    <cellStyle name="Normal 4 3 7 2 2 2 3 2" xfId="10827" xr:uid="{00000000-0005-0000-0000-000072320000}"/>
    <cellStyle name="Normal 4 3 7 2 2 2 3 2 2" xfId="23115" xr:uid="{00000000-0005-0000-0000-000073320000}"/>
    <cellStyle name="Normal 4 3 7 2 2 2 3 2 2 2" xfId="47691" xr:uid="{00000000-0005-0000-0000-000074320000}"/>
    <cellStyle name="Normal 4 3 7 2 2 2 3 2 3" xfId="35403" xr:uid="{00000000-0005-0000-0000-000075320000}"/>
    <cellStyle name="Normal 4 3 7 2 2 2 3 3" xfId="16971" xr:uid="{00000000-0005-0000-0000-000076320000}"/>
    <cellStyle name="Normal 4 3 7 2 2 2 3 3 2" xfId="41547" xr:uid="{00000000-0005-0000-0000-000077320000}"/>
    <cellStyle name="Normal 4 3 7 2 2 2 3 4" xfId="29259" xr:uid="{00000000-0005-0000-0000-000078320000}"/>
    <cellStyle name="Normal 4 3 7 2 2 2 4" xfId="7755" xr:uid="{00000000-0005-0000-0000-000079320000}"/>
    <cellStyle name="Normal 4 3 7 2 2 2 4 2" xfId="20043" xr:uid="{00000000-0005-0000-0000-00007A320000}"/>
    <cellStyle name="Normal 4 3 7 2 2 2 4 2 2" xfId="44619" xr:uid="{00000000-0005-0000-0000-00007B320000}"/>
    <cellStyle name="Normal 4 3 7 2 2 2 4 3" xfId="32331" xr:uid="{00000000-0005-0000-0000-00007C320000}"/>
    <cellStyle name="Normal 4 3 7 2 2 2 5" xfId="13899" xr:uid="{00000000-0005-0000-0000-00007D320000}"/>
    <cellStyle name="Normal 4 3 7 2 2 2 5 2" xfId="38475" xr:uid="{00000000-0005-0000-0000-00007E320000}"/>
    <cellStyle name="Normal 4 3 7 2 2 2 6" xfId="26187" xr:uid="{00000000-0005-0000-0000-00007F320000}"/>
    <cellStyle name="Normal 4 3 7 2 2 3" xfId="2375" xr:uid="{00000000-0005-0000-0000-000080320000}"/>
    <cellStyle name="Normal 4 3 7 2 2 3 2" xfId="5451" xr:uid="{00000000-0005-0000-0000-000081320000}"/>
    <cellStyle name="Normal 4 3 7 2 2 3 2 2" xfId="11595" xr:uid="{00000000-0005-0000-0000-000082320000}"/>
    <cellStyle name="Normal 4 3 7 2 2 3 2 2 2" xfId="23883" xr:uid="{00000000-0005-0000-0000-000083320000}"/>
    <cellStyle name="Normal 4 3 7 2 2 3 2 2 2 2" xfId="48459" xr:uid="{00000000-0005-0000-0000-000084320000}"/>
    <cellStyle name="Normal 4 3 7 2 2 3 2 2 3" xfId="36171" xr:uid="{00000000-0005-0000-0000-000085320000}"/>
    <cellStyle name="Normal 4 3 7 2 2 3 2 3" xfId="17739" xr:uid="{00000000-0005-0000-0000-000086320000}"/>
    <cellStyle name="Normal 4 3 7 2 2 3 2 3 2" xfId="42315" xr:uid="{00000000-0005-0000-0000-000087320000}"/>
    <cellStyle name="Normal 4 3 7 2 2 3 2 4" xfId="30027" xr:uid="{00000000-0005-0000-0000-000088320000}"/>
    <cellStyle name="Normal 4 3 7 2 2 3 3" xfId="8523" xr:uid="{00000000-0005-0000-0000-000089320000}"/>
    <cellStyle name="Normal 4 3 7 2 2 3 3 2" xfId="20811" xr:uid="{00000000-0005-0000-0000-00008A320000}"/>
    <cellStyle name="Normal 4 3 7 2 2 3 3 2 2" xfId="45387" xr:uid="{00000000-0005-0000-0000-00008B320000}"/>
    <cellStyle name="Normal 4 3 7 2 2 3 3 3" xfId="33099" xr:uid="{00000000-0005-0000-0000-00008C320000}"/>
    <cellStyle name="Normal 4 3 7 2 2 3 4" xfId="14667" xr:uid="{00000000-0005-0000-0000-00008D320000}"/>
    <cellStyle name="Normal 4 3 7 2 2 3 4 2" xfId="39243" xr:uid="{00000000-0005-0000-0000-00008E320000}"/>
    <cellStyle name="Normal 4 3 7 2 2 3 5" xfId="26955" xr:uid="{00000000-0005-0000-0000-00008F320000}"/>
    <cellStyle name="Normal 4 3 7 2 2 4" xfId="3915" xr:uid="{00000000-0005-0000-0000-000090320000}"/>
    <cellStyle name="Normal 4 3 7 2 2 4 2" xfId="10059" xr:uid="{00000000-0005-0000-0000-000091320000}"/>
    <cellStyle name="Normal 4 3 7 2 2 4 2 2" xfId="22347" xr:uid="{00000000-0005-0000-0000-000092320000}"/>
    <cellStyle name="Normal 4 3 7 2 2 4 2 2 2" xfId="46923" xr:uid="{00000000-0005-0000-0000-000093320000}"/>
    <cellStyle name="Normal 4 3 7 2 2 4 2 3" xfId="34635" xr:uid="{00000000-0005-0000-0000-000094320000}"/>
    <cellStyle name="Normal 4 3 7 2 2 4 3" xfId="16203" xr:uid="{00000000-0005-0000-0000-000095320000}"/>
    <cellStyle name="Normal 4 3 7 2 2 4 3 2" xfId="40779" xr:uid="{00000000-0005-0000-0000-000096320000}"/>
    <cellStyle name="Normal 4 3 7 2 2 4 4" xfId="28491" xr:uid="{00000000-0005-0000-0000-000097320000}"/>
    <cellStyle name="Normal 4 3 7 2 2 5" xfId="6987" xr:uid="{00000000-0005-0000-0000-000098320000}"/>
    <cellStyle name="Normal 4 3 7 2 2 5 2" xfId="19275" xr:uid="{00000000-0005-0000-0000-000099320000}"/>
    <cellStyle name="Normal 4 3 7 2 2 5 2 2" xfId="43851" xr:uid="{00000000-0005-0000-0000-00009A320000}"/>
    <cellStyle name="Normal 4 3 7 2 2 5 3" xfId="31563" xr:uid="{00000000-0005-0000-0000-00009B320000}"/>
    <cellStyle name="Normal 4 3 7 2 2 6" xfId="13131" xr:uid="{00000000-0005-0000-0000-00009C320000}"/>
    <cellStyle name="Normal 4 3 7 2 2 6 2" xfId="37707" xr:uid="{00000000-0005-0000-0000-00009D320000}"/>
    <cellStyle name="Normal 4 3 7 2 2 7" xfId="25419" xr:uid="{00000000-0005-0000-0000-00009E320000}"/>
    <cellStyle name="Normal 4 3 7 2 3" xfId="1223" xr:uid="{00000000-0005-0000-0000-00009F320000}"/>
    <cellStyle name="Normal 4 3 7 2 3 2" xfId="2759" xr:uid="{00000000-0005-0000-0000-0000A0320000}"/>
    <cellStyle name="Normal 4 3 7 2 3 2 2" xfId="5835" xr:uid="{00000000-0005-0000-0000-0000A1320000}"/>
    <cellStyle name="Normal 4 3 7 2 3 2 2 2" xfId="11979" xr:uid="{00000000-0005-0000-0000-0000A2320000}"/>
    <cellStyle name="Normal 4 3 7 2 3 2 2 2 2" xfId="24267" xr:uid="{00000000-0005-0000-0000-0000A3320000}"/>
    <cellStyle name="Normal 4 3 7 2 3 2 2 2 2 2" xfId="48843" xr:uid="{00000000-0005-0000-0000-0000A4320000}"/>
    <cellStyle name="Normal 4 3 7 2 3 2 2 2 3" xfId="36555" xr:uid="{00000000-0005-0000-0000-0000A5320000}"/>
    <cellStyle name="Normal 4 3 7 2 3 2 2 3" xfId="18123" xr:uid="{00000000-0005-0000-0000-0000A6320000}"/>
    <cellStyle name="Normal 4 3 7 2 3 2 2 3 2" xfId="42699" xr:uid="{00000000-0005-0000-0000-0000A7320000}"/>
    <cellStyle name="Normal 4 3 7 2 3 2 2 4" xfId="30411" xr:uid="{00000000-0005-0000-0000-0000A8320000}"/>
    <cellStyle name="Normal 4 3 7 2 3 2 3" xfId="8907" xr:uid="{00000000-0005-0000-0000-0000A9320000}"/>
    <cellStyle name="Normal 4 3 7 2 3 2 3 2" xfId="21195" xr:uid="{00000000-0005-0000-0000-0000AA320000}"/>
    <cellStyle name="Normal 4 3 7 2 3 2 3 2 2" xfId="45771" xr:uid="{00000000-0005-0000-0000-0000AB320000}"/>
    <cellStyle name="Normal 4 3 7 2 3 2 3 3" xfId="33483" xr:uid="{00000000-0005-0000-0000-0000AC320000}"/>
    <cellStyle name="Normal 4 3 7 2 3 2 4" xfId="15051" xr:uid="{00000000-0005-0000-0000-0000AD320000}"/>
    <cellStyle name="Normal 4 3 7 2 3 2 4 2" xfId="39627" xr:uid="{00000000-0005-0000-0000-0000AE320000}"/>
    <cellStyle name="Normal 4 3 7 2 3 2 5" xfId="27339" xr:uid="{00000000-0005-0000-0000-0000AF320000}"/>
    <cellStyle name="Normal 4 3 7 2 3 3" xfId="4299" xr:uid="{00000000-0005-0000-0000-0000B0320000}"/>
    <cellStyle name="Normal 4 3 7 2 3 3 2" xfId="10443" xr:uid="{00000000-0005-0000-0000-0000B1320000}"/>
    <cellStyle name="Normal 4 3 7 2 3 3 2 2" xfId="22731" xr:uid="{00000000-0005-0000-0000-0000B2320000}"/>
    <cellStyle name="Normal 4 3 7 2 3 3 2 2 2" xfId="47307" xr:uid="{00000000-0005-0000-0000-0000B3320000}"/>
    <cellStyle name="Normal 4 3 7 2 3 3 2 3" xfId="35019" xr:uid="{00000000-0005-0000-0000-0000B4320000}"/>
    <cellStyle name="Normal 4 3 7 2 3 3 3" xfId="16587" xr:uid="{00000000-0005-0000-0000-0000B5320000}"/>
    <cellStyle name="Normal 4 3 7 2 3 3 3 2" xfId="41163" xr:uid="{00000000-0005-0000-0000-0000B6320000}"/>
    <cellStyle name="Normal 4 3 7 2 3 3 4" xfId="28875" xr:uid="{00000000-0005-0000-0000-0000B7320000}"/>
    <cellStyle name="Normal 4 3 7 2 3 4" xfId="7371" xr:uid="{00000000-0005-0000-0000-0000B8320000}"/>
    <cellStyle name="Normal 4 3 7 2 3 4 2" xfId="19659" xr:uid="{00000000-0005-0000-0000-0000B9320000}"/>
    <cellStyle name="Normal 4 3 7 2 3 4 2 2" xfId="44235" xr:uid="{00000000-0005-0000-0000-0000BA320000}"/>
    <cellStyle name="Normal 4 3 7 2 3 4 3" xfId="31947" xr:uid="{00000000-0005-0000-0000-0000BB320000}"/>
    <cellStyle name="Normal 4 3 7 2 3 5" xfId="13515" xr:uid="{00000000-0005-0000-0000-0000BC320000}"/>
    <cellStyle name="Normal 4 3 7 2 3 5 2" xfId="38091" xr:uid="{00000000-0005-0000-0000-0000BD320000}"/>
    <cellStyle name="Normal 4 3 7 2 3 6" xfId="25803" xr:uid="{00000000-0005-0000-0000-0000BE320000}"/>
    <cellStyle name="Normal 4 3 7 2 4" xfId="1991" xr:uid="{00000000-0005-0000-0000-0000BF320000}"/>
    <cellStyle name="Normal 4 3 7 2 4 2" xfId="5067" xr:uid="{00000000-0005-0000-0000-0000C0320000}"/>
    <cellStyle name="Normal 4 3 7 2 4 2 2" xfId="11211" xr:uid="{00000000-0005-0000-0000-0000C1320000}"/>
    <cellStyle name="Normal 4 3 7 2 4 2 2 2" xfId="23499" xr:uid="{00000000-0005-0000-0000-0000C2320000}"/>
    <cellStyle name="Normal 4 3 7 2 4 2 2 2 2" xfId="48075" xr:uid="{00000000-0005-0000-0000-0000C3320000}"/>
    <cellStyle name="Normal 4 3 7 2 4 2 2 3" xfId="35787" xr:uid="{00000000-0005-0000-0000-0000C4320000}"/>
    <cellStyle name="Normal 4 3 7 2 4 2 3" xfId="17355" xr:uid="{00000000-0005-0000-0000-0000C5320000}"/>
    <cellStyle name="Normal 4 3 7 2 4 2 3 2" xfId="41931" xr:uid="{00000000-0005-0000-0000-0000C6320000}"/>
    <cellStyle name="Normal 4 3 7 2 4 2 4" xfId="29643" xr:uid="{00000000-0005-0000-0000-0000C7320000}"/>
    <cellStyle name="Normal 4 3 7 2 4 3" xfId="8139" xr:uid="{00000000-0005-0000-0000-0000C8320000}"/>
    <cellStyle name="Normal 4 3 7 2 4 3 2" xfId="20427" xr:uid="{00000000-0005-0000-0000-0000C9320000}"/>
    <cellStyle name="Normal 4 3 7 2 4 3 2 2" xfId="45003" xr:uid="{00000000-0005-0000-0000-0000CA320000}"/>
    <cellStyle name="Normal 4 3 7 2 4 3 3" xfId="32715" xr:uid="{00000000-0005-0000-0000-0000CB320000}"/>
    <cellStyle name="Normal 4 3 7 2 4 4" xfId="14283" xr:uid="{00000000-0005-0000-0000-0000CC320000}"/>
    <cellStyle name="Normal 4 3 7 2 4 4 2" xfId="38859" xr:uid="{00000000-0005-0000-0000-0000CD320000}"/>
    <cellStyle name="Normal 4 3 7 2 4 5" xfId="26571" xr:uid="{00000000-0005-0000-0000-0000CE320000}"/>
    <cellStyle name="Normal 4 3 7 2 5" xfId="3531" xr:uid="{00000000-0005-0000-0000-0000CF320000}"/>
    <cellStyle name="Normal 4 3 7 2 5 2" xfId="9675" xr:uid="{00000000-0005-0000-0000-0000D0320000}"/>
    <cellStyle name="Normal 4 3 7 2 5 2 2" xfId="21963" xr:uid="{00000000-0005-0000-0000-0000D1320000}"/>
    <cellStyle name="Normal 4 3 7 2 5 2 2 2" xfId="46539" xr:uid="{00000000-0005-0000-0000-0000D2320000}"/>
    <cellStyle name="Normal 4 3 7 2 5 2 3" xfId="34251" xr:uid="{00000000-0005-0000-0000-0000D3320000}"/>
    <cellStyle name="Normal 4 3 7 2 5 3" xfId="15819" xr:uid="{00000000-0005-0000-0000-0000D4320000}"/>
    <cellStyle name="Normal 4 3 7 2 5 3 2" xfId="40395" xr:uid="{00000000-0005-0000-0000-0000D5320000}"/>
    <cellStyle name="Normal 4 3 7 2 5 4" xfId="28107" xr:uid="{00000000-0005-0000-0000-0000D6320000}"/>
    <cellStyle name="Normal 4 3 7 2 6" xfId="6603" xr:uid="{00000000-0005-0000-0000-0000D7320000}"/>
    <cellStyle name="Normal 4 3 7 2 6 2" xfId="18891" xr:uid="{00000000-0005-0000-0000-0000D8320000}"/>
    <cellStyle name="Normal 4 3 7 2 6 2 2" xfId="43467" xr:uid="{00000000-0005-0000-0000-0000D9320000}"/>
    <cellStyle name="Normal 4 3 7 2 6 3" xfId="31179" xr:uid="{00000000-0005-0000-0000-0000DA320000}"/>
    <cellStyle name="Normal 4 3 7 2 7" xfId="12747" xr:uid="{00000000-0005-0000-0000-0000DB320000}"/>
    <cellStyle name="Normal 4 3 7 2 7 2" xfId="37323" xr:uid="{00000000-0005-0000-0000-0000DC320000}"/>
    <cellStyle name="Normal 4 3 7 2 8" xfId="25035" xr:uid="{00000000-0005-0000-0000-0000DD320000}"/>
    <cellStyle name="Normal 4 3 7 3" xfId="647" xr:uid="{00000000-0005-0000-0000-0000DE320000}"/>
    <cellStyle name="Normal 4 3 7 3 2" xfId="1415" xr:uid="{00000000-0005-0000-0000-0000DF320000}"/>
    <cellStyle name="Normal 4 3 7 3 2 2" xfId="2951" xr:uid="{00000000-0005-0000-0000-0000E0320000}"/>
    <cellStyle name="Normal 4 3 7 3 2 2 2" xfId="6027" xr:uid="{00000000-0005-0000-0000-0000E1320000}"/>
    <cellStyle name="Normal 4 3 7 3 2 2 2 2" xfId="12171" xr:uid="{00000000-0005-0000-0000-0000E2320000}"/>
    <cellStyle name="Normal 4 3 7 3 2 2 2 2 2" xfId="24459" xr:uid="{00000000-0005-0000-0000-0000E3320000}"/>
    <cellStyle name="Normal 4 3 7 3 2 2 2 2 2 2" xfId="49035" xr:uid="{00000000-0005-0000-0000-0000E4320000}"/>
    <cellStyle name="Normal 4 3 7 3 2 2 2 2 3" xfId="36747" xr:uid="{00000000-0005-0000-0000-0000E5320000}"/>
    <cellStyle name="Normal 4 3 7 3 2 2 2 3" xfId="18315" xr:uid="{00000000-0005-0000-0000-0000E6320000}"/>
    <cellStyle name="Normal 4 3 7 3 2 2 2 3 2" xfId="42891" xr:uid="{00000000-0005-0000-0000-0000E7320000}"/>
    <cellStyle name="Normal 4 3 7 3 2 2 2 4" xfId="30603" xr:uid="{00000000-0005-0000-0000-0000E8320000}"/>
    <cellStyle name="Normal 4 3 7 3 2 2 3" xfId="9099" xr:uid="{00000000-0005-0000-0000-0000E9320000}"/>
    <cellStyle name="Normal 4 3 7 3 2 2 3 2" xfId="21387" xr:uid="{00000000-0005-0000-0000-0000EA320000}"/>
    <cellStyle name="Normal 4 3 7 3 2 2 3 2 2" xfId="45963" xr:uid="{00000000-0005-0000-0000-0000EB320000}"/>
    <cellStyle name="Normal 4 3 7 3 2 2 3 3" xfId="33675" xr:uid="{00000000-0005-0000-0000-0000EC320000}"/>
    <cellStyle name="Normal 4 3 7 3 2 2 4" xfId="15243" xr:uid="{00000000-0005-0000-0000-0000ED320000}"/>
    <cellStyle name="Normal 4 3 7 3 2 2 4 2" xfId="39819" xr:uid="{00000000-0005-0000-0000-0000EE320000}"/>
    <cellStyle name="Normal 4 3 7 3 2 2 5" xfId="27531" xr:uid="{00000000-0005-0000-0000-0000EF320000}"/>
    <cellStyle name="Normal 4 3 7 3 2 3" xfId="4491" xr:uid="{00000000-0005-0000-0000-0000F0320000}"/>
    <cellStyle name="Normal 4 3 7 3 2 3 2" xfId="10635" xr:uid="{00000000-0005-0000-0000-0000F1320000}"/>
    <cellStyle name="Normal 4 3 7 3 2 3 2 2" xfId="22923" xr:uid="{00000000-0005-0000-0000-0000F2320000}"/>
    <cellStyle name="Normal 4 3 7 3 2 3 2 2 2" xfId="47499" xr:uid="{00000000-0005-0000-0000-0000F3320000}"/>
    <cellStyle name="Normal 4 3 7 3 2 3 2 3" xfId="35211" xr:uid="{00000000-0005-0000-0000-0000F4320000}"/>
    <cellStyle name="Normal 4 3 7 3 2 3 3" xfId="16779" xr:uid="{00000000-0005-0000-0000-0000F5320000}"/>
    <cellStyle name="Normal 4 3 7 3 2 3 3 2" xfId="41355" xr:uid="{00000000-0005-0000-0000-0000F6320000}"/>
    <cellStyle name="Normal 4 3 7 3 2 3 4" xfId="29067" xr:uid="{00000000-0005-0000-0000-0000F7320000}"/>
    <cellStyle name="Normal 4 3 7 3 2 4" xfId="7563" xr:uid="{00000000-0005-0000-0000-0000F8320000}"/>
    <cellStyle name="Normal 4 3 7 3 2 4 2" xfId="19851" xr:uid="{00000000-0005-0000-0000-0000F9320000}"/>
    <cellStyle name="Normal 4 3 7 3 2 4 2 2" xfId="44427" xr:uid="{00000000-0005-0000-0000-0000FA320000}"/>
    <cellStyle name="Normal 4 3 7 3 2 4 3" xfId="32139" xr:uid="{00000000-0005-0000-0000-0000FB320000}"/>
    <cellStyle name="Normal 4 3 7 3 2 5" xfId="13707" xr:uid="{00000000-0005-0000-0000-0000FC320000}"/>
    <cellStyle name="Normal 4 3 7 3 2 5 2" xfId="38283" xr:uid="{00000000-0005-0000-0000-0000FD320000}"/>
    <cellStyle name="Normal 4 3 7 3 2 6" xfId="25995" xr:uid="{00000000-0005-0000-0000-0000FE320000}"/>
    <cellStyle name="Normal 4 3 7 3 3" xfId="2183" xr:uid="{00000000-0005-0000-0000-0000FF320000}"/>
    <cellStyle name="Normal 4 3 7 3 3 2" xfId="5259" xr:uid="{00000000-0005-0000-0000-000000330000}"/>
    <cellStyle name="Normal 4 3 7 3 3 2 2" xfId="11403" xr:uid="{00000000-0005-0000-0000-000001330000}"/>
    <cellStyle name="Normal 4 3 7 3 3 2 2 2" xfId="23691" xr:uid="{00000000-0005-0000-0000-000002330000}"/>
    <cellStyle name="Normal 4 3 7 3 3 2 2 2 2" xfId="48267" xr:uid="{00000000-0005-0000-0000-000003330000}"/>
    <cellStyle name="Normal 4 3 7 3 3 2 2 3" xfId="35979" xr:uid="{00000000-0005-0000-0000-000004330000}"/>
    <cellStyle name="Normal 4 3 7 3 3 2 3" xfId="17547" xr:uid="{00000000-0005-0000-0000-000005330000}"/>
    <cellStyle name="Normal 4 3 7 3 3 2 3 2" xfId="42123" xr:uid="{00000000-0005-0000-0000-000006330000}"/>
    <cellStyle name="Normal 4 3 7 3 3 2 4" xfId="29835" xr:uid="{00000000-0005-0000-0000-000007330000}"/>
    <cellStyle name="Normal 4 3 7 3 3 3" xfId="8331" xr:uid="{00000000-0005-0000-0000-000008330000}"/>
    <cellStyle name="Normal 4 3 7 3 3 3 2" xfId="20619" xr:uid="{00000000-0005-0000-0000-000009330000}"/>
    <cellStyle name="Normal 4 3 7 3 3 3 2 2" xfId="45195" xr:uid="{00000000-0005-0000-0000-00000A330000}"/>
    <cellStyle name="Normal 4 3 7 3 3 3 3" xfId="32907" xr:uid="{00000000-0005-0000-0000-00000B330000}"/>
    <cellStyle name="Normal 4 3 7 3 3 4" xfId="14475" xr:uid="{00000000-0005-0000-0000-00000C330000}"/>
    <cellStyle name="Normal 4 3 7 3 3 4 2" xfId="39051" xr:uid="{00000000-0005-0000-0000-00000D330000}"/>
    <cellStyle name="Normal 4 3 7 3 3 5" xfId="26763" xr:uid="{00000000-0005-0000-0000-00000E330000}"/>
    <cellStyle name="Normal 4 3 7 3 4" xfId="3723" xr:uid="{00000000-0005-0000-0000-00000F330000}"/>
    <cellStyle name="Normal 4 3 7 3 4 2" xfId="9867" xr:uid="{00000000-0005-0000-0000-000010330000}"/>
    <cellStyle name="Normal 4 3 7 3 4 2 2" xfId="22155" xr:uid="{00000000-0005-0000-0000-000011330000}"/>
    <cellStyle name="Normal 4 3 7 3 4 2 2 2" xfId="46731" xr:uid="{00000000-0005-0000-0000-000012330000}"/>
    <cellStyle name="Normal 4 3 7 3 4 2 3" xfId="34443" xr:uid="{00000000-0005-0000-0000-000013330000}"/>
    <cellStyle name="Normal 4 3 7 3 4 3" xfId="16011" xr:uid="{00000000-0005-0000-0000-000014330000}"/>
    <cellStyle name="Normal 4 3 7 3 4 3 2" xfId="40587" xr:uid="{00000000-0005-0000-0000-000015330000}"/>
    <cellStyle name="Normal 4 3 7 3 4 4" xfId="28299" xr:uid="{00000000-0005-0000-0000-000016330000}"/>
    <cellStyle name="Normal 4 3 7 3 5" xfId="6795" xr:uid="{00000000-0005-0000-0000-000017330000}"/>
    <cellStyle name="Normal 4 3 7 3 5 2" xfId="19083" xr:uid="{00000000-0005-0000-0000-000018330000}"/>
    <cellStyle name="Normal 4 3 7 3 5 2 2" xfId="43659" xr:uid="{00000000-0005-0000-0000-000019330000}"/>
    <cellStyle name="Normal 4 3 7 3 5 3" xfId="31371" xr:uid="{00000000-0005-0000-0000-00001A330000}"/>
    <cellStyle name="Normal 4 3 7 3 6" xfId="12939" xr:uid="{00000000-0005-0000-0000-00001B330000}"/>
    <cellStyle name="Normal 4 3 7 3 6 2" xfId="37515" xr:uid="{00000000-0005-0000-0000-00001C330000}"/>
    <cellStyle name="Normal 4 3 7 3 7" xfId="25227" xr:uid="{00000000-0005-0000-0000-00001D330000}"/>
    <cellStyle name="Normal 4 3 7 4" xfId="1031" xr:uid="{00000000-0005-0000-0000-00001E330000}"/>
    <cellStyle name="Normal 4 3 7 4 2" xfId="2567" xr:uid="{00000000-0005-0000-0000-00001F330000}"/>
    <cellStyle name="Normal 4 3 7 4 2 2" xfId="5643" xr:uid="{00000000-0005-0000-0000-000020330000}"/>
    <cellStyle name="Normal 4 3 7 4 2 2 2" xfId="11787" xr:uid="{00000000-0005-0000-0000-000021330000}"/>
    <cellStyle name="Normal 4 3 7 4 2 2 2 2" xfId="24075" xr:uid="{00000000-0005-0000-0000-000022330000}"/>
    <cellStyle name="Normal 4 3 7 4 2 2 2 2 2" xfId="48651" xr:uid="{00000000-0005-0000-0000-000023330000}"/>
    <cellStyle name="Normal 4 3 7 4 2 2 2 3" xfId="36363" xr:uid="{00000000-0005-0000-0000-000024330000}"/>
    <cellStyle name="Normal 4 3 7 4 2 2 3" xfId="17931" xr:uid="{00000000-0005-0000-0000-000025330000}"/>
    <cellStyle name="Normal 4 3 7 4 2 2 3 2" xfId="42507" xr:uid="{00000000-0005-0000-0000-000026330000}"/>
    <cellStyle name="Normal 4 3 7 4 2 2 4" xfId="30219" xr:uid="{00000000-0005-0000-0000-000027330000}"/>
    <cellStyle name="Normal 4 3 7 4 2 3" xfId="8715" xr:uid="{00000000-0005-0000-0000-000028330000}"/>
    <cellStyle name="Normal 4 3 7 4 2 3 2" xfId="21003" xr:uid="{00000000-0005-0000-0000-000029330000}"/>
    <cellStyle name="Normal 4 3 7 4 2 3 2 2" xfId="45579" xr:uid="{00000000-0005-0000-0000-00002A330000}"/>
    <cellStyle name="Normal 4 3 7 4 2 3 3" xfId="33291" xr:uid="{00000000-0005-0000-0000-00002B330000}"/>
    <cellStyle name="Normal 4 3 7 4 2 4" xfId="14859" xr:uid="{00000000-0005-0000-0000-00002C330000}"/>
    <cellStyle name="Normal 4 3 7 4 2 4 2" xfId="39435" xr:uid="{00000000-0005-0000-0000-00002D330000}"/>
    <cellStyle name="Normal 4 3 7 4 2 5" xfId="27147" xr:uid="{00000000-0005-0000-0000-00002E330000}"/>
    <cellStyle name="Normal 4 3 7 4 3" xfId="4107" xr:uid="{00000000-0005-0000-0000-00002F330000}"/>
    <cellStyle name="Normal 4 3 7 4 3 2" xfId="10251" xr:uid="{00000000-0005-0000-0000-000030330000}"/>
    <cellStyle name="Normal 4 3 7 4 3 2 2" xfId="22539" xr:uid="{00000000-0005-0000-0000-000031330000}"/>
    <cellStyle name="Normal 4 3 7 4 3 2 2 2" xfId="47115" xr:uid="{00000000-0005-0000-0000-000032330000}"/>
    <cellStyle name="Normal 4 3 7 4 3 2 3" xfId="34827" xr:uid="{00000000-0005-0000-0000-000033330000}"/>
    <cellStyle name="Normal 4 3 7 4 3 3" xfId="16395" xr:uid="{00000000-0005-0000-0000-000034330000}"/>
    <cellStyle name="Normal 4 3 7 4 3 3 2" xfId="40971" xr:uid="{00000000-0005-0000-0000-000035330000}"/>
    <cellStyle name="Normal 4 3 7 4 3 4" xfId="28683" xr:uid="{00000000-0005-0000-0000-000036330000}"/>
    <cellStyle name="Normal 4 3 7 4 4" xfId="7179" xr:uid="{00000000-0005-0000-0000-000037330000}"/>
    <cellStyle name="Normal 4 3 7 4 4 2" xfId="19467" xr:uid="{00000000-0005-0000-0000-000038330000}"/>
    <cellStyle name="Normal 4 3 7 4 4 2 2" xfId="44043" xr:uid="{00000000-0005-0000-0000-000039330000}"/>
    <cellStyle name="Normal 4 3 7 4 4 3" xfId="31755" xr:uid="{00000000-0005-0000-0000-00003A330000}"/>
    <cellStyle name="Normal 4 3 7 4 5" xfId="13323" xr:uid="{00000000-0005-0000-0000-00003B330000}"/>
    <cellStyle name="Normal 4 3 7 4 5 2" xfId="37899" xr:uid="{00000000-0005-0000-0000-00003C330000}"/>
    <cellStyle name="Normal 4 3 7 4 6" xfId="25611" xr:uid="{00000000-0005-0000-0000-00003D330000}"/>
    <cellStyle name="Normal 4 3 7 5" xfId="1799" xr:uid="{00000000-0005-0000-0000-00003E330000}"/>
    <cellStyle name="Normal 4 3 7 5 2" xfId="4875" xr:uid="{00000000-0005-0000-0000-00003F330000}"/>
    <cellStyle name="Normal 4 3 7 5 2 2" xfId="11019" xr:uid="{00000000-0005-0000-0000-000040330000}"/>
    <cellStyle name="Normal 4 3 7 5 2 2 2" xfId="23307" xr:uid="{00000000-0005-0000-0000-000041330000}"/>
    <cellStyle name="Normal 4 3 7 5 2 2 2 2" xfId="47883" xr:uid="{00000000-0005-0000-0000-000042330000}"/>
    <cellStyle name="Normal 4 3 7 5 2 2 3" xfId="35595" xr:uid="{00000000-0005-0000-0000-000043330000}"/>
    <cellStyle name="Normal 4 3 7 5 2 3" xfId="17163" xr:uid="{00000000-0005-0000-0000-000044330000}"/>
    <cellStyle name="Normal 4 3 7 5 2 3 2" xfId="41739" xr:uid="{00000000-0005-0000-0000-000045330000}"/>
    <cellStyle name="Normal 4 3 7 5 2 4" xfId="29451" xr:uid="{00000000-0005-0000-0000-000046330000}"/>
    <cellStyle name="Normal 4 3 7 5 3" xfId="7947" xr:uid="{00000000-0005-0000-0000-000047330000}"/>
    <cellStyle name="Normal 4 3 7 5 3 2" xfId="20235" xr:uid="{00000000-0005-0000-0000-000048330000}"/>
    <cellStyle name="Normal 4 3 7 5 3 2 2" xfId="44811" xr:uid="{00000000-0005-0000-0000-000049330000}"/>
    <cellStyle name="Normal 4 3 7 5 3 3" xfId="32523" xr:uid="{00000000-0005-0000-0000-00004A330000}"/>
    <cellStyle name="Normal 4 3 7 5 4" xfId="14091" xr:uid="{00000000-0005-0000-0000-00004B330000}"/>
    <cellStyle name="Normal 4 3 7 5 4 2" xfId="38667" xr:uid="{00000000-0005-0000-0000-00004C330000}"/>
    <cellStyle name="Normal 4 3 7 5 5" xfId="26379" xr:uid="{00000000-0005-0000-0000-00004D330000}"/>
    <cellStyle name="Normal 4 3 7 6" xfId="3339" xr:uid="{00000000-0005-0000-0000-00004E330000}"/>
    <cellStyle name="Normal 4 3 7 6 2" xfId="9483" xr:uid="{00000000-0005-0000-0000-00004F330000}"/>
    <cellStyle name="Normal 4 3 7 6 2 2" xfId="21771" xr:uid="{00000000-0005-0000-0000-000050330000}"/>
    <cellStyle name="Normal 4 3 7 6 2 2 2" xfId="46347" xr:uid="{00000000-0005-0000-0000-000051330000}"/>
    <cellStyle name="Normal 4 3 7 6 2 3" xfId="34059" xr:uid="{00000000-0005-0000-0000-000052330000}"/>
    <cellStyle name="Normal 4 3 7 6 3" xfId="15627" xr:uid="{00000000-0005-0000-0000-000053330000}"/>
    <cellStyle name="Normal 4 3 7 6 3 2" xfId="40203" xr:uid="{00000000-0005-0000-0000-000054330000}"/>
    <cellStyle name="Normal 4 3 7 6 4" xfId="27915" xr:uid="{00000000-0005-0000-0000-000055330000}"/>
    <cellStyle name="Normal 4 3 7 7" xfId="6411" xr:uid="{00000000-0005-0000-0000-000056330000}"/>
    <cellStyle name="Normal 4 3 7 7 2" xfId="18699" xr:uid="{00000000-0005-0000-0000-000057330000}"/>
    <cellStyle name="Normal 4 3 7 7 2 2" xfId="43275" xr:uid="{00000000-0005-0000-0000-000058330000}"/>
    <cellStyle name="Normal 4 3 7 7 3" xfId="30987" xr:uid="{00000000-0005-0000-0000-000059330000}"/>
    <cellStyle name="Normal 4 3 7 8" xfId="12555" xr:uid="{00000000-0005-0000-0000-00005A330000}"/>
    <cellStyle name="Normal 4 3 7 8 2" xfId="37131" xr:uid="{00000000-0005-0000-0000-00005B330000}"/>
    <cellStyle name="Normal 4 3 7 9" xfId="24843" xr:uid="{00000000-0005-0000-0000-00005C330000}"/>
    <cellStyle name="Normal 4 3 8" xfId="327" xr:uid="{00000000-0005-0000-0000-00005D330000}"/>
    <cellStyle name="Normal 4 3 8 2" xfId="711" xr:uid="{00000000-0005-0000-0000-00005E330000}"/>
    <cellStyle name="Normal 4 3 8 2 2" xfId="1479" xr:uid="{00000000-0005-0000-0000-00005F330000}"/>
    <cellStyle name="Normal 4 3 8 2 2 2" xfId="3015" xr:uid="{00000000-0005-0000-0000-000060330000}"/>
    <cellStyle name="Normal 4 3 8 2 2 2 2" xfId="6091" xr:uid="{00000000-0005-0000-0000-000061330000}"/>
    <cellStyle name="Normal 4 3 8 2 2 2 2 2" xfId="12235" xr:uid="{00000000-0005-0000-0000-000062330000}"/>
    <cellStyle name="Normal 4 3 8 2 2 2 2 2 2" xfId="24523" xr:uid="{00000000-0005-0000-0000-000063330000}"/>
    <cellStyle name="Normal 4 3 8 2 2 2 2 2 2 2" xfId="49099" xr:uid="{00000000-0005-0000-0000-000064330000}"/>
    <cellStyle name="Normal 4 3 8 2 2 2 2 2 3" xfId="36811" xr:uid="{00000000-0005-0000-0000-000065330000}"/>
    <cellStyle name="Normal 4 3 8 2 2 2 2 3" xfId="18379" xr:uid="{00000000-0005-0000-0000-000066330000}"/>
    <cellStyle name="Normal 4 3 8 2 2 2 2 3 2" xfId="42955" xr:uid="{00000000-0005-0000-0000-000067330000}"/>
    <cellStyle name="Normal 4 3 8 2 2 2 2 4" xfId="30667" xr:uid="{00000000-0005-0000-0000-000068330000}"/>
    <cellStyle name="Normal 4 3 8 2 2 2 3" xfId="9163" xr:uid="{00000000-0005-0000-0000-000069330000}"/>
    <cellStyle name="Normal 4 3 8 2 2 2 3 2" xfId="21451" xr:uid="{00000000-0005-0000-0000-00006A330000}"/>
    <cellStyle name="Normal 4 3 8 2 2 2 3 2 2" xfId="46027" xr:uid="{00000000-0005-0000-0000-00006B330000}"/>
    <cellStyle name="Normal 4 3 8 2 2 2 3 3" xfId="33739" xr:uid="{00000000-0005-0000-0000-00006C330000}"/>
    <cellStyle name="Normal 4 3 8 2 2 2 4" xfId="15307" xr:uid="{00000000-0005-0000-0000-00006D330000}"/>
    <cellStyle name="Normal 4 3 8 2 2 2 4 2" xfId="39883" xr:uid="{00000000-0005-0000-0000-00006E330000}"/>
    <cellStyle name="Normal 4 3 8 2 2 2 5" xfId="27595" xr:uid="{00000000-0005-0000-0000-00006F330000}"/>
    <cellStyle name="Normal 4 3 8 2 2 3" xfId="4555" xr:uid="{00000000-0005-0000-0000-000070330000}"/>
    <cellStyle name="Normal 4 3 8 2 2 3 2" xfId="10699" xr:uid="{00000000-0005-0000-0000-000071330000}"/>
    <cellStyle name="Normal 4 3 8 2 2 3 2 2" xfId="22987" xr:uid="{00000000-0005-0000-0000-000072330000}"/>
    <cellStyle name="Normal 4 3 8 2 2 3 2 2 2" xfId="47563" xr:uid="{00000000-0005-0000-0000-000073330000}"/>
    <cellStyle name="Normal 4 3 8 2 2 3 2 3" xfId="35275" xr:uid="{00000000-0005-0000-0000-000074330000}"/>
    <cellStyle name="Normal 4 3 8 2 2 3 3" xfId="16843" xr:uid="{00000000-0005-0000-0000-000075330000}"/>
    <cellStyle name="Normal 4 3 8 2 2 3 3 2" xfId="41419" xr:uid="{00000000-0005-0000-0000-000076330000}"/>
    <cellStyle name="Normal 4 3 8 2 2 3 4" xfId="29131" xr:uid="{00000000-0005-0000-0000-000077330000}"/>
    <cellStyle name="Normal 4 3 8 2 2 4" xfId="7627" xr:uid="{00000000-0005-0000-0000-000078330000}"/>
    <cellStyle name="Normal 4 3 8 2 2 4 2" xfId="19915" xr:uid="{00000000-0005-0000-0000-000079330000}"/>
    <cellStyle name="Normal 4 3 8 2 2 4 2 2" xfId="44491" xr:uid="{00000000-0005-0000-0000-00007A330000}"/>
    <cellStyle name="Normal 4 3 8 2 2 4 3" xfId="32203" xr:uid="{00000000-0005-0000-0000-00007B330000}"/>
    <cellStyle name="Normal 4 3 8 2 2 5" xfId="13771" xr:uid="{00000000-0005-0000-0000-00007C330000}"/>
    <cellStyle name="Normal 4 3 8 2 2 5 2" xfId="38347" xr:uid="{00000000-0005-0000-0000-00007D330000}"/>
    <cellStyle name="Normal 4 3 8 2 2 6" xfId="26059" xr:uid="{00000000-0005-0000-0000-00007E330000}"/>
    <cellStyle name="Normal 4 3 8 2 3" xfId="2247" xr:uid="{00000000-0005-0000-0000-00007F330000}"/>
    <cellStyle name="Normal 4 3 8 2 3 2" xfId="5323" xr:uid="{00000000-0005-0000-0000-000080330000}"/>
    <cellStyle name="Normal 4 3 8 2 3 2 2" xfId="11467" xr:uid="{00000000-0005-0000-0000-000081330000}"/>
    <cellStyle name="Normal 4 3 8 2 3 2 2 2" xfId="23755" xr:uid="{00000000-0005-0000-0000-000082330000}"/>
    <cellStyle name="Normal 4 3 8 2 3 2 2 2 2" xfId="48331" xr:uid="{00000000-0005-0000-0000-000083330000}"/>
    <cellStyle name="Normal 4 3 8 2 3 2 2 3" xfId="36043" xr:uid="{00000000-0005-0000-0000-000084330000}"/>
    <cellStyle name="Normal 4 3 8 2 3 2 3" xfId="17611" xr:uid="{00000000-0005-0000-0000-000085330000}"/>
    <cellStyle name="Normal 4 3 8 2 3 2 3 2" xfId="42187" xr:uid="{00000000-0005-0000-0000-000086330000}"/>
    <cellStyle name="Normal 4 3 8 2 3 2 4" xfId="29899" xr:uid="{00000000-0005-0000-0000-000087330000}"/>
    <cellStyle name="Normal 4 3 8 2 3 3" xfId="8395" xr:uid="{00000000-0005-0000-0000-000088330000}"/>
    <cellStyle name="Normal 4 3 8 2 3 3 2" xfId="20683" xr:uid="{00000000-0005-0000-0000-000089330000}"/>
    <cellStyle name="Normal 4 3 8 2 3 3 2 2" xfId="45259" xr:uid="{00000000-0005-0000-0000-00008A330000}"/>
    <cellStyle name="Normal 4 3 8 2 3 3 3" xfId="32971" xr:uid="{00000000-0005-0000-0000-00008B330000}"/>
    <cellStyle name="Normal 4 3 8 2 3 4" xfId="14539" xr:uid="{00000000-0005-0000-0000-00008C330000}"/>
    <cellStyle name="Normal 4 3 8 2 3 4 2" xfId="39115" xr:uid="{00000000-0005-0000-0000-00008D330000}"/>
    <cellStyle name="Normal 4 3 8 2 3 5" xfId="26827" xr:uid="{00000000-0005-0000-0000-00008E330000}"/>
    <cellStyle name="Normal 4 3 8 2 4" xfId="3787" xr:uid="{00000000-0005-0000-0000-00008F330000}"/>
    <cellStyle name="Normal 4 3 8 2 4 2" xfId="9931" xr:uid="{00000000-0005-0000-0000-000090330000}"/>
    <cellStyle name="Normal 4 3 8 2 4 2 2" xfId="22219" xr:uid="{00000000-0005-0000-0000-000091330000}"/>
    <cellStyle name="Normal 4 3 8 2 4 2 2 2" xfId="46795" xr:uid="{00000000-0005-0000-0000-000092330000}"/>
    <cellStyle name="Normal 4 3 8 2 4 2 3" xfId="34507" xr:uid="{00000000-0005-0000-0000-000093330000}"/>
    <cellStyle name="Normal 4 3 8 2 4 3" xfId="16075" xr:uid="{00000000-0005-0000-0000-000094330000}"/>
    <cellStyle name="Normal 4 3 8 2 4 3 2" xfId="40651" xr:uid="{00000000-0005-0000-0000-000095330000}"/>
    <cellStyle name="Normal 4 3 8 2 4 4" xfId="28363" xr:uid="{00000000-0005-0000-0000-000096330000}"/>
    <cellStyle name="Normal 4 3 8 2 5" xfId="6859" xr:uid="{00000000-0005-0000-0000-000097330000}"/>
    <cellStyle name="Normal 4 3 8 2 5 2" xfId="19147" xr:uid="{00000000-0005-0000-0000-000098330000}"/>
    <cellStyle name="Normal 4 3 8 2 5 2 2" xfId="43723" xr:uid="{00000000-0005-0000-0000-000099330000}"/>
    <cellStyle name="Normal 4 3 8 2 5 3" xfId="31435" xr:uid="{00000000-0005-0000-0000-00009A330000}"/>
    <cellStyle name="Normal 4 3 8 2 6" xfId="13003" xr:uid="{00000000-0005-0000-0000-00009B330000}"/>
    <cellStyle name="Normal 4 3 8 2 6 2" xfId="37579" xr:uid="{00000000-0005-0000-0000-00009C330000}"/>
    <cellStyle name="Normal 4 3 8 2 7" xfId="25291" xr:uid="{00000000-0005-0000-0000-00009D330000}"/>
    <cellStyle name="Normal 4 3 8 3" xfId="1095" xr:uid="{00000000-0005-0000-0000-00009E330000}"/>
    <cellStyle name="Normal 4 3 8 3 2" xfId="2631" xr:uid="{00000000-0005-0000-0000-00009F330000}"/>
    <cellStyle name="Normal 4 3 8 3 2 2" xfId="5707" xr:uid="{00000000-0005-0000-0000-0000A0330000}"/>
    <cellStyle name="Normal 4 3 8 3 2 2 2" xfId="11851" xr:uid="{00000000-0005-0000-0000-0000A1330000}"/>
    <cellStyle name="Normal 4 3 8 3 2 2 2 2" xfId="24139" xr:uid="{00000000-0005-0000-0000-0000A2330000}"/>
    <cellStyle name="Normal 4 3 8 3 2 2 2 2 2" xfId="48715" xr:uid="{00000000-0005-0000-0000-0000A3330000}"/>
    <cellStyle name="Normal 4 3 8 3 2 2 2 3" xfId="36427" xr:uid="{00000000-0005-0000-0000-0000A4330000}"/>
    <cellStyle name="Normal 4 3 8 3 2 2 3" xfId="17995" xr:uid="{00000000-0005-0000-0000-0000A5330000}"/>
    <cellStyle name="Normal 4 3 8 3 2 2 3 2" xfId="42571" xr:uid="{00000000-0005-0000-0000-0000A6330000}"/>
    <cellStyle name="Normal 4 3 8 3 2 2 4" xfId="30283" xr:uid="{00000000-0005-0000-0000-0000A7330000}"/>
    <cellStyle name="Normal 4 3 8 3 2 3" xfId="8779" xr:uid="{00000000-0005-0000-0000-0000A8330000}"/>
    <cellStyle name="Normal 4 3 8 3 2 3 2" xfId="21067" xr:uid="{00000000-0005-0000-0000-0000A9330000}"/>
    <cellStyle name="Normal 4 3 8 3 2 3 2 2" xfId="45643" xr:uid="{00000000-0005-0000-0000-0000AA330000}"/>
    <cellStyle name="Normal 4 3 8 3 2 3 3" xfId="33355" xr:uid="{00000000-0005-0000-0000-0000AB330000}"/>
    <cellStyle name="Normal 4 3 8 3 2 4" xfId="14923" xr:uid="{00000000-0005-0000-0000-0000AC330000}"/>
    <cellStyle name="Normal 4 3 8 3 2 4 2" xfId="39499" xr:uid="{00000000-0005-0000-0000-0000AD330000}"/>
    <cellStyle name="Normal 4 3 8 3 2 5" xfId="27211" xr:uid="{00000000-0005-0000-0000-0000AE330000}"/>
    <cellStyle name="Normal 4 3 8 3 3" xfId="4171" xr:uid="{00000000-0005-0000-0000-0000AF330000}"/>
    <cellStyle name="Normal 4 3 8 3 3 2" xfId="10315" xr:uid="{00000000-0005-0000-0000-0000B0330000}"/>
    <cellStyle name="Normal 4 3 8 3 3 2 2" xfId="22603" xr:uid="{00000000-0005-0000-0000-0000B1330000}"/>
    <cellStyle name="Normal 4 3 8 3 3 2 2 2" xfId="47179" xr:uid="{00000000-0005-0000-0000-0000B2330000}"/>
    <cellStyle name="Normal 4 3 8 3 3 2 3" xfId="34891" xr:uid="{00000000-0005-0000-0000-0000B3330000}"/>
    <cellStyle name="Normal 4 3 8 3 3 3" xfId="16459" xr:uid="{00000000-0005-0000-0000-0000B4330000}"/>
    <cellStyle name="Normal 4 3 8 3 3 3 2" xfId="41035" xr:uid="{00000000-0005-0000-0000-0000B5330000}"/>
    <cellStyle name="Normal 4 3 8 3 3 4" xfId="28747" xr:uid="{00000000-0005-0000-0000-0000B6330000}"/>
    <cellStyle name="Normal 4 3 8 3 4" xfId="7243" xr:uid="{00000000-0005-0000-0000-0000B7330000}"/>
    <cellStyle name="Normal 4 3 8 3 4 2" xfId="19531" xr:uid="{00000000-0005-0000-0000-0000B8330000}"/>
    <cellStyle name="Normal 4 3 8 3 4 2 2" xfId="44107" xr:uid="{00000000-0005-0000-0000-0000B9330000}"/>
    <cellStyle name="Normal 4 3 8 3 4 3" xfId="31819" xr:uid="{00000000-0005-0000-0000-0000BA330000}"/>
    <cellStyle name="Normal 4 3 8 3 5" xfId="13387" xr:uid="{00000000-0005-0000-0000-0000BB330000}"/>
    <cellStyle name="Normal 4 3 8 3 5 2" xfId="37963" xr:uid="{00000000-0005-0000-0000-0000BC330000}"/>
    <cellStyle name="Normal 4 3 8 3 6" xfId="25675" xr:uid="{00000000-0005-0000-0000-0000BD330000}"/>
    <cellStyle name="Normal 4 3 8 4" xfId="1863" xr:uid="{00000000-0005-0000-0000-0000BE330000}"/>
    <cellStyle name="Normal 4 3 8 4 2" xfId="4939" xr:uid="{00000000-0005-0000-0000-0000BF330000}"/>
    <cellStyle name="Normal 4 3 8 4 2 2" xfId="11083" xr:uid="{00000000-0005-0000-0000-0000C0330000}"/>
    <cellStyle name="Normal 4 3 8 4 2 2 2" xfId="23371" xr:uid="{00000000-0005-0000-0000-0000C1330000}"/>
    <cellStyle name="Normal 4 3 8 4 2 2 2 2" xfId="47947" xr:uid="{00000000-0005-0000-0000-0000C2330000}"/>
    <cellStyle name="Normal 4 3 8 4 2 2 3" xfId="35659" xr:uid="{00000000-0005-0000-0000-0000C3330000}"/>
    <cellStyle name="Normal 4 3 8 4 2 3" xfId="17227" xr:uid="{00000000-0005-0000-0000-0000C4330000}"/>
    <cellStyle name="Normal 4 3 8 4 2 3 2" xfId="41803" xr:uid="{00000000-0005-0000-0000-0000C5330000}"/>
    <cellStyle name="Normal 4 3 8 4 2 4" xfId="29515" xr:uid="{00000000-0005-0000-0000-0000C6330000}"/>
    <cellStyle name="Normal 4 3 8 4 3" xfId="8011" xr:uid="{00000000-0005-0000-0000-0000C7330000}"/>
    <cellStyle name="Normal 4 3 8 4 3 2" xfId="20299" xr:uid="{00000000-0005-0000-0000-0000C8330000}"/>
    <cellStyle name="Normal 4 3 8 4 3 2 2" xfId="44875" xr:uid="{00000000-0005-0000-0000-0000C9330000}"/>
    <cellStyle name="Normal 4 3 8 4 3 3" xfId="32587" xr:uid="{00000000-0005-0000-0000-0000CA330000}"/>
    <cellStyle name="Normal 4 3 8 4 4" xfId="14155" xr:uid="{00000000-0005-0000-0000-0000CB330000}"/>
    <cellStyle name="Normal 4 3 8 4 4 2" xfId="38731" xr:uid="{00000000-0005-0000-0000-0000CC330000}"/>
    <cellStyle name="Normal 4 3 8 4 5" xfId="26443" xr:uid="{00000000-0005-0000-0000-0000CD330000}"/>
    <cellStyle name="Normal 4 3 8 5" xfId="3403" xr:uid="{00000000-0005-0000-0000-0000CE330000}"/>
    <cellStyle name="Normal 4 3 8 5 2" xfId="9547" xr:uid="{00000000-0005-0000-0000-0000CF330000}"/>
    <cellStyle name="Normal 4 3 8 5 2 2" xfId="21835" xr:uid="{00000000-0005-0000-0000-0000D0330000}"/>
    <cellStyle name="Normal 4 3 8 5 2 2 2" xfId="46411" xr:uid="{00000000-0005-0000-0000-0000D1330000}"/>
    <cellStyle name="Normal 4 3 8 5 2 3" xfId="34123" xr:uid="{00000000-0005-0000-0000-0000D2330000}"/>
    <cellStyle name="Normal 4 3 8 5 3" xfId="15691" xr:uid="{00000000-0005-0000-0000-0000D3330000}"/>
    <cellStyle name="Normal 4 3 8 5 3 2" xfId="40267" xr:uid="{00000000-0005-0000-0000-0000D4330000}"/>
    <cellStyle name="Normal 4 3 8 5 4" xfId="27979" xr:uid="{00000000-0005-0000-0000-0000D5330000}"/>
    <cellStyle name="Normal 4 3 8 6" xfId="6475" xr:uid="{00000000-0005-0000-0000-0000D6330000}"/>
    <cellStyle name="Normal 4 3 8 6 2" xfId="18763" xr:uid="{00000000-0005-0000-0000-0000D7330000}"/>
    <cellStyle name="Normal 4 3 8 6 2 2" xfId="43339" xr:uid="{00000000-0005-0000-0000-0000D8330000}"/>
    <cellStyle name="Normal 4 3 8 6 3" xfId="31051" xr:uid="{00000000-0005-0000-0000-0000D9330000}"/>
    <cellStyle name="Normal 4 3 8 7" xfId="12619" xr:uid="{00000000-0005-0000-0000-0000DA330000}"/>
    <cellStyle name="Normal 4 3 8 7 2" xfId="37195" xr:uid="{00000000-0005-0000-0000-0000DB330000}"/>
    <cellStyle name="Normal 4 3 8 8" xfId="24907" xr:uid="{00000000-0005-0000-0000-0000DC330000}"/>
    <cellStyle name="Normal 4 3 9" xfId="519" xr:uid="{00000000-0005-0000-0000-0000DD330000}"/>
    <cellStyle name="Normal 4 3 9 2" xfId="1287" xr:uid="{00000000-0005-0000-0000-0000DE330000}"/>
    <cellStyle name="Normal 4 3 9 2 2" xfId="2823" xr:uid="{00000000-0005-0000-0000-0000DF330000}"/>
    <cellStyle name="Normal 4 3 9 2 2 2" xfId="5899" xr:uid="{00000000-0005-0000-0000-0000E0330000}"/>
    <cellStyle name="Normal 4 3 9 2 2 2 2" xfId="12043" xr:uid="{00000000-0005-0000-0000-0000E1330000}"/>
    <cellStyle name="Normal 4 3 9 2 2 2 2 2" xfId="24331" xr:uid="{00000000-0005-0000-0000-0000E2330000}"/>
    <cellStyle name="Normal 4 3 9 2 2 2 2 2 2" xfId="48907" xr:uid="{00000000-0005-0000-0000-0000E3330000}"/>
    <cellStyle name="Normal 4 3 9 2 2 2 2 3" xfId="36619" xr:uid="{00000000-0005-0000-0000-0000E4330000}"/>
    <cellStyle name="Normal 4 3 9 2 2 2 3" xfId="18187" xr:uid="{00000000-0005-0000-0000-0000E5330000}"/>
    <cellStyle name="Normal 4 3 9 2 2 2 3 2" xfId="42763" xr:uid="{00000000-0005-0000-0000-0000E6330000}"/>
    <cellStyle name="Normal 4 3 9 2 2 2 4" xfId="30475" xr:uid="{00000000-0005-0000-0000-0000E7330000}"/>
    <cellStyle name="Normal 4 3 9 2 2 3" xfId="8971" xr:uid="{00000000-0005-0000-0000-0000E8330000}"/>
    <cellStyle name="Normal 4 3 9 2 2 3 2" xfId="21259" xr:uid="{00000000-0005-0000-0000-0000E9330000}"/>
    <cellStyle name="Normal 4 3 9 2 2 3 2 2" xfId="45835" xr:uid="{00000000-0005-0000-0000-0000EA330000}"/>
    <cellStyle name="Normal 4 3 9 2 2 3 3" xfId="33547" xr:uid="{00000000-0005-0000-0000-0000EB330000}"/>
    <cellStyle name="Normal 4 3 9 2 2 4" xfId="15115" xr:uid="{00000000-0005-0000-0000-0000EC330000}"/>
    <cellStyle name="Normal 4 3 9 2 2 4 2" xfId="39691" xr:uid="{00000000-0005-0000-0000-0000ED330000}"/>
    <cellStyle name="Normal 4 3 9 2 2 5" xfId="27403" xr:uid="{00000000-0005-0000-0000-0000EE330000}"/>
    <cellStyle name="Normal 4 3 9 2 3" xfId="4363" xr:uid="{00000000-0005-0000-0000-0000EF330000}"/>
    <cellStyle name="Normal 4 3 9 2 3 2" xfId="10507" xr:uid="{00000000-0005-0000-0000-0000F0330000}"/>
    <cellStyle name="Normal 4 3 9 2 3 2 2" xfId="22795" xr:uid="{00000000-0005-0000-0000-0000F1330000}"/>
    <cellStyle name="Normal 4 3 9 2 3 2 2 2" xfId="47371" xr:uid="{00000000-0005-0000-0000-0000F2330000}"/>
    <cellStyle name="Normal 4 3 9 2 3 2 3" xfId="35083" xr:uid="{00000000-0005-0000-0000-0000F3330000}"/>
    <cellStyle name="Normal 4 3 9 2 3 3" xfId="16651" xr:uid="{00000000-0005-0000-0000-0000F4330000}"/>
    <cellStyle name="Normal 4 3 9 2 3 3 2" xfId="41227" xr:uid="{00000000-0005-0000-0000-0000F5330000}"/>
    <cellStyle name="Normal 4 3 9 2 3 4" xfId="28939" xr:uid="{00000000-0005-0000-0000-0000F6330000}"/>
    <cellStyle name="Normal 4 3 9 2 4" xfId="7435" xr:uid="{00000000-0005-0000-0000-0000F7330000}"/>
    <cellStyle name="Normal 4 3 9 2 4 2" xfId="19723" xr:uid="{00000000-0005-0000-0000-0000F8330000}"/>
    <cellStyle name="Normal 4 3 9 2 4 2 2" xfId="44299" xr:uid="{00000000-0005-0000-0000-0000F9330000}"/>
    <cellStyle name="Normal 4 3 9 2 4 3" xfId="32011" xr:uid="{00000000-0005-0000-0000-0000FA330000}"/>
    <cellStyle name="Normal 4 3 9 2 5" xfId="13579" xr:uid="{00000000-0005-0000-0000-0000FB330000}"/>
    <cellStyle name="Normal 4 3 9 2 5 2" xfId="38155" xr:uid="{00000000-0005-0000-0000-0000FC330000}"/>
    <cellStyle name="Normal 4 3 9 2 6" xfId="25867" xr:uid="{00000000-0005-0000-0000-0000FD330000}"/>
    <cellStyle name="Normal 4 3 9 3" xfId="2055" xr:uid="{00000000-0005-0000-0000-0000FE330000}"/>
    <cellStyle name="Normal 4 3 9 3 2" xfId="5131" xr:uid="{00000000-0005-0000-0000-0000FF330000}"/>
    <cellStyle name="Normal 4 3 9 3 2 2" xfId="11275" xr:uid="{00000000-0005-0000-0000-000000340000}"/>
    <cellStyle name="Normal 4 3 9 3 2 2 2" xfId="23563" xr:uid="{00000000-0005-0000-0000-000001340000}"/>
    <cellStyle name="Normal 4 3 9 3 2 2 2 2" xfId="48139" xr:uid="{00000000-0005-0000-0000-000002340000}"/>
    <cellStyle name="Normal 4 3 9 3 2 2 3" xfId="35851" xr:uid="{00000000-0005-0000-0000-000003340000}"/>
    <cellStyle name="Normal 4 3 9 3 2 3" xfId="17419" xr:uid="{00000000-0005-0000-0000-000004340000}"/>
    <cellStyle name="Normal 4 3 9 3 2 3 2" xfId="41995" xr:uid="{00000000-0005-0000-0000-000005340000}"/>
    <cellStyle name="Normal 4 3 9 3 2 4" xfId="29707" xr:uid="{00000000-0005-0000-0000-000006340000}"/>
    <cellStyle name="Normal 4 3 9 3 3" xfId="8203" xr:uid="{00000000-0005-0000-0000-000007340000}"/>
    <cellStyle name="Normal 4 3 9 3 3 2" xfId="20491" xr:uid="{00000000-0005-0000-0000-000008340000}"/>
    <cellStyle name="Normal 4 3 9 3 3 2 2" xfId="45067" xr:uid="{00000000-0005-0000-0000-000009340000}"/>
    <cellStyle name="Normal 4 3 9 3 3 3" xfId="32779" xr:uid="{00000000-0005-0000-0000-00000A340000}"/>
    <cellStyle name="Normal 4 3 9 3 4" xfId="14347" xr:uid="{00000000-0005-0000-0000-00000B340000}"/>
    <cellStyle name="Normal 4 3 9 3 4 2" xfId="38923" xr:uid="{00000000-0005-0000-0000-00000C340000}"/>
    <cellStyle name="Normal 4 3 9 3 5" xfId="26635" xr:uid="{00000000-0005-0000-0000-00000D340000}"/>
    <cellStyle name="Normal 4 3 9 4" xfId="3595" xr:uid="{00000000-0005-0000-0000-00000E340000}"/>
    <cellStyle name="Normal 4 3 9 4 2" xfId="9739" xr:uid="{00000000-0005-0000-0000-00000F340000}"/>
    <cellStyle name="Normal 4 3 9 4 2 2" xfId="22027" xr:uid="{00000000-0005-0000-0000-000010340000}"/>
    <cellStyle name="Normal 4 3 9 4 2 2 2" xfId="46603" xr:uid="{00000000-0005-0000-0000-000011340000}"/>
    <cellStyle name="Normal 4 3 9 4 2 3" xfId="34315" xr:uid="{00000000-0005-0000-0000-000012340000}"/>
    <cellStyle name="Normal 4 3 9 4 3" xfId="15883" xr:uid="{00000000-0005-0000-0000-000013340000}"/>
    <cellStyle name="Normal 4 3 9 4 3 2" xfId="40459" xr:uid="{00000000-0005-0000-0000-000014340000}"/>
    <cellStyle name="Normal 4 3 9 4 4" xfId="28171" xr:uid="{00000000-0005-0000-0000-000015340000}"/>
    <cellStyle name="Normal 4 3 9 5" xfId="6667" xr:uid="{00000000-0005-0000-0000-000016340000}"/>
    <cellStyle name="Normal 4 3 9 5 2" xfId="18955" xr:uid="{00000000-0005-0000-0000-000017340000}"/>
    <cellStyle name="Normal 4 3 9 5 2 2" xfId="43531" xr:uid="{00000000-0005-0000-0000-000018340000}"/>
    <cellStyle name="Normal 4 3 9 5 3" xfId="31243" xr:uid="{00000000-0005-0000-0000-000019340000}"/>
    <cellStyle name="Normal 4 3 9 6" xfId="12811" xr:uid="{00000000-0005-0000-0000-00001A340000}"/>
    <cellStyle name="Normal 4 3 9 6 2" xfId="37387" xr:uid="{00000000-0005-0000-0000-00001B340000}"/>
    <cellStyle name="Normal 4 3 9 7" xfId="25099" xr:uid="{00000000-0005-0000-0000-00001C340000}"/>
    <cellStyle name="Normal 4 4" xfId="96" xr:uid="{00000000-0005-0000-0000-00001D340000}"/>
    <cellStyle name="Normal 4 4 10" xfId="1673" xr:uid="{00000000-0005-0000-0000-00001E340000}"/>
    <cellStyle name="Normal 4 4 10 2" xfId="4749" xr:uid="{00000000-0005-0000-0000-00001F340000}"/>
    <cellStyle name="Normal 4 4 10 2 2" xfId="10893" xr:uid="{00000000-0005-0000-0000-000020340000}"/>
    <cellStyle name="Normal 4 4 10 2 2 2" xfId="23181" xr:uid="{00000000-0005-0000-0000-000021340000}"/>
    <cellStyle name="Normal 4 4 10 2 2 2 2" xfId="47757" xr:uid="{00000000-0005-0000-0000-000022340000}"/>
    <cellStyle name="Normal 4 4 10 2 2 3" xfId="35469" xr:uid="{00000000-0005-0000-0000-000023340000}"/>
    <cellStyle name="Normal 4 4 10 2 3" xfId="17037" xr:uid="{00000000-0005-0000-0000-000024340000}"/>
    <cellStyle name="Normal 4 4 10 2 3 2" xfId="41613" xr:uid="{00000000-0005-0000-0000-000025340000}"/>
    <cellStyle name="Normal 4 4 10 2 4" xfId="29325" xr:uid="{00000000-0005-0000-0000-000026340000}"/>
    <cellStyle name="Normal 4 4 10 3" xfId="7821" xr:uid="{00000000-0005-0000-0000-000027340000}"/>
    <cellStyle name="Normal 4 4 10 3 2" xfId="20109" xr:uid="{00000000-0005-0000-0000-000028340000}"/>
    <cellStyle name="Normal 4 4 10 3 2 2" xfId="44685" xr:uid="{00000000-0005-0000-0000-000029340000}"/>
    <cellStyle name="Normal 4 4 10 3 3" xfId="32397" xr:uid="{00000000-0005-0000-0000-00002A340000}"/>
    <cellStyle name="Normal 4 4 10 4" xfId="13965" xr:uid="{00000000-0005-0000-0000-00002B340000}"/>
    <cellStyle name="Normal 4 4 10 4 2" xfId="38541" xr:uid="{00000000-0005-0000-0000-00002C340000}"/>
    <cellStyle name="Normal 4 4 10 5" xfId="26253" xr:uid="{00000000-0005-0000-0000-00002D340000}"/>
    <cellStyle name="Normal 4 4 11" xfId="3213" xr:uid="{00000000-0005-0000-0000-00002E340000}"/>
    <cellStyle name="Normal 4 4 11 2" xfId="9357" xr:uid="{00000000-0005-0000-0000-00002F340000}"/>
    <cellStyle name="Normal 4 4 11 2 2" xfId="21645" xr:uid="{00000000-0005-0000-0000-000030340000}"/>
    <cellStyle name="Normal 4 4 11 2 2 2" xfId="46221" xr:uid="{00000000-0005-0000-0000-000031340000}"/>
    <cellStyle name="Normal 4 4 11 2 3" xfId="33933" xr:uid="{00000000-0005-0000-0000-000032340000}"/>
    <cellStyle name="Normal 4 4 11 3" xfId="15501" xr:uid="{00000000-0005-0000-0000-000033340000}"/>
    <cellStyle name="Normal 4 4 11 3 2" xfId="40077" xr:uid="{00000000-0005-0000-0000-000034340000}"/>
    <cellStyle name="Normal 4 4 11 4" xfId="27789" xr:uid="{00000000-0005-0000-0000-000035340000}"/>
    <cellStyle name="Normal 4 4 12" xfId="6285" xr:uid="{00000000-0005-0000-0000-000036340000}"/>
    <cellStyle name="Normal 4 4 12 2" xfId="18573" xr:uid="{00000000-0005-0000-0000-000037340000}"/>
    <cellStyle name="Normal 4 4 12 2 2" xfId="43149" xr:uid="{00000000-0005-0000-0000-000038340000}"/>
    <cellStyle name="Normal 4 4 12 3" xfId="30861" xr:uid="{00000000-0005-0000-0000-000039340000}"/>
    <cellStyle name="Normal 4 4 13" xfId="12429" xr:uid="{00000000-0005-0000-0000-00003A340000}"/>
    <cellStyle name="Normal 4 4 13 2" xfId="37005" xr:uid="{00000000-0005-0000-0000-00003B340000}"/>
    <cellStyle name="Normal 4 4 14" xfId="24717" xr:uid="{00000000-0005-0000-0000-00003C340000}"/>
    <cellStyle name="Normal 4 4 15" xfId="49595" xr:uid="{00000000-0005-0000-0000-00003D340000}"/>
    <cellStyle name="Normal 4 4 2" xfId="104" xr:uid="{00000000-0005-0000-0000-00003E340000}"/>
    <cellStyle name="Normal 4 4 2 10" xfId="3221" xr:uid="{00000000-0005-0000-0000-00003F340000}"/>
    <cellStyle name="Normal 4 4 2 10 2" xfId="9365" xr:uid="{00000000-0005-0000-0000-000040340000}"/>
    <cellStyle name="Normal 4 4 2 10 2 2" xfId="21653" xr:uid="{00000000-0005-0000-0000-000041340000}"/>
    <cellStyle name="Normal 4 4 2 10 2 2 2" xfId="46229" xr:uid="{00000000-0005-0000-0000-000042340000}"/>
    <cellStyle name="Normal 4 4 2 10 2 3" xfId="33941" xr:uid="{00000000-0005-0000-0000-000043340000}"/>
    <cellStyle name="Normal 4 4 2 10 3" xfId="15509" xr:uid="{00000000-0005-0000-0000-000044340000}"/>
    <cellStyle name="Normal 4 4 2 10 3 2" xfId="40085" xr:uid="{00000000-0005-0000-0000-000045340000}"/>
    <cellStyle name="Normal 4 4 2 10 4" xfId="27797" xr:uid="{00000000-0005-0000-0000-000046340000}"/>
    <cellStyle name="Normal 4 4 2 11" xfId="6293" xr:uid="{00000000-0005-0000-0000-000047340000}"/>
    <cellStyle name="Normal 4 4 2 11 2" xfId="18581" xr:uid="{00000000-0005-0000-0000-000048340000}"/>
    <cellStyle name="Normal 4 4 2 11 2 2" xfId="43157" xr:uid="{00000000-0005-0000-0000-000049340000}"/>
    <cellStyle name="Normal 4 4 2 11 3" xfId="30869" xr:uid="{00000000-0005-0000-0000-00004A340000}"/>
    <cellStyle name="Normal 4 4 2 12" xfId="12437" xr:uid="{00000000-0005-0000-0000-00004B340000}"/>
    <cellStyle name="Normal 4 4 2 12 2" xfId="37013" xr:uid="{00000000-0005-0000-0000-00004C340000}"/>
    <cellStyle name="Normal 4 4 2 13" xfId="24725" xr:uid="{00000000-0005-0000-0000-00004D340000}"/>
    <cellStyle name="Normal 4 4 2 2" xfId="120" xr:uid="{00000000-0005-0000-0000-00004E340000}"/>
    <cellStyle name="Normal 4 4 2 2 10" xfId="6309" xr:uid="{00000000-0005-0000-0000-00004F340000}"/>
    <cellStyle name="Normal 4 4 2 2 10 2" xfId="18597" xr:uid="{00000000-0005-0000-0000-000050340000}"/>
    <cellStyle name="Normal 4 4 2 2 10 2 2" xfId="43173" xr:uid="{00000000-0005-0000-0000-000051340000}"/>
    <cellStyle name="Normal 4 4 2 2 10 3" xfId="30885" xr:uid="{00000000-0005-0000-0000-000052340000}"/>
    <cellStyle name="Normal 4 4 2 2 11" xfId="12453" xr:uid="{00000000-0005-0000-0000-000053340000}"/>
    <cellStyle name="Normal 4 4 2 2 11 2" xfId="37029" xr:uid="{00000000-0005-0000-0000-000054340000}"/>
    <cellStyle name="Normal 4 4 2 2 12" xfId="24741" xr:uid="{00000000-0005-0000-0000-000055340000}"/>
    <cellStyle name="Normal 4 4 2 2 2" xfId="192" xr:uid="{00000000-0005-0000-0000-000056340000}"/>
    <cellStyle name="Normal 4 4 2 2 2 10" xfId="12485" xr:uid="{00000000-0005-0000-0000-000057340000}"/>
    <cellStyle name="Normal 4 4 2 2 2 10 2" xfId="37061" xr:uid="{00000000-0005-0000-0000-000058340000}"/>
    <cellStyle name="Normal 4 4 2 2 2 11" xfId="24773" xr:uid="{00000000-0005-0000-0000-000059340000}"/>
    <cellStyle name="Normal 4 4 2 2 2 2" xfId="257" xr:uid="{00000000-0005-0000-0000-00005A340000}"/>
    <cellStyle name="Normal 4 4 2 2 2 2 2" xfId="449" xr:uid="{00000000-0005-0000-0000-00005B340000}"/>
    <cellStyle name="Normal 4 4 2 2 2 2 2 2" xfId="833" xr:uid="{00000000-0005-0000-0000-00005C340000}"/>
    <cellStyle name="Normal 4 4 2 2 2 2 2 2 2" xfId="1601" xr:uid="{00000000-0005-0000-0000-00005D340000}"/>
    <cellStyle name="Normal 4 4 2 2 2 2 2 2 2 2" xfId="3137" xr:uid="{00000000-0005-0000-0000-00005E340000}"/>
    <cellStyle name="Normal 4 4 2 2 2 2 2 2 2 2 2" xfId="6213" xr:uid="{00000000-0005-0000-0000-00005F340000}"/>
    <cellStyle name="Normal 4 4 2 2 2 2 2 2 2 2 2 2" xfId="12357" xr:uid="{00000000-0005-0000-0000-000060340000}"/>
    <cellStyle name="Normal 4 4 2 2 2 2 2 2 2 2 2 2 2" xfId="24645" xr:uid="{00000000-0005-0000-0000-000061340000}"/>
    <cellStyle name="Normal 4 4 2 2 2 2 2 2 2 2 2 2 2 2" xfId="49221" xr:uid="{00000000-0005-0000-0000-000062340000}"/>
    <cellStyle name="Normal 4 4 2 2 2 2 2 2 2 2 2 2 3" xfId="36933" xr:uid="{00000000-0005-0000-0000-000063340000}"/>
    <cellStyle name="Normal 4 4 2 2 2 2 2 2 2 2 2 3" xfId="18501" xr:uid="{00000000-0005-0000-0000-000064340000}"/>
    <cellStyle name="Normal 4 4 2 2 2 2 2 2 2 2 2 3 2" xfId="43077" xr:uid="{00000000-0005-0000-0000-000065340000}"/>
    <cellStyle name="Normal 4 4 2 2 2 2 2 2 2 2 2 4" xfId="30789" xr:uid="{00000000-0005-0000-0000-000066340000}"/>
    <cellStyle name="Normal 4 4 2 2 2 2 2 2 2 2 3" xfId="9285" xr:uid="{00000000-0005-0000-0000-000067340000}"/>
    <cellStyle name="Normal 4 4 2 2 2 2 2 2 2 2 3 2" xfId="21573" xr:uid="{00000000-0005-0000-0000-000068340000}"/>
    <cellStyle name="Normal 4 4 2 2 2 2 2 2 2 2 3 2 2" xfId="46149" xr:uid="{00000000-0005-0000-0000-000069340000}"/>
    <cellStyle name="Normal 4 4 2 2 2 2 2 2 2 2 3 3" xfId="33861" xr:uid="{00000000-0005-0000-0000-00006A340000}"/>
    <cellStyle name="Normal 4 4 2 2 2 2 2 2 2 2 4" xfId="15429" xr:uid="{00000000-0005-0000-0000-00006B340000}"/>
    <cellStyle name="Normal 4 4 2 2 2 2 2 2 2 2 4 2" xfId="40005" xr:uid="{00000000-0005-0000-0000-00006C340000}"/>
    <cellStyle name="Normal 4 4 2 2 2 2 2 2 2 2 5" xfId="27717" xr:uid="{00000000-0005-0000-0000-00006D340000}"/>
    <cellStyle name="Normal 4 4 2 2 2 2 2 2 2 3" xfId="4677" xr:uid="{00000000-0005-0000-0000-00006E340000}"/>
    <cellStyle name="Normal 4 4 2 2 2 2 2 2 2 3 2" xfId="10821" xr:uid="{00000000-0005-0000-0000-00006F340000}"/>
    <cellStyle name="Normal 4 4 2 2 2 2 2 2 2 3 2 2" xfId="23109" xr:uid="{00000000-0005-0000-0000-000070340000}"/>
    <cellStyle name="Normal 4 4 2 2 2 2 2 2 2 3 2 2 2" xfId="47685" xr:uid="{00000000-0005-0000-0000-000071340000}"/>
    <cellStyle name="Normal 4 4 2 2 2 2 2 2 2 3 2 3" xfId="35397" xr:uid="{00000000-0005-0000-0000-000072340000}"/>
    <cellStyle name="Normal 4 4 2 2 2 2 2 2 2 3 3" xfId="16965" xr:uid="{00000000-0005-0000-0000-000073340000}"/>
    <cellStyle name="Normal 4 4 2 2 2 2 2 2 2 3 3 2" xfId="41541" xr:uid="{00000000-0005-0000-0000-000074340000}"/>
    <cellStyle name="Normal 4 4 2 2 2 2 2 2 2 3 4" xfId="29253" xr:uid="{00000000-0005-0000-0000-000075340000}"/>
    <cellStyle name="Normal 4 4 2 2 2 2 2 2 2 4" xfId="7749" xr:uid="{00000000-0005-0000-0000-000076340000}"/>
    <cellStyle name="Normal 4 4 2 2 2 2 2 2 2 4 2" xfId="20037" xr:uid="{00000000-0005-0000-0000-000077340000}"/>
    <cellStyle name="Normal 4 4 2 2 2 2 2 2 2 4 2 2" xfId="44613" xr:uid="{00000000-0005-0000-0000-000078340000}"/>
    <cellStyle name="Normal 4 4 2 2 2 2 2 2 2 4 3" xfId="32325" xr:uid="{00000000-0005-0000-0000-000079340000}"/>
    <cellStyle name="Normal 4 4 2 2 2 2 2 2 2 5" xfId="13893" xr:uid="{00000000-0005-0000-0000-00007A340000}"/>
    <cellStyle name="Normal 4 4 2 2 2 2 2 2 2 5 2" xfId="38469" xr:uid="{00000000-0005-0000-0000-00007B340000}"/>
    <cellStyle name="Normal 4 4 2 2 2 2 2 2 2 6" xfId="26181" xr:uid="{00000000-0005-0000-0000-00007C340000}"/>
    <cellStyle name="Normal 4 4 2 2 2 2 2 2 3" xfId="2369" xr:uid="{00000000-0005-0000-0000-00007D340000}"/>
    <cellStyle name="Normal 4 4 2 2 2 2 2 2 3 2" xfId="5445" xr:uid="{00000000-0005-0000-0000-00007E340000}"/>
    <cellStyle name="Normal 4 4 2 2 2 2 2 2 3 2 2" xfId="11589" xr:uid="{00000000-0005-0000-0000-00007F340000}"/>
    <cellStyle name="Normal 4 4 2 2 2 2 2 2 3 2 2 2" xfId="23877" xr:uid="{00000000-0005-0000-0000-000080340000}"/>
    <cellStyle name="Normal 4 4 2 2 2 2 2 2 3 2 2 2 2" xfId="48453" xr:uid="{00000000-0005-0000-0000-000081340000}"/>
    <cellStyle name="Normal 4 4 2 2 2 2 2 2 3 2 2 3" xfId="36165" xr:uid="{00000000-0005-0000-0000-000082340000}"/>
    <cellStyle name="Normal 4 4 2 2 2 2 2 2 3 2 3" xfId="17733" xr:uid="{00000000-0005-0000-0000-000083340000}"/>
    <cellStyle name="Normal 4 4 2 2 2 2 2 2 3 2 3 2" xfId="42309" xr:uid="{00000000-0005-0000-0000-000084340000}"/>
    <cellStyle name="Normal 4 4 2 2 2 2 2 2 3 2 4" xfId="30021" xr:uid="{00000000-0005-0000-0000-000085340000}"/>
    <cellStyle name="Normal 4 4 2 2 2 2 2 2 3 3" xfId="8517" xr:uid="{00000000-0005-0000-0000-000086340000}"/>
    <cellStyle name="Normal 4 4 2 2 2 2 2 2 3 3 2" xfId="20805" xr:uid="{00000000-0005-0000-0000-000087340000}"/>
    <cellStyle name="Normal 4 4 2 2 2 2 2 2 3 3 2 2" xfId="45381" xr:uid="{00000000-0005-0000-0000-000088340000}"/>
    <cellStyle name="Normal 4 4 2 2 2 2 2 2 3 3 3" xfId="33093" xr:uid="{00000000-0005-0000-0000-000089340000}"/>
    <cellStyle name="Normal 4 4 2 2 2 2 2 2 3 4" xfId="14661" xr:uid="{00000000-0005-0000-0000-00008A340000}"/>
    <cellStyle name="Normal 4 4 2 2 2 2 2 2 3 4 2" xfId="39237" xr:uid="{00000000-0005-0000-0000-00008B340000}"/>
    <cellStyle name="Normal 4 4 2 2 2 2 2 2 3 5" xfId="26949" xr:uid="{00000000-0005-0000-0000-00008C340000}"/>
    <cellStyle name="Normal 4 4 2 2 2 2 2 2 4" xfId="3909" xr:uid="{00000000-0005-0000-0000-00008D340000}"/>
    <cellStyle name="Normal 4 4 2 2 2 2 2 2 4 2" xfId="10053" xr:uid="{00000000-0005-0000-0000-00008E340000}"/>
    <cellStyle name="Normal 4 4 2 2 2 2 2 2 4 2 2" xfId="22341" xr:uid="{00000000-0005-0000-0000-00008F340000}"/>
    <cellStyle name="Normal 4 4 2 2 2 2 2 2 4 2 2 2" xfId="46917" xr:uid="{00000000-0005-0000-0000-000090340000}"/>
    <cellStyle name="Normal 4 4 2 2 2 2 2 2 4 2 3" xfId="34629" xr:uid="{00000000-0005-0000-0000-000091340000}"/>
    <cellStyle name="Normal 4 4 2 2 2 2 2 2 4 3" xfId="16197" xr:uid="{00000000-0005-0000-0000-000092340000}"/>
    <cellStyle name="Normal 4 4 2 2 2 2 2 2 4 3 2" xfId="40773" xr:uid="{00000000-0005-0000-0000-000093340000}"/>
    <cellStyle name="Normal 4 4 2 2 2 2 2 2 4 4" xfId="28485" xr:uid="{00000000-0005-0000-0000-000094340000}"/>
    <cellStyle name="Normal 4 4 2 2 2 2 2 2 5" xfId="6981" xr:uid="{00000000-0005-0000-0000-000095340000}"/>
    <cellStyle name="Normal 4 4 2 2 2 2 2 2 5 2" xfId="19269" xr:uid="{00000000-0005-0000-0000-000096340000}"/>
    <cellStyle name="Normal 4 4 2 2 2 2 2 2 5 2 2" xfId="43845" xr:uid="{00000000-0005-0000-0000-000097340000}"/>
    <cellStyle name="Normal 4 4 2 2 2 2 2 2 5 3" xfId="31557" xr:uid="{00000000-0005-0000-0000-000098340000}"/>
    <cellStyle name="Normal 4 4 2 2 2 2 2 2 6" xfId="13125" xr:uid="{00000000-0005-0000-0000-000099340000}"/>
    <cellStyle name="Normal 4 4 2 2 2 2 2 2 6 2" xfId="37701" xr:uid="{00000000-0005-0000-0000-00009A340000}"/>
    <cellStyle name="Normal 4 4 2 2 2 2 2 2 7" xfId="25413" xr:uid="{00000000-0005-0000-0000-00009B340000}"/>
    <cellStyle name="Normal 4 4 2 2 2 2 2 3" xfId="1217" xr:uid="{00000000-0005-0000-0000-00009C340000}"/>
    <cellStyle name="Normal 4 4 2 2 2 2 2 3 2" xfId="2753" xr:uid="{00000000-0005-0000-0000-00009D340000}"/>
    <cellStyle name="Normal 4 4 2 2 2 2 2 3 2 2" xfId="5829" xr:uid="{00000000-0005-0000-0000-00009E340000}"/>
    <cellStyle name="Normal 4 4 2 2 2 2 2 3 2 2 2" xfId="11973" xr:uid="{00000000-0005-0000-0000-00009F340000}"/>
    <cellStyle name="Normal 4 4 2 2 2 2 2 3 2 2 2 2" xfId="24261" xr:uid="{00000000-0005-0000-0000-0000A0340000}"/>
    <cellStyle name="Normal 4 4 2 2 2 2 2 3 2 2 2 2 2" xfId="48837" xr:uid="{00000000-0005-0000-0000-0000A1340000}"/>
    <cellStyle name="Normal 4 4 2 2 2 2 2 3 2 2 2 3" xfId="36549" xr:uid="{00000000-0005-0000-0000-0000A2340000}"/>
    <cellStyle name="Normal 4 4 2 2 2 2 2 3 2 2 3" xfId="18117" xr:uid="{00000000-0005-0000-0000-0000A3340000}"/>
    <cellStyle name="Normal 4 4 2 2 2 2 2 3 2 2 3 2" xfId="42693" xr:uid="{00000000-0005-0000-0000-0000A4340000}"/>
    <cellStyle name="Normal 4 4 2 2 2 2 2 3 2 2 4" xfId="30405" xr:uid="{00000000-0005-0000-0000-0000A5340000}"/>
    <cellStyle name="Normal 4 4 2 2 2 2 2 3 2 3" xfId="8901" xr:uid="{00000000-0005-0000-0000-0000A6340000}"/>
    <cellStyle name="Normal 4 4 2 2 2 2 2 3 2 3 2" xfId="21189" xr:uid="{00000000-0005-0000-0000-0000A7340000}"/>
    <cellStyle name="Normal 4 4 2 2 2 2 2 3 2 3 2 2" xfId="45765" xr:uid="{00000000-0005-0000-0000-0000A8340000}"/>
    <cellStyle name="Normal 4 4 2 2 2 2 2 3 2 3 3" xfId="33477" xr:uid="{00000000-0005-0000-0000-0000A9340000}"/>
    <cellStyle name="Normal 4 4 2 2 2 2 2 3 2 4" xfId="15045" xr:uid="{00000000-0005-0000-0000-0000AA340000}"/>
    <cellStyle name="Normal 4 4 2 2 2 2 2 3 2 4 2" xfId="39621" xr:uid="{00000000-0005-0000-0000-0000AB340000}"/>
    <cellStyle name="Normal 4 4 2 2 2 2 2 3 2 5" xfId="27333" xr:uid="{00000000-0005-0000-0000-0000AC340000}"/>
    <cellStyle name="Normal 4 4 2 2 2 2 2 3 3" xfId="4293" xr:uid="{00000000-0005-0000-0000-0000AD340000}"/>
    <cellStyle name="Normal 4 4 2 2 2 2 2 3 3 2" xfId="10437" xr:uid="{00000000-0005-0000-0000-0000AE340000}"/>
    <cellStyle name="Normal 4 4 2 2 2 2 2 3 3 2 2" xfId="22725" xr:uid="{00000000-0005-0000-0000-0000AF340000}"/>
    <cellStyle name="Normal 4 4 2 2 2 2 2 3 3 2 2 2" xfId="47301" xr:uid="{00000000-0005-0000-0000-0000B0340000}"/>
    <cellStyle name="Normal 4 4 2 2 2 2 2 3 3 2 3" xfId="35013" xr:uid="{00000000-0005-0000-0000-0000B1340000}"/>
    <cellStyle name="Normal 4 4 2 2 2 2 2 3 3 3" xfId="16581" xr:uid="{00000000-0005-0000-0000-0000B2340000}"/>
    <cellStyle name="Normal 4 4 2 2 2 2 2 3 3 3 2" xfId="41157" xr:uid="{00000000-0005-0000-0000-0000B3340000}"/>
    <cellStyle name="Normal 4 4 2 2 2 2 2 3 3 4" xfId="28869" xr:uid="{00000000-0005-0000-0000-0000B4340000}"/>
    <cellStyle name="Normal 4 4 2 2 2 2 2 3 4" xfId="7365" xr:uid="{00000000-0005-0000-0000-0000B5340000}"/>
    <cellStyle name="Normal 4 4 2 2 2 2 2 3 4 2" xfId="19653" xr:uid="{00000000-0005-0000-0000-0000B6340000}"/>
    <cellStyle name="Normal 4 4 2 2 2 2 2 3 4 2 2" xfId="44229" xr:uid="{00000000-0005-0000-0000-0000B7340000}"/>
    <cellStyle name="Normal 4 4 2 2 2 2 2 3 4 3" xfId="31941" xr:uid="{00000000-0005-0000-0000-0000B8340000}"/>
    <cellStyle name="Normal 4 4 2 2 2 2 2 3 5" xfId="13509" xr:uid="{00000000-0005-0000-0000-0000B9340000}"/>
    <cellStyle name="Normal 4 4 2 2 2 2 2 3 5 2" xfId="38085" xr:uid="{00000000-0005-0000-0000-0000BA340000}"/>
    <cellStyle name="Normal 4 4 2 2 2 2 2 3 6" xfId="25797" xr:uid="{00000000-0005-0000-0000-0000BB340000}"/>
    <cellStyle name="Normal 4 4 2 2 2 2 2 4" xfId="1985" xr:uid="{00000000-0005-0000-0000-0000BC340000}"/>
    <cellStyle name="Normal 4 4 2 2 2 2 2 4 2" xfId="5061" xr:uid="{00000000-0005-0000-0000-0000BD340000}"/>
    <cellStyle name="Normal 4 4 2 2 2 2 2 4 2 2" xfId="11205" xr:uid="{00000000-0005-0000-0000-0000BE340000}"/>
    <cellStyle name="Normal 4 4 2 2 2 2 2 4 2 2 2" xfId="23493" xr:uid="{00000000-0005-0000-0000-0000BF340000}"/>
    <cellStyle name="Normal 4 4 2 2 2 2 2 4 2 2 2 2" xfId="48069" xr:uid="{00000000-0005-0000-0000-0000C0340000}"/>
    <cellStyle name="Normal 4 4 2 2 2 2 2 4 2 2 3" xfId="35781" xr:uid="{00000000-0005-0000-0000-0000C1340000}"/>
    <cellStyle name="Normal 4 4 2 2 2 2 2 4 2 3" xfId="17349" xr:uid="{00000000-0005-0000-0000-0000C2340000}"/>
    <cellStyle name="Normal 4 4 2 2 2 2 2 4 2 3 2" xfId="41925" xr:uid="{00000000-0005-0000-0000-0000C3340000}"/>
    <cellStyle name="Normal 4 4 2 2 2 2 2 4 2 4" xfId="29637" xr:uid="{00000000-0005-0000-0000-0000C4340000}"/>
    <cellStyle name="Normal 4 4 2 2 2 2 2 4 3" xfId="8133" xr:uid="{00000000-0005-0000-0000-0000C5340000}"/>
    <cellStyle name="Normal 4 4 2 2 2 2 2 4 3 2" xfId="20421" xr:uid="{00000000-0005-0000-0000-0000C6340000}"/>
    <cellStyle name="Normal 4 4 2 2 2 2 2 4 3 2 2" xfId="44997" xr:uid="{00000000-0005-0000-0000-0000C7340000}"/>
    <cellStyle name="Normal 4 4 2 2 2 2 2 4 3 3" xfId="32709" xr:uid="{00000000-0005-0000-0000-0000C8340000}"/>
    <cellStyle name="Normal 4 4 2 2 2 2 2 4 4" xfId="14277" xr:uid="{00000000-0005-0000-0000-0000C9340000}"/>
    <cellStyle name="Normal 4 4 2 2 2 2 2 4 4 2" xfId="38853" xr:uid="{00000000-0005-0000-0000-0000CA340000}"/>
    <cellStyle name="Normal 4 4 2 2 2 2 2 4 5" xfId="26565" xr:uid="{00000000-0005-0000-0000-0000CB340000}"/>
    <cellStyle name="Normal 4 4 2 2 2 2 2 5" xfId="3525" xr:uid="{00000000-0005-0000-0000-0000CC340000}"/>
    <cellStyle name="Normal 4 4 2 2 2 2 2 5 2" xfId="9669" xr:uid="{00000000-0005-0000-0000-0000CD340000}"/>
    <cellStyle name="Normal 4 4 2 2 2 2 2 5 2 2" xfId="21957" xr:uid="{00000000-0005-0000-0000-0000CE340000}"/>
    <cellStyle name="Normal 4 4 2 2 2 2 2 5 2 2 2" xfId="46533" xr:uid="{00000000-0005-0000-0000-0000CF340000}"/>
    <cellStyle name="Normal 4 4 2 2 2 2 2 5 2 3" xfId="34245" xr:uid="{00000000-0005-0000-0000-0000D0340000}"/>
    <cellStyle name="Normal 4 4 2 2 2 2 2 5 3" xfId="15813" xr:uid="{00000000-0005-0000-0000-0000D1340000}"/>
    <cellStyle name="Normal 4 4 2 2 2 2 2 5 3 2" xfId="40389" xr:uid="{00000000-0005-0000-0000-0000D2340000}"/>
    <cellStyle name="Normal 4 4 2 2 2 2 2 5 4" xfId="28101" xr:uid="{00000000-0005-0000-0000-0000D3340000}"/>
    <cellStyle name="Normal 4 4 2 2 2 2 2 6" xfId="6597" xr:uid="{00000000-0005-0000-0000-0000D4340000}"/>
    <cellStyle name="Normal 4 4 2 2 2 2 2 6 2" xfId="18885" xr:uid="{00000000-0005-0000-0000-0000D5340000}"/>
    <cellStyle name="Normal 4 4 2 2 2 2 2 6 2 2" xfId="43461" xr:uid="{00000000-0005-0000-0000-0000D6340000}"/>
    <cellStyle name="Normal 4 4 2 2 2 2 2 6 3" xfId="31173" xr:uid="{00000000-0005-0000-0000-0000D7340000}"/>
    <cellStyle name="Normal 4 4 2 2 2 2 2 7" xfId="12741" xr:uid="{00000000-0005-0000-0000-0000D8340000}"/>
    <cellStyle name="Normal 4 4 2 2 2 2 2 7 2" xfId="37317" xr:uid="{00000000-0005-0000-0000-0000D9340000}"/>
    <cellStyle name="Normal 4 4 2 2 2 2 2 8" xfId="25029" xr:uid="{00000000-0005-0000-0000-0000DA340000}"/>
    <cellStyle name="Normal 4 4 2 2 2 2 3" xfId="641" xr:uid="{00000000-0005-0000-0000-0000DB340000}"/>
    <cellStyle name="Normal 4 4 2 2 2 2 3 2" xfId="1409" xr:uid="{00000000-0005-0000-0000-0000DC340000}"/>
    <cellStyle name="Normal 4 4 2 2 2 2 3 2 2" xfId="2945" xr:uid="{00000000-0005-0000-0000-0000DD340000}"/>
    <cellStyle name="Normal 4 4 2 2 2 2 3 2 2 2" xfId="6021" xr:uid="{00000000-0005-0000-0000-0000DE340000}"/>
    <cellStyle name="Normal 4 4 2 2 2 2 3 2 2 2 2" xfId="12165" xr:uid="{00000000-0005-0000-0000-0000DF340000}"/>
    <cellStyle name="Normal 4 4 2 2 2 2 3 2 2 2 2 2" xfId="24453" xr:uid="{00000000-0005-0000-0000-0000E0340000}"/>
    <cellStyle name="Normal 4 4 2 2 2 2 3 2 2 2 2 2 2" xfId="49029" xr:uid="{00000000-0005-0000-0000-0000E1340000}"/>
    <cellStyle name="Normal 4 4 2 2 2 2 3 2 2 2 2 3" xfId="36741" xr:uid="{00000000-0005-0000-0000-0000E2340000}"/>
    <cellStyle name="Normal 4 4 2 2 2 2 3 2 2 2 3" xfId="18309" xr:uid="{00000000-0005-0000-0000-0000E3340000}"/>
    <cellStyle name="Normal 4 4 2 2 2 2 3 2 2 2 3 2" xfId="42885" xr:uid="{00000000-0005-0000-0000-0000E4340000}"/>
    <cellStyle name="Normal 4 4 2 2 2 2 3 2 2 2 4" xfId="30597" xr:uid="{00000000-0005-0000-0000-0000E5340000}"/>
    <cellStyle name="Normal 4 4 2 2 2 2 3 2 2 3" xfId="9093" xr:uid="{00000000-0005-0000-0000-0000E6340000}"/>
    <cellStyle name="Normal 4 4 2 2 2 2 3 2 2 3 2" xfId="21381" xr:uid="{00000000-0005-0000-0000-0000E7340000}"/>
    <cellStyle name="Normal 4 4 2 2 2 2 3 2 2 3 2 2" xfId="45957" xr:uid="{00000000-0005-0000-0000-0000E8340000}"/>
    <cellStyle name="Normal 4 4 2 2 2 2 3 2 2 3 3" xfId="33669" xr:uid="{00000000-0005-0000-0000-0000E9340000}"/>
    <cellStyle name="Normal 4 4 2 2 2 2 3 2 2 4" xfId="15237" xr:uid="{00000000-0005-0000-0000-0000EA340000}"/>
    <cellStyle name="Normal 4 4 2 2 2 2 3 2 2 4 2" xfId="39813" xr:uid="{00000000-0005-0000-0000-0000EB340000}"/>
    <cellStyle name="Normal 4 4 2 2 2 2 3 2 2 5" xfId="27525" xr:uid="{00000000-0005-0000-0000-0000EC340000}"/>
    <cellStyle name="Normal 4 4 2 2 2 2 3 2 3" xfId="4485" xr:uid="{00000000-0005-0000-0000-0000ED340000}"/>
    <cellStyle name="Normal 4 4 2 2 2 2 3 2 3 2" xfId="10629" xr:uid="{00000000-0005-0000-0000-0000EE340000}"/>
    <cellStyle name="Normal 4 4 2 2 2 2 3 2 3 2 2" xfId="22917" xr:uid="{00000000-0005-0000-0000-0000EF340000}"/>
    <cellStyle name="Normal 4 4 2 2 2 2 3 2 3 2 2 2" xfId="47493" xr:uid="{00000000-0005-0000-0000-0000F0340000}"/>
    <cellStyle name="Normal 4 4 2 2 2 2 3 2 3 2 3" xfId="35205" xr:uid="{00000000-0005-0000-0000-0000F1340000}"/>
    <cellStyle name="Normal 4 4 2 2 2 2 3 2 3 3" xfId="16773" xr:uid="{00000000-0005-0000-0000-0000F2340000}"/>
    <cellStyle name="Normal 4 4 2 2 2 2 3 2 3 3 2" xfId="41349" xr:uid="{00000000-0005-0000-0000-0000F3340000}"/>
    <cellStyle name="Normal 4 4 2 2 2 2 3 2 3 4" xfId="29061" xr:uid="{00000000-0005-0000-0000-0000F4340000}"/>
    <cellStyle name="Normal 4 4 2 2 2 2 3 2 4" xfId="7557" xr:uid="{00000000-0005-0000-0000-0000F5340000}"/>
    <cellStyle name="Normal 4 4 2 2 2 2 3 2 4 2" xfId="19845" xr:uid="{00000000-0005-0000-0000-0000F6340000}"/>
    <cellStyle name="Normal 4 4 2 2 2 2 3 2 4 2 2" xfId="44421" xr:uid="{00000000-0005-0000-0000-0000F7340000}"/>
    <cellStyle name="Normal 4 4 2 2 2 2 3 2 4 3" xfId="32133" xr:uid="{00000000-0005-0000-0000-0000F8340000}"/>
    <cellStyle name="Normal 4 4 2 2 2 2 3 2 5" xfId="13701" xr:uid="{00000000-0005-0000-0000-0000F9340000}"/>
    <cellStyle name="Normal 4 4 2 2 2 2 3 2 5 2" xfId="38277" xr:uid="{00000000-0005-0000-0000-0000FA340000}"/>
    <cellStyle name="Normal 4 4 2 2 2 2 3 2 6" xfId="25989" xr:uid="{00000000-0005-0000-0000-0000FB340000}"/>
    <cellStyle name="Normal 4 4 2 2 2 2 3 3" xfId="2177" xr:uid="{00000000-0005-0000-0000-0000FC340000}"/>
    <cellStyle name="Normal 4 4 2 2 2 2 3 3 2" xfId="5253" xr:uid="{00000000-0005-0000-0000-0000FD340000}"/>
    <cellStyle name="Normal 4 4 2 2 2 2 3 3 2 2" xfId="11397" xr:uid="{00000000-0005-0000-0000-0000FE340000}"/>
    <cellStyle name="Normal 4 4 2 2 2 2 3 3 2 2 2" xfId="23685" xr:uid="{00000000-0005-0000-0000-0000FF340000}"/>
    <cellStyle name="Normal 4 4 2 2 2 2 3 3 2 2 2 2" xfId="48261" xr:uid="{00000000-0005-0000-0000-000000350000}"/>
    <cellStyle name="Normal 4 4 2 2 2 2 3 3 2 2 3" xfId="35973" xr:uid="{00000000-0005-0000-0000-000001350000}"/>
    <cellStyle name="Normal 4 4 2 2 2 2 3 3 2 3" xfId="17541" xr:uid="{00000000-0005-0000-0000-000002350000}"/>
    <cellStyle name="Normal 4 4 2 2 2 2 3 3 2 3 2" xfId="42117" xr:uid="{00000000-0005-0000-0000-000003350000}"/>
    <cellStyle name="Normal 4 4 2 2 2 2 3 3 2 4" xfId="29829" xr:uid="{00000000-0005-0000-0000-000004350000}"/>
    <cellStyle name="Normal 4 4 2 2 2 2 3 3 3" xfId="8325" xr:uid="{00000000-0005-0000-0000-000005350000}"/>
    <cellStyle name="Normal 4 4 2 2 2 2 3 3 3 2" xfId="20613" xr:uid="{00000000-0005-0000-0000-000006350000}"/>
    <cellStyle name="Normal 4 4 2 2 2 2 3 3 3 2 2" xfId="45189" xr:uid="{00000000-0005-0000-0000-000007350000}"/>
    <cellStyle name="Normal 4 4 2 2 2 2 3 3 3 3" xfId="32901" xr:uid="{00000000-0005-0000-0000-000008350000}"/>
    <cellStyle name="Normal 4 4 2 2 2 2 3 3 4" xfId="14469" xr:uid="{00000000-0005-0000-0000-000009350000}"/>
    <cellStyle name="Normal 4 4 2 2 2 2 3 3 4 2" xfId="39045" xr:uid="{00000000-0005-0000-0000-00000A350000}"/>
    <cellStyle name="Normal 4 4 2 2 2 2 3 3 5" xfId="26757" xr:uid="{00000000-0005-0000-0000-00000B350000}"/>
    <cellStyle name="Normal 4 4 2 2 2 2 3 4" xfId="3717" xr:uid="{00000000-0005-0000-0000-00000C350000}"/>
    <cellStyle name="Normal 4 4 2 2 2 2 3 4 2" xfId="9861" xr:uid="{00000000-0005-0000-0000-00000D350000}"/>
    <cellStyle name="Normal 4 4 2 2 2 2 3 4 2 2" xfId="22149" xr:uid="{00000000-0005-0000-0000-00000E350000}"/>
    <cellStyle name="Normal 4 4 2 2 2 2 3 4 2 2 2" xfId="46725" xr:uid="{00000000-0005-0000-0000-00000F350000}"/>
    <cellStyle name="Normal 4 4 2 2 2 2 3 4 2 3" xfId="34437" xr:uid="{00000000-0005-0000-0000-000010350000}"/>
    <cellStyle name="Normal 4 4 2 2 2 2 3 4 3" xfId="16005" xr:uid="{00000000-0005-0000-0000-000011350000}"/>
    <cellStyle name="Normal 4 4 2 2 2 2 3 4 3 2" xfId="40581" xr:uid="{00000000-0005-0000-0000-000012350000}"/>
    <cellStyle name="Normal 4 4 2 2 2 2 3 4 4" xfId="28293" xr:uid="{00000000-0005-0000-0000-000013350000}"/>
    <cellStyle name="Normal 4 4 2 2 2 2 3 5" xfId="6789" xr:uid="{00000000-0005-0000-0000-000014350000}"/>
    <cellStyle name="Normal 4 4 2 2 2 2 3 5 2" xfId="19077" xr:uid="{00000000-0005-0000-0000-000015350000}"/>
    <cellStyle name="Normal 4 4 2 2 2 2 3 5 2 2" xfId="43653" xr:uid="{00000000-0005-0000-0000-000016350000}"/>
    <cellStyle name="Normal 4 4 2 2 2 2 3 5 3" xfId="31365" xr:uid="{00000000-0005-0000-0000-000017350000}"/>
    <cellStyle name="Normal 4 4 2 2 2 2 3 6" xfId="12933" xr:uid="{00000000-0005-0000-0000-000018350000}"/>
    <cellStyle name="Normal 4 4 2 2 2 2 3 6 2" xfId="37509" xr:uid="{00000000-0005-0000-0000-000019350000}"/>
    <cellStyle name="Normal 4 4 2 2 2 2 3 7" xfId="25221" xr:uid="{00000000-0005-0000-0000-00001A350000}"/>
    <cellStyle name="Normal 4 4 2 2 2 2 4" xfId="1025" xr:uid="{00000000-0005-0000-0000-00001B350000}"/>
    <cellStyle name="Normal 4 4 2 2 2 2 4 2" xfId="2561" xr:uid="{00000000-0005-0000-0000-00001C350000}"/>
    <cellStyle name="Normal 4 4 2 2 2 2 4 2 2" xfId="5637" xr:uid="{00000000-0005-0000-0000-00001D350000}"/>
    <cellStyle name="Normal 4 4 2 2 2 2 4 2 2 2" xfId="11781" xr:uid="{00000000-0005-0000-0000-00001E350000}"/>
    <cellStyle name="Normal 4 4 2 2 2 2 4 2 2 2 2" xfId="24069" xr:uid="{00000000-0005-0000-0000-00001F350000}"/>
    <cellStyle name="Normal 4 4 2 2 2 2 4 2 2 2 2 2" xfId="48645" xr:uid="{00000000-0005-0000-0000-000020350000}"/>
    <cellStyle name="Normal 4 4 2 2 2 2 4 2 2 2 3" xfId="36357" xr:uid="{00000000-0005-0000-0000-000021350000}"/>
    <cellStyle name="Normal 4 4 2 2 2 2 4 2 2 3" xfId="17925" xr:uid="{00000000-0005-0000-0000-000022350000}"/>
    <cellStyle name="Normal 4 4 2 2 2 2 4 2 2 3 2" xfId="42501" xr:uid="{00000000-0005-0000-0000-000023350000}"/>
    <cellStyle name="Normal 4 4 2 2 2 2 4 2 2 4" xfId="30213" xr:uid="{00000000-0005-0000-0000-000024350000}"/>
    <cellStyle name="Normal 4 4 2 2 2 2 4 2 3" xfId="8709" xr:uid="{00000000-0005-0000-0000-000025350000}"/>
    <cellStyle name="Normal 4 4 2 2 2 2 4 2 3 2" xfId="20997" xr:uid="{00000000-0005-0000-0000-000026350000}"/>
    <cellStyle name="Normal 4 4 2 2 2 2 4 2 3 2 2" xfId="45573" xr:uid="{00000000-0005-0000-0000-000027350000}"/>
    <cellStyle name="Normal 4 4 2 2 2 2 4 2 3 3" xfId="33285" xr:uid="{00000000-0005-0000-0000-000028350000}"/>
    <cellStyle name="Normal 4 4 2 2 2 2 4 2 4" xfId="14853" xr:uid="{00000000-0005-0000-0000-000029350000}"/>
    <cellStyle name="Normal 4 4 2 2 2 2 4 2 4 2" xfId="39429" xr:uid="{00000000-0005-0000-0000-00002A350000}"/>
    <cellStyle name="Normal 4 4 2 2 2 2 4 2 5" xfId="27141" xr:uid="{00000000-0005-0000-0000-00002B350000}"/>
    <cellStyle name="Normal 4 4 2 2 2 2 4 3" xfId="4101" xr:uid="{00000000-0005-0000-0000-00002C350000}"/>
    <cellStyle name="Normal 4 4 2 2 2 2 4 3 2" xfId="10245" xr:uid="{00000000-0005-0000-0000-00002D350000}"/>
    <cellStyle name="Normal 4 4 2 2 2 2 4 3 2 2" xfId="22533" xr:uid="{00000000-0005-0000-0000-00002E350000}"/>
    <cellStyle name="Normal 4 4 2 2 2 2 4 3 2 2 2" xfId="47109" xr:uid="{00000000-0005-0000-0000-00002F350000}"/>
    <cellStyle name="Normal 4 4 2 2 2 2 4 3 2 3" xfId="34821" xr:uid="{00000000-0005-0000-0000-000030350000}"/>
    <cellStyle name="Normal 4 4 2 2 2 2 4 3 3" xfId="16389" xr:uid="{00000000-0005-0000-0000-000031350000}"/>
    <cellStyle name="Normal 4 4 2 2 2 2 4 3 3 2" xfId="40965" xr:uid="{00000000-0005-0000-0000-000032350000}"/>
    <cellStyle name="Normal 4 4 2 2 2 2 4 3 4" xfId="28677" xr:uid="{00000000-0005-0000-0000-000033350000}"/>
    <cellStyle name="Normal 4 4 2 2 2 2 4 4" xfId="7173" xr:uid="{00000000-0005-0000-0000-000034350000}"/>
    <cellStyle name="Normal 4 4 2 2 2 2 4 4 2" xfId="19461" xr:uid="{00000000-0005-0000-0000-000035350000}"/>
    <cellStyle name="Normal 4 4 2 2 2 2 4 4 2 2" xfId="44037" xr:uid="{00000000-0005-0000-0000-000036350000}"/>
    <cellStyle name="Normal 4 4 2 2 2 2 4 4 3" xfId="31749" xr:uid="{00000000-0005-0000-0000-000037350000}"/>
    <cellStyle name="Normal 4 4 2 2 2 2 4 5" xfId="13317" xr:uid="{00000000-0005-0000-0000-000038350000}"/>
    <cellStyle name="Normal 4 4 2 2 2 2 4 5 2" xfId="37893" xr:uid="{00000000-0005-0000-0000-000039350000}"/>
    <cellStyle name="Normal 4 4 2 2 2 2 4 6" xfId="25605" xr:uid="{00000000-0005-0000-0000-00003A350000}"/>
    <cellStyle name="Normal 4 4 2 2 2 2 5" xfId="1793" xr:uid="{00000000-0005-0000-0000-00003B350000}"/>
    <cellStyle name="Normal 4 4 2 2 2 2 5 2" xfId="4869" xr:uid="{00000000-0005-0000-0000-00003C350000}"/>
    <cellStyle name="Normal 4 4 2 2 2 2 5 2 2" xfId="11013" xr:uid="{00000000-0005-0000-0000-00003D350000}"/>
    <cellStyle name="Normal 4 4 2 2 2 2 5 2 2 2" xfId="23301" xr:uid="{00000000-0005-0000-0000-00003E350000}"/>
    <cellStyle name="Normal 4 4 2 2 2 2 5 2 2 2 2" xfId="47877" xr:uid="{00000000-0005-0000-0000-00003F350000}"/>
    <cellStyle name="Normal 4 4 2 2 2 2 5 2 2 3" xfId="35589" xr:uid="{00000000-0005-0000-0000-000040350000}"/>
    <cellStyle name="Normal 4 4 2 2 2 2 5 2 3" xfId="17157" xr:uid="{00000000-0005-0000-0000-000041350000}"/>
    <cellStyle name="Normal 4 4 2 2 2 2 5 2 3 2" xfId="41733" xr:uid="{00000000-0005-0000-0000-000042350000}"/>
    <cellStyle name="Normal 4 4 2 2 2 2 5 2 4" xfId="29445" xr:uid="{00000000-0005-0000-0000-000043350000}"/>
    <cellStyle name="Normal 4 4 2 2 2 2 5 3" xfId="7941" xr:uid="{00000000-0005-0000-0000-000044350000}"/>
    <cellStyle name="Normal 4 4 2 2 2 2 5 3 2" xfId="20229" xr:uid="{00000000-0005-0000-0000-000045350000}"/>
    <cellStyle name="Normal 4 4 2 2 2 2 5 3 2 2" xfId="44805" xr:uid="{00000000-0005-0000-0000-000046350000}"/>
    <cellStyle name="Normal 4 4 2 2 2 2 5 3 3" xfId="32517" xr:uid="{00000000-0005-0000-0000-000047350000}"/>
    <cellStyle name="Normal 4 4 2 2 2 2 5 4" xfId="14085" xr:uid="{00000000-0005-0000-0000-000048350000}"/>
    <cellStyle name="Normal 4 4 2 2 2 2 5 4 2" xfId="38661" xr:uid="{00000000-0005-0000-0000-000049350000}"/>
    <cellStyle name="Normal 4 4 2 2 2 2 5 5" xfId="26373" xr:uid="{00000000-0005-0000-0000-00004A350000}"/>
    <cellStyle name="Normal 4 4 2 2 2 2 6" xfId="3333" xr:uid="{00000000-0005-0000-0000-00004B350000}"/>
    <cellStyle name="Normal 4 4 2 2 2 2 6 2" xfId="9477" xr:uid="{00000000-0005-0000-0000-00004C350000}"/>
    <cellStyle name="Normal 4 4 2 2 2 2 6 2 2" xfId="21765" xr:uid="{00000000-0005-0000-0000-00004D350000}"/>
    <cellStyle name="Normal 4 4 2 2 2 2 6 2 2 2" xfId="46341" xr:uid="{00000000-0005-0000-0000-00004E350000}"/>
    <cellStyle name="Normal 4 4 2 2 2 2 6 2 3" xfId="34053" xr:uid="{00000000-0005-0000-0000-00004F350000}"/>
    <cellStyle name="Normal 4 4 2 2 2 2 6 3" xfId="15621" xr:uid="{00000000-0005-0000-0000-000050350000}"/>
    <cellStyle name="Normal 4 4 2 2 2 2 6 3 2" xfId="40197" xr:uid="{00000000-0005-0000-0000-000051350000}"/>
    <cellStyle name="Normal 4 4 2 2 2 2 6 4" xfId="27909" xr:uid="{00000000-0005-0000-0000-000052350000}"/>
    <cellStyle name="Normal 4 4 2 2 2 2 7" xfId="6405" xr:uid="{00000000-0005-0000-0000-000053350000}"/>
    <cellStyle name="Normal 4 4 2 2 2 2 7 2" xfId="18693" xr:uid="{00000000-0005-0000-0000-000054350000}"/>
    <cellStyle name="Normal 4 4 2 2 2 2 7 2 2" xfId="43269" xr:uid="{00000000-0005-0000-0000-000055350000}"/>
    <cellStyle name="Normal 4 4 2 2 2 2 7 3" xfId="30981" xr:uid="{00000000-0005-0000-0000-000056350000}"/>
    <cellStyle name="Normal 4 4 2 2 2 2 8" xfId="12549" xr:uid="{00000000-0005-0000-0000-000057350000}"/>
    <cellStyle name="Normal 4 4 2 2 2 2 8 2" xfId="37125" xr:uid="{00000000-0005-0000-0000-000058350000}"/>
    <cellStyle name="Normal 4 4 2 2 2 2 9" xfId="24837" xr:uid="{00000000-0005-0000-0000-000059350000}"/>
    <cellStyle name="Normal 4 4 2 2 2 3" xfId="321" xr:uid="{00000000-0005-0000-0000-00005A350000}"/>
    <cellStyle name="Normal 4 4 2 2 2 3 2" xfId="513" xr:uid="{00000000-0005-0000-0000-00005B350000}"/>
    <cellStyle name="Normal 4 4 2 2 2 3 2 2" xfId="897" xr:uid="{00000000-0005-0000-0000-00005C350000}"/>
    <cellStyle name="Normal 4 4 2 2 2 3 2 2 2" xfId="1665" xr:uid="{00000000-0005-0000-0000-00005D350000}"/>
    <cellStyle name="Normal 4 4 2 2 2 3 2 2 2 2" xfId="3201" xr:uid="{00000000-0005-0000-0000-00005E350000}"/>
    <cellStyle name="Normal 4 4 2 2 2 3 2 2 2 2 2" xfId="6277" xr:uid="{00000000-0005-0000-0000-00005F350000}"/>
    <cellStyle name="Normal 4 4 2 2 2 3 2 2 2 2 2 2" xfId="12421" xr:uid="{00000000-0005-0000-0000-000060350000}"/>
    <cellStyle name="Normal 4 4 2 2 2 3 2 2 2 2 2 2 2" xfId="24709" xr:uid="{00000000-0005-0000-0000-000061350000}"/>
    <cellStyle name="Normal 4 4 2 2 2 3 2 2 2 2 2 2 2 2" xfId="49285" xr:uid="{00000000-0005-0000-0000-000062350000}"/>
    <cellStyle name="Normal 4 4 2 2 2 3 2 2 2 2 2 2 3" xfId="36997" xr:uid="{00000000-0005-0000-0000-000063350000}"/>
    <cellStyle name="Normal 4 4 2 2 2 3 2 2 2 2 2 3" xfId="18565" xr:uid="{00000000-0005-0000-0000-000064350000}"/>
    <cellStyle name="Normal 4 4 2 2 2 3 2 2 2 2 2 3 2" xfId="43141" xr:uid="{00000000-0005-0000-0000-000065350000}"/>
    <cellStyle name="Normal 4 4 2 2 2 3 2 2 2 2 2 4" xfId="30853" xr:uid="{00000000-0005-0000-0000-000066350000}"/>
    <cellStyle name="Normal 4 4 2 2 2 3 2 2 2 2 3" xfId="9349" xr:uid="{00000000-0005-0000-0000-000067350000}"/>
    <cellStyle name="Normal 4 4 2 2 2 3 2 2 2 2 3 2" xfId="21637" xr:uid="{00000000-0005-0000-0000-000068350000}"/>
    <cellStyle name="Normal 4 4 2 2 2 3 2 2 2 2 3 2 2" xfId="46213" xr:uid="{00000000-0005-0000-0000-000069350000}"/>
    <cellStyle name="Normal 4 4 2 2 2 3 2 2 2 2 3 3" xfId="33925" xr:uid="{00000000-0005-0000-0000-00006A350000}"/>
    <cellStyle name="Normal 4 4 2 2 2 3 2 2 2 2 4" xfId="15493" xr:uid="{00000000-0005-0000-0000-00006B350000}"/>
    <cellStyle name="Normal 4 4 2 2 2 3 2 2 2 2 4 2" xfId="40069" xr:uid="{00000000-0005-0000-0000-00006C350000}"/>
    <cellStyle name="Normal 4 4 2 2 2 3 2 2 2 2 5" xfId="27781" xr:uid="{00000000-0005-0000-0000-00006D350000}"/>
    <cellStyle name="Normal 4 4 2 2 2 3 2 2 2 3" xfId="4741" xr:uid="{00000000-0005-0000-0000-00006E350000}"/>
    <cellStyle name="Normal 4 4 2 2 2 3 2 2 2 3 2" xfId="10885" xr:uid="{00000000-0005-0000-0000-00006F350000}"/>
    <cellStyle name="Normal 4 4 2 2 2 3 2 2 2 3 2 2" xfId="23173" xr:uid="{00000000-0005-0000-0000-000070350000}"/>
    <cellStyle name="Normal 4 4 2 2 2 3 2 2 2 3 2 2 2" xfId="47749" xr:uid="{00000000-0005-0000-0000-000071350000}"/>
    <cellStyle name="Normal 4 4 2 2 2 3 2 2 2 3 2 3" xfId="35461" xr:uid="{00000000-0005-0000-0000-000072350000}"/>
    <cellStyle name="Normal 4 4 2 2 2 3 2 2 2 3 3" xfId="17029" xr:uid="{00000000-0005-0000-0000-000073350000}"/>
    <cellStyle name="Normal 4 4 2 2 2 3 2 2 2 3 3 2" xfId="41605" xr:uid="{00000000-0005-0000-0000-000074350000}"/>
    <cellStyle name="Normal 4 4 2 2 2 3 2 2 2 3 4" xfId="29317" xr:uid="{00000000-0005-0000-0000-000075350000}"/>
    <cellStyle name="Normal 4 4 2 2 2 3 2 2 2 4" xfId="7813" xr:uid="{00000000-0005-0000-0000-000076350000}"/>
    <cellStyle name="Normal 4 4 2 2 2 3 2 2 2 4 2" xfId="20101" xr:uid="{00000000-0005-0000-0000-000077350000}"/>
    <cellStyle name="Normal 4 4 2 2 2 3 2 2 2 4 2 2" xfId="44677" xr:uid="{00000000-0005-0000-0000-000078350000}"/>
    <cellStyle name="Normal 4 4 2 2 2 3 2 2 2 4 3" xfId="32389" xr:uid="{00000000-0005-0000-0000-000079350000}"/>
    <cellStyle name="Normal 4 4 2 2 2 3 2 2 2 5" xfId="13957" xr:uid="{00000000-0005-0000-0000-00007A350000}"/>
    <cellStyle name="Normal 4 4 2 2 2 3 2 2 2 5 2" xfId="38533" xr:uid="{00000000-0005-0000-0000-00007B350000}"/>
    <cellStyle name="Normal 4 4 2 2 2 3 2 2 2 6" xfId="26245" xr:uid="{00000000-0005-0000-0000-00007C350000}"/>
    <cellStyle name="Normal 4 4 2 2 2 3 2 2 3" xfId="2433" xr:uid="{00000000-0005-0000-0000-00007D350000}"/>
    <cellStyle name="Normal 4 4 2 2 2 3 2 2 3 2" xfId="5509" xr:uid="{00000000-0005-0000-0000-00007E350000}"/>
    <cellStyle name="Normal 4 4 2 2 2 3 2 2 3 2 2" xfId="11653" xr:uid="{00000000-0005-0000-0000-00007F350000}"/>
    <cellStyle name="Normal 4 4 2 2 2 3 2 2 3 2 2 2" xfId="23941" xr:uid="{00000000-0005-0000-0000-000080350000}"/>
    <cellStyle name="Normal 4 4 2 2 2 3 2 2 3 2 2 2 2" xfId="48517" xr:uid="{00000000-0005-0000-0000-000081350000}"/>
    <cellStyle name="Normal 4 4 2 2 2 3 2 2 3 2 2 3" xfId="36229" xr:uid="{00000000-0005-0000-0000-000082350000}"/>
    <cellStyle name="Normal 4 4 2 2 2 3 2 2 3 2 3" xfId="17797" xr:uid="{00000000-0005-0000-0000-000083350000}"/>
    <cellStyle name="Normal 4 4 2 2 2 3 2 2 3 2 3 2" xfId="42373" xr:uid="{00000000-0005-0000-0000-000084350000}"/>
    <cellStyle name="Normal 4 4 2 2 2 3 2 2 3 2 4" xfId="30085" xr:uid="{00000000-0005-0000-0000-000085350000}"/>
    <cellStyle name="Normal 4 4 2 2 2 3 2 2 3 3" xfId="8581" xr:uid="{00000000-0005-0000-0000-000086350000}"/>
    <cellStyle name="Normal 4 4 2 2 2 3 2 2 3 3 2" xfId="20869" xr:uid="{00000000-0005-0000-0000-000087350000}"/>
    <cellStyle name="Normal 4 4 2 2 2 3 2 2 3 3 2 2" xfId="45445" xr:uid="{00000000-0005-0000-0000-000088350000}"/>
    <cellStyle name="Normal 4 4 2 2 2 3 2 2 3 3 3" xfId="33157" xr:uid="{00000000-0005-0000-0000-000089350000}"/>
    <cellStyle name="Normal 4 4 2 2 2 3 2 2 3 4" xfId="14725" xr:uid="{00000000-0005-0000-0000-00008A350000}"/>
    <cellStyle name="Normal 4 4 2 2 2 3 2 2 3 4 2" xfId="39301" xr:uid="{00000000-0005-0000-0000-00008B350000}"/>
    <cellStyle name="Normal 4 4 2 2 2 3 2 2 3 5" xfId="27013" xr:uid="{00000000-0005-0000-0000-00008C350000}"/>
    <cellStyle name="Normal 4 4 2 2 2 3 2 2 4" xfId="3973" xr:uid="{00000000-0005-0000-0000-00008D350000}"/>
    <cellStyle name="Normal 4 4 2 2 2 3 2 2 4 2" xfId="10117" xr:uid="{00000000-0005-0000-0000-00008E350000}"/>
    <cellStyle name="Normal 4 4 2 2 2 3 2 2 4 2 2" xfId="22405" xr:uid="{00000000-0005-0000-0000-00008F350000}"/>
    <cellStyle name="Normal 4 4 2 2 2 3 2 2 4 2 2 2" xfId="46981" xr:uid="{00000000-0005-0000-0000-000090350000}"/>
    <cellStyle name="Normal 4 4 2 2 2 3 2 2 4 2 3" xfId="34693" xr:uid="{00000000-0005-0000-0000-000091350000}"/>
    <cellStyle name="Normal 4 4 2 2 2 3 2 2 4 3" xfId="16261" xr:uid="{00000000-0005-0000-0000-000092350000}"/>
    <cellStyle name="Normal 4 4 2 2 2 3 2 2 4 3 2" xfId="40837" xr:uid="{00000000-0005-0000-0000-000093350000}"/>
    <cellStyle name="Normal 4 4 2 2 2 3 2 2 4 4" xfId="28549" xr:uid="{00000000-0005-0000-0000-000094350000}"/>
    <cellStyle name="Normal 4 4 2 2 2 3 2 2 5" xfId="7045" xr:uid="{00000000-0005-0000-0000-000095350000}"/>
    <cellStyle name="Normal 4 4 2 2 2 3 2 2 5 2" xfId="19333" xr:uid="{00000000-0005-0000-0000-000096350000}"/>
    <cellStyle name="Normal 4 4 2 2 2 3 2 2 5 2 2" xfId="43909" xr:uid="{00000000-0005-0000-0000-000097350000}"/>
    <cellStyle name="Normal 4 4 2 2 2 3 2 2 5 3" xfId="31621" xr:uid="{00000000-0005-0000-0000-000098350000}"/>
    <cellStyle name="Normal 4 4 2 2 2 3 2 2 6" xfId="13189" xr:uid="{00000000-0005-0000-0000-000099350000}"/>
    <cellStyle name="Normal 4 4 2 2 2 3 2 2 6 2" xfId="37765" xr:uid="{00000000-0005-0000-0000-00009A350000}"/>
    <cellStyle name="Normal 4 4 2 2 2 3 2 2 7" xfId="25477" xr:uid="{00000000-0005-0000-0000-00009B350000}"/>
    <cellStyle name="Normal 4 4 2 2 2 3 2 3" xfId="1281" xr:uid="{00000000-0005-0000-0000-00009C350000}"/>
    <cellStyle name="Normal 4 4 2 2 2 3 2 3 2" xfId="2817" xr:uid="{00000000-0005-0000-0000-00009D350000}"/>
    <cellStyle name="Normal 4 4 2 2 2 3 2 3 2 2" xfId="5893" xr:uid="{00000000-0005-0000-0000-00009E350000}"/>
    <cellStyle name="Normal 4 4 2 2 2 3 2 3 2 2 2" xfId="12037" xr:uid="{00000000-0005-0000-0000-00009F350000}"/>
    <cellStyle name="Normal 4 4 2 2 2 3 2 3 2 2 2 2" xfId="24325" xr:uid="{00000000-0005-0000-0000-0000A0350000}"/>
    <cellStyle name="Normal 4 4 2 2 2 3 2 3 2 2 2 2 2" xfId="48901" xr:uid="{00000000-0005-0000-0000-0000A1350000}"/>
    <cellStyle name="Normal 4 4 2 2 2 3 2 3 2 2 2 3" xfId="36613" xr:uid="{00000000-0005-0000-0000-0000A2350000}"/>
    <cellStyle name="Normal 4 4 2 2 2 3 2 3 2 2 3" xfId="18181" xr:uid="{00000000-0005-0000-0000-0000A3350000}"/>
    <cellStyle name="Normal 4 4 2 2 2 3 2 3 2 2 3 2" xfId="42757" xr:uid="{00000000-0005-0000-0000-0000A4350000}"/>
    <cellStyle name="Normal 4 4 2 2 2 3 2 3 2 2 4" xfId="30469" xr:uid="{00000000-0005-0000-0000-0000A5350000}"/>
    <cellStyle name="Normal 4 4 2 2 2 3 2 3 2 3" xfId="8965" xr:uid="{00000000-0005-0000-0000-0000A6350000}"/>
    <cellStyle name="Normal 4 4 2 2 2 3 2 3 2 3 2" xfId="21253" xr:uid="{00000000-0005-0000-0000-0000A7350000}"/>
    <cellStyle name="Normal 4 4 2 2 2 3 2 3 2 3 2 2" xfId="45829" xr:uid="{00000000-0005-0000-0000-0000A8350000}"/>
    <cellStyle name="Normal 4 4 2 2 2 3 2 3 2 3 3" xfId="33541" xr:uid="{00000000-0005-0000-0000-0000A9350000}"/>
    <cellStyle name="Normal 4 4 2 2 2 3 2 3 2 4" xfId="15109" xr:uid="{00000000-0005-0000-0000-0000AA350000}"/>
    <cellStyle name="Normal 4 4 2 2 2 3 2 3 2 4 2" xfId="39685" xr:uid="{00000000-0005-0000-0000-0000AB350000}"/>
    <cellStyle name="Normal 4 4 2 2 2 3 2 3 2 5" xfId="27397" xr:uid="{00000000-0005-0000-0000-0000AC350000}"/>
    <cellStyle name="Normal 4 4 2 2 2 3 2 3 3" xfId="4357" xr:uid="{00000000-0005-0000-0000-0000AD350000}"/>
    <cellStyle name="Normal 4 4 2 2 2 3 2 3 3 2" xfId="10501" xr:uid="{00000000-0005-0000-0000-0000AE350000}"/>
    <cellStyle name="Normal 4 4 2 2 2 3 2 3 3 2 2" xfId="22789" xr:uid="{00000000-0005-0000-0000-0000AF350000}"/>
    <cellStyle name="Normal 4 4 2 2 2 3 2 3 3 2 2 2" xfId="47365" xr:uid="{00000000-0005-0000-0000-0000B0350000}"/>
    <cellStyle name="Normal 4 4 2 2 2 3 2 3 3 2 3" xfId="35077" xr:uid="{00000000-0005-0000-0000-0000B1350000}"/>
    <cellStyle name="Normal 4 4 2 2 2 3 2 3 3 3" xfId="16645" xr:uid="{00000000-0005-0000-0000-0000B2350000}"/>
    <cellStyle name="Normal 4 4 2 2 2 3 2 3 3 3 2" xfId="41221" xr:uid="{00000000-0005-0000-0000-0000B3350000}"/>
    <cellStyle name="Normal 4 4 2 2 2 3 2 3 3 4" xfId="28933" xr:uid="{00000000-0005-0000-0000-0000B4350000}"/>
    <cellStyle name="Normal 4 4 2 2 2 3 2 3 4" xfId="7429" xr:uid="{00000000-0005-0000-0000-0000B5350000}"/>
    <cellStyle name="Normal 4 4 2 2 2 3 2 3 4 2" xfId="19717" xr:uid="{00000000-0005-0000-0000-0000B6350000}"/>
    <cellStyle name="Normal 4 4 2 2 2 3 2 3 4 2 2" xfId="44293" xr:uid="{00000000-0005-0000-0000-0000B7350000}"/>
    <cellStyle name="Normal 4 4 2 2 2 3 2 3 4 3" xfId="32005" xr:uid="{00000000-0005-0000-0000-0000B8350000}"/>
    <cellStyle name="Normal 4 4 2 2 2 3 2 3 5" xfId="13573" xr:uid="{00000000-0005-0000-0000-0000B9350000}"/>
    <cellStyle name="Normal 4 4 2 2 2 3 2 3 5 2" xfId="38149" xr:uid="{00000000-0005-0000-0000-0000BA350000}"/>
    <cellStyle name="Normal 4 4 2 2 2 3 2 3 6" xfId="25861" xr:uid="{00000000-0005-0000-0000-0000BB350000}"/>
    <cellStyle name="Normal 4 4 2 2 2 3 2 4" xfId="2049" xr:uid="{00000000-0005-0000-0000-0000BC350000}"/>
    <cellStyle name="Normal 4 4 2 2 2 3 2 4 2" xfId="5125" xr:uid="{00000000-0005-0000-0000-0000BD350000}"/>
    <cellStyle name="Normal 4 4 2 2 2 3 2 4 2 2" xfId="11269" xr:uid="{00000000-0005-0000-0000-0000BE350000}"/>
    <cellStyle name="Normal 4 4 2 2 2 3 2 4 2 2 2" xfId="23557" xr:uid="{00000000-0005-0000-0000-0000BF350000}"/>
    <cellStyle name="Normal 4 4 2 2 2 3 2 4 2 2 2 2" xfId="48133" xr:uid="{00000000-0005-0000-0000-0000C0350000}"/>
    <cellStyle name="Normal 4 4 2 2 2 3 2 4 2 2 3" xfId="35845" xr:uid="{00000000-0005-0000-0000-0000C1350000}"/>
    <cellStyle name="Normal 4 4 2 2 2 3 2 4 2 3" xfId="17413" xr:uid="{00000000-0005-0000-0000-0000C2350000}"/>
    <cellStyle name="Normal 4 4 2 2 2 3 2 4 2 3 2" xfId="41989" xr:uid="{00000000-0005-0000-0000-0000C3350000}"/>
    <cellStyle name="Normal 4 4 2 2 2 3 2 4 2 4" xfId="29701" xr:uid="{00000000-0005-0000-0000-0000C4350000}"/>
    <cellStyle name="Normal 4 4 2 2 2 3 2 4 3" xfId="8197" xr:uid="{00000000-0005-0000-0000-0000C5350000}"/>
    <cellStyle name="Normal 4 4 2 2 2 3 2 4 3 2" xfId="20485" xr:uid="{00000000-0005-0000-0000-0000C6350000}"/>
    <cellStyle name="Normal 4 4 2 2 2 3 2 4 3 2 2" xfId="45061" xr:uid="{00000000-0005-0000-0000-0000C7350000}"/>
    <cellStyle name="Normal 4 4 2 2 2 3 2 4 3 3" xfId="32773" xr:uid="{00000000-0005-0000-0000-0000C8350000}"/>
    <cellStyle name="Normal 4 4 2 2 2 3 2 4 4" xfId="14341" xr:uid="{00000000-0005-0000-0000-0000C9350000}"/>
    <cellStyle name="Normal 4 4 2 2 2 3 2 4 4 2" xfId="38917" xr:uid="{00000000-0005-0000-0000-0000CA350000}"/>
    <cellStyle name="Normal 4 4 2 2 2 3 2 4 5" xfId="26629" xr:uid="{00000000-0005-0000-0000-0000CB350000}"/>
    <cellStyle name="Normal 4 4 2 2 2 3 2 5" xfId="3589" xr:uid="{00000000-0005-0000-0000-0000CC350000}"/>
    <cellStyle name="Normal 4 4 2 2 2 3 2 5 2" xfId="9733" xr:uid="{00000000-0005-0000-0000-0000CD350000}"/>
    <cellStyle name="Normal 4 4 2 2 2 3 2 5 2 2" xfId="22021" xr:uid="{00000000-0005-0000-0000-0000CE350000}"/>
    <cellStyle name="Normal 4 4 2 2 2 3 2 5 2 2 2" xfId="46597" xr:uid="{00000000-0005-0000-0000-0000CF350000}"/>
    <cellStyle name="Normal 4 4 2 2 2 3 2 5 2 3" xfId="34309" xr:uid="{00000000-0005-0000-0000-0000D0350000}"/>
    <cellStyle name="Normal 4 4 2 2 2 3 2 5 3" xfId="15877" xr:uid="{00000000-0005-0000-0000-0000D1350000}"/>
    <cellStyle name="Normal 4 4 2 2 2 3 2 5 3 2" xfId="40453" xr:uid="{00000000-0005-0000-0000-0000D2350000}"/>
    <cellStyle name="Normal 4 4 2 2 2 3 2 5 4" xfId="28165" xr:uid="{00000000-0005-0000-0000-0000D3350000}"/>
    <cellStyle name="Normal 4 4 2 2 2 3 2 6" xfId="6661" xr:uid="{00000000-0005-0000-0000-0000D4350000}"/>
    <cellStyle name="Normal 4 4 2 2 2 3 2 6 2" xfId="18949" xr:uid="{00000000-0005-0000-0000-0000D5350000}"/>
    <cellStyle name="Normal 4 4 2 2 2 3 2 6 2 2" xfId="43525" xr:uid="{00000000-0005-0000-0000-0000D6350000}"/>
    <cellStyle name="Normal 4 4 2 2 2 3 2 6 3" xfId="31237" xr:uid="{00000000-0005-0000-0000-0000D7350000}"/>
    <cellStyle name="Normal 4 4 2 2 2 3 2 7" xfId="12805" xr:uid="{00000000-0005-0000-0000-0000D8350000}"/>
    <cellStyle name="Normal 4 4 2 2 2 3 2 7 2" xfId="37381" xr:uid="{00000000-0005-0000-0000-0000D9350000}"/>
    <cellStyle name="Normal 4 4 2 2 2 3 2 8" xfId="25093" xr:uid="{00000000-0005-0000-0000-0000DA350000}"/>
    <cellStyle name="Normal 4 4 2 2 2 3 3" xfId="705" xr:uid="{00000000-0005-0000-0000-0000DB350000}"/>
    <cellStyle name="Normal 4 4 2 2 2 3 3 2" xfId="1473" xr:uid="{00000000-0005-0000-0000-0000DC350000}"/>
    <cellStyle name="Normal 4 4 2 2 2 3 3 2 2" xfId="3009" xr:uid="{00000000-0005-0000-0000-0000DD350000}"/>
    <cellStyle name="Normal 4 4 2 2 2 3 3 2 2 2" xfId="6085" xr:uid="{00000000-0005-0000-0000-0000DE350000}"/>
    <cellStyle name="Normal 4 4 2 2 2 3 3 2 2 2 2" xfId="12229" xr:uid="{00000000-0005-0000-0000-0000DF350000}"/>
    <cellStyle name="Normal 4 4 2 2 2 3 3 2 2 2 2 2" xfId="24517" xr:uid="{00000000-0005-0000-0000-0000E0350000}"/>
    <cellStyle name="Normal 4 4 2 2 2 3 3 2 2 2 2 2 2" xfId="49093" xr:uid="{00000000-0005-0000-0000-0000E1350000}"/>
    <cellStyle name="Normal 4 4 2 2 2 3 3 2 2 2 2 3" xfId="36805" xr:uid="{00000000-0005-0000-0000-0000E2350000}"/>
    <cellStyle name="Normal 4 4 2 2 2 3 3 2 2 2 3" xfId="18373" xr:uid="{00000000-0005-0000-0000-0000E3350000}"/>
    <cellStyle name="Normal 4 4 2 2 2 3 3 2 2 2 3 2" xfId="42949" xr:uid="{00000000-0005-0000-0000-0000E4350000}"/>
    <cellStyle name="Normal 4 4 2 2 2 3 3 2 2 2 4" xfId="30661" xr:uid="{00000000-0005-0000-0000-0000E5350000}"/>
    <cellStyle name="Normal 4 4 2 2 2 3 3 2 2 3" xfId="9157" xr:uid="{00000000-0005-0000-0000-0000E6350000}"/>
    <cellStyle name="Normal 4 4 2 2 2 3 3 2 2 3 2" xfId="21445" xr:uid="{00000000-0005-0000-0000-0000E7350000}"/>
    <cellStyle name="Normal 4 4 2 2 2 3 3 2 2 3 2 2" xfId="46021" xr:uid="{00000000-0005-0000-0000-0000E8350000}"/>
    <cellStyle name="Normal 4 4 2 2 2 3 3 2 2 3 3" xfId="33733" xr:uid="{00000000-0005-0000-0000-0000E9350000}"/>
    <cellStyle name="Normal 4 4 2 2 2 3 3 2 2 4" xfId="15301" xr:uid="{00000000-0005-0000-0000-0000EA350000}"/>
    <cellStyle name="Normal 4 4 2 2 2 3 3 2 2 4 2" xfId="39877" xr:uid="{00000000-0005-0000-0000-0000EB350000}"/>
    <cellStyle name="Normal 4 4 2 2 2 3 3 2 2 5" xfId="27589" xr:uid="{00000000-0005-0000-0000-0000EC350000}"/>
    <cellStyle name="Normal 4 4 2 2 2 3 3 2 3" xfId="4549" xr:uid="{00000000-0005-0000-0000-0000ED350000}"/>
    <cellStyle name="Normal 4 4 2 2 2 3 3 2 3 2" xfId="10693" xr:uid="{00000000-0005-0000-0000-0000EE350000}"/>
    <cellStyle name="Normal 4 4 2 2 2 3 3 2 3 2 2" xfId="22981" xr:uid="{00000000-0005-0000-0000-0000EF350000}"/>
    <cellStyle name="Normal 4 4 2 2 2 3 3 2 3 2 2 2" xfId="47557" xr:uid="{00000000-0005-0000-0000-0000F0350000}"/>
    <cellStyle name="Normal 4 4 2 2 2 3 3 2 3 2 3" xfId="35269" xr:uid="{00000000-0005-0000-0000-0000F1350000}"/>
    <cellStyle name="Normal 4 4 2 2 2 3 3 2 3 3" xfId="16837" xr:uid="{00000000-0005-0000-0000-0000F2350000}"/>
    <cellStyle name="Normal 4 4 2 2 2 3 3 2 3 3 2" xfId="41413" xr:uid="{00000000-0005-0000-0000-0000F3350000}"/>
    <cellStyle name="Normal 4 4 2 2 2 3 3 2 3 4" xfId="29125" xr:uid="{00000000-0005-0000-0000-0000F4350000}"/>
    <cellStyle name="Normal 4 4 2 2 2 3 3 2 4" xfId="7621" xr:uid="{00000000-0005-0000-0000-0000F5350000}"/>
    <cellStyle name="Normal 4 4 2 2 2 3 3 2 4 2" xfId="19909" xr:uid="{00000000-0005-0000-0000-0000F6350000}"/>
    <cellStyle name="Normal 4 4 2 2 2 3 3 2 4 2 2" xfId="44485" xr:uid="{00000000-0005-0000-0000-0000F7350000}"/>
    <cellStyle name="Normal 4 4 2 2 2 3 3 2 4 3" xfId="32197" xr:uid="{00000000-0005-0000-0000-0000F8350000}"/>
    <cellStyle name="Normal 4 4 2 2 2 3 3 2 5" xfId="13765" xr:uid="{00000000-0005-0000-0000-0000F9350000}"/>
    <cellStyle name="Normal 4 4 2 2 2 3 3 2 5 2" xfId="38341" xr:uid="{00000000-0005-0000-0000-0000FA350000}"/>
    <cellStyle name="Normal 4 4 2 2 2 3 3 2 6" xfId="26053" xr:uid="{00000000-0005-0000-0000-0000FB350000}"/>
    <cellStyle name="Normal 4 4 2 2 2 3 3 3" xfId="2241" xr:uid="{00000000-0005-0000-0000-0000FC350000}"/>
    <cellStyle name="Normal 4 4 2 2 2 3 3 3 2" xfId="5317" xr:uid="{00000000-0005-0000-0000-0000FD350000}"/>
    <cellStyle name="Normal 4 4 2 2 2 3 3 3 2 2" xfId="11461" xr:uid="{00000000-0005-0000-0000-0000FE350000}"/>
    <cellStyle name="Normal 4 4 2 2 2 3 3 3 2 2 2" xfId="23749" xr:uid="{00000000-0005-0000-0000-0000FF350000}"/>
    <cellStyle name="Normal 4 4 2 2 2 3 3 3 2 2 2 2" xfId="48325" xr:uid="{00000000-0005-0000-0000-000000360000}"/>
    <cellStyle name="Normal 4 4 2 2 2 3 3 3 2 2 3" xfId="36037" xr:uid="{00000000-0005-0000-0000-000001360000}"/>
    <cellStyle name="Normal 4 4 2 2 2 3 3 3 2 3" xfId="17605" xr:uid="{00000000-0005-0000-0000-000002360000}"/>
    <cellStyle name="Normal 4 4 2 2 2 3 3 3 2 3 2" xfId="42181" xr:uid="{00000000-0005-0000-0000-000003360000}"/>
    <cellStyle name="Normal 4 4 2 2 2 3 3 3 2 4" xfId="29893" xr:uid="{00000000-0005-0000-0000-000004360000}"/>
    <cellStyle name="Normal 4 4 2 2 2 3 3 3 3" xfId="8389" xr:uid="{00000000-0005-0000-0000-000005360000}"/>
    <cellStyle name="Normal 4 4 2 2 2 3 3 3 3 2" xfId="20677" xr:uid="{00000000-0005-0000-0000-000006360000}"/>
    <cellStyle name="Normal 4 4 2 2 2 3 3 3 3 2 2" xfId="45253" xr:uid="{00000000-0005-0000-0000-000007360000}"/>
    <cellStyle name="Normal 4 4 2 2 2 3 3 3 3 3" xfId="32965" xr:uid="{00000000-0005-0000-0000-000008360000}"/>
    <cellStyle name="Normal 4 4 2 2 2 3 3 3 4" xfId="14533" xr:uid="{00000000-0005-0000-0000-000009360000}"/>
    <cellStyle name="Normal 4 4 2 2 2 3 3 3 4 2" xfId="39109" xr:uid="{00000000-0005-0000-0000-00000A360000}"/>
    <cellStyle name="Normal 4 4 2 2 2 3 3 3 5" xfId="26821" xr:uid="{00000000-0005-0000-0000-00000B360000}"/>
    <cellStyle name="Normal 4 4 2 2 2 3 3 4" xfId="3781" xr:uid="{00000000-0005-0000-0000-00000C360000}"/>
    <cellStyle name="Normal 4 4 2 2 2 3 3 4 2" xfId="9925" xr:uid="{00000000-0005-0000-0000-00000D360000}"/>
    <cellStyle name="Normal 4 4 2 2 2 3 3 4 2 2" xfId="22213" xr:uid="{00000000-0005-0000-0000-00000E360000}"/>
    <cellStyle name="Normal 4 4 2 2 2 3 3 4 2 2 2" xfId="46789" xr:uid="{00000000-0005-0000-0000-00000F360000}"/>
    <cellStyle name="Normal 4 4 2 2 2 3 3 4 2 3" xfId="34501" xr:uid="{00000000-0005-0000-0000-000010360000}"/>
    <cellStyle name="Normal 4 4 2 2 2 3 3 4 3" xfId="16069" xr:uid="{00000000-0005-0000-0000-000011360000}"/>
    <cellStyle name="Normal 4 4 2 2 2 3 3 4 3 2" xfId="40645" xr:uid="{00000000-0005-0000-0000-000012360000}"/>
    <cellStyle name="Normal 4 4 2 2 2 3 3 4 4" xfId="28357" xr:uid="{00000000-0005-0000-0000-000013360000}"/>
    <cellStyle name="Normal 4 4 2 2 2 3 3 5" xfId="6853" xr:uid="{00000000-0005-0000-0000-000014360000}"/>
    <cellStyle name="Normal 4 4 2 2 2 3 3 5 2" xfId="19141" xr:uid="{00000000-0005-0000-0000-000015360000}"/>
    <cellStyle name="Normal 4 4 2 2 2 3 3 5 2 2" xfId="43717" xr:uid="{00000000-0005-0000-0000-000016360000}"/>
    <cellStyle name="Normal 4 4 2 2 2 3 3 5 3" xfId="31429" xr:uid="{00000000-0005-0000-0000-000017360000}"/>
    <cellStyle name="Normal 4 4 2 2 2 3 3 6" xfId="12997" xr:uid="{00000000-0005-0000-0000-000018360000}"/>
    <cellStyle name="Normal 4 4 2 2 2 3 3 6 2" xfId="37573" xr:uid="{00000000-0005-0000-0000-000019360000}"/>
    <cellStyle name="Normal 4 4 2 2 2 3 3 7" xfId="25285" xr:uid="{00000000-0005-0000-0000-00001A360000}"/>
    <cellStyle name="Normal 4 4 2 2 2 3 4" xfId="1089" xr:uid="{00000000-0005-0000-0000-00001B360000}"/>
    <cellStyle name="Normal 4 4 2 2 2 3 4 2" xfId="2625" xr:uid="{00000000-0005-0000-0000-00001C360000}"/>
    <cellStyle name="Normal 4 4 2 2 2 3 4 2 2" xfId="5701" xr:uid="{00000000-0005-0000-0000-00001D360000}"/>
    <cellStyle name="Normal 4 4 2 2 2 3 4 2 2 2" xfId="11845" xr:uid="{00000000-0005-0000-0000-00001E360000}"/>
    <cellStyle name="Normal 4 4 2 2 2 3 4 2 2 2 2" xfId="24133" xr:uid="{00000000-0005-0000-0000-00001F360000}"/>
    <cellStyle name="Normal 4 4 2 2 2 3 4 2 2 2 2 2" xfId="48709" xr:uid="{00000000-0005-0000-0000-000020360000}"/>
    <cellStyle name="Normal 4 4 2 2 2 3 4 2 2 2 3" xfId="36421" xr:uid="{00000000-0005-0000-0000-000021360000}"/>
    <cellStyle name="Normal 4 4 2 2 2 3 4 2 2 3" xfId="17989" xr:uid="{00000000-0005-0000-0000-000022360000}"/>
    <cellStyle name="Normal 4 4 2 2 2 3 4 2 2 3 2" xfId="42565" xr:uid="{00000000-0005-0000-0000-000023360000}"/>
    <cellStyle name="Normal 4 4 2 2 2 3 4 2 2 4" xfId="30277" xr:uid="{00000000-0005-0000-0000-000024360000}"/>
    <cellStyle name="Normal 4 4 2 2 2 3 4 2 3" xfId="8773" xr:uid="{00000000-0005-0000-0000-000025360000}"/>
    <cellStyle name="Normal 4 4 2 2 2 3 4 2 3 2" xfId="21061" xr:uid="{00000000-0005-0000-0000-000026360000}"/>
    <cellStyle name="Normal 4 4 2 2 2 3 4 2 3 2 2" xfId="45637" xr:uid="{00000000-0005-0000-0000-000027360000}"/>
    <cellStyle name="Normal 4 4 2 2 2 3 4 2 3 3" xfId="33349" xr:uid="{00000000-0005-0000-0000-000028360000}"/>
    <cellStyle name="Normal 4 4 2 2 2 3 4 2 4" xfId="14917" xr:uid="{00000000-0005-0000-0000-000029360000}"/>
    <cellStyle name="Normal 4 4 2 2 2 3 4 2 4 2" xfId="39493" xr:uid="{00000000-0005-0000-0000-00002A360000}"/>
    <cellStyle name="Normal 4 4 2 2 2 3 4 2 5" xfId="27205" xr:uid="{00000000-0005-0000-0000-00002B360000}"/>
    <cellStyle name="Normal 4 4 2 2 2 3 4 3" xfId="4165" xr:uid="{00000000-0005-0000-0000-00002C360000}"/>
    <cellStyle name="Normal 4 4 2 2 2 3 4 3 2" xfId="10309" xr:uid="{00000000-0005-0000-0000-00002D360000}"/>
    <cellStyle name="Normal 4 4 2 2 2 3 4 3 2 2" xfId="22597" xr:uid="{00000000-0005-0000-0000-00002E360000}"/>
    <cellStyle name="Normal 4 4 2 2 2 3 4 3 2 2 2" xfId="47173" xr:uid="{00000000-0005-0000-0000-00002F360000}"/>
    <cellStyle name="Normal 4 4 2 2 2 3 4 3 2 3" xfId="34885" xr:uid="{00000000-0005-0000-0000-000030360000}"/>
    <cellStyle name="Normal 4 4 2 2 2 3 4 3 3" xfId="16453" xr:uid="{00000000-0005-0000-0000-000031360000}"/>
    <cellStyle name="Normal 4 4 2 2 2 3 4 3 3 2" xfId="41029" xr:uid="{00000000-0005-0000-0000-000032360000}"/>
    <cellStyle name="Normal 4 4 2 2 2 3 4 3 4" xfId="28741" xr:uid="{00000000-0005-0000-0000-000033360000}"/>
    <cellStyle name="Normal 4 4 2 2 2 3 4 4" xfId="7237" xr:uid="{00000000-0005-0000-0000-000034360000}"/>
    <cellStyle name="Normal 4 4 2 2 2 3 4 4 2" xfId="19525" xr:uid="{00000000-0005-0000-0000-000035360000}"/>
    <cellStyle name="Normal 4 4 2 2 2 3 4 4 2 2" xfId="44101" xr:uid="{00000000-0005-0000-0000-000036360000}"/>
    <cellStyle name="Normal 4 4 2 2 2 3 4 4 3" xfId="31813" xr:uid="{00000000-0005-0000-0000-000037360000}"/>
    <cellStyle name="Normal 4 4 2 2 2 3 4 5" xfId="13381" xr:uid="{00000000-0005-0000-0000-000038360000}"/>
    <cellStyle name="Normal 4 4 2 2 2 3 4 5 2" xfId="37957" xr:uid="{00000000-0005-0000-0000-000039360000}"/>
    <cellStyle name="Normal 4 4 2 2 2 3 4 6" xfId="25669" xr:uid="{00000000-0005-0000-0000-00003A360000}"/>
    <cellStyle name="Normal 4 4 2 2 2 3 5" xfId="1857" xr:uid="{00000000-0005-0000-0000-00003B360000}"/>
    <cellStyle name="Normal 4 4 2 2 2 3 5 2" xfId="4933" xr:uid="{00000000-0005-0000-0000-00003C360000}"/>
    <cellStyle name="Normal 4 4 2 2 2 3 5 2 2" xfId="11077" xr:uid="{00000000-0005-0000-0000-00003D360000}"/>
    <cellStyle name="Normal 4 4 2 2 2 3 5 2 2 2" xfId="23365" xr:uid="{00000000-0005-0000-0000-00003E360000}"/>
    <cellStyle name="Normal 4 4 2 2 2 3 5 2 2 2 2" xfId="47941" xr:uid="{00000000-0005-0000-0000-00003F360000}"/>
    <cellStyle name="Normal 4 4 2 2 2 3 5 2 2 3" xfId="35653" xr:uid="{00000000-0005-0000-0000-000040360000}"/>
    <cellStyle name="Normal 4 4 2 2 2 3 5 2 3" xfId="17221" xr:uid="{00000000-0005-0000-0000-000041360000}"/>
    <cellStyle name="Normal 4 4 2 2 2 3 5 2 3 2" xfId="41797" xr:uid="{00000000-0005-0000-0000-000042360000}"/>
    <cellStyle name="Normal 4 4 2 2 2 3 5 2 4" xfId="29509" xr:uid="{00000000-0005-0000-0000-000043360000}"/>
    <cellStyle name="Normal 4 4 2 2 2 3 5 3" xfId="8005" xr:uid="{00000000-0005-0000-0000-000044360000}"/>
    <cellStyle name="Normal 4 4 2 2 2 3 5 3 2" xfId="20293" xr:uid="{00000000-0005-0000-0000-000045360000}"/>
    <cellStyle name="Normal 4 4 2 2 2 3 5 3 2 2" xfId="44869" xr:uid="{00000000-0005-0000-0000-000046360000}"/>
    <cellStyle name="Normal 4 4 2 2 2 3 5 3 3" xfId="32581" xr:uid="{00000000-0005-0000-0000-000047360000}"/>
    <cellStyle name="Normal 4 4 2 2 2 3 5 4" xfId="14149" xr:uid="{00000000-0005-0000-0000-000048360000}"/>
    <cellStyle name="Normal 4 4 2 2 2 3 5 4 2" xfId="38725" xr:uid="{00000000-0005-0000-0000-000049360000}"/>
    <cellStyle name="Normal 4 4 2 2 2 3 5 5" xfId="26437" xr:uid="{00000000-0005-0000-0000-00004A360000}"/>
    <cellStyle name="Normal 4 4 2 2 2 3 6" xfId="3397" xr:uid="{00000000-0005-0000-0000-00004B360000}"/>
    <cellStyle name="Normal 4 4 2 2 2 3 6 2" xfId="9541" xr:uid="{00000000-0005-0000-0000-00004C360000}"/>
    <cellStyle name="Normal 4 4 2 2 2 3 6 2 2" xfId="21829" xr:uid="{00000000-0005-0000-0000-00004D360000}"/>
    <cellStyle name="Normal 4 4 2 2 2 3 6 2 2 2" xfId="46405" xr:uid="{00000000-0005-0000-0000-00004E360000}"/>
    <cellStyle name="Normal 4 4 2 2 2 3 6 2 3" xfId="34117" xr:uid="{00000000-0005-0000-0000-00004F360000}"/>
    <cellStyle name="Normal 4 4 2 2 2 3 6 3" xfId="15685" xr:uid="{00000000-0005-0000-0000-000050360000}"/>
    <cellStyle name="Normal 4 4 2 2 2 3 6 3 2" xfId="40261" xr:uid="{00000000-0005-0000-0000-000051360000}"/>
    <cellStyle name="Normal 4 4 2 2 2 3 6 4" xfId="27973" xr:uid="{00000000-0005-0000-0000-000052360000}"/>
    <cellStyle name="Normal 4 4 2 2 2 3 7" xfId="6469" xr:uid="{00000000-0005-0000-0000-000053360000}"/>
    <cellStyle name="Normal 4 4 2 2 2 3 7 2" xfId="18757" xr:uid="{00000000-0005-0000-0000-000054360000}"/>
    <cellStyle name="Normal 4 4 2 2 2 3 7 2 2" xfId="43333" xr:uid="{00000000-0005-0000-0000-000055360000}"/>
    <cellStyle name="Normal 4 4 2 2 2 3 7 3" xfId="31045" xr:uid="{00000000-0005-0000-0000-000056360000}"/>
    <cellStyle name="Normal 4 4 2 2 2 3 8" xfId="12613" xr:uid="{00000000-0005-0000-0000-000057360000}"/>
    <cellStyle name="Normal 4 4 2 2 2 3 8 2" xfId="37189" xr:uid="{00000000-0005-0000-0000-000058360000}"/>
    <cellStyle name="Normal 4 4 2 2 2 3 9" xfId="24901" xr:uid="{00000000-0005-0000-0000-000059360000}"/>
    <cellStyle name="Normal 4 4 2 2 2 4" xfId="385" xr:uid="{00000000-0005-0000-0000-00005A360000}"/>
    <cellStyle name="Normal 4 4 2 2 2 4 2" xfId="769" xr:uid="{00000000-0005-0000-0000-00005B360000}"/>
    <cellStyle name="Normal 4 4 2 2 2 4 2 2" xfId="1537" xr:uid="{00000000-0005-0000-0000-00005C360000}"/>
    <cellStyle name="Normal 4 4 2 2 2 4 2 2 2" xfId="3073" xr:uid="{00000000-0005-0000-0000-00005D360000}"/>
    <cellStyle name="Normal 4 4 2 2 2 4 2 2 2 2" xfId="6149" xr:uid="{00000000-0005-0000-0000-00005E360000}"/>
    <cellStyle name="Normal 4 4 2 2 2 4 2 2 2 2 2" xfId="12293" xr:uid="{00000000-0005-0000-0000-00005F360000}"/>
    <cellStyle name="Normal 4 4 2 2 2 4 2 2 2 2 2 2" xfId="24581" xr:uid="{00000000-0005-0000-0000-000060360000}"/>
    <cellStyle name="Normal 4 4 2 2 2 4 2 2 2 2 2 2 2" xfId="49157" xr:uid="{00000000-0005-0000-0000-000061360000}"/>
    <cellStyle name="Normal 4 4 2 2 2 4 2 2 2 2 2 3" xfId="36869" xr:uid="{00000000-0005-0000-0000-000062360000}"/>
    <cellStyle name="Normal 4 4 2 2 2 4 2 2 2 2 3" xfId="18437" xr:uid="{00000000-0005-0000-0000-000063360000}"/>
    <cellStyle name="Normal 4 4 2 2 2 4 2 2 2 2 3 2" xfId="43013" xr:uid="{00000000-0005-0000-0000-000064360000}"/>
    <cellStyle name="Normal 4 4 2 2 2 4 2 2 2 2 4" xfId="30725" xr:uid="{00000000-0005-0000-0000-000065360000}"/>
    <cellStyle name="Normal 4 4 2 2 2 4 2 2 2 3" xfId="9221" xr:uid="{00000000-0005-0000-0000-000066360000}"/>
    <cellStyle name="Normal 4 4 2 2 2 4 2 2 2 3 2" xfId="21509" xr:uid="{00000000-0005-0000-0000-000067360000}"/>
    <cellStyle name="Normal 4 4 2 2 2 4 2 2 2 3 2 2" xfId="46085" xr:uid="{00000000-0005-0000-0000-000068360000}"/>
    <cellStyle name="Normal 4 4 2 2 2 4 2 2 2 3 3" xfId="33797" xr:uid="{00000000-0005-0000-0000-000069360000}"/>
    <cellStyle name="Normal 4 4 2 2 2 4 2 2 2 4" xfId="15365" xr:uid="{00000000-0005-0000-0000-00006A360000}"/>
    <cellStyle name="Normal 4 4 2 2 2 4 2 2 2 4 2" xfId="39941" xr:uid="{00000000-0005-0000-0000-00006B360000}"/>
    <cellStyle name="Normal 4 4 2 2 2 4 2 2 2 5" xfId="27653" xr:uid="{00000000-0005-0000-0000-00006C360000}"/>
    <cellStyle name="Normal 4 4 2 2 2 4 2 2 3" xfId="4613" xr:uid="{00000000-0005-0000-0000-00006D360000}"/>
    <cellStyle name="Normal 4 4 2 2 2 4 2 2 3 2" xfId="10757" xr:uid="{00000000-0005-0000-0000-00006E360000}"/>
    <cellStyle name="Normal 4 4 2 2 2 4 2 2 3 2 2" xfId="23045" xr:uid="{00000000-0005-0000-0000-00006F360000}"/>
    <cellStyle name="Normal 4 4 2 2 2 4 2 2 3 2 2 2" xfId="47621" xr:uid="{00000000-0005-0000-0000-000070360000}"/>
    <cellStyle name="Normal 4 4 2 2 2 4 2 2 3 2 3" xfId="35333" xr:uid="{00000000-0005-0000-0000-000071360000}"/>
    <cellStyle name="Normal 4 4 2 2 2 4 2 2 3 3" xfId="16901" xr:uid="{00000000-0005-0000-0000-000072360000}"/>
    <cellStyle name="Normal 4 4 2 2 2 4 2 2 3 3 2" xfId="41477" xr:uid="{00000000-0005-0000-0000-000073360000}"/>
    <cellStyle name="Normal 4 4 2 2 2 4 2 2 3 4" xfId="29189" xr:uid="{00000000-0005-0000-0000-000074360000}"/>
    <cellStyle name="Normal 4 4 2 2 2 4 2 2 4" xfId="7685" xr:uid="{00000000-0005-0000-0000-000075360000}"/>
    <cellStyle name="Normal 4 4 2 2 2 4 2 2 4 2" xfId="19973" xr:uid="{00000000-0005-0000-0000-000076360000}"/>
    <cellStyle name="Normal 4 4 2 2 2 4 2 2 4 2 2" xfId="44549" xr:uid="{00000000-0005-0000-0000-000077360000}"/>
    <cellStyle name="Normal 4 4 2 2 2 4 2 2 4 3" xfId="32261" xr:uid="{00000000-0005-0000-0000-000078360000}"/>
    <cellStyle name="Normal 4 4 2 2 2 4 2 2 5" xfId="13829" xr:uid="{00000000-0005-0000-0000-000079360000}"/>
    <cellStyle name="Normal 4 4 2 2 2 4 2 2 5 2" xfId="38405" xr:uid="{00000000-0005-0000-0000-00007A360000}"/>
    <cellStyle name="Normal 4 4 2 2 2 4 2 2 6" xfId="26117" xr:uid="{00000000-0005-0000-0000-00007B360000}"/>
    <cellStyle name="Normal 4 4 2 2 2 4 2 3" xfId="2305" xr:uid="{00000000-0005-0000-0000-00007C360000}"/>
    <cellStyle name="Normal 4 4 2 2 2 4 2 3 2" xfId="5381" xr:uid="{00000000-0005-0000-0000-00007D360000}"/>
    <cellStyle name="Normal 4 4 2 2 2 4 2 3 2 2" xfId="11525" xr:uid="{00000000-0005-0000-0000-00007E360000}"/>
    <cellStyle name="Normal 4 4 2 2 2 4 2 3 2 2 2" xfId="23813" xr:uid="{00000000-0005-0000-0000-00007F360000}"/>
    <cellStyle name="Normal 4 4 2 2 2 4 2 3 2 2 2 2" xfId="48389" xr:uid="{00000000-0005-0000-0000-000080360000}"/>
    <cellStyle name="Normal 4 4 2 2 2 4 2 3 2 2 3" xfId="36101" xr:uid="{00000000-0005-0000-0000-000081360000}"/>
    <cellStyle name="Normal 4 4 2 2 2 4 2 3 2 3" xfId="17669" xr:uid="{00000000-0005-0000-0000-000082360000}"/>
    <cellStyle name="Normal 4 4 2 2 2 4 2 3 2 3 2" xfId="42245" xr:uid="{00000000-0005-0000-0000-000083360000}"/>
    <cellStyle name="Normal 4 4 2 2 2 4 2 3 2 4" xfId="29957" xr:uid="{00000000-0005-0000-0000-000084360000}"/>
    <cellStyle name="Normal 4 4 2 2 2 4 2 3 3" xfId="8453" xr:uid="{00000000-0005-0000-0000-000085360000}"/>
    <cellStyle name="Normal 4 4 2 2 2 4 2 3 3 2" xfId="20741" xr:uid="{00000000-0005-0000-0000-000086360000}"/>
    <cellStyle name="Normal 4 4 2 2 2 4 2 3 3 2 2" xfId="45317" xr:uid="{00000000-0005-0000-0000-000087360000}"/>
    <cellStyle name="Normal 4 4 2 2 2 4 2 3 3 3" xfId="33029" xr:uid="{00000000-0005-0000-0000-000088360000}"/>
    <cellStyle name="Normal 4 4 2 2 2 4 2 3 4" xfId="14597" xr:uid="{00000000-0005-0000-0000-000089360000}"/>
    <cellStyle name="Normal 4 4 2 2 2 4 2 3 4 2" xfId="39173" xr:uid="{00000000-0005-0000-0000-00008A360000}"/>
    <cellStyle name="Normal 4 4 2 2 2 4 2 3 5" xfId="26885" xr:uid="{00000000-0005-0000-0000-00008B360000}"/>
    <cellStyle name="Normal 4 4 2 2 2 4 2 4" xfId="3845" xr:uid="{00000000-0005-0000-0000-00008C360000}"/>
    <cellStyle name="Normal 4 4 2 2 2 4 2 4 2" xfId="9989" xr:uid="{00000000-0005-0000-0000-00008D360000}"/>
    <cellStyle name="Normal 4 4 2 2 2 4 2 4 2 2" xfId="22277" xr:uid="{00000000-0005-0000-0000-00008E360000}"/>
    <cellStyle name="Normal 4 4 2 2 2 4 2 4 2 2 2" xfId="46853" xr:uid="{00000000-0005-0000-0000-00008F360000}"/>
    <cellStyle name="Normal 4 4 2 2 2 4 2 4 2 3" xfId="34565" xr:uid="{00000000-0005-0000-0000-000090360000}"/>
    <cellStyle name="Normal 4 4 2 2 2 4 2 4 3" xfId="16133" xr:uid="{00000000-0005-0000-0000-000091360000}"/>
    <cellStyle name="Normal 4 4 2 2 2 4 2 4 3 2" xfId="40709" xr:uid="{00000000-0005-0000-0000-000092360000}"/>
    <cellStyle name="Normal 4 4 2 2 2 4 2 4 4" xfId="28421" xr:uid="{00000000-0005-0000-0000-000093360000}"/>
    <cellStyle name="Normal 4 4 2 2 2 4 2 5" xfId="6917" xr:uid="{00000000-0005-0000-0000-000094360000}"/>
    <cellStyle name="Normal 4 4 2 2 2 4 2 5 2" xfId="19205" xr:uid="{00000000-0005-0000-0000-000095360000}"/>
    <cellStyle name="Normal 4 4 2 2 2 4 2 5 2 2" xfId="43781" xr:uid="{00000000-0005-0000-0000-000096360000}"/>
    <cellStyle name="Normal 4 4 2 2 2 4 2 5 3" xfId="31493" xr:uid="{00000000-0005-0000-0000-000097360000}"/>
    <cellStyle name="Normal 4 4 2 2 2 4 2 6" xfId="13061" xr:uid="{00000000-0005-0000-0000-000098360000}"/>
    <cellStyle name="Normal 4 4 2 2 2 4 2 6 2" xfId="37637" xr:uid="{00000000-0005-0000-0000-000099360000}"/>
    <cellStyle name="Normal 4 4 2 2 2 4 2 7" xfId="25349" xr:uid="{00000000-0005-0000-0000-00009A360000}"/>
    <cellStyle name="Normal 4 4 2 2 2 4 3" xfId="1153" xr:uid="{00000000-0005-0000-0000-00009B360000}"/>
    <cellStyle name="Normal 4 4 2 2 2 4 3 2" xfId="2689" xr:uid="{00000000-0005-0000-0000-00009C360000}"/>
    <cellStyle name="Normal 4 4 2 2 2 4 3 2 2" xfId="5765" xr:uid="{00000000-0005-0000-0000-00009D360000}"/>
    <cellStyle name="Normal 4 4 2 2 2 4 3 2 2 2" xfId="11909" xr:uid="{00000000-0005-0000-0000-00009E360000}"/>
    <cellStyle name="Normal 4 4 2 2 2 4 3 2 2 2 2" xfId="24197" xr:uid="{00000000-0005-0000-0000-00009F360000}"/>
    <cellStyle name="Normal 4 4 2 2 2 4 3 2 2 2 2 2" xfId="48773" xr:uid="{00000000-0005-0000-0000-0000A0360000}"/>
    <cellStyle name="Normal 4 4 2 2 2 4 3 2 2 2 3" xfId="36485" xr:uid="{00000000-0005-0000-0000-0000A1360000}"/>
    <cellStyle name="Normal 4 4 2 2 2 4 3 2 2 3" xfId="18053" xr:uid="{00000000-0005-0000-0000-0000A2360000}"/>
    <cellStyle name="Normal 4 4 2 2 2 4 3 2 2 3 2" xfId="42629" xr:uid="{00000000-0005-0000-0000-0000A3360000}"/>
    <cellStyle name="Normal 4 4 2 2 2 4 3 2 2 4" xfId="30341" xr:uid="{00000000-0005-0000-0000-0000A4360000}"/>
    <cellStyle name="Normal 4 4 2 2 2 4 3 2 3" xfId="8837" xr:uid="{00000000-0005-0000-0000-0000A5360000}"/>
    <cellStyle name="Normal 4 4 2 2 2 4 3 2 3 2" xfId="21125" xr:uid="{00000000-0005-0000-0000-0000A6360000}"/>
    <cellStyle name="Normal 4 4 2 2 2 4 3 2 3 2 2" xfId="45701" xr:uid="{00000000-0005-0000-0000-0000A7360000}"/>
    <cellStyle name="Normal 4 4 2 2 2 4 3 2 3 3" xfId="33413" xr:uid="{00000000-0005-0000-0000-0000A8360000}"/>
    <cellStyle name="Normal 4 4 2 2 2 4 3 2 4" xfId="14981" xr:uid="{00000000-0005-0000-0000-0000A9360000}"/>
    <cellStyle name="Normal 4 4 2 2 2 4 3 2 4 2" xfId="39557" xr:uid="{00000000-0005-0000-0000-0000AA360000}"/>
    <cellStyle name="Normal 4 4 2 2 2 4 3 2 5" xfId="27269" xr:uid="{00000000-0005-0000-0000-0000AB360000}"/>
    <cellStyle name="Normal 4 4 2 2 2 4 3 3" xfId="4229" xr:uid="{00000000-0005-0000-0000-0000AC360000}"/>
    <cellStyle name="Normal 4 4 2 2 2 4 3 3 2" xfId="10373" xr:uid="{00000000-0005-0000-0000-0000AD360000}"/>
    <cellStyle name="Normal 4 4 2 2 2 4 3 3 2 2" xfId="22661" xr:uid="{00000000-0005-0000-0000-0000AE360000}"/>
    <cellStyle name="Normal 4 4 2 2 2 4 3 3 2 2 2" xfId="47237" xr:uid="{00000000-0005-0000-0000-0000AF360000}"/>
    <cellStyle name="Normal 4 4 2 2 2 4 3 3 2 3" xfId="34949" xr:uid="{00000000-0005-0000-0000-0000B0360000}"/>
    <cellStyle name="Normal 4 4 2 2 2 4 3 3 3" xfId="16517" xr:uid="{00000000-0005-0000-0000-0000B1360000}"/>
    <cellStyle name="Normal 4 4 2 2 2 4 3 3 3 2" xfId="41093" xr:uid="{00000000-0005-0000-0000-0000B2360000}"/>
    <cellStyle name="Normal 4 4 2 2 2 4 3 3 4" xfId="28805" xr:uid="{00000000-0005-0000-0000-0000B3360000}"/>
    <cellStyle name="Normal 4 4 2 2 2 4 3 4" xfId="7301" xr:uid="{00000000-0005-0000-0000-0000B4360000}"/>
    <cellStyle name="Normal 4 4 2 2 2 4 3 4 2" xfId="19589" xr:uid="{00000000-0005-0000-0000-0000B5360000}"/>
    <cellStyle name="Normal 4 4 2 2 2 4 3 4 2 2" xfId="44165" xr:uid="{00000000-0005-0000-0000-0000B6360000}"/>
    <cellStyle name="Normal 4 4 2 2 2 4 3 4 3" xfId="31877" xr:uid="{00000000-0005-0000-0000-0000B7360000}"/>
    <cellStyle name="Normal 4 4 2 2 2 4 3 5" xfId="13445" xr:uid="{00000000-0005-0000-0000-0000B8360000}"/>
    <cellStyle name="Normal 4 4 2 2 2 4 3 5 2" xfId="38021" xr:uid="{00000000-0005-0000-0000-0000B9360000}"/>
    <cellStyle name="Normal 4 4 2 2 2 4 3 6" xfId="25733" xr:uid="{00000000-0005-0000-0000-0000BA360000}"/>
    <cellStyle name="Normal 4 4 2 2 2 4 4" xfId="1921" xr:uid="{00000000-0005-0000-0000-0000BB360000}"/>
    <cellStyle name="Normal 4 4 2 2 2 4 4 2" xfId="4997" xr:uid="{00000000-0005-0000-0000-0000BC360000}"/>
    <cellStyle name="Normal 4 4 2 2 2 4 4 2 2" xfId="11141" xr:uid="{00000000-0005-0000-0000-0000BD360000}"/>
    <cellStyle name="Normal 4 4 2 2 2 4 4 2 2 2" xfId="23429" xr:uid="{00000000-0005-0000-0000-0000BE360000}"/>
    <cellStyle name="Normal 4 4 2 2 2 4 4 2 2 2 2" xfId="48005" xr:uid="{00000000-0005-0000-0000-0000BF360000}"/>
    <cellStyle name="Normal 4 4 2 2 2 4 4 2 2 3" xfId="35717" xr:uid="{00000000-0005-0000-0000-0000C0360000}"/>
    <cellStyle name="Normal 4 4 2 2 2 4 4 2 3" xfId="17285" xr:uid="{00000000-0005-0000-0000-0000C1360000}"/>
    <cellStyle name="Normal 4 4 2 2 2 4 4 2 3 2" xfId="41861" xr:uid="{00000000-0005-0000-0000-0000C2360000}"/>
    <cellStyle name="Normal 4 4 2 2 2 4 4 2 4" xfId="29573" xr:uid="{00000000-0005-0000-0000-0000C3360000}"/>
    <cellStyle name="Normal 4 4 2 2 2 4 4 3" xfId="8069" xr:uid="{00000000-0005-0000-0000-0000C4360000}"/>
    <cellStyle name="Normal 4 4 2 2 2 4 4 3 2" xfId="20357" xr:uid="{00000000-0005-0000-0000-0000C5360000}"/>
    <cellStyle name="Normal 4 4 2 2 2 4 4 3 2 2" xfId="44933" xr:uid="{00000000-0005-0000-0000-0000C6360000}"/>
    <cellStyle name="Normal 4 4 2 2 2 4 4 3 3" xfId="32645" xr:uid="{00000000-0005-0000-0000-0000C7360000}"/>
    <cellStyle name="Normal 4 4 2 2 2 4 4 4" xfId="14213" xr:uid="{00000000-0005-0000-0000-0000C8360000}"/>
    <cellStyle name="Normal 4 4 2 2 2 4 4 4 2" xfId="38789" xr:uid="{00000000-0005-0000-0000-0000C9360000}"/>
    <cellStyle name="Normal 4 4 2 2 2 4 4 5" xfId="26501" xr:uid="{00000000-0005-0000-0000-0000CA360000}"/>
    <cellStyle name="Normal 4 4 2 2 2 4 5" xfId="3461" xr:uid="{00000000-0005-0000-0000-0000CB360000}"/>
    <cellStyle name="Normal 4 4 2 2 2 4 5 2" xfId="9605" xr:uid="{00000000-0005-0000-0000-0000CC360000}"/>
    <cellStyle name="Normal 4 4 2 2 2 4 5 2 2" xfId="21893" xr:uid="{00000000-0005-0000-0000-0000CD360000}"/>
    <cellStyle name="Normal 4 4 2 2 2 4 5 2 2 2" xfId="46469" xr:uid="{00000000-0005-0000-0000-0000CE360000}"/>
    <cellStyle name="Normal 4 4 2 2 2 4 5 2 3" xfId="34181" xr:uid="{00000000-0005-0000-0000-0000CF360000}"/>
    <cellStyle name="Normal 4 4 2 2 2 4 5 3" xfId="15749" xr:uid="{00000000-0005-0000-0000-0000D0360000}"/>
    <cellStyle name="Normal 4 4 2 2 2 4 5 3 2" xfId="40325" xr:uid="{00000000-0005-0000-0000-0000D1360000}"/>
    <cellStyle name="Normal 4 4 2 2 2 4 5 4" xfId="28037" xr:uid="{00000000-0005-0000-0000-0000D2360000}"/>
    <cellStyle name="Normal 4 4 2 2 2 4 6" xfId="6533" xr:uid="{00000000-0005-0000-0000-0000D3360000}"/>
    <cellStyle name="Normal 4 4 2 2 2 4 6 2" xfId="18821" xr:uid="{00000000-0005-0000-0000-0000D4360000}"/>
    <cellStyle name="Normal 4 4 2 2 2 4 6 2 2" xfId="43397" xr:uid="{00000000-0005-0000-0000-0000D5360000}"/>
    <cellStyle name="Normal 4 4 2 2 2 4 6 3" xfId="31109" xr:uid="{00000000-0005-0000-0000-0000D6360000}"/>
    <cellStyle name="Normal 4 4 2 2 2 4 7" xfId="12677" xr:uid="{00000000-0005-0000-0000-0000D7360000}"/>
    <cellStyle name="Normal 4 4 2 2 2 4 7 2" xfId="37253" xr:uid="{00000000-0005-0000-0000-0000D8360000}"/>
    <cellStyle name="Normal 4 4 2 2 2 4 8" xfId="24965" xr:uid="{00000000-0005-0000-0000-0000D9360000}"/>
    <cellStyle name="Normal 4 4 2 2 2 5" xfId="577" xr:uid="{00000000-0005-0000-0000-0000DA360000}"/>
    <cellStyle name="Normal 4 4 2 2 2 5 2" xfId="1345" xr:uid="{00000000-0005-0000-0000-0000DB360000}"/>
    <cellStyle name="Normal 4 4 2 2 2 5 2 2" xfId="2881" xr:uid="{00000000-0005-0000-0000-0000DC360000}"/>
    <cellStyle name="Normal 4 4 2 2 2 5 2 2 2" xfId="5957" xr:uid="{00000000-0005-0000-0000-0000DD360000}"/>
    <cellStyle name="Normal 4 4 2 2 2 5 2 2 2 2" xfId="12101" xr:uid="{00000000-0005-0000-0000-0000DE360000}"/>
    <cellStyle name="Normal 4 4 2 2 2 5 2 2 2 2 2" xfId="24389" xr:uid="{00000000-0005-0000-0000-0000DF360000}"/>
    <cellStyle name="Normal 4 4 2 2 2 5 2 2 2 2 2 2" xfId="48965" xr:uid="{00000000-0005-0000-0000-0000E0360000}"/>
    <cellStyle name="Normal 4 4 2 2 2 5 2 2 2 2 3" xfId="36677" xr:uid="{00000000-0005-0000-0000-0000E1360000}"/>
    <cellStyle name="Normal 4 4 2 2 2 5 2 2 2 3" xfId="18245" xr:uid="{00000000-0005-0000-0000-0000E2360000}"/>
    <cellStyle name="Normal 4 4 2 2 2 5 2 2 2 3 2" xfId="42821" xr:uid="{00000000-0005-0000-0000-0000E3360000}"/>
    <cellStyle name="Normal 4 4 2 2 2 5 2 2 2 4" xfId="30533" xr:uid="{00000000-0005-0000-0000-0000E4360000}"/>
    <cellStyle name="Normal 4 4 2 2 2 5 2 2 3" xfId="9029" xr:uid="{00000000-0005-0000-0000-0000E5360000}"/>
    <cellStyle name="Normal 4 4 2 2 2 5 2 2 3 2" xfId="21317" xr:uid="{00000000-0005-0000-0000-0000E6360000}"/>
    <cellStyle name="Normal 4 4 2 2 2 5 2 2 3 2 2" xfId="45893" xr:uid="{00000000-0005-0000-0000-0000E7360000}"/>
    <cellStyle name="Normal 4 4 2 2 2 5 2 2 3 3" xfId="33605" xr:uid="{00000000-0005-0000-0000-0000E8360000}"/>
    <cellStyle name="Normal 4 4 2 2 2 5 2 2 4" xfId="15173" xr:uid="{00000000-0005-0000-0000-0000E9360000}"/>
    <cellStyle name="Normal 4 4 2 2 2 5 2 2 4 2" xfId="39749" xr:uid="{00000000-0005-0000-0000-0000EA360000}"/>
    <cellStyle name="Normal 4 4 2 2 2 5 2 2 5" xfId="27461" xr:uid="{00000000-0005-0000-0000-0000EB360000}"/>
    <cellStyle name="Normal 4 4 2 2 2 5 2 3" xfId="4421" xr:uid="{00000000-0005-0000-0000-0000EC360000}"/>
    <cellStyle name="Normal 4 4 2 2 2 5 2 3 2" xfId="10565" xr:uid="{00000000-0005-0000-0000-0000ED360000}"/>
    <cellStyle name="Normal 4 4 2 2 2 5 2 3 2 2" xfId="22853" xr:uid="{00000000-0005-0000-0000-0000EE360000}"/>
    <cellStyle name="Normal 4 4 2 2 2 5 2 3 2 2 2" xfId="47429" xr:uid="{00000000-0005-0000-0000-0000EF360000}"/>
    <cellStyle name="Normal 4 4 2 2 2 5 2 3 2 3" xfId="35141" xr:uid="{00000000-0005-0000-0000-0000F0360000}"/>
    <cellStyle name="Normal 4 4 2 2 2 5 2 3 3" xfId="16709" xr:uid="{00000000-0005-0000-0000-0000F1360000}"/>
    <cellStyle name="Normal 4 4 2 2 2 5 2 3 3 2" xfId="41285" xr:uid="{00000000-0005-0000-0000-0000F2360000}"/>
    <cellStyle name="Normal 4 4 2 2 2 5 2 3 4" xfId="28997" xr:uid="{00000000-0005-0000-0000-0000F3360000}"/>
    <cellStyle name="Normal 4 4 2 2 2 5 2 4" xfId="7493" xr:uid="{00000000-0005-0000-0000-0000F4360000}"/>
    <cellStyle name="Normal 4 4 2 2 2 5 2 4 2" xfId="19781" xr:uid="{00000000-0005-0000-0000-0000F5360000}"/>
    <cellStyle name="Normal 4 4 2 2 2 5 2 4 2 2" xfId="44357" xr:uid="{00000000-0005-0000-0000-0000F6360000}"/>
    <cellStyle name="Normal 4 4 2 2 2 5 2 4 3" xfId="32069" xr:uid="{00000000-0005-0000-0000-0000F7360000}"/>
    <cellStyle name="Normal 4 4 2 2 2 5 2 5" xfId="13637" xr:uid="{00000000-0005-0000-0000-0000F8360000}"/>
    <cellStyle name="Normal 4 4 2 2 2 5 2 5 2" xfId="38213" xr:uid="{00000000-0005-0000-0000-0000F9360000}"/>
    <cellStyle name="Normal 4 4 2 2 2 5 2 6" xfId="25925" xr:uid="{00000000-0005-0000-0000-0000FA360000}"/>
    <cellStyle name="Normal 4 4 2 2 2 5 3" xfId="2113" xr:uid="{00000000-0005-0000-0000-0000FB360000}"/>
    <cellStyle name="Normal 4 4 2 2 2 5 3 2" xfId="5189" xr:uid="{00000000-0005-0000-0000-0000FC360000}"/>
    <cellStyle name="Normal 4 4 2 2 2 5 3 2 2" xfId="11333" xr:uid="{00000000-0005-0000-0000-0000FD360000}"/>
    <cellStyle name="Normal 4 4 2 2 2 5 3 2 2 2" xfId="23621" xr:uid="{00000000-0005-0000-0000-0000FE360000}"/>
    <cellStyle name="Normal 4 4 2 2 2 5 3 2 2 2 2" xfId="48197" xr:uid="{00000000-0005-0000-0000-0000FF360000}"/>
    <cellStyle name="Normal 4 4 2 2 2 5 3 2 2 3" xfId="35909" xr:uid="{00000000-0005-0000-0000-000000370000}"/>
    <cellStyle name="Normal 4 4 2 2 2 5 3 2 3" xfId="17477" xr:uid="{00000000-0005-0000-0000-000001370000}"/>
    <cellStyle name="Normal 4 4 2 2 2 5 3 2 3 2" xfId="42053" xr:uid="{00000000-0005-0000-0000-000002370000}"/>
    <cellStyle name="Normal 4 4 2 2 2 5 3 2 4" xfId="29765" xr:uid="{00000000-0005-0000-0000-000003370000}"/>
    <cellStyle name="Normal 4 4 2 2 2 5 3 3" xfId="8261" xr:uid="{00000000-0005-0000-0000-000004370000}"/>
    <cellStyle name="Normal 4 4 2 2 2 5 3 3 2" xfId="20549" xr:uid="{00000000-0005-0000-0000-000005370000}"/>
    <cellStyle name="Normal 4 4 2 2 2 5 3 3 2 2" xfId="45125" xr:uid="{00000000-0005-0000-0000-000006370000}"/>
    <cellStyle name="Normal 4 4 2 2 2 5 3 3 3" xfId="32837" xr:uid="{00000000-0005-0000-0000-000007370000}"/>
    <cellStyle name="Normal 4 4 2 2 2 5 3 4" xfId="14405" xr:uid="{00000000-0005-0000-0000-000008370000}"/>
    <cellStyle name="Normal 4 4 2 2 2 5 3 4 2" xfId="38981" xr:uid="{00000000-0005-0000-0000-000009370000}"/>
    <cellStyle name="Normal 4 4 2 2 2 5 3 5" xfId="26693" xr:uid="{00000000-0005-0000-0000-00000A370000}"/>
    <cellStyle name="Normal 4 4 2 2 2 5 4" xfId="3653" xr:uid="{00000000-0005-0000-0000-00000B370000}"/>
    <cellStyle name="Normal 4 4 2 2 2 5 4 2" xfId="9797" xr:uid="{00000000-0005-0000-0000-00000C370000}"/>
    <cellStyle name="Normal 4 4 2 2 2 5 4 2 2" xfId="22085" xr:uid="{00000000-0005-0000-0000-00000D370000}"/>
    <cellStyle name="Normal 4 4 2 2 2 5 4 2 2 2" xfId="46661" xr:uid="{00000000-0005-0000-0000-00000E370000}"/>
    <cellStyle name="Normal 4 4 2 2 2 5 4 2 3" xfId="34373" xr:uid="{00000000-0005-0000-0000-00000F370000}"/>
    <cellStyle name="Normal 4 4 2 2 2 5 4 3" xfId="15941" xr:uid="{00000000-0005-0000-0000-000010370000}"/>
    <cellStyle name="Normal 4 4 2 2 2 5 4 3 2" xfId="40517" xr:uid="{00000000-0005-0000-0000-000011370000}"/>
    <cellStyle name="Normal 4 4 2 2 2 5 4 4" xfId="28229" xr:uid="{00000000-0005-0000-0000-000012370000}"/>
    <cellStyle name="Normal 4 4 2 2 2 5 5" xfId="6725" xr:uid="{00000000-0005-0000-0000-000013370000}"/>
    <cellStyle name="Normal 4 4 2 2 2 5 5 2" xfId="19013" xr:uid="{00000000-0005-0000-0000-000014370000}"/>
    <cellStyle name="Normal 4 4 2 2 2 5 5 2 2" xfId="43589" xr:uid="{00000000-0005-0000-0000-000015370000}"/>
    <cellStyle name="Normal 4 4 2 2 2 5 5 3" xfId="31301" xr:uid="{00000000-0005-0000-0000-000016370000}"/>
    <cellStyle name="Normal 4 4 2 2 2 5 6" xfId="12869" xr:uid="{00000000-0005-0000-0000-000017370000}"/>
    <cellStyle name="Normal 4 4 2 2 2 5 6 2" xfId="37445" xr:uid="{00000000-0005-0000-0000-000018370000}"/>
    <cellStyle name="Normal 4 4 2 2 2 5 7" xfId="25157" xr:uid="{00000000-0005-0000-0000-000019370000}"/>
    <cellStyle name="Normal 4 4 2 2 2 6" xfId="961" xr:uid="{00000000-0005-0000-0000-00001A370000}"/>
    <cellStyle name="Normal 4 4 2 2 2 6 2" xfId="2497" xr:uid="{00000000-0005-0000-0000-00001B370000}"/>
    <cellStyle name="Normal 4 4 2 2 2 6 2 2" xfId="5573" xr:uid="{00000000-0005-0000-0000-00001C370000}"/>
    <cellStyle name="Normal 4 4 2 2 2 6 2 2 2" xfId="11717" xr:uid="{00000000-0005-0000-0000-00001D370000}"/>
    <cellStyle name="Normal 4 4 2 2 2 6 2 2 2 2" xfId="24005" xr:uid="{00000000-0005-0000-0000-00001E370000}"/>
    <cellStyle name="Normal 4 4 2 2 2 6 2 2 2 2 2" xfId="48581" xr:uid="{00000000-0005-0000-0000-00001F370000}"/>
    <cellStyle name="Normal 4 4 2 2 2 6 2 2 2 3" xfId="36293" xr:uid="{00000000-0005-0000-0000-000020370000}"/>
    <cellStyle name="Normal 4 4 2 2 2 6 2 2 3" xfId="17861" xr:uid="{00000000-0005-0000-0000-000021370000}"/>
    <cellStyle name="Normal 4 4 2 2 2 6 2 2 3 2" xfId="42437" xr:uid="{00000000-0005-0000-0000-000022370000}"/>
    <cellStyle name="Normal 4 4 2 2 2 6 2 2 4" xfId="30149" xr:uid="{00000000-0005-0000-0000-000023370000}"/>
    <cellStyle name="Normal 4 4 2 2 2 6 2 3" xfId="8645" xr:uid="{00000000-0005-0000-0000-000024370000}"/>
    <cellStyle name="Normal 4 4 2 2 2 6 2 3 2" xfId="20933" xr:uid="{00000000-0005-0000-0000-000025370000}"/>
    <cellStyle name="Normal 4 4 2 2 2 6 2 3 2 2" xfId="45509" xr:uid="{00000000-0005-0000-0000-000026370000}"/>
    <cellStyle name="Normal 4 4 2 2 2 6 2 3 3" xfId="33221" xr:uid="{00000000-0005-0000-0000-000027370000}"/>
    <cellStyle name="Normal 4 4 2 2 2 6 2 4" xfId="14789" xr:uid="{00000000-0005-0000-0000-000028370000}"/>
    <cellStyle name="Normal 4 4 2 2 2 6 2 4 2" xfId="39365" xr:uid="{00000000-0005-0000-0000-000029370000}"/>
    <cellStyle name="Normal 4 4 2 2 2 6 2 5" xfId="27077" xr:uid="{00000000-0005-0000-0000-00002A370000}"/>
    <cellStyle name="Normal 4 4 2 2 2 6 3" xfId="4037" xr:uid="{00000000-0005-0000-0000-00002B370000}"/>
    <cellStyle name="Normal 4 4 2 2 2 6 3 2" xfId="10181" xr:uid="{00000000-0005-0000-0000-00002C370000}"/>
    <cellStyle name="Normal 4 4 2 2 2 6 3 2 2" xfId="22469" xr:uid="{00000000-0005-0000-0000-00002D370000}"/>
    <cellStyle name="Normal 4 4 2 2 2 6 3 2 2 2" xfId="47045" xr:uid="{00000000-0005-0000-0000-00002E370000}"/>
    <cellStyle name="Normal 4 4 2 2 2 6 3 2 3" xfId="34757" xr:uid="{00000000-0005-0000-0000-00002F370000}"/>
    <cellStyle name="Normal 4 4 2 2 2 6 3 3" xfId="16325" xr:uid="{00000000-0005-0000-0000-000030370000}"/>
    <cellStyle name="Normal 4 4 2 2 2 6 3 3 2" xfId="40901" xr:uid="{00000000-0005-0000-0000-000031370000}"/>
    <cellStyle name="Normal 4 4 2 2 2 6 3 4" xfId="28613" xr:uid="{00000000-0005-0000-0000-000032370000}"/>
    <cellStyle name="Normal 4 4 2 2 2 6 4" xfId="7109" xr:uid="{00000000-0005-0000-0000-000033370000}"/>
    <cellStyle name="Normal 4 4 2 2 2 6 4 2" xfId="19397" xr:uid="{00000000-0005-0000-0000-000034370000}"/>
    <cellStyle name="Normal 4 4 2 2 2 6 4 2 2" xfId="43973" xr:uid="{00000000-0005-0000-0000-000035370000}"/>
    <cellStyle name="Normal 4 4 2 2 2 6 4 3" xfId="31685" xr:uid="{00000000-0005-0000-0000-000036370000}"/>
    <cellStyle name="Normal 4 4 2 2 2 6 5" xfId="13253" xr:uid="{00000000-0005-0000-0000-000037370000}"/>
    <cellStyle name="Normal 4 4 2 2 2 6 5 2" xfId="37829" xr:uid="{00000000-0005-0000-0000-000038370000}"/>
    <cellStyle name="Normal 4 4 2 2 2 6 6" xfId="25541" xr:uid="{00000000-0005-0000-0000-000039370000}"/>
    <cellStyle name="Normal 4 4 2 2 2 7" xfId="1729" xr:uid="{00000000-0005-0000-0000-00003A370000}"/>
    <cellStyle name="Normal 4 4 2 2 2 7 2" xfId="4805" xr:uid="{00000000-0005-0000-0000-00003B370000}"/>
    <cellStyle name="Normal 4 4 2 2 2 7 2 2" xfId="10949" xr:uid="{00000000-0005-0000-0000-00003C370000}"/>
    <cellStyle name="Normal 4 4 2 2 2 7 2 2 2" xfId="23237" xr:uid="{00000000-0005-0000-0000-00003D370000}"/>
    <cellStyle name="Normal 4 4 2 2 2 7 2 2 2 2" xfId="47813" xr:uid="{00000000-0005-0000-0000-00003E370000}"/>
    <cellStyle name="Normal 4 4 2 2 2 7 2 2 3" xfId="35525" xr:uid="{00000000-0005-0000-0000-00003F370000}"/>
    <cellStyle name="Normal 4 4 2 2 2 7 2 3" xfId="17093" xr:uid="{00000000-0005-0000-0000-000040370000}"/>
    <cellStyle name="Normal 4 4 2 2 2 7 2 3 2" xfId="41669" xr:uid="{00000000-0005-0000-0000-000041370000}"/>
    <cellStyle name="Normal 4 4 2 2 2 7 2 4" xfId="29381" xr:uid="{00000000-0005-0000-0000-000042370000}"/>
    <cellStyle name="Normal 4 4 2 2 2 7 3" xfId="7877" xr:uid="{00000000-0005-0000-0000-000043370000}"/>
    <cellStyle name="Normal 4 4 2 2 2 7 3 2" xfId="20165" xr:uid="{00000000-0005-0000-0000-000044370000}"/>
    <cellStyle name="Normal 4 4 2 2 2 7 3 2 2" xfId="44741" xr:uid="{00000000-0005-0000-0000-000045370000}"/>
    <cellStyle name="Normal 4 4 2 2 2 7 3 3" xfId="32453" xr:uid="{00000000-0005-0000-0000-000046370000}"/>
    <cellStyle name="Normal 4 4 2 2 2 7 4" xfId="14021" xr:uid="{00000000-0005-0000-0000-000047370000}"/>
    <cellStyle name="Normal 4 4 2 2 2 7 4 2" xfId="38597" xr:uid="{00000000-0005-0000-0000-000048370000}"/>
    <cellStyle name="Normal 4 4 2 2 2 7 5" xfId="26309" xr:uid="{00000000-0005-0000-0000-000049370000}"/>
    <cellStyle name="Normal 4 4 2 2 2 8" xfId="3269" xr:uid="{00000000-0005-0000-0000-00004A370000}"/>
    <cellStyle name="Normal 4 4 2 2 2 8 2" xfId="9413" xr:uid="{00000000-0005-0000-0000-00004B370000}"/>
    <cellStyle name="Normal 4 4 2 2 2 8 2 2" xfId="21701" xr:uid="{00000000-0005-0000-0000-00004C370000}"/>
    <cellStyle name="Normal 4 4 2 2 2 8 2 2 2" xfId="46277" xr:uid="{00000000-0005-0000-0000-00004D370000}"/>
    <cellStyle name="Normal 4 4 2 2 2 8 2 3" xfId="33989" xr:uid="{00000000-0005-0000-0000-00004E370000}"/>
    <cellStyle name="Normal 4 4 2 2 2 8 3" xfId="15557" xr:uid="{00000000-0005-0000-0000-00004F370000}"/>
    <cellStyle name="Normal 4 4 2 2 2 8 3 2" xfId="40133" xr:uid="{00000000-0005-0000-0000-000050370000}"/>
    <cellStyle name="Normal 4 4 2 2 2 8 4" xfId="27845" xr:uid="{00000000-0005-0000-0000-000051370000}"/>
    <cellStyle name="Normal 4 4 2 2 2 9" xfId="6341" xr:uid="{00000000-0005-0000-0000-000052370000}"/>
    <cellStyle name="Normal 4 4 2 2 2 9 2" xfId="18629" xr:uid="{00000000-0005-0000-0000-000053370000}"/>
    <cellStyle name="Normal 4 4 2 2 2 9 2 2" xfId="43205" xr:uid="{00000000-0005-0000-0000-000054370000}"/>
    <cellStyle name="Normal 4 4 2 2 2 9 3" xfId="30917" xr:uid="{00000000-0005-0000-0000-000055370000}"/>
    <cellStyle name="Normal 4 4 2 2 3" xfId="225" xr:uid="{00000000-0005-0000-0000-000056370000}"/>
    <cellStyle name="Normal 4 4 2 2 3 2" xfId="417" xr:uid="{00000000-0005-0000-0000-000057370000}"/>
    <cellStyle name="Normal 4 4 2 2 3 2 2" xfId="801" xr:uid="{00000000-0005-0000-0000-000058370000}"/>
    <cellStyle name="Normal 4 4 2 2 3 2 2 2" xfId="1569" xr:uid="{00000000-0005-0000-0000-000059370000}"/>
    <cellStyle name="Normal 4 4 2 2 3 2 2 2 2" xfId="3105" xr:uid="{00000000-0005-0000-0000-00005A370000}"/>
    <cellStyle name="Normal 4 4 2 2 3 2 2 2 2 2" xfId="6181" xr:uid="{00000000-0005-0000-0000-00005B370000}"/>
    <cellStyle name="Normal 4 4 2 2 3 2 2 2 2 2 2" xfId="12325" xr:uid="{00000000-0005-0000-0000-00005C370000}"/>
    <cellStyle name="Normal 4 4 2 2 3 2 2 2 2 2 2 2" xfId="24613" xr:uid="{00000000-0005-0000-0000-00005D370000}"/>
    <cellStyle name="Normal 4 4 2 2 3 2 2 2 2 2 2 2 2" xfId="49189" xr:uid="{00000000-0005-0000-0000-00005E370000}"/>
    <cellStyle name="Normal 4 4 2 2 3 2 2 2 2 2 2 3" xfId="36901" xr:uid="{00000000-0005-0000-0000-00005F370000}"/>
    <cellStyle name="Normal 4 4 2 2 3 2 2 2 2 2 3" xfId="18469" xr:uid="{00000000-0005-0000-0000-000060370000}"/>
    <cellStyle name="Normal 4 4 2 2 3 2 2 2 2 2 3 2" xfId="43045" xr:uid="{00000000-0005-0000-0000-000061370000}"/>
    <cellStyle name="Normal 4 4 2 2 3 2 2 2 2 2 4" xfId="30757" xr:uid="{00000000-0005-0000-0000-000062370000}"/>
    <cellStyle name="Normal 4 4 2 2 3 2 2 2 2 3" xfId="9253" xr:uid="{00000000-0005-0000-0000-000063370000}"/>
    <cellStyle name="Normal 4 4 2 2 3 2 2 2 2 3 2" xfId="21541" xr:uid="{00000000-0005-0000-0000-000064370000}"/>
    <cellStyle name="Normal 4 4 2 2 3 2 2 2 2 3 2 2" xfId="46117" xr:uid="{00000000-0005-0000-0000-000065370000}"/>
    <cellStyle name="Normal 4 4 2 2 3 2 2 2 2 3 3" xfId="33829" xr:uid="{00000000-0005-0000-0000-000066370000}"/>
    <cellStyle name="Normal 4 4 2 2 3 2 2 2 2 4" xfId="15397" xr:uid="{00000000-0005-0000-0000-000067370000}"/>
    <cellStyle name="Normal 4 4 2 2 3 2 2 2 2 4 2" xfId="39973" xr:uid="{00000000-0005-0000-0000-000068370000}"/>
    <cellStyle name="Normal 4 4 2 2 3 2 2 2 2 5" xfId="27685" xr:uid="{00000000-0005-0000-0000-000069370000}"/>
    <cellStyle name="Normal 4 4 2 2 3 2 2 2 3" xfId="4645" xr:uid="{00000000-0005-0000-0000-00006A370000}"/>
    <cellStyle name="Normal 4 4 2 2 3 2 2 2 3 2" xfId="10789" xr:uid="{00000000-0005-0000-0000-00006B370000}"/>
    <cellStyle name="Normal 4 4 2 2 3 2 2 2 3 2 2" xfId="23077" xr:uid="{00000000-0005-0000-0000-00006C370000}"/>
    <cellStyle name="Normal 4 4 2 2 3 2 2 2 3 2 2 2" xfId="47653" xr:uid="{00000000-0005-0000-0000-00006D370000}"/>
    <cellStyle name="Normal 4 4 2 2 3 2 2 2 3 2 3" xfId="35365" xr:uid="{00000000-0005-0000-0000-00006E370000}"/>
    <cellStyle name="Normal 4 4 2 2 3 2 2 2 3 3" xfId="16933" xr:uid="{00000000-0005-0000-0000-00006F370000}"/>
    <cellStyle name="Normal 4 4 2 2 3 2 2 2 3 3 2" xfId="41509" xr:uid="{00000000-0005-0000-0000-000070370000}"/>
    <cellStyle name="Normal 4 4 2 2 3 2 2 2 3 4" xfId="29221" xr:uid="{00000000-0005-0000-0000-000071370000}"/>
    <cellStyle name="Normal 4 4 2 2 3 2 2 2 4" xfId="7717" xr:uid="{00000000-0005-0000-0000-000072370000}"/>
    <cellStyle name="Normal 4 4 2 2 3 2 2 2 4 2" xfId="20005" xr:uid="{00000000-0005-0000-0000-000073370000}"/>
    <cellStyle name="Normal 4 4 2 2 3 2 2 2 4 2 2" xfId="44581" xr:uid="{00000000-0005-0000-0000-000074370000}"/>
    <cellStyle name="Normal 4 4 2 2 3 2 2 2 4 3" xfId="32293" xr:uid="{00000000-0005-0000-0000-000075370000}"/>
    <cellStyle name="Normal 4 4 2 2 3 2 2 2 5" xfId="13861" xr:uid="{00000000-0005-0000-0000-000076370000}"/>
    <cellStyle name="Normal 4 4 2 2 3 2 2 2 5 2" xfId="38437" xr:uid="{00000000-0005-0000-0000-000077370000}"/>
    <cellStyle name="Normal 4 4 2 2 3 2 2 2 6" xfId="26149" xr:uid="{00000000-0005-0000-0000-000078370000}"/>
    <cellStyle name="Normal 4 4 2 2 3 2 2 3" xfId="2337" xr:uid="{00000000-0005-0000-0000-000079370000}"/>
    <cellStyle name="Normal 4 4 2 2 3 2 2 3 2" xfId="5413" xr:uid="{00000000-0005-0000-0000-00007A370000}"/>
    <cellStyle name="Normal 4 4 2 2 3 2 2 3 2 2" xfId="11557" xr:uid="{00000000-0005-0000-0000-00007B370000}"/>
    <cellStyle name="Normal 4 4 2 2 3 2 2 3 2 2 2" xfId="23845" xr:uid="{00000000-0005-0000-0000-00007C370000}"/>
    <cellStyle name="Normal 4 4 2 2 3 2 2 3 2 2 2 2" xfId="48421" xr:uid="{00000000-0005-0000-0000-00007D370000}"/>
    <cellStyle name="Normal 4 4 2 2 3 2 2 3 2 2 3" xfId="36133" xr:uid="{00000000-0005-0000-0000-00007E370000}"/>
    <cellStyle name="Normal 4 4 2 2 3 2 2 3 2 3" xfId="17701" xr:uid="{00000000-0005-0000-0000-00007F370000}"/>
    <cellStyle name="Normal 4 4 2 2 3 2 2 3 2 3 2" xfId="42277" xr:uid="{00000000-0005-0000-0000-000080370000}"/>
    <cellStyle name="Normal 4 4 2 2 3 2 2 3 2 4" xfId="29989" xr:uid="{00000000-0005-0000-0000-000081370000}"/>
    <cellStyle name="Normal 4 4 2 2 3 2 2 3 3" xfId="8485" xr:uid="{00000000-0005-0000-0000-000082370000}"/>
    <cellStyle name="Normal 4 4 2 2 3 2 2 3 3 2" xfId="20773" xr:uid="{00000000-0005-0000-0000-000083370000}"/>
    <cellStyle name="Normal 4 4 2 2 3 2 2 3 3 2 2" xfId="45349" xr:uid="{00000000-0005-0000-0000-000084370000}"/>
    <cellStyle name="Normal 4 4 2 2 3 2 2 3 3 3" xfId="33061" xr:uid="{00000000-0005-0000-0000-000085370000}"/>
    <cellStyle name="Normal 4 4 2 2 3 2 2 3 4" xfId="14629" xr:uid="{00000000-0005-0000-0000-000086370000}"/>
    <cellStyle name="Normal 4 4 2 2 3 2 2 3 4 2" xfId="39205" xr:uid="{00000000-0005-0000-0000-000087370000}"/>
    <cellStyle name="Normal 4 4 2 2 3 2 2 3 5" xfId="26917" xr:uid="{00000000-0005-0000-0000-000088370000}"/>
    <cellStyle name="Normal 4 4 2 2 3 2 2 4" xfId="3877" xr:uid="{00000000-0005-0000-0000-000089370000}"/>
    <cellStyle name="Normal 4 4 2 2 3 2 2 4 2" xfId="10021" xr:uid="{00000000-0005-0000-0000-00008A370000}"/>
    <cellStyle name="Normal 4 4 2 2 3 2 2 4 2 2" xfId="22309" xr:uid="{00000000-0005-0000-0000-00008B370000}"/>
    <cellStyle name="Normal 4 4 2 2 3 2 2 4 2 2 2" xfId="46885" xr:uid="{00000000-0005-0000-0000-00008C370000}"/>
    <cellStyle name="Normal 4 4 2 2 3 2 2 4 2 3" xfId="34597" xr:uid="{00000000-0005-0000-0000-00008D370000}"/>
    <cellStyle name="Normal 4 4 2 2 3 2 2 4 3" xfId="16165" xr:uid="{00000000-0005-0000-0000-00008E370000}"/>
    <cellStyle name="Normal 4 4 2 2 3 2 2 4 3 2" xfId="40741" xr:uid="{00000000-0005-0000-0000-00008F370000}"/>
    <cellStyle name="Normal 4 4 2 2 3 2 2 4 4" xfId="28453" xr:uid="{00000000-0005-0000-0000-000090370000}"/>
    <cellStyle name="Normal 4 4 2 2 3 2 2 5" xfId="6949" xr:uid="{00000000-0005-0000-0000-000091370000}"/>
    <cellStyle name="Normal 4 4 2 2 3 2 2 5 2" xfId="19237" xr:uid="{00000000-0005-0000-0000-000092370000}"/>
    <cellStyle name="Normal 4 4 2 2 3 2 2 5 2 2" xfId="43813" xr:uid="{00000000-0005-0000-0000-000093370000}"/>
    <cellStyle name="Normal 4 4 2 2 3 2 2 5 3" xfId="31525" xr:uid="{00000000-0005-0000-0000-000094370000}"/>
    <cellStyle name="Normal 4 4 2 2 3 2 2 6" xfId="13093" xr:uid="{00000000-0005-0000-0000-000095370000}"/>
    <cellStyle name="Normal 4 4 2 2 3 2 2 6 2" xfId="37669" xr:uid="{00000000-0005-0000-0000-000096370000}"/>
    <cellStyle name="Normal 4 4 2 2 3 2 2 7" xfId="25381" xr:uid="{00000000-0005-0000-0000-000097370000}"/>
    <cellStyle name="Normal 4 4 2 2 3 2 3" xfId="1185" xr:uid="{00000000-0005-0000-0000-000098370000}"/>
    <cellStyle name="Normal 4 4 2 2 3 2 3 2" xfId="2721" xr:uid="{00000000-0005-0000-0000-000099370000}"/>
    <cellStyle name="Normal 4 4 2 2 3 2 3 2 2" xfId="5797" xr:uid="{00000000-0005-0000-0000-00009A370000}"/>
    <cellStyle name="Normal 4 4 2 2 3 2 3 2 2 2" xfId="11941" xr:uid="{00000000-0005-0000-0000-00009B370000}"/>
    <cellStyle name="Normal 4 4 2 2 3 2 3 2 2 2 2" xfId="24229" xr:uid="{00000000-0005-0000-0000-00009C370000}"/>
    <cellStyle name="Normal 4 4 2 2 3 2 3 2 2 2 2 2" xfId="48805" xr:uid="{00000000-0005-0000-0000-00009D370000}"/>
    <cellStyle name="Normal 4 4 2 2 3 2 3 2 2 2 3" xfId="36517" xr:uid="{00000000-0005-0000-0000-00009E370000}"/>
    <cellStyle name="Normal 4 4 2 2 3 2 3 2 2 3" xfId="18085" xr:uid="{00000000-0005-0000-0000-00009F370000}"/>
    <cellStyle name="Normal 4 4 2 2 3 2 3 2 2 3 2" xfId="42661" xr:uid="{00000000-0005-0000-0000-0000A0370000}"/>
    <cellStyle name="Normal 4 4 2 2 3 2 3 2 2 4" xfId="30373" xr:uid="{00000000-0005-0000-0000-0000A1370000}"/>
    <cellStyle name="Normal 4 4 2 2 3 2 3 2 3" xfId="8869" xr:uid="{00000000-0005-0000-0000-0000A2370000}"/>
    <cellStyle name="Normal 4 4 2 2 3 2 3 2 3 2" xfId="21157" xr:uid="{00000000-0005-0000-0000-0000A3370000}"/>
    <cellStyle name="Normal 4 4 2 2 3 2 3 2 3 2 2" xfId="45733" xr:uid="{00000000-0005-0000-0000-0000A4370000}"/>
    <cellStyle name="Normal 4 4 2 2 3 2 3 2 3 3" xfId="33445" xr:uid="{00000000-0005-0000-0000-0000A5370000}"/>
    <cellStyle name="Normal 4 4 2 2 3 2 3 2 4" xfId="15013" xr:uid="{00000000-0005-0000-0000-0000A6370000}"/>
    <cellStyle name="Normal 4 4 2 2 3 2 3 2 4 2" xfId="39589" xr:uid="{00000000-0005-0000-0000-0000A7370000}"/>
    <cellStyle name="Normal 4 4 2 2 3 2 3 2 5" xfId="27301" xr:uid="{00000000-0005-0000-0000-0000A8370000}"/>
    <cellStyle name="Normal 4 4 2 2 3 2 3 3" xfId="4261" xr:uid="{00000000-0005-0000-0000-0000A9370000}"/>
    <cellStyle name="Normal 4 4 2 2 3 2 3 3 2" xfId="10405" xr:uid="{00000000-0005-0000-0000-0000AA370000}"/>
    <cellStyle name="Normal 4 4 2 2 3 2 3 3 2 2" xfId="22693" xr:uid="{00000000-0005-0000-0000-0000AB370000}"/>
    <cellStyle name="Normal 4 4 2 2 3 2 3 3 2 2 2" xfId="47269" xr:uid="{00000000-0005-0000-0000-0000AC370000}"/>
    <cellStyle name="Normal 4 4 2 2 3 2 3 3 2 3" xfId="34981" xr:uid="{00000000-0005-0000-0000-0000AD370000}"/>
    <cellStyle name="Normal 4 4 2 2 3 2 3 3 3" xfId="16549" xr:uid="{00000000-0005-0000-0000-0000AE370000}"/>
    <cellStyle name="Normal 4 4 2 2 3 2 3 3 3 2" xfId="41125" xr:uid="{00000000-0005-0000-0000-0000AF370000}"/>
    <cellStyle name="Normal 4 4 2 2 3 2 3 3 4" xfId="28837" xr:uid="{00000000-0005-0000-0000-0000B0370000}"/>
    <cellStyle name="Normal 4 4 2 2 3 2 3 4" xfId="7333" xr:uid="{00000000-0005-0000-0000-0000B1370000}"/>
    <cellStyle name="Normal 4 4 2 2 3 2 3 4 2" xfId="19621" xr:uid="{00000000-0005-0000-0000-0000B2370000}"/>
    <cellStyle name="Normal 4 4 2 2 3 2 3 4 2 2" xfId="44197" xr:uid="{00000000-0005-0000-0000-0000B3370000}"/>
    <cellStyle name="Normal 4 4 2 2 3 2 3 4 3" xfId="31909" xr:uid="{00000000-0005-0000-0000-0000B4370000}"/>
    <cellStyle name="Normal 4 4 2 2 3 2 3 5" xfId="13477" xr:uid="{00000000-0005-0000-0000-0000B5370000}"/>
    <cellStyle name="Normal 4 4 2 2 3 2 3 5 2" xfId="38053" xr:uid="{00000000-0005-0000-0000-0000B6370000}"/>
    <cellStyle name="Normal 4 4 2 2 3 2 3 6" xfId="25765" xr:uid="{00000000-0005-0000-0000-0000B7370000}"/>
    <cellStyle name="Normal 4 4 2 2 3 2 4" xfId="1953" xr:uid="{00000000-0005-0000-0000-0000B8370000}"/>
    <cellStyle name="Normal 4 4 2 2 3 2 4 2" xfId="5029" xr:uid="{00000000-0005-0000-0000-0000B9370000}"/>
    <cellStyle name="Normal 4 4 2 2 3 2 4 2 2" xfId="11173" xr:uid="{00000000-0005-0000-0000-0000BA370000}"/>
    <cellStyle name="Normal 4 4 2 2 3 2 4 2 2 2" xfId="23461" xr:uid="{00000000-0005-0000-0000-0000BB370000}"/>
    <cellStyle name="Normal 4 4 2 2 3 2 4 2 2 2 2" xfId="48037" xr:uid="{00000000-0005-0000-0000-0000BC370000}"/>
    <cellStyle name="Normal 4 4 2 2 3 2 4 2 2 3" xfId="35749" xr:uid="{00000000-0005-0000-0000-0000BD370000}"/>
    <cellStyle name="Normal 4 4 2 2 3 2 4 2 3" xfId="17317" xr:uid="{00000000-0005-0000-0000-0000BE370000}"/>
    <cellStyle name="Normal 4 4 2 2 3 2 4 2 3 2" xfId="41893" xr:uid="{00000000-0005-0000-0000-0000BF370000}"/>
    <cellStyle name="Normal 4 4 2 2 3 2 4 2 4" xfId="29605" xr:uid="{00000000-0005-0000-0000-0000C0370000}"/>
    <cellStyle name="Normal 4 4 2 2 3 2 4 3" xfId="8101" xr:uid="{00000000-0005-0000-0000-0000C1370000}"/>
    <cellStyle name="Normal 4 4 2 2 3 2 4 3 2" xfId="20389" xr:uid="{00000000-0005-0000-0000-0000C2370000}"/>
    <cellStyle name="Normal 4 4 2 2 3 2 4 3 2 2" xfId="44965" xr:uid="{00000000-0005-0000-0000-0000C3370000}"/>
    <cellStyle name="Normal 4 4 2 2 3 2 4 3 3" xfId="32677" xr:uid="{00000000-0005-0000-0000-0000C4370000}"/>
    <cellStyle name="Normal 4 4 2 2 3 2 4 4" xfId="14245" xr:uid="{00000000-0005-0000-0000-0000C5370000}"/>
    <cellStyle name="Normal 4 4 2 2 3 2 4 4 2" xfId="38821" xr:uid="{00000000-0005-0000-0000-0000C6370000}"/>
    <cellStyle name="Normal 4 4 2 2 3 2 4 5" xfId="26533" xr:uid="{00000000-0005-0000-0000-0000C7370000}"/>
    <cellStyle name="Normal 4 4 2 2 3 2 5" xfId="3493" xr:uid="{00000000-0005-0000-0000-0000C8370000}"/>
    <cellStyle name="Normal 4 4 2 2 3 2 5 2" xfId="9637" xr:uid="{00000000-0005-0000-0000-0000C9370000}"/>
    <cellStyle name="Normal 4 4 2 2 3 2 5 2 2" xfId="21925" xr:uid="{00000000-0005-0000-0000-0000CA370000}"/>
    <cellStyle name="Normal 4 4 2 2 3 2 5 2 2 2" xfId="46501" xr:uid="{00000000-0005-0000-0000-0000CB370000}"/>
    <cellStyle name="Normal 4 4 2 2 3 2 5 2 3" xfId="34213" xr:uid="{00000000-0005-0000-0000-0000CC370000}"/>
    <cellStyle name="Normal 4 4 2 2 3 2 5 3" xfId="15781" xr:uid="{00000000-0005-0000-0000-0000CD370000}"/>
    <cellStyle name="Normal 4 4 2 2 3 2 5 3 2" xfId="40357" xr:uid="{00000000-0005-0000-0000-0000CE370000}"/>
    <cellStyle name="Normal 4 4 2 2 3 2 5 4" xfId="28069" xr:uid="{00000000-0005-0000-0000-0000CF370000}"/>
    <cellStyle name="Normal 4 4 2 2 3 2 6" xfId="6565" xr:uid="{00000000-0005-0000-0000-0000D0370000}"/>
    <cellStyle name="Normal 4 4 2 2 3 2 6 2" xfId="18853" xr:uid="{00000000-0005-0000-0000-0000D1370000}"/>
    <cellStyle name="Normal 4 4 2 2 3 2 6 2 2" xfId="43429" xr:uid="{00000000-0005-0000-0000-0000D2370000}"/>
    <cellStyle name="Normal 4 4 2 2 3 2 6 3" xfId="31141" xr:uid="{00000000-0005-0000-0000-0000D3370000}"/>
    <cellStyle name="Normal 4 4 2 2 3 2 7" xfId="12709" xr:uid="{00000000-0005-0000-0000-0000D4370000}"/>
    <cellStyle name="Normal 4 4 2 2 3 2 7 2" xfId="37285" xr:uid="{00000000-0005-0000-0000-0000D5370000}"/>
    <cellStyle name="Normal 4 4 2 2 3 2 8" xfId="24997" xr:uid="{00000000-0005-0000-0000-0000D6370000}"/>
    <cellStyle name="Normal 4 4 2 2 3 3" xfId="609" xr:uid="{00000000-0005-0000-0000-0000D7370000}"/>
    <cellStyle name="Normal 4 4 2 2 3 3 2" xfId="1377" xr:uid="{00000000-0005-0000-0000-0000D8370000}"/>
    <cellStyle name="Normal 4 4 2 2 3 3 2 2" xfId="2913" xr:uid="{00000000-0005-0000-0000-0000D9370000}"/>
    <cellStyle name="Normal 4 4 2 2 3 3 2 2 2" xfId="5989" xr:uid="{00000000-0005-0000-0000-0000DA370000}"/>
    <cellStyle name="Normal 4 4 2 2 3 3 2 2 2 2" xfId="12133" xr:uid="{00000000-0005-0000-0000-0000DB370000}"/>
    <cellStyle name="Normal 4 4 2 2 3 3 2 2 2 2 2" xfId="24421" xr:uid="{00000000-0005-0000-0000-0000DC370000}"/>
    <cellStyle name="Normal 4 4 2 2 3 3 2 2 2 2 2 2" xfId="48997" xr:uid="{00000000-0005-0000-0000-0000DD370000}"/>
    <cellStyle name="Normal 4 4 2 2 3 3 2 2 2 2 3" xfId="36709" xr:uid="{00000000-0005-0000-0000-0000DE370000}"/>
    <cellStyle name="Normal 4 4 2 2 3 3 2 2 2 3" xfId="18277" xr:uid="{00000000-0005-0000-0000-0000DF370000}"/>
    <cellStyle name="Normal 4 4 2 2 3 3 2 2 2 3 2" xfId="42853" xr:uid="{00000000-0005-0000-0000-0000E0370000}"/>
    <cellStyle name="Normal 4 4 2 2 3 3 2 2 2 4" xfId="30565" xr:uid="{00000000-0005-0000-0000-0000E1370000}"/>
    <cellStyle name="Normal 4 4 2 2 3 3 2 2 3" xfId="9061" xr:uid="{00000000-0005-0000-0000-0000E2370000}"/>
    <cellStyle name="Normal 4 4 2 2 3 3 2 2 3 2" xfId="21349" xr:uid="{00000000-0005-0000-0000-0000E3370000}"/>
    <cellStyle name="Normal 4 4 2 2 3 3 2 2 3 2 2" xfId="45925" xr:uid="{00000000-0005-0000-0000-0000E4370000}"/>
    <cellStyle name="Normal 4 4 2 2 3 3 2 2 3 3" xfId="33637" xr:uid="{00000000-0005-0000-0000-0000E5370000}"/>
    <cellStyle name="Normal 4 4 2 2 3 3 2 2 4" xfId="15205" xr:uid="{00000000-0005-0000-0000-0000E6370000}"/>
    <cellStyle name="Normal 4 4 2 2 3 3 2 2 4 2" xfId="39781" xr:uid="{00000000-0005-0000-0000-0000E7370000}"/>
    <cellStyle name="Normal 4 4 2 2 3 3 2 2 5" xfId="27493" xr:uid="{00000000-0005-0000-0000-0000E8370000}"/>
    <cellStyle name="Normal 4 4 2 2 3 3 2 3" xfId="4453" xr:uid="{00000000-0005-0000-0000-0000E9370000}"/>
    <cellStyle name="Normal 4 4 2 2 3 3 2 3 2" xfId="10597" xr:uid="{00000000-0005-0000-0000-0000EA370000}"/>
    <cellStyle name="Normal 4 4 2 2 3 3 2 3 2 2" xfId="22885" xr:uid="{00000000-0005-0000-0000-0000EB370000}"/>
    <cellStyle name="Normal 4 4 2 2 3 3 2 3 2 2 2" xfId="47461" xr:uid="{00000000-0005-0000-0000-0000EC370000}"/>
    <cellStyle name="Normal 4 4 2 2 3 3 2 3 2 3" xfId="35173" xr:uid="{00000000-0005-0000-0000-0000ED370000}"/>
    <cellStyle name="Normal 4 4 2 2 3 3 2 3 3" xfId="16741" xr:uid="{00000000-0005-0000-0000-0000EE370000}"/>
    <cellStyle name="Normal 4 4 2 2 3 3 2 3 3 2" xfId="41317" xr:uid="{00000000-0005-0000-0000-0000EF370000}"/>
    <cellStyle name="Normal 4 4 2 2 3 3 2 3 4" xfId="29029" xr:uid="{00000000-0005-0000-0000-0000F0370000}"/>
    <cellStyle name="Normal 4 4 2 2 3 3 2 4" xfId="7525" xr:uid="{00000000-0005-0000-0000-0000F1370000}"/>
    <cellStyle name="Normal 4 4 2 2 3 3 2 4 2" xfId="19813" xr:uid="{00000000-0005-0000-0000-0000F2370000}"/>
    <cellStyle name="Normal 4 4 2 2 3 3 2 4 2 2" xfId="44389" xr:uid="{00000000-0005-0000-0000-0000F3370000}"/>
    <cellStyle name="Normal 4 4 2 2 3 3 2 4 3" xfId="32101" xr:uid="{00000000-0005-0000-0000-0000F4370000}"/>
    <cellStyle name="Normal 4 4 2 2 3 3 2 5" xfId="13669" xr:uid="{00000000-0005-0000-0000-0000F5370000}"/>
    <cellStyle name="Normal 4 4 2 2 3 3 2 5 2" xfId="38245" xr:uid="{00000000-0005-0000-0000-0000F6370000}"/>
    <cellStyle name="Normal 4 4 2 2 3 3 2 6" xfId="25957" xr:uid="{00000000-0005-0000-0000-0000F7370000}"/>
    <cellStyle name="Normal 4 4 2 2 3 3 3" xfId="2145" xr:uid="{00000000-0005-0000-0000-0000F8370000}"/>
    <cellStyle name="Normal 4 4 2 2 3 3 3 2" xfId="5221" xr:uid="{00000000-0005-0000-0000-0000F9370000}"/>
    <cellStyle name="Normal 4 4 2 2 3 3 3 2 2" xfId="11365" xr:uid="{00000000-0005-0000-0000-0000FA370000}"/>
    <cellStyle name="Normal 4 4 2 2 3 3 3 2 2 2" xfId="23653" xr:uid="{00000000-0005-0000-0000-0000FB370000}"/>
    <cellStyle name="Normal 4 4 2 2 3 3 3 2 2 2 2" xfId="48229" xr:uid="{00000000-0005-0000-0000-0000FC370000}"/>
    <cellStyle name="Normal 4 4 2 2 3 3 3 2 2 3" xfId="35941" xr:uid="{00000000-0005-0000-0000-0000FD370000}"/>
    <cellStyle name="Normal 4 4 2 2 3 3 3 2 3" xfId="17509" xr:uid="{00000000-0005-0000-0000-0000FE370000}"/>
    <cellStyle name="Normal 4 4 2 2 3 3 3 2 3 2" xfId="42085" xr:uid="{00000000-0005-0000-0000-0000FF370000}"/>
    <cellStyle name="Normal 4 4 2 2 3 3 3 2 4" xfId="29797" xr:uid="{00000000-0005-0000-0000-000000380000}"/>
    <cellStyle name="Normal 4 4 2 2 3 3 3 3" xfId="8293" xr:uid="{00000000-0005-0000-0000-000001380000}"/>
    <cellStyle name="Normal 4 4 2 2 3 3 3 3 2" xfId="20581" xr:uid="{00000000-0005-0000-0000-000002380000}"/>
    <cellStyle name="Normal 4 4 2 2 3 3 3 3 2 2" xfId="45157" xr:uid="{00000000-0005-0000-0000-000003380000}"/>
    <cellStyle name="Normal 4 4 2 2 3 3 3 3 3" xfId="32869" xr:uid="{00000000-0005-0000-0000-000004380000}"/>
    <cellStyle name="Normal 4 4 2 2 3 3 3 4" xfId="14437" xr:uid="{00000000-0005-0000-0000-000005380000}"/>
    <cellStyle name="Normal 4 4 2 2 3 3 3 4 2" xfId="39013" xr:uid="{00000000-0005-0000-0000-000006380000}"/>
    <cellStyle name="Normal 4 4 2 2 3 3 3 5" xfId="26725" xr:uid="{00000000-0005-0000-0000-000007380000}"/>
    <cellStyle name="Normal 4 4 2 2 3 3 4" xfId="3685" xr:uid="{00000000-0005-0000-0000-000008380000}"/>
    <cellStyle name="Normal 4 4 2 2 3 3 4 2" xfId="9829" xr:uid="{00000000-0005-0000-0000-000009380000}"/>
    <cellStyle name="Normal 4 4 2 2 3 3 4 2 2" xfId="22117" xr:uid="{00000000-0005-0000-0000-00000A380000}"/>
    <cellStyle name="Normal 4 4 2 2 3 3 4 2 2 2" xfId="46693" xr:uid="{00000000-0005-0000-0000-00000B380000}"/>
    <cellStyle name="Normal 4 4 2 2 3 3 4 2 3" xfId="34405" xr:uid="{00000000-0005-0000-0000-00000C380000}"/>
    <cellStyle name="Normal 4 4 2 2 3 3 4 3" xfId="15973" xr:uid="{00000000-0005-0000-0000-00000D380000}"/>
    <cellStyle name="Normal 4 4 2 2 3 3 4 3 2" xfId="40549" xr:uid="{00000000-0005-0000-0000-00000E380000}"/>
    <cellStyle name="Normal 4 4 2 2 3 3 4 4" xfId="28261" xr:uid="{00000000-0005-0000-0000-00000F380000}"/>
    <cellStyle name="Normal 4 4 2 2 3 3 5" xfId="6757" xr:uid="{00000000-0005-0000-0000-000010380000}"/>
    <cellStyle name="Normal 4 4 2 2 3 3 5 2" xfId="19045" xr:uid="{00000000-0005-0000-0000-000011380000}"/>
    <cellStyle name="Normal 4 4 2 2 3 3 5 2 2" xfId="43621" xr:uid="{00000000-0005-0000-0000-000012380000}"/>
    <cellStyle name="Normal 4 4 2 2 3 3 5 3" xfId="31333" xr:uid="{00000000-0005-0000-0000-000013380000}"/>
    <cellStyle name="Normal 4 4 2 2 3 3 6" xfId="12901" xr:uid="{00000000-0005-0000-0000-000014380000}"/>
    <cellStyle name="Normal 4 4 2 2 3 3 6 2" xfId="37477" xr:uid="{00000000-0005-0000-0000-000015380000}"/>
    <cellStyle name="Normal 4 4 2 2 3 3 7" xfId="25189" xr:uid="{00000000-0005-0000-0000-000016380000}"/>
    <cellStyle name="Normal 4 4 2 2 3 4" xfId="993" xr:uid="{00000000-0005-0000-0000-000017380000}"/>
    <cellStyle name="Normal 4 4 2 2 3 4 2" xfId="2529" xr:uid="{00000000-0005-0000-0000-000018380000}"/>
    <cellStyle name="Normal 4 4 2 2 3 4 2 2" xfId="5605" xr:uid="{00000000-0005-0000-0000-000019380000}"/>
    <cellStyle name="Normal 4 4 2 2 3 4 2 2 2" xfId="11749" xr:uid="{00000000-0005-0000-0000-00001A380000}"/>
    <cellStyle name="Normal 4 4 2 2 3 4 2 2 2 2" xfId="24037" xr:uid="{00000000-0005-0000-0000-00001B380000}"/>
    <cellStyle name="Normal 4 4 2 2 3 4 2 2 2 2 2" xfId="48613" xr:uid="{00000000-0005-0000-0000-00001C380000}"/>
    <cellStyle name="Normal 4 4 2 2 3 4 2 2 2 3" xfId="36325" xr:uid="{00000000-0005-0000-0000-00001D380000}"/>
    <cellStyle name="Normal 4 4 2 2 3 4 2 2 3" xfId="17893" xr:uid="{00000000-0005-0000-0000-00001E380000}"/>
    <cellStyle name="Normal 4 4 2 2 3 4 2 2 3 2" xfId="42469" xr:uid="{00000000-0005-0000-0000-00001F380000}"/>
    <cellStyle name="Normal 4 4 2 2 3 4 2 2 4" xfId="30181" xr:uid="{00000000-0005-0000-0000-000020380000}"/>
    <cellStyle name="Normal 4 4 2 2 3 4 2 3" xfId="8677" xr:uid="{00000000-0005-0000-0000-000021380000}"/>
    <cellStyle name="Normal 4 4 2 2 3 4 2 3 2" xfId="20965" xr:uid="{00000000-0005-0000-0000-000022380000}"/>
    <cellStyle name="Normal 4 4 2 2 3 4 2 3 2 2" xfId="45541" xr:uid="{00000000-0005-0000-0000-000023380000}"/>
    <cellStyle name="Normal 4 4 2 2 3 4 2 3 3" xfId="33253" xr:uid="{00000000-0005-0000-0000-000024380000}"/>
    <cellStyle name="Normal 4 4 2 2 3 4 2 4" xfId="14821" xr:uid="{00000000-0005-0000-0000-000025380000}"/>
    <cellStyle name="Normal 4 4 2 2 3 4 2 4 2" xfId="39397" xr:uid="{00000000-0005-0000-0000-000026380000}"/>
    <cellStyle name="Normal 4 4 2 2 3 4 2 5" xfId="27109" xr:uid="{00000000-0005-0000-0000-000027380000}"/>
    <cellStyle name="Normal 4 4 2 2 3 4 3" xfId="4069" xr:uid="{00000000-0005-0000-0000-000028380000}"/>
    <cellStyle name="Normal 4 4 2 2 3 4 3 2" xfId="10213" xr:uid="{00000000-0005-0000-0000-000029380000}"/>
    <cellStyle name="Normal 4 4 2 2 3 4 3 2 2" xfId="22501" xr:uid="{00000000-0005-0000-0000-00002A380000}"/>
    <cellStyle name="Normal 4 4 2 2 3 4 3 2 2 2" xfId="47077" xr:uid="{00000000-0005-0000-0000-00002B380000}"/>
    <cellStyle name="Normal 4 4 2 2 3 4 3 2 3" xfId="34789" xr:uid="{00000000-0005-0000-0000-00002C380000}"/>
    <cellStyle name="Normal 4 4 2 2 3 4 3 3" xfId="16357" xr:uid="{00000000-0005-0000-0000-00002D380000}"/>
    <cellStyle name="Normal 4 4 2 2 3 4 3 3 2" xfId="40933" xr:uid="{00000000-0005-0000-0000-00002E380000}"/>
    <cellStyle name="Normal 4 4 2 2 3 4 3 4" xfId="28645" xr:uid="{00000000-0005-0000-0000-00002F380000}"/>
    <cellStyle name="Normal 4 4 2 2 3 4 4" xfId="7141" xr:uid="{00000000-0005-0000-0000-000030380000}"/>
    <cellStyle name="Normal 4 4 2 2 3 4 4 2" xfId="19429" xr:uid="{00000000-0005-0000-0000-000031380000}"/>
    <cellStyle name="Normal 4 4 2 2 3 4 4 2 2" xfId="44005" xr:uid="{00000000-0005-0000-0000-000032380000}"/>
    <cellStyle name="Normal 4 4 2 2 3 4 4 3" xfId="31717" xr:uid="{00000000-0005-0000-0000-000033380000}"/>
    <cellStyle name="Normal 4 4 2 2 3 4 5" xfId="13285" xr:uid="{00000000-0005-0000-0000-000034380000}"/>
    <cellStyle name="Normal 4 4 2 2 3 4 5 2" xfId="37861" xr:uid="{00000000-0005-0000-0000-000035380000}"/>
    <cellStyle name="Normal 4 4 2 2 3 4 6" xfId="25573" xr:uid="{00000000-0005-0000-0000-000036380000}"/>
    <cellStyle name="Normal 4 4 2 2 3 5" xfId="1761" xr:uid="{00000000-0005-0000-0000-000037380000}"/>
    <cellStyle name="Normal 4 4 2 2 3 5 2" xfId="4837" xr:uid="{00000000-0005-0000-0000-000038380000}"/>
    <cellStyle name="Normal 4 4 2 2 3 5 2 2" xfId="10981" xr:uid="{00000000-0005-0000-0000-000039380000}"/>
    <cellStyle name="Normal 4 4 2 2 3 5 2 2 2" xfId="23269" xr:uid="{00000000-0005-0000-0000-00003A380000}"/>
    <cellStyle name="Normal 4 4 2 2 3 5 2 2 2 2" xfId="47845" xr:uid="{00000000-0005-0000-0000-00003B380000}"/>
    <cellStyle name="Normal 4 4 2 2 3 5 2 2 3" xfId="35557" xr:uid="{00000000-0005-0000-0000-00003C380000}"/>
    <cellStyle name="Normal 4 4 2 2 3 5 2 3" xfId="17125" xr:uid="{00000000-0005-0000-0000-00003D380000}"/>
    <cellStyle name="Normal 4 4 2 2 3 5 2 3 2" xfId="41701" xr:uid="{00000000-0005-0000-0000-00003E380000}"/>
    <cellStyle name="Normal 4 4 2 2 3 5 2 4" xfId="29413" xr:uid="{00000000-0005-0000-0000-00003F380000}"/>
    <cellStyle name="Normal 4 4 2 2 3 5 3" xfId="7909" xr:uid="{00000000-0005-0000-0000-000040380000}"/>
    <cellStyle name="Normal 4 4 2 2 3 5 3 2" xfId="20197" xr:uid="{00000000-0005-0000-0000-000041380000}"/>
    <cellStyle name="Normal 4 4 2 2 3 5 3 2 2" xfId="44773" xr:uid="{00000000-0005-0000-0000-000042380000}"/>
    <cellStyle name="Normal 4 4 2 2 3 5 3 3" xfId="32485" xr:uid="{00000000-0005-0000-0000-000043380000}"/>
    <cellStyle name="Normal 4 4 2 2 3 5 4" xfId="14053" xr:uid="{00000000-0005-0000-0000-000044380000}"/>
    <cellStyle name="Normal 4 4 2 2 3 5 4 2" xfId="38629" xr:uid="{00000000-0005-0000-0000-000045380000}"/>
    <cellStyle name="Normal 4 4 2 2 3 5 5" xfId="26341" xr:uid="{00000000-0005-0000-0000-000046380000}"/>
    <cellStyle name="Normal 4 4 2 2 3 6" xfId="3301" xr:uid="{00000000-0005-0000-0000-000047380000}"/>
    <cellStyle name="Normal 4 4 2 2 3 6 2" xfId="9445" xr:uid="{00000000-0005-0000-0000-000048380000}"/>
    <cellStyle name="Normal 4 4 2 2 3 6 2 2" xfId="21733" xr:uid="{00000000-0005-0000-0000-000049380000}"/>
    <cellStyle name="Normal 4 4 2 2 3 6 2 2 2" xfId="46309" xr:uid="{00000000-0005-0000-0000-00004A380000}"/>
    <cellStyle name="Normal 4 4 2 2 3 6 2 3" xfId="34021" xr:uid="{00000000-0005-0000-0000-00004B380000}"/>
    <cellStyle name="Normal 4 4 2 2 3 6 3" xfId="15589" xr:uid="{00000000-0005-0000-0000-00004C380000}"/>
    <cellStyle name="Normal 4 4 2 2 3 6 3 2" xfId="40165" xr:uid="{00000000-0005-0000-0000-00004D380000}"/>
    <cellStyle name="Normal 4 4 2 2 3 6 4" xfId="27877" xr:uid="{00000000-0005-0000-0000-00004E380000}"/>
    <cellStyle name="Normal 4 4 2 2 3 7" xfId="6373" xr:uid="{00000000-0005-0000-0000-00004F380000}"/>
    <cellStyle name="Normal 4 4 2 2 3 7 2" xfId="18661" xr:uid="{00000000-0005-0000-0000-000050380000}"/>
    <cellStyle name="Normal 4 4 2 2 3 7 2 2" xfId="43237" xr:uid="{00000000-0005-0000-0000-000051380000}"/>
    <cellStyle name="Normal 4 4 2 2 3 7 3" xfId="30949" xr:uid="{00000000-0005-0000-0000-000052380000}"/>
    <cellStyle name="Normal 4 4 2 2 3 8" xfId="12517" xr:uid="{00000000-0005-0000-0000-000053380000}"/>
    <cellStyle name="Normal 4 4 2 2 3 8 2" xfId="37093" xr:uid="{00000000-0005-0000-0000-000054380000}"/>
    <cellStyle name="Normal 4 4 2 2 3 9" xfId="24805" xr:uid="{00000000-0005-0000-0000-000055380000}"/>
    <cellStyle name="Normal 4 4 2 2 4" xfId="289" xr:uid="{00000000-0005-0000-0000-000056380000}"/>
    <cellStyle name="Normal 4 4 2 2 4 2" xfId="481" xr:uid="{00000000-0005-0000-0000-000057380000}"/>
    <cellStyle name="Normal 4 4 2 2 4 2 2" xfId="865" xr:uid="{00000000-0005-0000-0000-000058380000}"/>
    <cellStyle name="Normal 4 4 2 2 4 2 2 2" xfId="1633" xr:uid="{00000000-0005-0000-0000-000059380000}"/>
    <cellStyle name="Normal 4 4 2 2 4 2 2 2 2" xfId="3169" xr:uid="{00000000-0005-0000-0000-00005A380000}"/>
    <cellStyle name="Normal 4 4 2 2 4 2 2 2 2 2" xfId="6245" xr:uid="{00000000-0005-0000-0000-00005B380000}"/>
    <cellStyle name="Normal 4 4 2 2 4 2 2 2 2 2 2" xfId="12389" xr:uid="{00000000-0005-0000-0000-00005C380000}"/>
    <cellStyle name="Normal 4 4 2 2 4 2 2 2 2 2 2 2" xfId="24677" xr:uid="{00000000-0005-0000-0000-00005D380000}"/>
    <cellStyle name="Normal 4 4 2 2 4 2 2 2 2 2 2 2 2" xfId="49253" xr:uid="{00000000-0005-0000-0000-00005E380000}"/>
    <cellStyle name="Normal 4 4 2 2 4 2 2 2 2 2 2 3" xfId="36965" xr:uid="{00000000-0005-0000-0000-00005F380000}"/>
    <cellStyle name="Normal 4 4 2 2 4 2 2 2 2 2 3" xfId="18533" xr:uid="{00000000-0005-0000-0000-000060380000}"/>
    <cellStyle name="Normal 4 4 2 2 4 2 2 2 2 2 3 2" xfId="43109" xr:uid="{00000000-0005-0000-0000-000061380000}"/>
    <cellStyle name="Normal 4 4 2 2 4 2 2 2 2 2 4" xfId="30821" xr:uid="{00000000-0005-0000-0000-000062380000}"/>
    <cellStyle name="Normal 4 4 2 2 4 2 2 2 2 3" xfId="9317" xr:uid="{00000000-0005-0000-0000-000063380000}"/>
    <cellStyle name="Normal 4 4 2 2 4 2 2 2 2 3 2" xfId="21605" xr:uid="{00000000-0005-0000-0000-000064380000}"/>
    <cellStyle name="Normal 4 4 2 2 4 2 2 2 2 3 2 2" xfId="46181" xr:uid="{00000000-0005-0000-0000-000065380000}"/>
    <cellStyle name="Normal 4 4 2 2 4 2 2 2 2 3 3" xfId="33893" xr:uid="{00000000-0005-0000-0000-000066380000}"/>
    <cellStyle name="Normal 4 4 2 2 4 2 2 2 2 4" xfId="15461" xr:uid="{00000000-0005-0000-0000-000067380000}"/>
    <cellStyle name="Normal 4 4 2 2 4 2 2 2 2 4 2" xfId="40037" xr:uid="{00000000-0005-0000-0000-000068380000}"/>
    <cellStyle name="Normal 4 4 2 2 4 2 2 2 2 5" xfId="27749" xr:uid="{00000000-0005-0000-0000-000069380000}"/>
    <cellStyle name="Normal 4 4 2 2 4 2 2 2 3" xfId="4709" xr:uid="{00000000-0005-0000-0000-00006A380000}"/>
    <cellStyle name="Normal 4 4 2 2 4 2 2 2 3 2" xfId="10853" xr:uid="{00000000-0005-0000-0000-00006B380000}"/>
    <cellStyle name="Normal 4 4 2 2 4 2 2 2 3 2 2" xfId="23141" xr:uid="{00000000-0005-0000-0000-00006C380000}"/>
    <cellStyle name="Normal 4 4 2 2 4 2 2 2 3 2 2 2" xfId="47717" xr:uid="{00000000-0005-0000-0000-00006D380000}"/>
    <cellStyle name="Normal 4 4 2 2 4 2 2 2 3 2 3" xfId="35429" xr:uid="{00000000-0005-0000-0000-00006E380000}"/>
    <cellStyle name="Normal 4 4 2 2 4 2 2 2 3 3" xfId="16997" xr:uid="{00000000-0005-0000-0000-00006F380000}"/>
    <cellStyle name="Normal 4 4 2 2 4 2 2 2 3 3 2" xfId="41573" xr:uid="{00000000-0005-0000-0000-000070380000}"/>
    <cellStyle name="Normal 4 4 2 2 4 2 2 2 3 4" xfId="29285" xr:uid="{00000000-0005-0000-0000-000071380000}"/>
    <cellStyle name="Normal 4 4 2 2 4 2 2 2 4" xfId="7781" xr:uid="{00000000-0005-0000-0000-000072380000}"/>
    <cellStyle name="Normal 4 4 2 2 4 2 2 2 4 2" xfId="20069" xr:uid="{00000000-0005-0000-0000-000073380000}"/>
    <cellStyle name="Normal 4 4 2 2 4 2 2 2 4 2 2" xfId="44645" xr:uid="{00000000-0005-0000-0000-000074380000}"/>
    <cellStyle name="Normal 4 4 2 2 4 2 2 2 4 3" xfId="32357" xr:uid="{00000000-0005-0000-0000-000075380000}"/>
    <cellStyle name="Normal 4 4 2 2 4 2 2 2 5" xfId="13925" xr:uid="{00000000-0005-0000-0000-000076380000}"/>
    <cellStyle name="Normal 4 4 2 2 4 2 2 2 5 2" xfId="38501" xr:uid="{00000000-0005-0000-0000-000077380000}"/>
    <cellStyle name="Normal 4 4 2 2 4 2 2 2 6" xfId="26213" xr:uid="{00000000-0005-0000-0000-000078380000}"/>
    <cellStyle name="Normal 4 4 2 2 4 2 2 3" xfId="2401" xr:uid="{00000000-0005-0000-0000-000079380000}"/>
    <cellStyle name="Normal 4 4 2 2 4 2 2 3 2" xfId="5477" xr:uid="{00000000-0005-0000-0000-00007A380000}"/>
    <cellStyle name="Normal 4 4 2 2 4 2 2 3 2 2" xfId="11621" xr:uid="{00000000-0005-0000-0000-00007B380000}"/>
    <cellStyle name="Normal 4 4 2 2 4 2 2 3 2 2 2" xfId="23909" xr:uid="{00000000-0005-0000-0000-00007C380000}"/>
    <cellStyle name="Normal 4 4 2 2 4 2 2 3 2 2 2 2" xfId="48485" xr:uid="{00000000-0005-0000-0000-00007D380000}"/>
    <cellStyle name="Normal 4 4 2 2 4 2 2 3 2 2 3" xfId="36197" xr:uid="{00000000-0005-0000-0000-00007E380000}"/>
    <cellStyle name="Normal 4 4 2 2 4 2 2 3 2 3" xfId="17765" xr:uid="{00000000-0005-0000-0000-00007F380000}"/>
    <cellStyle name="Normal 4 4 2 2 4 2 2 3 2 3 2" xfId="42341" xr:uid="{00000000-0005-0000-0000-000080380000}"/>
    <cellStyle name="Normal 4 4 2 2 4 2 2 3 2 4" xfId="30053" xr:uid="{00000000-0005-0000-0000-000081380000}"/>
    <cellStyle name="Normal 4 4 2 2 4 2 2 3 3" xfId="8549" xr:uid="{00000000-0005-0000-0000-000082380000}"/>
    <cellStyle name="Normal 4 4 2 2 4 2 2 3 3 2" xfId="20837" xr:uid="{00000000-0005-0000-0000-000083380000}"/>
    <cellStyle name="Normal 4 4 2 2 4 2 2 3 3 2 2" xfId="45413" xr:uid="{00000000-0005-0000-0000-000084380000}"/>
    <cellStyle name="Normal 4 4 2 2 4 2 2 3 3 3" xfId="33125" xr:uid="{00000000-0005-0000-0000-000085380000}"/>
    <cellStyle name="Normal 4 4 2 2 4 2 2 3 4" xfId="14693" xr:uid="{00000000-0005-0000-0000-000086380000}"/>
    <cellStyle name="Normal 4 4 2 2 4 2 2 3 4 2" xfId="39269" xr:uid="{00000000-0005-0000-0000-000087380000}"/>
    <cellStyle name="Normal 4 4 2 2 4 2 2 3 5" xfId="26981" xr:uid="{00000000-0005-0000-0000-000088380000}"/>
    <cellStyle name="Normal 4 4 2 2 4 2 2 4" xfId="3941" xr:uid="{00000000-0005-0000-0000-000089380000}"/>
    <cellStyle name="Normal 4 4 2 2 4 2 2 4 2" xfId="10085" xr:uid="{00000000-0005-0000-0000-00008A380000}"/>
    <cellStyle name="Normal 4 4 2 2 4 2 2 4 2 2" xfId="22373" xr:uid="{00000000-0005-0000-0000-00008B380000}"/>
    <cellStyle name="Normal 4 4 2 2 4 2 2 4 2 2 2" xfId="46949" xr:uid="{00000000-0005-0000-0000-00008C380000}"/>
    <cellStyle name="Normal 4 4 2 2 4 2 2 4 2 3" xfId="34661" xr:uid="{00000000-0005-0000-0000-00008D380000}"/>
    <cellStyle name="Normal 4 4 2 2 4 2 2 4 3" xfId="16229" xr:uid="{00000000-0005-0000-0000-00008E380000}"/>
    <cellStyle name="Normal 4 4 2 2 4 2 2 4 3 2" xfId="40805" xr:uid="{00000000-0005-0000-0000-00008F380000}"/>
    <cellStyle name="Normal 4 4 2 2 4 2 2 4 4" xfId="28517" xr:uid="{00000000-0005-0000-0000-000090380000}"/>
    <cellStyle name="Normal 4 4 2 2 4 2 2 5" xfId="7013" xr:uid="{00000000-0005-0000-0000-000091380000}"/>
    <cellStyle name="Normal 4 4 2 2 4 2 2 5 2" xfId="19301" xr:uid="{00000000-0005-0000-0000-000092380000}"/>
    <cellStyle name="Normal 4 4 2 2 4 2 2 5 2 2" xfId="43877" xr:uid="{00000000-0005-0000-0000-000093380000}"/>
    <cellStyle name="Normal 4 4 2 2 4 2 2 5 3" xfId="31589" xr:uid="{00000000-0005-0000-0000-000094380000}"/>
    <cellStyle name="Normal 4 4 2 2 4 2 2 6" xfId="13157" xr:uid="{00000000-0005-0000-0000-000095380000}"/>
    <cellStyle name="Normal 4 4 2 2 4 2 2 6 2" xfId="37733" xr:uid="{00000000-0005-0000-0000-000096380000}"/>
    <cellStyle name="Normal 4 4 2 2 4 2 2 7" xfId="25445" xr:uid="{00000000-0005-0000-0000-000097380000}"/>
    <cellStyle name="Normal 4 4 2 2 4 2 3" xfId="1249" xr:uid="{00000000-0005-0000-0000-000098380000}"/>
    <cellStyle name="Normal 4 4 2 2 4 2 3 2" xfId="2785" xr:uid="{00000000-0005-0000-0000-000099380000}"/>
    <cellStyle name="Normal 4 4 2 2 4 2 3 2 2" xfId="5861" xr:uid="{00000000-0005-0000-0000-00009A380000}"/>
    <cellStyle name="Normal 4 4 2 2 4 2 3 2 2 2" xfId="12005" xr:uid="{00000000-0005-0000-0000-00009B380000}"/>
    <cellStyle name="Normal 4 4 2 2 4 2 3 2 2 2 2" xfId="24293" xr:uid="{00000000-0005-0000-0000-00009C380000}"/>
    <cellStyle name="Normal 4 4 2 2 4 2 3 2 2 2 2 2" xfId="48869" xr:uid="{00000000-0005-0000-0000-00009D380000}"/>
    <cellStyle name="Normal 4 4 2 2 4 2 3 2 2 2 3" xfId="36581" xr:uid="{00000000-0005-0000-0000-00009E380000}"/>
    <cellStyle name="Normal 4 4 2 2 4 2 3 2 2 3" xfId="18149" xr:uid="{00000000-0005-0000-0000-00009F380000}"/>
    <cellStyle name="Normal 4 4 2 2 4 2 3 2 2 3 2" xfId="42725" xr:uid="{00000000-0005-0000-0000-0000A0380000}"/>
    <cellStyle name="Normal 4 4 2 2 4 2 3 2 2 4" xfId="30437" xr:uid="{00000000-0005-0000-0000-0000A1380000}"/>
    <cellStyle name="Normal 4 4 2 2 4 2 3 2 3" xfId="8933" xr:uid="{00000000-0005-0000-0000-0000A2380000}"/>
    <cellStyle name="Normal 4 4 2 2 4 2 3 2 3 2" xfId="21221" xr:uid="{00000000-0005-0000-0000-0000A3380000}"/>
    <cellStyle name="Normal 4 4 2 2 4 2 3 2 3 2 2" xfId="45797" xr:uid="{00000000-0005-0000-0000-0000A4380000}"/>
    <cellStyle name="Normal 4 4 2 2 4 2 3 2 3 3" xfId="33509" xr:uid="{00000000-0005-0000-0000-0000A5380000}"/>
    <cellStyle name="Normal 4 4 2 2 4 2 3 2 4" xfId="15077" xr:uid="{00000000-0005-0000-0000-0000A6380000}"/>
    <cellStyle name="Normal 4 4 2 2 4 2 3 2 4 2" xfId="39653" xr:uid="{00000000-0005-0000-0000-0000A7380000}"/>
    <cellStyle name="Normal 4 4 2 2 4 2 3 2 5" xfId="27365" xr:uid="{00000000-0005-0000-0000-0000A8380000}"/>
    <cellStyle name="Normal 4 4 2 2 4 2 3 3" xfId="4325" xr:uid="{00000000-0005-0000-0000-0000A9380000}"/>
    <cellStyle name="Normal 4 4 2 2 4 2 3 3 2" xfId="10469" xr:uid="{00000000-0005-0000-0000-0000AA380000}"/>
    <cellStyle name="Normal 4 4 2 2 4 2 3 3 2 2" xfId="22757" xr:uid="{00000000-0005-0000-0000-0000AB380000}"/>
    <cellStyle name="Normal 4 4 2 2 4 2 3 3 2 2 2" xfId="47333" xr:uid="{00000000-0005-0000-0000-0000AC380000}"/>
    <cellStyle name="Normal 4 4 2 2 4 2 3 3 2 3" xfId="35045" xr:uid="{00000000-0005-0000-0000-0000AD380000}"/>
    <cellStyle name="Normal 4 4 2 2 4 2 3 3 3" xfId="16613" xr:uid="{00000000-0005-0000-0000-0000AE380000}"/>
    <cellStyle name="Normal 4 4 2 2 4 2 3 3 3 2" xfId="41189" xr:uid="{00000000-0005-0000-0000-0000AF380000}"/>
    <cellStyle name="Normal 4 4 2 2 4 2 3 3 4" xfId="28901" xr:uid="{00000000-0005-0000-0000-0000B0380000}"/>
    <cellStyle name="Normal 4 4 2 2 4 2 3 4" xfId="7397" xr:uid="{00000000-0005-0000-0000-0000B1380000}"/>
    <cellStyle name="Normal 4 4 2 2 4 2 3 4 2" xfId="19685" xr:uid="{00000000-0005-0000-0000-0000B2380000}"/>
    <cellStyle name="Normal 4 4 2 2 4 2 3 4 2 2" xfId="44261" xr:uid="{00000000-0005-0000-0000-0000B3380000}"/>
    <cellStyle name="Normal 4 4 2 2 4 2 3 4 3" xfId="31973" xr:uid="{00000000-0005-0000-0000-0000B4380000}"/>
    <cellStyle name="Normal 4 4 2 2 4 2 3 5" xfId="13541" xr:uid="{00000000-0005-0000-0000-0000B5380000}"/>
    <cellStyle name="Normal 4 4 2 2 4 2 3 5 2" xfId="38117" xr:uid="{00000000-0005-0000-0000-0000B6380000}"/>
    <cellStyle name="Normal 4 4 2 2 4 2 3 6" xfId="25829" xr:uid="{00000000-0005-0000-0000-0000B7380000}"/>
    <cellStyle name="Normal 4 4 2 2 4 2 4" xfId="2017" xr:uid="{00000000-0005-0000-0000-0000B8380000}"/>
    <cellStyle name="Normal 4 4 2 2 4 2 4 2" xfId="5093" xr:uid="{00000000-0005-0000-0000-0000B9380000}"/>
    <cellStyle name="Normal 4 4 2 2 4 2 4 2 2" xfId="11237" xr:uid="{00000000-0005-0000-0000-0000BA380000}"/>
    <cellStyle name="Normal 4 4 2 2 4 2 4 2 2 2" xfId="23525" xr:uid="{00000000-0005-0000-0000-0000BB380000}"/>
    <cellStyle name="Normal 4 4 2 2 4 2 4 2 2 2 2" xfId="48101" xr:uid="{00000000-0005-0000-0000-0000BC380000}"/>
    <cellStyle name="Normal 4 4 2 2 4 2 4 2 2 3" xfId="35813" xr:uid="{00000000-0005-0000-0000-0000BD380000}"/>
    <cellStyle name="Normal 4 4 2 2 4 2 4 2 3" xfId="17381" xr:uid="{00000000-0005-0000-0000-0000BE380000}"/>
    <cellStyle name="Normal 4 4 2 2 4 2 4 2 3 2" xfId="41957" xr:uid="{00000000-0005-0000-0000-0000BF380000}"/>
    <cellStyle name="Normal 4 4 2 2 4 2 4 2 4" xfId="29669" xr:uid="{00000000-0005-0000-0000-0000C0380000}"/>
    <cellStyle name="Normal 4 4 2 2 4 2 4 3" xfId="8165" xr:uid="{00000000-0005-0000-0000-0000C1380000}"/>
    <cellStyle name="Normal 4 4 2 2 4 2 4 3 2" xfId="20453" xr:uid="{00000000-0005-0000-0000-0000C2380000}"/>
    <cellStyle name="Normal 4 4 2 2 4 2 4 3 2 2" xfId="45029" xr:uid="{00000000-0005-0000-0000-0000C3380000}"/>
    <cellStyle name="Normal 4 4 2 2 4 2 4 3 3" xfId="32741" xr:uid="{00000000-0005-0000-0000-0000C4380000}"/>
    <cellStyle name="Normal 4 4 2 2 4 2 4 4" xfId="14309" xr:uid="{00000000-0005-0000-0000-0000C5380000}"/>
    <cellStyle name="Normal 4 4 2 2 4 2 4 4 2" xfId="38885" xr:uid="{00000000-0005-0000-0000-0000C6380000}"/>
    <cellStyle name="Normal 4 4 2 2 4 2 4 5" xfId="26597" xr:uid="{00000000-0005-0000-0000-0000C7380000}"/>
    <cellStyle name="Normal 4 4 2 2 4 2 5" xfId="3557" xr:uid="{00000000-0005-0000-0000-0000C8380000}"/>
    <cellStyle name="Normal 4 4 2 2 4 2 5 2" xfId="9701" xr:uid="{00000000-0005-0000-0000-0000C9380000}"/>
    <cellStyle name="Normal 4 4 2 2 4 2 5 2 2" xfId="21989" xr:uid="{00000000-0005-0000-0000-0000CA380000}"/>
    <cellStyle name="Normal 4 4 2 2 4 2 5 2 2 2" xfId="46565" xr:uid="{00000000-0005-0000-0000-0000CB380000}"/>
    <cellStyle name="Normal 4 4 2 2 4 2 5 2 3" xfId="34277" xr:uid="{00000000-0005-0000-0000-0000CC380000}"/>
    <cellStyle name="Normal 4 4 2 2 4 2 5 3" xfId="15845" xr:uid="{00000000-0005-0000-0000-0000CD380000}"/>
    <cellStyle name="Normal 4 4 2 2 4 2 5 3 2" xfId="40421" xr:uid="{00000000-0005-0000-0000-0000CE380000}"/>
    <cellStyle name="Normal 4 4 2 2 4 2 5 4" xfId="28133" xr:uid="{00000000-0005-0000-0000-0000CF380000}"/>
    <cellStyle name="Normal 4 4 2 2 4 2 6" xfId="6629" xr:uid="{00000000-0005-0000-0000-0000D0380000}"/>
    <cellStyle name="Normal 4 4 2 2 4 2 6 2" xfId="18917" xr:uid="{00000000-0005-0000-0000-0000D1380000}"/>
    <cellStyle name="Normal 4 4 2 2 4 2 6 2 2" xfId="43493" xr:uid="{00000000-0005-0000-0000-0000D2380000}"/>
    <cellStyle name="Normal 4 4 2 2 4 2 6 3" xfId="31205" xr:uid="{00000000-0005-0000-0000-0000D3380000}"/>
    <cellStyle name="Normal 4 4 2 2 4 2 7" xfId="12773" xr:uid="{00000000-0005-0000-0000-0000D4380000}"/>
    <cellStyle name="Normal 4 4 2 2 4 2 7 2" xfId="37349" xr:uid="{00000000-0005-0000-0000-0000D5380000}"/>
    <cellStyle name="Normal 4 4 2 2 4 2 8" xfId="25061" xr:uid="{00000000-0005-0000-0000-0000D6380000}"/>
    <cellStyle name="Normal 4 4 2 2 4 3" xfId="673" xr:uid="{00000000-0005-0000-0000-0000D7380000}"/>
    <cellStyle name="Normal 4 4 2 2 4 3 2" xfId="1441" xr:uid="{00000000-0005-0000-0000-0000D8380000}"/>
    <cellStyle name="Normal 4 4 2 2 4 3 2 2" xfId="2977" xr:uid="{00000000-0005-0000-0000-0000D9380000}"/>
    <cellStyle name="Normal 4 4 2 2 4 3 2 2 2" xfId="6053" xr:uid="{00000000-0005-0000-0000-0000DA380000}"/>
    <cellStyle name="Normal 4 4 2 2 4 3 2 2 2 2" xfId="12197" xr:uid="{00000000-0005-0000-0000-0000DB380000}"/>
    <cellStyle name="Normal 4 4 2 2 4 3 2 2 2 2 2" xfId="24485" xr:uid="{00000000-0005-0000-0000-0000DC380000}"/>
    <cellStyle name="Normal 4 4 2 2 4 3 2 2 2 2 2 2" xfId="49061" xr:uid="{00000000-0005-0000-0000-0000DD380000}"/>
    <cellStyle name="Normal 4 4 2 2 4 3 2 2 2 2 3" xfId="36773" xr:uid="{00000000-0005-0000-0000-0000DE380000}"/>
    <cellStyle name="Normal 4 4 2 2 4 3 2 2 2 3" xfId="18341" xr:uid="{00000000-0005-0000-0000-0000DF380000}"/>
    <cellStyle name="Normal 4 4 2 2 4 3 2 2 2 3 2" xfId="42917" xr:uid="{00000000-0005-0000-0000-0000E0380000}"/>
    <cellStyle name="Normal 4 4 2 2 4 3 2 2 2 4" xfId="30629" xr:uid="{00000000-0005-0000-0000-0000E1380000}"/>
    <cellStyle name="Normal 4 4 2 2 4 3 2 2 3" xfId="9125" xr:uid="{00000000-0005-0000-0000-0000E2380000}"/>
    <cellStyle name="Normal 4 4 2 2 4 3 2 2 3 2" xfId="21413" xr:uid="{00000000-0005-0000-0000-0000E3380000}"/>
    <cellStyle name="Normal 4 4 2 2 4 3 2 2 3 2 2" xfId="45989" xr:uid="{00000000-0005-0000-0000-0000E4380000}"/>
    <cellStyle name="Normal 4 4 2 2 4 3 2 2 3 3" xfId="33701" xr:uid="{00000000-0005-0000-0000-0000E5380000}"/>
    <cellStyle name="Normal 4 4 2 2 4 3 2 2 4" xfId="15269" xr:uid="{00000000-0005-0000-0000-0000E6380000}"/>
    <cellStyle name="Normal 4 4 2 2 4 3 2 2 4 2" xfId="39845" xr:uid="{00000000-0005-0000-0000-0000E7380000}"/>
    <cellStyle name="Normal 4 4 2 2 4 3 2 2 5" xfId="27557" xr:uid="{00000000-0005-0000-0000-0000E8380000}"/>
    <cellStyle name="Normal 4 4 2 2 4 3 2 3" xfId="4517" xr:uid="{00000000-0005-0000-0000-0000E9380000}"/>
    <cellStyle name="Normal 4 4 2 2 4 3 2 3 2" xfId="10661" xr:uid="{00000000-0005-0000-0000-0000EA380000}"/>
    <cellStyle name="Normal 4 4 2 2 4 3 2 3 2 2" xfId="22949" xr:uid="{00000000-0005-0000-0000-0000EB380000}"/>
    <cellStyle name="Normal 4 4 2 2 4 3 2 3 2 2 2" xfId="47525" xr:uid="{00000000-0005-0000-0000-0000EC380000}"/>
    <cellStyle name="Normal 4 4 2 2 4 3 2 3 2 3" xfId="35237" xr:uid="{00000000-0005-0000-0000-0000ED380000}"/>
    <cellStyle name="Normal 4 4 2 2 4 3 2 3 3" xfId="16805" xr:uid="{00000000-0005-0000-0000-0000EE380000}"/>
    <cellStyle name="Normal 4 4 2 2 4 3 2 3 3 2" xfId="41381" xr:uid="{00000000-0005-0000-0000-0000EF380000}"/>
    <cellStyle name="Normal 4 4 2 2 4 3 2 3 4" xfId="29093" xr:uid="{00000000-0005-0000-0000-0000F0380000}"/>
    <cellStyle name="Normal 4 4 2 2 4 3 2 4" xfId="7589" xr:uid="{00000000-0005-0000-0000-0000F1380000}"/>
    <cellStyle name="Normal 4 4 2 2 4 3 2 4 2" xfId="19877" xr:uid="{00000000-0005-0000-0000-0000F2380000}"/>
    <cellStyle name="Normal 4 4 2 2 4 3 2 4 2 2" xfId="44453" xr:uid="{00000000-0005-0000-0000-0000F3380000}"/>
    <cellStyle name="Normal 4 4 2 2 4 3 2 4 3" xfId="32165" xr:uid="{00000000-0005-0000-0000-0000F4380000}"/>
    <cellStyle name="Normal 4 4 2 2 4 3 2 5" xfId="13733" xr:uid="{00000000-0005-0000-0000-0000F5380000}"/>
    <cellStyle name="Normal 4 4 2 2 4 3 2 5 2" xfId="38309" xr:uid="{00000000-0005-0000-0000-0000F6380000}"/>
    <cellStyle name="Normal 4 4 2 2 4 3 2 6" xfId="26021" xr:uid="{00000000-0005-0000-0000-0000F7380000}"/>
    <cellStyle name="Normal 4 4 2 2 4 3 3" xfId="2209" xr:uid="{00000000-0005-0000-0000-0000F8380000}"/>
    <cellStyle name="Normal 4 4 2 2 4 3 3 2" xfId="5285" xr:uid="{00000000-0005-0000-0000-0000F9380000}"/>
    <cellStyle name="Normal 4 4 2 2 4 3 3 2 2" xfId="11429" xr:uid="{00000000-0005-0000-0000-0000FA380000}"/>
    <cellStyle name="Normal 4 4 2 2 4 3 3 2 2 2" xfId="23717" xr:uid="{00000000-0005-0000-0000-0000FB380000}"/>
    <cellStyle name="Normal 4 4 2 2 4 3 3 2 2 2 2" xfId="48293" xr:uid="{00000000-0005-0000-0000-0000FC380000}"/>
    <cellStyle name="Normal 4 4 2 2 4 3 3 2 2 3" xfId="36005" xr:uid="{00000000-0005-0000-0000-0000FD380000}"/>
    <cellStyle name="Normal 4 4 2 2 4 3 3 2 3" xfId="17573" xr:uid="{00000000-0005-0000-0000-0000FE380000}"/>
    <cellStyle name="Normal 4 4 2 2 4 3 3 2 3 2" xfId="42149" xr:uid="{00000000-0005-0000-0000-0000FF380000}"/>
    <cellStyle name="Normal 4 4 2 2 4 3 3 2 4" xfId="29861" xr:uid="{00000000-0005-0000-0000-000000390000}"/>
    <cellStyle name="Normal 4 4 2 2 4 3 3 3" xfId="8357" xr:uid="{00000000-0005-0000-0000-000001390000}"/>
    <cellStyle name="Normal 4 4 2 2 4 3 3 3 2" xfId="20645" xr:uid="{00000000-0005-0000-0000-000002390000}"/>
    <cellStyle name="Normal 4 4 2 2 4 3 3 3 2 2" xfId="45221" xr:uid="{00000000-0005-0000-0000-000003390000}"/>
    <cellStyle name="Normal 4 4 2 2 4 3 3 3 3" xfId="32933" xr:uid="{00000000-0005-0000-0000-000004390000}"/>
    <cellStyle name="Normal 4 4 2 2 4 3 3 4" xfId="14501" xr:uid="{00000000-0005-0000-0000-000005390000}"/>
    <cellStyle name="Normal 4 4 2 2 4 3 3 4 2" xfId="39077" xr:uid="{00000000-0005-0000-0000-000006390000}"/>
    <cellStyle name="Normal 4 4 2 2 4 3 3 5" xfId="26789" xr:uid="{00000000-0005-0000-0000-000007390000}"/>
    <cellStyle name="Normal 4 4 2 2 4 3 4" xfId="3749" xr:uid="{00000000-0005-0000-0000-000008390000}"/>
    <cellStyle name="Normal 4 4 2 2 4 3 4 2" xfId="9893" xr:uid="{00000000-0005-0000-0000-000009390000}"/>
    <cellStyle name="Normal 4 4 2 2 4 3 4 2 2" xfId="22181" xr:uid="{00000000-0005-0000-0000-00000A390000}"/>
    <cellStyle name="Normal 4 4 2 2 4 3 4 2 2 2" xfId="46757" xr:uid="{00000000-0005-0000-0000-00000B390000}"/>
    <cellStyle name="Normal 4 4 2 2 4 3 4 2 3" xfId="34469" xr:uid="{00000000-0005-0000-0000-00000C390000}"/>
    <cellStyle name="Normal 4 4 2 2 4 3 4 3" xfId="16037" xr:uid="{00000000-0005-0000-0000-00000D390000}"/>
    <cellStyle name="Normal 4 4 2 2 4 3 4 3 2" xfId="40613" xr:uid="{00000000-0005-0000-0000-00000E390000}"/>
    <cellStyle name="Normal 4 4 2 2 4 3 4 4" xfId="28325" xr:uid="{00000000-0005-0000-0000-00000F390000}"/>
    <cellStyle name="Normal 4 4 2 2 4 3 5" xfId="6821" xr:uid="{00000000-0005-0000-0000-000010390000}"/>
    <cellStyle name="Normal 4 4 2 2 4 3 5 2" xfId="19109" xr:uid="{00000000-0005-0000-0000-000011390000}"/>
    <cellStyle name="Normal 4 4 2 2 4 3 5 2 2" xfId="43685" xr:uid="{00000000-0005-0000-0000-000012390000}"/>
    <cellStyle name="Normal 4 4 2 2 4 3 5 3" xfId="31397" xr:uid="{00000000-0005-0000-0000-000013390000}"/>
    <cellStyle name="Normal 4 4 2 2 4 3 6" xfId="12965" xr:uid="{00000000-0005-0000-0000-000014390000}"/>
    <cellStyle name="Normal 4 4 2 2 4 3 6 2" xfId="37541" xr:uid="{00000000-0005-0000-0000-000015390000}"/>
    <cellStyle name="Normal 4 4 2 2 4 3 7" xfId="25253" xr:uid="{00000000-0005-0000-0000-000016390000}"/>
    <cellStyle name="Normal 4 4 2 2 4 4" xfId="1057" xr:uid="{00000000-0005-0000-0000-000017390000}"/>
    <cellStyle name="Normal 4 4 2 2 4 4 2" xfId="2593" xr:uid="{00000000-0005-0000-0000-000018390000}"/>
    <cellStyle name="Normal 4 4 2 2 4 4 2 2" xfId="5669" xr:uid="{00000000-0005-0000-0000-000019390000}"/>
    <cellStyle name="Normal 4 4 2 2 4 4 2 2 2" xfId="11813" xr:uid="{00000000-0005-0000-0000-00001A390000}"/>
    <cellStyle name="Normal 4 4 2 2 4 4 2 2 2 2" xfId="24101" xr:uid="{00000000-0005-0000-0000-00001B390000}"/>
    <cellStyle name="Normal 4 4 2 2 4 4 2 2 2 2 2" xfId="48677" xr:uid="{00000000-0005-0000-0000-00001C390000}"/>
    <cellStyle name="Normal 4 4 2 2 4 4 2 2 2 3" xfId="36389" xr:uid="{00000000-0005-0000-0000-00001D390000}"/>
    <cellStyle name="Normal 4 4 2 2 4 4 2 2 3" xfId="17957" xr:uid="{00000000-0005-0000-0000-00001E390000}"/>
    <cellStyle name="Normal 4 4 2 2 4 4 2 2 3 2" xfId="42533" xr:uid="{00000000-0005-0000-0000-00001F390000}"/>
    <cellStyle name="Normal 4 4 2 2 4 4 2 2 4" xfId="30245" xr:uid="{00000000-0005-0000-0000-000020390000}"/>
    <cellStyle name="Normal 4 4 2 2 4 4 2 3" xfId="8741" xr:uid="{00000000-0005-0000-0000-000021390000}"/>
    <cellStyle name="Normal 4 4 2 2 4 4 2 3 2" xfId="21029" xr:uid="{00000000-0005-0000-0000-000022390000}"/>
    <cellStyle name="Normal 4 4 2 2 4 4 2 3 2 2" xfId="45605" xr:uid="{00000000-0005-0000-0000-000023390000}"/>
    <cellStyle name="Normal 4 4 2 2 4 4 2 3 3" xfId="33317" xr:uid="{00000000-0005-0000-0000-000024390000}"/>
    <cellStyle name="Normal 4 4 2 2 4 4 2 4" xfId="14885" xr:uid="{00000000-0005-0000-0000-000025390000}"/>
    <cellStyle name="Normal 4 4 2 2 4 4 2 4 2" xfId="39461" xr:uid="{00000000-0005-0000-0000-000026390000}"/>
    <cellStyle name="Normal 4 4 2 2 4 4 2 5" xfId="27173" xr:uid="{00000000-0005-0000-0000-000027390000}"/>
    <cellStyle name="Normal 4 4 2 2 4 4 3" xfId="4133" xr:uid="{00000000-0005-0000-0000-000028390000}"/>
    <cellStyle name="Normal 4 4 2 2 4 4 3 2" xfId="10277" xr:uid="{00000000-0005-0000-0000-000029390000}"/>
    <cellStyle name="Normal 4 4 2 2 4 4 3 2 2" xfId="22565" xr:uid="{00000000-0005-0000-0000-00002A390000}"/>
    <cellStyle name="Normal 4 4 2 2 4 4 3 2 2 2" xfId="47141" xr:uid="{00000000-0005-0000-0000-00002B390000}"/>
    <cellStyle name="Normal 4 4 2 2 4 4 3 2 3" xfId="34853" xr:uid="{00000000-0005-0000-0000-00002C390000}"/>
    <cellStyle name="Normal 4 4 2 2 4 4 3 3" xfId="16421" xr:uid="{00000000-0005-0000-0000-00002D390000}"/>
    <cellStyle name="Normal 4 4 2 2 4 4 3 3 2" xfId="40997" xr:uid="{00000000-0005-0000-0000-00002E390000}"/>
    <cellStyle name="Normal 4 4 2 2 4 4 3 4" xfId="28709" xr:uid="{00000000-0005-0000-0000-00002F390000}"/>
    <cellStyle name="Normal 4 4 2 2 4 4 4" xfId="7205" xr:uid="{00000000-0005-0000-0000-000030390000}"/>
    <cellStyle name="Normal 4 4 2 2 4 4 4 2" xfId="19493" xr:uid="{00000000-0005-0000-0000-000031390000}"/>
    <cellStyle name="Normal 4 4 2 2 4 4 4 2 2" xfId="44069" xr:uid="{00000000-0005-0000-0000-000032390000}"/>
    <cellStyle name="Normal 4 4 2 2 4 4 4 3" xfId="31781" xr:uid="{00000000-0005-0000-0000-000033390000}"/>
    <cellStyle name="Normal 4 4 2 2 4 4 5" xfId="13349" xr:uid="{00000000-0005-0000-0000-000034390000}"/>
    <cellStyle name="Normal 4 4 2 2 4 4 5 2" xfId="37925" xr:uid="{00000000-0005-0000-0000-000035390000}"/>
    <cellStyle name="Normal 4 4 2 2 4 4 6" xfId="25637" xr:uid="{00000000-0005-0000-0000-000036390000}"/>
    <cellStyle name="Normal 4 4 2 2 4 5" xfId="1825" xr:uid="{00000000-0005-0000-0000-000037390000}"/>
    <cellStyle name="Normal 4 4 2 2 4 5 2" xfId="4901" xr:uid="{00000000-0005-0000-0000-000038390000}"/>
    <cellStyle name="Normal 4 4 2 2 4 5 2 2" xfId="11045" xr:uid="{00000000-0005-0000-0000-000039390000}"/>
    <cellStyle name="Normal 4 4 2 2 4 5 2 2 2" xfId="23333" xr:uid="{00000000-0005-0000-0000-00003A390000}"/>
    <cellStyle name="Normal 4 4 2 2 4 5 2 2 2 2" xfId="47909" xr:uid="{00000000-0005-0000-0000-00003B390000}"/>
    <cellStyle name="Normal 4 4 2 2 4 5 2 2 3" xfId="35621" xr:uid="{00000000-0005-0000-0000-00003C390000}"/>
    <cellStyle name="Normal 4 4 2 2 4 5 2 3" xfId="17189" xr:uid="{00000000-0005-0000-0000-00003D390000}"/>
    <cellStyle name="Normal 4 4 2 2 4 5 2 3 2" xfId="41765" xr:uid="{00000000-0005-0000-0000-00003E390000}"/>
    <cellStyle name="Normal 4 4 2 2 4 5 2 4" xfId="29477" xr:uid="{00000000-0005-0000-0000-00003F390000}"/>
    <cellStyle name="Normal 4 4 2 2 4 5 3" xfId="7973" xr:uid="{00000000-0005-0000-0000-000040390000}"/>
    <cellStyle name="Normal 4 4 2 2 4 5 3 2" xfId="20261" xr:uid="{00000000-0005-0000-0000-000041390000}"/>
    <cellStyle name="Normal 4 4 2 2 4 5 3 2 2" xfId="44837" xr:uid="{00000000-0005-0000-0000-000042390000}"/>
    <cellStyle name="Normal 4 4 2 2 4 5 3 3" xfId="32549" xr:uid="{00000000-0005-0000-0000-000043390000}"/>
    <cellStyle name="Normal 4 4 2 2 4 5 4" xfId="14117" xr:uid="{00000000-0005-0000-0000-000044390000}"/>
    <cellStyle name="Normal 4 4 2 2 4 5 4 2" xfId="38693" xr:uid="{00000000-0005-0000-0000-000045390000}"/>
    <cellStyle name="Normal 4 4 2 2 4 5 5" xfId="26405" xr:uid="{00000000-0005-0000-0000-000046390000}"/>
    <cellStyle name="Normal 4 4 2 2 4 6" xfId="3365" xr:uid="{00000000-0005-0000-0000-000047390000}"/>
    <cellStyle name="Normal 4 4 2 2 4 6 2" xfId="9509" xr:uid="{00000000-0005-0000-0000-000048390000}"/>
    <cellStyle name="Normal 4 4 2 2 4 6 2 2" xfId="21797" xr:uid="{00000000-0005-0000-0000-000049390000}"/>
    <cellStyle name="Normal 4 4 2 2 4 6 2 2 2" xfId="46373" xr:uid="{00000000-0005-0000-0000-00004A390000}"/>
    <cellStyle name="Normal 4 4 2 2 4 6 2 3" xfId="34085" xr:uid="{00000000-0005-0000-0000-00004B390000}"/>
    <cellStyle name="Normal 4 4 2 2 4 6 3" xfId="15653" xr:uid="{00000000-0005-0000-0000-00004C390000}"/>
    <cellStyle name="Normal 4 4 2 2 4 6 3 2" xfId="40229" xr:uid="{00000000-0005-0000-0000-00004D390000}"/>
    <cellStyle name="Normal 4 4 2 2 4 6 4" xfId="27941" xr:uid="{00000000-0005-0000-0000-00004E390000}"/>
    <cellStyle name="Normal 4 4 2 2 4 7" xfId="6437" xr:uid="{00000000-0005-0000-0000-00004F390000}"/>
    <cellStyle name="Normal 4 4 2 2 4 7 2" xfId="18725" xr:uid="{00000000-0005-0000-0000-000050390000}"/>
    <cellStyle name="Normal 4 4 2 2 4 7 2 2" xfId="43301" xr:uid="{00000000-0005-0000-0000-000051390000}"/>
    <cellStyle name="Normal 4 4 2 2 4 7 3" xfId="31013" xr:uid="{00000000-0005-0000-0000-000052390000}"/>
    <cellStyle name="Normal 4 4 2 2 4 8" xfId="12581" xr:uid="{00000000-0005-0000-0000-000053390000}"/>
    <cellStyle name="Normal 4 4 2 2 4 8 2" xfId="37157" xr:uid="{00000000-0005-0000-0000-000054390000}"/>
    <cellStyle name="Normal 4 4 2 2 4 9" xfId="24869" xr:uid="{00000000-0005-0000-0000-000055390000}"/>
    <cellStyle name="Normal 4 4 2 2 5" xfId="353" xr:uid="{00000000-0005-0000-0000-000056390000}"/>
    <cellStyle name="Normal 4 4 2 2 5 2" xfId="737" xr:uid="{00000000-0005-0000-0000-000057390000}"/>
    <cellStyle name="Normal 4 4 2 2 5 2 2" xfId="1505" xr:uid="{00000000-0005-0000-0000-000058390000}"/>
    <cellStyle name="Normal 4 4 2 2 5 2 2 2" xfId="3041" xr:uid="{00000000-0005-0000-0000-000059390000}"/>
    <cellStyle name="Normal 4 4 2 2 5 2 2 2 2" xfId="6117" xr:uid="{00000000-0005-0000-0000-00005A390000}"/>
    <cellStyle name="Normal 4 4 2 2 5 2 2 2 2 2" xfId="12261" xr:uid="{00000000-0005-0000-0000-00005B390000}"/>
    <cellStyle name="Normal 4 4 2 2 5 2 2 2 2 2 2" xfId="24549" xr:uid="{00000000-0005-0000-0000-00005C390000}"/>
    <cellStyle name="Normal 4 4 2 2 5 2 2 2 2 2 2 2" xfId="49125" xr:uid="{00000000-0005-0000-0000-00005D390000}"/>
    <cellStyle name="Normal 4 4 2 2 5 2 2 2 2 2 3" xfId="36837" xr:uid="{00000000-0005-0000-0000-00005E390000}"/>
    <cellStyle name="Normal 4 4 2 2 5 2 2 2 2 3" xfId="18405" xr:uid="{00000000-0005-0000-0000-00005F390000}"/>
    <cellStyle name="Normal 4 4 2 2 5 2 2 2 2 3 2" xfId="42981" xr:uid="{00000000-0005-0000-0000-000060390000}"/>
    <cellStyle name="Normal 4 4 2 2 5 2 2 2 2 4" xfId="30693" xr:uid="{00000000-0005-0000-0000-000061390000}"/>
    <cellStyle name="Normal 4 4 2 2 5 2 2 2 3" xfId="9189" xr:uid="{00000000-0005-0000-0000-000062390000}"/>
    <cellStyle name="Normal 4 4 2 2 5 2 2 2 3 2" xfId="21477" xr:uid="{00000000-0005-0000-0000-000063390000}"/>
    <cellStyle name="Normal 4 4 2 2 5 2 2 2 3 2 2" xfId="46053" xr:uid="{00000000-0005-0000-0000-000064390000}"/>
    <cellStyle name="Normal 4 4 2 2 5 2 2 2 3 3" xfId="33765" xr:uid="{00000000-0005-0000-0000-000065390000}"/>
    <cellStyle name="Normal 4 4 2 2 5 2 2 2 4" xfId="15333" xr:uid="{00000000-0005-0000-0000-000066390000}"/>
    <cellStyle name="Normal 4 4 2 2 5 2 2 2 4 2" xfId="39909" xr:uid="{00000000-0005-0000-0000-000067390000}"/>
    <cellStyle name="Normal 4 4 2 2 5 2 2 2 5" xfId="27621" xr:uid="{00000000-0005-0000-0000-000068390000}"/>
    <cellStyle name="Normal 4 4 2 2 5 2 2 3" xfId="4581" xr:uid="{00000000-0005-0000-0000-000069390000}"/>
    <cellStyle name="Normal 4 4 2 2 5 2 2 3 2" xfId="10725" xr:uid="{00000000-0005-0000-0000-00006A390000}"/>
    <cellStyle name="Normal 4 4 2 2 5 2 2 3 2 2" xfId="23013" xr:uid="{00000000-0005-0000-0000-00006B390000}"/>
    <cellStyle name="Normal 4 4 2 2 5 2 2 3 2 2 2" xfId="47589" xr:uid="{00000000-0005-0000-0000-00006C390000}"/>
    <cellStyle name="Normal 4 4 2 2 5 2 2 3 2 3" xfId="35301" xr:uid="{00000000-0005-0000-0000-00006D390000}"/>
    <cellStyle name="Normal 4 4 2 2 5 2 2 3 3" xfId="16869" xr:uid="{00000000-0005-0000-0000-00006E390000}"/>
    <cellStyle name="Normal 4 4 2 2 5 2 2 3 3 2" xfId="41445" xr:uid="{00000000-0005-0000-0000-00006F390000}"/>
    <cellStyle name="Normal 4 4 2 2 5 2 2 3 4" xfId="29157" xr:uid="{00000000-0005-0000-0000-000070390000}"/>
    <cellStyle name="Normal 4 4 2 2 5 2 2 4" xfId="7653" xr:uid="{00000000-0005-0000-0000-000071390000}"/>
    <cellStyle name="Normal 4 4 2 2 5 2 2 4 2" xfId="19941" xr:uid="{00000000-0005-0000-0000-000072390000}"/>
    <cellStyle name="Normal 4 4 2 2 5 2 2 4 2 2" xfId="44517" xr:uid="{00000000-0005-0000-0000-000073390000}"/>
    <cellStyle name="Normal 4 4 2 2 5 2 2 4 3" xfId="32229" xr:uid="{00000000-0005-0000-0000-000074390000}"/>
    <cellStyle name="Normal 4 4 2 2 5 2 2 5" xfId="13797" xr:uid="{00000000-0005-0000-0000-000075390000}"/>
    <cellStyle name="Normal 4 4 2 2 5 2 2 5 2" xfId="38373" xr:uid="{00000000-0005-0000-0000-000076390000}"/>
    <cellStyle name="Normal 4 4 2 2 5 2 2 6" xfId="26085" xr:uid="{00000000-0005-0000-0000-000077390000}"/>
    <cellStyle name="Normal 4 4 2 2 5 2 3" xfId="2273" xr:uid="{00000000-0005-0000-0000-000078390000}"/>
    <cellStyle name="Normal 4 4 2 2 5 2 3 2" xfId="5349" xr:uid="{00000000-0005-0000-0000-000079390000}"/>
    <cellStyle name="Normal 4 4 2 2 5 2 3 2 2" xfId="11493" xr:uid="{00000000-0005-0000-0000-00007A390000}"/>
    <cellStyle name="Normal 4 4 2 2 5 2 3 2 2 2" xfId="23781" xr:uid="{00000000-0005-0000-0000-00007B390000}"/>
    <cellStyle name="Normal 4 4 2 2 5 2 3 2 2 2 2" xfId="48357" xr:uid="{00000000-0005-0000-0000-00007C390000}"/>
    <cellStyle name="Normal 4 4 2 2 5 2 3 2 2 3" xfId="36069" xr:uid="{00000000-0005-0000-0000-00007D390000}"/>
    <cellStyle name="Normal 4 4 2 2 5 2 3 2 3" xfId="17637" xr:uid="{00000000-0005-0000-0000-00007E390000}"/>
    <cellStyle name="Normal 4 4 2 2 5 2 3 2 3 2" xfId="42213" xr:uid="{00000000-0005-0000-0000-00007F390000}"/>
    <cellStyle name="Normal 4 4 2 2 5 2 3 2 4" xfId="29925" xr:uid="{00000000-0005-0000-0000-000080390000}"/>
    <cellStyle name="Normal 4 4 2 2 5 2 3 3" xfId="8421" xr:uid="{00000000-0005-0000-0000-000081390000}"/>
    <cellStyle name="Normal 4 4 2 2 5 2 3 3 2" xfId="20709" xr:uid="{00000000-0005-0000-0000-000082390000}"/>
    <cellStyle name="Normal 4 4 2 2 5 2 3 3 2 2" xfId="45285" xr:uid="{00000000-0005-0000-0000-000083390000}"/>
    <cellStyle name="Normal 4 4 2 2 5 2 3 3 3" xfId="32997" xr:uid="{00000000-0005-0000-0000-000084390000}"/>
    <cellStyle name="Normal 4 4 2 2 5 2 3 4" xfId="14565" xr:uid="{00000000-0005-0000-0000-000085390000}"/>
    <cellStyle name="Normal 4 4 2 2 5 2 3 4 2" xfId="39141" xr:uid="{00000000-0005-0000-0000-000086390000}"/>
    <cellStyle name="Normal 4 4 2 2 5 2 3 5" xfId="26853" xr:uid="{00000000-0005-0000-0000-000087390000}"/>
    <cellStyle name="Normal 4 4 2 2 5 2 4" xfId="3813" xr:uid="{00000000-0005-0000-0000-000088390000}"/>
    <cellStyle name="Normal 4 4 2 2 5 2 4 2" xfId="9957" xr:uid="{00000000-0005-0000-0000-000089390000}"/>
    <cellStyle name="Normal 4 4 2 2 5 2 4 2 2" xfId="22245" xr:uid="{00000000-0005-0000-0000-00008A390000}"/>
    <cellStyle name="Normal 4 4 2 2 5 2 4 2 2 2" xfId="46821" xr:uid="{00000000-0005-0000-0000-00008B390000}"/>
    <cellStyle name="Normal 4 4 2 2 5 2 4 2 3" xfId="34533" xr:uid="{00000000-0005-0000-0000-00008C390000}"/>
    <cellStyle name="Normal 4 4 2 2 5 2 4 3" xfId="16101" xr:uid="{00000000-0005-0000-0000-00008D390000}"/>
    <cellStyle name="Normal 4 4 2 2 5 2 4 3 2" xfId="40677" xr:uid="{00000000-0005-0000-0000-00008E390000}"/>
    <cellStyle name="Normal 4 4 2 2 5 2 4 4" xfId="28389" xr:uid="{00000000-0005-0000-0000-00008F390000}"/>
    <cellStyle name="Normal 4 4 2 2 5 2 5" xfId="6885" xr:uid="{00000000-0005-0000-0000-000090390000}"/>
    <cellStyle name="Normal 4 4 2 2 5 2 5 2" xfId="19173" xr:uid="{00000000-0005-0000-0000-000091390000}"/>
    <cellStyle name="Normal 4 4 2 2 5 2 5 2 2" xfId="43749" xr:uid="{00000000-0005-0000-0000-000092390000}"/>
    <cellStyle name="Normal 4 4 2 2 5 2 5 3" xfId="31461" xr:uid="{00000000-0005-0000-0000-000093390000}"/>
    <cellStyle name="Normal 4 4 2 2 5 2 6" xfId="13029" xr:uid="{00000000-0005-0000-0000-000094390000}"/>
    <cellStyle name="Normal 4 4 2 2 5 2 6 2" xfId="37605" xr:uid="{00000000-0005-0000-0000-000095390000}"/>
    <cellStyle name="Normal 4 4 2 2 5 2 7" xfId="25317" xr:uid="{00000000-0005-0000-0000-000096390000}"/>
    <cellStyle name="Normal 4 4 2 2 5 3" xfId="1121" xr:uid="{00000000-0005-0000-0000-000097390000}"/>
    <cellStyle name="Normal 4 4 2 2 5 3 2" xfId="2657" xr:uid="{00000000-0005-0000-0000-000098390000}"/>
    <cellStyle name="Normal 4 4 2 2 5 3 2 2" xfId="5733" xr:uid="{00000000-0005-0000-0000-000099390000}"/>
    <cellStyle name="Normal 4 4 2 2 5 3 2 2 2" xfId="11877" xr:uid="{00000000-0005-0000-0000-00009A390000}"/>
    <cellStyle name="Normal 4 4 2 2 5 3 2 2 2 2" xfId="24165" xr:uid="{00000000-0005-0000-0000-00009B390000}"/>
    <cellStyle name="Normal 4 4 2 2 5 3 2 2 2 2 2" xfId="48741" xr:uid="{00000000-0005-0000-0000-00009C390000}"/>
    <cellStyle name="Normal 4 4 2 2 5 3 2 2 2 3" xfId="36453" xr:uid="{00000000-0005-0000-0000-00009D390000}"/>
    <cellStyle name="Normal 4 4 2 2 5 3 2 2 3" xfId="18021" xr:uid="{00000000-0005-0000-0000-00009E390000}"/>
    <cellStyle name="Normal 4 4 2 2 5 3 2 2 3 2" xfId="42597" xr:uid="{00000000-0005-0000-0000-00009F390000}"/>
    <cellStyle name="Normal 4 4 2 2 5 3 2 2 4" xfId="30309" xr:uid="{00000000-0005-0000-0000-0000A0390000}"/>
    <cellStyle name="Normal 4 4 2 2 5 3 2 3" xfId="8805" xr:uid="{00000000-0005-0000-0000-0000A1390000}"/>
    <cellStyle name="Normal 4 4 2 2 5 3 2 3 2" xfId="21093" xr:uid="{00000000-0005-0000-0000-0000A2390000}"/>
    <cellStyle name="Normal 4 4 2 2 5 3 2 3 2 2" xfId="45669" xr:uid="{00000000-0005-0000-0000-0000A3390000}"/>
    <cellStyle name="Normal 4 4 2 2 5 3 2 3 3" xfId="33381" xr:uid="{00000000-0005-0000-0000-0000A4390000}"/>
    <cellStyle name="Normal 4 4 2 2 5 3 2 4" xfId="14949" xr:uid="{00000000-0005-0000-0000-0000A5390000}"/>
    <cellStyle name="Normal 4 4 2 2 5 3 2 4 2" xfId="39525" xr:uid="{00000000-0005-0000-0000-0000A6390000}"/>
    <cellStyle name="Normal 4 4 2 2 5 3 2 5" xfId="27237" xr:uid="{00000000-0005-0000-0000-0000A7390000}"/>
    <cellStyle name="Normal 4 4 2 2 5 3 3" xfId="4197" xr:uid="{00000000-0005-0000-0000-0000A8390000}"/>
    <cellStyle name="Normal 4 4 2 2 5 3 3 2" xfId="10341" xr:uid="{00000000-0005-0000-0000-0000A9390000}"/>
    <cellStyle name="Normal 4 4 2 2 5 3 3 2 2" xfId="22629" xr:uid="{00000000-0005-0000-0000-0000AA390000}"/>
    <cellStyle name="Normal 4 4 2 2 5 3 3 2 2 2" xfId="47205" xr:uid="{00000000-0005-0000-0000-0000AB390000}"/>
    <cellStyle name="Normal 4 4 2 2 5 3 3 2 3" xfId="34917" xr:uid="{00000000-0005-0000-0000-0000AC390000}"/>
    <cellStyle name="Normal 4 4 2 2 5 3 3 3" xfId="16485" xr:uid="{00000000-0005-0000-0000-0000AD390000}"/>
    <cellStyle name="Normal 4 4 2 2 5 3 3 3 2" xfId="41061" xr:uid="{00000000-0005-0000-0000-0000AE390000}"/>
    <cellStyle name="Normal 4 4 2 2 5 3 3 4" xfId="28773" xr:uid="{00000000-0005-0000-0000-0000AF390000}"/>
    <cellStyle name="Normal 4 4 2 2 5 3 4" xfId="7269" xr:uid="{00000000-0005-0000-0000-0000B0390000}"/>
    <cellStyle name="Normal 4 4 2 2 5 3 4 2" xfId="19557" xr:uid="{00000000-0005-0000-0000-0000B1390000}"/>
    <cellStyle name="Normal 4 4 2 2 5 3 4 2 2" xfId="44133" xr:uid="{00000000-0005-0000-0000-0000B2390000}"/>
    <cellStyle name="Normal 4 4 2 2 5 3 4 3" xfId="31845" xr:uid="{00000000-0005-0000-0000-0000B3390000}"/>
    <cellStyle name="Normal 4 4 2 2 5 3 5" xfId="13413" xr:uid="{00000000-0005-0000-0000-0000B4390000}"/>
    <cellStyle name="Normal 4 4 2 2 5 3 5 2" xfId="37989" xr:uid="{00000000-0005-0000-0000-0000B5390000}"/>
    <cellStyle name="Normal 4 4 2 2 5 3 6" xfId="25701" xr:uid="{00000000-0005-0000-0000-0000B6390000}"/>
    <cellStyle name="Normal 4 4 2 2 5 4" xfId="1889" xr:uid="{00000000-0005-0000-0000-0000B7390000}"/>
    <cellStyle name="Normal 4 4 2 2 5 4 2" xfId="4965" xr:uid="{00000000-0005-0000-0000-0000B8390000}"/>
    <cellStyle name="Normal 4 4 2 2 5 4 2 2" xfId="11109" xr:uid="{00000000-0005-0000-0000-0000B9390000}"/>
    <cellStyle name="Normal 4 4 2 2 5 4 2 2 2" xfId="23397" xr:uid="{00000000-0005-0000-0000-0000BA390000}"/>
    <cellStyle name="Normal 4 4 2 2 5 4 2 2 2 2" xfId="47973" xr:uid="{00000000-0005-0000-0000-0000BB390000}"/>
    <cellStyle name="Normal 4 4 2 2 5 4 2 2 3" xfId="35685" xr:uid="{00000000-0005-0000-0000-0000BC390000}"/>
    <cellStyle name="Normal 4 4 2 2 5 4 2 3" xfId="17253" xr:uid="{00000000-0005-0000-0000-0000BD390000}"/>
    <cellStyle name="Normal 4 4 2 2 5 4 2 3 2" xfId="41829" xr:uid="{00000000-0005-0000-0000-0000BE390000}"/>
    <cellStyle name="Normal 4 4 2 2 5 4 2 4" xfId="29541" xr:uid="{00000000-0005-0000-0000-0000BF390000}"/>
    <cellStyle name="Normal 4 4 2 2 5 4 3" xfId="8037" xr:uid="{00000000-0005-0000-0000-0000C0390000}"/>
    <cellStyle name="Normal 4 4 2 2 5 4 3 2" xfId="20325" xr:uid="{00000000-0005-0000-0000-0000C1390000}"/>
    <cellStyle name="Normal 4 4 2 2 5 4 3 2 2" xfId="44901" xr:uid="{00000000-0005-0000-0000-0000C2390000}"/>
    <cellStyle name="Normal 4 4 2 2 5 4 3 3" xfId="32613" xr:uid="{00000000-0005-0000-0000-0000C3390000}"/>
    <cellStyle name="Normal 4 4 2 2 5 4 4" xfId="14181" xr:uid="{00000000-0005-0000-0000-0000C4390000}"/>
    <cellStyle name="Normal 4 4 2 2 5 4 4 2" xfId="38757" xr:uid="{00000000-0005-0000-0000-0000C5390000}"/>
    <cellStyle name="Normal 4 4 2 2 5 4 5" xfId="26469" xr:uid="{00000000-0005-0000-0000-0000C6390000}"/>
    <cellStyle name="Normal 4 4 2 2 5 5" xfId="3429" xr:uid="{00000000-0005-0000-0000-0000C7390000}"/>
    <cellStyle name="Normal 4 4 2 2 5 5 2" xfId="9573" xr:uid="{00000000-0005-0000-0000-0000C8390000}"/>
    <cellStyle name="Normal 4 4 2 2 5 5 2 2" xfId="21861" xr:uid="{00000000-0005-0000-0000-0000C9390000}"/>
    <cellStyle name="Normal 4 4 2 2 5 5 2 2 2" xfId="46437" xr:uid="{00000000-0005-0000-0000-0000CA390000}"/>
    <cellStyle name="Normal 4 4 2 2 5 5 2 3" xfId="34149" xr:uid="{00000000-0005-0000-0000-0000CB390000}"/>
    <cellStyle name="Normal 4 4 2 2 5 5 3" xfId="15717" xr:uid="{00000000-0005-0000-0000-0000CC390000}"/>
    <cellStyle name="Normal 4 4 2 2 5 5 3 2" xfId="40293" xr:uid="{00000000-0005-0000-0000-0000CD390000}"/>
    <cellStyle name="Normal 4 4 2 2 5 5 4" xfId="28005" xr:uid="{00000000-0005-0000-0000-0000CE390000}"/>
    <cellStyle name="Normal 4 4 2 2 5 6" xfId="6501" xr:uid="{00000000-0005-0000-0000-0000CF390000}"/>
    <cellStyle name="Normal 4 4 2 2 5 6 2" xfId="18789" xr:uid="{00000000-0005-0000-0000-0000D0390000}"/>
    <cellStyle name="Normal 4 4 2 2 5 6 2 2" xfId="43365" xr:uid="{00000000-0005-0000-0000-0000D1390000}"/>
    <cellStyle name="Normal 4 4 2 2 5 6 3" xfId="31077" xr:uid="{00000000-0005-0000-0000-0000D2390000}"/>
    <cellStyle name="Normal 4 4 2 2 5 7" xfId="12645" xr:uid="{00000000-0005-0000-0000-0000D3390000}"/>
    <cellStyle name="Normal 4 4 2 2 5 7 2" xfId="37221" xr:uid="{00000000-0005-0000-0000-0000D4390000}"/>
    <cellStyle name="Normal 4 4 2 2 5 8" xfId="24933" xr:uid="{00000000-0005-0000-0000-0000D5390000}"/>
    <cellStyle name="Normal 4 4 2 2 6" xfId="545" xr:uid="{00000000-0005-0000-0000-0000D6390000}"/>
    <cellStyle name="Normal 4 4 2 2 6 2" xfId="1313" xr:uid="{00000000-0005-0000-0000-0000D7390000}"/>
    <cellStyle name="Normal 4 4 2 2 6 2 2" xfId="2849" xr:uid="{00000000-0005-0000-0000-0000D8390000}"/>
    <cellStyle name="Normal 4 4 2 2 6 2 2 2" xfId="5925" xr:uid="{00000000-0005-0000-0000-0000D9390000}"/>
    <cellStyle name="Normal 4 4 2 2 6 2 2 2 2" xfId="12069" xr:uid="{00000000-0005-0000-0000-0000DA390000}"/>
    <cellStyle name="Normal 4 4 2 2 6 2 2 2 2 2" xfId="24357" xr:uid="{00000000-0005-0000-0000-0000DB390000}"/>
    <cellStyle name="Normal 4 4 2 2 6 2 2 2 2 2 2" xfId="48933" xr:uid="{00000000-0005-0000-0000-0000DC390000}"/>
    <cellStyle name="Normal 4 4 2 2 6 2 2 2 2 3" xfId="36645" xr:uid="{00000000-0005-0000-0000-0000DD390000}"/>
    <cellStyle name="Normal 4 4 2 2 6 2 2 2 3" xfId="18213" xr:uid="{00000000-0005-0000-0000-0000DE390000}"/>
    <cellStyle name="Normal 4 4 2 2 6 2 2 2 3 2" xfId="42789" xr:uid="{00000000-0005-0000-0000-0000DF390000}"/>
    <cellStyle name="Normal 4 4 2 2 6 2 2 2 4" xfId="30501" xr:uid="{00000000-0005-0000-0000-0000E0390000}"/>
    <cellStyle name="Normal 4 4 2 2 6 2 2 3" xfId="8997" xr:uid="{00000000-0005-0000-0000-0000E1390000}"/>
    <cellStyle name="Normal 4 4 2 2 6 2 2 3 2" xfId="21285" xr:uid="{00000000-0005-0000-0000-0000E2390000}"/>
    <cellStyle name="Normal 4 4 2 2 6 2 2 3 2 2" xfId="45861" xr:uid="{00000000-0005-0000-0000-0000E3390000}"/>
    <cellStyle name="Normal 4 4 2 2 6 2 2 3 3" xfId="33573" xr:uid="{00000000-0005-0000-0000-0000E4390000}"/>
    <cellStyle name="Normal 4 4 2 2 6 2 2 4" xfId="15141" xr:uid="{00000000-0005-0000-0000-0000E5390000}"/>
    <cellStyle name="Normal 4 4 2 2 6 2 2 4 2" xfId="39717" xr:uid="{00000000-0005-0000-0000-0000E6390000}"/>
    <cellStyle name="Normal 4 4 2 2 6 2 2 5" xfId="27429" xr:uid="{00000000-0005-0000-0000-0000E7390000}"/>
    <cellStyle name="Normal 4 4 2 2 6 2 3" xfId="4389" xr:uid="{00000000-0005-0000-0000-0000E8390000}"/>
    <cellStyle name="Normal 4 4 2 2 6 2 3 2" xfId="10533" xr:uid="{00000000-0005-0000-0000-0000E9390000}"/>
    <cellStyle name="Normal 4 4 2 2 6 2 3 2 2" xfId="22821" xr:uid="{00000000-0005-0000-0000-0000EA390000}"/>
    <cellStyle name="Normal 4 4 2 2 6 2 3 2 2 2" xfId="47397" xr:uid="{00000000-0005-0000-0000-0000EB390000}"/>
    <cellStyle name="Normal 4 4 2 2 6 2 3 2 3" xfId="35109" xr:uid="{00000000-0005-0000-0000-0000EC390000}"/>
    <cellStyle name="Normal 4 4 2 2 6 2 3 3" xfId="16677" xr:uid="{00000000-0005-0000-0000-0000ED390000}"/>
    <cellStyle name="Normal 4 4 2 2 6 2 3 3 2" xfId="41253" xr:uid="{00000000-0005-0000-0000-0000EE390000}"/>
    <cellStyle name="Normal 4 4 2 2 6 2 3 4" xfId="28965" xr:uid="{00000000-0005-0000-0000-0000EF390000}"/>
    <cellStyle name="Normal 4 4 2 2 6 2 4" xfId="7461" xr:uid="{00000000-0005-0000-0000-0000F0390000}"/>
    <cellStyle name="Normal 4 4 2 2 6 2 4 2" xfId="19749" xr:uid="{00000000-0005-0000-0000-0000F1390000}"/>
    <cellStyle name="Normal 4 4 2 2 6 2 4 2 2" xfId="44325" xr:uid="{00000000-0005-0000-0000-0000F2390000}"/>
    <cellStyle name="Normal 4 4 2 2 6 2 4 3" xfId="32037" xr:uid="{00000000-0005-0000-0000-0000F3390000}"/>
    <cellStyle name="Normal 4 4 2 2 6 2 5" xfId="13605" xr:uid="{00000000-0005-0000-0000-0000F4390000}"/>
    <cellStyle name="Normal 4 4 2 2 6 2 5 2" xfId="38181" xr:uid="{00000000-0005-0000-0000-0000F5390000}"/>
    <cellStyle name="Normal 4 4 2 2 6 2 6" xfId="25893" xr:uid="{00000000-0005-0000-0000-0000F6390000}"/>
    <cellStyle name="Normal 4 4 2 2 6 3" xfId="2081" xr:uid="{00000000-0005-0000-0000-0000F7390000}"/>
    <cellStyle name="Normal 4 4 2 2 6 3 2" xfId="5157" xr:uid="{00000000-0005-0000-0000-0000F8390000}"/>
    <cellStyle name="Normal 4 4 2 2 6 3 2 2" xfId="11301" xr:uid="{00000000-0005-0000-0000-0000F9390000}"/>
    <cellStyle name="Normal 4 4 2 2 6 3 2 2 2" xfId="23589" xr:uid="{00000000-0005-0000-0000-0000FA390000}"/>
    <cellStyle name="Normal 4 4 2 2 6 3 2 2 2 2" xfId="48165" xr:uid="{00000000-0005-0000-0000-0000FB390000}"/>
    <cellStyle name="Normal 4 4 2 2 6 3 2 2 3" xfId="35877" xr:uid="{00000000-0005-0000-0000-0000FC390000}"/>
    <cellStyle name="Normal 4 4 2 2 6 3 2 3" xfId="17445" xr:uid="{00000000-0005-0000-0000-0000FD390000}"/>
    <cellStyle name="Normal 4 4 2 2 6 3 2 3 2" xfId="42021" xr:uid="{00000000-0005-0000-0000-0000FE390000}"/>
    <cellStyle name="Normal 4 4 2 2 6 3 2 4" xfId="29733" xr:uid="{00000000-0005-0000-0000-0000FF390000}"/>
    <cellStyle name="Normal 4 4 2 2 6 3 3" xfId="8229" xr:uid="{00000000-0005-0000-0000-0000003A0000}"/>
    <cellStyle name="Normal 4 4 2 2 6 3 3 2" xfId="20517" xr:uid="{00000000-0005-0000-0000-0000013A0000}"/>
    <cellStyle name="Normal 4 4 2 2 6 3 3 2 2" xfId="45093" xr:uid="{00000000-0005-0000-0000-0000023A0000}"/>
    <cellStyle name="Normal 4 4 2 2 6 3 3 3" xfId="32805" xr:uid="{00000000-0005-0000-0000-0000033A0000}"/>
    <cellStyle name="Normal 4 4 2 2 6 3 4" xfId="14373" xr:uid="{00000000-0005-0000-0000-0000043A0000}"/>
    <cellStyle name="Normal 4 4 2 2 6 3 4 2" xfId="38949" xr:uid="{00000000-0005-0000-0000-0000053A0000}"/>
    <cellStyle name="Normal 4 4 2 2 6 3 5" xfId="26661" xr:uid="{00000000-0005-0000-0000-0000063A0000}"/>
    <cellStyle name="Normal 4 4 2 2 6 4" xfId="3621" xr:uid="{00000000-0005-0000-0000-0000073A0000}"/>
    <cellStyle name="Normal 4 4 2 2 6 4 2" xfId="9765" xr:uid="{00000000-0005-0000-0000-0000083A0000}"/>
    <cellStyle name="Normal 4 4 2 2 6 4 2 2" xfId="22053" xr:uid="{00000000-0005-0000-0000-0000093A0000}"/>
    <cellStyle name="Normal 4 4 2 2 6 4 2 2 2" xfId="46629" xr:uid="{00000000-0005-0000-0000-00000A3A0000}"/>
    <cellStyle name="Normal 4 4 2 2 6 4 2 3" xfId="34341" xr:uid="{00000000-0005-0000-0000-00000B3A0000}"/>
    <cellStyle name="Normal 4 4 2 2 6 4 3" xfId="15909" xr:uid="{00000000-0005-0000-0000-00000C3A0000}"/>
    <cellStyle name="Normal 4 4 2 2 6 4 3 2" xfId="40485" xr:uid="{00000000-0005-0000-0000-00000D3A0000}"/>
    <cellStyle name="Normal 4 4 2 2 6 4 4" xfId="28197" xr:uid="{00000000-0005-0000-0000-00000E3A0000}"/>
    <cellStyle name="Normal 4 4 2 2 6 5" xfId="6693" xr:uid="{00000000-0005-0000-0000-00000F3A0000}"/>
    <cellStyle name="Normal 4 4 2 2 6 5 2" xfId="18981" xr:uid="{00000000-0005-0000-0000-0000103A0000}"/>
    <cellStyle name="Normal 4 4 2 2 6 5 2 2" xfId="43557" xr:uid="{00000000-0005-0000-0000-0000113A0000}"/>
    <cellStyle name="Normal 4 4 2 2 6 5 3" xfId="31269" xr:uid="{00000000-0005-0000-0000-0000123A0000}"/>
    <cellStyle name="Normal 4 4 2 2 6 6" xfId="12837" xr:uid="{00000000-0005-0000-0000-0000133A0000}"/>
    <cellStyle name="Normal 4 4 2 2 6 6 2" xfId="37413" xr:uid="{00000000-0005-0000-0000-0000143A0000}"/>
    <cellStyle name="Normal 4 4 2 2 6 7" xfId="25125" xr:uid="{00000000-0005-0000-0000-0000153A0000}"/>
    <cellStyle name="Normal 4 4 2 2 7" xfId="929" xr:uid="{00000000-0005-0000-0000-0000163A0000}"/>
    <cellStyle name="Normal 4 4 2 2 7 2" xfId="2465" xr:uid="{00000000-0005-0000-0000-0000173A0000}"/>
    <cellStyle name="Normal 4 4 2 2 7 2 2" xfId="5541" xr:uid="{00000000-0005-0000-0000-0000183A0000}"/>
    <cellStyle name="Normal 4 4 2 2 7 2 2 2" xfId="11685" xr:uid="{00000000-0005-0000-0000-0000193A0000}"/>
    <cellStyle name="Normal 4 4 2 2 7 2 2 2 2" xfId="23973" xr:uid="{00000000-0005-0000-0000-00001A3A0000}"/>
    <cellStyle name="Normal 4 4 2 2 7 2 2 2 2 2" xfId="48549" xr:uid="{00000000-0005-0000-0000-00001B3A0000}"/>
    <cellStyle name="Normal 4 4 2 2 7 2 2 2 3" xfId="36261" xr:uid="{00000000-0005-0000-0000-00001C3A0000}"/>
    <cellStyle name="Normal 4 4 2 2 7 2 2 3" xfId="17829" xr:uid="{00000000-0005-0000-0000-00001D3A0000}"/>
    <cellStyle name="Normal 4 4 2 2 7 2 2 3 2" xfId="42405" xr:uid="{00000000-0005-0000-0000-00001E3A0000}"/>
    <cellStyle name="Normal 4 4 2 2 7 2 2 4" xfId="30117" xr:uid="{00000000-0005-0000-0000-00001F3A0000}"/>
    <cellStyle name="Normal 4 4 2 2 7 2 3" xfId="8613" xr:uid="{00000000-0005-0000-0000-0000203A0000}"/>
    <cellStyle name="Normal 4 4 2 2 7 2 3 2" xfId="20901" xr:uid="{00000000-0005-0000-0000-0000213A0000}"/>
    <cellStyle name="Normal 4 4 2 2 7 2 3 2 2" xfId="45477" xr:uid="{00000000-0005-0000-0000-0000223A0000}"/>
    <cellStyle name="Normal 4 4 2 2 7 2 3 3" xfId="33189" xr:uid="{00000000-0005-0000-0000-0000233A0000}"/>
    <cellStyle name="Normal 4 4 2 2 7 2 4" xfId="14757" xr:uid="{00000000-0005-0000-0000-0000243A0000}"/>
    <cellStyle name="Normal 4 4 2 2 7 2 4 2" xfId="39333" xr:uid="{00000000-0005-0000-0000-0000253A0000}"/>
    <cellStyle name="Normal 4 4 2 2 7 2 5" xfId="27045" xr:uid="{00000000-0005-0000-0000-0000263A0000}"/>
    <cellStyle name="Normal 4 4 2 2 7 3" xfId="4005" xr:uid="{00000000-0005-0000-0000-0000273A0000}"/>
    <cellStyle name="Normal 4 4 2 2 7 3 2" xfId="10149" xr:uid="{00000000-0005-0000-0000-0000283A0000}"/>
    <cellStyle name="Normal 4 4 2 2 7 3 2 2" xfId="22437" xr:uid="{00000000-0005-0000-0000-0000293A0000}"/>
    <cellStyle name="Normal 4 4 2 2 7 3 2 2 2" xfId="47013" xr:uid="{00000000-0005-0000-0000-00002A3A0000}"/>
    <cellStyle name="Normal 4 4 2 2 7 3 2 3" xfId="34725" xr:uid="{00000000-0005-0000-0000-00002B3A0000}"/>
    <cellStyle name="Normal 4 4 2 2 7 3 3" xfId="16293" xr:uid="{00000000-0005-0000-0000-00002C3A0000}"/>
    <cellStyle name="Normal 4 4 2 2 7 3 3 2" xfId="40869" xr:uid="{00000000-0005-0000-0000-00002D3A0000}"/>
    <cellStyle name="Normal 4 4 2 2 7 3 4" xfId="28581" xr:uid="{00000000-0005-0000-0000-00002E3A0000}"/>
    <cellStyle name="Normal 4 4 2 2 7 4" xfId="7077" xr:uid="{00000000-0005-0000-0000-00002F3A0000}"/>
    <cellStyle name="Normal 4 4 2 2 7 4 2" xfId="19365" xr:uid="{00000000-0005-0000-0000-0000303A0000}"/>
    <cellStyle name="Normal 4 4 2 2 7 4 2 2" xfId="43941" xr:uid="{00000000-0005-0000-0000-0000313A0000}"/>
    <cellStyle name="Normal 4 4 2 2 7 4 3" xfId="31653" xr:uid="{00000000-0005-0000-0000-0000323A0000}"/>
    <cellStyle name="Normal 4 4 2 2 7 5" xfId="13221" xr:uid="{00000000-0005-0000-0000-0000333A0000}"/>
    <cellStyle name="Normal 4 4 2 2 7 5 2" xfId="37797" xr:uid="{00000000-0005-0000-0000-0000343A0000}"/>
    <cellStyle name="Normal 4 4 2 2 7 6" xfId="25509" xr:uid="{00000000-0005-0000-0000-0000353A0000}"/>
    <cellStyle name="Normal 4 4 2 2 8" xfId="1697" xr:uid="{00000000-0005-0000-0000-0000363A0000}"/>
    <cellStyle name="Normal 4 4 2 2 8 2" xfId="4773" xr:uid="{00000000-0005-0000-0000-0000373A0000}"/>
    <cellStyle name="Normal 4 4 2 2 8 2 2" xfId="10917" xr:uid="{00000000-0005-0000-0000-0000383A0000}"/>
    <cellStyle name="Normal 4 4 2 2 8 2 2 2" xfId="23205" xr:uid="{00000000-0005-0000-0000-0000393A0000}"/>
    <cellStyle name="Normal 4 4 2 2 8 2 2 2 2" xfId="47781" xr:uid="{00000000-0005-0000-0000-00003A3A0000}"/>
    <cellStyle name="Normal 4 4 2 2 8 2 2 3" xfId="35493" xr:uid="{00000000-0005-0000-0000-00003B3A0000}"/>
    <cellStyle name="Normal 4 4 2 2 8 2 3" xfId="17061" xr:uid="{00000000-0005-0000-0000-00003C3A0000}"/>
    <cellStyle name="Normal 4 4 2 2 8 2 3 2" xfId="41637" xr:uid="{00000000-0005-0000-0000-00003D3A0000}"/>
    <cellStyle name="Normal 4 4 2 2 8 2 4" xfId="29349" xr:uid="{00000000-0005-0000-0000-00003E3A0000}"/>
    <cellStyle name="Normal 4 4 2 2 8 3" xfId="7845" xr:uid="{00000000-0005-0000-0000-00003F3A0000}"/>
    <cellStyle name="Normal 4 4 2 2 8 3 2" xfId="20133" xr:uid="{00000000-0005-0000-0000-0000403A0000}"/>
    <cellStyle name="Normal 4 4 2 2 8 3 2 2" xfId="44709" xr:uid="{00000000-0005-0000-0000-0000413A0000}"/>
    <cellStyle name="Normal 4 4 2 2 8 3 3" xfId="32421" xr:uid="{00000000-0005-0000-0000-0000423A0000}"/>
    <cellStyle name="Normal 4 4 2 2 8 4" xfId="13989" xr:uid="{00000000-0005-0000-0000-0000433A0000}"/>
    <cellStyle name="Normal 4 4 2 2 8 4 2" xfId="38565" xr:uid="{00000000-0005-0000-0000-0000443A0000}"/>
    <cellStyle name="Normal 4 4 2 2 8 5" xfId="26277" xr:uid="{00000000-0005-0000-0000-0000453A0000}"/>
    <cellStyle name="Normal 4 4 2 2 9" xfId="3237" xr:uid="{00000000-0005-0000-0000-0000463A0000}"/>
    <cellStyle name="Normal 4 4 2 2 9 2" xfId="9381" xr:uid="{00000000-0005-0000-0000-0000473A0000}"/>
    <cellStyle name="Normal 4 4 2 2 9 2 2" xfId="21669" xr:uid="{00000000-0005-0000-0000-0000483A0000}"/>
    <cellStyle name="Normal 4 4 2 2 9 2 2 2" xfId="46245" xr:uid="{00000000-0005-0000-0000-0000493A0000}"/>
    <cellStyle name="Normal 4 4 2 2 9 2 3" xfId="33957" xr:uid="{00000000-0005-0000-0000-00004A3A0000}"/>
    <cellStyle name="Normal 4 4 2 2 9 3" xfId="15525" xr:uid="{00000000-0005-0000-0000-00004B3A0000}"/>
    <cellStyle name="Normal 4 4 2 2 9 3 2" xfId="40101" xr:uid="{00000000-0005-0000-0000-00004C3A0000}"/>
    <cellStyle name="Normal 4 4 2 2 9 4" xfId="27813" xr:uid="{00000000-0005-0000-0000-00004D3A0000}"/>
    <cellStyle name="Normal 4 4 2 3" xfId="176" xr:uid="{00000000-0005-0000-0000-00004E3A0000}"/>
    <cellStyle name="Normal 4 4 2 3 10" xfId="12469" xr:uid="{00000000-0005-0000-0000-00004F3A0000}"/>
    <cellStyle name="Normal 4 4 2 3 10 2" xfId="37045" xr:uid="{00000000-0005-0000-0000-0000503A0000}"/>
    <cellStyle name="Normal 4 4 2 3 11" xfId="24757" xr:uid="{00000000-0005-0000-0000-0000513A0000}"/>
    <cellStyle name="Normal 4 4 2 3 2" xfId="241" xr:uid="{00000000-0005-0000-0000-0000523A0000}"/>
    <cellStyle name="Normal 4 4 2 3 2 2" xfId="433" xr:uid="{00000000-0005-0000-0000-0000533A0000}"/>
    <cellStyle name="Normal 4 4 2 3 2 2 2" xfId="817" xr:uid="{00000000-0005-0000-0000-0000543A0000}"/>
    <cellStyle name="Normal 4 4 2 3 2 2 2 2" xfId="1585" xr:uid="{00000000-0005-0000-0000-0000553A0000}"/>
    <cellStyle name="Normal 4 4 2 3 2 2 2 2 2" xfId="3121" xr:uid="{00000000-0005-0000-0000-0000563A0000}"/>
    <cellStyle name="Normal 4 4 2 3 2 2 2 2 2 2" xfId="6197" xr:uid="{00000000-0005-0000-0000-0000573A0000}"/>
    <cellStyle name="Normal 4 4 2 3 2 2 2 2 2 2 2" xfId="12341" xr:uid="{00000000-0005-0000-0000-0000583A0000}"/>
    <cellStyle name="Normal 4 4 2 3 2 2 2 2 2 2 2 2" xfId="24629" xr:uid="{00000000-0005-0000-0000-0000593A0000}"/>
    <cellStyle name="Normal 4 4 2 3 2 2 2 2 2 2 2 2 2" xfId="49205" xr:uid="{00000000-0005-0000-0000-00005A3A0000}"/>
    <cellStyle name="Normal 4 4 2 3 2 2 2 2 2 2 2 3" xfId="36917" xr:uid="{00000000-0005-0000-0000-00005B3A0000}"/>
    <cellStyle name="Normal 4 4 2 3 2 2 2 2 2 2 3" xfId="18485" xr:uid="{00000000-0005-0000-0000-00005C3A0000}"/>
    <cellStyle name="Normal 4 4 2 3 2 2 2 2 2 2 3 2" xfId="43061" xr:uid="{00000000-0005-0000-0000-00005D3A0000}"/>
    <cellStyle name="Normal 4 4 2 3 2 2 2 2 2 2 4" xfId="30773" xr:uid="{00000000-0005-0000-0000-00005E3A0000}"/>
    <cellStyle name="Normal 4 4 2 3 2 2 2 2 2 3" xfId="9269" xr:uid="{00000000-0005-0000-0000-00005F3A0000}"/>
    <cellStyle name="Normal 4 4 2 3 2 2 2 2 2 3 2" xfId="21557" xr:uid="{00000000-0005-0000-0000-0000603A0000}"/>
    <cellStyle name="Normal 4 4 2 3 2 2 2 2 2 3 2 2" xfId="46133" xr:uid="{00000000-0005-0000-0000-0000613A0000}"/>
    <cellStyle name="Normal 4 4 2 3 2 2 2 2 2 3 3" xfId="33845" xr:uid="{00000000-0005-0000-0000-0000623A0000}"/>
    <cellStyle name="Normal 4 4 2 3 2 2 2 2 2 4" xfId="15413" xr:uid="{00000000-0005-0000-0000-0000633A0000}"/>
    <cellStyle name="Normal 4 4 2 3 2 2 2 2 2 4 2" xfId="39989" xr:uid="{00000000-0005-0000-0000-0000643A0000}"/>
    <cellStyle name="Normal 4 4 2 3 2 2 2 2 2 5" xfId="27701" xr:uid="{00000000-0005-0000-0000-0000653A0000}"/>
    <cellStyle name="Normal 4 4 2 3 2 2 2 2 3" xfId="4661" xr:uid="{00000000-0005-0000-0000-0000663A0000}"/>
    <cellStyle name="Normal 4 4 2 3 2 2 2 2 3 2" xfId="10805" xr:uid="{00000000-0005-0000-0000-0000673A0000}"/>
    <cellStyle name="Normal 4 4 2 3 2 2 2 2 3 2 2" xfId="23093" xr:uid="{00000000-0005-0000-0000-0000683A0000}"/>
    <cellStyle name="Normal 4 4 2 3 2 2 2 2 3 2 2 2" xfId="47669" xr:uid="{00000000-0005-0000-0000-0000693A0000}"/>
    <cellStyle name="Normal 4 4 2 3 2 2 2 2 3 2 3" xfId="35381" xr:uid="{00000000-0005-0000-0000-00006A3A0000}"/>
    <cellStyle name="Normal 4 4 2 3 2 2 2 2 3 3" xfId="16949" xr:uid="{00000000-0005-0000-0000-00006B3A0000}"/>
    <cellStyle name="Normal 4 4 2 3 2 2 2 2 3 3 2" xfId="41525" xr:uid="{00000000-0005-0000-0000-00006C3A0000}"/>
    <cellStyle name="Normal 4 4 2 3 2 2 2 2 3 4" xfId="29237" xr:uid="{00000000-0005-0000-0000-00006D3A0000}"/>
    <cellStyle name="Normal 4 4 2 3 2 2 2 2 4" xfId="7733" xr:uid="{00000000-0005-0000-0000-00006E3A0000}"/>
    <cellStyle name="Normal 4 4 2 3 2 2 2 2 4 2" xfId="20021" xr:uid="{00000000-0005-0000-0000-00006F3A0000}"/>
    <cellStyle name="Normal 4 4 2 3 2 2 2 2 4 2 2" xfId="44597" xr:uid="{00000000-0005-0000-0000-0000703A0000}"/>
    <cellStyle name="Normal 4 4 2 3 2 2 2 2 4 3" xfId="32309" xr:uid="{00000000-0005-0000-0000-0000713A0000}"/>
    <cellStyle name="Normal 4 4 2 3 2 2 2 2 5" xfId="13877" xr:uid="{00000000-0005-0000-0000-0000723A0000}"/>
    <cellStyle name="Normal 4 4 2 3 2 2 2 2 5 2" xfId="38453" xr:uid="{00000000-0005-0000-0000-0000733A0000}"/>
    <cellStyle name="Normal 4 4 2 3 2 2 2 2 6" xfId="26165" xr:uid="{00000000-0005-0000-0000-0000743A0000}"/>
    <cellStyle name="Normal 4 4 2 3 2 2 2 3" xfId="2353" xr:uid="{00000000-0005-0000-0000-0000753A0000}"/>
    <cellStyle name="Normal 4 4 2 3 2 2 2 3 2" xfId="5429" xr:uid="{00000000-0005-0000-0000-0000763A0000}"/>
    <cellStyle name="Normal 4 4 2 3 2 2 2 3 2 2" xfId="11573" xr:uid="{00000000-0005-0000-0000-0000773A0000}"/>
    <cellStyle name="Normal 4 4 2 3 2 2 2 3 2 2 2" xfId="23861" xr:uid="{00000000-0005-0000-0000-0000783A0000}"/>
    <cellStyle name="Normal 4 4 2 3 2 2 2 3 2 2 2 2" xfId="48437" xr:uid="{00000000-0005-0000-0000-0000793A0000}"/>
    <cellStyle name="Normal 4 4 2 3 2 2 2 3 2 2 3" xfId="36149" xr:uid="{00000000-0005-0000-0000-00007A3A0000}"/>
    <cellStyle name="Normal 4 4 2 3 2 2 2 3 2 3" xfId="17717" xr:uid="{00000000-0005-0000-0000-00007B3A0000}"/>
    <cellStyle name="Normal 4 4 2 3 2 2 2 3 2 3 2" xfId="42293" xr:uid="{00000000-0005-0000-0000-00007C3A0000}"/>
    <cellStyle name="Normal 4 4 2 3 2 2 2 3 2 4" xfId="30005" xr:uid="{00000000-0005-0000-0000-00007D3A0000}"/>
    <cellStyle name="Normal 4 4 2 3 2 2 2 3 3" xfId="8501" xr:uid="{00000000-0005-0000-0000-00007E3A0000}"/>
    <cellStyle name="Normal 4 4 2 3 2 2 2 3 3 2" xfId="20789" xr:uid="{00000000-0005-0000-0000-00007F3A0000}"/>
    <cellStyle name="Normal 4 4 2 3 2 2 2 3 3 2 2" xfId="45365" xr:uid="{00000000-0005-0000-0000-0000803A0000}"/>
    <cellStyle name="Normal 4 4 2 3 2 2 2 3 3 3" xfId="33077" xr:uid="{00000000-0005-0000-0000-0000813A0000}"/>
    <cellStyle name="Normal 4 4 2 3 2 2 2 3 4" xfId="14645" xr:uid="{00000000-0005-0000-0000-0000823A0000}"/>
    <cellStyle name="Normal 4 4 2 3 2 2 2 3 4 2" xfId="39221" xr:uid="{00000000-0005-0000-0000-0000833A0000}"/>
    <cellStyle name="Normal 4 4 2 3 2 2 2 3 5" xfId="26933" xr:uid="{00000000-0005-0000-0000-0000843A0000}"/>
    <cellStyle name="Normal 4 4 2 3 2 2 2 4" xfId="3893" xr:uid="{00000000-0005-0000-0000-0000853A0000}"/>
    <cellStyle name="Normal 4 4 2 3 2 2 2 4 2" xfId="10037" xr:uid="{00000000-0005-0000-0000-0000863A0000}"/>
    <cellStyle name="Normal 4 4 2 3 2 2 2 4 2 2" xfId="22325" xr:uid="{00000000-0005-0000-0000-0000873A0000}"/>
    <cellStyle name="Normal 4 4 2 3 2 2 2 4 2 2 2" xfId="46901" xr:uid="{00000000-0005-0000-0000-0000883A0000}"/>
    <cellStyle name="Normal 4 4 2 3 2 2 2 4 2 3" xfId="34613" xr:uid="{00000000-0005-0000-0000-0000893A0000}"/>
    <cellStyle name="Normal 4 4 2 3 2 2 2 4 3" xfId="16181" xr:uid="{00000000-0005-0000-0000-00008A3A0000}"/>
    <cellStyle name="Normal 4 4 2 3 2 2 2 4 3 2" xfId="40757" xr:uid="{00000000-0005-0000-0000-00008B3A0000}"/>
    <cellStyle name="Normal 4 4 2 3 2 2 2 4 4" xfId="28469" xr:uid="{00000000-0005-0000-0000-00008C3A0000}"/>
    <cellStyle name="Normal 4 4 2 3 2 2 2 5" xfId="6965" xr:uid="{00000000-0005-0000-0000-00008D3A0000}"/>
    <cellStyle name="Normal 4 4 2 3 2 2 2 5 2" xfId="19253" xr:uid="{00000000-0005-0000-0000-00008E3A0000}"/>
    <cellStyle name="Normal 4 4 2 3 2 2 2 5 2 2" xfId="43829" xr:uid="{00000000-0005-0000-0000-00008F3A0000}"/>
    <cellStyle name="Normal 4 4 2 3 2 2 2 5 3" xfId="31541" xr:uid="{00000000-0005-0000-0000-0000903A0000}"/>
    <cellStyle name="Normal 4 4 2 3 2 2 2 6" xfId="13109" xr:uid="{00000000-0005-0000-0000-0000913A0000}"/>
    <cellStyle name="Normal 4 4 2 3 2 2 2 6 2" xfId="37685" xr:uid="{00000000-0005-0000-0000-0000923A0000}"/>
    <cellStyle name="Normal 4 4 2 3 2 2 2 7" xfId="25397" xr:uid="{00000000-0005-0000-0000-0000933A0000}"/>
    <cellStyle name="Normal 4 4 2 3 2 2 3" xfId="1201" xr:uid="{00000000-0005-0000-0000-0000943A0000}"/>
    <cellStyle name="Normal 4 4 2 3 2 2 3 2" xfId="2737" xr:uid="{00000000-0005-0000-0000-0000953A0000}"/>
    <cellStyle name="Normal 4 4 2 3 2 2 3 2 2" xfId="5813" xr:uid="{00000000-0005-0000-0000-0000963A0000}"/>
    <cellStyle name="Normal 4 4 2 3 2 2 3 2 2 2" xfId="11957" xr:uid="{00000000-0005-0000-0000-0000973A0000}"/>
    <cellStyle name="Normal 4 4 2 3 2 2 3 2 2 2 2" xfId="24245" xr:uid="{00000000-0005-0000-0000-0000983A0000}"/>
    <cellStyle name="Normal 4 4 2 3 2 2 3 2 2 2 2 2" xfId="48821" xr:uid="{00000000-0005-0000-0000-0000993A0000}"/>
    <cellStyle name="Normal 4 4 2 3 2 2 3 2 2 2 3" xfId="36533" xr:uid="{00000000-0005-0000-0000-00009A3A0000}"/>
    <cellStyle name="Normal 4 4 2 3 2 2 3 2 2 3" xfId="18101" xr:uid="{00000000-0005-0000-0000-00009B3A0000}"/>
    <cellStyle name="Normal 4 4 2 3 2 2 3 2 2 3 2" xfId="42677" xr:uid="{00000000-0005-0000-0000-00009C3A0000}"/>
    <cellStyle name="Normal 4 4 2 3 2 2 3 2 2 4" xfId="30389" xr:uid="{00000000-0005-0000-0000-00009D3A0000}"/>
    <cellStyle name="Normal 4 4 2 3 2 2 3 2 3" xfId="8885" xr:uid="{00000000-0005-0000-0000-00009E3A0000}"/>
    <cellStyle name="Normal 4 4 2 3 2 2 3 2 3 2" xfId="21173" xr:uid="{00000000-0005-0000-0000-00009F3A0000}"/>
    <cellStyle name="Normal 4 4 2 3 2 2 3 2 3 2 2" xfId="45749" xr:uid="{00000000-0005-0000-0000-0000A03A0000}"/>
    <cellStyle name="Normal 4 4 2 3 2 2 3 2 3 3" xfId="33461" xr:uid="{00000000-0005-0000-0000-0000A13A0000}"/>
    <cellStyle name="Normal 4 4 2 3 2 2 3 2 4" xfId="15029" xr:uid="{00000000-0005-0000-0000-0000A23A0000}"/>
    <cellStyle name="Normal 4 4 2 3 2 2 3 2 4 2" xfId="39605" xr:uid="{00000000-0005-0000-0000-0000A33A0000}"/>
    <cellStyle name="Normal 4 4 2 3 2 2 3 2 5" xfId="27317" xr:uid="{00000000-0005-0000-0000-0000A43A0000}"/>
    <cellStyle name="Normal 4 4 2 3 2 2 3 3" xfId="4277" xr:uid="{00000000-0005-0000-0000-0000A53A0000}"/>
    <cellStyle name="Normal 4 4 2 3 2 2 3 3 2" xfId="10421" xr:uid="{00000000-0005-0000-0000-0000A63A0000}"/>
    <cellStyle name="Normal 4 4 2 3 2 2 3 3 2 2" xfId="22709" xr:uid="{00000000-0005-0000-0000-0000A73A0000}"/>
    <cellStyle name="Normal 4 4 2 3 2 2 3 3 2 2 2" xfId="47285" xr:uid="{00000000-0005-0000-0000-0000A83A0000}"/>
    <cellStyle name="Normal 4 4 2 3 2 2 3 3 2 3" xfId="34997" xr:uid="{00000000-0005-0000-0000-0000A93A0000}"/>
    <cellStyle name="Normal 4 4 2 3 2 2 3 3 3" xfId="16565" xr:uid="{00000000-0005-0000-0000-0000AA3A0000}"/>
    <cellStyle name="Normal 4 4 2 3 2 2 3 3 3 2" xfId="41141" xr:uid="{00000000-0005-0000-0000-0000AB3A0000}"/>
    <cellStyle name="Normal 4 4 2 3 2 2 3 3 4" xfId="28853" xr:uid="{00000000-0005-0000-0000-0000AC3A0000}"/>
    <cellStyle name="Normal 4 4 2 3 2 2 3 4" xfId="7349" xr:uid="{00000000-0005-0000-0000-0000AD3A0000}"/>
    <cellStyle name="Normal 4 4 2 3 2 2 3 4 2" xfId="19637" xr:uid="{00000000-0005-0000-0000-0000AE3A0000}"/>
    <cellStyle name="Normal 4 4 2 3 2 2 3 4 2 2" xfId="44213" xr:uid="{00000000-0005-0000-0000-0000AF3A0000}"/>
    <cellStyle name="Normal 4 4 2 3 2 2 3 4 3" xfId="31925" xr:uid="{00000000-0005-0000-0000-0000B03A0000}"/>
    <cellStyle name="Normal 4 4 2 3 2 2 3 5" xfId="13493" xr:uid="{00000000-0005-0000-0000-0000B13A0000}"/>
    <cellStyle name="Normal 4 4 2 3 2 2 3 5 2" xfId="38069" xr:uid="{00000000-0005-0000-0000-0000B23A0000}"/>
    <cellStyle name="Normal 4 4 2 3 2 2 3 6" xfId="25781" xr:uid="{00000000-0005-0000-0000-0000B33A0000}"/>
    <cellStyle name="Normal 4 4 2 3 2 2 4" xfId="1969" xr:uid="{00000000-0005-0000-0000-0000B43A0000}"/>
    <cellStyle name="Normal 4 4 2 3 2 2 4 2" xfId="5045" xr:uid="{00000000-0005-0000-0000-0000B53A0000}"/>
    <cellStyle name="Normal 4 4 2 3 2 2 4 2 2" xfId="11189" xr:uid="{00000000-0005-0000-0000-0000B63A0000}"/>
    <cellStyle name="Normal 4 4 2 3 2 2 4 2 2 2" xfId="23477" xr:uid="{00000000-0005-0000-0000-0000B73A0000}"/>
    <cellStyle name="Normal 4 4 2 3 2 2 4 2 2 2 2" xfId="48053" xr:uid="{00000000-0005-0000-0000-0000B83A0000}"/>
    <cellStyle name="Normal 4 4 2 3 2 2 4 2 2 3" xfId="35765" xr:uid="{00000000-0005-0000-0000-0000B93A0000}"/>
    <cellStyle name="Normal 4 4 2 3 2 2 4 2 3" xfId="17333" xr:uid="{00000000-0005-0000-0000-0000BA3A0000}"/>
    <cellStyle name="Normal 4 4 2 3 2 2 4 2 3 2" xfId="41909" xr:uid="{00000000-0005-0000-0000-0000BB3A0000}"/>
    <cellStyle name="Normal 4 4 2 3 2 2 4 2 4" xfId="29621" xr:uid="{00000000-0005-0000-0000-0000BC3A0000}"/>
    <cellStyle name="Normal 4 4 2 3 2 2 4 3" xfId="8117" xr:uid="{00000000-0005-0000-0000-0000BD3A0000}"/>
    <cellStyle name="Normal 4 4 2 3 2 2 4 3 2" xfId="20405" xr:uid="{00000000-0005-0000-0000-0000BE3A0000}"/>
    <cellStyle name="Normal 4 4 2 3 2 2 4 3 2 2" xfId="44981" xr:uid="{00000000-0005-0000-0000-0000BF3A0000}"/>
    <cellStyle name="Normal 4 4 2 3 2 2 4 3 3" xfId="32693" xr:uid="{00000000-0005-0000-0000-0000C03A0000}"/>
    <cellStyle name="Normal 4 4 2 3 2 2 4 4" xfId="14261" xr:uid="{00000000-0005-0000-0000-0000C13A0000}"/>
    <cellStyle name="Normal 4 4 2 3 2 2 4 4 2" xfId="38837" xr:uid="{00000000-0005-0000-0000-0000C23A0000}"/>
    <cellStyle name="Normal 4 4 2 3 2 2 4 5" xfId="26549" xr:uid="{00000000-0005-0000-0000-0000C33A0000}"/>
    <cellStyle name="Normal 4 4 2 3 2 2 5" xfId="3509" xr:uid="{00000000-0005-0000-0000-0000C43A0000}"/>
    <cellStyle name="Normal 4 4 2 3 2 2 5 2" xfId="9653" xr:uid="{00000000-0005-0000-0000-0000C53A0000}"/>
    <cellStyle name="Normal 4 4 2 3 2 2 5 2 2" xfId="21941" xr:uid="{00000000-0005-0000-0000-0000C63A0000}"/>
    <cellStyle name="Normal 4 4 2 3 2 2 5 2 2 2" xfId="46517" xr:uid="{00000000-0005-0000-0000-0000C73A0000}"/>
    <cellStyle name="Normal 4 4 2 3 2 2 5 2 3" xfId="34229" xr:uid="{00000000-0005-0000-0000-0000C83A0000}"/>
    <cellStyle name="Normal 4 4 2 3 2 2 5 3" xfId="15797" xr:uid="{00000000-0005-0000-0000-0000C93A0000}"/>
    <cellStyle name="Normal 4 4 2 3 2 2 5 3 2" xfId="40373" xr:uid="{00000000-0005-0000-0000-0000CA3A0000}"/>
    <cellStyle name="Normal 4 4 2 3 2 2 5 4" xfId="28085" xr:uid="{00000000-0005-0000-0000-0000CB3A0000}"/>
    <cellStyle name="Normal 4 4 2 3 2 2 6" xfId="6581" xr:uid="{00000000-0005-0000-0000-0000CC3A0000}"/>
    <cellStyle name="Normal 4 4 2 3 2 2 6 2" xfId="18869" xr:uid="{00000000-0005-0000-0000-0000CD3A0000}"/>
    <cellStyle name="Normal 4 4 2 3 2 2 6 2 2" xfId="43445" xr:uid="{00000000-0005-0000-0000-0000CE3A0000}"/>
    <cellStyle name="Normal 4 4 2 3 2 2 6 3" xfId="31157" xr:uid="{00000000-0005-0000-0000-0000CF3A0000}"/>
    <cellStyle name="Normal 4 4 2 3 2 2 7" xfId="12725" xr:uid="{00000000-0005-0000-0000-0000D03A0000}"/>
    <cellStyle name="Normal 4 4 2 3 2 2 7 2" xfId="37301" xr:uid="{00000000-0005-0000-0000-0000D13A0000}"/>
    <cellStyle name="Normal 4 4 2 3 2 2 8" xfId="25013" xr:uid="{00000000-0005-0000-0000-0000D23A0000}"/>
    <cellStyle name="Normal 4 4 2 3 2 3" xfId="625" xr:uid="{00000000-0005-0000-0000-0000D33A0000}"/>
    <cellStyle name="Normal 4 4 2 3 2 3 2" xfId="1393" xr:uid="{00000000-0005-0000-0000-0000D43A0000}"/>
    <cellStyle name="Normal 4 4 2 3 2 3 2 2" xfId="2929" xr:uid="{00000000-0005-0000-0000-0000D53A0000}"/>
    <cellStyle name="Normal 4 4 2 3 2 3 2 2 2" xfId="6005" xr:uid="{00000000-0005-0000-0000-0000D63A0000}"/>
    <cellStyle name="Normal 4 4 2 3 2 3 2 2 2 2" xfId="12149" xr:uid="{00000000-0005-0000-0000-0000D73A0000}"/>
    <cellStyle name="Normal 4 4 2 3 2 3 2 2 2 2 2" xfId="24437" xr:uid="{00000000-0005-0000-0000-0000D83A0000}"/>
    <cellStyle name="Normal 4 4 2 3 2 3 2 2 2 2 2 2" xfId="49013" xr:uid="{00000000-0005-0000-0000-0000D93A0000}"/>
    <cellStyle name="Normal 4 4 2 3 2 3 2 2 2 2 3" xfId="36725" xr:uid="{00000000-0005-0000-0000-0000DA3A0000}"/>
    <cellStyle name="Normal 4 4 2 3 2 3 2 2 2 3" xfId="18293" xr:uid="{00000000-0005-0000-0000-0000DB3A0000}"/>
    <cellStyle name="Normal 4 4 2 3 2 3 2 2 2 3 2" xfId="42869" xr:uid="{00000000-0005-0000-0000-0000DC3A0000}"/>
    <cellStyle name="Normal 4 4 2 3 2 3 2 2 2 4" xfId="30581" xr:uid="{00000000-0005-0000-0000-0000DD3A0000}"/>
    <cellStyle name="Normal 4 4 2 3 2 3 2 2 3" xfId="9077" xr:uid="{00000000-0005-0000-0000-0000DE3A0000}"/>
    <cellStyle name="Normal 4 4 2 3 2 3 2 2 3 2" xfId="21365" xr:uid="{00000000-0005-0000-0000-0000DF3A0000}"/>
    <cellStyle name="Normal 4 4 2 3 2 3 2 2 3 2 2" xfId="45941" xr:uid="{00000000-0005-0000-0000-0000E03A0000}"/>
    <cellStyle name="Normal 4 4 2 3 2 3 2 2 3 3" xfId="33653" xr:uid="{00000000-0005-0000-0000-0000E13A0000}"/>
    <cellStyle name="Normal 4 4 2 3 2 3 2 2 4" xfId="15221" xr:uid="{00000000-0005-0000-0000-0000E23A0000}"/>
    <cellStyle name="Normal 4 4 2 3 2 3 2 2 4 2" xfId="39797" xr:uid="{00000000-0005-0000-0000-0000E33A0000}"/>
    <cellStyle name="Normal 4 4 2 3 2 3 2 2 5" xfId="27509" xr:uid="{00000000-0005-0000-0000-0000E43A0000}"/>
    <cellStyle name="Normal 4 4 2 3 2 3 2 3" xfId="4469" xr:uid="{00000000-0005-0000-0000-0000E53A0000}"/>
    <cellStyle name="Normal 4 4 2 3 2 3 2 3 2" xfId="10613" xr:uid="{00000000-0005-0000-0000-0000E63A0000}"/>
    <cellStyle name="Normal 4 4 2 3 2 3 2 3 2 2" xfId="22901" xr:uid="{00000000-0005-0000-0000-0000E73A0000}"/>
    <cellStyle name="Normal 4 4 2 3 2 3 2 3 2 2 2" xfId="47477" xr:uid="{00000000-0005-0000-0000-0000E83A0000}"/>
    <cellStyle name="Normal 4 4 2 3 2 3 2 3 2 3" xfId="35189" xr:uid="{00000000-0005-0000-0000-0000E93A0000}"/>
    <cellStyle name="Normal 4 4 2 3 2 3 2 3 3" xfId="16757" xr:uid="{00000000-0005-0000-0000-0000EA3A0000}"/>
    <cellStyle name="Normal 4 4 2 3 2 3 2 3 3 2" xfId="41333" xr:uid="{00000000-0005-0000-0000-0000EB3A0000}"/>
    <cellStyle name="Normal 4 4 2 3 2 3 2 3 4" xfId="29045" xr:uid="{00000000-0005-0000-0000-0000EC3A0000}"/>
    <cellStyle name="Normal 4 4 2 3 2 3 2 4" xfId="7541" xr:uid="{00000000-0005-0000-0000-0000ED3A0000}"/>
    <cellStyle name="Normal 4 4 2 3 2 3 2 4 2" xfId="19829" xr:uid="{00000000-0005-0000-0000-0000EE3A0000}"/>
    <cellStyle name="Normal 4 4 2 3 2 3 2 4 2 2" xfId="44405" xr:uid="{00000000-0005-0000-0000-0000EF3A0000}"/>
    <cellStyle name="Normal 4 4 2 3 2 3 2 4 3" xfId="32117" xr:uid="{00000000-0005-0000-0000-0000F03A0000}"/>
    <cellStyle name="Normal 4 4 2 3 2 3 2 5" xfId="13685" xr:uid="{00000000-0005-0000-0000-0000F13A0000}"/>
    <cellStyle name="Normal 4 4 2 3 2 3 2 5 2" xfId="38261" xr:uid="{00000000-0005-0000-0000-0000F23A0000}"/>
    <cellStyle name="Normal 4 4 2 3 2 3 2 6" xfId="25973" xr:uid="{00000000-0005-0000-0000-0000F33A0000}"/>
    <cellStyle name="Normal 4 4 2 3 2 3 3" xfId="2161" xr:uid="{00000000-0005-0000-0000-0000F43A0000}"/>
    <cellStyle name="Normal 4 4 2 3 2 3 3 2" xfId="5237" xr:uid="{00000000-0005-0000-0000-0000F53A0000}"/>
    <cellStyle name="Normal 4 4 2 3 2 3 3 2 2" xfId="11381" xr:uid="{00000000-0005-0000-0000-0000F63A0000}"/>
    <cellStyle name="Normal 4 4 2 3 2 3 3 2 2 2" xfId="23669" xr:uid="{00000000-0005-0000-0000-0000F73A0000}"/>
    <cellStyle name="Normal 4 4 2 3 2 3 3 2 2 2 2" xfId="48245" xr:uid="{00000000-0005-0000-0000-0000F83A0000}"/>
    <cellStyle name="Normal 4 4 2 3 2 3 3 2 2 3" xfId="35957" xr:uid="{00000000-0005-0000-0000-0000F93A0000}"/>
    <cellStyle name="Normal 4 4 2 3 2 3 3 2 3" xfId="17525" xr:uid="{00000000-0005-0000-0000-0000FA3A0000}"/>
    <cellStyle name="Normal 4 4 2 3 2 3 3 2 3 2" xfId="42101" xr:uid="{00000000-0005-0000-0000-0000FB3A0000}"/>
    <cellStyle name="Normal 4 4 2 3 2 3 3 2 4" xfId="29813" xr:uid="{00000000-0005-0000-0000-0000FC3A0000}"/>
    <cellStyle name="Normal 4 4 2 3 2 3 3 3" xfId="8309" xr:uid="{00000000-0005-0000-0000-0000FD3A0000}"/>
    <cellStyle name="Normal 4 4 2 3 2 3 3 3 2" xfId="20597" xr:uid="{00000000-0005-0000-0000-0000FE3A0000}"/>
    <cellStyle name="Normal 4 4 2 3 2 3 3 3 2 2" xfId="45173" xr:uid="{00000000-0005-0000-0000-0000FF3A0000}"/>
    <cellStyle name="Normal 4 4 2 3 2 3 3 3 3" xfId="32885" xr:uid="{00000000-0005-0000-0000-0000003B0000}"/>
    <cellStyle name="Normal 4 4 2 3 2 3 3 4" xfId="14453" xr:uid="{00000000-0005-0000-0000-0000013B0000}"/>
    <cellStyle name="Normal 4 4 2 3 2 3 3 4 2" xfId="39029" xr:uid="{00000000-0005-0000-0000-0000023B0000}"/>
    <cellStyle name="Normal 4 4 2 3 2 3 3 5" xfId="26741" xr:uid="{00000000-0005-0000-0000-0000033B0000}"/>
    <cellStyle name="Normal 4 4 2 3 2 3 4" xfId="3701" xr:uid="{00000000-0005-0000-0000-0000043B0000}"/>
    <cellStyle name="Normal 4 4 2 3 2 3 4 2" xfId="9845" xr:uid="{00000000-0005-0000-0000-0000053B0000}"/>
    <cellStyle name="Normal 4 4 2 3 2 3 4 2 2" xfId="22133" xr:uid="{00000000-0005-0000-0000-0000063B0000}"/>
    <cellStyle name="Normal 4 4 2 3 2 3 4 2 2 2" xfId="46709" xr:uid="{00000000-0005-0000-0000-0000073B0000}"/>
    <cellStyle name="Normal 4 4 2 3 2 3 4 2 3" xfId="34421" xr:uid="{00000000-0005-0000-0000-0000083B0000}"/>
    <cellStyle name="Normal 4 4 2 3 2 3 4 3" xfId="15989" xr:uid="{00000000-0005-0000-0000-0000093B0000}"/>
    <cellStyle name="Normal 4 4 2 3 2 3 4 3 2" xfId="40565" xr:uid="{00000000-0005-0000-0000-00000A3B0000}"/>
    <cellStyle name="Normal 4 4 2 3 2 3 4 4" xfId="28277" xr:uid="{00000000-0005-0000-0000-00000B3B0000}"/>
    <cellStyle name="Normal 4 4 2 3 2 3 5" xfId="6773" xr:uid="{00000000-0005-0000-0000-00000C3B0000}"/>
    <cellStyle name="Normal 4 4 2 3 2 3 5 2" xfId="19061" xr:uid="{00000000-0005-0000-0000-00000D3B0000}"/>
    <cellStyle name="Normal 4 4 2 3 2 3 5 2 2" xfId="43637" xr:uid="{00000000-0005-0000-0000-00000E3B0000}"/>
    <cellStyle name="Normal 4 4 2 3 2 3 5 3" xfId="31349" xr:uid="{00000000-0005-0000-0000-00000F3B0000}"/>
    <cellStyle name="Normal 4 4 2 3 2 3 6" xfId="12917" xr:uid="{00000000-0005-0000-0000-0000103B0000}"/>
    <cellStyle name="Normal 4 4 2 3 2 3 6 2" xfId="37493" xr:uid="{00000000-0005-0000-0000-0000113B0000}"/>
    <cellStyle name="Normal 4 4 2 3 2 3 7" xfId="25205" xr:uid="{00000000-0005-0000-0000-0000123B0000}"/>
    <cellStyle name="Normal 4 4 2 3 2 4" xfId="1009" xr:uid="{00000000-0005-0000-0000-0000133B0000}"/>
    <cellStyle name="Normal 4 4 2 3 2 4 2" xfId="2545" xr:uid="{00000000-0005-0000-0000-0000143B0000}"/>
    <cellStyle name="Normal 4 4 2 3 2 4 2 2" xfId="5621" xr:uid="{00000000-0005-0000-0000-0000153B0000}"/>
    <cellStyle name="Normal 4 4 2 3 2 4 2 2 2" xfId="11765" xr:uid="{00000000-0005-0000-0000-0000163B0000}"/>
    <cellStyle name="Normal 4 4 2 3 2 4 2 2 2 2" xfId="24053" xr:uid="{00000000-0005-0000-0000-0000173B0000}"/>
    <cellStyle name="Normal 4 4 2 3 2 4 2 2 2 2 2" xfId="48629" xr:uid="{00000000-0005-0000-0000-0000183B0000}"/>
    <cellStyle name="Normal 4 4 2 3 2 4 2 2 2 3" xfId="36341" xr:uid="{00000000-0005-0000-0000-0000193B0000}"/>
    <cellStyle name="Normal 4 4 2 3 2 4 2 2 3" xfId="17909" xr:uid="{00000000-0005-0000-0000-00001A3B0000}"/>
    <cellStyle name="Normal 4 4 2 3 2 4 2 2 3 2" xfId="42485" xr:uid="{00000000-0005-0000-0000-00001B3B0000}"/>
    <cellStyle name="Normal 4 4 2 3 2 4 2 2 4" xfId="30197" xr:uid="{00000000-0005-0000-0000-00001C3B0000}"/>
    <cellStyle name="Normal 4 4 2 3 2 4 2 3" xfId="8693" xr:uid="{00000000-0005-0000-0000-00001D3B0000}"/>
    <cellStyle name="Normal 4 4 2 3 2 4 2 3 2" xfId="20981" xr:uid="{00000000-0005-0000-0000-00001E3B0000}"/>
    <cellStyle name="Normal 4 4 2 3 2 4 2 3 2 2" xfId="45557" xr:uid="{00000000-0005-0000-0000-00001F3B0000}"/>
    <cellStyle name="Normal 4 4 2 3 2 4 2 3 3" xfId="33269" xr:uid="{00000000-0005-0000-0000-0000203B0000}"/>
    <cellStyle name="Normal 4 4 2 3 2 4 2 4" xfId="14837" xr:uid="{00000000-0005-0000-0000-0000213B0000}"/>
    <cellStyle name="Normal 4 4 2 3 2 4 2 4 2" xfId="39413" xr:uid="{00000000-0005-0000-0000-0000223B0000}"/>
    <cellStyle name="Normal 4 4 2 3 2 4 2 5" xfId="27125" xr:uid="{00000000-0005-0000-0000-0000233B0000}"/>
    <cellStyle name="Normal 4 4 2 3 2 4 3" xfId="4085" xr:uid="{00000000-0005-0000-0000-0000243B0000}"/>
    <cellStyle name="Normal 4 4 2 3 2 4 3 2" xfId="10229" xr:uid="{00000000-0005-0000-0000-0000253B0000}"/>
    <cellStyle name="Normal 4 4 2 3 2 4 3 2 2" xfId="22517" xr:uid="{00000000-0005-0000-0000-0000263B0000}"/>
    <cellStyle name="Normal 4 4 2 3 2 4 3 2 2 2" xfId="47093" xr:uid="{00000000-0005-0000-0000-0000273B0000}"/>
    <cellStyle name="Normal 4 4 2 3 2 4 3 2 3" xfId="34805" xr:uid="{00000000-0005-0000-0000-0000283B0000}"/>
    <cellStyle name="Normal 4 4 2 3 2 4 3 3" xfId="16373" xr:uid="{00000000-0005-0000-0000-0000293B0000}"/>
    <cellStyle name="Normal 4 4 2 3 2 4 3 3 2" xfId="40949" xr:uid="{00000000-0005-0000-0000-00002A3B0000}"/>
    <cellStyle name="Normal 4 4 2 3 2 4 3 4" xfId="28661" xr:uid="{00000000-0005-0000-0000-00002B3B0000}"/>
    <cellStyle name="Normal 4 4 2 3 2 4 4" xfId="7157" xr:uid="{00000000-0005-0000-0000-00002C3B0000}"/>
    <cellStyle name="Normal 4 4 2 3 2 4 4 2" xfId="19445" xr:uid="{00000000-0005-0000-0000-00002D3B0000}"/>
    <cellStyle name="Normal 4 4 2 3 2 4 4 2 2" xfId="44021" xr:uid="{00000000-0005-0000-0000-00002E3B0000}"/>
    <cellStyle name="Normal 4 4 2 3 2 4 4 3" xfId="31733" xr:uid="{00000000-0005-0000-0000-00002F3B0000}"/>
    <cellStyle name="Normal 4 4 2 3 2 4 5" xfId="13301" xr:uid="{00000000-0005-0000-0000-0000303B0000}"/>
    <cellStyle name="Normal 4 4 2 3 2 4 5 2" xfId="37877" xr:uid="{00000000-0005-0000-0000-0000313B0000}"/>
    <cellStyle name="Normal 4 4 2 3 2 4 6" xfId="25589" xr:uid="{00000000-0005-0000-0000-0000323B0000}"/>
    <cellStyle name="Normal 4 4 2 3 2 5" xfId="1777" xr:uid="{00000000-0005-0000-0000-0000333B0000}"/>
    <cellStyle name="Normal 4 4 2 3 2 5 2" xfId="4853" xr:uid="{00000000-0005-0000-0000-0000343B0000}"/>
    <cellStyle name="Normal 4 4 2 3 2 5 2 2" xfId="10997" xr:uid="{00000000-0005-0000-0000-0000353B0000}"/>
    <cellStyle name="Normal 4 4 2 3 2 5 2 2 2" xfId="23285" xr:uid="{00000000-0005-0000-0000-0000363B0000}"/>
    <cellStyle name="Normal 4 4 2 3 2 5 2 2 2 2" xfId="47861" xr:uid="{00000000-0005-0000-0000-0000373B0000}"/>
    <cellStyle name="Normal 4 4 2 3 2 5 2 2 3" xfId="35573" xr:uid="{00000000-0005-0000-0000-0000383B0000}"/>
    <cellStyle name="Normal 4 4 2 3 2 5 2 3" xfId="17141" xr:uid="{00000000-0005-0000-0000-0000393B0000}"/>
    <cellStyle name="Normal 4 4 2 3 2 5 2 3 2" xfId="41717" xr:uid="{00000000-0005-0000-0000-00003A3B0000}"/>
    <cellStyle name="Normal 4 4 2 3 2 5 2 4" xfId="29429" xr:uid="{00000000-0005-0000-0000-00003B3B0000}"/>
    <cellStyle name="Normal 4 4 2 3 2 5 3" xfId="7925" xr:uid="{00000000-0005-0000-0000-00003C3B0000}"/>
    <cellStyle name="Normal 4 4 2 3 2 5 3 2" xfId="20213" xr:uid="{00000000-0005-0000-0000-00003D3B0000}"/>
    <cellStyle name="Normal 4 4 2 3 2 5 3 2 2" xfId="44789" xr:uid="{00000000-0005-0000-0000-00003E3B0000}"/>
    <cellStyle name="Normal 4 4 2 3 2 5 3 3" xfId="32501" xr:uid="{00000000-0005-0000-0000-00003F3B0000}"/>
    <cellStyle name="Normal 4 4 2 3 2 5 4" xfId="14069" xr:uid="{00000000-0005-0000-0000-0000403B0000}"/>
    <cellStyle name="Normal 4 4 2 3 2 5 4 2" xfId="38645" xr:uid="{00000000-0005-0000-0000-0000413B0000}"/>
    <cellStyle name="Normal 4 4 2 3 2 5 5" xfId="26357" xr:uid="{00000000-0005-0000-0000-0000423B0000}"/>
    <cellStyle name="Normal 4 4 2 3 2 6" xfId="3317" xr:uid="{00000000-0005-0000-0000-0000433B0000}"/>
    <cellStyle name="Normal 4 4 2 3 2 6 2" xfId="9461" xr:uid="{00000000-0005-0000-0000-0000443B0000}"/>
    <cellStyle name="Normal 4 4 2 3 2 6 2 2" xfId="21749" xr:uid="{00000000-0005-0000-0000-0000453B0000}"/>
    <cellStyle name="Normal 4 4 2 3 2 6 2 2 2" xfId="46325" xr:uid="{00000000-0005-0000-0000-0000463B0000}"/>
    <cellStyle name="Normal 4 4 2 3 2 6 2 3" xfId="34037" xr:uid="{00000000-0005-0000-0000-0000473B0000}"/>
    <cellStyle name="Normal 4 4 2 3 2 6 3" xfId="15605" xr:uid="{00000000-0005-0000-0000-0000483B0000}"/>
    <cellStyle name="Normal 4 4 2 3 2 6 3 2" xfId="40181" xr:uid="{00000000-0005-0000-0000-0000493B0000}"/>
    <cellStyle name="Normal 4 4 2 3 2 6 4" xfId="27893" xr:uid="{00000000-0005-0000-0000-00004A3B0000}"/>
    <cellStyle name="Normal 4 4 2 3 2 7" xfId="6389" xr:uid="{00000000-0005-0000-0000-00004B3B0000}"/>
    <cellStyle name="Normal 4 4 2 3 2 7 2" xfId="18677" xr:uid="{00000000-0005-0000-0000-00004C3B0000}"/>
    <cellStyle name="Normal 4 4 2 3 2 7 2 2" xfId="43253" xr:uid="{00000000-0005-0000-0000-00004D3B0000}"/>
    <cellStyle name="Normal 4 4 2 3 2 7 3" xfId="30965" xr:uid="{00000000-0005-0000-0000-00004E3B0000}"/>
    <cellStyle name="Normal 4 4 2 3 2 8" xfId="12533" xr:uid="{00000000-0005-0000-0000-00004F3B0000}"/>
    <cellStyle name="Normal 4 4 2 3 2 8 2" xfId="37109" xr:uid="{00000000-0005-0000-0000-0000503B0000}"/>
    <cellStyle name="Normal 4 4 2 3 2 9" xfId="24821" xr:uid="{00000000-0005-0000-0000-0000513B0000}"/>
    <cellStyle name="Normal 4 4 2 3 3" xfId="305" xr:uid="{00000000-0005-0000-0000-0000523B0000}"/>
    <cellStyle name="Normal 4 4 2 3 3 2" xfId="497" xr:uid="{00000000-0005-0000-0000-0000533B0000}"/>
    <cellStyle name="Normal 4 4 2 3 3 2 2" xfId="881" xr:uid="{00000000-0005-0000-0000-0000543B0000}"/>
    <cellStyle name="Normal 4 4 2 3 3 2 2 2" xfId="1649" xr:uid="{00000000-0005-0000-0000-0000553B0000}"/>
    <cellStyle name="Normal 4 4 2 3 3 2 2 2 2" xfId="3185" xr:uid="{00000000-0005-0000-0000-0000563B0000}"/>
    <cellStyle name="Normal 4 4 2 3 3 2 2 2 2 2" xfId="6261" xr:uid="{00000000-0005-0000-0000-0000573B0000}"/>
    <cellStyle name="Normal 4 4 2 3 3 2 2 2 2 2 2" xfId="12405" xr:uid="{00000000-0005-0000-0000-0000583B0000}"/>
    <cellStyle name="Normal 4 4 2 3 3 2 2 2 2 2 2 2" xfId="24693" xr:uid="{00000000-0005-0000-0000-0000593B0000}"/>
    <cellStyle name="Normal 4 4 2 3 3 2 2 2 2 2 2 2 2" xfId="49269" xr:uid="{00000000-0005-0000-0000-00005A3B0000}"/>
    <cellStyle name="Normal 4 4 2 3 3 2 2 2 2 2 2 3" xfId="36981" xr:uid="{00000000-0005-0000-0000-00005B3B0000}"/>
    <cellStyle name="Normal 4 4 2 3 3 2 2 2 2 2 3" xfId="18549" xr:uid="{00000000-0005-0000-0000-00005C3B0000}"/>
    <cellStyle name="Normal 4 4 2 3 3 2 2 2 2 2 3 2" xfId="43125" xr:uid="{00000000-0005-0000-0000-00005D3B0000}"/>
    <cellStyle name="Normal 4 4 2 3 3 2 2 2 2 2 4" xfId="30837" xr:uid="{00000000-0005-0000-0000-00005E3B0000}"/>
    <cellStyle name="Normal 4 4 2 3 3 2 2 2 2 3" xfId="9333" xr:uid="{00000000-0005-0000-0000-00005F3B0000}"/>
    <cellStyle name="Normal 4 4 2 3 3 2 2 2 2 3 2" xfId="21621" xr:uid="{00000000-0005-0000-0000-0000603B0000}"/>
    <cellStyle name="Normal 4 4 2 3 3 2 2 2 2 3 2 2" xfId="46197" xr:uid="{00000000-0005-0000-0000-0000613B0000}"/>
    <cellStyle name="Normal 4 4 2 3 3 2 2 2 2 3 3" xfId="33909" xr:uid="{00000000-0005-0000-0000-0000623B0000}"/>
    <cellStyle name="Normal 4 4 2 3 3 2 2 2 2 4" xfId="15477" xr:uid="{00000000-0005-0000-0000-0000633B0000}"/>
    <cellStyle name="Normal 4 4 2 3 3 2 2 2 2 4 2" xfId="40053" xr:uid="{00000000-0005-0000-0000-0000643B0000}"/>
    <cellStyle name="Normal 4 4 2 3 3 2 2 2 2 5" xfId="27765" xr:uid="{00000000-0005-0000-0000-0000653B0000}"/>
    <cellStyle name="Normal 4 4 2 3 3 2 2 2 3" xfId="4725" xr:uid="{00000000-0005-0000-0000-0000663B0000}"/>
    <cellStyle name="Normal 4 4 2 3 3 2 2 2 3 2" xfId="10869" xr:uid="{00000000-0005-0000-0000-0000673B0000}"/>
    <cellStyle name="Normal 4 4 2 3 3 2 2 2 3 2 2" xfId="23157" xr:uid="{00000000-0005-0000-0000-0000683B0000}"/>
    <cellStyle name="Normal 4 4 2 3 3 2 2 2 3 2 2 2" xfId="47733" xr:uid="{00000000-0005-0000-0000-0000693B0000}"/>
    <cellStyle name="Normal 4 4 2 3 3 2 2 2 3 2 3" xfId="35445" xr:uid="{00000000-0005-0000-0000-00006A3B0000}"/>
    <cellStyle name="Normal 4 4 2 3 3 2 2 2 3 3" xfId="17013" xr:uid="{00000000-0005-0000-0000-00006B3B0000}"/>
    <cellStyle name="Normal 4 4 2 3 3 2 2 2 3 3 2" xfId="41589" xr:uid="{00000000-0005-0000-0000-00006C3B0000}"/>
    <cellStyle name="Normal 4 4 2 3 3 2 2 2 3 4" xfId="29301" xr:uid="{00000000-0005-0000-0000-00006D3B0000}"/>
    <cellStyle name="Normal 4 4 2 3 3 2 2 2 4" xfId="7797" xr:uid="{00000000-0005-0000-0000-00006E3B0000}"/>
    <cellStyle name="Normal 4 4 2 3 3 2 2 2 4 2" xfId="20085" xr:uid="{00000000-0005-0000-0000-00006F3B0000}"/>
    <cellStyle name="Normal 4 4 2 3 3 2 2 2 4 2 2" xfId="44661" xr:uid="{00000000-0005-0000-0000-0000703B0000}"/>
    <cellStyle name="Normal 4 4 2 3 3 2 2 2 4 3" xfId="32373" xr:uid="{00000000-0005-0000-0000-0000713B0000}"/>
    <cellStyle name="Normal 4 4 2 3 3 2 2 2 5" xfId="13941" xr:uid="{00000000-0005-0000-0000-0000723B0000}"/>
    <cellStyle name="Normal 4 4 2 3 3 2 2 2 5 2" xfId="38517" xr:uid="{00000000-0005-0000-0000-0000733B0000}"/>
    <cellStyle name="Normal 4 4 2 3 3 2 2 2 6" xfId="26229" xr:uid="{00000000-0005-0000-0000-0000743B0000}"/>
    <cellStyle name="Normal 4 4 2 3 3 2 2 3" xfId="2417" xr:uid="{00000000-0005-0000-0000-0000753B0000}"/>
    <cellStyle name="Normal 4 4 2 3 3 2 2 3 2" xfId="5493" xr:uid="{00000000-0005-0000-0000-0000763B0000}"/>
    <cellStyle name="Normal 4 4 2 3 3 2 2 3 2 2" xfId="11637" xr:uid="{00000000-0005-0000-0000-0000773B0000}"/>
    <cellStyle name="Normal 4 4 2 3 3 2 2 3 2 2 2" xfId="23925" xr:uid="{00000000-0005-0000-0000-0000783B0000}"/>
    <cellStyle name="Normal 4 4 2 3 3 2 2 3 2 2 2 2" xfId="48501" xr:uid="{00000000-0005-0000-0000-0000793B0000}"/>
    <cellStyle name="Normal 4 4 2 3 3 2 2 3 2 2 3" xfId="36213" xr:uid="{00000000-0005-0000-0000-00007A3B0000}"/>
    <cellStyle name="Normal 4 4 2 3 3 2 2 3 2 3" xfId="17781" xr:uid="{00000000-0005-0000-0000-00007B3B0000}"/>
    <cellStyle name="Normal 4 4 2 3 3 2 2 3 2 3 2" xfId="42357" xr:uid="{00000000-0005-0000-0000-00007C3B0000}"/>
    <cellStyle name="Normal 4 4 2 3 3 2 2 3 2 4" xfId="30069" xr:uid="{00000000-0005-0000-0000-00007D3B0000}"/>
    <cellStyle name="Normal 4 4 2 3 3 2 2 3 3" xfId="8565" xr:uid="{00000000-0005-0000-0000-00007E3B0000}"/>
    <cellStyle name="Normal 4 4 2 3 3 2 2 3 3 2" xfId="20853" xr:uid="{00000000-0005-0000-0000-00007F3B0000}"/>
    <cellStyle name="Normal 4 4 2 3 3 2 2 3 3 2 2" xfId="45429" xr:uid="{00000000-0005-0000-0000-0000803B0000}"/>
    <cellStyle name="Normal 4 4 2 3 3 2 2 3 3 3" xfId="33141" xr:uid="{00000000-0005-0000-0000-0000813B0000}"/>
    <cellStyle name="Normal 4 4 2 3 3 2 2 3 4" xfId="14709" xr:uid="{00000000-0005-0000-0000-0000823B0000}"/>
    <cellStyle name="Normal 4 4 2 3 3 2 2 3 4 2" xfId="39285" xr:uid="{00000000-0005-0000-0000-0000833B0000}"/>
    <cellStyle name="Normal 4 4 2 3 3 2 2 3 5" xfId="26997" xr:uid="{00000000-0005-0000-0000-0000843B0000}"/>
    <cellStyle name="Normal 4 4 2 3 3 2 2 4" xfId="3957" xr:uid="{00000000-0005-0000-0000-0000853B0000}"/>
    <cellStyle name="Normal 4 4 2 3 3 2 2 4 2" xfId="10101" xr:uid="{00000000-0005-0000-0000-0000863B0000}"/>
    <cellStyle name="Normal 4 4 2 3 3 2 2 4 2 2" xfId="22389" xr:uid="{00000000-0005-0000-0000-0000873B0000}"/>
    <cellStyle name="Normal 4 4 2 3 3 2 2 4 2 2 2" xfId="46965" xr:uid="{00000000-0005-0000-0000-0000883B0000}"/>
    <cellStyle name="Normal 4 4 2 3 3 2 2 4 2 3" xfId="34677" xr:uid="{00000000-0005-0000-0000-0000893B0000}"/>
    <cellStyle name="Normal 4 4 2 3 3 2 2 4 3" xfId="16245" xr:uid="{00000000-0005-0000-0000-00008A3B0000}"/>
    <cellStyle name="Normal 4 4 2 3 3 2 2 4 3 2" xfId="40821" xr:uid="{00000000-0005-0000-0000-00008B3B0000}"/>
    <cellStyle name="Normal 4 4 2 3 3 2 2 4 4" xfId="28533" xr:uid="{00000000-0005-0000-0000-00008C3B0000}"/>
    <cellStyle name="Normal 4 4 2 3 3 2 2 5" xfId="7029" xr:uid="{00000000-0005-0000-0000-00008D3B0000}"/>
    <cellStyle name="Normal 4 4 2 3 3 2 2 5 2" xfId="19317" xr:uid="{00000000-0005-0000-0000-00008E3B0000}"/>
    <cellStyle name="Normal 4 4 2 3 3 2 2 5 2 2" xfId="43893" xr:uid="{00000000-0005-0000-0000-00008F3B0000}"/>
    <cellStyle name="Normal 4 4 2 3 3 2 2 5 3" xfId="31605" xr:uid="{00000000-0005-0000-0000-0000903B0000}"/>
    <cellStyle name="Normal 4 4 2 3 3 2 2 6" xfId="13173" xr:uid="{00000000-0005-0000-0000-0000913B0000}"/>
    <cellStyle name="Normal 4 4 2 3 3 2 2 6 2" xfId="37749" xr:uid="{00000000-0005-0000-0000-0000923B0000}"/>
    <cellStyle name="Normal 4 4 2 3 3 2 2 7" xfId="25461" xr:uid="{00000000-0005-0000-0000-0000933B0000}"/>
    <cellStyle name="Normal 4 4 2 3 3 2 3" xfId="1265" xr:uid="{00000000-0005-0000-0000-0000943B0000}"/>
    <cellStyle name="Normal 4 4 2 3 3 2 3 2" xfId="2801" xr:uid="{00000000-0005-0000-0000-0000953B0000}"/>
    <cellStyle name="Normal 4 4 2 3 3 2 3 2 2" xfId="5877" xr:uid="{00000000-0005-0000-0000-0000963B0000}"/>
    <cellStyle name="Normal 4 4 2 3 3 2 3 2 2 2" xfId="12021" xr:uid="{00000000-0005-0000-0000-0000973B0000}"/>
    <cellStyle name="Normal 4 4 2 3 3 2 3 2 2 2 2" xfId="24309" xr:uid="{00000000-0005-0000-0000-0000983B0000}"/>
    <cellStyle name="Normal 4 4 2 3 3 2 3 2 2 2 2 2" xfId="48885" xr:uid="{00000000-0005-0000-0000-0000993B0000}"/>
    <cellStyle name="Normal 4 4 2 3 3 2 3 2 2 2 3" xfId="36597" xr:uid="{00000000-0005-0000-0000-00009A3B0000}"/>
    <cellStyle name="Normal 4 4 2 3 3 2 3 2 2 3" xfId="18165" xr:uid="{00000000-0005-0000-0000-00009B3B0000}"/>
    <cellStyle name="Normal 4 4 2 3 3 2 3 2 2 3 2" xfId="42741" xr:uid="{00000000-0005-0000-0000-00009C3B0000}"/>
    <cellStyle name="Normal 4 4 2 3 3 2 3 2 2 4" xfId="30453" xr:uid="{00000000-0005-0000-0000-00009D3B0000}"/>
    <cellStyle name="Normal 4 4 2 3 3 2 3 2 3" xfId="8949" xr:uid="{00000000-0005-0000-0000-00009E3B0000}"/>
    <cellStyle name="Normal 4 4 2 3 3 2 3 2 3 2" xfId="21237" xr:uid="{00000000-0005-0000-0000-00009F3B0000}"/>
    <cellStyle name="Normal 4 4 2 3 3 2 3 2 3 2 2" xfId="45813" xr:uid="{00000000-0005-0000-0000-0000A03B0000}"/>
    <cellStyle name="Normal 4 4 2 3 3 2 3 2 3 3" xfId="33525" xr:uid="{00000000-0005-0000-0000-0000A13B0000}"/>
    <cellStyle name="Normal 4 4 2 3 3 2 3 2 4" xfId="15093" xr:uid="{00000000-0005-0000-0000-0000A23B0000}"/>
    <cellStyle name="Normal 4 4 2 3 3 2 3 2 4 2" xfId="39669" xr:uid="{00000000-0005-0000-0000-0000A33B0000}"/>
    <cellStyle name="Normal 4 4 2 3 3 2 3 2 5" xfId="27381" xr:uid="{00000000-0005-0000-0000-0000A43B0000}"/>
    <cellStyle name="Normal 4 4 2 3 3 2 3 3" xfId="4341" xr:uid="{00000000-0005-0000-0000-0000A53B0000}"/>
    <cellStyle name="Normal 4 4 2 3 3 2 3 3 2" xfId="10485" xr:uid="{00000000-0005-0000-0000-0000A63B0000}"/>
    <cellStyle name="Normal 4 4 2 3 3 2 3 3 2 2" xfId="22773" xr:uid="{00000000-0005-0000-0000-0000A73B0000}"/>
    <cellStyle name="Normal 4 4 2 3 3 2 3 3 2 2 2" xfId="47349" xr:uid="{00000000-0005-0000-0000-0000A83B0000}"/>
    <cellStyle name="Normal 4 4 2 3 3 2 3 3 2 3" xfId="35061" xr:uid="{00000000-0005-0000-0000-0000A93B0000}"/>
    <cellStyle name="Normal 4 4 2 3 3 2 3 3 3" xfId="16629" xr:uid="{00000000-0005-0000-0000-0000AA3B0000}"/>
    <cellStyle name="Normal 4 4 2 3 3 2 3 3 3 2" xfId="41205" xr:uid="{00000000-0005-0000-0000-0000AB3B0000}"/>
    <cellStyle name="Normal 4 4 2 3 3 2 3 3 4" xfId="28917" xr:uid="{00000000-0005-0000-0000-0000AC3B0000}"/>
    <cellStyle name="Normal 4 4 2 3 3 2 3 4" xfId="7413" xr:uid="{00000000-0005-0000-0000-0000AD3B0000}"/>
    <cellStyle name="Normal 4 4 2 3 3 2 3 4 2" xfId="19701" xr:uid="{00000000-0005-0000-0000-0000AE3B0000}"/>
    <cellStyle name="Normal 4 4 2 3 3 2 3 4 2 2" xfId="44277" xr:uid="{00000000-0005-0000-0000-0000AF3B0000}"/>
    <cellStyle name="Normal 4 4 2 3 3 2 3 4 3" xfId="31989" xr:uid="{00000000-0005-0000-0000-0000B03B0000}"/>
    <cellStyle name="Normal 4 4 2 3 3 2 3 5" xfId="13557" xr:uid="{00000000-0005-0000-0000-0000B13B0000}"/>
    <cellStyle name="Normal 4 4 2 3 3 2 3 5 2" xfId="38133" xr:uid="{00000000-0005-0000-0000-0000B23B0000}"/>
    <cellStyle name="Normal 4 4 2 3 3 2 3 6" xfId="25845" xr:uid="{00000000-0005-0000-0000-0000B33B0000}"/>
    <cellStyle name="Normal 4 4 2 3 3 2 4" xfId="2033" xr:uid="{00000000-0005-0000-0000-0000B43B0000}"/>
    <cellStyle name="Normal 4 4 2 3 3 2 4 2" xfId="5109" xr:uid="{00000000-0005-0000-0000-0000B53B0000}"/>
    <cellStyle name="Normal 4 4 2 3 3 2 4 2 2" xfId="11253" xr:uid="{00000000-0005-0000-0000-0000B63B0000}"/>
    <cellStyle name="Normal 4 4 2 3 3 2 4 2 2 2" xfId="23541" xr:uid="{00000000-0005-0000-0000-0000B73B0000}"/>
    <cellStyle name="Normal 4 4 2 3 3 2 4 2 2 2 2" xfId="48117" xr:uid="{00000000-0005-0000-0000-0000B83B0000}"/>
    <cellStyle name="Normal 4 4 2 3 3 2 4 2 2 3" xfId="35829" xr:uid="{00000000-0005-0000-0000-0000B93B0000}"/>
    <cellStyle name="Normal 4 4 2 3 3 2 4 2 3" xfId="17397" xr:uid="{00000000-0005-0000-0000-0000BA3B0000}"/>
    <cellStyle name="Normal 4 4 2 3 3 2 4 2 3 2" xfId="41973" xr:uid="{00000000-0005-0000-0000-0000BB3B0000}"/>
    <cellStyle name="Normal 4 4 2 3 3 2 4 2 4" xfId="29685" xr:uid="{00000000-0005-0000-0000-0000BC3B0000}"/>
    <cellStyle name="Normal 4 4 2 3 3 2 4 3" xfId="8181" xr:uid="{00000000-0005-0000-0000-0000BD3B0000}"/>
    <cellStyle name="Normal 4 4 2 3 3 2 4 3 2" xfId="20469" xr:uid="{00000000-0005-0000-0000-0000BE3B0000}"/>
    <cellStyle name="Normal 4 4 2 3 3 2 4 3 2 2" xfId="45045" xr:uid="{00000000-0005-0000-0000-0000BF3B0000}"/>
    <cellStyle name="Normal 4 4 2 3 3 2 4 3 3" xfId="32757" xr:uid="{00000000-0005-0000-0000-0000C03B0000}"/>
    <cellStyle name="Normal 4 4 2 3 3 2 4 4" xfId="14325" xr:uid="{00000000-0005-0000-0000-0000C13B0000}"/>
    <cellStyle name="Normal 4 4 2 3 3 2 4 4 2" xfId="38901" xr:uid="{00000000-0005-0000-0000-0000C23B0000}"/>
    <cellStyle name="Normal 4 4 2 3 3 2 4 5" xfId="26613" xr:uid="{00000000-0005-0000-0000-0000C33B0000}"/>
    <cellStyle name="Normal 4 4 2 3 3 2 5" xfId="3573" xr:uid="{00000000-0005-0000-0000-0000C43B0000}"/>
    <cellStyle name="Normal 4 4 2 3 3 2 5 2" xfId="9717" xr:uid="{00000000-0005-0000-0000-0000C53B0000}"/>
    <cellStyle name="Normal 4 4 2 3 3 2 5 2 2" xfId="22005" xr:uid="{00000000-0005-0000-0000-0000C63B0000}"/>
    <cellStyle name="Normal 4 4 2 3 3 2 5 2 2 2" xfId="46581" xr:uid="{00000000-0005-0000-0000-0000C73B0000}"/>
    <cellStyle name="Normal 4 4 2 3 3 2 5 2 3" xfId="34293" xr:uid="{00000000-0005-0000-0000-0000C83B0000}"/>
    <cellStyle name="Normal 4 4 2 3 3 2 5 3" xfId="15861" xr:uid="{00000000-0005-0000-0000-0000C93B0000}"/>
    <cellStyle name="Normal 4 4 2 3 3 2 5 3 2" xfId="40437" xr:uid="{00000000-0005-0000-0000-0000CA3B0000}"/>
    <cellStyle name="Normal 4 4 2 3 3 2 5 4" xfId="28149" xr:uid="{00000000-0005-0000-0000-0000CB3B0000}"/>
    <cellStyle name="Normal 4 4 2 3 3 2 6" xfId="6645" xr:uid="{00000000-0005-0000-0000-0000CC3B0000}"/>
    <cellStyle name="Normal 4 4 2 3 3 2 6 2" xfId="18933" xr:uid="{00000000-0005-0000-0000-0000CD3B0000}"/>
    <cellStyle name="Normal 4 4 2 3 3 2 6 2 2" xfId="43509" xr:uid="{00000000-0005-0000-0000-0000CE3B0000}"/>
    <cellStyle name="Normal 4 4 2 3 3 2 6 3" xfId="31221" xr:uid="{00000000-0005-0000-0000-0000CF3B0000}"/>
    <cellStyle name="Normal 4 4 2 3 3 2 7" xfId="12789" xr:uid="{00000000-0005-0000-0000-0000D03B0000}"/>
    <cellStyle name="Normal 4 4 2 3 3 2 7 2" xfId="37365" xr:uid="{00000000-0005-0000-0000-0000D13B0000}"/>
    <cellStyle name="Normal 4 4 2 3 3 2 8" xfId="25077" xr:uid="{00000000-0005-0000-0000-0000D23B0000}"/>
    <cellStyle name="Normal 4 4 2 3 3 3" xfId="689" xr:uid="{00000000-0005-0000-0000-0000D33B0000}"/>
    <cellStyle name="Normal 4 4 2 3 3 3 2" xfId="1457" xr:uid="{00000000-0005-0000-0000-0000D43B0000}"/>
    <cellStyle name="Normal 4 4 2 3 3 3 2 2" xfId="2993" xr:uid="{00000000-0005-0000-0000-0000D53B0000}"/>
    <cellStyle name="Normal 4 4 2 3 3 3 2 2 2" xfId="6069" xr:uid="{00000000-0005-0000-0000-0000D63B0000}"/>
    <cellStyle name="Normal 4 4 2 3 3 3 2 2 2 2" xfId="12213" xr:uid="{00000000-0005-0000-0000-0000D73B0000}"/>
    <cellStyle name="Normal 4 4 2 3 3 3 2 2 2 2 2" xfId="24501" xr:uid="{00000000-0005-0000-0000-0000D83B0000}"/>
    <cellStyle name="Normal 4 4 2 3 3 3 2 2 2 2 2 2" xfId="49077" xr:uid="{00000000-0005-0000-0000-0000D93B0000}"/>
    <cellStyle name="Normal 4 4 2 3 3 3 2 2 2 2 3" xfId="36789" xr:uid="{00000000-0005-0000-0000-0000DA3B0000}"/>
    <cellStyle name="Normal 4 4 2 3 3 3 2 2 2 3" xfId="18357" xr:uid="{00000000-0005-0000-0000-0000DB3B0000}"/>
    <cellStyle name="Normal 4 4 2 3 3 3 2 2 2 3 2" xfId="42933" xr:uid="{00000000-0005-0000-0000-0000DC3B0000}"/>
    <cellStyle name="Normal 4 4 2 3 3 3 2 2 2 4" xfId="30645" xr:uid="{00000000-0005-0000-0000-0000DD3B0000}"/>
    <cellStyle name="Normal 4 4 2 3 3 3 2 2 3" xfId="9141" xr:uid="{00000000-0005-0000-0000-0000DE3B0000}"/>
    <cellStyle name="Normal 4 4 2 3 3 3 2 2 3 2" xfId="21429" xr:uid="{00000000-0005-0000-0000-0000DF3B0000}"/>
    <cellStyle name="Normal 4 4 2 3 3 3 2 2 3 2 2" xfId="46005" xr:uid="{00000000-0005-0000-0000-0000E03B0000}"/>
    <cellStyle name="Normal 4 4 2 3 3 3 2 2 3 3" xfId="33717" xr:uid="{00000000-0005-0000-0000-0000E13B0000}"/>
    <cellStyle name="Normal 4 4 2 3 3 3 2 2 4" xfId="15285" xr:uid="{00000000-0005-0000-0000-0000E23B0000}"/>
    <cellStyle name="Normal 4 4 2 3 3 3 2 2 4 2" xfId="39861" xr:uid="{00000000-0005-0000-0000-0000E33B0000}"/>
    <cellStyle name="Normal 4 4 2 3 3 3 2 2 5" xfId="27573" xr:uid="{00000000-0005-0000-0000-0000E43B0000}"/>
    <cellStyle name="Normal 4 4 2 3 3 3 2 3" xfId="4533" xr:uid="{00000000-0005-0000-0000-0000E53B0000}"/>
    <cellStyle name="Normal 4 4 2 3 3 3 2 3 2" xfId="10677" xr:uid="{00000000-0005-0000-0000-0000E63B0000}"/>
    <cellStyle name="Normal 4 4 2 3 3 3 2 3 2 2" xfId="22965" xr:uid="{00000000-0005-0000-0000-0000E73B0000}"/>
    <cellStyle name="Normal 4 4 2 3 3 3 2 3 2 2 2" xfId="47541" xr:uid="{00000000-0005-0000-0000-0000E83B0000}"/>
    <cellStyle name="Normal 4 4 2 3 3 3 2 3 2 3" xfId="35253" xr:uid="{00000000-0005-0000-0000-0000E93B0000}"/>
    <cellStyle name="Normal 4 4 2 3 3 3 2 3 3" xfId="16821" xr:uid="{00000000-0005-0000-0000-0000EA3B0000}"/>
    <cellStyle name="Normal 4 4 2 3 3 3 2 3 3 2" xfId="41397" xr:uid="{00000000-0005-0000-0000-0000EB3B0000}"/>
    <cellStyle name="Normal 4 4 2 3 3 3 2 3 4" xfId="29109" xr:uid="{00000000-0005-0000-0000-0000EC3B0000}"/>
    <cellStyle name="Normal 4 4 2 3 3 3 2 4" xfId="7605" xr:uid="{00000000-0005-0000-0000-0000ED3B0000}"/>
    <cellStyle name="Normal 4 4 2 3 3 3 2 4 2" xfId="19893" xr:uid="{00000000-0005-0000-0000-0000EE3B0000}"/>
    <cellStyle name="Normal 4 4 2 3 3 3 2 4 2 2" xfId="44469" xr:uid="{00000000-0005-0000-0000-0000EF3B0000}"/>
    <cellStyle name="Normal 4 4 2 3 3 3 2 4 3" xfId="32181" xr:uid="{00000000-0005-0000-0000-0000F03B0000}"/>
    <cellStyle name="Normal 4 4 2 3 3 3 2 5" xfId="13749" xr:uid="{00000000-0005-0000-0000-0000F13B0000}"/>
    <cellStyle name="Normal 4 4 2 3 3 3 2 5 2" xfId="38325" xr:uid="{00000000-0005-0000-0000-0000F23B0000}"/>
    <cellStyle name="Normal 4 4 2 3 3 3 2 6" xfId="26037" xr:uid="{00000000-0005-0000-0000-0000F33B0000}"/>
    <cellStyle name="Normal 4 4 2 3 3 3 3" xfId="2225" xr:uid="{00000000-0005-0000-0000-0000F43B0000}"/>
    <cellStyle name="Normal 4 4 2 3 3 3 3 2" xfId="5301" xr:uid="{00000000-0005-0000-0000-0000F53B0000}"/>
    <cellStyle name="Normal 4 4 2 3 3 3 3 2 2" xfId="11445" xr:uid="{00000000-0005-0000-0000-0000F63B0000}"/>
    <cellStyle name="Normal 4 4 2 3 3 3 3 2 2 2" xfId="23733" xr:uid="{00000000-0005-0000-0000-0000F73B0000}"/>
    <cellStyle name="Normal 4 4 2 3 3 3 3 2 2 2 2" xfId="48309" xr:uid="{00000000-0005-0000-0000-0000F83B0000}"/>
    <cellStyle name="Normal 4 4 2 3 3 3 3 2 2 3" xfId="36021" xr:uid="{00000000-0005-0000-0000-0000F93B0000}"/>
    <cellStyle name="Normal 4 4 2 3 3 3 3 2 3" xfId="17589" xr:uid="{00000000-0005-0000-0000-0000FA3B0000}"/>
    <cellStyle name="Normal 4 4 2 3 3 3 3 2 3 2" xfId="42165" xr:uid="{00000000-0005-0000-0000-0000FB3B0000}"/>
    <cellStyle name="Normal 4 4 2 3 3 3 3 2 4" xfId="29877" xr:uid="{00000000-0005-0000-0000-0000FC3B0000}"/>
    <cellStyle name="Normal 4 4 2 3 3 3 3 3" xfId="8373" xr:uid="{00000000-0005-0000-0000-0000FD3B0000}"/>
    <cellStyle name="Normal 4 4 2 3 3 3 3 3 2" xfId="20661" xr:uid="{00000000-0005-0000-0000-0000FE3B0000}"/>
    <cellStyle name="Normal 4 4 2 3 3 3 3 3 2 2" xfId="45237" xr:uid="{00000000-0005-0000-0000-0000FF3B0000}"/>
    <cellStyle name="Normal 4 4 2 3 3 3 3 3 3" xfId="32949" xr:uid="{00000000-0005-0000-0000-0000003C0000}"/>
    <cellStyle name="Normal 4 4 2 3 3 3 3 4" xfId="14517" xr:uid="{00000000-0005-0000-0000-0000013C0000}"/>
    <cellStyle name="Normal 4 4 2 3 3 3 3 4 2" xfId="39093" xr:uid="{00000000-0005-0000-0000-0000023C0000}"/>
    <cellStyle name="Normal 4 4 2 3 3 3 3 5" xfId="26805" xr:uid="{00000000-0005-0000-0000-0000033C0000}"/>
    <cellStyle name="Normal 4 4 2 3 3 3 4" xfId="3765" xr:uid="{00000000-0005-0000-0000-0000043C0000}"/>
    <cellStyle name="Normal 4 4 2 3 3 3 4 2" xfId="9909" xr:uid="{00000000-0005-0000-0000-0000053C0000}"/>
    <cellStyle name="Normal 4 4 2 3 3 3 4 2 2" xfId="22197" xr:uid="{00000000-0005-0000-0000-0000063C0000}"/>
    <cellStyle name="Normal 4 4 2 3 3 3 4 2 2 2" xfId="46773" xr:uid="{00000000-0005-0000-0000-0000073C0000}"/>
    <cellStyle name="Normal 4 4 2 3 3 3 4 2 3" xfId="34485" xr:uid="{00000000-0005-0000-0000-0000083C0000}"/>
    <cellStyle name="Normal 4 4 2 3 3 3 4 3" xfId="16053" xr:uid="{00000000-0005-0000-0000-0000093C0000}"/>
    <cellStyle name="Normal 4 4 2 3 3 3 4 3 2" xfId="40629" xr:uid="{00000000-0005-0000-0000-00000A3C0000}"/>
    <cellStyle name="Normal 4 4 2 3 3 3 4 4" xfId="28341" xr:uid="{00000000-0005-0000-0000-00000B3C0000}"/>
    <cellStyle name="Normal 4 4 2 3 3 3 5" xfId="6837" xr:uid="{00000000-0005-0000-0000-00000C3C0000}"/>
    <cellStyle name="Normal 4 4 2 3 3 3 5 2" xfId="19125" xr:uid="{00000000-0005-0000-0000-00000D3C0000}"/>
    <cellStyle name="Normal 4 4 2 3 3 3 5 2 2" xfId="43701" xr:uid="{00000000-0005-0000-0000-00000E3C0000}"/>
    <cellStyle name="Normal 4 4 2 3 3 3 5 3" xfId="31413" xr:uid="{00000000-0005-0000-0000-00000F3C0000}"/>
    <cellStyle name="Normal 4 4 2 3 3 3 6" xfId="12981" xr:uid="{00000000-0005-0000-0000-0000103C0000}"/>
    <cellStyle name="Normal 4 4 2 3 3 3 6 2" xfId="37557" xr:uid="{00000000-0005-0000-0000-0000113C0000}"/>
    <cellStyle name="Normal 4 4 2 3 3 3 7" xfId="25269" xr:uid="{00000000-0005-0000-0000-0000123C0000}"/>
    <cellStyle name="Normal 4 4 2 3 3 4" xfId="1073" xr:uid="{00000000-0005-0000-0000-0000133C0000}"/>
    <cellStyle name="Normal 4 4 2 3 3 4 2" xfId="2609" xr:uid="{00000000-0005-0000-0000-0000143C0000}"/>
    <cellStyle name="Normal 4 4 2 3 3 4 2 2" xfId="5685" xr:uid="{00000000-0005-0000-0000-0000153C0000}"/>
    <cellStyle name="Normal 4 4 2 3 3 4 2 2 2" xfId="11829" xr:uid="{00000000-0005-0000-0000-0000163C0000}"/>
    <cellStyle name="Normal 4 4 2 3 3 4 2 2 2 2" xfId="24117" xr:uid="{00000000-0005-0000-0000-0000173C0000}"/>
    <cellStyle name="Normal 4 4 2 3 3 4 2 2 2 2 2" xfId="48693" xr:uid="{00000000-0005-0000-0000-0000183C0000}"/>
    <cellStyle name="Normal 4 4 2 3 3 4 2 2 2 3" xfId="36405" xr:uid="{00000000-0005-0000-0000-0000193C0000}"/>
    <cellStyle name="Normal 4 4 2 3 3 4 2 2 3" xfId="17973" xr:uid="{00000000-0005-0000-0000-00001A3C0000}"/>
    <cellStyle name="Normal 4 4 2 3 3 4 2 2 3 2" xfId="42549" xr:uid="{00000000-0005-0000-0000-00001B3C0000}"/>
    <cellStyle name="Normal 4 4 2 3 3 4 2 2 4" xfId="30261" xr:uid="{00000000-0005-0000-0000-00001C3C0000}"/>
    <cellStyle name="Normal 4 4 2 3 3 4 2 3" xfId="8757" xr:uid="{00000000-0005-0000-0000-00001D3C0000}"/>
    <cellStyle name="Normal 4 4 2 3 3 4 2 3 2" xfId="21045" xr:uid="{00000000-0005-0000-0000-00001E3C0000}"/>
    <cellStyle name="Normal 4 4 2 3 3 4 2 3 2 2" xfId="45621" xr:uid="{00000000-0005-0000-0000-00001F3C0000}"/>
    <cellStyle name="Normal 4 4 2 3 3 4 2 3 3" xfId="33333" xr:uid="{00000000-0005-0000-0000-0000203C0000}"/>
    <cellStyle name="Normal 4 4 2 3 3 4 2 4" xfId="14901" xr:uid="{00000000-0005-0000-0000-0000213C0000}"/>
    <cellStyle name="Normal 4 4 2 3 3 4 2 4 2" xfId="39477" xr:uid="{00000000-0005-0000-0000-0000223C0000}"/>
    <cellStyle name="Normal 4 4 2 3 3 4 2 5" xfId="27189" xr:uid="{00000000-0005-0000-0000-0000233C0000}"/>
    <cellStyle name="Normal 4 4 2 3 3 4 3" xfId="4149" xr:uid="{00000000-0005-0000-0000-0000243C0000}"/>
    <cellStyle name="Normal 4 4 2 3 3 4 3 2" xfId="10293" xr:uid="{00000000-0005-0000-0000-0000253C0000}"/>
    <cellStyle name="Normal 4 4 2 3 3 4 3 2 2" xfId="22581" xr:uid="{00000000-0005-0000-0000-0000263C0000}"/>
    <cellStyle name="Normal 4 4 2 3 3 4 3 2 2 2" xfId="47157" xr:uid="{00000000-0005-0000-0000-0000273C0000}"/>
    <cellStyle name="Normal 4 4 2 3 3 4 3 2 3" xfId="34869" xr:uid="{00000000-0005-0000-0000-0000283C0000}"/>
    <cellStyle name="Normal 4 4 2 3 3 4 3 3" xfId="16437" xr:uid="{00000000-0005-0000-0000-0000293C0000}"/>
    <cellStyle name="Normal 4 4 2 3 3 4 3 3 2" xfId="41013" xr:uid="{00000000-0005-0000-0000-00002A3C0000}"/>
    <cellStyle name="Normal 4 4 2 3 3 4 3 4" xfId="28725" xr:uid="{00000000-0005-0000-0000-00002B3C0000}"/>
    <cellStyle name="Normal 4 4 2 3 3 4 4" xfId="7221" xr:uid="{00000000-0005-0000-0000-00002C3C0000}"/>
    <cellStyle name="Normal 4 4 2 3 3 4 4 2" xfId="19509" xr:uid="{00000000-0005-0000-0000-00002D3C0000}"/>
    <cellStyle name="Normal 4 4 2 3 3 4 4 2 2" xfId="44085" xr:uid="{00000000-0005-0000-0000-00002E3C0000}"/>
    <cellStyle name="Normal 4 4 2 3 3 4 4 3" xfId="31797" xr:uid="{00000000-0005-0000-0000-00002F3C0000}"/>
    <cellStyle name="Normal 4 4 2 3 3 4 5" xfId="13365" xr:uid="{00000000-0005-0000-0000-0000303C0000}"/>
    <cellStyle name="Normal 4 4 2 3 3 4 5 2" xfId="37941" xr:uid="{00000000-0005-0000-0000-0000313C0000}"/>
    <cellStyle name="Normal 4 4 2 3 3 4 6" xfId="25653" xr:uid="{00000000-0005-0000-0000-0000323C0000}"/>
    <cellStyle name="Normal 4 4 2 3 3 5" xfId="1841" xr:uid="{00000000-0005-0000-0000-0000333C0000}"/>
    <cellStyle name="Normal 4 4 2 3 3 5 2" xfId="4917" xr:uid="{00000000-0005-0000-0000-0000343C0000}"/>
    <cellStyle name="Normal 4 4 2 3 3 5 2 2" xfId="11061" xr:uid="{00000000-0005-0000-0000-0000353C0000}"/>
    <cellStyle name="Normal 4 4 2 3 3 5 2 2 2" xfId="23349" xr:uid="{00000000-0005-0000-0000-0000363C0000}"/>
    <cellStyle name="Normal 4 4 2 3 3 5 2 2 2 2" xfId="47925" xr:uid="{00000000-0005-0000-0000-0000373C0000}"/>
    <cellStyle name="Normal 4 4 2 3 3 5 2 2 3" xfId="35637" xr:uid="{00000000-0005-0000-0000-0000383C0000}"/>
    <cellStyle name="Normal 4 4 2 3 3 5 2 3" xfId="17205" xr:uid="{00000000-0005-0000-0000-0000393C0000}"/>
    <cellStyle name="Normal 4 4 2 3 3 5 2 3 2" xfId="41781" xr:uid="{00000000-0005-0000-0000-00003A3C0000}"/>
    <cellStyle name="Normal 4 4 2 3 3 5 2 4" xfId="29493" xr:uid="{00000000-0005-0000-0000-00003B3C0000}"/>
    <cellStyle name="Normal 4 4 2 3 3 5 3" xfId="7989" xr:uid="{00000000-0005-0000-0000-00003C3C0000}"/>
    <cellStyle name="Normal 4 4 2 3 3 5 3 2" xfId="20277" xr:uid="{00000000-0005-0000-0000-00003D3C0000}"/>
    <cellStyle name="Normal 4 4 2 3 3 5 3 2 2" xfId="44853" xr:uid="{00000000-0005-0000-0000-00003E3C0000}"/>
    <cellStyle name="Normal 4 4 2 3 3 5 3 3" xfId="32565" xr:uid="{00000000-0005-0000-0000-00003F3C0000}"/>
    <cellStyle name="Normal 4 4 2 3 3 5 4" xfId="14133" xr:uid="{00000000-0005-0000-0000-0000403C0000}"/>
    <cellStyle name="Normal 4 4 2 3 3 5 4 2" xfId="38709" xr:uid="{00000000-0005-0000-0000-0000413C0000}"/>
    <cellStyle name="Normal 4 4 2 3 3 5 5" xfId="26421" xr:uid="{00000000-0005-0000-0000-0000423C0000}"/>
    <cellStyle name="Normal 4 4 2 3 3 6" xfId="3381" xr:uid="{00000000-0005-0000-0000-0000433C0000}"/>
    <cellStyle name="Normal 4 4 2 3 3 6 2" xfId="9525" xr:uid="{00000000-0005-0000-0000-0000443C0000}"/>
    <cellStyle name="Normal 4 4 2 3 3 6 2 2" xfId="21813" xr:uid="{00000000-0005-0000-0000-0000453C0000}"/>
    <cellStyle name="Normal 4 4 2 3 3 6 2 2 2" xfId="46389" xr:uid="{00000000-0005-0000-0000-0000463C0000}"/>
    <cellStyle name="Normal 4 4 2 3 3 6 2 3" xfId="34101" xr:uid="{00000000-0005-0000-0000-0000473C0000}"/>
    <cellStyle name="Normal 4 4 2 3 3 6 3" xfId="15669" xr:uid="{00000000-0005-0000-0000-0000483C0000}"/>
    <cellStyle name="Normal 4 4 2 3 3 6 3 2" xfId="40245" xr:uid="{00000000-0005-0000-0000-0000493C0000}"/>
    <cellStyle name="Normal 4 4 2 3 3 6 4" xfId="27957" xr:uid="{00000000-0005-0000-0000-00004A3C0000}"/>
    <cellStyle name="Normal 4 4 2 3 3 7" xfId="6453" xr:uid="{00000000-0005-0000-0000-00004B3C0000}"/>
    <cellStyle name="Normal 4 4 2 3 3 7 2" xfId="18741" xr:uid="{00000000-0005-0000-0000-00004C3C0000}"/>
    <cellStyle name="Normal 4 4 2 3 3 7 2 2" xfId="43317" xr:uid="{00000000-0005-0000-0000-00004D3C0000}"/>
    <cellStyle name="Normal 4 4 2 3 3 7 3" xfId="31029" xr:uid="{00000000-0005-0000-0000-00004E3C0000}"/>
    <cellStyle name="Normal 4 4 2 3 3 8" xfId="12597" xr:uid="{00000000-0005-0000-0000-00004F3C0000}"/>
    <cellStyle name="Normal 4 4 2 3 3 8 2" xfId="37173" xr:uid="{00000000-0005-0000-0000-0000503C0000}"/>
    <cellStyle name="Normal 4 4 2 3 3 9" xfId="24885" xr:uid="{00000000-0005-0000-0000-0000513C0000}"/>
    <cellStyle name="Normal 4 4 2 3 4" xfId="369" xr:uid="{00000000-0005-0000-0000-0000523C0000}"/>
    <cellStyle name="Normal 4 4 2 3 4 2" xfId="753" xr:uid="{00000000-0005-0000-0000-0000533C0000}"/>
    <cellStyle name="Normal 4 4 2 3 4 2 2" xfId="1521" xr:uid="{00000000-0005-0000-0000-0000543C0000}"/>
    <cellStyle name="Normal 4 4 2 3 4 2 2 2" xfId="3057" xr:uid="{00000000-0005-0000-0000-0000553C0000}"/>
    <cellStyle name="Normal 4 4 2 3 4 2 2 2 2" xfId="6133" xr:uid="{00000000-0005-0000-0000-0000563C0000}"/>
    <cellStyle name="Normal 4 4 2 3 4 2 2 2 2 2" xfId="12277" xr:uid="{00000000-0005-0000-0000-0000573C0000}"/>
    <cellStyle name="Normal 4 4 2 3 4 2 2 2 2 2 2" xfId="24565" xr:uid="{00000000-0005-0000-0000-0000583C0000}"/>
    <cellStyle name="Normal 4 4 2 3 4 2 2 2 2 2 2 2" xfId="49141" xr:uid="{00000000-0005-0000-0000-0000593C0000}"/>
    <cellStyle name="Normal 4 4 2 3 4 2 2 2 2 2 3" xfId="36853" xr:uid="{00000000-0005-0000-0000-00005A3C0000}"/>
    <cellStyle name="Normal 4 4 2 3 4 2 2 2 2 3" xfId="18421" xr:uid="{00000000-0005-0000-0000-00005B3C0000}"/>
    <cellStyle name="Normal 4 4 2 3 4 2 2 2 2 3 2" xfId="42997" xr:uid="{00000000-0005-0000-0000-00005C3C0000}"/>
    <cellStyle name="Normal 4 4 2 3 4 2 2 2 2 4" xfId="30709" xr:uid="{00000000-0005-0000-0000-00005D3C0000}"/>
    <cellStyle name="Normal 4 4 2 3 4 2 2 2 3" xfId="9205" xr:uid="{00000000-0005-0000-0000-00005E3C0000}"/>
    <cellStyle name="Normal 4 4 2 3 4 2 2 2 3 2" xfId="21493" xr:uid="{00000000-0005-0000-0000-00005F3C0000}"/>
    <cellStyle name="Normal 4 4 2 3 4 2 2 2 3 2 2" xfId="46069" xr:uid="{00000000-0005-0000-0000-0000603C0000}"/>
    <cellStyle name="Normal 4 4 2 3 4 2 2 2 3 3" xfId="33781" xr:uid="{00000000-0005-0000-0000-0000613C0000}"/>
    <cellStyle name="Normal 4 4 2 3 4 2 2 2 4" xfId="15349" xr:uid="{00000000-0005-0000-0000-0000623C0000}"/>
    <cellStyle name="Normal 4 4 2 3 4 2 2 2 4 2" xfId="39925" xr:uid="{00000000-0005-0000-0000-0000633C0000}"/>
    <cellStyle name="Normal 4 4 2 3 4 2 2 2 5" xfId="27637" xr:uid="{00000000-0005-0000-0000-0000643C0000}"/>
    <cellStyle name="Normal 4 4 2 3 4 2 2 3" xfId="4597" xr:uid="{00000000-0005-0000-0000-0000653C0000}"/>
    <cellStyle name="Normal 4 4 2 3 4 2 2 3 2" xfId="10741" xr:uid="{00000000-0005-0000-0000-0000663C0000}"/>
    <cellStyle name="Normal 4 4 2 3 4 2 2 3 2 2" xfId="23029" xr:uid="{00000000-0005-0000-0000-0000673C0000}"/>
    <cellStyle name="Normal 4 4 2 3 4 2 2 3 2 2 2" xfId="47605" xr:uid="{00000000-0005-0000-0000-0000683C0000}"/>
    <cellStyle name="Normal 4 4 2 3 4 2 2 3 2 3" xfId="35317" xr:uid="{00000000-0005-0000-0000-0000693C0000}"/>
    <cellStyle name="Normal 4 4 2 3 4 2 2 3 3" xfId="16885" xr:uid="{00000000-0005-0000-0000-00006A3C0000}"/>
    <cellStyle name="Normal 4 4 2 3 4 2 2 3 3 2" xfId="41461" xr:uid="{00000000-0005-0000-0000-00006B3C0000}"/>
    <cellStyle name="Normal 4 4 2 3 4 2 2 3 4" xfId="29173" xr:uid="{00000000-0005-0000-0000-00006C3C0000}"/>
    <cellStyle name="Normal 4 4 2 3 4 2 2 4" xfId="7669" xr:uid="{00000000-0005-0000-0000-00006D3C0000}"/>
    <cellStyle name="Normal 4 4 2 3 4 2 2 4 2" xfId="19957" xr:uid="{00000000-0005-0000-0000-00006E3C0000}"/>
    <cellStyle name="Normal 4 4 2 3 4 2 2 4 2 2" xfId="44533" xr:uid="{00000000-0005-0000-0000-00006F3C0000}"/>
    <cellStyle name="Normal 4 4 2 3 4 2 2 4 3" xfId="32245" xr:uid="{00000000-0005-0000-0000-0000703C0000}"/>
    <cellStyle name="Normal 4 4 2 3 4 2 2 5" xfId="13813" xr:uid="{00000000-0005-0000-0000-0000713C0000}"/>
    <cellStyle name="Normal 4 4 2 3 4 2 2 5 2" xfId="38389" xr:uid="{00000000-0005-0000-0000-0000723C0000}"/>
    <cellStyle name="Normal 4 4 2 3 4 2 2 6" xfId="26101" xr:uid="{00000000-0005-0000-0000-0000733C0000}"/>
    <cellStyle name="Normal 4 4 2 3 4 2 3" xfId="2289" xr:uid="{00000000-0005-0000-0000-0000743C0000}"/>
    <cellStyle name="Normal 4 4 2 3 4 2 3 2" xfId="5365" xr:uid="{00000000-0005-0000-0000-0000753C0000}"/>
    <cellStyle name="Normal 4 4 2 3 4 2 3 2 2" xfId="11509" xr:uid="{00000000-0005-0000-0000-0000763C0000}"/>
    <cellStyle name="Normal 4 4 2 3 4 2 3 2 2 2" xfId="23797" xr:uid="{00000000-0005-0000-0000-0000773C0000}"/>
    <cellStyle name="Normal 4 4 2 3 4 2 3 2 2 2 2" xfId="48373" xr:uid="{00000000-0005-0000-0000-0000783C0000}"/>
    <cellStyle name="Normal 4 4 2 3 4 2 3 2 2 3" xfId="36085" xr:uid="{00000000-0005-0000-0000-0000793C0000}"/>
    <cellStyle name="Normal 4 4 2 3 4 2 3 2 3" xfId="17653" xr:uid="{00000000-0005-0000-0000-00007A3C0000}"/>
    <cellStyle name="Normal 4 4 2 3 4 2 3 2 3 2" xfId="42229" xr:uid="{00000000-0005-0000-0000-00007B3C0000}"/>
    <cellStyle name="Normal 4 4 2 3 4 2 3 2 4" xfId="29941" xr:uid="{00000000-0005-0000-0000-00007C3C0000}"/>
    <cellStyle name="Normal 4 4 2 3 4 2 3 3" xfId="8437" xr:uid="{00000000-0005-0000-0000-00007D3C0000}"/>
    <cellStyle name="Normal 4 4 2 3 4 2 3 3 2" xfId="20725" xr:uid="{00000000-0005-0000-0000-00007E3C0000}"/>
    <cellStyle name="Normal 4 4 2 3 4 2 3 3 2 2" xfId="45301" xr:uid="{00000000-0005-0000-0000-00007F3C0000}"/>
    <cellStyle name="Normal 4 4 2 3 4 2 3 3 3" xfId="33013" xr:uid="{00000000-0005-0000-0000-0000803C0000}"/>
    <cellStyle name="Normal 4 4 2 3 4 2 3 4" xfId="14581" xr:uid="{00000000-0005-0000-0000-0000813C0000}"/>
    <cellStyle name="Normal 4 4 2 3 4 2 3 4 2" xfId="39157" xr:uid="{00000000-0005-0000-0000-0000823C0000}"/>
    <cellStyle name="Normal 4 4 2 3 4 2 3 5" xfId="26869" xr:uid="{00000000-0005-0000-0000-0000833C0000}"/>
    <cellStyle name="Normal 4 4 2 3 4 2 4" xfId="3829" xr:uid="{00000000-0005-0000-0000-0000843C0000}"/>
    <cellStyle name="Normal 4 4 2 3 4 2 4 2" xfId="9973" xr:uid="{00000000-0005-0000-0000-0000853C0000}"/>
    <cellStyle name="Normal 4 4 2 3 4 2 4 2 2" xfId="22261" xr:uid="{00000000-0005-0000-0000-0000863C0000}"/>
    <cellStyle name="Normal 4 4 2 3 4 2 4 2 2 2" xfId="46837" xr:uid="{00000000-0005-0000-0000-0000873C0000}"/>
    <cellStyle name="Normal 4 4 2 3 4 2 4 2 3" xfId="34549" xr:uid="{00000000-0005-0000-0000-0000883C0000}"/>
    <cellStyle name="Normal 4 4 2 3 4 2 4 3" xfId="16117" xr:uid="{00000000-0005-0000-0000-0000893C0000}"/>
    <cellStyle name="Normal 4 4 2 3 4 2 4 3 2" xfId="40693" xr:uid="{00000000-0005-0000-0000-00008A3C0000}"/>
    <cellStyle name="Normal 4 4 2 3 4 2 4 4" xfId="28405" xr:uid="{00000000-0005-0000-0000-00008B3C0000}"/>
    <cellStyle name="Normal 4 4 2 3 4 2 5" xfId="6901" xr:uid="{00000000-0005-0000-0000-00008C3C0000}"/>
    <cellStyle name="Normal 4 4 2 3 4 2 5 2" xfId="19189" xr:uid="{00000000-0005-0000-0000-00008D3C0000}"/>
    <cellStyle name="Normal 4 4 2 3 4 2 5 2 2" xfId="43765" xr:uid="{00000000-0005-0000-0000-00008E3C0000}"/>
    <cellStyle name="Normal 4 4 2 3 4 2 5 3" xfId="31477" xr:uid="{00000000-0005-0000-0000-00008F3C0000}"/>
    <cellStyle name="Normal 4 4 2 3 4 2 6" xfId="13045" xr:uid="{00000000-0005-0000-0000-0000903C0000}"/>
    <cellStyle name="Normal 4 4 2 3 4 2 6 2" xfId="37621" xr:uid="{00000000-0005-0000-0000-0000913C0000}"/>
    <cellStyle name="Normal 4 4 2 3 4 2 7" xfId="25333" xr:uid="{00000000-0005-0000-0000-0000923C0000}"/>
    <cellStyle name="Normal 4 4 2 3 4 3" xfId="1137" xr:uid="{00000000-0005-0000-0000-0000933C0000}"/>
    <cellStyle name="Normal 4 4 2 3 4 3 2" xfId="2673" xr:uid="{00000000-0005-0000-0000-0000943C0000}"/>
    <cellStyle name="Normal 4 4 2 3 4 3 2 2" xfId="5749" xr:uid="{00000000-0005-0000-0000-0000953C0000}"/>
    <cellStyle name="Normal 4 4 2 3 4 3 2 2 2" xfId="11893" xr:uid="{00000000-0005-0000-0000-0000963C0000}"/>
    <cellStyle name="Normal 4 4 2 3 4 3 2 2 2 2" xfId="24181" xr:uid="{00000000-0005-0000-0000-0000973C0000}"/>
    <cellStyle name="Normal 4 4 2 3 4 3 2 2 2 2 2" xfId="48757" xr:uid="{00000000-0005-0000-0000-0000983C0000}"/>
    <cellStyle name="Normal 4 4 2 3 4 3 2 2 2 3" xfId="36469" xr:uid="{00000000-0005-0000-0000-0000993C0000}"/>
    <cellStyle name="Normal 4 4 2 3 4 3 2 2 3" xfId="18037" xr:uid="{00000000-0005-0000-0000-00009A3C0000}"/>
    <cellStyle name="Normal 4 4 2 3 4 3 2 2 3 2" xfId="42613" xr:uid="{00000000-0005-0000-0000-00009B3C0000}"/>
    <cellStyle name="Normal 4 4 2 3 4 3 2 2 4" xfId="30325" xr:uid="{00000000-0005-0000-0000-00009C3C0000}"/>
    <cellStyle name="Normal 4 4 2 3 4 3 2 3" xfId="8821" xr:uid="{00000000-0005-0000-0000-00009D3C0000}"/>
    <cellStyle name="Normal 4 4 2 3 4 3 2 3 2" xfId="21109" xr:uid="{00000000-0005-0000-0000-00009E3C0000}"/>
    <cellStyle name="Normal 4 4 2 3 4 3 2 3 2 2" xfId="45685" xr:uid="{00000000-0005-0000-0000-00009F3C0000}"/>
    <cellStyle name="Normal 4 4 2 3 4 3 2 3 3" xfId="33397" xr:uid="{00000000-0005-0000-0000-0000A03C0000}"/>
    <cellStyle name="Normal 4 4 2 3 4 3 2 4" xfId="14965" xr:uid="{00000000-0005-0000-0000-0000A13C0000}"/>
    <cellStyle name="Normal 4 4 2 3 4 3 2 4 2" xfId="39541" xr:uid="{00000000-0005-0000-0000-0000A23C0000}"/>
    <cellStyle name="Normal 4 4 2 3 4 3 2 5" xfId="27253" xr:uid="{00000000-0005-0000-0000-0000A33C0000}"/>
    <cellStyle name="Normal 4 4 2 3 4 3 3" xfId="4213" xr:uid="{00000000-0005-0000-0000-0000A43C0000}"/>
    <cellStyle name="Normal 4 4 2 3 4 3 3 2" xfId="10357" xr:uid="{00000000-0005-0000-0000-0000A53C0000}"/>
    <cellStyle name="Normal 4 4 2 3 4 3 3 2 2" xfId="22645" xr:uid="{00000000-0005-0000-0000-0000A63C0000}"/>
    <cellStyle name="Normal 4 4 2 3 4 3 3 2 2 2" xfId="47221" xr:uid="{00000000-0005-0000-0000-0000A73C0000}"/>
    <cellStyle name="Normal 4 4 2 3 4 3 3 2 3" xfId="34933" xr:uid="{00000000-0005-0000-0000-0000A83C0000}"/>
    <cellStyle name="Normal 4 4 2 3 4 3 3 3" xfId="16501" xr:uid="{00000000-0005-0000-0000-0000A93C0000}"/>
    <cellStyle name="Normal 4 4 2 3 4 3 3 3 2" xfId="41077" xr:uid="{00000000-0005-0000-0000-0000AA3C0000}"/>
    <cellStyle name="Normal 4 4 2 3 4 3 3 4" xfId="28789" xr:uid="{00000000-0005-0000-0000-0000AB3C0000}"/>
    <cellStyle name="Normal 4 4 2 3 4 3 4" xfId="7285" xr:uid="{00000000-0005-0000-0000-0000AC3C0000}"/>
    <cellStyle name="Normal 4 4 2 3 4 3 4 2" xfId="19573" xr:uid="{00000000-0005-0000-0000-0000AD3C0000}"/>
    <cellStyle name="Normal 4 4 2 3 4 3 4 2 2" xfId="44149" xr:uid="{00000000-0005-0000-0000-0000AE3C0000}"/>
    <cellStyle name="Normal 4 4 2 3 4 3 4 3" xfId="31861" xr:uid="{00000000-0005-0000-0000-0000AF3C0000}"/>
    <cellStyle name="Normal 4 4 2 3 4 3 5" xfId="13429" xr:uid="{00000000-0005-0000-0000-0000B03C0000}"/>
    <cellStyle name="Normal 4 4 2 3 4 3 5 2" xfId="38005" xr:uid="{00000000-0005-0000-0000-0000B13C0000}"/>
    <cellStyle name="Normal 4 4 2 3 4 3 6" xfId="25717" xr:uid="{00000000-0005-0000-0000-0000B23C0000}"/>
    <cellStyle name="Normal 4 4 2 3 4 4" xfId="1905" xr:uid="{00000000-0005-0000-0000-0000B33C0000}"/>
    <cellStyle name="Normal 4 4 2 3 4 4 2" xfId="4981" xr:uid="{00000000-0005-0000-0000-0000B43C0000}"/>
    <cellStyle name="Normal 4 4 2 3 4 4 2 2" xfId="11125" xr:uid="{00000000-0005-0000-0000-0000B53C0000}"/>
    <cellStyle name="Normal 4 4 2 3 4 4 2 2 2" xfId="23413" xr:uid="{00000000-0005-0000-0000-0000B63C0000}"/>
    <cellStyle name="Normal 4 4 2 3 4 4 2 2 2 2" xfId="47989" xr:uid="{00000000-0005-0000-0000-0000B73C0000}"/>
    <cellStyle name="Normal 4 4 2 3 4 4 2 2 3" xfId="35701" xr:uid="{00000000-0005-0000-0000-0000B83C0000}"/>
    <cellStyle name="Normal 4 4 2 3 4 4 2 3" xfId="17269" xr:uid="{00000000-0005-0000-0000-0000B93C0000}"/>
    <cellStyle name="Normal 4 4 2 3 4 4 2 3 2" xfId="41845" xr:uid="{00000000-0005-0000-0000-0000BA3C0000}"/>
    <cellStyle name="Normal 4 4 2 3 4 4 2 4" xfId="29557" xr:uid="{00000000-0005-0000-0000-0000BB3C0000}"/>
    <cellStyle name="Normal 4 4 2 3 4 4 3" xfId="8053" xr:uid="{00000000-0005-0000-0000-0000BC3C0000}"/>
    <cellStyle name="Normal 4 4 2 3 4 4 3 2" xfId="20341" xr:uid="{00000000-0005-0000-0000-0000BD3C0000}"/>
    <cellStyle name="Normal 4 4 2 3 4 4 3 2 2" xfId="44917" xr:uid="{00000000-0005-0000-0000-0000BE3C0000}"/>
    <cellStyle name="Normal 4 4 2 3 4 4 3 3" xfId="32629" xr:uid="{00000000-0005-0000-0000-0000BF3C0000}"/>
    <cellStyle name="Normal 4 4 2 3 4 4 4" xfId="14197" xr:uid="{00000000-0005-0000-0000-0000C03C0000}"/>
    <cellStyle name="Normal 4 4 2 3 4 4 4 2" xfId="38773" xr:uid="{00000000-0005-0000-0000-0000C13C0000}"/>
    <cellStyle name="Normal 4 4 2 3 4 4 5" xfId="26485" xr:uid="{00000000-0005-0000-0000-0000C23C0000}"/>
    <cellStyle name="Normal 4 4 2 3 4 5" xfId="3445" xr:uid="{00000000-0005-0000-0000-0000C33C0000}"/>
    <cellStyle name="Normal 4 4 2 3 4 5 2" xfId="9589" xr:uid="{00000000-0005-0000-0000-0000C43C0000}"/>
    <cellStyle name="Normal 4 4 2 3 4 5 2 2" xfId="21877" xr:uid="{00000000-0005-0000-0000-0000C53C0000}"/>
    <cellStyle name="Normal 4 4 2 3 4 5 2 2 2" xfId="46453" xr:uid="{00000000-0005-0000-0000-0000C63C0000}"/>
    <cellStyle name="Normal 4 4 2 3 4 5 2 3" xfId="34165" xr:uid="{00000000-0005-0000-0000-0000C73C0000}"/>
    <cellStyle name="Normal 4 4 2 3 4 5 3" xfId="15733" xr:uid="{00000000-0005-0000-0000-0000C83C0000}"/>
    <cellStyle name="Normal 4 4 2 3 4 5 3 2" xfId="40309" xr:uid="{00000000-0005-0000-0000-0000C93C0000}"/>
    <cellStyle name="Normal 4 4 2 3 4 5 4" xfId="28021" xr:uid="{00000000-0005-0000-0000-0000CA3C0000}"/>
    <cellStyle name="Normal 4 4 2 3 4 6" xfId="6517" xr:uid="{00000000-0005-0000-0000-0000CB3C0000}"/>
    <cellStyle name="Normal 4 4 2 3 4 6 2" xfId="18805" xr:uid="{00000000-0005-0000-0000-0000CC3C0000}"/>
    <cellStyle name="Normal 4 4 2 3 4 6 2 2" xfId="43381" xr:uid="{00000000-0005-0000-0000-0000CD3C0000}"/>
    <cellStyle name="Normal 4 4 2 3 4 6 3" xfId="31093" xr:uid="{00000000-0005-0000-0000-0000CE3C0000}"/>
    <cellStyle name="Normal 4 4 2 3 4 7" xfId="12661" xr:uid="{00000000-0005-0000-0000-0000CF3C0000}"/>
    <cellStyle name="Normal 4 4 2 3 4 7 2" xfId="37237" xr:uid="{00000000-0005-0000-0000-0000D03C0000}"/>
    <cellStyle name="Normal 4 4 2 3 4 8" xfId="24949" xr:uid="{00000000-0005-0000-0000-0000D13C0000}"/>
    <cellStyle name="Normal 4 4 2 3 5" xfId="561" xr:uid="{00000000-0005-0000-0000-0000D23C0000}"/>
    <cellStyle name="Normal 4 4 2 3 5 2" xfId="1329" xr:uid="{00000000-0005-0000-0000-0000D33C0000}"/>
    <cellStyle name="Normal 4 4 2 3 5 2 2" xfId="2865" xr:uid="{00000000-0005-0000-0000-0000D43C0000}"/>
    <cellStyle name="Normal 4 4 2 3 5 2 2 2" xfId="5941" xr:uid="{00000000-0005-0000-0000-0000D53C0000}"/>
    <cellStyle name="Normal 4 4 2 3 5 2 2 2 2" xfId="12085" xr:uid="{00000000-0005-0000-0000-0000D63C0000}"/>
    <cellStyle name="Normal 4 4 2 3 5 2 2 2 2 2" xfId="24373" xr:uid="{00000000-0005-0000-0000-0000D73C0000}"/>
    <cellStyle name="Normal 4 4 2 3 5 2 2 2 2 2 2" xfId="48949" xr:uid="{00000000-0005-0000-0000-0000D83C0000}"/>
    <cellStyle name="Normal 4 4 2 3 5 2 2 2 2 3" xfId="36661" xr:uid="{00000000-0005-0000-0000-0000D93C0000}"/>
    <cellStyle name="Normal 4 4 2 3 5 2 2 2 3" xfId="18229" xr:uid="{00000000-0005-0000-0000-0000DA3C0000}"/>
    <cellStyle name="Normal 4 4 2 3 5 2 2 2 3 2" xfId="42805" xr:uid="{00000000-0005-0000-0000-0000DB3C0000}"/>
    <cellStyle name="Normal 4 4 2 3 5 2 2 2 4" xfId="30517" xr:uid="{00000000-0005-0000-0000-0000DC3C0000}"/>
    <cellStyle name="Normal 4 4 2 3 5 2 2 3" xfId="9013" xr:uid="{00000000-0005-0000-0000-0000DD3C0000}"/>
    <cellStyle name="Normal 4 4 2 3 5 2 2 3 2" xfId="21301" xr:uid="{00000000-0005-0000-0000-0000DE3C0000}"/>
    <cellStyle name="Normal 4 4 2 3 5 2 2 3 2 2" xfId="45877" xr:uid="{00000000-0005-0000-0000-0000DF3C0000}"/>
    <cellStyle name="Normal 4 4 2 3 5 2 2 3 3" xfId="33589" xr:uid="{00000000-0005-0000-0000-0000E03C0000}"/>
    <cellStyle name="Normal 4 4 2 3 5 2 2 4" xfId="15157" xr:uid="{00000000-0005-0000-0000-0000E13C0000}"/>
    <cellStyle name="Normal 4 4 2 3 5 2 2 4 2" xfId="39733" xr:uid="{00000000-0005-0000-0000-0000E23C0000}"/>
    <cellStyle name="Normal 4 4 2 3 5 2 2 5" xfId="27445" xr:uid="{00000000-0005-0000-0000-0000E33C0000}"/>
    <cellStyle name="Normal 4 4 2 3 5 2 3" xfId="4405" xr:uid="{00000000-0005-0000-0000-0000E43C0000}"/>
    <cellStyle name="Normal 4 4 2 3 5 2 3 2" xfId="10549" xr:uid="{00000000-0005-0000-0000-0000E53C0000}"/>
    <cellStyle name="Normal 4 4 2 3 5 2 3 2 2" xfId="22837" xr:uid="{00000000-0005-0000-0000-0000E63C0000}"/>
    <cellStyle name="Normal 4 4 2 3 5 2 3 2 2 2" xfId="47413" xr:uid="{00000000-0005-0000-0000-0000E73C0000}"/>
    <cellStyle name="Normal 4 4 2 3 5 2 3 2 3" xfId="35125" xr:uid="{00000000-0005-0000-0000-0000E83C0000}"/>
    <cellStyle name="Normal 4 4 2 3 5 2 3 3" xfId="16693" xr:uid="{00000000-0005-0000-0000-0000E93C0000}"/>
    <cellStyle name="Normal 4 4 2 3 5 2 3 3 2" xfId="41269" xr:uid="{00000000-0005-0000-0000-0000EA3C0000}"/>
    <cellStyle name="Normal 4 4 2 3 5 2 3 4" xfId="28981" xr:uid="{00000000-0005-0000-0000-0000EB3C0000}"/>
    <cellStyle name="Normal 4 4 2 3 5 2 4" xfId="7477" xr:uid="{00000000-0005-0000-0000-0000EC3C0000}"/>
    <cellStyle name="Normal 4 4 2 3 5 2 4 2" xfId="19765" xr:uid="{00000000-0005-0000-0000-0000ED3C0000}"/>
    <cellStyle name="Normal 4 4 2 3 5 2 4 2 2" xfId="44341" xr:uid="{00000000-0005-0000-0000-0000EE3C0000}"/>
    <cellStyle name="Normal 4 4 2 3 5 2 4 3" xfId="32053" xr:uid="{00000000-0005-0000-0000-0000EF3C0000}"/>
    <cellStyle name="Normal 4 4 2 3 5 2 5" xfId="13621" xr:uid="{00000000-0005-0000-0000-0000F03C0000}"/>
    <cellStyle name="Normal 4 4 2 3 5 2 5 2" xfId="38197" xr:uid="{00000000-0005-0000-0000-0000F13C0000}"/>
    <cellStyle name="Normal 4 4 2 3 5 2 6" xfId="25909" xr:uid="{00000000-0005-0000-0000-0000F23C0000}"/>
    <cellStyle name="Normal 4 4 2 3 5 3" xfId="2097" xr:uid="{00000000-0005-0000-0000-0000F33C0000}"/>
    <cellStyle name="Normal 4 4 2 3 5 3 2" xfId="5173" xr:uid="{00000000-0005-0000-0000-0000F43C0000}"/>
    <cellStyle name="Normal 4 4 2 3 5 3 2 2" xfId="11317" xr:uid="{00000000-0005-0000-0000-0000F53C0000}"/>
    <cellStyle name="Normal 4 4 2 3 5 3 2 2 2" xfId="23605" xr:uid="{00000000-0005-0000-0000-0000F63C0000}"/>
    <cellStyle name="Normal 4 4 2 3 5 3 2 2 2 2" xfId="48181" xr:uid="{00000000-0005-0000-0000-0000F73C0000}"/>
    <cellStyle name="Normal 4 4 2 3 5 3 2 2 3" xfId="35893" xr:uid="{00000000-0005-0000-0000-0000F83C0000}"/>
    <cellStyle name="Normal 4 4 2 3 5 3 2 3" xfId="17461" xr:uid="{00000000-0005-0000-0000-0000F93C0000}"/>
    <cellStyle name="Normal 4 4 2 3 5 3 2 3 2" xfId="42037" xr:uid="{00000000-0005-0000-0000-0000FA3C0000}"/>
    <cellStyle name="Normal 4 4 2 3 5 3 2 4" xfId="29749" xr:uid="{00000000-0005-0000-0000-0000FB3C0000}"/>
    <cellStyle name="Normal 4 4 2 3 5 3 3" xfId="8245" xr:uid="{00000000-0005-0000-0000-0000FC3C0000}"/>
    <cellStyle name="Normal 4 4 2 3 5 3 3 2" xfId="20533" xr:uid="{00000000-0005-0000-0000-0000FD3C0000}"/>
    <cellStyle name="Normal 4 4 2 3 5 3 3 2 2" xfId="45109" xr:uid="{00000000-0005-0000-0000-0000FE3C0000}"/>
    <cellStyle name="Normal 4 4 2 3 5 3 3 3" xfId="32821" xr:uid="{00000000-0005-0000-0000-0000FF3C0000}"/>
    <cellStyle name="Normal 4 4 2 3 5 3 4" xfId="14389" xr:uid="{00000000-0005-0000-0000-0000003D0000}"/>
    <cellStyle name="Normal 4 4 2 3 5 3 4 2" xfId="38965" xr:uid="{00000000-0005-0000-0000-0000013D0000}"/>
    <cellStyle name="Normal 4 4 2 3 5 3 5" xfId="26677" xr:uid="{00000000-0005-0000-0000-0000023D0000}"/>
    <cellStyle name="Normal 4 4 2 3 5 4" xfId="3637" xr:uid="{00000000-0005-0000-0000-0000033D0000}"/>
    <cellStyle name="Normal 4 4 2 3 5 4 2" xfId="9781" xr:uid="{00000000-0005-0000-0000-0000043D0000}"/>
    <cellStyle name="Normal 4 4 2 3 5 4 2 2" xfId="22069" xr:uid="{00000000-0005-0000-0000-0000053D0000}"/>
    <cellStyle name="Normal 4 4 2 3 5 4 2 2 2" xfId="46645" xr:uid="{00000000-0005-0000-0000-0000063D0000}"/>
    <cellStyle name="Normal 4 4 2 3 5 4 2 3" xfId="34357" xr:uid="{00000000-0005-0000-0000-0000073D0000}"/>
    <cellStyle name="Normal 4 4 2 3 5 4 3" xfId="15925" xr:uid="{00000000-0005-0000-0000-0000083D0000}"/>
    <cellStyle name="Normal 4 4 2 3 5 4 3 2" xfId="40501" xr:uid="{00000000-0005-0000-0000-0000093D0000}"/>
    <cellStyle name="Normal 4 4 2 3 5 4 4" xfId="28213" xr:uid="{00000000-0005-0000-0000-00000A3D0000}"/>
    <cellStyle name="Normal 4 4 2 3 5 5" xfId="6709" xr:uid="{00000000-0005-0000-0000-00000B3D0000}"/>
    <cellStyle name="Normal 4 4 2 3 5 5 2" xfId="18997" xr:uid="{00000000-0005-0000-0000-00000C3D0000}"/>
    <cellStyle name="Normal 4 4 2 3 5 5 2 2" xfId="43573" xr:uid="{00000000-0005-0000-0000-00000D3D0000}"/>
    <cellStyle name="Normal 4 4 2 3 5 5 3" xfId="31285" xr:uid="{00000000-0005-0000-0000-00000E3D0000}"/>
    <cellStyle name="Normal 4 4 2 3 5 6" xfId="12853" xr:uid="{00000000-0005-0000-0000-00000F3D0000}"/>
    <cellStyle name="Normal 4 4 2 3 5 6 2" xfId="37429" xr:uid="{00000000-0005-0000-0000-0000103D0000}"/>
    <cellStyle name="Normal 4 4 2 3 5 7" xfId="25141" xr:uid="{00000000-0005-0000-0000-0000113D0000}"/>
    <cellStyle name="Normal 4 4 2 3 6" xfId="945" xr:uid="{00000000-0005-0000-0000-0000123D0000}"/>
    <cellStyle name="Normal 4 4 2 3 6 2" xfId="2481" xr:uid="{00000000-0005-0000-0000-0000133D0000}"/>
    <cellStyle name="Normal 4 4 2 3 6 2 2" xfId="5557" xr:uid="{00000000-0005-0000-0000-0000143D0000}"/>
    <cellStyle name="Normal 4 4 2 3 6 2 2 2" xfId="11701" xr:uid="{00000000-0005-0000-0000-0000153D0000}"/>
    <cellStyle name="Normal 4 4 2 3 6 2 2 2 2" xfId="23989" xr:uid="{00000000-0005-0000-0000-0000163D0000}"/>
    <cellStyle name="Normal 4 4 2 3 6 2 2 2 2 2" xfId="48565" xr:uid="{00000000-0005-0000-0000-0000173D0000}"/>
    <cellStyle name="Normal 4 4 2 3 6 2 2 2 3" xfId="36277" xr:uid="{00000000-0005-0000-0000-0000183D0000}"/>
    <cellStyle name="Normal 4 4 2 3 6 2 2 3" xfId="17845" xr:uid="{00000000-0005-0000-0000-0000193D0000}"/>
    <cellStyle name="Normal 4 4 2 3 6 2 2 3 2" xfId="42421" xr:uid="{00000000-0005-0000-0000-00001A3D0000}"/>
    <cellStyle name="Normal 4 4 2 3 6 2 2 4" xfId="30133" xr:uid="{00000000-0005-0000-0000-00001B3D0000}"/>
    <cellStyle name="Normal 4 4 2 3 6 2 3" xfId="8629" xr:uid="{00000000-0005-0000-0000-00001C3D0000}"/>
    <cellStyle name="Normal 4 4 2 3 6 2 3 2" xfId="20917" xr:uid="{00000000-0005-0000-0000-00001D3D0000}"/>
    <cellStyle name="Normal 4 4 2 3 6 2 3 2 2" xfId="45493" xr:uid="{00000000-0005-0000-0000-00001E3D0000}"/>
    <cellStyle name="Normal 4 4 2 3 6 2 3 3" xfId="33205" xr:uid="{00000000-0005-0000-0000-00001F3D0000}"/>
    <cellStyle name="Normal 4 4 2 3 6 2 4" xfId="14773" xr:uid="{00000000-0005-0000-0000-0000203D0000}"/>
    <cellStyle name="Normal 4 4 2 3 6 2 4 2" xfId="39349" xr:uid="{00000000-0005-0000-0000-0000213D0000}"/>
    <cellStyle name="Normal 4 4 2 3 6 2 5" xfId="27061" xr:uid="{00000000-0005-0000-0000-0000223D0000}"/>
    <cellStyle name="Normal 4 4 2 3 6 3" xfId="4021" xr:uid="{00000000-0005-0000-0000-0000233D0000}"/>
    <cellStyle name="Normal 4 4 2 3 6 3 2" xfId="10165" xr:uid="{00000000-0005-0000-0000-0000243D0000}"/>
    <cellStyle name="Normal 4 4 2 3 6 3 2 2" xfId="22453" xr:uid="{00000000-0005-0000-0000-0000253D0000}"/>
    <cellStyle name="Normal 4 4 2 3 6 3 2 2 2" xfId="47029" xr:uid="{00000000-0005-0000-0000-0000263D0000}"/>
    <cellStyle name="Normal 4 4 2 3 6 3 2 3" xfId="34741" xr:uid="{00000000-0005-0000-0000-0000273D0000}"/>
    <cellStyle name="Normal 4 4 2 3 6 3 3" xfId="16309" xr:uid="{00000000-0005-0000-0000-0000283D0000}"/>
    <cellStyle name="Normal 4 4 2 3 6 3 3 2" xfId="40885" xr:uid="{00000000-0005-0000-0000-0000293D0000}"/>
    <cellStyle name="Normal 4 4 2 3 6 3 4" xfId="28597" xr:uid="{00000000-0005-0000-0000-00002A3D0000}"/>
    <cellStyle name="Normal 4 4 2 3 6 4" xfId="7093" xr:uid="{00000000-0005-0000-0000-00002B3D0000}"/>
    <cellStyle name="Normal 4 4 2 3 6 4 2" xfId="19381" xr:uid="{00000000-0005-0000-0000-00002C3D0000}"/>
    <cellStyle name="Normal 4 4 2 3 6 4 2 2" xfId="43957" xr:uid="{00000000-0005-0000-0000-00002D3D0000}"/>
    <cellStyle name="Normal 4 4 2 3 6 4 3" xfId="31669" xr:uid="{00000000-0005-0000-0000-00002E3D0000}"/>
    <cellStyle name="Normal 4 4 2 3 6 5" xfId="13237" xr:uid="{00000000-0005-0000-0000-00002F3D0000}"/>
    <cellStyle name="Normal 4 4 2 3 6 5 2" xfId="37813" xr:uid="{00000000-0005-0000-0000-0000303D0000}"/>
    <cellStyle name="Normal 4 4 2 3 6 6" xfId="25525" xr:uid="{00000000-0005-0000-0000-0000313D0000}"/>
    <cellStyle name="Normal 4 4 2 3 7" xfId="1713" xr:uid="{00000000-0005-0000-0000-0000323D0000}"/>
    <cellStyle name="Normal 4 4 2 3 7 2" xfId="4789" xr:uid="{00000000-0005-0000-0000-0000333D0000}"/>
    <cellStyle name="Normal 4 4 2 3 7 2 2" xfId="10933" xr:uid="{00000000-0005-0000-0000-0000343D0000}"/>
    <cellStyle name="Normal 4 4 2 3 7 2 2 2" xfId="23221" xr:uid="{00000000-0005-0000-0000-0000353D0000}"/>
    <cellStyle name="Normal 4 4 2 3 7 2 2 2 2" xfId="47797" xr:uid="{00000000-0005-0000-0000-0000363D0000}"/>
    <cellStyle name="Normal 4 4 2 3 7 2 2 3" xfId="35509" xr:uid="{00000000-0005-0000-0000-0000373D0000}"/>
    <cellStyle name="Normal 4 4 2 3 7 2 3" xfId="17077" xr:uid="{00000000-0005-0000-0000-0000383D0000}"/>
    <cellStyle name="Normal 4 4 2 3 7 2 3 2" xfId="41653" xr:uid="{00000000-0005-0000-0000-0000393D0000}"/>
    <cellStyle name="Normal 4 4 2 3 7 2 4" xfId="29365" xr:uid="{00000000-0005-0000-0000-00003A3D0000}"/>
    <cellStyle name="Normal 4 4 2 3 7 3" xfId="7861" xr:uid="{00000000-0005-0000-0000-00003B3D0000}"/>
    <cellStyle name="Normal 4 4 2 3 7 3 2" xfId="20149" xr:uid="{00000000-0005-0000-0000-00003C3D0000}"/>
    <cellStyle name="Normal 4 4 2 3 7 3 2 2" xfId="44725" xr:uid="{00000000-0005-0000-0000-00003D3D0000}"/>
    <cellStyle name="Normal 4 4 2 3 7 3 3" xfId="32437" xr:uid="{00000000-0005-0000-0000-00003E3D0000}"/>
    <cellStyle name="Normal 4 4 2 3 7 4" xfId="14005" xr:uid="{00000000-0005-0000-0000-00003F3D0000}"/>
    <cellStyle name="Normal 4 4 2 3 7 4 2" xfId="38581" xr:uid="{00000000-0005-0000-0000-0000403D0000}"/>
    <cellStyle name="Normal 4 4 2 3 7 5" xfId="26293" xr:uid="{00000000-0005-0000-0000-0000413D0000}"/>
    <cellStyle name="Normal 4 4 2 3 8" xfId="3253" xr:uid="{00000000-0005-0000-0000-0000423D0000}"/>
    <cellStyle name="Normal 4 4 2 3 8 2" xfId="9397" xr:uid="{00000000-0005-0000-0000-0000433D0000}"/>
    <cellStyle name="Normal 4 4 2 3 8 2 2" xfId="21685" xr:uid="{00000000-0005-0000-0000-0000443D0000}"/>
    <cellStyle name="Normal 4 4 2 3 8 2 2 2" xfId="46261" xr:uid="{00000000-0005-0000-0000-0000453D0000}"/>
    <cellStyle name="Normal 4 4 2 3 8 2 3" xfId="33973" xr:uid="{00000000-0005-0000-0000-0000463D0000}"/>
    <cellStyle name="Normal 4 4 2 3 8 3" xfId="15541" xr:uid="{00000000-0005-0000-0000-0000473D0000}"/>
    <cellStyle name="Normal 4 4 2 3 8 3 2" xfId="40117" xr:uid="{00000000-0005-0000-0000-0000483D0000}"/>
    <cellStyle name="Normal 4 4 2 3 8 4" xfId="27829" xr:uid="{00000000-0005-0000-0000-0000493D0000}"/>
    <cellStyle name="Normal 4 4 2 3 9" xfId="6325" xr:uid="{00000000-0005-0000-0000-00004A3D0000}"/>
    <cellStyle name="Normal 4 4 2 3 9 2" xfId="18613" xr:uid="{00000000-0005-0000-0000-00004B3D0000}"/>
    <cellStyle name="Normal 4 4 2 3 9 2 2" xfId="43189" xr:uid="{00000000-0005-0000-0000-00004C3D0000}"/>
    <cellStyle name="Normal 4 4 2 3 9 3" xfId="30901" xr:uid="{00000000-0005-0000-0000-00004D3D0000}"/>
    <cellStyle name="Normal 4 4 2 4" xfId="209" xr:uid="{00000000-0005-0000-0000-00004E3D0000}"/>
    <cellStyle name="Normal 4 4 2 4 2" xfId="401" xr:uid="{00000000-0005-0000-0000-00004F3D0000}"/>
    <cellStyle name="Normal 4 4 2 4 2 2" xfId="785" xr:uid="{00000000-0005-0000-0000-0000503D0000}"/>
    <cellStyle name="Normal 4 4 2 4 2 2 2" xfId="1553" xr:uid="{00000000-0005-0000-0000-0000513D0000}"/>
    <cellStyle name="Normal 4 4 2 4 2 2 2 2" xfId="3089" xr:uid="{00000000-0005-0000-0000-0000523D0000}"/>
    <cellStyle name="Normal 4 4 2 4 2 2 2 2 2" xfId="6165" xr:uid="{00000000-0005-0000-0000-0000533D0000}"/>
    <cellStyle name="Normal 4 4 2 4 2 2 2 2 2 2" xfId="12309" xr:uid="{00000000-0005-0000-0000-0000543D0000}"/>
    <cellStyle name="Normal 4 4 2 4 2 2 2 2 2 2 2" xfId="24597" xr:uid="{00000000-0005-0000-0000-0000553D0000}"/>
    <cellStyle name="Normal 4 4 2 4 2 2 2 2 2 2 2 2" xfId="49173" xr:uid="{00000000-0005-0000-0000-0000563D0000}"/>
    <cellStyle name="Normal 4 4 2 4 2 2 2 2 2 2 3" xfId="36885" xr:uid="{00000000-0005-0000-0000-0000573D0000}"/>
    <cellStyle name="Normal 4 4 2 4 2 2 2 2 2 3" xfId="18453" xr:uid="{00000000-0005-0000-0000-0000583D0000}"/>
    <cellStyle name="Normal 4 4 2 4 2 2 2 2 2 3 2" xfId="43029" xr:uid="{00000000-0005-0000-0000-0000593D0000}"/>
    <cellStyle name="Normal 4 4 2 4 2 2 2 2 2 4" xfId="30741" xr:uid="{00000000-0005-0000-0000-00005A3D0000}"/>
    <cellStyle name="Normal 4 4 2 4 2 2 2 2 3" xfId="9237" xr:uid="{00000000-0005-0000-0000-00005B3D0000}"/>
    <cellStyle name="Normal 4 4 2 4 2 2 2 2 3 2" xfId="21525" xr:uid="{00000000-0005-0000-0000-00005C3D0000}"/>
    <cellStyle name="Normal 4 4 2 4 2 2 2 2 3 2 2" xfId="46101" xr:uid="{00000000-0005-0000-0000-00005D3D0000}"/>
    <cellStyle name="Normal 4 4 2 4 2 2 2 2 3 3" xfId="33813" xr:uid="{00000000-0005-0000-0000-00005E3D0000}"/>
    <cellStyle name="Normal 4 4 2 4 2 2 2 2 4" xfId="15381" xr:uid="{00000000-0005-0000-0000-00005F3D0000}"/>
    <cellStyle name="Normal 4 4 2 4 2 2 2 2 4 2" xfId="39957" xr:uid="{00000000-0005-0000-0000-0000603D0000}"/>
    <cellStyle name="Normal 4 4 2 4 2 2 2 2 5" xfId="27669" xr:uid="{00000000-0005-0000-0000-0000613D0000}"/>
    <cellStyle name="Normal 4 4 2 4 2 2 2 3" xfId="4629" xr:uid="{00000000-0005-0000-0000-0000623D0000}"/>
    <cellStyle name="Normal 4 4 2 4 2 2 2 3 2" xfId="10773" xr:uid="{00000000-0005-0000-0000-0000633D0000}"/>
    <cellStyle name="Normal 4 4 2 4 2 2 2 3 2 2" xfId="23061" xr:uid="{00000000-0005-0000-0000-0000643D0000}"/>
    <cellStyle name="Normal 4 4 2 4 2 2 2 3 2 2 2" xfId="47637" xr:uid="{00000000-0005-0000-0000-0000653D0000}"/>
    <cellStyle name="Normal 4 4 2 4 2 2 2 3 2 3" xfId="35349" xr:uid="{00000000-0005-0000-0000-0000663D0000}"/>
    <cellStyle name="Normal 4 4 2 4 2 2 2 3 3" xfId="16917" xr:uid="{00000000-0005-0000-0000-0000673D0000}"/>
    <cellStyle name="Normal 4 4 2 4 2 2 2 3 3 2" xfId="41493" xr:uid="{00000000-0005-0000-0000-0000683D0000}"/>
    <cellStyle name="Normal 4 4 2 4 2 2 2 3 4" xfId="29205" xr:uid="{00000000-0005-0000-0000-0000693D0000}"/>
    <cellStyle name="Normal 4 4 2 4 2 2 2 4" xfId="7701" xr:uid="{00000000-0005-0000-0000-00006A3D0000}"/>
    <cellStyle name="Normal 4 4 2 4 2 2 2 4 2" xfId="19989" xr:uid="{00000000-0005-0000-0000-00006B3D0000}"/>
    <cellStyle name="Normal 4 4 2 4 2 2 2 4 2 2" xfId="44565" xr:uid="{00000000-0005-0000-0000-00006C3D0000}"/>
    <cellStyle name="Normal 4 4 2 4 2 2 2 4 3" xfId="32277" xr:uid="{00000000-0005-0000-0000-00006D3D0000}"/>
    <cellStyle name="Normal 4 4 2 4 2 2 2 5" xfId="13845" xr:uid="{00000000-0005-0000-0000-00006E3D0000}"/>
    <cellStyle name="Normal 4 4 2 4 2 2 2 5 2" xfId="38421" xr:uid="{00000000-0005-0000-0000-00006F3D0000}"/>
    <cellStyle name="Normal 4 4 2 4 2 2 2 6" xfId="26133" xr:uid="{00000000-0005-0000-0000-0000703D0000}"/>
    <cellStyle name="Normal 4 4 2 4 2 2 3" xfId="2321" xr:uid="{00000000-0005-0000-0000-0000713D0000}"/>
    <cellStyle name="Normal 4 4 2 4 2 2 3 2" xfId="5397" xr:uid="{00000000-0005-0000-0000-0000723D0000}"/>
    <cellStyle name="Normal 4 4 2 4 2 2 3 2 2" xfId="11541" xr:uid="{00000000-0005-0000-0000-0000733D0000}"/>
    <cellStyle name="Normal 4 4 2 4 2 2 3 2 2 2" xfId="23829" xr:uid="{00000000-0005-0000-0000-0000743D0000}"/>
    <cellStyle name="Normal 4 4 2 4 2 2 3 2 2 2 2" xfId="48405" xr:uid="{00000000-0005-0000-0000-0000753D0000}"/>
    <cellStyle name="Normal 4 4 2 4 2 2 3 2 2 3" xfId="36117" xr:uid="{00000000-0005-0000-0000-0000763D0000}"/>
    <cellStyle name="Normal 4 4 2 4 2 2 3 2 3" xfId="17685" xr:uid="{00000000-0005-0000-0000-0000773D0000}"/>
    <cellStyle name="Normal 4 4 2 4 2 2 3 2 3 2" xfId="42261" xr:uid="{00000000-0005-0000-0000-0000783D0000}"/>
    <cellStyle name="Normal 4 4 2 4 2 2 3 2 4" xfId="29973" xr:uid="{00000000-0005-0000-0000-0000793D0000}"/>
    <cellStyle name="Normal 4 4 2 4 2 2 3 3" xfId="8469" xr:uid="{00000000-0005-0000-0000-00007A3D0000}"/>
    <cellStyle name="Normal 4 4 2 4 2 2 3 3 2" xfId="20757" xr:uid="{00000000-0005-0000-0000-00007B3D0000}"/>
    <cellStyle name="Normal 4 4 2 4 2 2 3 3 2 2" xfId="45333" xr:uid="{00000000-0005-0000-0000-00007C3D0000}"/>
    <cellStyle name="Normal 4 4 2 4 2 2 3 3 3" xfId="33045" xr:uid="{00000000-0005-0000-0000-00007D3D0000}"/>
    <cellStyle name="Normal 4 4 2 4 2 2 3 4" xfId="14613" xr:uid="{00000000-0005-0000-0000-00007E3D0000}"/>
    <cellStyle name="Normal 4 4 2 4 2 2 3 4 2" xfId="39189" xr:uid="{00000000-0005-0000-0000-00007F3D0000}"/>
    <cellStyle name="Normal 4 4 2 4 2 2 3 5" xfId="26901" xr:uid="{00000000-0005-0000-0000-0000803D0000}"/>
    <cellStyle name="Normal 4 4 2 4 2 2 4" xfId="3861" xr:uid="{00000000-0005-0000-0000-0000813D0000}"/>
    <cellStyle name="Normal 4 4 2 4 2 2 4 2" xfId="10005" xr:uid="{00000000-0005-0000-0000-0000823D0000}"/>
    <cellStyle name="Normal 4 4 2 4 2 2 4 2 2" xfId="22293" xr:uid="{00000000-0005-0000-0000-0000833D0000}"/>
    <cellStyle name="Normal 4 4 2 4 2 2 4 2 2 2" xfId="46869" xr:uid="{00000000-0005-0000-0000-0000843D0000}"/>
    <cellStyle name="Normal 4 4 2 4 2 2 4 2 3" xfId="34581" xr:uid="{00000000-0005-0000-0000-0000853D0000}"/>
    <cellStyle name="Normal 4 4 2 4 2 2 4 3" xfId="16149" xr:uid="{00000000-0005-0000-0000-0000863D0000}"/>
    <cellStyle name="Normal 4 4 2 4 2 2 4 3 2" xfId="40725" xr:uid="{00000000-0005-0000-0000-0000873D0000}"/>
    <cellStyle name="Normal 4 4 2 4 2 2 4 4" xfId="28437" xr:uid="{00000000-0005-0000-0000-0000883D0000}"/>
    <cellStyle name="Normal 4 4 2 4 2 2 5" xfId="6933" xr:uid="{00000000-0005-0000-0000-0000893D0000}"/>
    <cellStyle name="Normal 4 4 2 4 2 2 5 2" xfId="19221" xr:uid="{00000000-0005-0000-0000-00008A3D0000}"/>
    <cellStyle name="Normal 4 4 2 4 2 2 5 2 2" xfId="43797" xr:uid="{00000000-0005-0000-0000-00008B3D0000}"/>
    <cellStyle name="Normal 4 4 2 4 2 2 5 3" xfId="31509" xr:uid="{00000000-0005-0000-0000-00008C3D0000}"/>
    <cellStyle name="Normal 4 4 2 4 2 2 6" xfId="13077" xr:uid="{00000000-0005-0000-0000-00008D3D0000}"/>
    <cellStyle name="Normal 4 4 2 4 2 2 6 2" xfId="37653" xr:uid="{00000000-0005-0000-0000-00008E3D0000}"/>
    <cellStyle name="Normal 4 4 2 4 2 2 7" xfId="25365" xr:uid="{00000000-0005-0000-0000-00008F3D0000}"/>
    <cellStyle name="Normal 4 4 2 4 2 3" xfId="1169" xr:uid="{00000000-0005-0000-0000-0000903D0000}"/>
    <cellStyle name="Normal 4 4 2 4 2 3 2" xfId="2705" xr:uid="{00000000-0005-0000-0000-0000913D0000}"/>
    <cellStyle name="Normal 4 4 2 4 2 3 2 2" xfId="5781" xr:uid="{00000000-0005-0000-0000-0000923D0000}"/>
    <cellStyle name="Normal 4 4 2 4 2 3 2 2 2" xfId="11925" xr:uid="{00000000-0005-0000-0000-0000933D0000}"/>
    <cellStyle name="Normal 4 4 2 4 2 3 2 2 2 2" xfId="24213" xr:uid="{00000000-0005-0000-0000-0000943D0000}"/>
    <cellStyle name="Normal 4 4 2 4 2 3 2 2 2 2 2" xfId="48789" xr:uid="{00000000-0005-0000-0000-0000953D0000}"/>
    <cellStyle name="Normal 4 4 2 4 2 3 2 2 2 3" xfId="36501" xr:uid="{00000000-0005-0000-0000-0000963D0000}"/>
    <cellStyle name="Normal 4 4 2 4 2 3 2 2 3" xfId="18069" xr:uid="{00000000-0005-0000-0000-0000973D0000}"/>
    <cellStyle name="Normal 4 4 2 4 2 3 2 2 3 2" xfId="42645" xr:uid="{00000000-0005-0000-0000-0000983D0000}"/>
    <cellStyle name="Normal 4 4 2 4 2 3 2 2 4" xfId="30357" xr:uid="{00000000-0005-0000-0000-0000993D0000}"/>
    <cellStyle name="Normal 4 4 2 4 2 3 2 3" xfId="8853" xr:uid="{00000000-0005-0000-0000-00009A3D0000}"/>
    <cellStyle name="Normal 4 4 2 4 2 3 2 3 2" xfId="21141" xr:uid="{00000000-0005-0000-0000-00009B3D0000}"/>
    <cellStyle name="Normal 4 4 2 4 2 3 2 3 2 2" xfId="45717" xr:uid="{00000000-0005-0000-0000-00009C3D0000}"/>
    <cellStyle name="Normal 4 4 2 4 2 3 2 3 3" xfId="33429" xr:uid="{00000000-0005-0000-0000-00009D3D0000}"/>
    <cellStyle name="Normal 4 4 2 4 2 3 2 4" xfId="14997" xr:uid="{00000000-0005-0000-0000-00009E3D0000}"/>
    <cellStyle name="Normal 4 4 2 4 2 3 2 4 2" xfId="39573" xr:uid="{00000000-0005-0000-0000-00009F3D0000}"/>
    <cellStyle name="Normal 4 4 2 4 2 3 2 5" xfId="27285" xr:uid="{00000000-0005-0000-0000-0000A03D0000}"/>
    <cellStyle name="Normal 4 4 2 4 2 3 3" xfId="4245" xr:uid="{00000000-0005-0000-0000-0000A13D0000}"/>
    <cellStyle name="Normal 4 4 2 4 2 3 3 2" xfId="10389" xr:uid="{00000000-0005-0000-0000-0000A23D0000}"/>
    <cellStyle name="Normal 4 4 2 4 2 3 3 2 2" xfId="22677" xr:uid="{00000000-0005-0000-0000-0000A33D0000}"/>
    <cellStyle name="Normal 4 4 2 4 2 3 3 2 2 2" xfId="47253" xr:uid="{00000000-0005-0000-0000-0000A43D0000}"/>
    <cellStyle name="Normal 4 4 2 4 2 3 3 2 3" xfId="34965" xr:uid="{00000000-0005-0000-0000-0000A53D0000}"/>
    <cellStyle name="Normal 4 4 2 4 2 3 3 3" xfId="16533" xr:uid="{00000000-0005-0000-0000-0000A63D0000}"/>
    <cellStyle name="Normal 4 4 2 4 2 3 3 3 2" xfId="41109" xr:uid="{00000000-0005-0000-0000-0000A73D0000}"/>
    <cellStyle name="Normal 4 4 2 4 2 3 3 4" xfId="28821" xr:uid="{00000000-0005-0000-0000-0000A83D0000}"/>
    <cellStyle name="Normal 4 4 2 4 2 3 4" xfId="7317" xr:uid="{00000000-0005-0000-0000-0000A93D0000}"/>
    <cellStyle name="Normal 4 4 2 4 2 3 4 2" xfId="19605" xr:uid="{00000000-0005-0000-0000-0000AA3D0000}"/>
    <cellStyle name="Normal 4 4 2 4 2 3 4 2 2" xfId="44181" xr:uid="{00000000-0005-0000-0000-0000AB3D0000}"/>
    <cellStyle name="Normal 4 4 2 4 2 3 4 3" xfId="31893" xr:uid="{00000000-0005-0000-0000-0000AC3D0000}"/>
    <cellStyle name="Normal 4 4 2 4 2 3 5" xfId="13461" xr:uid="{00000000-0005-0000-0000-0000AD3D0000}"/>
    <cellStyle name="Normal 4 4 2 4 2 3 5 2" xfId="38037" xr:uid="{00000000-0005-0000-0000-0000AE3D0000}"/>
    <cellStyle name="Normal 4 4 2 4 2 3 6" xfId="25749" xr:uid="{00000000-0005-0000-0000-0000AF3D0000}"/>
    <cellStyle name="Normal 4 4 2 4 2 4" xfId="1937" xr:uid="{00000000-0005-0000-0000-0000B03D0000}"/>
    <cellStyle name="Normal 4 4 2 4 2 4 2" xfId="5013" xr:uid="{00000000-0005-0000-0000-0000B13D0000}"/>
    <cellStyle name="Normal 4 4 2 4 2 4 2 2" xfId="11157" xr:uid="{00000000-0005-0000-0000-0000B23D0000}"/>
    <cellStyle name="Normal 4 4 2 4 2 4 2 2 2" xfId="23445" xr:uid="{00000000-0005-0000-0000-0000B33D0000}"/>
    <cellStyle name="Normal 4 4 2 4 2 4 2 2 2 2" xfId="48021" xr:uid="{00000000-0005-0000-0000-0000B43D0000}"/>
    <cellStyle name="Normal 4 4 2 4 2 4 2 2 3" xfId="35733" xr:uid="{00000000-0005-0000-0000-0000B53D0000}"/>
    <cellStyle name="Normal 4 4 2 4 2 4 2 3" xfId="17301" xr:uid="{00000000-0005-0000-0000-0000B63D0000}"/>
    <cellStyle name="Normal 4 4 2 4 2 4 2 3 2" xfId="41877" xr:uid="{00000000-0005-0000-0000-0000B73D0000}"/>
    <cellStyle name="Normal 4 4 2 4 2 4 2 4" xfId="29589" xr:uid="{00000000-0005-0000-0000-0000B83D0000}"/>
    <cellStyle name="Normal 4 4 2 4 2 4 3" xfId="8085" xr:uid="{00000000-0005-0000-0000-0000B93D0000}"/>
    <cellStyle name="Normal 4 4 2 4 2 4 3 2" xfId="20373" xr:uid="{00000000-0005-0000-0000-0000BA3D0000}"/>
    <cellStyle name="Normal 4 4 2 4 2 4 3 2 2" xfId="44949" xr:uid="{00000000-0005-0000-0000-0000BB3D0000}"/>
    <cellStyle name="Normal 4 4 2 4 2 4 3 3" xfId="32661" xr:uid="{00000000-0005-0000-0000-0000BC3D0000}"/>
    <cellStyle name="Normal 4 4 2 4 2 4 4" xfId="14229" xr:uid="{00000000-0005-0000-0000-0000BD3D0000}"/>
    <cellStyle name="Normal 4 4 2 4 2 4 4 2" xfId="38805" xr:uid="{00000000-0005-0000-0000-0000BE3D0000}"/>
    <cellStyle name="Normal 4 4 2 4 2 4 5" xfId="26517" xr:uid="{00000000-0005-0000-0000-0000BF3D0000}"/>
    <cellStyle name="Normal 4 4 2 4 2 5" xfId="3477" xr:uid="{00000000-0005-0000-0000-0000C03D0000}"/>
    <cellStyle name="Normal 4 4 2 4 2 5 2" xfId="9621" xr:uid="{00000000-0005-0000-0000-0000C13D0000}"/>
    <cellStyle name="Normal 4 4 2 4 2 5 2 2" xfId="21909" xr:uid="{00000000-0005-0000-0000-0000C23D0000}"/>
    <cellStyle name="Normal 4 4 2 4 2 5 2 2 2" xfId="46485" xr:uid="{00000000-0005-0000-0000-0000C33D0000}"/>
    <cellStyle name="Normal 4 4 2 4 2 5 2 3" xfId="34197" xr:uid="{00000000-0005-0000-0000-0000C43D0000}"/>
    <cellStyle name="Normal 4 4 2 4 2 5 3" xfId="15765" xr:uid="{00000000-0005-0000-0000-0000C53D0000}"/>
    <cellStyle name="Normal 4 4 2 4 2 5 3 2" xfId="40341" xr:uid="{00000000-0005-0000-0000-0000C63D0000}"/>
    <cellStyle name="Normal 4 4 2 4 2 5 4" xfId="28053" xr:uid="{00000000-0005-0000-0000-0000C73D0000}"/>
    <cellStyle name="Normal 4 4 2 4 2 6" xfId="6549" xr:uid="{00000000-0005-0000-0000-0000C83D0000}"/>
    <cellStyle name="Normal 4 4 2 4 2 6 2" xfId="18837" xr:uid="{00000000-0005-0000-0000-0000C93D0000}"/>
    <cellStyle name="Normal 4 4 2 4 2 6 2 2" xfId="43413" xr:uid="{00000000-0005-0000-0000-0000CA3D0000}"/>
    <cellStyle name="Normal 4 4 2 4 2 6 3" xfId="31125" xr:uid="{00000000-0005-0000-0000-0000CB3D0000}"/>
    <cellStyle name="Normal 4 4 2 4 2 7" xfId="12693" xr:uid="{00000000-0005-0000-0000-0000CC3D0000}"/>
    <cellStyle name="Normal 4 4 2 4 2 7 2" xfId="37269" xr:uid="{00000000-0005-0000-0000-0000CD3D0000}"/>
    <cellStyle name="Normal 4 4 2 4 2 8" xfId="24981" xr:uid="{00000000-0005-0000-0000-0000CE3D0000}"/>
    <cellStyle name="Normal 4 4 2 4 3" xfId="593" xr:uid="{00000000-0005-0000-0000-0000CF3D0000}"/>
    <cellStyle name="Normal 4 4 2 4 3 2" xfId="1361" xr:uid="{00000000-0005-0000-0000-0000D03D0000}"/>
    <cellStyle name="Normal 4 4 2 4 3 2 2" xfId="2897" xr:uid="{00000000-0005-0000-0000-0000D13D0000}"/>
    <cellStyle name="Normal 4 4 2 4 3 2 2 2" xfId="5973" xr:uid="{00000000-0005-0000-0000-0000D23D0000}"/>
    <cellStyle name="Normal 4 4 2 4 3 2 2 2 2" xfId="12117" xr:uid="{00000000-0005-0000-0000-0000D33D0000}"/>
    <cellStyle name="Normal 4 4 2 4 3 2 2 2 2 2" xfId="24405" xr:uid="{00000000-0005-0000-0000-0000D43D0000}"/>
    <cellStyle name="Normal 4 4 2 4 3 2 2 2 2 2 2" xfId="48981" xr:uid="{00000000-0005-0000-0000-0000D53D0000}"/>
    <cellStyle name="Normal 4 4 2 4 3 2 2 2 2 3" xfId="36693" xr:uid="{00000000-0005-0000-0000-0000D63D0000}"/>
    <cellStyle name="Normal 4 4 2 4 3 2 2 2 3" xfId="18261" xr:uid="{00000000-0005-0000-0000-0000D73D0000}"/>
    <cellStyle name="Normal 4 4 2 4 3 2 2 2 3 2" xfId="42837" xr:uid="{00000000-0005-0000-0000-0000D83D0000}"/>
    <cellStyle name="Normal 4 4 2 4 3 2 2 2 4" xfId="30549" xr:uid="{00000000-0005-0000-0000-0000D93D0000}"/>
    <cellStyle name="Normal 4 4 2 4 3 2 2 3" xfId="9045" xr:uid="{00000000-0005-0000-0000-0000DA3D0000}"/>
    <cellStyle name="Normal 4 4 2 4 3 2 2 3 2" xfId="21333" xr:uid="{00000000-0005-0000-0000-0000DB3D0000}"/>
    <cellStyle name="Normal 4 4 2 4 3 2 2 3 2 2" xfId="45909" xr:uid="{00000000-0005-0000-0000-0000DC3D0000}"/>
    <cellStyle name="Normal 4 4 2 4 3 2 2 3 3" xfId="33621" xr:uid="{00000000-0005-0000-0000-0000DD3D0000}"/>
    <cellStyle name="Normal 4 4 2 4 3 2 2 4" xfId="15189" xr:uid="{00000000-0005-0000-0000-0000DE3D0000}"/>
    <cellStyle name="Normal 4 4 2 4 3 2 2 4 2" xfId="39765" xr:uid="{00000000-0005-0000-0000-0000DF3D0000}"/>
    <cellStyle name="Normal 4 4 2 4 3 2 2 5" xfId="27477" xr:uid="{00000000-0005-0000-0000-0000E03D0000}"/>
    <cellStyle name="Normal 4 4 2 4 3 2 3" xfId="4437" xr:uid="{00000000-0005-0000-0000-0000E13D0000}"/>
    <cellStyle name="Normal 4 4 2 4 3 2 3 2" xfId="10581" xr:uid="{00000000-0005-0000-0000-0000E23D0000}"/>
    <cellStyle name="Normal 4 4 2 4 3 2 3 2 2" xfId="22869" xr:uid="{00000000-0005-0000-0000-0000E33D0000}"/>
    <cellStyle name="Normal 4 4 2 4 3 2 3 2 2 2" xfId="47445" xr:uid="{00000000-0005-0000-0000-0000E43D0000}"/>
    <cellStyle name="Normal 4 4 2 4 3 2 3 2 3" xfId="35157" xr:uid="{00000000-0005-0000-0000-0000E53D0000}"/>
    <cellStyle name="Normal 4 4 2 4 3 2 3 3" xfId="16725" xr:uid="{00000000-0005-0000-0000-0000E63D0000}"/>
    <cellStyle name="Normal 4 4 2 4 3 2 3 3 2" xfId="41301" xr:uid="{00000000-0005-0000-0000-0000E73D0000}"/>
    <cellStyle name="Normal 4 4 2 4 3 2 3 4" xfId="29013" xr:uid="{00000000-0005-0000-0000-0000E83D0000}"/>
    <cellStyle name="Normal 4 4 2 4 3 2 4" xfId="7509" xr:uid="{00000000-0005-0000-0000-0000E93D0000}"/>
    <cellStyle name="Normal 4 4 2 4 3 2 4 2" xfId="19797" xr:uid="{00000000-0005-0000-0000-0000EA3D0000}"/>
    <cellStyle name="Normal 4 4 2 4 3 2 4 2 2" xfId="44373" xr:uid="{00000000-0005-0000-0000-0000EB3D0000}"/>
    <cellStyle name="Normal 4 4 2 4 3 2 4 3" xfId="32085" xr:uid="{00000000-0005-0000-0000-0000EC3D0000}"/>
    <cellStyle name="Normal 4 4 2 4 3 2 5" xfId="13653" xr:uid="{00000000-0005-0000-0000-0000ED3D0000}"/>
    <cellStyle name="Normal 4 4 2 4 3 2 5 2" xfId="38229" xr:uid="{00000000-0005-0000-0000-0000EE3D0000}"/>
    <cellStyle name="Normal 4 4 2 4 3 2 6" xfId="25941" xr:uid="{00000000-0005-0000-0000-0000EF3D0000}"/>
    <cellStyle name="Normal 4 4 2 4 3 3" xfId="2129" xr:uid="{00000000-0005-0000-0000-0000F03D0000}"/>
    <cellStyle name="Normal 4 4 2 4 3 3 2" xfId="5205" xr:uid="{00000000-0005-0000-0000-0000F13D0000}"/>
    <cellStyle name="Normal 4 4 2 4 3 3 2 2" xfId="11349" xr:uid="{00000000-0005-0000-0000-0000F23D0000}"/>
    <cellStyle name="Normal 4 4 2 4 3 3 2 2 2" xfId="23637" xr:uid="{00000000-0005-0000-0000-0000F33D0000}"/>
    <cellStyle name="Normal 4 4 2 4 3 3 2 2 2 2" xfId="48213" xr:uid="{00000000-0005-0000-0000-0000F43D0000}"/>
    <cellStyle name="Normal 4 4 2 4 3 3 2 2 3" xfId="35925" xr:uid="{00000000-0005-0000-0000-0000F53D0000}"/>
    <cellStyle name="Normal 4 4 2 4 3 3 2 3" xfId="17493" xr:uid="{00000000-0005-0000-0000-0000F63D0000}"/>
    <cellStyle name="Normal 4 4 2 4 3 3 2 3 2" xfId="42069" xr:uid="{00000000-0005-0000-0000-0000F73D0000}"/>
    <cellStyle name="Normal 4 4 2 4 3 3 2 4" xfId="29781" xr:uid="{00000000-0005-0000-0000-0000F83D0000}"/>
    <cellStyle name="Normal 4 4 2 4 3 3 3" xfId="8277" xr:uid="{00000000-0005-0000-0000-0000F93D0000}"/>
    <cellStyle name="Normal 4 4 2 4 3 3 3 2" xfId="20565" xr:uid="{00000000-0005-0000-0000-0000FA3D0000}"/>
    <cellStyle name="Normal 4 4 2 4 3 3 3 2 2" xfId="45141" xr:uid="{00000000-0005-0000-0000-0000FB3D0000}"/>
    <cellStyle name="Normal 4 4 2 4 3 3 3 3" xfId="32853" xr:uid="{00000000-0005-0000-0000-0000FC3D0000}"/>
    <cellStyle name="Normal 4 4 2 4 3 3 4" xfId="14421" xr:uid="{00000000-0005-0000-0000-0000FD3D0000}"/>
    <cellStyle name="Normal 4 4 2 4 3 3 4 2" xfId="38997" xr:uid="{00000000-0005-0000-0000-0000FE3D0000}"/>
    <cellStyle name="Normal 4 4 2 4 3 3 5" xfId="26709" xr:uid="{00000000-0005-0000-0000-0000FF3D0000}"/>
    <cellStyle name="Normal 4 4 2 4 3 4" xfId="3669" xr:uid="{00000000-0005-0000-0000-0000003E0000}"/>
    <cellStyle name="Normal 4 4 2 4 3 4 2" xfId="9813" xr:uid="{00000000-0005-0000-0000-0000013E0000}"/>
    <cellStyle name="Normal 4 4 2 4 3 4 2 2" xfId="22101" xr:uid="{00000000-0005-0000-0000-0000023E0000}"/>
    <cellStyle name="Normal 4 4 2 4 3 4 2 2 2" xfId="46677" xr:uid="{00000000-0005-0000-0000-0000033E0000}"/>
    <cellStyle name="Normal 4 4 2 4 3 4 2 3" xfId="34389" xr:uid="{00000000-0005-0000-0000-0000043E0000}"/>
    <cellStyle name="Normal 4 4 2 4 3 4 3" xfId="15957" xr:uid="{00000000-0005-0000-0000-0000053E0000}"/>
    <cellStyle name="Normal 4 4 2 4 3 4 3 2" xfId="40533" xr:uid="{00000000-0005-0000-0000-0000063E0000}"/>
    <cellStyle name="Normal 4 4 2 4 3 4 4" xfId="28245" xr:uid="{00000000-0005-0000-0000-0000073E0000}"/>
    <cellStyle name="Normal 4 4 2 4 3 5" xfId="6741" xr:uid="{00000000-0005-0000-0000-0000083E0000}"/>
    <cellStyle name="Normal 4 4 2 4 3 5 2" xfId="19029" xr:uid="{00000000-0005-0000-0000-0000093E0000}"/>
    <cellStyle name="Normal 4 4 2 4 3 5 2 2" xfId="43605" xr:uid="{00000000-0005-0000-0000-00000A3E0000}"/>
    <cellStyle name="Normal 4 4 2 4 3 5 3" xfId="31317" xr:uid="{00000000-0005-0000-0000-00000B3E0000}"/>
    <cellStyle name="Normal 4 4 2 4 3 6" xfId="12885" xr:uid="{00000000-0005-0000-0000-00000C3E0000}"/>
    <cellStyle name="Normal 4 4 2 4 3 6 2" xfId="37461" xr:uid="{00000000-0005-0000-0000-00000D3E0000}"/>
    <cellStyle name="Normal 4 4 2 4 3 7" xfId="25173" xr:uid="{00000000-0005-0000-0000-00000E3E0000}"/>
    <cellStyle name="Normal 4 4 2 4 4" xfId="977" xr:uid="{00000000-0005-0000-0000-00000F3E0000}"/>
    <cellStyle name="Normal 4 4 2 4 4 2" xfId="2513" xr:uid="{00000000-0005-0000-0000-0000103E0000}"/>
    <cellStyle name="Normal 4 4 2 4 4 2 2" xfId="5589" xr:uid="{00000000-0005-0000-0000-0000113E0000}"/>
    <cellStyle name="Normal 4 4 2 4 4 2 2 2" xfId="11733" xr:uid="{00000000-0005-0000-0000-0000123E0000}"/>
    <cellStyle name="Normal 4 4 2 4 4 2 2 2 2" xfId="24021" xr:uid="{00000000-0005-0000-0000-0000133E0000}"/>
    <cellStyle name="Normal 4 4 2 4 4 2 2 2 2 2" xfId="48597" xr:uid="{00000000-0005-0000-0000-0000143E0000}"/>
    <cellStyle name="Normal 4 4 2 4 4 2 2 2 3" xfId="36309" xr:uid="{00000000-0005-0000-0000-0000153E0000}"/>
    <cellStyle name="Normal 4 4 2 4 4 2 2 3" xfId="17877" xr:uid="{00000000-0005-0000-0000-0000163E0000}"/>
    <cellStyle name="Normal 4 4 2 4 4 2 2 3 2" xfId="42453" xr:uid="{00000000-0005-0000-0000-0000173E0000}"/>
    <cellStyle name="Normal 4 4 2 4 4 2 2 4" xfId="30165" xr:uid="{00000000-0005-0000-0000-0000183E0000}"/>
    <cellStyle name="Normal 4 4 2 4 4 2 3" xfId="8661" xr:uid="{00000000-0005-0000-0000-0000193E0000}"/>
    <cellStyle name="Normal 4 4 2 4 4 2 3 2" xfId="20949" xr:uid="{00000000-0005-0000-0000-00001A3E0000}"/>
    <cellStyle name="Normal 4 4 2 4 4 2 3 2 2" xfId="45525" xr:uid="{00000000-0005-0000-0000-00001B3E0000}"/>
    <cellStyle name="Normal 4 4 2 4 4 2 3 3" xfId="33237" xr:uid="{00000000-0005-0000-0000-00001C3E0000}"/>
    <cellStyle name="Normal 4 4 2 4 4 2 4" xfId="14805" xr:uid="{00000000-0005-0000-0000-00001D3E0000}"/>
    <cellStyle name="Normal 4 4 2 4 4 2 4 2" xfId="39381" xr:uid="{00000000-0005-0000-0000-00001E3E0000}"/>
    <cellStyle name="Normal 4 4 2 4 4 2 5" xfId="27093" xr:uid="{00000000-0005-0000-0000-00001F3E0000}"/>
    <cellStyle name="Normal 4 4 2 4 4 3" xfId="4053" xr:uid="{00000000-0005-0000-0000-0000203E0000}"/>
    <cellStyle name="Normal 4 4 2 4 4 3 2" xfId="10197" xr:uid="{00000000-0005-0000-0000-0000213E0000}"/>
    <cellStyle name="Normal 4 4 2 4 4 3 2 2" xfId="22485" xr:uid="{00000000-0005-0000-0000-0000223E0000}"/>
    <cellStyle name="Normal 4 4 2 4 4 3 2 2 2" xfId="47061" xr:uid="{00000000-0005-0000-0000-0000233E0000}"/>
    <cellStyle name="Normal 4 4 2 4 4 3 2 3" xfId="34773" xr:uid="{00000000-0005-0000-0000-0000243E0000}"/>
    <cellStyle name="Normal 4 4 2 4 4 3 3" xfId="16341" xr:uid="{00000000-0005-0000-0000-0000253E0000}"/>
    <cellStyle name="Normal 4 4 2 4 4 3 3 2" xfId="40917" xr:uid="{00000000-0005-0000-0000-0000263E0000}"/>
    <cellStyle name="Normal 4 4 2 4 4 3 4" xfId="28629" xr:uid="{00000000-0005-0000-0000-0000273E0000}"/>
    <cellStyle name="Normal 4 4 2 4 4 4" xfId="7125" xr:uid="{00000000-0005-0000-0000-0000283E0000}"/>
    <cellStyle name="Normal 4 4 2 4 4 4 2" xfId="19413" xr:uid="{00000000-0005-0000-0000-0000293E0000}"/>
    <cellStyle name="Normal 4 4 2 4 4 4 2 2" xfId="43989" xr:uid="{00000000-0005-0000-0000-00002A3E0000}"/>
    <cellStyle name="Normal 4 4 2 4 4 4 3" xfId="31701" xr:uid="{00000000-0005-0000-0000-00002B3E0000}"/>
    <cellStyle name="Normal 4 4 2 4 4 5" xfId="13269" xr:uid="{00000000-0005-0000-0000-00002C3E0000}"/>
    <cellStyle name="Normal 4 4 2 4 4 5 2" xfId="37845" xr:uid="{00000000-0005-0000-0000-00002D3E0000}"/>
    <cellStyle name="Normal 4 4 2 4 4 6" xfId="25557" xr:uid="{00000000-0005-0000-0000-00002E3E0000}"/>
    <cellStyle name="Normal 4 4 2 4 5" xfId="1745" xr:uid="{00000000-0005-0000-0000-00002F3E0000}"/>
    <cellStyle name="Normal 4 4 2 4 5 2" xfId="4821" xr:uid="{00000000-0005-0000-0000-0000303E0000}"/>
    <cellStyle name="Normal 4 4 2 4 5 2 2" xfId="10965" xr:uid="{00000000-0005-0000-0000-0000313E0000}"/>
    <cellStyle name="Normal 4 4 2 4 5 2 2 2" xfId="23253" xr:uid="{00000000-0005-0000-0000-0000323E0000}"/>
    <cellStyle name="Normal 4 4 2 4 5 2 2 2 2" xfId="47829" xr:uid="{00000000-0005-0000-0000-0000333E0000}"/>
    <cellStyle name="Normal 4 4 2 4 5 2 2 3" xfId="35541" xr:uid="{00000000-0005-0000-0000-0000343E0000}"/>
    <cellStyle name="Normal 4 4 2 4 5 2 3" xfId="17109" xr:uid="{00000000-0005-0000-0000-0000353E0000}"/>
    <cellStyle name="Normal 4 4 2 4 5 2 3 2" xfId="41685" xr:uid="{00000000-0005-0000-0000-0000363E0000}"/>
    <cellStyle name="Normal 4 4 2 4 5 2 4" xfId="29397" xr:uid="{00000000-0005-0000-0000-0000373E0000}"/>
    <cellStyle name="Normal 4 4 2 4 5 3" xfId="7893" xr:uid="{00000000-0005-0000-0000-0000383E0000}"/>
    <cellStyle name="Normal 4 4 2 4 5 3 2" xfId="20181" xr:uid="{00000000-0005-0000-0000-0000393E0000}"/>
    <cellStyle name="Normal 4 4 2 4 5 3 2 2" xfId="44757" xr:uid="{00000000-0005-0000-0000-00003A3E0000}"/>
    <cellStyle name="Normal 4 4 2 4 5 3 3" xfId="32469" xr:uid="{00000000-0005-0000-0000-00003B3E0000}"/>
    <cellStyle name="Normal 4 4 2 4 5 4" xfId="14037" xr:uid="{00000000-0005-0000-0000-00003C3E0000}"/>
    <cellStyle name="Normal 4 4 2 4 5 4 2" xfId="38613" xr:uid="{00000000-0005-0000-0000-00003D3E0000}"/>
    <cellStyle name="Normal 4 4 2 4 5 5" xfId="26325" xr:uid="{00000000-0005-0000-0000-00003E3E0000}"/>
    <cellStyle name="Normal 4 4 2 4 6" xfId="3285" xr:uid="{00000000-0005-0000-0000-00003F3E0000}"/>
    <cellStyle name="Normal 4 4 2 4 6 2" xfId="9429" xr:uid="{00000000-0005-0000-0000-0000403E0000}"/>
    <cellStyle name="Normal 4 4 2 4 6 2 2" xfId="21717" xr:uid="{00000000-0005-0000-0000-0000413E0000}"/>
    <cellStyle name="Normal 4 4 2 4 6 2 2 2" xfId="46293" xr:uid="{00000000-0005-0000-0000-0000423E0000}"/>
    <cellStyle name="Normal 4 4 2 4 6 2 3" xfId="34005" xr:uid="{00000000-0005-0000-0000-0000433E0000}"/>
    <cellStyle name="Normal 4 4 2 4 6 3" xfId="15573" xr:uid="{00000000-0005-0000-0000-0000443E0000}"/>
    <cellStyle name="Normal 4 4 2 4 6 3 2" xfId="40149" xr:uid="{00000000-0005-0000-0000-0000453E0000}"/>
    <cellStyle name="Normal 4 4 2 4 6 4" xfId="27861" xr:uid="{00000000-0005-0000-0000-0000463E0000}"/>
    <cellStyle name="Normal 4 4 2 4 7" xfId="6357" xr:uid="{00000000-0005-0000-0000-0000473E0000}"/>
    <cellStyle name="Normal 4 4 2 4 7 2" xfId="18645" xr:uid="{00000000-0005-0000-0000-0000483E0000}"/>
    <cellStyle name="Normal 4 4 2 4 7 2 2" xfId="43221" xr:uid="{00000000-0005-0000-0000-0000493E0000}"/>
    <cellStyle name="Normal 4 4 2 4 7 3" xfId="30933" xr:uid="{00000000-0005-0000-0000-00004A3E0000}"/>
    <cellStyle name="Normal 4 4 2 4 8" xfId="12501" xr:uid="{00000000-0005-0000-0000-00004B3E0000}"/>
    <cellStyle name="Normal 4 4 2 4 8 2" xfId="37077" xr:uid="{00000000-0005-0000-0000-00004C3E0000}"/>
    <cellStyle name="Normal 4 4 2 4 9" xfId="24789" xr:uid="{00000000-0005-0000-0000-00004D3E0000}"/>
    <cellStyle name="Normal 4 4 2 5" xfId="273" xr:uid="{00000000-0005-0000-0000-00004E3E0000}"/>
    <cellStyle name="Normal 4 4 2 5 2" xfId="465" xr:uid="{00000000-0005-0000-0000-00004F3E0000}"/>
    <cellStyle name="Normal 4 4 2 5 2 2" xfId="849" xr:uid="{00000000-0005-0000-0000-0000503E0000}"/>
    <cellStyle name="Normal 4 4 2 5 2 2 2" xfId="1617" xr:uid="{00000000-0005-0000-0000-0000513E0000}"/>
    <cellStyle name="Normal 4 4 2 5 2 2 2 2" xfId="3153" xr:uid="{00000000-0005-0000-0000-0000523E0000}"/>
    <cellStyle name="Normal 4 4 2 5 2 2 2 2 2" xfId="6229" xr:uid="{00000000-0005-0000-0000-0000533E0000}"/>
    <cellStyle name="Normal 4 4 2 5 2 2 2 2 2 2" xfId="12373" xr:uid="{00000000-0005-0000-0000-0000543E0000}"/>
    <cellStyle name="Normal 4 4 2 5 2 2 2 2 2 2 2" xfId="24661" xr:uid="{00000000-0005-0000-0000-0000553E0000}"/>
    <cellStyle name="Normal 4 4 2 5 2 2 2 2 2 2 2 2" xfId="49237" xr:uid="{00000000-0005-0000-0000-0000563E0000}"/>
    <cellStyle name="Normal 4 4 2 5 2 2 2 2 2 2 3" xfId="36949" xr:uid="{00000000-0005-0000-0000-0000573E0000}"/>
    <cellStyle name="Normal 4 4 2 5 2 2 2 2 2 3" xfId="18517" xr:uid="{00000000-0005-0000-0000-0000583E0000}"/>
    <cellStyle name="Normal 4 4 2 5 2 2 2 2 2 3 2" xfId="43093" xr:uid="{00000000-0005-0000-0000-0000593E0000}"/>
    <cellStyle name="Normal 4 4 2 5 2 2 2 2 2 4" xfId="30805" xr:uid="{00000000-0005-0000-0000-00005A3E0000}"/>
    <cellStyle name="Normal 4 4 2 5 2 2 2 2 3" xfId="9301" xr:uid="{00000000-0005-0000-0000-00005B3E0000}"/>
    <cellStyle name="Normal 4 4 2 5 2 2 2 2 3 2" xfId="21589" xr:uid="{00000000-0005-0000-0000-00005C3E0000}"/>
    <cellStyle name="Normal 4 4 2 5 2 2 2 2 3 2 2" xfId="46165" xr:uid="{00000000-0005-0000-0000-00005D3E0000}"/>
    <cellStyle name="Normal 4 4 2 5 2 2 2 2 3 3" xfId="33877" xr:uid="{00000000-0005-0000-0000-00005E3E0000}"/>
    <cellStyle name="Normal 4 4 2 5 2 2 2 2 4" xfId="15445" xr:uid="{00000000-0005-0000-0000-00005F3E0000}"/>
    <cellStyle name="Normal 4 4 2 5 2 2 2 2 4 2" xfId="40021" xr:uid="{00000000-0005-0000-0000-0000603E0000}"/>
    <cellStyle name="Normal 4 4 2 5 2 2 2 2 5" xfId="27733" xr:uid="{00000000-0005-0000-0000-0000613E0000}"/>
    <cellStyle name="Normal 4 4 2 5 2 2 2 3" xfId="4693" xr:uid="{00000000-0005-0000-0000-0000623E0000}"/>
    <cellStyle name="Normal 4 4 2 5 2 2 2 3 2" xfId="10837" xr:uid="{00000000-0005-0000-0000-0000633E0000}"/>
    <cellStyle name="Normal 4 4 2 5 2 2 2 3 2 2" xfId="23125" xr:uid="{00000000-0005-0000-0000-0000643E0000}"/>
    <cellStyle name="Normal 4 4 2 5 2 2 2 3 2 2 2" xfId="47701" xr:uid="{00000000-0005-0000-0000-0000653E0000}"/>
    <cellStyle name="Normal 4 4 2 5 2 2 2 3 2 3" xfId="35413" xr:uid="{00000000-0005-0000-0000-0000663E0000}"/>
    <cellStyle name="Normal 4 4 2 5 2 2 2 3 3" xfId="16981" xr:uid="{00000000-0005-0000-0000-0000673E0000}"/>
    <cellStyle name="Normal 4 4 2 5 2 2 2 3 3 2" xfId="41557" xr:uid="{00000000-0005-0000-0000-0000683E0000}"/>
    <cellStyle name="Normal 4 4 2 5 2 2 2 3 4" xfId="29269" xr:uid="{00000000-0005-0000-0000-0000693E0000}"/>
    <cellStyle name="Normal 4 4 2 5 2 2 2 4" xfId="7765" xr:uid="{00000000-0005-0000-0000-00006A3E0000}"/>
    <cellStyle name="Normal 4 4 2 5 2 2 2 4 2" xfId="20053" xr:uid="{00000000-0005-0000-0000-00006B3E0000}"/>
    <cellStyle name="Normal 4 4 2 5 2 2 2 4 2 2" xfId="44629" xr:uid="{00000000-0005-0000-0000-00006C3E0000}"/>
    <cellStyle name="Normal 4 4 2 5 2 2 2 4 3" xfId="32341" xr:uid="{00000000-0005-0000-0000-00006D3E0000}"/>
    <cellStyle name="Normal 4 4 2 5 2 2 2 5" xfId="13909" xr:uid="{00000000-0005-0000-0000-00006E3E0000}"/>
    <cellStyle name="Normal 4 4 2 5 2 2 2 5 2" xfId="38485" xr:uid="{00000000-0005-0000-0000-00006F3E0000}"/>
    <cellStyle name="Normal 4 4 2 5 2 2 2 6" xfId="26197" xr:uid="{00000000-0005-0000-0000-0000703E0000}"/>
    <cellStyle name="Normal 4 4 2 5 2 2 3" xfId="2385" xr:uid="{00000000-0005-0000-0000-0000713E0000}"/>
    <cellStyle name="Normal 4 4 2 5 2 2 3 2" xfId="5461" xr:uid="{00000000-0005-0000-0000-0000723E0000}"/>
    <cellStyle name="Normal 4 4 2 5 2 2 3 2 2" xfId="11605" xr:uid="{00000000-0005-0000-0000-0000733E0000}"/>
    <cellStyle name="Normal 4 4 2 5 2 2 3 2 2 2" xfId="23893" xr:uid="{00000000-0005-0000-0000-0000743E0000}"/>
    <cellStyle name="Normal 4 4 2 5 2 2 3 2 2 2 2" xfId="48469" xr:uid="{00000000-0005-0000-0000-0000753E0000}"/>
    <cellStyle name="Normal 4 4 2 5 2 2 3 2 2 3" xfId="36181" xr:uid="{00000000-0005-0000-0000-0000763E0000}"/>
    <cellStyle name="Normal 4 4 2 5 2 2 3 2 3" xfId="17749" xr:uid="{00000000-0005-0000-0000-0000773E0000}"/>
    <cellStyle name="Normal 4 4 2 5 2 2 3 2 3 2" xfId="42325" xr:uid="{00000000-0005-0000-0000-0000783E0000}"/>
    <cellStyle name="Normal 4 4 2 5 2 2 3 2 4" xfId="30037" xr:uid="{00000000-0005-0000-0000-0000793E0000}"/>
    <cellStyle name="Normal 4 4 2 5 2 2 3 3" xfId="8533" xr:uid="{00000000-0005-0000-0000-00007A3E0000}"/>
    <cellStyle name="Normal 4 4 2 5 2 2 3 3 2" xfId="20821" xr:uid="{00000000-0005-0000-0000-00007B3E0000}"/>
    <cellStyle name="Normal 4 4 2 5 2 2 3 3 2 2" xfId="45397" xr:uid="{00000000-0005-0000-0000-00007C3E0000}"/>
    <cellStyle name="Normal 4 4 2 5 2 2 3 3 3" xfId="33109" xr:uid="{00000000-0005-0000-0000-00007D3E0000}"/>
    <cellStyle name="Normal 4 4 2 5 2 2 3 4" xfId="14677" xr:uid="{00000000-0005-0000-0000-00007E3E0000}"/>
    <cellStyle name="Normal 4 4 2 5 2 2 3 4 2" xfId="39253" xr:uid="{00000000-0005-0000-0000-00007F3E0000}"/>
    <cellStyle name="Normal 4 4 2 5 2 2 3 5" xfId="26965" xr:uid="{00000000-0005-0000-0000-0000803E0000}"/>
    <cellStyle name="Normal 4 4 2 5 2 2 4" xfId="3925" xr:uid="{00000000-0005-0000-0000-0000813E0000}"/>
    <cellStyle name="Normal 4 4 2 5 2 2 4 2" xfId="10069" xr:uid="{00000000-0005-0000-0000-0000823E0000}"/>
    <cellStyle name="Normal 4 4 2 5 2 2 4 2 2" xfId="22357" xr:uid="{00000000-0005-0000-0000-0000833E0000}"/>
    <cellStyle name="Normal 4 4 2 5 2 2 4 2 2 2" xfId="46933" xr:uid="{00000000-0005-0000-0000-0000843E0000}"/>
    <cellStyle name="Normal 4 4 2 5 2 2 4 2 3" xfId="34645" xr:uid="{00000000-0005-0000-0000-0000853E0000}"/>
    <cellStyle name="Normal 4 4 2 5 2 2 4 3" xfId="16213" xr:uid="{00000000-0005-0000-0000-0000863E0000}"/>
    <cellStyle name="Normal 4 4 2 5 2 2 4 3 2" xfId="40789" xr:uid="{00000000-0005-0000-0000-0000873E0000}"/>
    <cellStyle name="Normal 4 4 2 5 2 2 4 4" xfId="28501" xr:uid="{00000000-0005-0000-0000-0000883E0000}"/>
    <cellStyle name="Normal 4 4 2 5 2 2 5" xfId="6997" xr:uid="{00000000-0005-0000-0000-0000893E0000}"/>
    <cellStyle name="Normal 4 4 2 5 2 2 5 2" xfId="19285" xr:uid="{00000000-0005-0000-0000-00008A3E0000}"/>
    <cellStyle name="Normal 4 4 2 5 2 2 5 2 2" xfId="43861" xr:uid="{00000000-0005-0000-0000-00008B3E0000}"/>
    <cellStyle name="Normal 4 4 2 5 2 2 5 3" xfId="31573" xr:uid="{00000000-0005-0000-0000-00008C3E0000}"/>
    <cellStyle name="Normal 4 4 2 5 2 2 6" xfId="13141" xr:uid="{00000000-0005-0000-0000-00008D3E0000}"/>
    <cellStyle name="Normal 4 4 2 5 2 2 6 2" xfId="37717" xr:uid="{00000000-0005-0000-0000-00008E3E0000}"/>
    <cellStyle name="Normal 4 4 2 5 2 2 7" xfId="25429" xr:uid="{00000000-0005-0000-0000-00008F3E0000}"/>
    <cellStyle name="Normal 4 4 2 5 2 3" xfId="1233" xr:uid="{00000000-0005-0000-0000-0000903E0000}"/>
    <cellStyle name="Normal 4 4 2 5 2 3 2" xfId="2769" xr:uid="{00000000-0005-0000-0000-0000913E0000}"/>
    <cellStyle name="Normal 4 4 2 5 2 3 2 2" xfId="5845" xr:uid="{00000000-0005-0000-0000-0000923E0000}"/>
    <cellStyle name="Normal 4 4 2 5 2 3 2 2 2" xfId="11989" xr:uid="{00000000-0005-0000-0000-0000933E0000}"/>
    <cellStyle name="Normal 4 4 2 5 2 3 2 2 2 2" xfId="24277" xr:uid="{00000000-0005-0000-0000-0000943E0000}"/>
    <cellStyle name="Normal 4 4 2 5 2 3 2 2 2 2 2" xfId="48853" xr:uid="{00000000-0005-0000-0000-0000953E0000}"/>
    <cellStyle name="Normal 4 4 2 5 2 3 2 2 2 3" xfId="36565" xr:uid="{00000000-0005-0000-0000-0000963E0000}"/>
    <cellStyle name="Normal 4 4 2 5 2 3 2 2 3" xfId="18133" xr:uid="{00000000-0005-0000-0000-0000973E0000}"/>
    <cellStyle name="Normal 4 4 2 5 2 3 2 2 3 2" xfId="42709" xr:uid="{00000000-0005-0000-0000-0000983E0000}"/>
    <cellStyle name="Normal 4 4 2 5 2 3 2 2 4" xfId="30421" xr:uid="{00000000-0005-0000-0000-0000993E0000}"/>
    <cellStyle name="Normal 4 4 2 5 2 3 2 3" xfId="8917" xr:uid="{00000000-0005-0000-0000-00009A3E0000}"/>
    <cellStyle name="Normal 4 4 2 5 2 3 2 3 2" xfId="21205" xr:uid="{00000000-0005-0000-0000-00009B3E0000}"/>
    <cellStyle name="Normal 4 4 2 5 2 3 2 3 2 2" xfId="45781" xr:uid="{00000000-0005-0000-0000-00009C3E0000}"/>
    <cellStyle name="Normal 4 4 2 5 2 3 2 3 3" xfId="33493" xr:uid="{00000000-0005-0000-0000-00009D3E0000}"/>
    <cellStyle name="Normal 4 4 2 5 2 3 2 4" xfId="15061" xr:uid="{00000000-0005-0000-0000-00009E3E0000}"/>
    <cellStyle name="Normal 4 4 2 5 2 3 2 4 2" xfId="39637" xr:uid="{00000000-0005-0000-0000-00009F3E0000}"/>
    <cellStyle name="Normal 4 4 2 5 2 3 2 5" xfId="27349" xr:uid="{00000000-0005-0000-0000-0000A03E0000}"/>
    <cellStyle name="Normal 4 4 2 5 2 3 3" xfId="4309" xr:uid="{00000000-0005-0000-0000-0000A13E0000}"/>
    <cellStyle name="Normal 4 4 2 5 2 3 3 2" xfId="10453" xr:uid="{00000000-0005-0000-0000-0000A23E0000}"/>
    <cellStyle name="Normal 4 4 2 5 2 3 3 2 2" xfId="22741" xr:uid="{00000000-0005-0000-0000-0000A33E0000}"/>
    <cellStyle name="Normal 4 4 2 5 2 3 3 2 2 2" xfId="47317" xr:uid="{00000000-0005-0000-0000-0000A43E0000}"/>
    <cellStyle name="Normal 4 4 2 5 2 3 3 2 3" xfId="35029" xr:uid="{00000000-0005-0000-0000-0000A53E0000}"/>
    <cellStyle name="Normal 4 4 2 5 2 3 3 3" xfId="16597" xr:uid="{00000000-0005-0000-0000-0000A63E0000}"/>
    <cellStyle name="Normal 4 4 2 5 2 3 3 3 2" xfId="41173" xr:uid="{00000000-0005-0000-0000-0000A73E0000}"/>
    <cellStyle name="Normal 4 4 2 5 2 3 3 4" xfId="28885" xr:uid="{00000000-0005-0000-0000-0000A83E0000}"/>
    <cellStyle name="Normal 4 4 2 5 2 3 4" xfId="7381" xr:uid="{00000000-0005-0000-0000-0000A93E0000}"/>
    <cellStyle name="Normal 4 4 2 5 2 3 4 2" xfId="19669" xr:uid="{00000000-0005-0000-0000-0000AA3E0000}"/>
    <cellStyle name="Normal 4 4 2 5 2 3 4 2 2" xfId="44245" xr:uid="{00000000-0005-0000-0000-0000AB3E0000}"/>
    <cellStyle name="Normal 4 4 2 5 2 3 4 3" xfId="31957" xr:uid="{00000000-0005-0000-0000-0000AC3E0000}"/>
    <cellStyle name="Normal 4 4 2 5 2 3 5" xfId="13525" xr:uid="{00000000-0005-0000-0000-0000AD3E0000}"/>
    <cellStyle name="Normal 4 4 2 5 2 3 5 2" xfId="38101" xr:uid="{00000000-0005-0000-0000-0000AE3E0000}"/>
    <cellStyle name="Normal 4 4 2 5 2 3 6" xfId="25813" xr:uid="{00000000-0005-0000-0000-0000AF3E0000}"/>
    <cellStyle name="Normal 4 4 2 5 2 4" xfId="2001" xr:uid="{00000000-0005-0000-0000-0000B03E0000}"/>
    <cellStyle name="Normal 4 4 2 5 2 4 2" xfId="5077" xr:uid="{00000000-0005-0000-0000-0000B13E0000}"/>
    <cellStyle name="Normal 4 4 2 5 2 4 2 2" xfId="11221" xr:uid="{00000000-0005-0000-0000-0000B23E0000}"/>
    <cellStyle name="Normal 4 4 2 5 2 4 2 2 2" xfId="23509" xr:uid="{00000000-0005-0000-0000-0000B33E0000}"/>
    <cellStyle name="Normal 4 4 2 5 2 4 2 2 2 2" xfId="48085" xr:uid="{00000000-0005-0000-0000-0000B43E0000}"/>
    <cellStyle name="Normal 4 4 2 5 2 4 2 2 3" xfId="35797" xr:uid="{00000000-0005-0000-0000-0000B53E0000}"/>
    <cellStyle name="Normal 4 4 2 5 2 4 2 3" xfId="17365" xr:uid="{00000000-0005-0000-0000-0000B63E0000}"/>
    <cellStyle name="Normal 4 4 2 5 2 4 2 3 2" xfId="41941" xr:uid="{00000000-0005-0000-0000-0000B73E0000}"/>
    <cellStyle name="Normal 4 4 2 5 2 4 2 4" xfId="29653" xr:uid="{00000000-0005-0000-0000-0000B83E0000}"/>
    <cellStyle name="Normal 4 4 2 5 2 4 3" xfId="8149" xr:uid="{00000000-0005-0000-0000-0000B93E0000}"/>
    <cellStyle name="Normal 4 4 2 5 2 4 3 2" xfId="20437" xr:uid="{00000000-0005-0000-0000-0000BA3E0000}"/>
    <cellStyle name="Normal 4 4 2 5 2 4 3 2 2" xfId="45013" xr:uid="{00000000-0005-0000-0000-0000BB3E0000}"/>
    <cellStyle name="Normal 4 4 2 5 2 4 3 3" xfId="32725" xr:uid="{00000000-0005-0000-0000-0000BC3E0000}"/>
    <cellStyle name="Normal 4 4 2 5 2 4 4" xfId="14293" xr:uid="{00000000-0005-0000-0000-0000BD3E0000}"/>
    <cellStyle name="Normal 4 4 2 5 2 4 4 2" xfId="38869" xr:uid="{00000000-0005-0000-0000-0000BE3E0000}"/>
    <cellStyle name="Normal 4 4 2 5 2 4 5" xfId="26581" xr:uid="{00000000-0005-0000-0000-0000BF3E0000}"/>
    <cellStyle name="Normal 4 4 2 5 2 5" xfId="3541" xr:uid="{00000000-0005-0000-0000-0000C03E0000}"/>
    <cellStyle name="Normal 4 4 2 5 2 5 2" xfId="9685" xr:uid="{00000000-0005-0000-0000-0000C13E0000}"/>
    <cellStyle name="Normal 4 4 2 5 2 5 2 2" xfId="21973" xr:uid="{00000000-0005-0000-0000-0000C23E0000}"/>
    <cellStyle name="Normal 4 4 2 5 2 5 2 2 2" xfId="46549" xr:uid="{00000000-0005-0000-0000-0000C33E0000}"/>
    <cellStyle name="Normal 4 4 2 5 2 5 2 3" xfId="34261" xr:uid="{00000000-0005-0000-0000-0000C43E0000}"/>
    <cellStyle name="Normal 4 4 2 5 2 5 3" xfId="15829" xr:uid="{00000000-0005-0000-0000-0000C53E0000}"/>
    <cellStyle name="Normal 4 4 2 5 2 5 3 2" xfId="40405" xr:uid="{00000000-0005-0000-0000-0000C63E0000}"/>
    <cellStyle name="Normal 4 4 2 5 2 5 4" xfId="28117" xr:uid="{00000000-0005-0000-0000-0000C73E0000}"/>
    <cellStyle name="Normal 4 4 2 5 2 6" xfId="6613" xr:uid="{00000000-0005-0000-0000-0000C83E0000}"/>
    <cellStyle name="Normal 4 4 2 5 2 6 2" xfId="18901" xr:uid="{00000000-0005-0000-0000-0000C93E0000}"/>
    <cellStyle name="Normal 4 4 2 5 2 6 2 2" xfId="43477" xr:uid="{00000000-0005-0000-0000-0000CA3E0000}"/>
    <cellStyle name="Normal 4 4 2 5 2 6 3" xfId="31189" xr:uid="{00000000-0005-0000-0000-0000CB3E0000}"/>
    <cellStyle name="Normal 4 4 2 5 2 7" xfId="12757" xr:uid="{00000000-0005-0000-0000-0000CC3E0000}"/>
    <cellStyle name="Normal 4 4 2 5 2 7 2" xfId="37333" xr:uid="{00000000-0005-0000-0000-0000CD3E0000}"/>
    <cellStyle name="Normal 4 4 2 5 2 8" xfId="25045" xr:uid="{00000000-0005-0000-0000-0000CE3E0000}"/>
    <cellStyle name="Normal 4 4 2 5 3" xfId="657" xr:uid="{00000000-0005-0000-0000-0000CF3E0000}"/>
    <cellStyle name="Normal 4 4 2 5 3 2" xfId="1425" xr:uid="{00000000-0005-0000-0000-0000D03E0000}"/>
    <cellStyle name="Normal 4 4 2 5 3 2 2" xfId="2961" xr:uid="{00000000-0005-0000-0000-0000D13E0000}"/>
    <cellStyle name="Normal 4 4 2 5 3 2 2 2" xfId="6037" xr:uid="{00000000-0005-0000-0000-0000D23E0000}"/>
    <cellStyle name="Normal 4 4 2 5 3 2 2 2 2" xfId="12181" xr:uid="{00000000-0005-0000-0000-0000D33E0000}"/>
    <cellStyle name="Normal 4 4 2 5 3 2 2 2 2 2" xfId="24469" xr:uid="{00000000-0005-0000-0000-0000D43E0000}"/>
    <cellStyle name="Normal 4 4 2 5 3 2 2 2 2 2 2" xfId="49045" xr:uid="{00000000-0005-0000-0000-0000D53E0000}"/>
    <cellStyle name="Normal 4 4 2 5 3 2 2 2 2 3" xfId="36757" xr:uid="{00000000-0005-0000-0000-0000D63E0000}"/>
    <cellStyle name="Normal 4 4 2 5 3 2 2 2 3" xfId="18325" xr:uid="{00000000-0005-0000-0000-0000D73E0000}"/>
    <cellStyle name="Normal 4 4 2 5 3 2 2 2 3 2" xfId="42901" xr:uid="{00000000-0005-0000-0000-0000D83E0000}"/>
    <cellStyle name="Normal 4 4 2 5 3 2 2 2 4" xfId="30613" xr:uid="{00000000-0005-0000-0000-0000D93E0000}"/>
    <cellStyle name="Normal 4 4 2 5 3 2 2 3" xfId="9109" xr:uid="{00000000-0005-0000-0000-0000DA3E0000}"/>
    <cellStyle name="Normal 4 4 2 5 3 2 2 3 2" xfId="21397" xr:uid="{00000000-0005-0000-0000-0000DB3E0000}"/>
    <cellStyle name="Normal 4 4 2 5 3 2 2 3 2 2" xfId="45973" xr:uid="{00000000-0005-0000-0000-0000DC3E0000}"/>
    <cellStyle name="Normal 4 4 2 5 3 2 2 3 3" xfId="33685" xr:uid="{00000000-0005-0000-0000-0000DD3E0000}"/>
    <cellStyle name="Normal 4 4 2 5 3 2 2 4" xfId="15253" xr:uid="{00000000-0005-0000-0000-0000DE3E0000}"/>
    <cellStyle name="Normal 4 4 2 5 3 2 2 4 2" xfId="39829" xr:uid="{00000000-0005-0000-0000-0000DF3E0000}"/>
    <cellStyle name="Normal 4 4 2 5 3 2 2 5" xfId="27541" xr:uid="{00000000-0005-0000-0000-0000E03E0000}"/>
    <cellStyle name="Normal 4 4 2 5 3 2 3" xfId="4501" xr:uid="{00000000-0005-0000-0000-0000E13E0000}"/>
    <cellStyle name="Normal 4 4 2 5 3 2 3 2" xfId="10645" xr:uid="{00000000-0005-0000-0000-0000E23E0000}"/>
    <cellStyle name="Normal 4 4 2 5 3 2 3 2 2" xfId="22933" xr:uid="{00000000-0005-0000-0000-0000E33E0000}"/>
    <cellStyle name="Normal 4 4 2 5 3 2 3 2 2 2" xfId="47509" xr:uid="{00000000-0005-0000-0000-0000E43E0000}"/>
    <cellStyle name="Normal 4 4 2 5 3 2 3 2 3" xfId="35221" xr:uid="{00000000-0005-0000-0000-0000E53E0000}"/>
    <cellStyle name="Normal 4 4 2 5 3 2 3 3" xfId="16789" xr:uid="{00000000-0005-0000-0000-0000E63E0000}"/>
    <cellStyle name="Normal 4 4 2 5 3 2 3 3 2" xfId="41365" xr:uid="{00000000-0005-0000-0000-0000E73E0000}"/>
    <cellStyle name="Normal 4 4 2 5 3 2 3 4" xfId="29077" xr:uid="{00000000-0005-0000-0000-0000E83E0000}"/>
    <cellStyle name="Normal 4 4 2 5 3 2 4" xfId="7573" xr:uid="{00000000-0005-0000-0000-0000E93E0000}"/>
    <cellStyle name="Normal 4 4 2 5 3 2 4 2" xfId="19861" xr:uid="{00000000-0005-0000-0000-0000EA3E0000}"/>
    <cellStyle name="Normal 4 4 2 5 3 2 4 2 2" xfId="44437" xr:uid="{00000000-0005-0000-0000-0000EB3E0000}"/>
    <cellStyle name="Normal 4 4 2 5 3 2 4 3" xfId="32149" xr:uid="{00000000-0005-0000-0000-0000EC3E0000}"/>
    <cellStyle name="Normal 4 4 2 5 3 2 5" xfId="13717" xr:uid="{00000000-0005-0000-0000-0000ED3E0000}"/>
    <cellStyle name="Normal 4 4 2 5 3 2 5 2" xfId="38293" xr:uid="{00000000-0005-0000-0000-0000EE3E0000}"/>
    <cellStyle name="Normal 4 4 2 5 3 2 6" xfId="26005" xr:uid="{00000000-0005-0000-0000-0000EF3E0000}"/>
    <cellStyle name="Normal 4 4 2 5 3 3" xfId="2193" xr:uid="{00000000-0005-0000-0000-0000F03E0000}"/>
    <cellStyle name="Normal 4 4 2 5 3 3 2" xfId="5269" xr:uid="{00000000-0005-0000-0000-0000F13E0000}"/>
    <cellStyle name="Normal 4 4 2 5 3 3 2 2" xfId="11413" xr:uid="{00000000-0005-0000-0000-0000F23E0000}"/>
    <cellStyle name="Normal 4 4 2 5 3 3 2 2 2" xfId="23701" xr:uid="{00000000-0005-0000-0000-0000F33E0000}"/>
    <cellStyle name="Normal 4 4 2 5 3 3 2 2 2 2" xfId="48277" xr:uid="{00000000-0005-0000-0000-0000F43E0000}"/>
    <cellStyle name="Normal 4 4 2 5 3 3 2 2 3" xfId="35989" xr:uid="{00000000-0005-0000-0000-0000F53E0000}"/>
    <cellStyle name="Normal 4 4 2 5 3 3 2 3" xfId="17557" xr:uid="{00000000-0005-0000-0000-0000F63E0000}"/>
    <cellStyle name="Normal 4 4 2 5 3 3 2 3 2" xfId="42133" xr:uid="{00000000-0005-0000-0000-0000F73E0000}"/>
    <cellStyle name="Normal 4 4 2 5 3 3 2 4" xfId="29845" xr:uid="{00000000-0005-0000-0000-0000F83E0000}"/>
    <cellStyle name="Normal 4 4 2 5 3 3 3" xfId="8341" xr:uid="{00000000-0005-0000-0000-0000F93E0000}"/>
    <cellStyle name="Normal 4 4 2 5 3 3 3 2" xfId="20629" xr:uid="{00000000-0005-0000-0000-0000FA3E0000}"/>
    <cellStyle name="Normal 4 4 2 5 3 3 3 2 2" xfId="45205" xr:uid="{00000000-0005-0000-0000-0000FB3E0000}"/>
    <cellStyle name="Normal 4 4 2 5 3 3 3 3" xfId="32917" xr:uid="{00000000-0005-0000-0000-0000FC3E0000}"/>
    <cellStyle name="Normal 4 4 2 5 3 3 4" xfId="14485" xr:uid="{00000000-0005-0000-0000-0000FD3E0000}"/>
    <cellStyle name="Normal 4 4 2 5 3 3 4 2" xfId="39061" xr:uid="{00000000-0005-0000-0000-0000FE3E0000}"/>
    <cellStyle name="Normal 4 4 2 5 3 3 5" xfId="26773" xr:uid="{00000000-0005-0000-0000-0000FF3E0000}"/>
    <cellStyle name="Normal 4 4 2 5 3 4" xfId="3733" xr:uid="{00000000-0005-0000-0000-0000003F0000}"/>
    <cellStyle name="Normal 4 4 2 5 3 4 2" xfId="9877" xr:uid="{00000000-0005-0000-0000-0000013F0000}"/>
    <cellStyle name="Normal 4 4 2 5 3 4 2 2" xfId="22165" xr:uid="{00000000-0005-0000-0000-0000023F0000}"/>
    <cellStyle name="Normal 4 4 2 5 3 4 2 2 2" xfId="46741" xr:uid="{00000000-0005-0000-0000-0000033F0000}"/>
    <cellStyle name="Normal 4 4 2 5 3 4 2 3" xfId="34453" xr:uid="{00000000-0005-0000-0000-0000043F0000}"/>
    <cellStyle name="Normal 4 4 2 5 3 4 3" xfId="16021" xr:uid="{00000000-0005-0000-0000-0000053F0000}"/>
    <cellStyle name="Normal 4 4 2 5 3 4 3 2" xfId="40597" xr:uid="{00000000-0005-0000-0000-0000063F0000}"/>
    <cellStyle name="Normal 4 4 2 5 3 4 4" xfId="28309" xr:uid="{00000000-0005-0000-0000-0000073F0000}"/>
    <cellStyle name="Normal 4 4 2 5 3 5" xfId="6805" xr:uid="{00000000-0005-0000-0000-0000083F0000}"/>
    <cellStyle name="Normal 4 4 2 5 3 5 2" xfId="19093" xr:uid="{00000000-0005-0000-0000-0000093F0000}"/>
    <cellStyle name="Normal 4 4 2 5 3 5 2 2" xfId="43669" xr:uid="{00000000-0005-0000-0000-00000A3F0000}"/>
    <cellStyle name="Normal 4 4 2 5 3 5 3" xfId="31381" xr:uid="{00000000-0005-0000-0000-00000B3F0000}"/>
    <cellStyle name="Normal 4 4 2 5 3 6" xfId="12949" xr:uid="{00000000-0005-0000-0000-00000C3F0000}"/>
    <cellStyle name="Normal 4 4 2 5 3 6 2" xfId="37525" xr:uid="{00000000-0005-0000-0000-00000D3F0000}"/>
    <cellStyle name="Normal 4 4 2 5 3 7" xfId="25237" xr:uid="{00000000-0005-0000-0000-00000E3F0000}"/>
    <cellStyle name="Normal 4 4 2 5 4" xfId="1041" xr:uid="{00000000-0005-0000-0000-00000F3F0000}"/>
    <cellStyle name="Normal 4 4 2 5 4 2" xfId="2577" xr:uid="{00000000-0005-0000-0000-0000103F0000}"/>
    <cellStyle name="Normal 4 4 2 5 4 2 2" xfId="5653" xr:uid="{00000000-0005-0000-0000-0000113F0000}"/>
    <cellStyle name="Normal 4 4 2 5 4 2 2 2" xfId="11797" xr:uid="{00000000-0005-0000-0000-0000123F0000}"/>
    <cellStyle name="Normal 4 4 2 5 4 2 2 2 2" xfId="24085" xr:uid="{00000000-0005-0000-0000-0000133F0000}"/>
    <cellStyle name="Normal 4 4 2 5 4 2 2 2 2 2" xfId="48661" xr:uid="{00000000-0005-0000-0000-0000143F0000}"/>
    <cellStyle name="Normal 4 4 2 5 4 2 2 2 3" xfId="36373" xr:uid="{00000000-0005-0000-0000-0000153F0000}"/>
    <cellStyle name="Normal 4 4 2 5 4 2 2 3" xfId="17941" xr:uid="{00000000-0005-0000-0000-0000163F0000}"/>
    <cellStyle name="Normal 4 4 2 5 4 2 2 3 2" xfId="42517" xr:uid="{00000000-0005-0000-0000-0000173F0000}"/>
    <cellStyle name="Normal 4 4 2 5 4 2 2 4" xfId="30229" xr:uid="{00000000-0005-0000-0000-0000183F0000}"/>
    <cellStyle name="Normal 4 4 2 5 4 2 3" xfId="8725" xr:uid="{00000000-0005-0000-0000-0000193F0000}"/>
    <cellStyle name="Normal 4 4 2 5 4 2 3 2" xfId="21013" xr:uid="{00000000-0005-0000-0000-00001A3F0000}"/>
    <cellStyle name="Normal 4 4 2 5 4 2 3 2 2" xfId="45589" xr:uid="{00000000-0005-0000-0000-00001B3F0000}"/>
    <cellStyle name="Normal 4 4 2 5 4 2 3 3" xfId="33301" xr:uid="{00000000-0005-0000-0000-00001C3F0000}"/>
    <cellStyle name="Normal 4 4 2 5 4 2 4" xfId="14869" xr:uid="{00000000-0005-0000-0000-00001D3F0000}"/>
    <cellStyle name="Normal 4 4 2 5 4 2 4 2" xfId="39445" xr:uid="{00000000-0005-0000-0000-00001E3F0000}"/>
    <cellStyle name="Normal 4 4 2 5 4 2 5" xfId="27157" xr:uid="{00000000-0005-0000-0000-00001F3F0000}"/>
    <cellStyle name="Normal 4 4 2 5 4 3" xfId="4117" xr:uid="{00000000-0005-0000-0000-0000203F0000}"/>
    <cellStyle name="Normal 4 4 2 5 4 3 2" xfId="10261" xr:uid="{00000000-0005-0000-0000-0000213F0000}"/>
    <cellStyle name="Normal 4 4 2 5 4 3 2 2" xfId="22549" xr:uid="{00000000-0005-0000-0000-0000223F0000}"/>
    <cellStyle name="Normal 4 4 2 5 4 3 2 2 2" xfId="47125" xr:uid="{00000000-0005-0000-0000-0000233F0000}"/>
    <cellStyle name="Normal 4 4 2 5 4 3 2 3" xfId="34837" xr:uid="{00000000-0005-0000-0000-0000243F0000}"/>
    <cellStyle name="Normal 4 4 2 5 4 3 3" xfId="16405" xr:uid="{00000000-0005-0000-0000-0000253F0000}"/>
    <cellStyle name="Normal 4 4 2 5 4 3 3 2" xfId="40981" xr:uid="{00000000-0005-0000-0000-0000263F0000}"/>
    <cellStyle name="Normal 4 4 2 5 4 3 4" xfId="28693" xr:uid="{00000000-0005-0000-0000-0000273F0000}"/>
    <cellStyle name="Normal 4 4 2 5 4 4" xfId="7189" xr:uid="{00000000-0005-0000-0000-0000283F0000}"/>
    <cellStyle name="Normal 4 4 2 5 4 4 2" xfId="19477" xr:uid="{00000000-0005-0000-0000-0000293F0000}"/>
    <cellStyle name="Normal 4 4 2 5 4 4 2 2" xfId="44053" xr:uid="{00000000-0005-0000-0000-00002A3F0000}"/>
    <cellStyle name="Normal 4 4 2 5 4 4 3" xfId="31765" xr:uid="{00000000-0005-0000-0000-00002B3F0000}"/>
    <cellStyle name="Normal 4 4 2 5 4 5" xfId="13333" xr:uid="{00000000-0005-0000-0000-00002C3F0000}"/>
    <cellStyle name="Normal 4 4 2 5 4 5 2" xfId="37909" xr:uid="{00000000-0005-0000-0000-00002D3F0000}"/>
    <cellStyle name="Normal 4 4 2 5 4 6" xfId="25621" xr:uid="{00000000-0005-0000-0000-00002E3F0000}"/>
    <cellStyle name="Normal 4 4 2 5 5" xfId="1809" xr:uid="{00000000-0005-0000-0000-00002F3F0000}"/>
    <cellStyle name="Normal 4 4 2 5 5 2" xfId="4885" xr:uid="{00000000-0005-0000-0000-0000303F0000}"/>
    <cellStyle name="Normal 4 4 2 5 5 2 2" xfId="11029" xr:uid="{00000000-0005-0000-0000-0000313F0000}"/>
    <cellStyle name="Normal 4 4 2 5 5 2 2 2" xfId="23317" xr:uid="{00000000-0005-0000-0000-0000323F0000}"/>
    <cellStyle name="Normal 4 4 2 5 5 2 2 2 2" xfId="47893" xr:uid="{00000000-0005-0000-0000-0000333F0000}"/>
    <cellStyle name="Normal 4 4 2 5 5 2 2 3" xfId="35605" xr:uid="{00000000-0005-0000-0000-0000343F0000}"/>
    <cellStyle name="Normal 4 4 2 5 5 2 3" xfId="17173" xr:uid="{00000000-0005-0000-0000-0000353F0000}"/>
    <cellStyle name="Normal 4 4 2 5 5 2 3 2" xfId="41749" xr:uid="{00000000-0005-0000-0000-0000363F0000}"/>
    <cellStyle name="Normal 4 4 2 5 5 2 4" xfId="29461" xr:uid="{00000000-0005-0000-0000-0000373F0000}"/>
    <cellStyle name="Normal 4 4 2 5 5 3" xfId="7957" xr:uid="{00000000-0005-0000-0000-0000383F0000}"/>
    <cellStyle name="Normal 4 4 2 5 5 3 2" xfId="20245" xr:uid="{00000000-0005-0000-0000-0000393F0000}"/>
    <cellStyle name="Normal 4 4 2 5 5 3 2 2" xfId="44821" xr:uid="{00000000-0005-0000-0000-00003A3F0000}"/>
    <cellStyle name="Normal 4 4 2 5 5 3 3" xfId="32533" xr:uid="{00000000-0005-0000-0000-00003B3F0000}"/>
    <cellStyle name="Normal 4 4 2 5 5 4" xfId="14101" xr:uid="{00000000-0005-0000-0000-00003C3F0000}"/>
    <cellStyle name="Normal 4 4 2 5 5 4 2" xfId="38677" xr:uid="{00000000-0005-0000-0000-00003D3F0000}"/>
    <cellStyle name="Normal 4 4 2 5 5 5" xfId="26389" xr:uid="{00000000-0005-0000-0000-00003E3F0000}"/>
    <cellStyle name="Normal 4 4 2 5 6" xfId="3349" xr:uid="{00000000-0005-0000-0000-00003F3F0000}"/>
    <cellStyle name="Normal 4 4 2 5 6 2" xfId="9493" xr:uid="{00000000-0005-0000-0000-0000403F0000}"/>
    <cellStyle name="Normal 4 4 2 5 6 2 2" xfId="21781" xr:uid="{00000000-0005-0000-0000-0000413F0000}"/>
    <cellStyle name="Normal 4 4 2 5 6 2 2 2" xfId="46357" xr:uid="{00000000-0005-0000-0000-0000423F0000}"/>
    <cellStyle name="Normal 4 4 2 5 6 2 3" xfId="34069" xr:uid="{00000000-0005-0000-0000-0000433F0000}"/>
    <cellStyle name="Normal 4 4 2 5 6 3" xfId="15637" xr:uid="{00000000-0005-0000-0000-0000443F0000}"/>
    <cellStyle name="Normal 4 4 2 5 6 3 2" xfId="40213" xr:uid="{00000000-0005-0000-0000-0000453F0000}"/>
    <cellStyle name="Normal 4 4 2 5 6 4" xfId="27925" xr:uid="{00000000-0005-0000-0000-0000463F0000}"/>
    <cellStyle name="Normal 4 4 2 5 7" xfId="6421" xr:uid="{00000000-0005-0000-0000-0000473F0000}"/>
    <cellStyle name="Normal 4 4 2 5 7 2" xfId="18709" xr:uid="{00000000-0005-0000-0000-0000483F0000}"/>
    <cellStyle name="Normal 4 4 2 5 7 2 2" xfId="43285" xr:uid="{00000000-0005-0000-0000-0000493F0000}"/>
    <cellStyle name="Normal 4 4 2 5 7 3" xfId="30997" xr:uid="{00000000-0005-0000-0000-00004A3F0000}"/>
    <cellStyle name="Normal 4 4 2 5 8" xfId="12565" xr:uid="{00000000-0005-0000-0000-00004B3F0000}"/>
    <cellStyle name="Normal 4 4 2 5 8 2" xfId="37141" xr:uid="{00000000-0005-0000-0000-00004C3F0000}"/>
    <cellStyle name="Normal 4 4 2 5 9" xfId="24853" xr:uid="{00000000-0005-0000-0000-00004D3F0000}"/>
    <cellStyle name="Normal 4 4 2 6" xfId="337" xr:uid="{00000000-0005-0000-0000-00004E3F0000}"/>
    <cellStyle name="Normal 4 4 2 6 2" xfId="721" xr:uid="{00000000-0005-0000-0000-00004F3F0000}"/>
    <cellStyle name="Normal 4 4 2 6 2 2" xfId="1489" xr:uid="{00000000-0005-0000-0000-0000503F0000}"/>
    <cellStyle name="Normal 4 4 2 6 2 2 2" xfId="3025" xr:uid="{00000000-0005-0000-0000-0000513F0000}"/>
    <cellStyle name="Normal 4 4 2 6 2 2 2 2" xfId="6101" xr:uid="{00000000-0005-0000-0000-0000523F0000}"/>
    <cellStyle name="Normal 4 4 2 6 2 2 2 2 2" xfId="12245" xr:uid="{00000000-0005-0000-0000-0000533F0000}"/>
    <cellStyle name="Normal 4 4 2 6 2 2 2 2 2 2" xfId="24533" xr:uid="{00000000-0005-0000-0000-0000543F0000}"/>
    <cellStyle name="Normal 4 4 2 6 2 2 2 2 2 2 2" xfId="49109" xr:uid="{00000000-0005-0000-0000-0000553F0000}"/>
    <cellStyle name="Normal 4 4 2 6 2 2 2 2 2 3" xfId="36821" xr:uid="{00000000-0005-0000-0000-0000563F0000}"/>
    <cellStyle name="Normal 4 4 2 6 2 2 2 2 3" xfId="18389" xr:uid="{00000000-0005-0000-0000-0000573F0000}"/>
    <cellStyle name="Normal 4 4 2 6 2 2 2 2 3 2" xfId="42965" xr:uid="{00000000-0005-0000-0000-0000583F0000}"/>
    <cellStyle name="Normal 4 4 2 6 2 2 2 2 4" xfId="30677" xr:uid="{00000000-0005-0000-0000-0000593F0000}"/>
    <cellStyle name="Normal 4 4 2 6 2 2 2 3" xfId="9173" xr:uid="{00000000-0005-0000-0000-00005A3F0000}"/>
    <cellStyle name="Normal 4 4 2 6 2 2 2 3 2" xfId="21461" xr:uid="{00000000-0005-0000-0000-00005B3F0000}"/>
    <cellStyle name="Normal 4 4 2 6 2 2 2 3 2 2" xfId="46037" xr:uid="{00000000-0005-0000-0000-00005C3F0000}"/>
    <cellStyle name="Normal 4 4 2 6 2 2 2 3 3" xfId="33749" xr:uid="{00000000-0005-0000-0000-00005D3F0000}"/>
    <cellStyle name="Normal 4 4 2 6 2 2 2 4" xfId="15317" xr:uid="{00000000-0005-0000-0000-00005E3F0000}"/>
    <cellStyle name="Normal 4 4 2 6 2 2 2 4 2" xfId="39893" xr:uid="{00000000-0005-0000-0000-00005F3F0000}"/>
    <cellStyle name="Normal 4 4 2 6 2 2 2 5" xfId="27605" xr:uid="{00000000-0005-0000-0000-0000603F0000}"/>
    <cellStyle name="Normal 4 4 2 6 2 2 3" xfId="4565" xr:uid="{00000000-0005-0000-0000-0000613F0000}"/>
    <cellStyle name="Normal 4 4 2 6 2 2 3 2" xfId="10709" xr:uid="{00000000-0005-0000-0000-0000623F0000}"/>
    <cellStyle name="Normal 4 4 2 6 2 2 3 2 2" xfId="22997" xr:uid="{00000000-0005-0000-0000-0000633F0000}"/>
    <cellStyle name="Normal 4 4 2 6 2 2 3 2 2 2" xfId="47573" xr:uid="{00000000-0005-0000-0000-0000643F0000}"/>
    <cellStyle name="Normal 4 4 2 6 2 2 3 2 3" xfId="35285" xr:uid="{00000000-0005-0000-0000-0000653F0000}"/>
    <cellStyle name="Normal 4 4 2 6 2 2 3 3" xfId="16853" xr:uid="{00000000-0005-0000-0000-0000663F0000}"/>
    <cellStyle name="Normal 4 4 2 6 2 2 3 3 2" xfId="41429" xr:uid="{00000000-0005-0000-0000-0000673F0000}"/>
    <cellStyle name="Normal 4 4 2 6 2 2 3 4" xfId="29141" xr:uid="{00000000-0005-0000-0000-0000683F0000}"/>
    <cellStyle name="Normal 4 4 2 6 2 2 4" xfId="7637" xr:uid="{00000000-0005-0000-0000-0000693F0000}"/>
    <cellStyle name="Normal 4 4 2 6 2 2 4 2" xfId="19925" xr:uid="{00000000-0005-0000-0000-00006A3F0000}"/>
    <cellStyle name="Normal 4 4 2 6 2 2 4 2 2" xfId="44501" xr:uid="{00000000-0005-0000-0000-00006B3F0000}"/>
    <cellStyle name="Normal 4 4 2 6 2 2 4 3" xfId="32213" xr:uid="{00000000-0005-0000-0000-00006C3F0000}"/>
    <cellStyle name="Normal 4 4 2 6 2 2 5" xfId="13781" xr:uid="{00000000-0005-0000-0000-00006D3F0000}"/>
    <cellStyle name="Normal 4 4 2 6 2 2 5 2" xfId="38357" xr:uid="{00000000-0005-0000-0000-00006E3F0000}"/>
    <cellStyle name="Normal 4 4 2 6 2 2 6" xfId="26069" xr:uid="{00000000-0005-0000-0000-00006F3F0000}"/>
    <cellStyle name="Normal 4 4 2 6 2 3" xfId="2257" xr:uid="{00000000-0005-0000-0000-0000703F0000}"/>
    <cellStyle name="Normal 4 4 2 6 2 3 2" xfId="5333" xr:uid="{00000000-0005-0000-0000-0000713F0000}"/>
    <cellStyle name="Normal 4 4 2 6 2 3 2 2" xfId="11477" xr:uid="{00000000-0005-0000-0000-0000723F0000}"/>
    <cellStyle name="Normal 4 4 2 6 2 3 2 2 2" xfId="23765" xr:uid="{00000000-0005-0000-0000-0000733F0000}"/>
    <cellStyle name="Normal 4 4 2 6 2 3 2 2 2 2" xfId="48341" xr:uid="{00000000-0005-0000-0000-0000743F0000}"/>
    <cellStyle name="Normal 4 4 2 6 2 3 2 2 3" xfId="36053" xr:uid="{00000000-0005-0000-0000-0000753F0000}"/>
    <cellStyle name="Normal 4 4 2 6 2 3 2 3" xfId="17621" xr:uid="{00000000-0005-0000-0000-0000763F0000}"/>
    <cellStyle name="Normal 4 4 2 6 2 3 2 3 2" xfId="42197" xr:uid="{00000000-0005-0000-0000-0000773F0000}"/>
    <cellStyle name="Normal 4 4 2 6 2 3 2 4" xfId="29909" xr:uid="{00000000-0005-0000-0000-0000783F0000}"/>
    <cellStyle name="Normal 4 4 2 6 2 3 3" xfId="8405" xr:uid="{00000000-0005-0000-0000-0000793F0000}"/>
    <cellStyle name="Normal 4 4 2 6 2 3 3 2" xfId="20693" xr:uid="{00000000-0005-0000-0000-00007A3F0000}"/>
    <cellStyle name="Normal 4 4 2 6 2 3 3 2 2" xfId="45269" xr:uid="{00000000-0005-0000-0000-00007B3F0000}"/>
    <cellStyle name="Normal 4 4 2 6 2 3 3 3" xfId="32981" xr:uid="{00000000-0005-0000-0000-00007C3F0000}"/>
    <cellStyle name="Normal 4 4 2 6 2 3 4" xfId="14549" xr:uid="{00000000-0005-0000-0000-00007D3F0000}"/>
    <cellStyle name="Normal 4 4 2 6 2 3 4 2" xfId="39125" xr:uid="{00000000-0005-0000-0000-00007E3F0000}"/>
    <cellStyle name="Normal 4 4 2 6 2 3 5" xfId="26837" xr:uid="{00000000-0005-0000-0000-00007F3F0000}"/>
    <cellStyle name="Normal 4 4 2 6 2 4" xfId="3797" xr:uid="{00000000-0005-0000-0000-0000803F0000}"/>
    <cellStyle name="Normal 4 4 2 6 2 4 2" xfId="9941" xr:uid="{00000000-0005-0000-0000-0000813F0000}"/>
    <cellStyle name="Normal 4 4 2 6 2 4 2 2" xfId="22229" xr:uid="{00000000-0005-0000-0000-0000823F0000}"/>
    <cellStyle name="Normal 4 4 2 6 2 4 2 2 2" xfId="46805" xr:uid="{00000000-0005-0000-0000-0000833F0000}"/>
    <cellStyle name="Normal 4 4 2 6 2 4 2 3" xfId="34517" xr:uid="{00000000-0005-0000-0000-0000843F0000}"/>
    <cellStyle name="Normal 4 4 2 6 2 4 3" xfId="16085" xr:uid="{00000000-0005-0000-0000-0000853F0000}"/>
    <cellStyle name="Normal 4 4 2 6 2 4 3 2" xfId="40661" xr:uid="{00000000-0005-0000-0000-0000863F0000}"/>
    <cellStyle name="Normal 4 4 2 6 2 4 4" xfId="28373" xr:uid="{00000000-0005-0000-0000-0000873F0000}"/>
    <cellStyle name="Normal 4 4 2 6 2 5" xfId="6869" xr:uid="{00000000-0005-0000-0000-0000883F0000}"/>
    <cellStyle name="Normal 4 4 2 6 2 5 2" xfId="19157" xr:uid="{00000000-0005-0000-0000-0000893F0000}"/>
    <cellStyle name="Normal 4 4 2 6 2 5 2 2" xfId="43733" xr:uid="{00000000-0005-0000-0000-00008A3F0000}"/>
    <cellStyle name="Normal 4 4 2 6 2 5 3" xfId="31445" xr:uid="{00000000-0005-0000-0000-00008B3F0000}"/>
    <cellStyle name="Normal 4 4 2 6 2 6" xfId="13013" xr:uid="{00000000-0005-0000-0000-00008C3F0000}"/>
    <cellStyle name="Normal 4 4 2 6 2 6 2" xfId="37589" xr:uid="{00000000-0005-0000-0000-00008D3F0000}"/>
    <cellStyle name="Normal 4 4 2 6 2 7" xfId="25301" xr:uid="{00000000-0005-0000-0000-00008E3F0000}"/>
    <cellStyle name="Normal 4 4 2 6 3" xfId="1105" xr:uid="{00000000-0005-0000-0000-00008F3F0000}"/>
    <cellStyle name="Normal 4 4 2 6 3 2" xfId="2641" xr:uid="{00000000-0005-0000-0000-0000903F0000}"/>
    <cellStyle name="Normal 4 4 2 6 3 2 2" xfId="5717" xr:uid="{00000000-0005-0000-0000-0000913F0000}"/>
    <cellStyle name="Normal 4 4 2 6 3 2 2 2" xfId="11861" xr:uid="{00000000-0005-0000-0000-0000923F0000}"/>
    <cellStyle name="Normal 4 4 2 6 3 2 2 2 2" xfId="24149" xr:uid="{00000000-0005-0000-0000-0000933F0000}"/>
    <cellStyle name="Normal 4 4 2 6 3 2 2 2 2 2" xfId="48725" xr:uid="{00000000-0005-0000-0000-0000943F0000}"/>
    <cellStyle name="Normal 4 4 2 6 3 2 2 2 3" xfId="36437" xr:uid="{00000000-0005-0000-0000-0000953F0000}"/>
    <cellStyle name="Normal 4 4 2 6 3 2 2 3" xfId="18005" xr:uid="{00000000-0005-0000-0000-0000963F0000}"/>
    <cellStyle name="Normal 4 4 2 6 3 2 2 3 2" xfId="42581" xr:uid="{00000000-0005-0000-0000-0000973F0000}"/>
    <cellStyle name="Normal 4 4 2 6 3 2 2 4" xfId="30293" xr:uid="{00000000-0005-0000-0000-0000983F0000}"/>
    <cellStyle name="Normal 4 4 2 6 3 2 3" xfId="8789" xr:uid="{00000000-0005-0000-0000-0000993F0000}"/>
    <cellStyle name="Normal 4 4 2 6 3 2 3 2" xfId="21077" xr:uid="{00000000-0005-0000-0000-00009A3F0000}"/>
    <cellStyle name="Normal 4 4 2 6 3 2 3 2 2" xfId="45653" xr:uid="{00000000-0005-0000-0000-00009B3F0000}"/>
    <cellStyle name="Normal 4 4 2 6 3 2 3 3" xfId="33365" xr:uid="{00000000-0005-0000-0000-00009C3F0000}"/>
    <cellStyle name="Normal 4 4 2 6 3 2 4" xfId="14933" xr:uid="{00000000-0005-0000-0000-00009D3F0000}"/>
    <cellStyle name="Normal 4 4 2 6 3 2 4 2" xfId="39509" xr:uid="{00000000-0005-0000-0000-00009E3F0000}"/>
    <cellStyle name="Normal 4 4 2 6 3 2 5" xfId="27221" xr:uid="{00000000-0005-0000-0000-00009F3F0000}"/>
    <cellStyle name="Normal 4 4 2 6 3 3" xfId="4181" xr:uid="{00000000-0005-0000-0000-0000A03F0000}"/>
    <cellStyle name="Normal 4 4 2 6 3 3 2" xfId="10325" xr:uid="{00000000-0005-0000-0000-0000A13F0000}"/>
    <cellStyle name="Normal 4 4 2 6 3 3 2 2" xfId="22613" xr:uid="{00000000-0005-0000-0000-0000A23F0000}"/>
    <cellStyle name="Normal 4 4 2 6 3 3 2 2 2" xfId="47189" xr:uid="{00000000-0005-0000-0000-0000A33F0000}"/>
    <cellStyle name="Normal 4 4 2 6 3 3 2 3" xfId="34901" xr:uid="{00000000-0005-0000-0000-0000A43F0000}"/>
    <cellStyle name="Normal 4 4 2 6 3 3 3" xfId="16469" xr:uid="{00000000-0005-0000-0000-0000A53F0000}"/>
    <cellStyle name="Normal 4 4 2 6 3 3 3 2" xfId="41045" xr:uid="{00000000-0005-0000-0000-0000A63F0000}"/>
    <cellStyle name="Normal 4 4 2 6 3 3 4" xfId="28757" xr:uid="{00000000-0005-0000-0000-0000A73F0000}"/>
    <cellStyle name="Normal 4 4 2 6 3 4" xfId="7253" xr:uid="{00000000-0005-0000-0000-0000A83F0000}"/>
    <cellStyle name="Normal 4 4 2 6 3 4 2" xfId="19541" xr:uid="{00000000-0005-0000-0000-0000A93F0000}"/>
    <cellStyle name="Normal 4 4 2 6 3 4 2 2" xfId="44117" xr:uid="{00000000-0005-0000-0000-0000AA3F0000}"/>
    <cellStyle name="Normal 4 4 2 6 3 4 3" xfId="31829" xr:uid="{00000000-0005-0000-0000-0000AB3F0000}"/>
    <cellStyle name="Normal 4 4 2 6 3 5" xfId="13397" xr:uid="{00000000-0005-0000-0000-0000AC3F0000}"/>
    <cellStyle name="Normal 4 4 2 6 3 5 2" xfId="37973" xr:uid="{00000000-0005-0000-0000-0000AD3F0000}"/>
    <cellStyle name="Normal 4 4 2 6 3 6" xfId="25685" xr:uid="{00000000-0005-0000-0000-0000AE3F0000}"/>
    <cellStyle name="Normal 4 4 2 6 4" xfId="1873" xr:uid="{00000000-0005-0000-0000-0000AF3F0000}"/>
    <cellStyle name="Normal 4 4 2 6 4 2" xfId="4949" xr:uid="{00000000-0005-0000-0000-0000B03F0000}"/>
    <cellStyle name="Normal 4 4 2 6 4 2 2" xfId="11093" xr:uid="{00000000-0005-0000-0000-0000B13F0000}"/>
    <cellStyle name="Normal 4 4 2 6 4 2 2 2" xfId="23381" xr:uid="{00000000-0005-0000-0000-0000B23F0000}"/>
    <cellStyle name="Normal 4 4 2 6 4 2 2 2 2" xfId="47957" xr:uid="{00000000-0005-0000-0000-0000B33F0000}"/>
    <cellStyle name="Normal 4 4 2 6 4 2 2 3" xfId="35669" xr:uid="{00000000-0005-0000-0000-0000B43F0000}"/>
    <cellStyle name="Normal 4 4 2 6 4 2 3" xfId="17237" xr:uid="{00000000-0005-0000-0000-0000B53F0000}"/>
    <cellStyle name="Normal 4 4 2 6 4 2 3 2" xfId="41813" xr:uid="{00000000-0005-0000-0000-0000B63F0000}"/>
    <cellStyle name="Normal 4 4 2 6 4 2 4" xfId="29525" xr:uid="{00000000-0005-0000-0000-0000B73F0000}"/>
    <cellStyle name="Normal 4 4 2 6 4 3" xfId="8021" xr:uid="{00000000-0005-0000-0000-0000B83F0000}"/>
    <cellStyle name="Normal 4 4 2 6 4 3 2" xfId="20309" xr:uid="{00000000-0005-0000-0000-0000B93F0000}"/>
    <cellStyle name="Normal 4 4 2 6 4 3 2 2" xfId="44885" xr:uid="{00000000-0005-0000-0000-0000BA3F0000}"/>
    <cellStyle name="Normal 4 4 2 6 4 3 3" xfId="32597" xr:uid="{00000000-0005-0000-0000-0000BB3F0000}"/>
    <cellStyle name="Normal 4 4 2 6 4 4" xfId="14165" xr:uid="{00000000-0005-0000-0000-0000BC3F0000}"/>
    <cellStyle name="Normal 4 4 2 6 4 4 2" xfId="38741" xr:uid="{00000000-0005-0000-0000-0000BD3F0000}"/>
    <cellStyle name="Normal 4 4 2 6 4 5" xfId="26453" xr:uid="{00000000-0005-0000-0000-0000BE3F0000}"/>
    <cellStyle name="Normal 4 4 2 6 5" xfId="3413" xr:uid="{00000000-0005-0000-0000-0000BF3F0000}"/>
    <cellStyle name="Normal 4 4 2 6 5 2" xfId="9557" xr:uid="{00000000-0005-0000-0000-0000C03F0000}"/>
    <cellStyle name="Normal 4 4 2 6 5 2 2" xfId="21845" xr:uid="{00000000-0005-0000-0000-0000C13F0000}"/>
    <cellStyle name="Normal 4 4 2 6 5 2 2 2" xfId="46421" xr:uid="{00000000-0005-0000-0000-0000C23F0000}"/>
    <cellStyle name="Normal 4 4 2 6 5 2 3" xfId="34133" xr:uid="{00000000-0005-0000-0000-0000C33F0000}"/>
    <cellStyle name="Normal 4 4 2 6 5 3" xfId="15701" xr:uid="{00000000-0005-0000-0000-0000C43F0000}"/>
    <cellStyle name="Normal 4 4 2 6 5 3 2" xfId="40277" xr:uid="{00000000-0005-0000-0000-0000C53F0000}"/>
    <cellStyle name="Normal 4 4 2 6 5 4" xfId="27989" xr:uid="{00000000-0005-0000-0000-0000C63F0000}"/>
    <cellStyle name="Normal 4 4 2 6 6" xfId="6485" xr:uid="{00000000-0005-0000-0000-0000C73F0000}"/>
    <cellStyle name="Normal 4 4 2 6 6 2" xfId="18773" xr:uid="{00000000-0005-0000-0000-0000C83F0000}"/>
    <cellStyle name="Normal 4 4 2 6 6 2 2" xfId="43349" xr:uid="{00000000-0005-0000-0000-0000C93F0000}"/>
    <cellStyle name="Normal 4 4 2 6 6 3" xfId="31061" xr:uid="{00000000-0005-0000-0000-0000CA3F0000}"/>
    <cellStyle name="Normal 4 4 2 6 7" xfId="12629" xr:uid="{00000000-0005-0000-0000-0000CB3F0000}"/>
    <cellStyle name="Normal 4 4 2 6 7 2" xfId="37205" xr:uid="{00000000-0005-0000-0000-0000CC3F0000}"/>
    <cellStyle name="Normal 4 4 2 6 8" xfId="24917" xr:uid="{00000000-0005-0000-0000-0000CD3F0000}"/>
    <cellStyle name="Normal 4 4 2 7" xfId="529" xr:uid="{00000000-0005-0000-0000-0000CE3F0000}"/>
    <cellStyle name="Normal 4 4 2 7 2" xfId="1297" xr:uid="{00000000-0005-0000-0000-0000CF3F0000}"/>
    <cellStyle name="Normal 4 4 2 7 2 2" xfId="2833" xr:uid="{00000000-0005-0000-0000-0000D03F0000}"/>
    <cellStyle name="Normal 4 4 2 7 2 2 2" xfId="5909" xr:uid="{00000000-0005-0000-0000-0000D13F0000}"/>
    <cellStyle name="Normal 4 4 2 7 2 2 2 2" xfId="12053" xr:uid="{00000000-0005-0000-0000-0000D23F0000}"/>
    <cellStyle name="Normal 4 4 2 7 2 2 2 2 2" xfId="24341" xr:uid="{00000000-0005-0000-0000-0000D33F0000}"/>
    <cellStyle name="Normal 4 4 2 7 2 2 2 2 2 2" xfId="48917" xr:uid="{00000000-0005-0000-0000-0000D43F0000}"/>
    <cellStyle name="Normal 4 4 2 7 2 2 2 2 3" xfId="36629" xr:uid="{00000000-0005-0000-0000-0000D53F0000}"/>
    <cellStyle name="Normal 4 4 2 7 2 2 2 3" xfId="18197" xr:uid="{00000000-0005-0000-0000-0000D63F0000}"/>
    <cellStyle name="Normal 4 4 2 7 2 2 2 3 2" xfId="42773" xr:uid="{00000000-0005-0000-0000-0000D73F0000}"/>
    <cellStyle name="Normal 4 4 2 7 2 2 2 4" xfId="30485" xr:uid="{00000000-0005-0000-0000-0000D83F0000}"/>
    <cellStyle name="Normal 4 4 2 7 2 2 3" xfId="8981" xr:uid="{00000000-0005-0000-0000-0000D93F0000}"/>
    <cellStyle name="Normal 4 4 2 7 2 2 3 2" xfId="21269" xr:uid="{00000000-0005-0000-0000-0000DA3F0000}"/>
    <cellStyle name="Normal 4 4 2 7 2 2 3 2 2" xfId="45845" xr:uid="{00000000-0005-0000-0000-0000DB3F0000}"/>
    <cellStyle name="Normal 4 4 2 7 2 2 3 3" xfId="33557" xr:uid="{00000000-0005-0000-0000-0000DC3F0000}"/>
    <cellStyle name="Normal 4 4 2 7 2 2 4" xfId="15125" xr:uid="{00000000-0005-0000-0000-0000DD3F0000}"/>
    <cellStyle name="Normal 4 4 2 7 2 2 4 2" xfId="39701" xr:uid="{00000000-0005-0000-0000-0000DE3F0000}"/>
    <cellStyle name="Normal 4 4 2 7 2 2 5" xfId="27413" xr:uid="{00000000-0005-0000-0000-0000DF3F0000}"/>
    <cellStyle name="Normal 4 4 2 7 2 3" xfId="4373" xr:uid="{00000000-0005-0000-0000-0000E03F0000}"/>
    <cellStyle name="Normal 4 4 2 7 2 3 2" xfId="10517" xr:uid="{00000000-0005-0000-0000-0000E13F0000}"/>
    <cellStyle name="Normal 4 4 2 7 2 3 2 2" xfId="22805" xr:uid="{00000000-0005-0000-0000-0000E23F0000}"/>
    <cellStyle name="Normal 4 4 2 7 2 3 2 2 2" xfId="47381" xr:uid="{00000000-0005-0000-0000-0000E33F0000}"/>
    <cellStyle name="Normal 4 4 2 7 2 3 2 3" xfId="35093" xr:uid="{00000000-0005-0000-0000-0000E43F0000}"/>
    <cellStyle name="Normal 4 4 2 7 2 3 3" xfId="16661" xr:uid="{00000000-0005-0000-0000-0000E53F0000}"/>
    <cellStyle name="Normal 4 4 2 7 2 3 3 2" xfId="41237" xr:uid="{00000000-0005-0000-0000-0000E63F0000}"/>
    <cellStyle name="Normal 4 4 2 7 2 3 4" xfId="28949" xr:uid="{00000000-0005-0000-0000-0000E73F0000}"/>
    <cellStyle name="Normal 4 4 2 7 2 4" xfId="7445" xr:uid="{00000000-0005-0000-0000-0000E83F0000}"/>
    <cellStyle name="Normal 4 4 2 7 2 4 2" xfId="19733" xr:uid="{00000000-0005-0000-0000-0000E93F0000}"/>
    <cellStyle name="Normal 4 4 2 7 2 4 2 2" xfId="44309" xr:uid="{00000000-0005-0000-0000-0000EA3F0000}"/>
    <cellStyle name="Normal 4 4 2 7 2 4 3" xfId="32021" xr:uid="{00000000-0005-0000-0000-0000EB3F0000}"/>
    <cellStyle name="Normal 4 4 2 7 2 5" xfId="13589" xr:uid="{00000000-0005-0000-0000-0000EC3F0000}"/>
    <cellStyle name="Normal 4 4 2 7 2 5 2" xfId="38165" xr:uid="{00000000-0005-0000-0000-0000ED3F0000}"/>
    <cellStyle name="Normal 4 4 2 7 2 6" xfId="25877" xr:uid="{00000000-0005-0000-0000-0000EE3F0000}"/>
    <cellStyle name="Normal 4 4 2 7 3" xfId="2065" xr:uid="{00000000-0005-0000-0000-0000EF3F0000}"/>
    <cellStyle name="Normal 4 4 2 7 3 2" xfId="5141" xr:uid="{00000000-0005-0000-0000-0000F03F0000}"/>
    <cellStyle name="Normal 4 4 2 7 3 2 2" xfId="11285" xr:uid="{00000000-0005-0000-0000-0000F13F0000}"/>
    <cellStyle name="Normal 4 4 2 7 3 2 2 2" xfId="23573" xr:uid="{00000000-0005-0000-0000-0000F23F0000}"/>
    <cellStyle name="Normal 4 4 2 7 3 2 2 2 2" xfId="48149" xr:uid="{00000000-0005-0000-0000-0000F33F0000}"/>
    <cellStyle name="Normal 4 4 2 7 3 2 2 3" xfId="35861" xr:uid="{00000000-0005-0000-0000-0000F43F0000}"/>
    <cellStyle name="Normal 4 4 2 7 3 2 3" xfId="17429" xr:uid="{00000000-0005-0000-0000-0000F53F0000}"/>
    <cellStyle name="Normal 4 4 2 7 3 2 3 2" xfId="42005" xr:uid="{00000000-0005-0000-0000-0000F63F0000}"/>
    <cellStyle name="Normal 4 4 2 7 3 2 4" xfId="29717" xr:uid="{00000000-0005-0000-0000-0000F73F0000}"/>
    <cellStyle name="Normal 4 4 2 7 3 3" xfId="8213" xr:uid="{00000000-0005-0000-0000-0000F83F0000}"/>
    <cellStyle name="Normal 4 4 2 7 3 3 2" xfId="20501" xr:uid="{00000000-0005-0000-0000-0000F93F0000}"/>
    <cellStyle name="Normal 4 4 2 7 3 3 2 2" xfId="45077" xr:uid="{00000000-0005-0000-0000-0000FA3F0000}"/>
    <cellStyle name="Normal 4 4 2 7 3 3 3" xfId="32789" xr:uid="{00000000-0005-0000-0000-0000FB3F0000}"/>
    <cellStyle name="Normal 4 4 2 7 3 4" xfId="14357" xr:uid="{00000000-0005-0000-0000-0000FC3F0000}"/>
    <cellStyle name="Normal 4 4 2 7 3 4 2" xfId="38933" xr:uid="{00000000-0005-0000-0000-0000FD3F0000}"/>
    <cellStyle name="Normal 4 4 2 7 3 5" xfId="26645" xr:uid="{00000000-0005-0000-0000-0000FE3F0000}"/>
    <cellStyle name="Normal 4 4 2 7 4" xfId="3605" xr:uid="{00000000-0005-0000-0000-0000FF3F0000}"/>
    <cellStyle name="Normal 4 4 2 7 4 2" xfId="9749" xr:uid="{00000000-0005-0000-0000-000000400000}"/>
    <cellStyle name="Normal 4 4 2 7 4 2 2" xfId="22037" xr:uid="{00000000-0005-0000-0000-000001400000}"/>
    <cellStyle name="Normal 4 4 2 7 4 2 2 2" xfId="46613" xr:uid="{00000000-0005-0000-0000-000002400000}"/>
    <cellStyle name="Normal 4 4 2 7 4 2 3" xfId="34325" xr:uid="{00000000-0005-0000-0000-000003400000}"/>
    <cellStyle name="Normal 4 4 2 7 4 3" xfId="15893" xr:uid="{00000000-0005-0000-0000-000004400000}"/>
    <cellStyle name="Normal 4 4 2 7 4 3 2" xfId="40469" xr:uid="{00000000-0005-0000-0000-000005400000}"/>
    <cellStyle name="Normal 4 4 2 7 4 4" xfId="28181" xr:uid="{00000000-0005-0000-0000-000006400000}"/>
    <cellStyle name="Normal 4 4 2 7 5" xfId="6677" xr:uid="{00000000-0005-0000-0000-000007400000}"/>
    <cellStyle name="Normal 4 4 2 7 5 2" xfId="18965" xr:uid="{00000000-0005-0000-0000-000008400000}"/>
    <cellStyle name="Normal 4 4 2 7 5 2 2" xfId="43541" xr:uid="{00000000-0005-0000-0000-000009400000}"/>
    <cellStyle name="Normal 4 4 2 7 5 3" xfId="31253" xr:uid="{00000000-0005-0000-0000-00000A400000}"/>
    <cellStyle name="Normal 4 4 2 7 6" xfId="12821" xr:uid="{00000000-0005-0000-0000-00000B400000}"/>
    <cellStyle name="Normal 4 4 2 7 6 2" xfId="37397" xr:uid="{00000000-0005-0000-0000-00000C400000}"/>
    <cellStyle name="Normal 4 4 2 7 7" xfId="25109" xr:uid="{00000000-0005-0000-0000-00000D400000}"/>
    <cellStyle name="Normal 4 4 2 8" xfId="913" xr:uid="{00000000-0005-0000-0000-00000E400000}"/>
    <cellStyle name="Normal 4 4 2 8 2" xfId="2449" xr:uid="{00000000-0005-0000-0000-00000F400000}"/>
    <cellStyle name="Normal 4 4 2 8 2 2" xfId="5525" xr:uid="{00000000-0005-0000-0000-000010400000}"/>
    <cellStyle name="Normal 4 4 2 8 2 2 2" xfId="11669" xr:uid="{00000000-0005-0000-0000-000011400000}"/>
    <cellStyle name="Normal 4 4 2 8 2 2 2 2" xfId="23957" xr:uid="{00000000-0005-0000-0000-000012400000}"/>
    <cellStyle name="Normal 4 4 2 8 2 2 2 2 2" xfId="48533" xr:uid="{00000000-0005-0000-0000-000013400000}"/>
    <cellStyle name="Normal 4 4 2 8 2 2 2 3" xfId="36245" xr:uid="{00000000-0005-0000-0000-000014400000}"/>
    <cellStyle name="Normal 4 4 2 8 2 2 3" xfId="17813" xr:uid="{00000000-0005-0000-0000-000015400000}"/>
    <cellStyle name="Normal 4 4 2 8 2 2 3 2" xfId="42389" xr:uid="{00000000-0005-0000-0000-000016400000}"/>
    <cellStyle name="Normal 4 4 2 8 2 2 4" xfId="30101" xr:uid="{00000000-0005-0000-0000-000017400000}"/>
    <cellStyle name="Normal 4 4 2 8 2 3" xfId="8597" xr:uid="{00000000-0005-0000-0000-000018400000}"/>
    <cellStyle name="Normal 4 4 2 8 2 3 2" xfId="20885" xr:uid="{00000000-0005-0000-0000-000019400000}"/>
    <cellStyle name="Normal 4 4 2 8 2 3 2 2" xfId="45461" xr:uid="{00000000-0005-0000-0000-00001A400000}"/>
    <cellStyle name="Normal 4 4 2 8 2 3 3" xfId="33173" xr:uid="{00000000-0005-0000-0000-00001B400000}"/>
    <cellStyle name="Normal 4 4 2 8 2 4" xfId="14741" xr:uid="{00000000-0005-0000-0000-00001C400000}"/>
    <cellStyle name="Normal 4 4 2 8 2 4 2" xfId="39317" xr:uid="{00000000-0005-0000-0000-00001D400000}"/>
    <cellStyle name="Normal 4 4 2 8 2 5" xfId="27029" xr:uid="{00000000-0005-0000-0000-00001E400000}"/>
    <cellStyle name="Normal 4 4 2 8 3" xfId="3989" xr:uid="{00000000-0005-0000-0000-00001F400000}"/>
    <cellStyle name="Normal 4 4 2 8 3 2" xfId="10133" xr:uid="{00000000-0005-0000-0000-000020400000}"/>
    <cellStyle name="Normal 4 4 2 8 3 2 2" xfId="22421" xr:uid="{00000000-0005-0000-0000-000021400000}"/>
    <cellStyle name="Normal 4 4 2 8 3 2 2 2" xfId="46997" xr:uid="{00000000-0005-0000-0000-000022400000}"/>
    <cellStyle name="Normal 4 4 2 8 3 2 3" xfId="34709" xr:uid="{00000000-0005-0000-0000-000023400000}"/>
    <cellStyle name="Normal 4 4 2 8 3 3" xfId="16277" xr:uid="{00000000-0005-0000-0000-000024400000}"/>
    <cellStyle name="Normal 4 4 2 8 3 3 2" xfId="40853" xr:uid="{00000000-0005-0000-0000-000025400000}"/>
    <cellStyle name="Normal 4 4 2 8 3 4" xfId="28565" xr:uid="{00000000-0005-0000-0000-000026400000}"/>
    <cellStyle name="Normal 4 4 2 8 4" xfId="7061" xr:uid="{00000000-0005-0000-0000-000027400000}"/>
    <cellStyle name="Normal 4 4 2 8 4 2" xfId="19349" xr:uid="{00000000-0005-0000-0000-000028400000}"/>
    <cellStyle name="Normal 4 4 2 8 4 2 2" xfId="43925" xr:uid="{00000000-0005-0000-0000-000029400000}"/>
    <cellStyle name="Normal 4 4 2 8 4 3" xfId="31637" xr:uid="{00000000-0005-0000-0000-00002A400000}"/>
    <cellStyle name="Normal 4 4 2 8 5" xfId="13205" xr:uid="{00000000-0005-0000-0000-00002B400000}"/>
    <cellStyle name="Normal 4 4 2 8 5 2" xfId="37781" xr:uid="{00000000-0005-0000-0000-00002C400000}"/>
    <cellStyle name="Normal 4 4 2 8 6" xfId="25493" xr:uid="{00000000-0005-0000-0000-00002D400000}"/>
    <cellStyle name="Normal 4 4 2 9" xfId="1681" xr:uid="{00000000-0005-0000-0000-00002E400000}"/>
    <cellStyle name="Normal 4 4 2 9 2" xfId="4757" xr:uid="{00000000-0005-0000-0000-00002F400000}"/>
    <cellStyle name="Normal 4 4 2 9 2 2" xfId="10901" xr:uid="{00000000-0005-0000-0000-000030400000}"/>
    <cellStyle name="Normal 4 4 2 9 2 2 2" xfId="23189" xr:uid="{00000000-0005-0000-0000-000031400000}"/>
    <cellStyle name="Normal 4 4 2 9 2 2 2 2" xfId="47765" xr:uid="{00000000-0005-0000-0000-000032400000}"/>
    <cellStyle name="Normal 4 4 2 9 2 2 3" xfId="35477" xr:uid="{00000000-0005-0000-0000-000033400000}"/>
    <cellStyle name="Normal 4 4 2 9 2 3" xfId="17045" xr:uid="{00000000-0005-0000-0000-000034400000}"/>
    <cellStyle name="Normal 4 4 2 9 2 3 2" xfId="41621" xr:uid="{00000000-0005-0000-0000-000035400000}"/>
    <cellStyle name="Normal 4 4 2 9 2 4" xfId="29333" xr:uid="{00000000-0005-0000-0000-000036400000}"/>
    <cellStyle name="Normal 4 4 2 9 3" xfId="7829" xr:uid="{00000000-0005-0000-0000-000037400000}"/>
    <cellStyle name="Normal 4 4 2 9 3 2" xfId="20117" xr:uid="{00000000-0005-0000-0000-000038400000}"/>
    <cellStyle name="Normal 4 4 2 9 3 2 2" xfId="44693" xr:uid="{00000000-0005-0000-0000-000039400000}"/>
    <cellStyle name="Normal 4 4 2 9 3 3" xfId="32405" xr:uid="{00000000-0005-0000-0000-00003A400000}"/>
    <cellStyle name="Normal 4 4 2 9 4" xfId="13973" xr:uid="{00000000-0005-0000-0000-00003B400000}"/>
    <cellStyle name="Normal 4 4 2 9 4 2" xfId="38549" xr:uid="{00000000-0005-0000-0000-00003C400000}"/>
    <cellStyle name="Normal 4 4 2 9 5" xfId="26261" xr:uid="{00000000-0005-0000-0000-00003D400000}"/>
    <cellStyle name="Normal 4 4 3" xfId="112" xr:uid="{00000000-0005-0000-0000-00003E400000}"/>
    <cellStyle name="Normal 4 4 3 10" xfId="6301" xr:uid="{00000000-0005-0000-0000-00003F400000}"/>
    <cellStyle name="Normal 4 4 3 10 2" xfId="18589" xr:uid="{00000000-0005-0000-0000-000040400000}"/>
    <cellStyle name="Normal 4 4 3 10 2 2" xfId="43165" xr:uid="{00000000-0005-0000-0000-000041400000}"/>
    <cellStyle name="Normal 4 4 3 10 3" xfId="30877" xr:uid="{00000000-0005-0000-0000-000042400000}"/>
    <cellStyle name="Normal 4 4 3 11" xfId="12445" xr:uid="{00000000-0005-0000-0000-000043400000}"/>
    <cellStyle name="Normal 4 4 3 11 2" xfId="37021" xr:uid="{00000000-0005-0000-0000-000044400000}"/>
    <cellStyle name="Normal 4 4 3 12" xfId="24733" xr:uid="{00000000-0005-0000-0000-000045400000}"/>
    <cellStyle name="Normal 4 4 3 2" xfId="184" xr:uid="{00000000-0005-0000-0000-000046400000}"/>
    <cellStyle name="Normal 4 4 3 2 10" xfId="12477" xr:uid="{00000000-0005-0000-0000-000047400000}"/>
    <cellStyle name="Normal 4 4 3 2 10 2" xfId="37053" xr:uid="{00000000-0005-0000-0000-000048400000}"/>
    <cellStyle name="Normal 4 4 3 2 11" xfId="24765" xr:uid="{00000000-0005-0000-0000-000049400000}"/>
    <cellStyle name="Normal 4 4 3 2 2" xfId="249" xr:uid="{00000000-0005-0000-0000-00004A400000}"/>
    <cellStyle name="Normal 4 4 3 2 2 2" xfId="441" xr:uid="{00000000-0005-0000-0000-00004B400000}"/>
    <cellStyle name="Normal 4 4 3 2 2 2 2" xfId="825" xr:uid="{00000000-0005-0000-0000-00004C400000}"/>
    <cellStyle name="Normal 4 4 3 2 2 2 2 2" xfId="1593" xr:uid="{00000000-0005-0000-0000-00004D400000}"/>
    <cellStyle name="Normal 4 4 3 2 2 2 2 2 2" xfId="3129" xr:uid="{00000000-0005-0000-0000-00004E400000}"/>
    <cellStyle name="Normal 4 4 3 2 2 2 2 2 2 2" xfId="6205" xr:uid="{00000000-0005-0000-0000-00004F400000}"/>
    <cellStyle name="Normal 4 4 3 2 2 2 2 2 2 2 2" xfId="12349" xr:uid="{00000000-0005-0000-0000-000050400000}"/>
    <cellStyle name="Normal 4 4 3 2 2 2 2 2 2 2 2 2" xfId="24637" xr:uid="{00000000-0005-0000-0000-000051400000}"/>
    <cellStyle name="Normal 4 4 3 2 2 2 2 2 2 2 2 2 2" xfId="49213" xr:uid="{00000000-0005-0000-0000-000052400000}"/>
    <cellStyle name="Normal 4 4 3 2 2 2 2 2 2 2 2 3" xfId="36925" xr:uid="{00000000-0005-0000-0000-000053400000}"/>
    <cellStyle name="Normal 4 4 3 2 2 2 2 2 2 2 3" xfId="18493" xr:uid="{00000000-0005-0000-0000-000054400000}"/>
    <cellStyle name="Normal 4 4 3 2 2 2 2 2 2 2 3 2" xfId="43069" xr:uid="{00000000-0005-0000-0000-000055400000}"/>
    <cellStyle name="Normal 4 4 3 2 2 2 2 2 2 2 4" xfId="30781" xr:uid="{00000000-0005-0000-0000-000056400000}"/>
    <cellStyle name="Normal 4 4 3 2 2 2 2 2 2 3" xfId="9277" xr:uid="{00000000-0005-0000-0000-000057400000}"/>
    <cellStyle name="Normal 4 4 3 2 2 2 2 2 2 3 2" xfId="21565" xr:uid="{00000000-0005-0000-0000-000058400000}"/>
    <cellStyle name="Normal 4 4 3 2 2 2 2 2 2 3 2 2" xfId="46141" xr:uid="{00000000-0005-0000-0000-000059400000}"/>
    <cellStyle name="Normal 4 4 3 2 2 2 2 2 2 3 3" xfId="33853" xr:uid="{00000000-0005-0000-0000-00005A400000}"/>
    <cellStyle name="Normal 4 4 3 2 2 2 2 2 2 4" xfId="15421" xr:uid="{00000000-0005-0000-0000-00005B400000}"/>
    <cellStyle name="Normal 4 4 3 2 2 2 2 2 2 4 2" xfId="39997" xr:uid="{00000000-0005-0000-0000-00005C400000}"/>
    <cellStyle name="Normal 4 4 3 2 2 2 2 2 2 5" xfId="27709" xr:uid="{00000000-0005-0000-0000-00005D400000}"/>
    <cellStyle name="Normal 4 4 3 2 2 2 2 2 3" xfId="4669" xr:uid="{00000000-0005-0000-0000-00005E400000}"/>
    <cellStyle name="Normal 4 4 3 2 2 2 2 2 3 2" xfId="10813" xr:uid="{00000000-0005-0000-0000-00005F400000}"/>
    <cellStyle name="Normal 4 4 3 2 2 2 2 2 3 2 2" xfId="23101" xr:uid="{00000000-0005-0000-0000-000060400000}"/>
    <cellStyle name="Normal 4 4 3 2 2 2 2 2 3 2 2 2" xfId="47677" xr:uid="{00000000-0005-0000-0000-000061400000}"/>
    <cellStyle name="Normal 4 4 3 2 2 2 2 2 3 2 3" xfId="35389" xr:uid="{00000000-0005-0000-0000-000062400000}"/>
    <cellStyle name="Normal 4 4 3 2 2 2 2 2 3 3" xfId="16957" xr:uid="{00000000-0005-0000-0000-000063400000}"/>
    <cellStyle name="Normal 4 4 3 2 2 2 2 2 3 3 2" xfId="41533" xr:uid="{00000000-0005-0000-0000-000064400000}"/>
    <cellStyle name="Normal 4 4 3 2 2 2 2 2 3 4" xfId="29245" xr:uid="{00000000-0005-0000-0000-000065400000}"/>
    <cellStyle name="Normal 4 4 3 2 2 2 2 2 4" xfId="7741" xr:uid="{00000000-0005-0000-0000-000066400000}"/>
    <cellStyle name="Normal 4 4 3 2 2 2 2 2 4 2" xfId="20029" xr:uid="{00000000-0005-0000-0000-000067400000}"/>
    <cellStyle name="Normal 4 4 3 2 2 2 2 2 4 2 2" xfId="44605" xr:uid="{00000000-0005-0000-0000-000068400000}"/>
    <cellStyle name="Normal 4 4 3 2 2 2 2 2 4 3" xfId="32317" xr:uid="{00000000-0005-0000-0000-000069400000}"/>
    <cellStyle name="Normal 4 4 3 2 2 2 2 2 5" xfId="13885" xr:uid="{00000000-0005-0000-0000-00006A400000}"/>
    <cellStyle name="Normal 4 4 3 2 2 2 2 2 5 2" xfId="38461" xr:uid="{00000000-0005-0000-0000-00006B400000}"/>
    <cellStyle name="Normal 4 4 3 2 2 2 2 2 6" xfId="26173" xr:uid="{00000000-0005-0000-0000-00006C400000}"/>
    <cellStyle name="Normal 4 4 3 2 2 2 2 3" xfId="2361" xr:uid="{00000000-0005-0000-0000-00006D400000}"/>
    <cellStyle name="Normal 4 4 3 2 2 2 2 3 2" xfId="5437" xr:uid="{00000000-0005-0000-0000-00006E400000}"/>
    <cellStyle name="Normal 4 4 3 2 2 2 2 3 2 2" xfId="11581" xr:uid="{00000000-0005-0000-0000-00006F400000}"/>
    <cellStyle name="Normal 4 4 3 2 2 2 2 3 2 2 2" xfId="23869" xr:uid="{00000000-0005-0000-0000-000070400000}"/>
    <cellStyle name="Normal 4 4 3 2 2 2 2 3 2 2 2 2" xfId="48445" xr:uid="{00000000-0005-0000-0000-000071400000}"/>
    <cellStyle name="Normal 4 4 3 2 2 2 2 3 2 2 3" xfId="36157" xr:uid="{00000000-0005-0000-0000-000072400000}"/>
    <cellStyle name="Normal 4 4 3 2 2 2 2 3 2 3" xfId="17725" xr:uid="{00000000-0005-0000-0000-000073400000}"/>
    <cellStyle name="Normal 4 4 3 2 2 2 2 3 2 3 2" xfId="42301" xr:uid="{00000000-0005-0000-0000-000074400000}"/>
    <cellStyle name="Normal 4 4 3 2 2 2 2 3 2 4" xfId="30013" xr:uid="{00000000-0005-0000-0000-000075400000}"/>
    <cellStyle name="Normal 4 4 3 2 2 2 2 3 3" xfId="8509" xr:uid="{00000000-0005-0000-0000-000076400000}"/>
    <cellStyle name="Normal 4 4 3 2 2 2 2 3 3 2" xfId="20797" xr:uid="{00000000-0005-0000-0000-000077400000}"/>
    <cellStyle name="Normal 4 4 3 2 2 2 2 3 3 2 2" xfId="45373" xr:uid="{00000000-0005-0000-0000-000078400000}"/>
    <cellStyle name="Normal 4 4 3 2 2 2 2 3 3 3" xfId="33085" xr:uid="{00000000-0005-0000-0000-000079400000}"/>
    <cellStyle name="Normal 4 4 3 2 2 2 2 3 4" xfId="14653" xr:uid="{00000000-0005-0000-0000-00007A400000}"/>
    <cellStyle name="Normal 4 4 3 2 2 2 2 3 4 2" xfId="39229" xr:uid="{00000000-0005-0000-0000-00007B400000}"/>
    <cellStyle name="Normal 4 4 3 2 2 2 2 3 5" xfId="26941" xr:uid="{00000000-0005-0000-0000-00007C400000}"/>
    <cellStyle name="Normal 4 4 3 2 2 2 2 4" xfId="3901" xr:uid="{00000000-0005-0000-0000-00007D400000}"/>
    <cellStyle name="Normal 4 4 3 2 2 2 2 4 2" xfId="10045" xr:uid="{00000000-0005-0000-0000-00007E400000}"/>
    <cellStyle name="Normal 4 4 3 2 2 2 2 4 2 2" xfId="22333" xr:uid="{00000000-0005-0000-0000-00007F400000}"/>
    <cellStyle name="Normal 4 4 3 2 2 2 2 4 2 2 2" xfId="46909" xr:uid="{00000000-0005-0000-0000-000080400000}"/>
    <cellStyle name="Normal 4 4 3 2 2 2 2 4 2 3" xfId="34621" xr:uid="{00000000-0005-0000-0000-000081400000}"/>
    <cellStyle name="Normal 4 4 3 2 2 2 2 4 3" xfId="16189" xr:uid="{00000000-0005-0000-0000-000082400000}"/>
    <cellStyle name="Normal 4 4 3 2 2 2 2 4 3 2" xfId="40765" xr:uid="{00000000-0005-0000-0000-000083400000}"/>
    <cellStyle name="Normal 4 4 3 2 2 2 2 4 4" xfId="28477" xr:uid="{00000000-0005-0000-0000-000084400000}"/>
    <cellStyle name="Normal 4 4 3 2 2 2 2 5" xfId="6973" xr:uid="{00000000-0005-0000-0000-000085400000}"/>
    <cellStyle name="Normal 4 4 3 2 2 2 2 5 2" xfId="19261" xr:uid="{00000000-0005-0000-0000-000086400000}"/>
    <cellStyle name="Normal 4 4 3 2 2 2 2 5 2 2" xfId="43837" xr:uid="{00000000-0005-0000-0000-000087400000}"/>
    <cellStyle name="Normal 4 4 3 2 2 2 2 5 3" xfId="31549" xr:uid="{00000000-0005-0000-0000-000088400000}"/>
    <cellStyle name="Normal 4 4 3 2 2 2 2 6" xfId="13117" xr:uid="{00000000-0005-0000-0000-000089400000}"/>
    <cellStyle name="Normal 4 4 3 2 2 2 2 6 2" xfId="37693" xr:uid="{00000000-0005-0000-0000-00008A400000}"/>
    <cellStyle name="Normal 4 4 3 2 2 2 2 7" xfId="25405" xr:uid="{00000000-0005-0000-0000-00008B400000}"/>
    <cellStyle name="Normal 4 4 3 2 2 2 3" xfId="1209" xr:uid="{00000000-0005-0000-0000-00008C400000}"/>
    <cellStyle name="Normal 4 4 3 2 2 2 3 2" xfId="2745" xr:uid="{00000000-0005-0000-0000-00008D400000}"/>
    <cellStyle name="Normal 4 4 3 2 2 2 3 2 2" xfId="5821" xr:uid="{00000000-0005-0000-0000-00008E400000}"/>
    <cellStyle name="Normal 4 4 3 2 2 2 3 2 2 2" xfId="11965" xr:uid="{00000000-0005-0000-0000-00008F400000}"/>
    <cellStyle name="Normal 4 4 3 2 2 2 3 2 2 2 2" xfId="24253" xr:uid="{00000000-0005-0000-0000-000090400000}"/>
    <cellStyle name="Normal 4 4 3 2 2 2 3 2 2 2 2 2" xfId="48829" xr:uid="{00000000-0005-0000-0000-000091400000}"/>
    <cellStyle name="Normal 4 4 3 2 2 2 3 2 2 2 3" xfId="36541" xr:uid="{00000000-0005-0000-0000-000092400000}"/>
    <cellStyle name="Normal 4 4 3 2 2 2 3 2 2 3" xfId="18109" xr:uid="{00000000-0005-0000-0000-000093400000}"/>
    <cellStyle name="Normal 4 4 3 2 2 2 3 2 2 3 2" xfId="42685" xr:uid="{00000000-0005-0000-0000-000094400000}"/>
    <cellStyle name="Normal 4 4 3 2 2 2 3 2 2 4" xfId="30397" xr:uid="{00000000-0005-0000-0000-000095400000}"/>
    <cellStyle name="Normal 4 4 3 2 2 2 3 2 3" xfId="8893" xr:uid="{00000000-0005-0000-0000-000096400000}"/>
    <cellStyle name="Normal 4 4 3 2 2 2 3 2 3 2" xfId="21181" xr:uid="{00000000-0005-0000-0000-000097400000}"/>
    <cellStyle name="Normal 4 4 3 2 2 2 3 2 3 2 2" xfId="45757" xr:uid="{00000000-0005-0000-0000-000098400000}"/>
    <cellStyle name="Normal 4 4 3 2 2 2 3 2 3 3" xfId="33469" xr:uid="{00000000-0005-0000-0000-000099400000}"/>
    <cellStyle name="Normal 4 4 3 2 2 2 3 2 4" xfId="15037" xr:uid="{00000000-0005-0000-0000-00009A400000}"/>
    <cellStyle name="Normal 4 4 3 2 2 2 3 2 4 2" xfId="39613" xr:uid="{00000000-0005-0000-0000-00009B400000}"/>
    <cellStyle name="Normal 4 4 3 2 2 2 3 2 5" xfId="27325" xr:uid="{00000000-0005-0000-0000-00009C400000}"/>
    <cellStyle name="Normal 4 4 3 2 2 2 3 3" xfId="4285" xr:uid="{00000000-0005-0000-0000-00009D400000}"/>
    <cellStyle name="Normal 4 4 3 2 2 2 3 3 2" xfId="10429" xr:uid="{00000000-0005-0000-0000-00009E400000}"/>
    <cellStyle name="Normal 4 4 3 2 2 2 3 3 2 2" xfId="22717" xr:uid="{00000000-0005-0000-0000-00009F400000}"/>
    <cellStyle name="Normal 4 4 3 2 2 2 3 3 2 2 2" xfId="47293" xr:uid="{00000000-0005-0000-0000-0000A0400000}"/>
    <cellStyle name="Normal 4 4 3 2 2 2 3 3 2 3" xfId="35005" xr:uid="{00000000-0005-0000-0000-0000A1400000}"/>
    <cellStyle name="Normal 4 4 3 2 2 2 3 3 3" xfId="16573" xr:uid="{00000000-0005-0000-0000-0000A2400000}"/>
    <cellStyle name="Normal 4 4 3 2 2 2 3 3 3 2" xfId="41149" xr:uid="{00000000-0005-0000-0000-0000A3400000}"/>
    <cellStyle name="Normal 4 4 3 2 2 2 3 3 4" xfId="28861" xr:uid="{00000000-0005-0000-0000-0000A4400000}"/>
    <cellStyle name="Normal 4 4 3 2 2 2 3 4" xfId="7357" xr:uid="{00000000-0005-0000-0000-0000A5400000}"/>
    <cellStyle name="Normal 4 4 3 2 2 2 3 4 2" xfId="19645" xr:uid="{00000000-0005-0000-0000-0000A6400000}"/>
    <cellStyle name="Normal 4 4 3 2 2 2 3 4 2 2" xfId="44221" xr:uid="{00000000-0005-0000-0000-0000A7400000}"/>
    <cellStyle name="Normal 4 4 3 2 2 2 3 4 3" xfId="31933" xr:uid="{00000000-0005-0000-0000-0000A8400000}"/>
    <cellStyle name="Normal 4 4 3 2 2 2 3 5" xfId="13501" xr:uid="{00000000-0005-0000-0000-0000A9400000}"/>
    <cellStyle name="Normal 4 4 3 2 2 2 3 5 2" xfId="38077" xr:uid="{00000000-0005-0000-0000-0000AA400000}"/>
    <cellStyle name="Normal 4 4 3 2 2 2 3 6" xfId="25789" xr:uid="{00000000-0005-0000-0000-0000AB400000}"/>
    <cellStyle name="Normal 4 4 3 2 2 2 4" xfId="1977" xr:uid="{00000000-0005-0000-0000-0000AC400000}"/>
    <cellStyle name="Normal 4 4 3 2 2 2 4 2" xfId="5053" xr:uid="{00000000-0005-0000-0000-0000AD400000}"/>
    <cellStyle name="Normal 4 4 3 2 2 2 4 2 2" xfId="11197" xr:uid="{00000000-0005-0000-0000-0000AE400000}"/>
    <cellStyle name="Normal 4 4 3 2 2 2 4 2 2 2" xfId="23485" xr:uid="{00000000-0005-0000-0000-0000AF400000}"/>
    <cellStyle name="Normal 4 4 3 2 2 2 4 2 2 2 2" xfId="48061" xr:uid="{00000000-0005-0000-0000-0000B0400000}"/>
    <cellStyle name="Normal 4 4 3 2 2 2 4 2 2 3" xfId="35773" xr:uid="{00000000-0005-0000-0000-0000B1400000}"/>
    <cellStyle name="Normal 4 4 3 2 2 2 4 2 3" xfId="17341" xr:uid="{00000000-0005-0000-0000-0000B2400000}"/>
    <cellStyle name="Normal 4 4 3 2 2 2 4 2 3 2" xfId="41917" xr:uid="{00000000-0005-0000-0000-0000B3400000}"/>
    <cellStyle name="Normal 4 4 3 2 2 2 4 2 4" xfId="29629" xr:uid="{00000000-0005-0000-0000-0000B4400000}"/>
    <cellStyle name="Normal 4 4 3 2 2 2 4 3" xfId="8125" xr:uid="{00000000-0005-0000-0000-0000B5400000}"/>
    <cellStyle name="Normal 4 4 3 2 2 2 4 3 2" xfId="20413" xr:uid="{00000000-0005-0000-0000-0000B6400000}"/>
    <cellStyle name="Normal 4 4 3 2 2 2 4 3 2 2" xfId="44989" xr:uid="{00000000-0005-0000-0000-0000B7400000}"/>
    <cellStyle name="Normal 4 4 3 2 2 2 4 3 3" xfId="32701" xr:uid="{00000000-0005-0000-0000-0000B8400000}"/>
    <cellStyle name="Normal 4 4 3 2 2 2 4 4" xfId="14269" xr:uid="{00000000-0005-0000-0000-0000B9400000}"/>
    <cellStyle name="Normal 4 4 3 2 2 2 4 4 2" xfId="38845" xr:uid="{00000000-0005-0000-0000-0000BA400000}"/>
    <cellStyle name="Normal 4 4 3 2 2 2 4 5" xfId="26557" xr:uid="{00000000-0005-0000-0000-0000BB400000}"/>
    <cellStyle name="Normal 4 4 3 2 2 2 5" xfId="3517" xr:uid="{00000000-0005-0000-0000-0000BC400000}"/>
    <cellStyle name="Normal 4 4 3 2 2 2 5 2" xfId="9661" xr:uid="{00000000-0005-0000-0000-0000BD400000}"/>
    <cellStyle name="Normal 4 4 3 2 2 2 5 2 2" xfId="21949" xr:uid="{00000000-0005-0000-0000-0000BE400000}"/>
    <cellStyle name="Normal 4 4 3 2 2 2 5 2 2 2" xfId="46525" xr:uid="{00000000-0005-0000-0000-0000BF400000}"/>
    <cellStyle name="Normal 4 4 3 2 2 2 5 2 3" xfId="34237" xr:uid="{00000000-0005-0000-0000-0000C0400000}"/>
    <cellStyle name="Normal 4 4 3 2 2 2 5 3" xfId="15805" xr:uid="{00000000-0005-0000-0000-0000C1400000}"/>
    <cellStyle name="Normal 4 4 3 2 2 2 5 3 2" xfId="40381" xr:uid="{00000000-0005-0000-0000-0000C2400000}"/>
    <cellStyle name="Normal 4 4 3 2 2 2 5 4" xfId="28093" xr:uid="{00000000-0005-0000-0000-0000C3400000}"/>
    <cellStyle name="Normal 4 4 3 2 2 2 6" xfId="6589" xr:uid="{00000000-0005-0000-0000-0000C4400000}"/>
    <cellStyle name="Normal 4 4 3 2 2 2 6 2" xfId="18877" xr:uid="{00000000-0005-0000-0000-0000C5400000}"/>
    <cellStyle name="Normal 4 4 3 2 2 2 6 2 2" xfId="43453" xr:uid="{00000000-0005-0000-0000-0000C6400000}"/>
    <cellStyle name="Normal 4 4 3 2 2 2 6 3" xfId="31165" xr:uid="{00000000-0005-0000-0000-0000C7400000}"/>
    <cellStyle name="Normal 4 4 3 2 2 2 7" xfId="12733" xr:uid="{00000000-0005-0000-0000-0000C8400000}"/>
    <cellStyle name="Normal 4 4 3 2 2 2 7 2" xfId="37309" xr:uid="{00000000-0005-0000-0000-0000C9400000}"/>
    <cellStyle name="Normal 4 4 3 2 2 2 8" xfId="25021" xr:uid="{00000000-0005-0000-0000-0000CA400000}"/>
    <cellStyle name="Normal 4 4 3 2 2 3" xfId="633" xr:uid="{00000000-0005-0000-0000-0000CB400000}"/>
    <cellStyle name="Normal 4 4 3 2 2 3 2" xfId="1401" xr:uid="{00000000-0005-0000-0000-0000CC400000}"/>
    <cellStyle name="Normal 4 4 3 2 2 3 2 2" xfId="2937" xr:uid="{00000000-0005-0000-0000-0000CD400000}"/>
    <cellStyle name="Normal 4 4 3 2 2 3 2 2 2" xfId="6013" xr:uid="{00000000-0005-0000-0000-0000CE400000}"/>
    <cellStyle name="Normal 4 4 3 2 2 3 2 2 2 2" xfId="12157" xr:uid="{00000000-0005-0000-0000-0000CF400000}"/>
    <cellStyle name="Normal 4 4 3 2 2 3 2 2 2 2 2" xfId="24445" xr:uid="{00000000-0005-0000-0000-0000D0400000}"/>
    <cellStyle name="Normal 4 4 3 2 2 3 2 2 2 2 2 2" xfId="49021" xr:uid="{00000000-0005-0000-0000-0000D1400000}"/>
    <cellStyle name="Normal 4 4 3 2 2 3 2 2 2 2 3" xfId="36733" xr:uid="{00000000-0005-0000-0000-0000D2400000}"/>
    <cellStyle name="Normal 4 4 3 2 2 3 2 2 2 3" xfId="18301" xr:uid="{00000000-0005-0000-0000-0000D3400000}"/>
    <cellStyle name="Normal 4 4 3 2 2 3 2 2 2 3 2" xfId="42877" xr:uid="{00000000-0005-0000-0000-0000D4400000}"/>
    <cellStyle name="Normal 4 4 3 2 2 3 2 2 2 4" xfId="30589" xr:uid="{00000000-0005-0000-0000-0000D5400000}"/>
    <cellStyle name="Normal 4 4 3 2 2 3 2 2 3" xfId="9085" xr:uid="{00000000-0005-0000-0000-0000D6400000}"/>
    <cellStyle name="Normal 4 4 3 2 2 3 2 2 3 2" xfId="21373" xr:uid="{00000000-0005-0000-0000-0000D7400000}"/>
    <cellStyle name="Normal 4 4 3 2 2 3 2 2 3 2 2" xfId="45949" xr:uid="{00000000-0005-0000-0000-0000D8400000}"/>
    <cellStyle name="Normal 4 4 3 2 2 3 2 2 3 3" xfId="33661" xr:uid="{00000000-0005-0000-0000-0000D9400000}"/>
    <cellStyle name="Normal 4 4 3 2 2 3 2 2 4" xfId="15229" xr:uid="{00000000-0005-0000-0000-0000DA400000}"/>
    <cellStyle name="Normal 4 4 3 2 2 3 2 2 4 2" xfId="39805" xr:uid="{00000000-0005-0000-0000-0000DB400000}"/>
    <cellStyle name="Normal 4 4 3 2 2 3 2 2 5" xfId="27517" xr:uid="{00000000-0005-0000-0000-0000DC400000}"/>
    <cellStyle name="Normal 4 4 3 2 2 3 2 3" xfId="4477" xr:uid="{00000000-0005-0000-0000-0000DD400000}"/>
    <cellStyle name="Normal 4 4 3 2 2 3 2 3 2" xfId="10621" xr:uid="{00000000-0005-0000-0000-0000DE400000}"/>
    <cellStyle name="Normal 4 4 3 2 2 3 2 3 2 2" xfId="22909" xr:uid="{00000000-0005-0000-0000-0000DF400000}"/>
    <cellStyle name="Normal 4 4 3 2 2 3 2 3 2 2 2" xfId="47485" xr:uid="{00000000-0005-0000-0000-0000E0400000}"/>
    <cellStyle name="Normal 4 4 3 2 2 3 2 3 2 3" xfId="35197" xr:uid="{00000000-0005-0000-0000-0000E1400000}"/>
    <cellStyle name="Normal 4 4 3 2 2 3 2 3 3" xfId="16765" xr:uid="{00000000-0005-0000-0000-0000E2400000}"/>
    <cellStyle name="Normal 4 4 3 2 2 3 2 3 3 2" xfId="41341" xr:uid="{00000000-0005-0000-0000-0000E3400000}"/>
    <cellStyle name="Normal 4 4 3 2 2 3 2 3 4" xfId="29053" xr:uid="{00000000-0005-0000-0000-0000E4400000}"/>
    <cellStyle name="Normal 4 4 3 2 2 3 2 4" xfId="7549" xr:uid="{00000000-0005-0000-0000-0000E5400000}"/>
    <cellStyle name="Normal 4 4 3 2 2 3 2 4 2" xfId="19837" xr:uid="{00000000-0005-0000-0000-0000E6400000}"/>
    <cellStyle name="Normal 4 4 3 2 2 3 2 4 2 2" xfId="44413" xr:uid="{00000000-0005-0000-0000-0000E7400000}"/>
    <cellStyle name="Normal 4 4 3 2 2 3 2 4 3" xfId="32125" xr:uid="{00000000-0005-0000-0000-0000E8400000}"/>
    <cellStyle name="Normal 4 4 3 2 2 3 2 5" xfId="13693" xr:uid="{00000000-0005-0000-0000-0000E9400000}"/>
    <cellStyle name="Normal 4 4 3 2 2 3 2 5 2" xfId="38269" xr:uid="{00000000-0005-0000-0000-0000EA400000}"/>
    <cellStyle name="Normal 4 4 3 2 2 3 2 6" xfId="25981" xr:uid="{00000000-0005-0000-0000-0000EB400000}"/>
    <cellStyle name="Normal 4 4 3 2 2 3 3" xfId="2169" xr:uid="{00000000-0005-0000-0000-0000EC400000}"/>
    <cellStyle name="Normal 4 4 3 2 2 3 3 2" xfId="5245" xr:uid="{00000000-0005-0000-0000-0000ED400000}"/>
    <cellStyle name="Normal 4 4 3 2 2 3 3 2 2" xfId="11389" xr:uid="{00000000-0005-0000-0000-0000EE400000}"/>
    <cellStyle name="Normal 4 4 3 2 2 3 3 2 2 2" xfId="23677" xr:uid="{00000000-0005-0000-0000-0000EF400000}"/>
    <cellStyle name="Normal 4 4 3 2 2 3 3 2 2 2 2" xfId="48253" xr:uid="{00000000-0005-0000-0000-0000F0400000}"/>
    <cellStyle name="Normal 4 4 3 2 2 3 3 2 2 3" xfId="35965" xr:uid="{00000000-0005-0000-0000-0000F1400000}"/>
    <cellStyle name="Normal 4 4 3 2 2 3 3 2 3" xfId="17533" xr:uid="{00000000-0005-0000-0000-0000F2400000}"/>
    <cellStyle name="Normal 4 4 3 2 2 3 3 2 3 2" xfId="42109" xr:uid="{00000000-0005-0000-0000-0000F3400000}"/>
    <cellStyle name="Normal 4 4 3 2 2 3 3 2 4" xfId="29821" xr:uid="{00000000-0005-0000-0000-0000F4400000}"/>
    <cellStyle name="Normal 4 4 3 2 2 3 3 3" xfId="8317" xr:uid="{00000000-0005-0000-0000-0000F5400000}"/>
    <cellStyle name="Normal 4 4 3 2 2 3 3 3 2" xfId="20605" xr:uid="{00000000-0005-0000-0000-0000F6400000}"/>
    <cellStyle name="Normal 4 4 3 2 2 3 3 3 2 2" xfId="45181" xr:uid="{00000000-0005-0000-0000-0000F7400000}"/>
    <cellStyle name="Normal 4 4 3 2 2 3 3 3 3" xfId="32893" xr:uid="{00000000-0005-0000-0000-0000F8400000}"/>
    <cellStyle name="Normal 4 4 3 2 2 3 3 4" xfId="14461" xr:uid="{00000000-0005-0000-0000-0000F9400000}"/>
    <cellStyle name="Normal 4 4 3 2 2 3 3 4 2" xfId="39037" xr:uid="{00000000-0005-0000-0000-0000FA400000}"/>
    <cellStyle name="Normal 4 4 3 2 2 3 3 5" xfId="26749" xr:uid="{00000000-0005-0000-0000-0000FB400000}"/>
    <cellStyle name="Normal 4 4 3 2 2 3 4" xfId="3709" xr:uid="{00000000-0005-0000-0000-0000FC400000}"/>
    <cellStyle name="Normal 4 4 3 2 2 3 4 2" xfId="9853" xr:uid="{00000000-0005-0000-0000-0000FD400000}"/>
    <cellStyle name="Normal 4 4 3 2 2 3 4 2 2" xfId="22141" xr:uid="{00000000-0005-0000-0000-0000FE400000}"/>
    <cellStyle name="Normal 4 4 3 2 2 3 4 2 2 2" xfId="46717" xr:uid="{00000000-0005-0000-0000-0000FF400000}"/>
    <cellStyle name="Normal 4 4 3 2 2 3 4 2 3" xfId="34429" xr:uid="{00000000-0005-0000-0000-000000410000}"/>
    <cellStyle name="Normal 4 4 3 2 2 3 4 3" xfId="15997" xr:uid="{00000000-0005-0000-0000-000001410000}"/>
    <cellStyle name="Normal 4 4 3 2 2 3 4 3 2" xfId="40573" xr:uid="{00000000-0005-0000-0000-000002410000}"/>
    <cellStyle name="Normal 4 4 3 2 2 3 4 4" xfId="28285" xr:uid="{00000000-0005-0000-0000-000003410000}"/>
    <cellStyle name="Normal 4 4 3 2 2 3 5" xfId="6781" xr:uid="{00000000-0005-0000-0000-000004410000}"/>
    <cellStyle name="Normal 4 4 3 2 2 3 5 2" xfId="19069" xr:uid="{00000000-0005-0000-0000-000005410000}"/>
    <cellStyle name="Normal 4 4 3 2 2 3 5 2 2" xfId="43645" xr:uid="{00000000-0005-0000-0000-000006410000}"/>
    <cellStyle name="Normal 4 4 3 2 2 3 5 3" xfId="31357" xr:uid="{00000000-0005-0000-0000-000007410000}"/>
    <cellStyle name="Normal 4 4 3 2 2 3 6" xfId="12925" xr:uid="{00000000-0005-0000-0000-000008410000}"/>
    <cellStyle name="Normal 4 4 3 2 2 3 6 2" xfId="37501" xr:uid="{00000000-0005-0000-0000-000009410000}"/>
    <cellStyle name="Normal 4 4 3 2 2 3 7" xfId="25213" xr:uid="{00000000-0005-0000-0000-00000A410000}"/>
    <cellStyle name="Normal 4 4 3 2 2 4" xfId="1017" xr:uid="{00000000-0005-0000-0000-00000B410000}"/>
    <cellStyle name="Normal 4 4 3 2 2 4 2" xfId="2553" xr:uid="{00000000-0005-0000-0000-00000C410000}"/>
    <cellStyle name="Normal 4 4 3 2 2 4 2 2" xfId="5629" xr:uid="{00000000-0005-0000-0000-00000D410000}"/>
    <cellStyle name="Normal 4 4 3 2 2 4 2 2 2" xfId="11773" xr:uid="{00000000-0005-0000-0000-00000E410000}"/>
    <cellStyle name="Normal 4 4 3 2 2 4 2 2 2 2" xfId="24061" xr:uid="{00000000-0005-0000-0000-00000F410000}"/>
    <cellStyle name="Normal 4 4 3 2 2 4 2 2 2 2 2" xfId="48637" xr:uid="{00000000-0005-0000-0000-000010410000}"/>
    <cellStyle name="Normal 4 4 3 2 2 4 2 2 2 3" xfId="36349" xr:uid="{00000000-0005-0000-0000-000011410000}"/>
    <cellStyle name="Normal 4 4 3 2 2 4 2 2 3" xfId="17917" xr:uid="{00000000-0005-0000-0000-000012410000}"/>
    <cellStyle name="Normal 4 4 3 2 2 4 2 2 3 2" xfId="42493" xr:uid="{00000000-0005-0000-0000-000013410000}"/>
    <cellStyle name="Normal 4 4 3 2 2 4 2 2 4" xfId="30205" xr:uid="{00000000-0005-0000-0000-000014410000}"/>
    <cellStyle name="Normal 4 4 3 2 2 4 2 3" xfId="8701" xr:uid="{00000000-0005-0000-0000-000015410000}"/>
    <cellStyle name="Normal 4 4 3 2 2 4 2 3 2" xfId="20989" xr:uid="{00000000-0005-0000-0000-000016410000}"/>
    <cellStyle name="Normal 4 4 3 2 2 4 2 3 2 2" xfId="45565" xr:uid="{00000000-0005-0000-0000-000017410000}"/>
    <cellStyle name="Normal 4 4 3 2 2 4 2 3 3" xfId="33277" xr:uid="{00000000-0005-0000-0000-000018410000}"/>
    <cellStyle name="Normal 4 4 3 2 2 4 2 4" xfId="14845" xr:uid="{00000000-0005-0000-0000-000019410000}"/>
    <cellStyle name="Normal 4 4 3 2 2 4 2 4 2" xfId="39421" xr:uid="{00000000-0005-0000-0000-00001A410000}"/>
    <cellStyle name="Normal 4 4 3 2 2 4 2 5" xfId="27133" xr:uid="{00000000-0005-0000-0000-00001B410000}"/>
    <cellStyle name="Normal 4 4 3 2 2 4 3" xfId="4093" xr:uid="{00000000-0005-0000-0000-00001C410000}"/>
    <cellStyle name="Normal 4 4 3 2 2 4 3 2" xfId="10237" xr:uid="{00000000-0005-0000-0000-00001D410000}"/>
    <cellStyle name="Normal 4 4 3 2 2 4 3 2 2" xfId="22525" xr:uid="{00000000-0005-0000-0000-00001E410000}"/>
    <cellStyle name="Normal 4 4 3 2 2 4 3 2 2 2" xfId="47101" xr:uid="{00000000-0005-0000-0000-00001F410000}"/>
    <cellStyle name="Normal 4 4 3 2 2 4 3 2 3" xfId="34813" xr:uid="{00000000-0005-0000-0000-000020410000}"/>
    <cellStyle name="Normal 4 4 3 2 2 4 3 3" xfId="16381" xr:uid="{00000000-0005-0000-0000-000021410000}"/>
    <cellStyle name="Normal 4 4 3 2 2 4 3 3 2" xfId="40957" xr:uid="{00000000-0005-0000-0000-000022410000}"/>
    <cellStyle name="Normal 4 4 3 2 2 4 3 4" xfId="28669" xr:uid="{00000000-0005-0000-0000-000023410000}"/>
    <cellStyle name="Normal 4 4 3 2 2 4 4" xfId="7165" xr:uid="{00000000-0005-0000-0000-000024410000}"/>
    <cellStyle name="Normal 4 4 3 2 2 4 4 2" xfId="19453" xr:uid="{00000000-0005-0000-0000-000025410000}"/>
    <cellStyle name="Normal 4 4 3 2 2 4 4 2 2" xfId="44029" xr:uid="{00000000-0005-0000-0000-000026410000}"/>
    <cellStyle name="Normal 4 4 3 2 2 4 4 3" xfId="31741" xr:uid="{00000000-0005-0000-0000-000027410000}"/>
    <cellStyle name="Normal 4 4 3 2 2 4 5" xfId="13309" xr:uid="{00000000-0005-0000-0000-000028410000}"/>
    <cellStyle name="Normal 4 4 3 2 2 4 5 2" xfId="37885" xr:uid="{00000000-0005-0000-0000-000029410000}"/>
    <cellStyle name="Normal 4 4 3 2 2 4 6" xfId="25597" xr:uid="{00000000-0005-0000-0000-00002A410000}"/>
    <cellStyle name="Normal 4 4 3 2 2 5" xfId="1785" xr:uid="{00000000-0005-0000-0000-00002B410000}"/>
    <cellStyle name="Normal 4 4 3 2 2 5 2" xfId="4861" xr:uid="{00000000-0005-0000-0000-00002C410000}"/>
    <cellStyle name="Normal 4 4 3 2 2 5 2 2" xfId="11005" xr:uid="{00000000-0005-0000-0000-00002D410000}"/>
    <cellStyle name="Normal 4 4 3 2 2 5 2 2 2" xfId="23293" xr:uid="{00000000-0005-0000-0000-00002E410000}"/>
    <cellStyle name="Normal 4 4 3 2 2 5 2 2 2 2" xfId="47869" xr:uid="{00000000-0005-0000-0000-00002F410000}"/>
    <cellStyle name="Normal 4 4 3 2 2 5 2 2 3" xfId="35581" xr:uid="{00000000-0005-0000-0000-000030410000}"/>
    <cellStyle name="Normal 4 4 3 2 2 5 2 3" xfId="17149" xr:uid="{00000000-0005-0000-0000-000031410000}"/>
    <cellStyle name="Normal 4 4 3 2 2 5 2 3 2" xfId="41725" xr:uid="{00000000-0005-0000-0000-000032410000}"/>
    <cellStyle name="Normal 4 4 3 2 2 5 2 4" xfId="29437" xr:uid="{00000000-0005-0000-0000-000033410000}"/>
    <cellStyle name="Normal 4 4 3 2 2 5 3" xfId="7933" xr:uid="{00000000-0005-0000-0000-000034410000}"/>
    <cellStyle name="Normal 4 4 3 2 2 5 3 2" xfId="20221" xr:uid="{00000000-0005-0000-0000-000035410000}"/>
    <cellStyle name="Normal 4 4 3 2 2 5 3 2 2" xfId="44797" xr:uid="{00000000-0005-0000-0000-000036410000}"/>
    <cellStyle name="Normal 4 4 3 2 2 5 3 3" xfId="32509" xr:uid="{00000000-0005-0000-0000-000037410000}"/>
    <cellStyle name="Normal 4 4 3 2 2 5 4" xfId="14077" xr:uid="{00000000-0005-0000-0000-000038410000}"/>
    <cellStyle name="Normal 4 4 3 2 2 5 4 2" xfId="38653" xr:uid="{00000000-0005-0000-0000-000039410000}"/>
    <cellStyle name="Normal 4 4 3 2 2 5 5" xfId="26365" xr:uid="{00000000-0005-0000-0000-00003A410000}"/>
    <cellStyle name="Normal 4 4 3 2 2 6" xfId="3325" xr:uid="{00000000-0005-0000-0000-00003B410000}"/>
    <cellStyle name="Normal 4 4 3 2 2 6 2" xfId="9469" xr:uid="{00000000-0005-0000-0000-00003C410000}"/>
    <cellStyle name="Normal 4 4 3 2 2 6 2 2" xfId="21757" xr:uid="{00000000-0005-0000-0000-00003D410000}"/>
    <cellStyle name="Normal 4 4 3 2 2 6 2 2 2" xfId="46333" xr:uid="{00000000-0005-0000-0000-00003E410000}"/>
    <cellStyle name="Normal 4 4 3 2 2 6 2 3" xfId="34045" xr:uid="{00000000-0005-0000-0000-00003F410000}"/>
    <cellStyle name="Normal 4 4 3 2 2 6 3" xfId="15613" xr:uid="{00000000-0005-0000-0000-000040410000}"/>
    <cellStyle name="Normal 4 4 3 2 2 6 3 2" xfId="40189" xr:uid="{00000000-0005-0000-0000-000041410000}"/>
    <cellStyle name="Normal 4 4 3 2 2 6 4" xfId="27901" xr:uid="{00000000-0005-0000-0000-000042410000}"/>
    <cellStyle name="Normal 4 4 3 2 2 7" xfId="6397" xr:uid="{00000000-0005-0000-0000-000043410000}"/>
    <cellStyle name="Normal 4 4 3 2 2 7 2" xfId="18685" xr:uid="{00000000-0005-0000-0000-000044410000}"/>
    <cellStyle name="Normal 4 4 3 2 2 7 2 2" xfId="43261" xr:uid="{00000000-0005-0000-0000-000045410000}"/>
    <cellStyle name="Normal 4 4 3 2 2 7 3" xfId="30973" xr:uid="{00000000-0005-0000-0000-000046410000}"/>
    <cellStyle name="Normal 4 4 3 2 2 8" xfId="12541" xr:uid="{00000000-0005-0000-0000-000047410000}"/>
    <cellStyle name="Normal 4 4 3 2 2 8 2" xfId="37117" xr:uid="{00000000-0005-0000-0000-000048410000}"/>
    <cellStyle name="Normal 4 4 3 2 2 9" xfId="24829" xr:uid="{00000000-0005-0000-0000-000049410000}"/>
    <cellStyle name="Normal 4 4 3 2 3" xfId="313" xr:uid="{00000000-0005-0000-0000-00004A410000}"/>
    <cellStyle name="Normal 4 4 3 2 3 2" xfId="505" xr:uid="{00000000-0005-0000-0000-00004B410000}"/>
    <cellStyle name="Normal 4 4 3 2 3 2 2" xfId="889" xr:uid="{00000000-0005-0000-0000-00004C410000}"/>
    <cellStyle name="Normal 4 4 3 2 3 2 2 2" xfId="1657" xr:uid="{00000000-0005-0000-0000-00004D410000}"/>
    <cellStyle name="Normal 4 4 3 2 3 2 2 2 2" xfId="3193" xr:uid="{00000000-0005-0000-0000-00004E410000}"/>
    <cellStyle name="Normal 4 4 3 2 3 2 2 2 2 2" xfId="6269" xr:uid="{00000000-0005-0000-0000-00004F410000}"/>
    <cellStyle name="Normal 4 4 3 2 3 2 2 2 2 2 2" xfId="12413" xr:uid="{00000000-0005-0000-0000-000050410000}"/>
    <cellStyle name="Normal 4 4 3 2 3 2 2 2 2 2 2 2" xfId="24701" xr:uid="{00000000-0005-0000-0000-000051410000}"/>
    <cellStyle name="Normal 4 4 3 2 3 2 2 2 2 2 2 2 2" xfId="49277" xr:uid="{00000000-0005-0000-0000-000052410000}"/>
    <cellStyle name="Normal 4 4 3 2 3 2 2 2 2 2 2 3" xfId="36989" xr:uid="{00000000-0005-0000-0000-000053410000}"/>
    <cellStyle name="Normal 4 4 3 2 3 2 2 2 2 2 3" xfId="18557" xr:uid="{00000000-0005-0000-0000-000054410000}"/>
    <cellStyle name="Normal 4 4 3 2 3 2 2 2 2 2 3 2" xfId="43133" xr:uid="{00000000-0005-0000-0000-000055410000}"/>
    <cellStyle name="Normal 4 4 3 2 3 2 2 2 2 2 4" xfId="30845" xr:uid="{00000000-0005-0000-0000-000056410000}"/>
    <cellStyle name="Normal 4 4 3 2 3 2 2 2 2 3" xfId="9341" xr:uid="{00000000-0005-0000-0000-000057410000}"/>
    <cellStyle name="Normal 4 4 3 2 3 2 2 2 2 3 2" xfId="21629" xr:uid="{00000000-0005-0000-0000-000058410000}"/>
    <cellStyle name="Normal 4 4 3 2 3 2 2 2 2 3 2 2" xfId="46205" xr:uid="{00000000-0005-0000-0000-000059410000}"/>
    <cellStyle name="Normal 4 4 3 2 3 2 2 2 2 3 3" xfId="33917" xr:uid="{00000000-0005-0000-0000-00005A410000}"/>
    <cellStyle name="Normal 4 4 3 2 3 2 2 2 2 4" xfId="15485" xr:uid="{00000000-0005-0000-0000-00005B410000}"/>
    <cellStyle name="Normal 4 4 3 2 3 2 2 2 2 4 2" xfId="40061" xr:uid="{00000000-0005-0000-0000-00005C410000}"/>
    <cellStyle name="Normal 4 4 3 2 3 2 2 2 2 5" xfId="27773" xr:uid="{00000000-0005-0000-0000-00005D410000}"/>
    <cellStyle name="Normal 4 4 3 2 3 2 2 2 3" xfId="4733" xr:uid="{00000000-0005-0000-0000-00005E410000}"/>
    <cellStyle name="Normal 4 4 3 2 3 2 2 2 3 2" xfId="10877" xr:uid="{00000000-0005-0000-0000-00005F410000}"/>
    <cellStyle name="Normal 4 4 3 2 3 2 2 2 3 2 2" xfId="23165" xr:uid="{00000000-0005-0000-0000-000060410000}"/>
    <cellStyle name="Normal 4 4 3 2 3 2 2 2 3 2 2 2" xfId="47741" xr:uid="{00000000-0005-0000-0000-000061410000}"/>
    <cellStyle name="Normal 4 4 3 2 3 2 2 2 3 2 3" xfId="35453" xr:uid="{00000000-0005-0000-0000-000062410000}"/>
    <cellStyle name="Normal 4 4 3 2 3 2 2 2 3 3" xfId="17021" xr:uid="{00000000-0005-0000-0000-000063410000}"/>
    <cellStyle name="Normal 4 4 3 2 3 2 2 2 3 3 2" xfId="41597" xr:uid="{00000000-0005-0000-0000-000064410000}"/>
    <cellStyle name="Normal 4 4 3 2 3 2 2 2 3 4" xfId="29309" xr:uid="{00000000-0005-0000-0000-000065410000}"/>
    <cellStyle name="Normal 4 4 3 2 3 2 2 2 4" xfId="7805" xr:uid="{00000000-0005-0000-0000-000066410000}"/>
    <cellStyle name="Normal 4 4 3 2 3 2 2 2 4 2" xfId="20093" xr:uid="{00000000-0005-0000-0000-000067410000}"/>
    <cellStyle name="Normal 4 4 3 2 3 2 2 2 4 2 2" xfId="44669" xr:uid="{00000000-0005-0000-0000-000068410000}"/>
    <cellStyle name="Normal 4 4 3 2 3 2 2 2 4 3" xfId="32381" xr:uid="{00000000-0005-0000-0000-000069410000}"/>
    <cellStyle name="Normal 4 4 3 2 3 2 2 2 5" xfId="13949" xr:uid="{00000000-0005-0000-0000-00006A410000}"/>
    <cellStyle name="Normal 4 4 3 2 3 2 2 2 5 2" xfId="38525" xr:uid="{00000000-0005-0000-0000-00006B410000}"/>
    <cellStyle name="Normal 4 4 3 2 3 2 2 2 6" xfId="26237" xr:uid="{00000000-0005-0000-0000-00006C410000}"/>
    <cellStyle name="Normal 4 4 3 2 3 2 2 3" xfId="2425" xr:uid="{00000000-0005-0000-0000-00006D410000}"/>
    <cellStyle name="Normal 4 4 3 2 3 2 2 3 2" xfId="5501" xr:uid="{00000000-0005-0000-0000-00006E410000}"/>
    <cellStyle name="Normal 4 4 3 2 3 2 2 3 2 2" xfId="11645" xr:uid="{00000000-0005-0000-0000-00006F410000}"/>
    <cellStyle name="Normal 4 4 3 2 3 2 2 3 2 2 2" xfId="23933" xr:uid="{00000000-0005-0000-0000-000070410000}"/>
    <cellStyle name="Normal 4 4 3 2 3 2 2 3 2 2 2 2" xfId="48509" xr:uid="{00000000-0005-0000-0000-000071410000}"/>
    <cellStyle name="Normal 4 4 3 2 3 2 2 3 2 2 3" xfId="36221" xr:uid="{00000000-0005-0000-0000-000072410000}"/>
    <cellStyle name="Normal 4 4 3 2 3 2 2 3 2 3" xfId="17789" xr:uid="{00000000-0005-0000-0000-000073410000}"/>
    <cellStyle name="Normal 4 4 3 2 3 2 2 3 2 3 2" xfId="42365" xr:uid="{00000000-0005-0000-0000-000074410000}"/>
    <cellStyle name="Normal 4 4 3 2 3 2 2 3 2 4" xfId="30077" xr:uid="{00000000-0005-0000-0000-000075410000}"/>
    <cellStyle name="Normal 4 4 3 2 3 2 2 3 3" xfId="8573" xr:uid="{00000000-0005-0000-0000-000076410000}"/>
    <cellStyle name="Normal 4 4 3 2 3 2 2 3 3 2" xfId="20861" xr:uid="{00000000-0005-0000-0000-000077410000}"/>
    <cellStyle name="Normal 4 4 3 2 3 2 2 3 3 2 2" xfId="45437" xr:uid="{00000000-0005-0000-0000-000078410000}"/>
    <cellStyle name="Normal 4 4 3 2 3 2 2 3 3 3" xfId="33149" xr:uid="{00000000-0005-0000-0000-000079410000}"/>
    <cellStyle name="Normal 4 4 3 2 3 2 2 3 4" xfId="14717" xr:uid="{00000000-0005-0000-0000-00007A410000}"/>
    <cellStyle name="Normal 4 4 3 2 3 2 2 3 4 2" xfId="39293" xr:uid="{00000000-0005-0000-0000-00007B410000}"/>
    <cellStyle name="Normal 4 4 3 2 3 2 2 3 5" xfId="27005" xr:uid="{00000000-0005-0000-0000-00007C410000}"/>
    <cellStyle name="Normal 4 4 3 2 3 2 2 4" xfId="3965" xr:uid="{00000000-0005-0000-0000-00007D410000}"/>
    <cellStyle name="Normal 4 4 3 2 3 2 2 4 2" xfId="10109" xr:uid="{00000000-0005-0000-0000-00007E410000}"/>
    <cellStyle name="Normal 4 4 3 2 3 2 2 4 2 2" xfId="22397" xr:uid="{00000000-0005-0000-0000-00007F410000}"/>
    <cellStyle name="Normal 4 4 3 2 3 2 2 4 2 2 2" xfId="46973" xr:uid="{00000000-0005-0000-0000-000080410000}"/>
    <cellStyle name="Normal 4 4 3 2 3 2 2 4 2 3" xfId="34685" xr:uid="{00000000-0005-0000-0000-000081410000}"/>
    <cellStyle name="Normal 4 4 3 2 3 2 2 4 3" xfId="16253" xr:uid="{00000000-0005-0000-0000-000082410000}"/>
    <cellStyle name="Normal 4 4 3 2 3 2 2 4 3 2" xfId="40829" xr:uid="{00000000-0005-0000-0000-000083410000}"/>
    <cellStyle name="Normal 4 4 3 2 3 2 2 4 4" xfId="28541" xr:uid="{00000000-0005-0000-0000-000084410000}"/>
    <cellStyle name="Normal 4 4 3 2 3 2 2 5" xfId="7037" xr:uid="{00000000-0005-0000-0000-000085410000}"/>
    <cellStyle name="Normal 4 4 3 2 3 2 2 5 2" xfId="19325" xr:uid="{00000000-0005-0000-0000-000086410000}"/>
    <cellStyle name="Normal 4 4 3 2 3 2 2 5 2 2" xfId="43901" xr:uid="{00000000-0005-0000-0000-000087410000}"/>
    <cellStyle name="Normal 4 4 3 2 3 2 2 5 3" xfId="31613" xr:uid="{00000000-0005-0000-0000-000088410000}"/>
    <cellStyle name="Normal 4 4 3 2 3 2 2 6" xfId="13181" xr:uid="{00000000-0005-0000-0000-000089410000}"/>
    <cellStyle name="Normal 4 4 3 2 3 2 2 6 2" xfId="37757" xr:uid="{00000000-0005-0000-0000-00008A410000}"/>
    <cellStyle name="Normal 4 4 3 2 3 2 2 7" xfId="25469" xr:uid="{00000000-0005-0000-0000-00008B410000}"/>
    <cellStyle name="Normal 4 4 3 2 3 2 3" xfId="1273" xr:uid="{00000000-0005-0000-0000-00008C410000}"/>
    <cellStyle name="Normal 4 4 3 2 3 2 3 2" xfId="2809" xr:uid="{00000000-0005-0000-0000-00008D410000}"/>
    <cellStyle name="Normal 4 4 3 2 3 2 3 2 2" xfId="5885" xr:uid="{00000000-0005-0000-0000-00008E410000}"/>
    <cellStyle name="Normal 4 4 3 2 3 2 3 2 2 2" xfId="12029" xr:uid="{00000000-0005-0000-0000-00008F410000}"/>
    <cellStyle name="Normal 4 4 3 2 3 2 3 2 2 2 2" xfId="24317" xr:uid="{00000000-0005-0000-0000-000090410000}"/>
    <cellStyle name="Normal 4 4 3 2 3 2 3 2 2 2 2 2" xfId="48893" xr:uid="{00000000-0005-0000-0000-000091410000}"/>
    <cellStyle name="Normal 4 4 3 2 3 2 3 2 2 2 3" xfId="36605" xr:uid="{00000000-0005-0000-0000-000092410000}"/>
    <cellStyle name="Normal 4 4 3 2 3 2 3 2 2 3" xfId="18173" xr:uid="{00000000-0005-0000-0000-000093410000}"/>
    <cellStyle name="Normal 4 4 3 2 3 2 3 2 2 3 2" xfId="42749" xr:uid="{00000000-0005-0000-0000-000094410000}"/>
    <cellStyle name="Normal 4 4 3 2 3 2 3 2 2 4" xfId="30461" xr:uid="{00000000-0005-0000-0000-000095410000}"/>
    <cellStyle name="Normal 4 4 3 2 3 2 3 2 3" xfId="8957" xr:uid="{00000000-0005-0000-0000-000096410000}"/>
    <cellStyle name="Normal 4 4 3 2 3 2 3 2 3 2" xfId="21245" xr:uid="{00000000-0005-0000-0000-000097410000}"/>
    <cellStyle name="Normal 4 4 3 2 3 2 3 2 3 2 2" xfId="45821" xr:uid="{00000000-0005-0000-0000-000098410000}"/>
    <cellStyle name="Normal 4 4 3 2 3 2 3 2 3 3" xfId="33533" xr:uid="{00000000-0005-0000-0000-000099410000}"/>
    <cellStyle name="Normal 4 4 3 2 3 2 3 2 4" xfId="15101" xr:uid="{00000000-0005-0000-0000-00009A410000}"/>
    <cellStyle name="Normal 4 4 3 2 3 2 3 2 4 2" xfId="39677" xr:uid="{00000000-0005-0000-0000-00009B410000}"/>
    <cellStyle name="Normal 4 4 3 2 3 2 3 2 5" xfId="27389" xr:uid="{00000000-0005-0000-0000-00009C410000}"/>
    <cellStyle name="Normal 4 4 3 2 3 2 3 3" xfId="4349" xr:uid="{00000000-0005-0000-0000-00009D410000}"/>
    <cellStyle name="Normal 4 4 3 2 3 2 3 3 2" xfId="10493" xr:uid="{00000000-0005-0000-0000-00009E410000}"/>
    <cellStyle name="Normal 4 4 3 2 3 2 3 3 2 2" xfId="22781" xr:uid="{00000000-0005-0000-0000-00009F410000}"/>
    <cellStyle name="Normal 4 4 3 2 3 2 3 3 2 2 2" xfId="47357" xr:uid="{00000000-0005-0000-0000-0000A0410000}"/>
    <cellStyle name="Normal 4 4 3 2 3 2 3 3 2 3" xfId="35069" xr:uid="{00000000-0005-0000-0000-0000A1410000}"/>
    <cellStyle name="Normal 4 4 3 2 3 2 3 3 3" xfId="16637" xr:uid="{00000000-0005-0000-0000-0000A2410000}"/>
    <cellStyle name="Normal 4 4 3 2 3 2 3 3 3 2" xfId="41213" xr:uid="{00000000-0005-0000-0000-0000A3410000}"/>
    <cellStyle name="Normal 4 4 3 2 3 2 3 3 4" xfId="28925" xr:uid="{00000000-0005-0000-0000-0000A4410000}"/>
    <cellStyle name="Normal 4 4 3 2 3 2 3 4" xfId="7421" xr:uid="{00000000-0005-0000-0000-0000A5410000}"/>
    <cellStyle name="Normal 4 4 3 2 3 2 3 4 2" xfId="19709" xr:uid="{00000000-0005-0000-0000-0000A6410000}"/>
    <cellStyle name="Normal 4 4 3 2 3 2 3 4 2 2" xfId="44285" xr:uid="{00000000-0005-0000-0000-0000A7410000}"/>
    <cellStyle name="Normal 4 4 3 2 3 2 3 4 3" xfId="31997" xr:uid="{00000000-0005-0000-0000-0000A8410000}"/>
    <cellStyle name="Normal 4 4 3 2 3 2 3 5" xfId="13565" xr:uid="{00000000-0005-0000-0000-0000A9410000}"/>
    <cellStyle name="Normal 4 4 3 2 3 2 3 5 2" xfId="38141" xr:uid="{00000000-0005-0000-0000-0000AA410000}"/>
    <cellStyle name="Normal 4 4 3 2 3 2 3 6" xfId="25853" xr:uid="{00000000-0005-0000-0000-0000AB410000}"/>
    <cellStyle name="Normal 4 4 3 2 3 2 4" xfId="2041" xr:uid="{00000000-0005-0000-0000-0000AC410000}"/>
    <cellStyle name="Normal 4 4 3 2 3 2 4 2" xfId="5117" xr:uid="{00000000-0005-0000-0000-0000AD410000}"/>
    <cellStyle name="Normal 4 4 3 2 3 2 4 2 2" xfId="11261" xr:uid="{00000000-0005-0000-0000-0000AE410000}"/>
    <cellStyle name="Normal 4 4 3 2 3 2 4 2 2 2" xfId="23549" xr:uid="{00000000-0005-0000-0000-0000AF410000}"/>
    <cellStyle name="Normal 4 4 3 2 3 2 4 2 2 2 2" xfId="48125" xr:uid="{00000000-0005-0000-0000-0000B0410000}"/>
    <cellStyle name="Normal 4 4 3 2 3 2 4 2 2 3" xfId="35837" xr:uid="{00000000-0005-0000-0000-0000B1410000}"/>
    <cellStyle name="Normal 4 4 3 2 3 2 4 2 3" xfId="17405" xr:uid="{00000000-0005-0000-0000-0000B2410000}"/>
    <cellStyle name="Normal 4 4 3 2 3 2 4 2 3 2" xfId="41981" xr:uid="{00000000-0005-0000-0000-0000B3410000}"/>
    <cellStyle name="Normal 4 4 3 2 3 2 4 2 4" xfId="29693" xr:uid="{00000000-0005-0000-0000-0000B4410000}"/>
    <cellStyle name="Normal 4 4 3 2 3 2 4 3" xfId="8189" xr:uid="{00000000-0005-0000-0000-0000B5410000}"/>
    <cellStyle name="Normal 4 4 3 2 3 2 4 3 2" xfId="20477" xr:uid="{00000000-0005-0000-0000-0000B6410000}"/>
    <cellStyle name="Normal 4 4 3 2 3 2 4 3 2 2" xfId="45053" xr:uid="{00000000-0005-0000-0000-0000B7410000}"/>
    <cellStyle name="Normal 4 4 3 2 3 2 4 3 3" xfId="32765" xr:uid="{00000000-0005-0000-0000-0000B8410000}"/>
    <cellStyle name="Normal 4 4 3 2 3 2 4 4" xfId="14333" xr:uid="{00000000-0005-0000-0000-0000B9410000}"/>
    <cellStyle name="Normal 4 4 3 2 3 2 4 4 2" xfId="38909" xr:uid="{00000000-0005-0000-0000-0000BA410000}"/>
    <cellStyle name="Normal 4 4 3 2 3 2 4 5" xfId="26621" xr:uid="{00000000-0005-0000-0000-0000BB410000}"/>
    <cellStyle name="Normal 4 4 3 2 3 2 5" xfId="3581" xr:uid="{00000000-0005-0000-0000-0000BC410000}"/>
    <cellStyle name="Normal 4 4 3 2 3 2 5 2" xfId="9725" xr:uid="{00000000-0005-0000-0000-0000BD410000}"/>
    <cellStyle name="Normal 4 4 3 2 3 2 5 2 2" xfId="22013" xr:uid="{00000000-0005-0000-0000-0000BE410000}"/>
    <cellStyle name="Normal 4 4 3 2 3 2 5 2 2 2" xfId="46589" xr:uid="{00000000-0005-0000-0000-0000BF410000}"/>
    <cellStyle name="Normal 4 4 3 2 3 2 5 2 3" xfId="34301" xr:uid="{00000000-0005-0000-0000-0000C0410000}"/>
    <cellStyle name="Normal 4 4 3 2 3 2 5 3" xfId="15869" xr:uid="{00000000-0005-0000-0000-0000C1410000}"/>
    <cellStyle name="Normal 4 4 3 2 3 2 5 3 2" xfId="40445" xr:uid="{00000000-0005-0000-0000-0000C2410000}"/>
    <cellStyle name="Normal 4 4 3 2 3 2 5 4" xfId="28157" xr:uid="{00000000-0005-0000-0000-0000C3410000}"/>
    <cellStyle name="Normal 4 4 3 2 3 2 6" xfId="6653" xr:uid="{00000000-0005-0000-0000-0000C4410000}"/>
    <cellStyle name="Normal 4 4 3 2 3 2 6 2" xfId="18941" xr:uid="{00000000-0005-0000-0000-0000C5410000}"/>
    <cellStyle name="Normal 4 4 3 2 3 2 6 2 2" xfId="43517" xr:uid="{00000000-0005-0000-0000-0000C6410000}"/>
    <cellStyle name="Normal 4 4 3 2 3 2 6 3" xfId="31229" xr:uid="{00000000-0005-0000-0000-0000C7410000}"/>
    <cellStyle name="Normal 4 4 3 2 3 2 7" xfId="12797" xr:uid="{00000000-0005-0000-0000-0000C8410000}"/>
    <cellStyle name="Normal 4 4 3 2 3 2 7 2" xfId="37373" xr:uid="{00000000-0005-0000-0000-0000C9410000}"/>
    <cellStyle name="Normal 4 4 3 2 3 2 8" xfId="25085" xr:uid="{00000000-0005-0000-0000-0000CA410000}"/>
    <cellStyle name="Normal 4 4 3 2 3 3" xfId="697" xr:uid="{00000000-0005-0000-0000-0000CB410000}"/>
    <cellStyle name="Normal 4 4 3 2 3 3 2" xfId="1465" xr:uid="{00000000-0005-0000-0000-0000CC410000}"/>
    <cellStyle name="Normal 4 4 3 2 3 3 2 2" xfId="3001" xr:uid="{00000000-0005-0000-0000-0000CD410000}"/>
    <cellStyle name="Normal 4 4 3 2 3 3 2 2 2" xfId="6077" xr:uid="{00000000-0005-0000-0000-0000CE410000}"/>
    <cellStyle name="Normal 4 4 3 2 3 3 2 2 2 2" xfId="12221" xr:uid="{00000000-0005-0000-0000-0000CF410000}"/>
    <cellStyle name="Normal 4 4 3 2 3 3 2 2 2 2 2" xfId="24509" xr:uid="{00000000-0005-0000-0000-0000D0410000}"/>
    <cellStyle name="Normal 4 4 3 2 3 3 2 2 2 2 2 2" xfId="49085" xr:uid="{00000000-0005-0000-0000-0000D1410000}"/>
    <cellStyle name="Normal 4 4 3 2 3 3 2 2 2 2 3" xfId="36797" xr:uid="{00000000-0005-0000-0000-0000D2410000}"/>
    <cellStyle name="Normal 4 4 3 2 3 3 2 2 2 3" xfId="18365" xr:uid="{00000000-0005-0000-0000-0000D3410000}"/>
    <cellStyle name="Normal 4 4 3 2 3 3 2 2 2 3 2" xfId="42941" xr:uid="{00000000-0005-0000-0000-0000D4410000}"/>
    <cellStyle name="Normal 4 4 3 2 3 3 2 2 2 4" xfId="30653" xr:uid="{00000000-0005-0000-0000-0000D5410000}"/>
    <cellStyle name="Normal 4 4 3 2 3 3 2 2 3" xfId="9149" xr:uid="{00000000-0005-0000-0000-0000D6410000}"/>
    <cellStyle name="Normal 4 4 3 2 3 3 2 2 3 2" xfId="21437" xr:uid="{00000000-0005-0000-0000-0000D7410000}"/>
    <cellStyle name="Normal 4 4 3 2 3 3 2 2 3 2 2" xfId="46013" xr:uid="{00000000-0005-0000-0000-0000D8410000}"/>
    <cellStyle name="Normal 4 4 3 2 3 3 2 2 3 3" xfId="33725" xr:uid="{00000000-0005-0000-0000-0000D9410000}"/>
    <cellStyle name="Normal 4 4 3 2 3 3 2 2 4" xfId="15293" xr:uid="{00000000-0005-0000-0000-0000DA410000}"/>
    <cellStyle name="Normal 4 4 3 2 3 3 2 2 4 2" xfId="39869" xr:uid="{00000000-0005-0000-0000-0000DB410000}"/>
    <cellStyle name="Normal 4 4 3 2 3 3 2 2 5" xfId="27581" xr:uid="{00000000-0005-0000-0000-0000DC410000}"/>
    <cellStyle name="Normal 4 4 3 2 3 3 2 3" xfId="4541" xr:uid="{00000000-0005-0000-0000-0000DD410000}"/>
    <cellStyle name="Normal 4 4 3 2 3 3 2 3 2" xfId="10685" xr:uid="{00000000-0005-0000-0000-0000DE410000}"/>
    <cellStyle name="Normal 4 4 3 2 3 3 2 3 2 2" xfId="22973" xr:uid="{00000000-0005-0000-0000-0000DF410000}"/>
    <cellStyle name="Normal 4 4 3 2 3 3 2 3 2 2 2" xfId="47549" xr:uid="{00000000-0005-0000-0000-0000E0410000}"/>
    <cellStyle name="Normal 4 4 3 2 3 3 2 3 2 3" xfId="35261" xr:uid="{00000000-0005-0000-0000-0000E1410000}"/>
    <cellStyle name="Normal 4 4 3 2 3 3 2 3 3" xfId="16829" xr:uid="{00000000-0005-0000-0000-0000E2410000}"/>
    <cellStyle name="Normal 4 4 3 2 3 3 2 3 3 2" xfId="41405" xr:uid="{00000000-0005-0000-0000-0000E3410000}"/>
    <cellStyle name="Normal 4 4 3 2 3 3 2 3 4" xfId="29117" xr:uid="{00000000-0005-0000-0000-0000E4410000}"/>
    <cellStyle name="Normal 4 4 3 2 3 3 2 4" xfId="7613" xr:uid="{00000000-0005-0000-0000-0000E5410000}"/>
    <cellStyle name="Normal 4 4 3 2 3 3 2 4 2" xfId="19901" xr:uid="{00000000-0005-0000-0000-0000E6410000}"/>
    <cellStyle name="Normal 4 4 3 2 3 3 2 4 2 2" xfId="44477" xr:uid="{00000000-0005-0000-0000-0000E7410000}"/>
    <cellStyle name="Normal 4 4 3 2 3 3 2 4 3" xfId="32189" xr:uid="{00000000-0005-0000-0000-0000E8410000}"/>
    <cellStyle name="Normal 4 4 3 2 3 3 2 5" xfId="13757" xr:uid="{00000000-0005-0000-0000-0000E9410000}"/>
    <cellStyle name="Normal 4 4 3 2 3 3 2 5 2" xfId="38333" xr:uid="{00000000-0005-0000-0000-0000EA410000}"/>
    <cellStyle name="Normal 4 4 3 2 3 3 2 6" xfId="26045" xr:uid="{00000000-0005-0000-0000-0000EB410000}"/>
    <cellStyle name="Normal 4 4 3 2 3 3 3" xfId="2233" xr:uid="{00000000-0005-0000-0000-0000EC410000}"/>
    <cellStyle name="Normal 4 4 3 2 3 3 3 2" xfId="5309" xr:uid="{00000000-0005-0000-0000-0000ED410000}"/>
    <cellStyle name="Normal 4 4 3 2 3 3 3 2 2" xfId="11453" xr:uid="{00000000-0005-0000-0000-0000EE410000}"/>
    <cellStyle name="Normal 4 4 3 2 3 3 3 2 2 2" xfId="23741" xr:uid="{00000000-0005-0000-0000-0000EF410000}"/>
    <cellStyle name="Normal 4 4 3 2 3 3 3 2 2 2 2" xfId="48317" xr:uid="{00000000-0005-0000-0000-0000F0410000}"/>
    <cellStyle name="Normal 4 4 3 2 3 3 3 2 2 3" xfId="36029" xr:uid="{00000000-0005-0000-0000-0000F1410000}"/>
    <cellStyle name="Normal 4 4 3 2 3 3 3 2 3" xfId="17597" xr:uid="{00000000-0005-0000-0000-0000F2410000}"/>
    <cellStyle name="Normal 4 4 3 2 3 3 3 2 3 2" xfId="42173" xr:uid="{00000000-0005-0000-0000-0000F3410000}"/>
    <cellStyle name="Normal 4 4 3 2 3 3 3 2 4" xfId="29885" xr:uid="{00000000-0005-0000-0000-0000F4410000}"/>
    <cellStyle name="Normal 4 4 3 2 3 3 3 3" xfId="8381" xr:uid="{00000000-0005-0000-0000-0000F5410000}"/>
    <cellStyle name="Normal 4 4 3 2 3 3 3 3 2" xfId="20669" xr:uid="{00000000-0005-0000-0000-0000F6410000}"/>
    <cellStyle name="Normal 4 4 3 2 3 3 3 3 2 2" xfId="45245" xr:uid="{00000000-0005-0000-0000-0000F7410000}"/>
    <cellStyle name="Normal 4 4 3 2 3 3 3 3 3" xfId="32957" xr:uid="{00000000-0005-0000-0000-0000F8410000}"/>
    <cellStyle name="Normal 4 4 3 2 3 3 3 4" xfId="14525" xr:uid="{00000000-0005-0000-0000-0000F9410000}"/>
    <cellStyle name="Normal 4 4 3 2 3 3 3 4 2" xfId="39101" xr:uid="{00000000-0005-0000-0000-0000FA410000}"/>
    <cellStyle name="Normal 4 4 3 2 3 3 3 5" xfId="26813" xr:uid="{00000000-0005-0000-0000-0000FB410000}"/>
    <cellStyle name="Normal 4 4 3 2 3 3 4" xfId="3773" xr:uid="{00000000-0005-0000-0000-0000FC410000}"/>
    <cellStyle name="Normal 4 4 3 2 3 3 4 2" xfId="9917" xr:uid="{00000000-0005-0000-0000-0000FD410000}"/>
    <cellStyle name="Normal 4 4 3 2 3 3 4 2 2" xfId="22205" xr:uid="{00000000-0005-0000-0000-0000FE410000}"/>
    <cellStyle name="Normal 4 4 3 2 3 3 4 2 2 2" xfId="46781" xr:uid="{00000000-0005-0000-0000-0000FF410000}"/>
    <cellStyle name="Normal 4 4 3 2 3 3 4 2 3" xfId="34493" xr:uid="{00000000-0005-0000-0000-000000420000}"/>
    <cellStyle name="Normal 4 4 3 2 3 3 4 3" xfId="16061" xr:uid="{00000000-0005-0000-0000-000001420000}"/>
    <cellStyle name="Normal 4 4 3 2 3 3 4 3 2" xfId="40637" xr:uid="{00000000-0005-0000-0000-000002420000}"/>
    <cellStyle name="Normal 4 4 3 2 3 3 4 4" xfId="28349" xr:uid="{00000000-0005-0000-0000-000003420000}"/>
    <cellStyle name="Normal 4 4 3 2 3 3 5" xfId="6845" xr:uid="{00000000-0005-0000-0000-000004420000}"/>
    <cellStyle name="Normal 4 4 3 2 3 3 5 2" xfId="19133" xr:uid="{00000000-0005-0000-0000-000005420000}"/>
    <cellStyle name="Normal 4 4 3 2 3 3 5 2 2" xfId="43709" xr:uid="{00000000-0005-0000-0000-000006420000}"/>
    <cellStyle name="Normal 4 4 3 2 3 3 5 3" xfId="31421" xr:uid="{00000000-0005-0000-0000-000007420000}"/>
    <cellStyle name="Normal 4 4 3 2 3 3 6" xfId="12989" xr:uid="{00000000-0005-0000-0000-000008420000}"/>
    <cellStyle name="Normal 4 4 3 2 3 3 6 2" xfId="37565" xr:uid="{00000000-0005-0000-0000-000009420000}"/>
    <cellStyle name="Normal 4 4 3 2 3 3 7" xfId="25277" xr:uid="{00000000-0005-0000-0000-00000A420000}"/>
    <cellStyle name="Normal 4 4 3 2 3 4" xfId="1081" xr:uid="{00000000-0005-0000-0000-00000B420000}"/>
    <cellStyle name="Normal 4 4 3 2 3 4 2" xfId="2617" xr:uid="{00000000-0005-0000-0000-00000C420000}"/>
    <cellStyle name="Normal 4 4 3 2 3 4 2 2" xfId="5693" xr:uid="{00000000-0005-0000-0000-00000D420000}"/>
    <cellStyle name="Normal 4 4 3 2 3 4 2 2 2" xfId="11837" xr:uid="{00000000-0005-0000-0000-00000E420000}"/>
    <cellStyle name="Normal 4 4 3 2 3 4 2 2 2 2" xfId="24125" xr:uid="{00000000-0005-0000-0000-00000F420000}"/>
    <cellStyle name="Normal 4 4 3 2 3 4 2 2 2 2 2" xfId="48701" xr:uid="{00000000-0005-0000-0000-000010420000}"/>
    <cellStyle name="Normal 4 4 3 2 3 4 2 2 2 3" xfId="36413" xr:uid="{00000000-0005-0000-0000-000011420000}"/>
    <cellStyle name="Normal 4 4 3 2 3 4 2 2 3" xfId="17981" xr:uid="{00000000-0005-0000-0000-000012420000}"/>
    <cellStyle name="Normal 4 4 3 2 3 4 2 2 3 2" xfId="42557" xr:uid="{00000000-0005-0000-0000-000013420000}"/>
    <cellStyle name="Normal 4 4 3 2 3 4 2 2 4" xfId="30269" xr:uid="{00000000-0005-0000-0000-000014420000}"/>
    <cellStyle name="Normal 4 4 3 2 3 4 2 3" xfId="8765" xr:uid="{00000000-0005-0000-0000-000015420000}"/>
    <cellStyle name="Normal 4 4 3 2 3 4 2 3 2" xfId="21053" xr:uid="{00000000-0005-0000-0000-000016420000}"/>
    <cellStyle name="Normal 4 4 3 2 3 4 2 3 2 2" xfId="45629" xr:uid="{00000000-0005-0000-0000-000017420000}"/>
    <cellStyle name="Normal 4 4 3 2 3 4 2 3 3" xfId="33341" xr:uid="{00000000-0005-0000-0000-000018420000}"/>
    <cellStyle name="Normal 4 4 3 2 3 4 2 4" xfId="14909" xr:uid="{00000000-0005-0000-0000-000019420000}"/>
    <cellStyle name="Normal 4 4 3 2 3 4 2 4 2" xfId="39485" xr:uid="{00000000-0005-0000-0000-00001A420000}"/>
    <cellStyle name="Normal 4 4 3 2 3 4 2 5" xfId="27197" xr:uid="{00000000-0005-0000-0000-00001B420000}"/>
    <cellStyle name="Normal 4 4 3 2 3 4 3" xfId="4157" xr:uid="{00000000-0005-0000-0000-00001C420000}"/>
    <cellStyle name="Normal 4 4 3 2 3 4 3 2" xfId="10301" xr:uid="{00000000-0005-0000-0000-00001D420000}"/>
    <cellStyle name="Normal 4 4 3 2 3 4 3 2 2" xfId="22589" xr:uid="{00000000-0005-0000-0000-00001E420000}"/>
    <cellStyle name="Normal 4 4 3 2 3 4 3 2 2 2" xfId="47165" xr:uid="{00000000-0005-0000-0000-00001F420000}"/>
    <cellStyle name="Normal 4 4 3 2 3 4 3 2 3" xfId="34877" xr:uid="{00000000-0005-0000-0000-000020420000}"/>
    <cellStyle name="Normal 4 4 3 2 3 4 3 3" xfId="16445" xr:uid="{00000000-0005-0000-0000-000021420000}"/>
    <cellStyle name="Normal 4 4 3 2 3 4 3 3 2" xfId="41021" xr:uid="{00000000-0005-0000-0000-000022420000}"/>
    <cellStyle name="Normal 4 4 3 2 3 4 3 4" xfId="28733" xr:uid="{00000000-0005-0000-0000-000023420000}"/>
    <cellStyle name="Normal 4 4 3 2 3 4 4" xfId="7229" xr:uid="{00000000-0005-0000-0000-000024420000}"/>
    <cellStyle name="Normal 4 4 3 2 3 4 4 2" xfId="19517" xr:uid="{00000000-0005-0000-0000-000025420000}"/>
    <cellStyle name="Normal 4 4 3 2 3 4 4 2 2" xfId="44093" xr:uid="{00000000-0005-0000-0000-000026420000}"/>
    <cellStyle name="Normal 4 4 3 2 3 4 4 3" xfId="31805" xr:uid="{00000000-0005-0000-0000-000027420000}"/>
    <cellStyle name="Normal 4 4 3 2 3 4 5" xfId="13373" xr:uid="{00000000-0005-0000-0000-000028420000}"/>
    <cellStyle name="Normal 4 4 3 2 3 4 5 2" xfId="37949" xr:uid="{00000000-0005-0000-0000-000029420000}"/>
    <cellStyle name="Normal 4 4 3 2 3 4 6" xfId="25661" xr:uid="{00000000-0005-0000-0000-00002A420000}"/>
    <cellStyle name="Normal 4 4 3 2 3 5" xfId="1849" xr:uid="{00000000-0005-0000-0000-00002B420000}"/>
    <cellStyle name="Normal 4 4 3 2 3 5 2" xfId="4925" xr:uid="{00000000-0005-0000-0000-00002C420000}"/>
    <cellStyle name="Normal 4 4 3 2 3 5 2 2" xfId="11069" xr:uid="{00000000-0005-0000-0000-00002D420000}"/>
    <cellStyle name="Normal 4 4 3 2 3 5 2 2 2" xfId="23357" xr:uid="{00000000-0005-0000-0000-00002E420000}"/>
    <cellStyle name="Normal 4 4 3 2 3 5 2 2 2 2" xfId="47933" xr:uid="{00000000-0005-0000-0000-00002F420000}"/>
    <cellStyle name="Normal 4 4 3 2 3 5 2 2 3" xfId="35645" xr:uid="{00000000-0005-0000-0000-000030420000}"/>
    <cellStyle name="Normal 4 4 3 2 3 5 2 3" xfId="17213" xr:uid="{00000000-0005-0000-0000-000031420000}"/>
    <cellStyle name="Normal 4 4 3 2 3 5 2 3 2" xfId="41789" xr:uid="{00000000-0005-0000-0000-000032420000}"/>
    <cellStyle name="Normal 4 4 3 2 3 5 2 4" xfId="29501" xr:uid="{00000000-0005-0000-0000-000033420000}"/>
    <cellStyle name="Normal 4 4 3 2 3 5 3" xfId="7997" xr:uid="{00000000-0005-0000-0000-000034420000}"/>
    <cellStyle name="Normal 4 4 3 2 3 5 3 2" xfId="20285" xr:uid="{00000000-0005-0000-0000-000035420000}"/>
    <cellStyle name="Normal 4 4 3 2 3 5 3 2 2" xfId="44861" xr:uid="{00000000-0005-0000-0000-000036420000}"/>
    <cellStyle name="Normal 4 4 3 2 3 5 3 3" xfId="32573" xr:uid="{00000000-0005-0000-0000-000037420000}"/>
    <cellStyle name="Normal 4 4 3 2 3 5 4" xfId="14141" xr:uid="{00000000-0005-0000-0000-000038420000}"/>
    <cellStyle name="Normal 4 4 3 2 3 5 4 2" xfId="38717" xr:uid="{00000000-0005-0000-0000-000039420000}"/>
    <cellStyle name="Normal 4 4 3 2 3 5 5" xfId="26429" xr:uid="{00000000-0005-0000-0000-00003A420000}"/>
    <cellStyle name="Normal 4 4 3 2 3 6" xfId="3389" xr:uid="{00000000-0005-0000-0000-00003B420000}"/>
    <cellStyle name="Normal 4 4 3 2 3 6 2" xfId="9533" xr:uid="{00000000-0005-0000-0000-00003C420000}"/>
    <cellStyle name="Normal 4 4 3 2 3 6 2 2" xfId="21821" xr:uid="{00000000-0005-0000-0000-00003D420000}"/>
    <cellStyle name="Normal 4 4 3 2 3 6 2 2 2" xfId="46397" xr:uid="{00000000-0005-0000-0000-00003E420000}"/>
    <cellStyle name="Normal 4 4 3 2 3 6 2 3" xfId="34109" xr:uid="{00000000-0005-0000-0000-00003F420000}"/>
    <cellStyle name="Normal 4 4 3 2 3 6 3" xfId="15677" xr:uid="{00000000-0005-0000-0000-000040420000}"/>
    <cellStyle name="Normal 4 4 3 2 3 6 3 2" xfId="40253" xr:uid="{00000000-0005-0000-0000-000041420000}"/>
    <cellStyle name="Normal 4 4 3 2 3 6 4" xfId="27965" xr:uid="{00000000-0005-0000-0000-000042420000}"/>
    <cellStyle name="Normal 4 4 3 2 3 7" xfId="6461" xr:uid="{00000000-0005-0000-0000-000043420000}"/>
    <cellStyle name="Normal 4 4 3 2 3 7 2" xfId="18749" xr:uid="{00000000-0005-0000-0000-000044420000}"/>
    <cellStyle name="Normal 4 4 3 2 3 7 2 2" xfId="43325" xr:uid="{00000000-0005-0000-0000-000045420000}"/>
    <cellStyle name="Normal 4 4 3 2 3 7 3" xfId="31037" xr:uid="{00000000-0005-0000-0000-000046420000}"/>
    <cellStyle name="Normal 4 4 3 2 3 8" xfId="12605" xr:uid="{00000000-0005-0000-0000-000047420000}"/>
    <cellStyle name="Normal 4 4 3 2 3 8 2" xfId="37181" xr:uid="{00000000-0005-0000-0000-000048420000}"/>
    <cellStyle name="Normal 4 4 3 2 3 9" xfId="24893" xr:uid="{00000000-0005-0000-0000-000049420000}"/>
    <cellStyle name="Normal 4 4 3 2 4" xfId="377" xr:uid="{00000000-0005-0000-0000-00004A420000}"/>
    <cellStyle name="Normal 4 4 3 2 4 2" xfId="761" xr:uid="{00000000-0005-0000-0000-00004B420000}"/>
    <cellStyle name="Normal 4 4 3 2 4 2 2" xfId="1529" xr:uid="{00000000-0005-0000-0000-00004C420000}"/>
    <cellStyle name="Normal 4 4 3 2 4 2 2 2" xfId="3065" xr:uid="{00000000-0005-0000-0000-00004D420000}"/>
    <cellStyle name="Normal 4 4 3 2 4 2 2 2 2" xfId="6141" xr:uid="{00000000-0005-0000-0000-00004E420000}"/>
    <cellStyle name="Normal 4 4 3 2 4 2 2 2 2 2" xfId="12285" xr:uid="{00000000-0005-0000-0000-00004F420000}"/>
    <cellStyle name="Normal 4 4 3 2 4 2 2 2 2 2 2" xfId="24573" xr:uid="{00000000-0005-0000-0000-000050420000}"/>
    <cellStyle name="Normal 4 4 3 2 4 2 2 2 2 2 2 2" xfId="49149" xr:uid="{00000000-0005-0000-0000-000051420000}"/>
    <cellStyle name="Normal 4 4 3 2 4 2 2 2 2 2 3" xfId="36861" xr:uid="{00000000-0005-0000-0000-000052420000}"/>
    <cellStyle name="Normal 4 4 3 2 4 2 2 2 2 3" xfId="18429" xr:uid="{00000000-0005-0000-0000-000053420000}"/>
    <cellStyle name="Normal 4 4 3 2 4 2 2 2 2 3 2" xfId="43005" xr:uid="{00000000-0005-0000-0000-000054420000}"/>
    <cellStyle name="Normal 4 4 3 2 4 2 2 2 2 4" xfId="30717" xr:uid="{00000000-0005-0000-0000-000055420000}"/>
    <cellStyle name="Normal 4 4 3 2 4 2 2 2 3" xfId="9213" xr:uid="{00000000-0005-0000-0000-000056420000}"/>
    <cellStyle name="Normal 4 4 3 2 4 2 2 2 3 2" xfId="21501" xr:uid="{00000000-0005-0000-0000-000057420000}"/>
    <cellStyle name="Normal 4 4 3 2 4 2 2 2 3 2 2" xfId="46077" xr:uid="{00000000-0005-0000-0000-000058420000}"/>
    <cellStyle name="Normal 4 4 3 2 4 2 2 2 3 3" xfId="33789" xr:uid="{00000000-0005-0000-0000-000059420000}"/>
    <cellStyle name="Normal 4 4 3 2 4 2 2 2 4" xfId="15357" xr:uid="{00000000-0005-0000-0000-00005A420000}"/>
    <cellStyle name="Normal 4 4 3 2 4 2 2 2 4 2" xfId="39933" xr:uid="{00000000-0005-0000-0000-00005B420000}"/>
    <cellStyle name="Normal 4 4 3 2 4 2 2 2 5" xfId="27645" xr:uid="{00000000-0005-0000-0000-00005C420000}"/>
    <cellStyle name="Normal 4 4 3 2 4 2 2 3" xfId="4605" xr:uid="{00000000-0005-0000-0000-00005D420000}"/>
    <cellStyle name="Normal 4 4 3 2 4 2 2 3 2" xfId="10749" xr:uid="{00000000-0005-0000-0000-00005E420000}"/>
    <cellStyle name="Normal 4 4 3 2 4 2 2 3 2 2" xfId="23037" xr:uid="{00000000-0005-0000-0000-00005F420000}"/>
    <cellStyle name="Normal 4 4 3 2 4 2 2 3 2 2 2" xfId="47613" xr:uid="{00000000-0005-0000-0000-000060420000}"/>
    <cellStyle name="Normal 4 4 3 2 4 2 2 3 2 3" xfId="35325" xr:uid="{00000000-0005-0000-0000-000061420000}"/>
    <cellStyle name="Normal 4 4 3 2 4 2 2 3 3" xfId="16893" xr:uid="{00000000-0005-0000-0000-000062420000}"/>
    <cellStyle name="Normal 4 4 3 2 4 2 2 3 3 2" xfId="41469" xr:uid="{00000000-0005-0000-0000-000063420000}"/>
    <cellStyle name="Normal 4 4 3 2 4 2 2 3 4" xfId="29181" xr:uid="{00000000-0005-0000-0000-000064420000}"/>
    <cellStyle name="Normal 4 4 3 2 4 2 2 4" xfId="7677" xr:uid="{00000000-0005-0000-0000-000065420000}"/>
    <cellStyle name="Normal 4 4 3 2 4 2 2 4 2" xfId="19965" xr:uid="{00000000-0005-0000-0000-000066420000}"/>
    <cellStyle name="Normal 4 4 3 2 4 2 2 4 2 2" xfId="44541" xr:uid="{00000000-0005-0000-0000-000067420000}"/>
    <cellStyle name="Normal 4 4 3 2 4 2 2 4 3" xfId="32253" xr:uid="{00000000-0005-0000-0000-000068420000}"/>
    <cellStyle name="Normal 4 4 3 2 4 2 2 5" xfId="13821" xr:uid="{00000000-0005-0000-0000-000069420000}"/>
    <cellStyle name="Normal 4 4 3 2 4 2 2 5 2" xfId="38397" xr:uid="{00000000-0005-0000-0000-00006A420000}"/>
    <cellStyle name="Normal 4 4 3 2 4 2 2 6" xfId="26109" xr:uid="{00000000-0005-0000-0000-00006B420000}"/>
    <cellStyle name="Normal 4 4 3 2 4 2 3" xfId="2297" xr:uid="{00000000-0005-0000-0000-00006C420000}"/>
    <cellStyle name="Normal 4 4 3 2 4 2 3 2" xfId="5373" xr:uid="{00000000-0005-0000-0000-00006D420000}"/>
    <cellStyle name="Normal 4 4 3 2 4 2 3 2 2" xfId="11517" xr:uid="{00000000-0005-0000-0000-00006E420000}"/>
    <cellStyle name="Normal 4 4 3 2 4 2 3 2 2 2" xfId="23805" xr:uid="{00000000-0005-0000-0000-00006F420000}"/>
    <cellStyle name="Normal 4 4 3 2 4 2 3 2 2 2 2" xfId="48381" xr:uid="{00000000-0005-0000-0000-000070420000}"/>
    <cellStyle name="Normal 4 4 3 2 4 2 3 2 2 3" xfId="36093" xr:uid="{00000000-0005-0000-0000-000071420000}"/>
    <cellStyle name="Normal 4 4 3 2 4 2 3 2 3" xfId="17661" xr:uid="{00000000-0005-0000-0000-000072420000}"/>
    <cellStyle name="Normal 4 4 3 2 4 2 3 2 3 2" xfId="42237" xr:uid="{00000000-0005-0000-0000-000073420000}"/>
    <cellStyle name="Normal 4 4 3 2 4 2 3 2 4" xfId="29949" xr:uid="{00000000-0005-0000-0000-000074420000}"/>
    <cellStyle name="Normal 4 4 3 2 4 2 3 3" xfId="8445" xr:uid="{00000000-0005-0000-0000-000075420000}"/>
    <cellStyle name="Normal 4 4 3 2 4 2 3 3 2" xfId="20733" xr:uid="{00000000-0005-0000-0000-000076420000}"/>
    <cellStyle name="Normal 4 4 3 2 4 2 3 3 2 2" xfId="45309" xr:uid="{00000000-0005-0000-0000-000077420000}"/>
    <cellStyle name="Normal 4 4 3 2 4 2 3 3 3" xfId="33021" xr:uid="{00000000-0005-0000-0000-000078420000}"/>
    <cellStyle name="Normal 4 4 3 2 4 2 3 4" xfId="14589" xr:uid="{00000000-0005-0000-0000-000079420000}"/>
    <cellStyle name="Normal 4 4 3 2 4 2 3 4 2" xfId="39165" xr:uid="{00000000-0005-0000-0000-00007A420000}"/>
    <cellStyle name="Normal 4 4 3 2 4 2 3 5" xfId="26877" xr:uid="{00000000-0005-0000-0000-00007B420000}"/>
    <cellStyle name="Normal 4 4 3 2 4 2 4" xfId="3837" xr:uid="{00000000-0005-0000-0000-00007C420000}"/>
    <cellStyle name="Normal 4 4 3 2 4 2 4 2" xfId="9981" xr:uid="{00000000-0005-0000-0000-00007D420000}"/>
    <cellStyle name="Normal 4 4 3 2 4 2 4 2 2" xfId="22269" xr:uid="{00000000-0005-0000-0000-00007E420000}"/>
    <cellStyle name="Normal 4 4 3 2 4 2 4 2 2 2" xfId="46845" xr:uid="{00000000-0005-0000-0000-00007F420000}"/>
    <cellStyle name="Normal 4 4 3 2 4 2 4 2 3" xfId="34557" xr:uid="{00000000-0005-0000-0000-000080420000}"/>
    <cellStyle name="Normal 4 4 3 2 4 2 4 3" xfId="16125" xr:uid="{00000000-0005-0000-0000-000081420000}"/>
    <cellStyle name="Normal 4 4 3 2 4 2 4 3 2" xfId="40701" xr:uid="{00000000-0005-0000-0000-000082420000}"/>
    <cellStyle name="Normal 4 4 3 2 4 2 4 4" xfId="28413" xr:uid="{00000000-0005-0000-0000-000083420000}"/>
    <cellStyle name="Normal 4 4 3 2 4 2 5" xfId="6909" xr:uid="{00000000-0005-0000-0000-000084420000}"/>
    <cellStyle name="Normal 4 4 3 2 4 2 5 2" xfId="19197" xr:uid="{00000000-0005-0000-0000-000085420000}"/>
    <cellStyle name="Normal 4 4 3 2 4 2 5 2 2" xfId="43773" xr:uid="{00000000-0005-0000-0000-000086420000}"/>
    <cellStyle name="Normal 4 4 3 2 4 2 5 3" xfId="31485" xr:uid="{00000000-0005-0000-0000-000087420000}"/>
    <cellStyle name="Normal 4 4 3 2 4 2 6" xfId="13053" xr:uid="{00000000-0005-0000-0000-000088420000}"/>
    <cellStyle name="Normal 4 4 3 2 4 2 6 2" xfId="37629" xr:uid="{00000000-0005-0000-0000-000089420000}"/>
    <cellStyle name="Normal 4 4 3 2 4 2 7" xfId="25341" xr:uid="{00000000-0005-0000-0000-00008A420000}"/>
    <cellStyle name="Normal 4 4 3 2 4 3" xfId="1145" xr:uid="{00000000-0005-0000-0000-00008B420000}"/>
    <cellStyle name="Normal 4 4 3 2 4 3 2" xfId="2681" xr:uid="{00000000-0005-0000-0000-00008C420000}"/>
    <cellStyle name="Normal 4 4 3 2 4 3 2 2" xfId="5757" xr:uid="{00000000-0005-0000-0000-00008D420000}"/>
    <cellStyle name="Normal 4 4 3 2 4 3 2 2 2" xfId="11901" xr:uid="{00000000-0005-0000-0000-00008E420000}"/>
    <cellStyle name="Normal 4 4 3 2 4 3 2 2 2 2" xfId="24189" xr:uid="{00000000-0005-0000-0000-00008F420000}"/>
    <cellStyle name="Normal 4 4 3 2 4 3 2 2 2 2 2" xfId="48765" xr:uid="{00000000-0005-0000-0000-000090420000}"/>
    <cellStyle name="Normal 4 4 3 2 4 3 2 2 2 3" xfId="36477" xr:uid="{00000000-0005-0000-0000-000091420000}"/>
    <cellStyle name="Normal 4 4 3 2 4 3 2 2 3" xfId="18045" xr:uid="{00000000-0005-0000-0000-000092420000}"/>
    <cellStyle name="Normal 4 4 3 2 4 3 2 2 3 2" xfId="42621" xr:uid="{00000000-0005-0000-0000-000093420000}"/>
    <cellStyle name="Normal 4 4 3 2 4 3 2 2 4" xfId="30333" xr:uid="{00000000-0005-0000-0000-000094420000}"/>
    <cellStyle name="Normal 4 4 3 2 4 3 2 3" xfId="8829" xr:uid="{00000000-0005-0000-0000-000095420000}"/>
    <cellStyle name="Normal 4 4 3 2 4 3 2 3 2" xfId="21117" xr:uid="{00000000-0005-0000-0000-000096420000}"/>
    <cellStyle name="Normal 4 4 3 2 4 3 2 3 2 2" xfId="45693" xr:uid="{00000000-0005-0000-0000-000097420000}"/>
    <cellStyle name="Normal 4 4 3 2 4 3 2 3 3" xfId="33405" xr:uid="{00000000-0005-0000-0000-000098420000}"/>
    <cellStyle name="Normal 4 4 3 2 4 3 2 4" xfId="14973" xr:uid="{00000000-0005-0000-0000-000099420000}"/>
    <cellStyle name="Normal 4 4 3 2 4 3 2 4 2" xfId="39549" xr:uid="{00000000-0005-0000-0000-00009A420000}"/>
    <cellStyle name="Normal 4 4 3 2 4 3 2 5" xfId="27261" xr:uid="{00000000-0005-0000-0000-00009B420000}"/>
    <cellStyle name="Normal 4 4 3 2 4 3 3" xfId="4221" xr:uid="{00000000-0005-0000-0000-00009C420000}"/>
    <cellStyle name="Normal 4 4 3 2 4 3 3 2" xfId="10365" xr:uid="{00000000-0005-0000-0000-00009D420000}"/>
    <cellStyle name="Normal 4 4 3 2 4 3 3 2 2" xfId="22653" xr:uid="{00000000-0005-0000-0000-00009E420000}"/>
    <cellStyle name="Normal 4 4 3 2 4 3 3 2 2 2" xfId="47229" xr:uid="{00000000-0005-0000-0000-00009F420000}"/>
    <cellStyle name="Normal 4 4 3 2 4 3 3 2 3" xfId="34941" xr:uid="{00000000-0005-0000-0000-0000A0420000}"/>
    <cellStyle name="Normal 4 4 3 2 4 3 3 3" xfId="16509" xr:uid="{00000000-0005-0000-0000-0000A1420000}"/>
    <cellStyle name="Normal 4 4 3 2 4 3 3 3 2" xfId="41085" xr:uid="{00000000-0005-0000-0000-0000A2420000}"/>
    <cellStyle name="Normal 4 4 3 2 4 3 3 4" xfId="28797" xr:uid="{00000000-0005-0000-0000-0000A3420000}"/>
    <cellStyle name="Normal 4 4 3 2 4 3 4" xfId="7293" xr:uid="{00000000-0005-0000-0000-0000A4420000}"/>
    <cellStyle name="Normal 4 4 3 2 4 3 4 2" xfId="19581" xr:uid="{00000000-0005-0000-0000-0000A5420000}"/>
    <cellStyle name="Normal 4 4 3 2 4 3 4 2 2" xfId="44157" xr:uid="{00000000-0005-0000-0000-0000A6420000}"/>
    <cellStyle name="Normal 4 4 3 2 4 3 4 3" xfId="31869" xr:uid="{00000000-0005-0000-0000-0000A7420000}"/>
    <cellStyle name="Normal 4 4 3 2 4 3 5" xfId="13437" xr:uid="{00000000-0005-0000-0000-0000A8420000}"/>
    <cellStyle name="Normal 4 4 3 2 4 3 5 2" xfId="38013" xr:uid="{00000000-0005-0000-0000-0000A9420000}"/>
    <cellStyle name="Normal 4 4 3 2 4 3 6" xfId="25725" xr:uid="{00000000-0005-0000-0000-0000AA420000}"/>
    <cellStyle name="Normal 4 4 3 2 4 4" xfId="1913" xr:uid="{00000000-0005-0000-0000-0000AB420000}"/>
    <cellStyle name="Normal 4 4 3 2 4 4 2" xfId="4989" xr:uid="{00000000-0005-0000-0000-0000AC420000}"/>
    <cellStyle name="Normal 4 4 3 2 4 4 2 2" xfId="11133" xr:uid="{00000000-0005-0000-0000-0000AD420000}"/>
    <cellStyle name="Normal 4 4 3 2 4 4 2 2 2" xfId="23421" xr:uid="{00000000-0005-0000-0000-0000AE420000}"/>
    <cellStyle name="Normal 4 4 3 2 4 4 2 2 2 2" xfId="47997" xr:uid="{00000000-0005-0000-0000-0000AF420000}"/>
    <cellStyle name="Normal 4 4 3 2 4 4 2 2 3" xfId="35709" xr:uid="{00000000-0005-0000-0000-0000B0420000}"/>
    <cellStyle name="Normal 4 4 3 2 4 4 2 3" xfId="17277" xr:uid="{00000000-0005-0000-0000-0000B1420000}"/>
    <cellStyle name="Normal 4 4 3 2 4 4 2 3 2" xfId="41853" xr:uid="{00000000-0005-0000-0000-0000B2420000}"/>
    <cellStyle name="Normal 4 4 3 2 4 4 2 4" xfId="29565" xr:uid="{00000000-0005-0000-0000-0000B3420000}"/>
    <cellStyle name="Normal 4 4 3 2 4 4 3" xfId="8061" xr:uid="{00000000-0005-0000-0000-0000B4420000}"/>
    <cellStyle name="Normal 4 4 3 2 4 4 3 2" xfId="20349" xr:uid="{00000000-0005-0000-0000-0000B5420000}"/>
    <cellStyle name="Normal 4 4 3 2 4 4 3 2 2" xfId="44925" xr:uid="{00000000-0005-0000-0000-0000B6420000}"/>
    <cellStyle name="Normal 4 4 3 2 4 4 3 3" xfId="32637" xr:uid="{00000000-0005-0000-0000-0000B7420000}"/>
    <cellStyle name="Normal 4 4 3 2 4 4 4" xfId="14205" xr:uid="{00000000-0005-0000-0000-0000B8420000}"/>
    <cellStyle name="Normal 4 4 3 2 4 4 4 2" xfId="38781" xr:uid="{00000000-0005-0000-0000-0000B9420000}"/>
    <cellStyle name="Normal 4 4 3 2 4 4 5" xfId="26493" xr:uid="{00000000-0005-0000-0000-0000BA420000}"/>
    <cellStyle name="Normal 4 4 3 2 4 5" xfId="3453" xr:uid="{00000000-0005-0000-0000-0000BB420000}"/>
    <cellStyle name="Normal 4 4 3 2 4 5 2" xfId="9597" xr:uid="{00000000-0005-0000-0000-0000BC420000}"/>
    <cellStyle name="Normal 4 4 3 2 4 5 2 2" xfId="21885" xr:uid="{00000000-0005-0000-0000-0000BD420000}"/>
    <cellStyle name="Normal 4 4 3 2 4 5 2 2 2" xfId="46461" xr:uid="{00000000-0005-0000-0000-0000BE420000}"/>
    <cellStyle name="Normal 4 4 3 2 4 5 2 3" xfId="34173" xr:uid="{00000000-0005-0000-0000-0000BF420000}"/>
    <cellStyle name="Normal 4 4 3 2 4 5 3" xfId="15741" xr:uid="{00000000-0005-0000-0000-0000C0420000}"/>
    <cellStyle name="Normal 4 4 3 2 4 5 3 2" xfId="40317" xr:uid="{00000000-0005-0000-0000-0000C1420000}"/>
    <cellStyle name="Normal 4 4 3 2 4 5 4" xfId="28029" xr:uid="{00000000-0005-0000-0000-0000C2420000}"/>
    <cellStyle name="Normal 4 4 3 2 4 6" xfId="6525" xr:uid="{00000000-0005-0000-0000-0000C3420000}"/>
    <cellStyle name="Normal 4 4 3 2 4 6 2" xfId="18813" xr:uid="{00000000-0005-0000-0000-0000C4420000}"/>
    <cellStyle name="Normal 4 4 3 2 4 6 2 2" xfId="43389" xr:uid="{00000000-0005-0000-0000-0000C5420000}"/>
    <cellStyle name="Normal 4 4 3 2 4 6 3" xfId="31101" xr:uid="{00000000-0005-0000-0000-0000C6420000}"/>
    <cellStyle name="Normal 4 4 3 2 4 7" xfId="12669" xr:uid="{00000000-0005-0000-0000-0000C7420000}"/>
    <cellStyle name="Normal 4 4 3 2 4 7 2" xfId="37245" xr:uid="{00000000-0005-0000-0000-0000C8420000}"/>
    <cellStyle name="Normal 4 4 3 2 4 8" xfId="24957" xr:uid="{00000000-0005-0000-0000-0000C9420000}"/>
    <cellStyle name="Normal 4 4 3 2 5" xfId="569" xr:uid="{00000000-0005-0000-0000-0000CA420000}"/>
    <cellStyle name="Normal 4 4 3 2 5 2" xfId="1337" xr:uid="{00000000-0005-0000-0000-0000CB420000}"/>
    <cellStyle name="Normal 4 4 3 2 5 2 2" xfId="2873" xr:uid="{00000000-0005-0000-0000-0000CC420000}"/>
    <cellStyle name="Normal 4 4 3 2 5 2 2 2" xfId="5949" xr:uid="{00000000-0005-0000-0000-0000CD420000}"/>
    <cellStyle name="Normal 4 4 3 2 5 2 2 2 2" xfId="12093" xr:uid="{00000000-0005-0000-0000-0000CE420000}"/>
    <cellStyle name="Normal 4 4 3 2 5 2 2 2 2 2" xfId="24381" xr:uid="{00000000-0005-0000-0000-0000CF420000}"/>
    <cellStyle name="Normal 4 4 3 2 5 2 2 2 2 2 2" xfId="48957" xr:uid="{00000000-0005-0000-0000-0000D0420000}"/>
    <cellStyle name="Normal 4 4 3 2 5 2 2 2 2 3" xfId="36669" xr:uid="{00000000-0005-0000-0000-0000D1420000}"/>
    <cellStyle name="Normal 4 4 3 2 5 2 2 2 3" xfId="18237" xr:uid="{00000000-0005-0000-0000-0000D2420000}"/>
    <cellStyle name="Normal 4 4 3 2 5 2 2 2 3 2" xfId="42813" xr:uid="{00000000-0005-0000-0000-0000D3420000}"/>
    <cellStyle name="Normal 4 4 3 2 5 2 2 2 4" xfId="30525" xr:uid="{00000000-0005-0000-0000-0000D4420000}"/>
    <cellStyle name="Normal 4 4 3 2 5 2 2 3" xfId="9021" xr:uid="{00000000-0005-0000-0000-0000D5420000}"/>
    <cellStyle name="Normal 4 4 3 2 5 2 2 3 2" xfId="21309" xr:uid="{00000000-0005-0000-0000-0000D6420000}"/>
    <cellStyle name="Normal 4 4 3 2 5 2 2 3 2 2" xfId="45885" xr:uid="{00000000-0005-0000-0000-0000D7420000}"/>
    <cellStyle name="Normal 4 4 3 2 5 2 2 3 3" xfId="33597" xr:uid="{00000000-0005-0000-0000-0000D8420000}"/>
    <cellStyle name="Normal 4 4 3 2 5 2 2 4" xfId="15165" xr:uid="{00000000-0005-0000-0000-0000D9420000}"/>
    <cellStyle name="Normal 4 4 3 2 5 2 2 4 2" xfId="39741" xr:uid="{00000000-0005-0000-0000-0000DA420000}"/>
    <cellStyle name="Normal 4 4 3 2 5 2 2 5" xfId="27453" xr:uid="{00000000-0005-0000-0000-0000DB420000}"/>
    <cellStyle name="Normal 4 4 3 2 5 2 3" xfId="4413" xr:uid="{00000000-0005-0000-0000-0000DC420000}"/>
    <cellStyle name="Normal 4 4 3 2 5 2 3 2" xfId="10557" xr:uid="{00000000-0005-0000-0000-0000DD420000}"/>
    <cellStyle name="Normal 4 4 3 2 5 2 3 2 2" xfId="22845" xr:uid="{00000000-0005-0000-0000-0000DE420000}"/>
    <cellStyle name="Normal 4 4 3 2 5 2 3 2 2 2" xfId="47421" xr:uid="{00000000-0005-0000-0000-0000DF420000}"/>
    <cellStyle name="Normal 4 4 3 2 5 2 3 2 3" xfId="35133" xr:uid="{00000000-0005-0000-0000-0000E0420000}"/>
    <cellStyle name="Normal 4 4 3 2 5 2 3 3" xfId="16701" xr:uid="{00000000-0005-0000-0000-0000E1420000}"/>
    <cellStyle name="Normal 4 4 3 2 5 2 3 3 2" xfId="41277" xr:uid="{00000000-0005-0000-0000-0000E2420000}"/>
    <cellStyle name="Normal 4 4 3 2 5 2 3 4" xfId="28989" xr:uid="{00000000-0005-0000-0000-0000E3420000}"/>
    <cellStyle name="Normal 4 4 3 2 5 2 4" xfId="7485" xr:uid="{00000000-0005-0000-0000-0000E4420000}"/>
    <cellStyle name="Normal 4 4 3 2 5 2 4 2" xfId="19773" xr:uid="{00000000-0005-0000-0000-0000E5420000}"/>
    <cellStyle name="Normal 4 4 3 2 5 2 4 2 2" xfId="44349" xr:uid="{00000000-0005-0000-0000-0000E6420000}"/>
    <cellStyle name="Normal 4 4 3 2 5 2 4 3" xfId="32061" xr:uid="{00000000-0005-0000-0000-0000E7420000}"/>
    <cellStyle name="Normal 4 4 3 2 5 2 5" xfId="13629" xr:uid="{00000000-0005-0000-0000-0000E8420000}"/>
    <cellStyle name="Normal 4 4 3 2 5 2 5 2" xfId="38205" xr:uid="{00000000-0005-0000-0000-0000E9420000}"/>
    <cellStyle name="Normal 4 4 3 2 5 2 6" xfId="25917" xr:uid="{00000000-0005-0000-0000-0000EA420000}"/>
    <cellStyle name="Normal 4 4 3 2 5 3" xfId="2105" xr:uid="{00000000-0005-0000-0000-0000EB420000}"/>
    <cellStyle name="Normal 4 4 3 2 5 3 2" xfId="5181" xr:uid="{00000000-0005-0000-0000-0000EC420000}"/>
    <cellStyle name="Normal 4 4 3 2 5 3 2 2" xfId="11325" xr:uid="{00000000-0005-0000-0000-0000ED420000}"/>
    <cellStyle name="Normal 4 4 3 2 5 3 2 2 2" xfId="23613" xr:uid="{00000000-0005-0000-0000-0000EE420000}"/>
    <cellStyle name="Normal 4 4 3 2 5 3 2 2 2 2" xfId="48189" xr:uid="{00000000-0005-0000-0000-0000EF420000}"/>
    <cellStyle name="Normal 4 4 3 2 5 3 2 2 3" xfId="35901" xr:uid="{00000000-0005-0000-0000-0000F0420000}"/>
    <cellStyle name="Normal 4 4 3 2 5 3 2 3" xfId="17469" xr:uid="{00000000-0005-0000-0000-0000F1420000}"/>
    <cellStyle name="Normal 4 4 3 2 5 3 2 3 2" xfId="42045" xr:uid="{00000000-0005-0000-0000-0000F2420000}"/>
    <cellStyle name="Normal 4 4 3 2 5 3 2 4" xfId="29757" xr:uid="{00000000-0005-0000-0000-0000F3420000}"/>
    <cellStyle name="Normal 4 4 3 2 5 3 3" xfId="8253" xr:uid="{00000000-0005-0000-0000-0000F4420000}"/>
    <cellStyle name="Normal 4 4 3 2 5 3 3 2" xfId="20541" xr:uid="{00000000-0005-0000-0000-0000F5420000}"/>
    <cellStyle name="Normal 4 4 3 2 5 3 3 2 2" xfId="45117" xr:uid="{00000000-0005-0000-0000-0000F6420000}"/>
    <cellStyle name="Normal 4 4 3 2 5 3 3 3" xfId="32829" xr:uid="{00000000-0005-0000-0000-0000F7420000}"/>
    <cellStyle name="Normal 4 4 3 2 5 3 4" xfId="14397" xr:uid="{00000000-0005-0000-0000-0000F8420000}"/>
    <cellStyle name="Normal 4 4 3 2 5 3 4 2" xfId="38973" xr:uid="{00000000-0005-0000-0000-0000F9420000}"/>
    <cellStyle name="Normal 4 4 3 2 5 3 5" xfId="26685" xr:uid="{00000000-0005-0000-0000-0000FA420000}"/>
    <cellStyle name="Normal 4 4 3 2 5 4" xfId="3645" xr:uid="{00000000-0005-0000-0000-0000FB420000}"/>
    <cellStyle name="Normal 4 4 3 2 5 4 2" xfId="9789" xr:uid="{00000000-0005-0000-0000-0000FC420000}"/>
    <cellStyle name="Normal 4 4 3 2 5 4 2 2" xfId="22077" xr:uid="{00000000-0005-0000-0000-0000FD420000}"/>
    <cellStyle name="Normal 4 4 3 2 5 4 2 2 2" xfId="46653" xr:uid="{00000000-0005-0000-0000-0000FE420000}"/>
    <cellStyle name="Normal 4 4 3 2 5 4 2 3" xfId="34365" xr:uid="{00000000-0005-0000-0000-0000FF420000}"/>
    <cellStyle name="Normal 4 4 3 2 5 4 3" xfId="15933" xr:uid="{00000000-0005-0000-0000-000000430000}"/>
    <cellStyle name="Normal 4 4 3 2 5 4 3 2" xfId="40509" xr:uid="{00000000-0005-0000-0000-000001430000}"/>
    <cellStyle name="Normal 4 4 3 2 5 4 4" xfId="28221" xr:uid="{00000000-0005-0000-0000-000002430000}"/>
    <cellStyle name="Normal 4 4 3 2 5 5" xfId="6717" xr:uid="{00000000-0005-0000-0000-000003430000}"/>
    <cellStyle name="Normal 4 4 3 2 5 5 2" xfId="19005" xr:uid="{00000000-0005-0000-0000-000004430000}"/>
    <cellStyle name="Normal 4 4 3 2 5 5 2 2" xfId="43581" xr:uid="{00000000-0005-0000-0000-000005430000}"/>
    <cellStyle name="Normal 4 4 3 2 5 5 3" xfId="31293" xr:uid="{00000000-0005-0000-0000-000006430000}"/>
    <cellStyle name="Normal 4 4 3 2 5 6" xfId="12861" xr:uid="{00000000-0005-0000-0000-000007430000}"/>
    <cellStyle name="Normal 4 4 3 2 5 6 2" xfId="37437" xr:uid="{00000000-0005-0000-0000-000008430000}"/>
    <cellStyle name="Normal 4 4 3 2 5 7" xfId="25149" xr:uid="{00000000-0005-0000-0000-000009430000}"/>
    <cellStyle name="Normal 4 4 3 2 6" xfId="953" xr:uid="{00000000-0005-0000-0000-00000A430000}"/>
    <cellStyle name="Normal 4 4 3 2 6 2" xfId="2489" xr:uid="{00000000-0005-0000-0000-00000B430000}"/>
    <cellStyle name="Normal 4 4 3 2 6 2 2" xfId="5565" xr:uid="{00000000-0005-0000-0000-00000C430000}"/>
    <cellStyle name="Normal 4 4 3 2 6 2 2 2" xfId="11709" xr:uid="{00000000-0005-0000-0000-00000D430000}"/>
    <cellStyle name="Normal 4 4 3 2 6 2 2 2 2" xfId="23997" xr:uid="{00000000-0005-0000-0000-00000E430000}"/>
    <cellStyle name="Normal 4 4 3 2 6 2 2 2 2 2" xfId="48573" xr:uid="{00000000-0005-0000-0000-00000F430000}"/>
    <cellStyle name="Normal 4 4 3 2 6 2 2 2 3" xfId="36285" xr:uid="{00000000-0005-0000-0000-000010430000}"/>
    <cellStyle name="Normal 4 4 3 2 6 2 2 3" xfId="17853" xr:uid="{00000000-0005-0000-0000-000011430000}"/>
    <cellStyle name="Normal 4 4 3 2 6 2 2 3 2" xfId="42429" xr:uid="{00000000-0005-0000-0000-000012430000}"/>
    <cellStyle name="Normal 4 4 3 2 6 2 2 4" xfId="30141" xr:uid="{00000000-0005-0000-0000-000013430000}"/>
    <cellStyle name="Normal 4 4 3 2 6 2 3" xfId="8637" xr:uid="{00000000-0005-0000-0000-000014430000}"/>
    <cellStyle name="Normal 4 4 3 2 6 2 3 2" xfId="20925" xr:uid="{00000000-0005-0000-0000-000015430000}"/>
    <cellStyle name="Normal 4 4 3 2 6 2 3 2 2" xfId="45501" xr:uid="{00000000-0005-0000-0000-000016430000}"/>
    <cellStyle name="Normal 4 4 3 2 6 2 3 3" xfId="33213" xr:uid="{00000000-0005-0000-0000-000017430000}"/>
    <cellStyle name="Normal 4 4 3 2 6 2 4" xfId="14781" xr:uid="{00000000-0005-0000-0000-000018430000}"/>
    <cellStyle name="Normal 4 4 3 2 6 2 4 2" xfId="39357" xr:uid="{00000000-0005-0000-0000-000019430000}"/>
    <cellStyle name="Normal 4 4 3 2 6 2 5" xfId="27069" xr:uid="{00000000-0005-0000-0000-00001A430000}"/>
    <cellStyle name="Normal 4 4 3 2 6 3" xfId="4029" xr:uid="{00000000-0005-0000-0000-00001B430000}"/>
    <cellStyle name="Normal 4 4 3 2 6 3 2" xfId="10173" xr:uid="{00000000-0005-0000-0000-00001C430000}"/>
    <cellStyle name="Normal 4 4 3 2 6 3 2 2" xfId="22461" xr:uid="{00000000-0005-0000-0000-00001D430000}"/>
    <cellStyle name="Normal 4 4 3 2 6 3 2 2 2" xfId="47037" xr:uid="{00000000-0005-0000-0000-00001E430000}"/>
    <cellStyle name="Normal 4 4 3 2 6 3 2 3" xfId="34749" xr:uid="{00000000-0005-0000-0000-00001F430000}"/>
    <cellStyle name="Normal 4 4 3 2 6 3 3" xfId="16317" xr:uid="{00000000-0005-0000-0000-000020430000}"/>
    <cellStyle name="Normal 4 4 3 2 6 3 3 2" xfId="40893" xr:uid="{00000000-0005-0000-0000-000021430000}"/>
    <cellStyle name="Normal 4 4 3 2 6 3 4" xfId="28605" xr:uid="{00000000-0005-0000-0000-000022430000}"/>
    <cellStyle name="Normal 4 4 3 2 6 4" xfId="7101" xr:uid="{00000000-0005-0000-0000-000023430000}"/>
    <cellStyle name="Normal 4 4 3 2 6 4 2" xfId="19389" xr:uid="{00000000-0005-0000-0000-000024430000}"/>
    <cellStyle name="Normal 4 4 3 2 6 4 2 2" xfId="43965" xr:uid="{00000000-0005-0000-0000-000025430000}"/>
    <cellStyle name="Normal 4 4 3 2 6 4 3" xfId="31677" xr:uid="{00000000-0005-0000-0000-000026430000}"/>
    <cellStyle name="Normal 4 4 3 2 6 5" xfId="13245" xr:uid="{00000000-0005-0000-0000-000027430000}"/>
    <cellStyle name="Normal 4 4 3 2 6 5 2" xfId="37821" xr:uid="{00000000-0005-0000-0000-000028430000}"/>
    <cellStyle name="Normal 4 4 3 2 6 6" xfId="25533" xr:uid="{00000000-0005-0000-0000-000029430000}"/>
    <cellStyle name="Normal 4 4 3 2 7" xfId="1721" xr:uid="{00000000-0005-0000-0000-00002A430000}"/>
    <cellStyle name="Normal 4 4 3 2 7 2" xfId="4797" xr:uid="{00000000-0005-0000-0000-00002B430000}"/>
    <cellStyle name="Normal 4 4 3 2 7 2 2" xfId="10941" xr:uid="{00000000-0005-0000-0000-00002C430000}"/>
    <cellStyle name="Normal 4 4 3 2 7 2 2 2" xfId="23229" xr:uid="{00000000-0005-0000-0000-00002D430000}"/>
    <cellStyle name="Normal 4 4 3 2 7 2 2 2 2" xfId="47805" xr:uid="{00000000-0005-0000-0000-00002E430000}"/>
    <cellStyle name="Normal 4 4 3 2 7 2 2 3" xfId="35517" xr:uid="{00000000-0005-0000-0000-00002F430000}"/>
    <cellStyle name="Normal 4 4 3 2 7 2 3" xfId="17085" xr:uid="{00000000-0005-0000-0000-000030430000}"/>
    <cellStyle name="Normal 4 4 3 2 7 2 3 2" xfId="41661" xr:uid="{00000000-0005-0000-0000-000031430000}"/>
    <cellStyle name="Normal 4 4 3 2 7 2 4" xfId="29373" xr:uid="{00000000-0005-0000-0000-000032430000}"/>
    <cellStyle name="Normal 4 4 3 2 7 3" xfId="7869" xr:uid="{00000000-0005-0000-0000-000033430000}"/>
    <cellStyle name="Normal 4 4 3 2 7 3 2" xfId="20157" xr:uid="{00000000-0005-0000-0000-000034430000}"/>
    <cellStyle name="Normal 4 4 3 2 7 3 2 2" xfId="44733" xr:uid="{00000000-0005-0000-0000-000035430000}"/>
    <cellStyle name="Normal 4 4 3 2 7 3 3" xfId="32445" xr:uid="{00000000-0005-0000-0000-000036430000}"/>
    <cellStyle name="Normal 4 4 3 2 7 4" xfId="14013" xr:uid="{00000000-0005-0000-0000-000037430000}"/>
    <cellStyle name="Normal 4 4 3 2 7 4 2" xfId="38589" xr:uid="{00000000-0005-0000-0000-000038430000}"/>
    <cellStyle name="Normal 4 4 3 2 7 5" xfId="26301" xr:uid="{00000000-0005-0000-0000-000039430000}"/>
    <cellStyle name="Normal 4 4 3 2 8" xfId="3261" xr:uid="{00000000-0005-0000-0000-00003A430000}"/>
    <cellStyle name="Normal 4 4 3 2 8 2" xfId="9405" xr:uid="{00000000-0005-0000-0000-00003B430000}"/>
    <cellStyle name="Normal 4 4 3 2 8 2 2" xfId="21693" xr:uid="{00000000-0005-0000-0000-00003C430000}"/>
    <cellStyle name="Normal 4 4 3 2 8 2 2 2" xfId="46269" xr:uid="{00000000-0005-0000-0000-00003D430000}"/>
    <cellStyle name="Normal 4 4 3 2 8 2 3" xfId="33981" xr:uid="{00000000-0005-0000-0000-00003E430000}"/>
    <cellStyle name="Normal 4 4 3 2 8 3" xfId="15549" xr:uid="{00000000-0005-0000-0000-00003F430000}"/>
    <cellStyle name="Normal 4 4 3 2 8 3 2" xfId="40125" xr:uid="{00000000-0005-0000-0000-000040430000}"/>
    <cellStyle name="Normal 4 4 3 2 8 4" xfId="27837" xr:uid="{00000000-0005-0000-0000-000041430000}"/>
    <cellStyle name="Normal 4 4 3 2 9" xfId="6333" xr:uid="{00000000-0005-0000-0000-000042430000}"/>
    <cellStyle name="Normal 4 4 3 2 9 2" xfId="18621" xr:uid="{00000000-0005-0000-0000-000043430000}"/>
    <cellStyle name="Normal 4 4 3 2 9 2 2" xfId="43197" xr:uid="{00000000-0005-0000-0000-000044430000}"/>
    <cellStyle name="Normal 4 4 3 2 9 3" xfId="30909" xr:uid="{00000000-0005-0000-0000-000045430000}"/>
    <cellStyle name="Normal 4 4 3 3" xfId="217" xr:uid="{00000000-0005-0000-0000-000046430000}"/>
    <cellStyle name="Normal 4 4 3 3 2" xfId="409" xr:uid="{00000000-0005-0000-0000-000047430000}"/>
    <cellStyle name="Normal 4 4 3 3 2 2" xfId="793" xr:uid="{00000000-0005-0000-0000-000048430000}"/>
    <cellStyle name="Normal 4 4 3 3 2 2 2" xfId="1561" xr:uid="{00000000-0005-0000-0000-000049430000}"/>
    <cellStyle name="Normal 4 4 3 3 2 2 2 2" xfId="3097" xr:uid="{00000000-0005-0000-0000-00004A430000}"/>
    <cellStyle name="Normal 4 4 3 3 2 2 2 2 2" xfId="6173" xr:uid="{00000000-0005-0000-0000-00004B430000}"/>
    <cellStyle name="Normal 4 4 3 3 2 2 2 2 2 2" xfId="12317" xr:uid="{00000000-0005-0000-0000-00004C430000}"/>
    <cellStyle name="Normal 4 4 3 3 2 2 2 2 2 2 2" xfId="24605" xr:uid="{00000000-0005-0000-0000-00004D430000}"/>
    <cellStyle name="Normal 4 4 3 3 2 2 2 2 2 2 2 2" xfId="49181" xr:uid="{00000000-0005-0000-0000-00004E430000}"/>
    <cellStyle name="Normal 4 4 3 3 2 2 2 2 2 2 3" xfId="36893" xr:uid="{00000000-0005-0000-0000-00004F430000}"/>
    <cellStyle name="Normal 4 4 3 3 2 2 2 2 2 3" xfId="18461" xr:uid="{00000000-0005-0000-0000-000050430000}"/>
    <cellStyle name="Normal 4 4 3 3 2 2 2 2 2 3 2" xfId="43037" xr:uid="{00000000-0005-0000-0000-000051430000}"/>
    <cellStyle name="Normal 4 4 3 3 2 2 2 2 2 4" xfId="30749" xr:uid="{00000000-0005-0000-0000-000052430000}"/>
    <cellStyle name="Normal 4 4 3 3 2 2 2 2 3" xfId="9245" xr:uid="{00000000-0005-0000-0000-000053430000}"/>
    <cellStyle name="Normal 4 4 3 3 2 2 2 2 3 2" xfId="21533" xr:uid="{00000000-0005-0000-0000-000054430000}"/>
    <cellStyle name="Normal 4 4 3 3 2 2 2 2 3 2 2" xfId="46109" xr:uid="{00000000-0005-0000-0000-000055430000}"/>
    <cellStyle name="Normal 4 4 3 3 2 2 2 2 3 3" xfId="33821" xr:uid="{00000000-0005-0000-0000-000056430000}"/>
    <cellStyle name="Normal 4 4 3 3 2 2 2 2 4" xfId="15389" xr:uid="{00000000-0005-0000-0000-000057430000}"/>
    <cellStyle name="Normal 4 4 3 3 2 2 2 2 4 2" xfId="39965" xr:uid="{00000000-0005-0000-0000-000058430000}"/>
    <cellStyle name="Normal 4 4 3 3 2 2 2 2 5" xfId="27677" xr:uid="{00000000-0005-0000-0000-000059430000}"/>
    <cellStyle name="Normal 4 4 3 3 2 2 2 3" xfId="4637" xr:uid="{00000000-0005-0000-0000-00005A430000}"/>
    <cellStyle name="Normal 4 4 3 3 2 2 2 3 2" xfId="10781" xr:uid="{00000000-0005-0000-0000-00005B430000}"/>
    <cellStyle name="Normal 4 4 3 3 2 2 2 3 2 2" xfId="23069" xr:uid="{00000000-0005-0000-0000-00005C430000}"/>
    <cellStyle name="Normal 4 4 3 3 2 2 2 3 2 2 2" xfId="47645" xr:uid="{00000000-0005-0000-0000-00005D430000}"/>
    <cellStyle name="Normal 4 4 3 3 2 2 2 3 2 3" xfId="35357" xr:uid="{00000000-0005-0000-0000-00005E430000}"/>
    <cellStyle name="Normal 4 4 3 3 2 2 2 3 3" xfId="16925" xr:uid="{00000000-0005-0000-0000-00005F430000}"/>
    <cellStyle name="Normal 4 4 3 3 2 2 2 3 3 2" xfId="41501" xr:uid="{00000000-0005-0000-0000-000060430000}"/>
    <cellStyle name="Normal 4 4 3 3 2 2 2 3 4" xfId="29213" xr:uid="{00000000-0005-0000-0000-000061430000}"/>
    <cellStyle name="Normal 4 4 3 3 2 2 2 4" xfId="7709" xr:uid="{00000000-0005-0000-0000-000062430000}"/>
    <cellStyle name="Normal 4 4 3 3 2 2 2 4 2" xfId="19997" xr:uid="{00000000-0005-0000-0000-000063430000}"/>
    <cellStyle name="Normal 4 4 3 3 2 2 2 4 2 2" xfId="44573" xr:uid="{00000000-0005-0000-0000-000064430000}"/>
    <cellStyle name="Normal 4 4 3 3 2 2 2 4 3" xfId="32285" xr:uid="{00000000-0005-0000-0000-000065430000}"/>
    <cellStyle name="Normal 4 4 3 3 2 2 2 5" xfId="13853" xr:uid="{00000000-0005-0000-0000-000066430000}"/>
    <cellStyle name="Normal 4 4 3 3 2 2 2 5 2" xfId="38429" xr:uid="{00000000-0005-0000-0000-000067430000}"/>
    <cellStyle name="Normal 4 4 3 3 2 2 2 6" xfId="26141" xr:uid="{00000000-0005-0000-0000-000068430000}"/>
    <cellStyle name="Normal 4 4 3 3 2 2 3" xfId="2329" xr:uid="{00000000-0005-0000-0000-000069430000}"/>
    <cellStyle name="Normal 4 4 3 3 2 2 3 2" xfId="5405" xr:uid="{00000000-0005-0000-0000-00006A430000}"/>
    <cellStyle name="Normal 4 4 3 3 2 2 3 2 2" xfId="11549" xr:uid="{00000000-0005-0000-0000-00006B430000}"/>
    <cellStyle name="Normal 4 4 3 3 2 2 3 2 2 2" xfId="23837" xr:uid="{00000000-0005-0000-0000-00006C430000}"/>
    <cellStyle name="Normal 4 4 3 3 2 2 3 2 2 2 2" xfId="48413" xr:uid="{00000000-0005-0000-0000-00006D430000}"/>
    <cellStyle name="Normal 4 4 3 3 2 2 3 2 2 3" xfId="36125" xr:uid="{00000000-0005-0000-0000-00006E430000}"/>
    <cellStyle name="Normal 4 4 3 3 2 2 3 2 3" xfId="17693" xr:uid="{00000000-0005-0000-0000-00006F430000}"/>
    <cellStyle name="Normal 4 4 3 3 2 2 3 2 3 2" xfId="42269" xr:uid="{00000000-0005-0000-0000-000070430000}"/>
    <cellStyle name="Normal 4 4 3 3 2 2 3 2 4" xfId="29981" xr:uid="{00000000-0005-0000-0000-000071430000}"/>
    <cellStyle name="Normal 4 4 3 3 2 2 3 3" xfId="8477" xr:uid="{00000000-0005-0000-0000-000072430000}"/>
    <cellStyle name="Normal 4 4 3 3 2 2 3 3 2" xfId="20765" xr:uid="{00000000-0005-0000-0000-000073430000}"/>
    <cellStyle name="Normal 4 4 3 3 2 2 3 3 2 2" xfId="45341" xr:uid="{00000000-0005-0000-0000-000074430000}"/>
    <cellStyle name="Normal 4 4 3 3 2 2 3 3 3" xfId="33053" xr:uid="{00000000-0005-0000-0000-000075430000}"/>
    <cellStyle name="Normal 4 4 3 3 2 2 3 4" xfId="14621" xr:uid="{00000000-0005-0000-0000-000076430000}"/>
    <cellStyle name="Normal 4 4 3 3 2 2 3 4 2" xfId="39197" xr:uid="{00000000-0005-0000-0000-000077430000}"/>
    <cellStyle name="Normal 4 4 3 3 2 2 3 5" xfId="26909" xr:uid="{00000000-0005-0000-0000-000078430000}"/>
    <cellStyle name="Normal 4 4 3 3 2 2 4" xfId="3869" xr:uid="{00000000-0005-0000-0000-000079430000}"/>
    <cellStyle name="Normal 4 4 3 3 2 2 4 2" xfId="10013" xr:uid="{00000000-0005-0000-0000-00007A430000}"/>
    <cellStyle name="Normal 4 4 3 3 2 2 4 2 2" xfId="22301" xr:uid="{00000000-0005-0000-0000-00007B430000}"/>
    <cellStyle name="Normal 4 4 3 3 2 2 4 2 2 2" xfId="46877" xr:uid="{00000000-0005-0000-0000-00007C430000}"/>
    <cellStyle name="Normal 4 4 3 3 2 2 4 2 3" xfId="34589" xr:uid="{00000000-0005-0000-0000-00007D430000}"/>
    <cellStyle name="Normal 4 4 3 3 2 2 4 3" xfId="16157" xr:uid="{00000000-0005-0000-0000-00007E430000}"/>
    <cellStyle name="Normal 4 4 3 3 2 2 4 3 2" xfId="40733" xr:uid="{00000000-0005-0000-0000-00007F430000}"/>
    <cellStyle name="Normal 4 4 3 3 2 2 4 4" xfId="28445" xr:uid="{00000000-0005-0000-0000-000080430000}"/>
    <cellStyle name="Normal 4 4 3 3 2 2 5" xfId="6941" xr:uid="{00000000-0005-0000-0000-000081430000}"/>
    <cellStyle name="Normal 4 4 3 3 2 2 5 2" xfId="19229" xr:uid="{00000000-0005-0000-0000-000082430000}"/>
    <cellStyle name="Normal 4 4 3 3 2 2 5 2 2" xfId="43805" xr:uid="{00000000-0005-0000-0000-000083430000}"/>
    <cellStyle name="Normal 4 4 3 3 2 2 5 3" xfId="31517" xr:uid="{00000000-0005-0000-0000-000084430000}"/>
    <cellStyle name="Normal 4 4 3 3 2 2 6" xfId="13085" xr:uid="{00000000-0005-0000-0000-000085430000}"/>
    <cellStyle name="Normal 4 4 3 3 2 2 6 2" xfId="37661" xr:uid="{00000000-0005-0000-0000-000086430000}"/>
    <cellStyle name="Normal 4 4 3 3 2 2 7" xfId="25373" xr:uid="{00000000-0005-0000-0000-000087430000}"/>
    <cellStyle name="Normal 4 4 3 3 2 3" xfId="1177" xr:uid="{00000000-0005-0000-0000-000088430000}"/>
    <cellStyle name="Normal 4 4 3 3 2 3 2" xfId="2713" xr:uid="{00000000-0005-0000-0000-000089430000}"/>
    <cellStyle name="Normal 4 4 3 3 2 3 2 2" xfId="5789" xr:uid="{00000000-0005-0000-0000-00008A430000}"/>
    <cellStyle name="Normal 4 4 3 3 2 3 2 2 2" xfId="11933" xr:uid="{00000000-0005-0000-0000-00008B430000}"/>
    <cellStyle name="Normal 4 4 3 3 2 3 2 2 2 2" xfId="24221" xr:uid="{00000000-0005-0000-0000-00008C430000}"/>
    <cellStyle name="Normal 4 4 3 3 2 3 2 2 2 2 2" xfId="48797" xr:uid="{00000000-0005-0000-0000-00008D430000}"/>
    <cellStyle name="Normal 4 4 3 3 2 3 2 2 2 3" xfId="36509" xr:uid="{00000000-0005-0000-0000-00008E430000}"/>
    <cellStyle name="Normal 4 4 3 3 2 3 2 2 3" xfId="18077" xr:uid="{00000000-0005-0000-0000-00008F430000}"/>
    <cellStyle name="Normal 4 4 3 3 2 3 2 2 3 2" xfId="42653" xr:uid="{00000000-0005-0000-0000-000090430000}"/>
    <cellStyle name="Normal 4 4 3 3 2 3 2 2 4" xfId="30365" xr:uid="{00000000-0005-0000-0000-000091430000}"/>
    <cellStyle name="Normal 4 4 3 3 2 3 2 3" xfId="8861" xr:uid="{00000000-0005-0000-0000-000092430000}"/>
    <cellStyle name="Normal 4 4 3 3 2 3 2 3 2" xfId="21149" xr:uid="{00000000-0005-0000-0000-000093430000}"/>
    <cellStyle name="Normal 4 4 3 3 2 3 2 3 2 2" xfId="45725" xr:uid="{00000000-0005-0000-0000-000094430000}"/>
    <cellStyle name="Normal 4 4 3 3 2 3 2 3 3" xfId="33437" xr:uid="{00000000-0005-0000-0000-000095430000}"/>
    <cellStyle name="Normal 4 4 3 3 2 3 2 4" xfId="15005" xr:uid="{00000000-0005-0000-0000-000096430000}"/>
    <cellStyle name="Normal 4 4 3 3 2 3 2 4 2" xfId="39581" xr:uid="{00000000-0005-0000-0000-000097430000}"/>
    <cellStyle name="Normal 4 4 3 3 2 3 2 5" xfId="27293" xr:uid="{00000000-0005-0000-0000-000098430000}"/>
    <cellStyle name="Normal 4 4 3 3 2 3 3" xfId="4253" xr:uid="{00000000-0005-0000-0000-000099430000}"/>
    <cellStyle name="Normal 4 4 3 3 2 3 3 2" xfId="10397" xr:uid="{00000000-0005-0000-0000-00009A430000}"/>
    <cellStyle name="Normal 4 4 3 3 2 3 3 2 2" xfId="22685" xr:uid="{00000000-0005-0000-0000-00009B430000}"/>
    <cellStyle name="Normal 4 4 3 3 2 3 3 2 2 2" xfId="47261" xr:uid="{00000000-0005-0000-0000-00009C430000}"/>
    <cellStyle name="Normal 4 4 3 3 2 3 3 2 3" xfId="34973" xr:uid="{00000000-0005-0000-0000-00009D430000}"/>
    <cellStyle name="Normal 4 4 3 3 2 3 3 3" xfId="16541" xr:uid="{00000000-0005-0000-0000-00009E430000}"/>
    <cellStyle name="Normal 4 4 3 3 2 3 3 3 2" xfId="41117" xr:uid="{00000000-0005-0000-0000-00009F430000}"/>
    <cellStyle name="Normal 4 4 3 3 2 3 3 4" xfId="28829" xr:uid="{00000000-0005-0000-0000-0000A0430000}"/>
    <cellStyle name="Normal 4 4 3 3 2 3 4" xfId="7325" xr:uid="{00000000-0005-0000-0000-0000A1430000}"/>
    <cellStyle name="Normal 4 4 3 3 2 3 4 2" xfId="19613" xr:uid="{00000000-0005-0000-0000-0000A2430000}"/>
    <cellStyle name="Normal 4 4 3 3 2 3 4 2 2" xfId="44189" xr:uid="{00000000-0005-0000-0000-0000A3430000}"/>
    <cellStyle name="Normal 4 4 3 3 2 3 4 3" xfId="31901" xr:uid="{00000000-0005-0000-0000-0000A4430000}"/>
    <cellStyle name="Normal 4 4 3 3 2 3 5" xfId="13469" xr:uid="{00000000-0005-0000-0000-0000A5430000}"/>
    <cellStyle name="Normal 4 4 3 3 2 3 5 2" xfId="38045" xr:uid="{00000000-0005-0000-0000-0000A6430000}"/>
    <cellStyle name="Normal 4 4 3 3 2 3 6" xfId="25757" xr:uid="{00000000-0005-0000-0000-0000A7430000}"/>
    <cellStyle name="Normal 4 4 3 3 2 4" xfId="1945" xr:uid="{00000000-0005-0000-0000-0000A8430000}"/>
    <cellStyle name="Normal 4 4 3 3 2 4 2" xfId="5021" xr:uid="{00000000-0005-0000-0000-0000A9430000}"/>
    <cellStyle name="Normal 4 4 3 3 2 4 2 2" xfId="11165" xr:uid="{00000000-0005-0000-0000-0000AA430000}"/>
    <cellStyle name="Normal 4 4 3 3 2 4 2 2 2" xfId="23453" xr:uid="{00000000-0005-0000-0000-0000AB430000}"/>
    <cellStyle name="Normal 4 4 3 3 2 4 2 2 2 2" xfId="48029" xr:uid="{00000000-0005-0000-0000-0000AC430000}"/>
    <cellStyle name="Normal 4 4 3 3 2 4 2 2 3" xfId="35741" xr:uid="{00000000-0005-0000-0000-0000AD430000}"/>
    <cellStyle name="Normal 4 4 3 3 2 4 2 3" xfId="17309" xr:uid="{00000000-0005-0000-0000-0000AE430000}"/>
    <cellStyle name="Normal 4 4 3 3 2 4 2 3 2" xfId="41885" xr:uid="{00000000-0005-0000-0000-0000AF430000}"/>
    <cellStyle name="Normal 4 4 3 3 2 4 2 4" xfId="29597" xr:uid="{00000000-0005-0000-0000-0000B0430000}"/>
    <cellStyle name="Normal 4 4 3 3 2 4 3" xfId="8093" xr:uid="{00000000-0005-0000-0000-0000B1430000}"/>
    <cellStyle name="Normal 4 4 3 3 2 4 3 2" xfId="20381" xr:uid="{00000000-0005-0000-0000-0000B2430000}"/>
    <cellStyle name="Normal 4 4 3 3 2 4 3 2 2" xfId="44957" xr:uid="{00000000-0005-0000-0000-0000B3430000}"/>
    <cellStyle name="Normal 4 4 3 3 2 4 3 3" xfId="32669" xr:uid="{00000000-0005-0000-0000-0000B4430000}"/>
    <cellStyle name="Normal 4 4 3 3 2 4 4" xfId="14237" xr:uid="{00000000-0005-0000-0000-0000B5430000}"/>
    <cellStyle name="Normal 4 4 3 3 2 4 4 2" xfId="38813" xr:uid="{00000000-0005-0000-0000-0000B6430000}"/>
    <cellStyle name="Normal 4 4 3 3 2 4 5" xfId="26525" xr:uid="{00000000-0005-0000-0000-0000B7430000}"/>
    <cellStyle name="Normal 4 4 3 3 2 5" xfId="3485" xr:uid="{00000000-0005-0000-0000-0000B8430000}"/>
    <cellStyle name="Normal 4 4 3 3 2 5 2" xfId="9629" xr:uid="{00000000-0005-0000-0000-0000B9430000}"/>
    <cellStyle name="Normal 4 4 3 3 2 5 2 2" xfId="21917" xr:uid="{00000000-0005-0000-0000-0000BA430000}"/>
    <cellStyle name="Normal 4 4 3 3 2 5 2 2 2" xfId="46493" xr:uid="{00000000-0005-0000-0000-0000BB430000}"/>
    <cellStyle name="Normal 4 4 3 3 2 5 2 3" xfId="34205" xr:uid="{00000000-0005-0000-0000-0000BC430000}"/>
    <cellStyle name="Normal 4 4 3 3 2 5 3" xfId="15773" xr:uid="{00000000-0005-0000-0000-0000BD430000}"/>
    <cellStyle name="Normal 4 4 3 3 2 5 3 2" xfId="40349" xr:uid="{00000000-0005-0000-0000-0000BE430000}"/>
    <cellStyle name="Normal 4 4 3 3 2 5 4" xfId="28061" xr:uid="{00000000-0005-0000-0000-0000BF430000}"/>
    <cellStyle name="Normal 4 4 3 3 2 6" xfId="6557" xr:uid="{00000000-0005-0000-0000-0000C0430000}"/>
    <cellStyle name="Normal 4 4 3 3 2 6 2" xfId="18845" xr:uid="{00000000-0005-0000-0000-0000C1430000}"/>
    <cellStyle name="Normal 4 4 3 3 2 6 2 2" xfId="43421" xr:uid="{00000000-0005-0000-0000-0000C2430000}"/>
    <cellStyle name="Normal 4 4 3 3 2 6 3" xfId="31133" xr:uid="{00000000-0005-0000-0000-0000C3430000}"/>
    <cellStyle name="Normal 4 4 3 3 2 7" xfId="12701" xr:uid="{00000000-0005-0000-0000-0000C4430000}"/>
    <cellStyle name="Normal 4 4 3 3 2 7 2" xfId="37277" xr:uid="{00000000-0005-0000-0000-0000C5430000}"/>
    <cellStyle name="Normal 4 4 3 3 2 8" xfId="24989" xr:uid="{00000000-0005-0000-0000-0000C6430000}"/>
    <cellStyle name="Normal 4 4 3 3 3" xfId="601" xr:uid="{00000000-0005-0000-0000-0000C7430000}"/>
    <cellStyle name="Normal 4 4 3 3 3 2" xfId="1369" xr:uid="{00000000-0005-0000-0000-0000C8430000}"/>
    <cellStyle name="Normal 4 4 3 3 3 2 2" xfId="2905" xr:uid="{00000000-0005-0000-0000-0000C9430000}"/>
    <cellStyle name="Normal 4 4 3 3 3 2 2 2" xfId="5981" xr:uid="{00000000-0005-0000-0000-0000CA430000}"/>
    <cellStyle name="Normal 4 4 3 3 3 2 2 2 2" xfId="12125" xr:uid="{00000000-0005-0000-0000-0000CB430000}"/>
    <cellStyle name="Normal 4 4 3 3 3 2 2 2 2 2" xfId="24413" xr:uid="{00000000-0005-0000-0000-0000CC430000}"/>
    <cellStyle name="Normal 4 4 3 3 3 2 2 2 2 2 2" xfId="48989" xr:uid="{00000000-0005-0000-0000-0000CD430000}"/>
    <cellStyle name="Normal 4 4 3 3 3 2 2 2 2 3" xfId="36701" xr:uid="{00000000-0005-0000-0000-0000CE430000}"/>
    <cellStyle name="Normal 4 4 3 3 3 2 2 2 3" xfId="18269" xr:uid="{00000000-0005-0000-0000-0000CF430000}"/>
    <cellStyle name="Normal 4 4 3 3 3 2 2 2 3 2" xfId="42845" xr:uid="{00000000-0005-0000-0000-0000D0430000}"/>
    <cellStyle name="Normal 4 4 3 3 3 2 2 2 4" xfId="30557" xr:uid="{00000000-0005-0000-0000-0000D1430000}"/>
    <cellStyle name="Normal 4 4 3 3 3 2 2 3" xfId="9053" xr:uid="{00000000-0005-0000-0000-0000D2430000}"/>
    <cellStyle name="Normal 4 4 3 3 3 2 2 3 2" xfId="21341" xr:uid="{00000000-0005-0000-0000-0000D3430000}"/>
    <cellStyle name="Normal 4 4 3 3 3 2 2 3 2 2" xfId="45917" xr:uid="{00000000-0005-0000-0000-0000D4430000}"/>
    <cellStyle name="Normal 4 4 3 3 3 2 2 3 3" xfId="33629" xr:uid="{00000000-0005-0000-0000-0000D5430000}"/>
    <cellStyle name="Normal 4 4 3 3 3 2 2 4" xfId="15197" xr:uid="{00000000-0005-0000-0000-0000D6430000}"/>
    <cellStyle name="Normal 4 4 3 3 3 2 2 4 2" xfId="39773" xr:uid="{00000000-0005-0000-0000-0000D7430000}"/>
    <cellStyle name="Normal 4 4 3 3 3 2 2 5" xfId="27485" xr:uid="{00000000-0005-0000-0000-0000D8430000}"/>
    <cellStyle name="Normal 4 4 3 3 3 2 3" xfId="4445" xr:uid="{00000000-0005-0000-0000-0000D9430000}"/>
    <cellStyle name="Normal 4 4 3 3 3 2 3 2" xfId="10589" xr:uid="{00000000-0005-0000-0000-0000DA430000}"/>
    <cellStyle name="Normal 4 4 3 3 3 2 3 2 2" xfId="22877" xr:uid="{00000000-0005-0000-0000-0000DB430000}"/>
    <cellStyle name="Normal 4 4 3 3 3 2 3 2 2 2" xfId="47453" xr:uid="{00000000-0005-0000-0000-0000DC430000}"/>
    <cellStyle name="Normal 4 4 3 3 3 2 3 2 3" xfId="35165" xr:uid="{00000000-0005-0000-0000-0000DD430000}"/>
    <cellStyle name="Normal 4 4 3 3 3 2 3 3" xfId="16733" xr:uid="{00000000-0005-0000-0000-0000DE430000}"/>
    <cellStyle name="Normal 4 4 3 3 3 2 3 3 2" xfId="41309" xr:uid="{00000000-0005-0000-0000-0000DF430000}"/>
    <cellStyle name="Normal 4 4 3 3 3 2 3 4" xfId="29021" xr:uid="{00000000-0005-0000-0000-0000E0430000}"/>
    <cellStyle name="Normal 4 4 3 3 3 2 4" xfId="7517" xr:uid="{00000000-0005-0000-0000-0000E1430000}"/>
    <cellStyle name="Normal 4 4 3 3 3 2 4 2" xfId="19805" xr:uid="{00000000-0005-0000-0000-0000E2430000}"/>
    <cellStyle name="Normal 4 4 3 3 3 2 4 2 2" xfId="44381" xr:uid="{00000000-0005-0000-0000-0000E3430000}"/>
    <cellStyle name="Normal 4 4 3 3 3 2 4 3" xfId="32093" xr:uid="{00000000-0005-0000-0000-0000E4430000}"/>
    <cellStyle name="Normal 4 4 3 3 3 2 5" xfId="13661" xr:uid="{00000000-0005-0000-0000-0000E5430000}"/>
    <cellStyle name="Normal 4 4 3 3 3 2 5 2" xfId="38237" xr:uid="{00000000-0005-0000-0000-0000E6430000}"/>
    <cellStyle name="Normal 4 4 3 3 3 2 6" xfId="25949" xr:uid="{00000000-0005-0000-0000-0000E7430000}"/>
    <cellStyle name="Normal 4 4 3 3 3 3" xfId="2137" xr:uid="{00000000-0005-0000-0000-0000E8430000}"/>
    <cellStyle name="Normal 4 4 3 3 3 3 2" xfId="5213" xr:uid="{00000000-0005-0000-0000-0000E9430000}"/>
    <cellStyle name="Normal 4 4 3 3 3 3 2 2" xfId="11357" xr:uid="{00000000-0005-0000-0000-0000EA430000}"/>
    <cellStyle name="Normal 4 4 3 3 3 3 2 2 2" xfId="23645" xr:uid="{00000000-0005-0000-0000-0000EB430000}"/>
    <cellStyle name="Normal 4 4 3 3 3 3 2 2 2 2" xfId="48221" xr:uid="{00000000-0005-0000-0000-0000EC430000}"/>
    <cellStyle name="Normal 4 4 3 3 3 3 2 2 3" xfId="35933" xr:uid="{00000000-0005-0000-0000-0000ED430000}"/>
    <cellStyle name="Normal 4 4 3 3 3 3 2 3" xfId="17501" xr:uid="{00000000-0005-0000-0000-0000EE430000}"/>
    <cellStyle name="Normal 4 4 3 3 3 3 2 3 2" xfId="42077" xr:uid="{00000000-0005-0000-0000-0000EF430000}"/>
    <cellStyle name="Normal 4 4 3 3 3 3 2 4" xfId="29789" xr:uid="{00000000-0005-0000-0000-0000F0430000}"/>
    <cellStyle name="Normal 4 4 3 3 3 3 3" xfId="8285" xr:uid="{00000000-0005-0000-0000-0000F1430000}"/>
    <cellStyle name="Normal 4 4 3 3 3 3 3 2" xfId="20573" xr:uid="{00000000-0005-0000-0000-0000F2430000}"/>
    <cellStyle name="Normal 4 4 3 3 3 3 3 2 2" xfId="45149" xr:uid="{00000000-0005-0000-0000-0000F3430000}"/>
    <cellStyle name="Normal 4 4 3 3 3 3 3 3" xfId="32861" xr:uid="{00000000-0005-0000-0000-0000F4430000}"/>
    <cellStyle name="Normal 4 4 3 3 3 3 4" xfId="14429" xr:uid="{00000000-0005-0000-0000-0000F5430000}"/>
    <cellStyle name="Normal 4 4 3 3 3 3 4 2" xfId="39005" xr:uid="{00000000-0005-0000-0000-0000F6430000}"/>
    <cellStyle name="Normal 4 4 3 3 3 3 5" xfId="26717" xr:uid="{00000000-0005-0000-0000-0000F7430000}"/>
    <cellStyle name="Normal 4 4 3 3 3 4" xfId="3677" xr:uid="{00000000-0005-0000-0000-0000F8430000}"/>
    <cellStyle name="Normal 4 4 3 3 3 4 2" xfId="9821" xr:uid="{00000000-0005-0000-0000-0000F9430000}"/>
    <cellStyle name="Normal 4 4 3 3 3 4 2 2" xfId="22109" xr:uid="{00000000-0005-0000-0000-0000FA430000}"/>
    <cellStyle name="Normal 4 4 3 3 3 4 2 2 2" xfId="46685" xr:uid="{00000000-0005-0000-0000-0000FB430000}"/>
    <cellStyle name="Normal 4 4 3 3 3 4 2 3" xfId="34397" xr:uid="{00000000-0005-0000-0000-0000FC430000}"/>
    <cellStyle name="Normal 4 4 3 3 3 4 3" xfId="15965" xr:uid="{00000000-0005-0000-0000-0000FD430000}"/>
    <cellStyle name="Normal 4 4 3 3 3 4 3 2" xfId="40541" xr:uid="{00000000-0005-0000-0000-0000FE430000}"/>
    <cellStyle name="Normal 4 4 3 3 3 4 4" xfId="28253" xr:uid="{00000000-0005-0000-0000-0000FF430000}"/>
    <cellStyle name="Normal 4 4 3 3 3 5" xfId="6749" xr:uid="{00000000-0005-0000-0000-000000440000}"/>
    <cellStyle name="Normal 4 4 3 3 3 5 2" xfId="19037" xr:uid="{00000000-0005-0000-0000-000001440000}"/>
    <cellStyle name="Normal 4 4 3 3 3 5 2 2" xfId="43613" xr:uid="{00000000-0005-0000-0000-000002440000}"/>
    <cellStyle name="Normal 4 4 3 3 3 5 3" xfId="31325" xr:uid="{00000000-0005-0000-0000-000003440000}"/>
    <cellStyle name="Normal 4 4 3 3 3 6" xfId="12893" xr:uid="{00000000-0005-0000-0000-000004440000}"/>
    <cellStyle name="Normal 4 4 3 3 3 6 2" xfId="37469" xr:uid="{00000000-0005-0000-0000-000005440000}"/>
    <cellStyle name="Normal 4 4 3 3 3 7" xfId="25181" xr:uid="{00000000-0005-0000-0000-000006440000}"/>
    <cellStyle name="Normal 4 4 3 3 4" xfId="985" xr:uid="{00000000-0005-0000-0000-000007440000}"/>
    <cellStyle name="Normal 4 4 3 3 4 2" xfId="2521" xr:uid="{00000000-0005-0000-0000-000008440000}"/>
    <cellStyle name="Normal 4 4 3 3 4 2 2" xfId="5597" xr:uid="{00000000-0005-0000-0000-000009440000}"/>
    <cellStyle name="Normal 4 4 3 3 4 2 2 2" xfId="11741" xr:uid="{00000000-0005-0000-0000-00000A440000}"/>
    <cellStyle name="Normal 4 4 3 3 4 2 2 2 2" xfId="24029" xr:uid="{00000000-0005-0000-0000-00000B440000}"/>
    <cellStyle name="Normal 4 4 3 3 4 2 2 2 2 2" xfId="48605" xr:uid="{00000000-0005-0000-0000-00000C440000}"/>
    <cellStyle name="Normal 4 4 3 3 4 2 2 2 3" xfId="36317" xr:uid="{00000000-0005-0000-0000-00000D440000}"/>
    <cellStyle name="Normal 4 4 3 3 4 2 2 3" xfId="17885" xr:uid="{00000000-0005-0000-0000-00000E440000}"/>
    <cellStyle name="Normal 4 4 3 3 4 2 2 3 2" xfId="42461" xr:uid="{00000000-0005-0000-0000-00000F440000}"/>
    <cellStyle name="Normal 4 4 3 3 4 2 2 4" xfId="30173" xr:uid="{00000000-0005-0000-0000-000010440000}"/>
    <cellStyle name="Normal 4 4 3 3 4 2 3" xfId="8669" xr:uid="{00000000-0005-0000-0000-000011440000}"/>
    <cellStyle name="Normal 4 4 3 3 4 2 3 2" xfId="20957" xr:uid="{00000000-0005-0000-0000-000012440000}"/>
    <cellStyle name="Normal 4 4 3 3 4 2 3 2 2" xfId="45533" xr:uid="{00000000-0005-0000-0000-000013440000}"/>
    <cellStyle name="Normal 4 4 3 3 4 2 3 3" xfId="33245" xr:uid="{00000000-0005-0000-0000-000014440000}"/>
    <cellStyle name="Normal 4 4 3 3 4 2 4" xfId="14813" xr:uid="{00000000-0005-0000-0000-000015440000}"/>
    <cellStyle name="Normal 4 4 3 3 4 2 4 2" xfId="39389" xr:uid="{00000000-0005-0000-0000-000016440000}"/>
    <cellStyle name="Normal 4 4 3 3 4 2 5" xfId="27101" xr:uid="{00000000-0005-0000-0000-000017440000}"/>
    <cellStyle name="Normal 4 4 3 3 4 3" xfId="4061" xr:uid="{00000000-0005-0000-0000-000018440000}"/>
    <cellStyle name="Normal 4 4 3 3 4 3 2" xfId="10205" xr:uid="{00000000-0005-0000-0000-000019440000}"/>
    <cellStyle name="Normal 4 4 3 3 4 3 2 2" xfId="22493" xr:uid="{00000000-0005-0000-0000-00001A440000}"/>
    <cellStyle name="Normal 4 4 3 3 4 3 2 2 2" xfId="47069" xr:uid="{00000000-0005-0000-0000-00001B440000}"/>
    <cellStyle name="Normal 4 4 3 3 4 3 2 3" xfId="34781" xr:uid="{00000000-0005-0000-0000-00001C440000}"/>
    <cellStyle name="Normal 4 4 3 3 4 3 3" xfId="16349" xr:uid="{00000000-0005-0000-0000-00001D440000}"/>
    <cellStyle name="Normal 4 4 3 3 4 3 3 2" xfId="40925" xr:uid="{00000000-0005-0000-0000-00001E440000}"/>
    <cellStyle name="Normal 4 4 3 3 4 3 4" xfId="28637" xr:uid="{00000000-0005-0000-0000-00001F440000}"/>
    <cellStyle name="Normal 4 4 3 3 4 4" xfId="7133" xr:uid="{00000000-0005-0000-0000-000020440000}"/>
    <cellStyle name="Normal 4 4 3 3 4 4 2" xfId="19421" xr:uid="{00000000-0005-0000-0000-000021440000}"/>
    <cellStyle name="Normal 4 4 3 3 4 4 2 2" xfId="43997" xr:uid="{00000000-0005-0000-0000-000022440000}"/>
    <cellStyle name="Normal 4 4 3 3 4 4 3" xfId="31709" xr:uid="{00000000-0005-0000-0000-000023440000}"/>
    <cellStyle name="Normal 4 4 3 3 4 5" xfId="13277" xr:uid="{00000000-0005-0000-0000-000024440000}"/>
    <cellStyle name="Normal 4 4 3 3 4 5 2" xfId="37853" xr:uid="{00000000-0005-0000-0000-000025440000}"/>
    <cellStyle name="Normal 4 4 3 3 4 6" xfId="25565" xr:uid="{00000000-0005-0000-0000-000026440000}"/>
    <cellStyle name="Normal 4 4 3 3 5" xfId="1753" xr:uid="{00000000-0005-0000-0000-000027440000}"/>
    <cellStyle name="Normal 4 4 3 3 5 2" xfId="4829" xr:uid="{00000000-0005-0000-0000-000028440000}"/>
    <cellStyle name="Normal 4 4 3 3 5 2 2" xfId="10973" xr:uid="{00000000-0005-0000-0000-000029440000}"/>
    <cellStyle name="Normal 4 4 3 3 5 2 2 2" xfId="23261" xr:uid="{00000000-0005-0000-0000-00002A440000}"/>
    <cellStyle name="Normal 4 4 3 3 5 2 2 2 2" xfId="47837" xr:uid="{00000000-0005-0000-0000-00002B440000}"/>
    <cellStyle name="Normal 4 4 3 3 5 2 2 3" xfId="35549" xr:uid="{00000000-0005-0000-0000-00002C440000}"/>
    <cellStyle name="Normal 4 4 3 3 5 2 3" xfId="17117" xr:uid="{00000000-0005-0000-0000-00002D440000}"/>
    <cellStyle name="Normal 4 4 3 3 5 2 3 2" xfId="41693" xr:uid="{00000000-0005-0000-0000-00002E440000}"/>
    <cellStyle name="Normal 4 4 3 3 5 2 4" xfId="29405" xr:uid="{00000000-0005-0000-0000-00002F440000}"/>
    <cellStyle name="Normal 4 4 3 3 5 3" xfId="7901" xr:uid="{00000000-0005-0000-0000-000030440000}"/>
    <cellStyle name="Normal 4 4 3 3 5 3 2" xfId="20189" xr:uid="{00000000-0005-0000-0000-000031440000}"/>
    <cellStyle name="Normal 4 4 3 3 5 3 2 2" xfId="44765" xr:uid="{00000000-0005-0000-0000-000032440000}"/>
    <cellStyle name="Normal 4 4 3 3 5 3 3" xfId="32477" xr:uid="{00000000-0005-0000-0000-000033440000}"/>
    <cellStyle name="Normal 4 4 3 3 5 4" xfId="14045" xr:uid="{00000000-0005-0000-0000-000034440000}"/>
    <cellStyle name="Normal 4 4 3 3 5 4 2" xfId="38621" xr:uid="{00000000-0005-0000-0000-000035440000}"/>
    <cellStyle name="Normal 4 4 3 3 5 5" xfId="26333" xr:uid="{00000000-0005-0000-0000-000036440000}"/>
    <cellStyle name="Normal 4 4 3 3 6" xfId="3293" xr:uid="{00000000-0005-0000-0000-000037440000}"/>
    <cellStyle name="Normal 4 4 3 3 6 2" xfId="9437" xr:uid="{00000000-0005-0000-0000-000038440000}"/>
    <cellStyle name="Normal 4 4 3 3 6 2 2" xfId="21725" xr:uid="{00000000-0005-0000-0000-000039440000}"/>
    <cellStyle name="Normal 4 4 3 3 6 2 2 2" xfId="46301" xr:uid="{00000000-0005-0000-0000-00003A440000}"/>
    <cellStyle name="Normal 4 4 3 3 6 2 3" xfId="34013" xr:uid="{00000000-0005-0000-0000-00003B440000}"/>
    <cellStyle name="Normal 4 4 3 3 6 3" xfId="15581" xr:uid="{00000000-0005-0000-0000-00003C440000}"/>
    <cellStyle name="Normal 4 4 3 3 6 3 2" xfId="40157" xr:uid="{00000000-0005-0000-0000-00003D440000}"/>
    <cellStyle name="Normal 4 4 3 3 6 4" xfId="27869" xr:uid="{00000000-0005-0000-0000-00003E440000}"/>
    <cellStyle name="Normal 4 4 3 3 7" xfId="6365" xr:uid="{00000000-0005-0000-0000-00003F440000}"/>
    <cellStyle name="Normal 4 4 3 3 7 2" xfId="18653" xr:uid="{00000000-0005-0000-0000-000040440000}"/>
    <cellStyle name="Normal 4 4 3 3 7 2 2" xfId="43229" xr:uid="{00000000-0005-0000-0000-000041440000}"/>
    <cellStyle name="Normal 4 4 3 3 7 3" xfId="30941" xr:uid="{00000000-0005-0000-0000-000042440000}"/>
    <cellStyle name="Normal 4 4 3 3 8" xfId="12509" xr:uid="{00000000-0005-0000-0000-000043440000}"/>
    <cellStyle name="Normal 4 4 3 3 8 2" xfId="37085" xr:uid="{00000000-0005-0000-0000-000044440000}"/>
    <cellStyle name="Normal 4 4 3 3 9" xfId="24797" xr:uid="{00000000-0005-0000-0000-000045440000}"/>
    <cellStyle name="Normal 4 4 3 4" xfId="281" xr:uid="{00000000-0005-0000-0000-000046440000}"/>
    <cellStyle name="Normal 4 4 3 4 2" xfId="473" xr:uid="{00000000-0005-0000-0000-000047440000}"/>
    <cellStyle name="Normal 4 4 3 4 2 2" xfId="857" xr:uid="{00000000-0005-0000-0000-000048440000}"/>
    <cellStyle name="Normal 4 4 3 4 2 2 2" xfId="1625" xr:uid="{00000000-0005-0000-0000-000049440000}"/>
    <cellStyle name="Normal 4 4 3 4 2 2 2 2" xfId="3161" xr:uid="{00000000-0005-0000-0000-00004A440000}"/>
    <cellStyle name="Normal 4 4 3 4 2 2 2 2 2" xfId="6237" xr:uid="{00000000-0005-0000-0000-00004B440000}"/>
    <cellStyle name="Normal 4 4 3 4 2 2 2 2 2 2" xfId="12381" xr:uid="{00000000-0005-0000-0000-00004C440000}"/>
    <cellStyle name="Normal 4 4 3 4 2 2 2 2 2 2 2" xfId="24669" xr:uid="{00000000-0005-0000-0000-00004D440000}"/>
    <cellStyle name="Normal 4 4 3 4 2 2 2 2 2 2 2 2" xfId="49245" xr:uid="{00000000-0005-0000-0000-00004E440000}"/>
    <cellStyle name="Normal 4 4 3 4 2 2 2 2 2 2 3" xfId="36957" xr:uid="{00000000-0005-0000-0000-00004F440000}"/>
    <cellStyle name="Normal 4 4 3 4 2 2 2 2 2 3" xfId="18525" xr:uid="{00000000-0005-0000-0000-000050440000}"/>
    <cellStyle name="Normal 4 4 3 4 2 2 2 2 2 3 2" xfId="43101" xr:uid="{00000000-0005-0000-0000-000051440000}"/>
    <cellStyle name="Normal 4 4 3 4 2 2 2 2 2 4" xfId="30813" xr:uid="{00000000-0005-0000-0000-000052440000}"/>
    <cellStyle name="Normal 4 4 3 4 2 2 2 2 3" xfId="9309" xr:uid="{00000000-0005-0000-0000-000053440000}"/>
    <cellStyle name="Normal 4 4 3 4 2 2 2 2 3 2" xfId="21597" xr:uid="{00000000-0005-0000-0000-000054440000}"/>
    <cellStyle name="Normal 4 4 3 4 2 2 2 2 3 2 2" xfId="46173" xr:uid="{00000000-0005-0000-0000-000055440000}"/>
    <cellStyle name="Normal 4 4 3 4 2 2 2 2 3 3" xfId="33885" xr:uid="{00000000-0005-0000-0000-000056440000}"/>
    <cellStyle name="Normal 4 4 3 4 2 2 2 2 4" xfId="15453" xr:uid="{00000000-0005-0000-0000-000057440000}"/>
    <cellStyle name="Normal 4 4 3 4 2 2 2 2 4 2" xfId="40029" xr:uid="{00000000-0005-0000-0000-000058440000}"/>
    <cellStyle name="Normal 4 4 3 4 2 2 2 2 5" xfId="27741" xr:uid="{00000000-0005-0000-0000-000059440000}"/>
    <cellStyle name="Normal 4 4 3 4 2 2 2 3" xfId="4701" xr:uid="{00000000-0005-0000-0000-00005A440000}"/>
    <cellStyle name="Normal 4 4 3 4 2 2 2 3 2" xfId="10845" xr:uid="{00000000-0005-0000-0000-00005B440000}"/>
    <cellStyle name="Normal 4 4 3 4 2 2 2 3 2 2" xfId="23133" xr:uid="{00000000-0005-0000-0000-00005C440000}"/>
    <cellStyle name="Normal 4 4 3 4 2 2 2 3 2 2 2" xfId="47709" xr:uid="{00000000-0005-0000-0000-00005D440000}"/>
    <cellStyle name="Normal 4 4 3 4 2 2 2 3 2 3" xfId="35421" xr:uid="{00000000-0005-0000-0000-00005E440000}"/>
    <cellStyle name="Normal 4 4 3 4 2 2 2 3 3" xfId="16989" xr:uid="{00000000-0005-0000-0000-00005F440000}"/>
    <cellStyle name="Normal 4 4 3 4 2 2 2 3 3 2" xfId="41565" xr:uid="{00000000-0005-0000-0000-000060440000}"/>
    <cellStyle name="Normal 4 4 3 4 2 2 2 3 4" xfId="29277" xr:uid="{00000000-0005-0000-0000-000061440000}"/>
    <cellStyle name="Normal 4 4 3 4 2 2 2 4" xfId="7773" xr:uid="{00000000-0005-0000-0000-000062440000}"/>
    <cellStyle name="Normal 4 4 3 4 2 2 2 4 2" xfId="20061" xr:uid="{00000000-0005-0000-0000-000063440000}"/>
    <cellStyle name="Normal 4 4 3 4 2 2 2 4 2 2" xfId="44637" xr:uid="{00000000-0005-0000-0000-000064440000}"/>
    <cellStyle name="Normal 4 4 3 4 2 2 2 4 3" xfId="32349" xr:uid="{00000000-0005-0000-0000-000065440000}"/>
    <cellStyle name="Normal 4 4 3 4 2 2 2 5" xfId="13917" xr:uid="{00000000-0005-0000-0000-000066440000}"/>
    <cellStyle name="Normal 4 4 3 4 2 2 2 5 2" xfId="38493" xr:uid="{00000000-0005-0000-0000-000067440000}"/>
    <cellStyle name="Normal 4 4 3 4 2 2 2 6" xfId="26205" xr:uid="{00000000-0005-0000-0000-000068440000}"/>
    <cellStyle name="Normal 4 4 3 4 2 2 3" xfId="2393" xr:uid="{00000000-0005-0000-0000-000069440000}"/>
    <cellStyle name="Normal 4 4 3 4 2 2 3 2" xfId="5469" xr:uid="{00000000-0005-0000-0000-00006A440000}"/>
    <cellStyle name="Normal 4 4 3 4 2 2 3 2 2" xfId="11613" xr:uid="{00000000-0005-0000-0000-00006B440000}"/>
    <cellStyle name="Normal 4 4 3 4 2 2 3 2 2 2" xfId="23901" xr:uid="{00000000-0005-0000-0000-00006C440000}"/>
    <cellStyle name="Normal 4 4 3 4 2 2 3 2 2 2 2" xfId="48477" xr:uid="{00000000-0005-0000-0000-00006D440000}"/>
    <cellStyle name="Normal 4 4 3 4 2 2 3 2 2 3" xfId="36189" xr:uid="{00000000-0005-0000-0000-00006E440000}"/>
    <cellStyle name="Normal 4 4 3 4 2 2 3 2 3" xfId="17757" xr:uid="{00000000-0005-0000-0000-00006F440000}"/>
    <cellStyle name="Normal 4 4 3 4 2 2 3 2 3 2" xfId="42333" xr:uid="{00000000-0005-0000-0000-000070440000}"/>
    <cellStyle name="Normal 4 4 3 4 2 2 3 2 4" xfId="30045" xr:uid="{00000000-0005-0000-0000-000071440000}"/>
    <cellStyle name="Normal 4 4 3 4 2 2 3 3" xfId="8541" xr:uid="{00000000-0005-0000-0000-000072440000}"/>
    <cellStyle name="Normal 4 4 3 4 2 2 3 3 2" xfId="20829" xr:uid="{00000000-0005-0000-0000-000073440000}"/>
    <cellStyle name="Normal 4 4 3 4 2 2 3 3 2 2" xfId="45405" xr:uid="{00000000-0005-0000-0000-000074440000}"/>
    <cellStyle name="Normal 4 4 3 4 2 2 3 3 3" xfId="33117" xr:uid="{00000000-0005-0000-0000-000075440000}"/>
    <cellStyle name="Normal 4 4 3 4 2 2 3 4" xfId="14685" xr:uid="{00000000-0005-0000-0000-000076440000}"/>
    <cellStyle name="Normal 4 4 3 4 2 2 3 4 2" xfId="39261" xr:uid="{00000000-0005-0000-0000-000077440000}"/>
    <cellStyle name="Normal 4 4 3 4 2 2 3 5" xfId="26973" xr:uid="{00000000-0005-0000-0000-000078440000}"/>
    <cellStyle name="Normal 4 4 3 4 2 2 4" xfId="3933" xr:uid="{00000000-0005-0000-0000-000079440000}"/>
    <cellStyle name="Normal 4 4 3 4 2 2 4 2" xfId="10077" xr:uid="{00000000-0005-0000-0000-00007A440000}"/>
    <cellStyle name="Normal 4 4 3 4 2 2 4 2 2" xfId="22365" xr:uid="{00000000-0005-0000-0000-00007B440000}"/>
    <cellStyle name="Normal 4 4 3 4 2 2 4 2 2 2" xfId="46941" xr:uid="{00000000-0005-0000-0000-00007C440000}"/>
    <cellStyle name="Normal 4 4 3 4 2 2 4 2 3" xfId="34653" xr:uid="{00000000-0005-0000-0000-00007D440000}"/>
    <cellStyle name="Normal 4 4 3 4 2 2 4 3" xfId="16221" xr:uid="{00000000-0005-0000-0000-00007E440000}"/>
    <cellStyle name="Normal 4 4 3 4 2 2 4 3 2" xfId="40797" xr:uid="{00000000-0005-0000-0000-00007F440000}"/>
    <cellStyle name="Normal 4 4 3 4 2 2 4 4" xfId="28509" xr:uid="{00000000-0005-0000-0000-000080440000}"/>
    <cellStyle name="Normal 4 4 3 4 2 2 5" xfId="7005" xr:uid="{00000000-0005-0000-0000-000081440000}"/>
    <cellStyle name="Normal 4 4 3 4 2 2 5 2" xfId="19293" xr:uid="{00000000-0005-0000-0000-000082440000}"/>
    <cellStyle name="Normal 4 4 3 4 2 2 5 2 2" xfId="43869" xr:uid="{00000000-0005-0000-0000-000083440000}"/>
    <cellStyle name="Normal 4 4 3 4 2 2 5 3" xfId="31581" xr:uid="{00000000-0005-0000-0000-000084440000}"/>
    <cellStyle name="Normal 4 4 3 4 2 2 6" xfId="13149" xr:uid="{00000000-0005-0000-0000-000085440000}"/>
    <cellStyle name="Normal 4 4 3 4 2 2 6 2" xfId="37725" xr:uid="{00000000-0005-0000-0000-000086440000}"/>
    <cellStyle name="Normal 4 4 3 4 2 2 7" xfId="25437" xr:uid="{00000000-0005-0000-0000-000087440000}"/>
    <cellStyle name="Normal 4 4 3 4 2 3" xfId="1241" xr:uid="{00000000-0005-0000-0000-000088440000}"/>
    <cellStyle name="Normal 4 4 3 4 2 3 2" xfId="2777" xr:uid="{00000000-0005-0000-0000-000089440000}"/>
    <cellStyle name="Normal 4 4 3 4 2 3 2 2" xfId="5853" xr:uid="{00000000-0005-0000-0000-00008A440000}"/>
    <cellStyle name="Normal 4 4 3 4 2 3 2 2 2" xfId="11997" xr:uid="{00000000-0005-0000-0000-00008B440000}"/>
    <cellStyle name="Normal 4 4 3 4 2 3 2 2 2 2" xfId="24285" xr:uid="{00000000-0005-0000-0000-00008C440000}"/>
    <cellStyle name="Normal 4 4 3 4 2 3 2 2 2 2 2" xfId="48861" xr:uid="{00000000-0005-0000-0000-00008D440000}"/>
    <cellStyle name="Normal 4 4 3 4 2 3 2 2 2 3" xfId="36573" xr:uid="{00000000-0005-0000-0000-00008E440000}"/>
    <cellStyle name="Normal 4 4 3 4 2 3 2 2 3" xfId="18141" xr:uid="{00000000-0005-0000-0000-00008F440000}"/>
    <cellStyle name="Normal 4 4 3 4 2 3 2 2 3 2" xfId="42717" xr:uid="{00000000-0005-0000-0000-000090440000}"/>
    <cellStyle name="Normal 4 4 3 4 2 3 2 2 4" xfId="30429" xr:uid="{00000000-0005-0000-0000-000091440000}"/>
    <cellStyle name="Normal 4 4 3 4 2 3 2 3" xfId="8925" xr:uid="{00000000-0005-0000-0000-000092440000}"/>
    <cellStyle name="Normal 4 4 3 4 2 3 2 3 2" xfId="21213" xr:uid="{00000000-0005-0000-0000-000093440000}"/>
    <cellStyle name="Normal 4 4 3 4 2 3 2 3 2 2" xfId="45789" xr:uid="{00000000-0005-0000-0000-000094440000}"/>
    <cellStyle name="Normal 4 4 3 4 2 3 2 3 3" xfId="33501" xr:uid="{00000000-0005-0000-0000-000095440000}"/>
    <cellStyle name="Normal 4 4 3 4 2 3 2 4" xfId="15069" xr:uid="{00000000-0005-0000-0000-000096440000}"/>
    <cellStyle name="Normal 4 4 3 4 2 3 2 4 2" xfId="39645" xr:uid="{00000000-0005-0000-0000-000097440000}"/>
    <cellStyle name="Normal 4 4 3 4 2 3 2 5" xfId="27357" xr:uid="{00000000-0005-0000-0000-000098440000}"/>
    <cellStyle name="Normal 4 4 3 4 2 3 3" xfId="4317" xr:uid="{00000000-0005-0000-0000-000099440000}"/>
    <cellStyle name="Normal 4 4 3 4 2 3 3 2" xfId="10461" xr:uid="{00000000-0005-0000-0000-00009A440000}"/>
    <cellStyle name="Normal 4 4 3 4 2 3 3 2 2" xfId="22749" xr:uid="{00000000-0005-0000-0000-00009B440000}"/>
    <cellStyle name="Normal 4 4 3 4 2 3 3 2 2 2" xfId="47325" xr:uid="{00000000-0005-0000-0000-00009C440000}"/>
    <cellStyle name="Normal 4 4 3 4 2 3 3 2 3" xfId="35037" xr:uid="{00000000-0005-0000-0000-00009D440000}"/>
    <cellStyle name="Normal 4 4 3 4 2 3 3 3" xfId="16605" xr:uid="{00000000-0005-0000-0000-00009E440000}"/>
    <cellStyle name="Normal 4 4 3 4 2 3 3 3 2" xfId="41181" xr:uid="{00000000-0005-0000-0000-00009F440000}"/>
    <cellStyle name="Normal 4 4 3 4 2 3 3 4" xfId="28893" xr:uid="{00000000-0005-0000-0000-0000A0440000}"/>
    <cellStyle name="Normal 4 4 3 4 2 3 4" xfId="7389" xr:uid="{00000000-0005-0000-0000-0000A1440000}"/>
    <cellStyle name="Normal 4 4 3 4 2 3 4 2" xfId="19677" xr:uid="{00000000-0005-0000-0000-0000A2440000}"/>
    <cellStyle name="Normal 4 4 3 4 2 3 4 2 2" xfId="44253" xr:uid="{00000000-0005-0000-0000-0000A3440000}"/>
    <cellStyle name="Normal 4 4 3 4 2 3 4 3" xfId="31965" xr:uid="{00000000-0005-0000-0000-0000A4440000}"/>
    <cellStyle name="Normal 4 4 3 4 2 3 5" xfId="13533" xr:uid="{00000000-0005-0000-0000-0000A5440000}"/>
    <cellStyle name="Normal 4 4 3 4 2 3 5 2" xfId="38109" xr:uid="{00000000-0005-0000-0000-0000A6440000}"/>
    <cellStyle name="Normal 4 4 3 4 2 3 6" xfId="25821" xr:uid="{00000000-0005-0000-0000-0000A7440000}"/>
    <cellStyle name="Normal 4 4 3 4 2 4" xfId="2009" xr:uid="{00000000-0005-0000-0000-0000A8440000}"/>
    <cellStyle name="Normal 4 4 3 4 2 4 2" xfId="5085" xr:uid="{00000000-0005-0000-0000-0000A9440000}"/>
    <cellStyle name="Normal 4 4 3 4 2 4 2 2" xfId="11229" xr:uid="{00000000-0005-0000-0000-0000AA440000}"/>
    <cellStyle name="Normal 4 4 3 4 2 4 2 2 2" xfId="23517" xr:uid="{00000000-0005-0000-0000-0000AB440000}"/>
    <cellStyle name="Normal 4 4 3 4 2 4 2 2 2 2" xfId="48093" xr:uid="{00000000-0005-0000-0000-0000AC440000}"/>
    <cellStyle name="Normal 4 4 3 4 2 4 2 2 3" xfId="35805" xr:uid="{00000000-0005-0000-0000-0000AD440000}"/>
    <cellStyle name="Normal 4 4 3 4 2 4 2 3" xfId="17373" xr:uid="{00000000-0005-0000-0000-0000AE440000}"/>
    <cellStyle name="Normal 4 4 3 4 2 4 2 3 2" xfId="41949" xr:uid="{00000000-0005-0000-0000-0000AF440000}"/>
    <cellStyle name="Normal 4 4 3 4 2 4 2 4" xfId="29661" xr:uid="{00000000-0005-0000-0000-0000B0440000}"/>
    <cellStyle name="Normal 4 4 3 4 2 4 3" xfId="8157" xr:uid="{00000000-0005-0000-0000-0000B1440000}"/>
    <cellStyle name="Normal 4 4 3 4 2 4 3 2" xfId="20445" xr:uid="{00000000-0005-0000-0000-0000B2440000}"/>
    <cellStyle name="Normal 4 4 3 4 2 4 3 2 2" xfId="45021" xr:uid="{00000000-0005-0000-0000-0000B3440000}"/>
    <cellStyle name="Normal 4 4 3 4 2 4 3 3" xfId="32733" xr:uid="{00000000-0005-0000-0000-0000B4440000}"/>
    <cellStyle name="Normal 4 4 3 4 2 4 4" xfId="14301" xr:uid="{00000000-0005-0000-0000-0000B5440000}"/>
    <cellStyle name="Normal 4 4 3 4 2 4 4 2" xfId="38877" xr:uid="{00000000-0005-0000-0000-0000B6440000}"/>
    <cellStyle name="Normal 4 4 3 4 2 4 5" xfId="26589" xr:uid="{00000000-0005-0000-0000-0000B7440000}"/>
    <cellStyle name="Normal 4 4 3 4 2 5" xfId="3549" xr:uid="{00000000-0005-0000-0000-0000B8440000}"/>
    <cellStyle name="Normal 4 4 3 4 2 5 2" xfId="9693" xr:uid="{00000000-0005-0000-0000-0000B9440000}"/>
    <cellStyle name="Normal 4 4 3 4 2 5 2 2" xfId="21981" xr:uid="{00000000-0005-0000-0000-0000BA440000}"/>
    <cellStyle name="Normal 4 4 3 4 2 5 2 2 2" xfId="46557" xr:uid="{00000000-0005-0000-0000-0000BB440000}"/>
    <cellStyle name="Normal 4 4 3 4 2 5 2 3" xfId="34269" xr:uid="{00000000-0005-0000-0000-0000BC440000}"/>
    <cellStyle name="Normal 4 4 3 4 2 5 3" xfId="15837" xr:uid="{00000000-0005-0000-0000-0000BD440000}"/>
    <cellStyle name="Normal 4 4 3 4 2 5 3 2" xfId="40413" xr:uid="{00000000-0005-0000-0000-0000BE440000}"/>
    <cellStyle name="Normal 4 4 3 4 2 5 4" xfId="28125" xr:uid="{00000000-0005-0000-0000-0000BF440000}"/>
    <cellStyle name="Normal 4 4 3 4 2 6" xfId="6621" xr:uid="{00000000-0005-0000-0000-0000C0440000}"/>
    <cellStyle name="Normal 4 4 3 4 2 6 2" xfId="18909" xr:uid="{00000000-0005-0000-0000-0000C1440000}"/>
    <cellStyle name="Normal 4 4 3 4 2 6 2 2" xfId="43485" xr:uid="{00000000-0005-0000-0000-0000C2440000}"/>
    <cellStyle name="Normal 4 4 3 4 2 6 3" xfId="31197" xr:uid="{00000000-0005-0000-0000-0000C3440000}"/>
    <cellStyle name="Normal 4 4 3 4 2 7" xfId="12765" xr:uid="{00000000-0005-0000-0000-0000C4440000}"/>
    <cellStyle name="Normal 4 4 3 4 2 7 2" xfId="37341" xr:uid="{00000000-0005-0000-0000-0000C5440000}"/>
    <cellStyle name="Normal 4 4 3 4 2 8" xfId="25053" xr:uid="{00000000-0005-0000-0000-0000C6440000}"/>
    <cellStyle name="Normal 4 4 3 4 3" xfId="665" xr:uid="{00000000-0005-0000-0000-0000C7440000}"/>
    <cellStyle name="Normal 4 4 3 4 3 2" xfId="1433" xr:uid="{00000000-0005-0000-0000-0000C8440000}"/>
    <cellStyle name="Normal 4 4 3 4 3 2 2" xfId="2969" xr:uid="{00000000-0005-0000-0000-0000C9440000}"/>
    <cellStyle name="Normal 4 4 3 4 3 2 2 2" xfId="6045" xr:uid="{00000000-0005-0000-0000-0000CA440000}"/>
    <cellStyle name="Normal 4 4 3 4 3 2 2 2 2" xfId="12189" xr:uid="{00000000-0005-0000-0000-0000CB440000}"/>
    <cellStyle name="Normal 4 4 3 4 3 2 2 2 2 2" xfId="24477" xr:uid="{00000000-0005-0000-0000-0000CC440000}"/>
    <cellStyle name="Normal 4 4 3 4 3 2 2 2 2 2 2" xfId="49053" xr:uid="{00000000-0005-0000-0000-0000CD440000}"/>
    <cellStyle name="Normal 4 4 3 4 3 2 2 2 2 3" xfId="36765" xr:uid="{00000000-0005-0000-0000-0000CE440000}"/>
    <cellStyle name="Normal 4 4 3 4 3 2 2 2 3" xfId="18333" xr:uid="{00000000-0005-0000-0000-0000CF440000}"/>
    <cellStyle name="Normal 4 4 3 4 3 2 2 2 3 2" xfId="42909" xr:uid="{00000000-0005-0000-0000-0000D0440000}"/>
    <cellStyle name="Normal 4 4 3 4 3 2 2 2 4" xfId="30621" xr:uid="{00000000-0005-0000-0000-0000D1440000}"/>
    <cellStyle name="Normal 4 4 3 4 3 2 2 3" xfId="9117" xr:uid="{00000000-0005-0000-0000-0000D2440000}"/>
    <cellStyle name="Normal 4 4 3 4 3 2 2 3 2" xfId="21405" xr:uid="{00000000-0005-0000-0000-0000D3440000}"/>
    <cellStyle name="Normal 4 4 3 4 3 2 2 3 2 2" xfId="45981" xr:uid="{00000000-0005-0000-0000-0000D4440000}"/>
    <cellStyle name="Normal 4 4 3 4 3 2 2 3 3" xfId="33693" xr:uid="{00000000-0005-0000-0000-0000D5440000}"/>
    <cellStyle name="Normal 4 4 3 4 3 2 2 4" xfId="15261" xr:uid="{00000000-0005-0000-0000-0000D6440000}"/>
    <cellStyle name="Normal 4 4 3 4 3 2 2 4 2" xfId="39837" xr:uid="{00000000-0005-0000-0000-0000D7440000}"/>
    <cellStyle name="Normal 4 4 3 4 3 2 2 5" xfId="27549" xr:uid="{00000000-0005-0000-0000-0000D8440000}"/>
    <cellStyle name="Normal 4 4 3 4 3 2 3" xfId="4509" xr:uid="{00000000-0005-0000-0000-0000D9440000}"/>
    <cellStyle name="Normal 4 4 3 4 3 2 3 2" xfId="10653" xr:uid="{00000000-0005-0000-0000-0000DA440000}"/>
    <cellStyle name="Normal 4 4 3 4 3 2 3 2 2" xfId="22941" xr:uid="{00000000-0005-0000-0000-0000DB440000}"/>
    <cellStyle name="Normal 4 4 3 4 3 2 3 2 2 2" xfId="47517" xr:uid="{00000000-0005-0000-0000-0000DC440000}"/>
    <cellStyle name="Normal 4 4 3 4 3 2 3 2 3" xfId="35229" xr:uid="{00000000-0005-0000-0000-0000DD440000}"/>
    <cellStyle name="Normal 4 4 3 4 3 2 3 3" xfId="16797" xr:uid="{00000000-0005-0000-0000-0000DE440000}"/>
    <cellStyle name="Normal 4 4 3 4 3 2 3 3 2" xfId="41373" xr:uid="{00000000-0005-0000-0000-0000DF440000}"/>
    <cellStyle name="Normal 4 4 3 4 3 2 3 4" xfId="29085" xr:uid="{00000000-0005-0000-0000-0000E0440000}"/>
    <cellStyle name="Normal 4 4 3 4 3 2 4" xfId="7581" xr:uid="{00000000-0005-0000-0000-0000E1440000}"/>
    <cellStyle name="Normal 4 4 3 4 3 2 4 2" xfId="19869" xr:uid="{00000000-0005-0000-0000-0000E2440000}"/>
    <cellStyle name="Normal 4 4 3 4 3 2 4 2 2" xfId="44445" xr:uid="{00000000-0005-0000-0000-0000E3440000}"/>
    <cellStyle name="Normal 4 4 3 4 3 2 4 3" xfId="32157" xr:uid="{00000000-0005-0000-0000-0000E4440000}"/>
    <cellStyle name="Normal 4 4 3 4 3 2 5" xfId="13725" xr:uid="{00000000-0005-0000-0000-0000E5440000}"/>
    <cellStyle name="Normal 4 4 3 4 3 2 5 2" xfId="38301" xr:uid="{00000000-0005-0000-0000-0000E6440000}"/>
    <cellStyle name="Normal 4 4 3 4 3 2 6" xfId="26013" xr:uid="{00000000-0005-0000-0000-0000E7440000}"/>
    <cellStyle name="Normal 4 4 3 4 3 3" xfId="2201" xr:uid="{00000000-0005-0000-0000-0000E8440000}"/>
    <cellStyle name="Normal 4 4 3 4 3 3 2" xfId="5277" xr:uid="{00000000-0005-0000-0000-0000E9440000}"/>
    <cellStyle name="Normal 4 4 3 4 3 3 2 2" xfId="11421" xr:uid="{00000000-0005-0000-0000-0000EA440000}"/>
    <cellStyle name="Normal 4 4 3 4 3 3 2 2 2" xfId="23709" xr:uid="{00000000-0005-0000-0000-0000EB440000}"/>
    <cellStyle name="Normal 4 4 3 4 3 3 2 2 2 2" xfId="48285" xr:uid="{00000000-0005-0000-0000-0000EC440000}"/>
    <cellStyle name="Normal 4 4 3 4 3 3 2 2 3" xfId="35997" xr:uid="{00000000-0005-0000-0000-0000ED440000}"/>
    <cellStyle name="Normal 4 4 3 4 3 3 2 3" xfId="17565" xr:uid="{00000000-0005-0000-0000-0000EE440000}"/>
    <cellStyle name="Normal 4 4 3 4 3 3 2 3 2" xfId="42141" xr:uid="{00000000-0005-0000-0000-0000EF440000}"/>
    <cellStyle name="Normal 4 4 3 4 3 3 2 4" xfId="29853" xr:uid="{00000000-0005-0000-0000-0000F0440000}"/>
    <cellStyle name="Normal 4 4 3 4 3 3 3" xfId="8349" xr:uid="{00000000-0005-0000-0000-0000F1440000}"/>
    <cellStyle name="Normal 4 4 3 4 3 3 3 2" xfId="20637" xr:uid="{00000000-0005-0000-0000-0000F2440000}"/>
    <cellStyle name="Normal 4 4 3 4 3 3 3 2 2" xfId="45213" xr:uid="{00000000-0005-0000-0000-0000F3440000}"/>
    <cellStyle name="Normal 4 4 3 4 3 3 3 3" xfId="32925" xr:uid="{00000000-0005-0000-0000-0000F4440000}"/>
    <cellStyle name="Normal 4 4 3 4 3 3 4" xfId="14493" xr:uid="{00000000-0005-0000-0000-0000F5440000}"/>
    <cellStyle name="Normal 4 4 3 4 3 3 4 2" xfId="39069" xr:uid="{00000000-0005-0000-0000-0000F6440000}"/>
    <cellStyle name="Normal 4 4 3 4 3 3 5" xfId="26781" xr:uid="{00000000-0005-0000-0000-0000F7440000}"/>
    <cellStyle name="Normal 4 4 3 4 3 4" xfId="3741" xr:uid="{00000000-0005-0000-0000-0000F8440000}"/>
    <cellStyle name="Normal 4 4 3 4 3 4 2" xfId="9885" xr:uid="{00000000-0005-0000-0000-0000F9440000}"/>
    <cellStyle name="Normal 4 4 3 4 3 4 2 2" xfId="22173" xr:uid="{00000000-0005-0000-0000-0000FA440000}"/>
    <cellStyle name="Normal 4 4 3 4 3 4 2 2 2" xfId="46749" xr:uid="{00000000-0005-0000-0000-0000FB440000}"/>
    <cellStyle name="Normal 4 4 3 4 3 4 2 3" xfId="34461" xr:uid="{00000000-0005-0000-0000-0000FC440000}"/>
    <cellStyle name="Normal 4 4 3 4 3 4 3" xfId="16029" xr:uid="{00000000-0005-0000-0000-0000FD440000}"/>
    <cellStyle name="Normal 4 4 3 4 3 4 3 2" xfId="40605" xr:uid="{00000000-0005-0000-0000-0000FE440000}"/>
    <cellStyle name="Normal 4 4 3 4 3 4 4" xfId="28317" xr:uid="{00000000-0005-0000-0000-0000FF440000}"/>
    <cellStyle name="Normal 4 4 3 4 3 5" xfId="6813" xr:uid="{00000000-0005-0000-0000-000000450000}"/>
    <cellStyle name="Normal 4 4 3 4 3 5 2" xfId="19101" xr:uid="{00000000-0005-0000-0000-000001450000}"/>
    <cellStyle name="Normal 4 4 3 4 3 5 2 2" xfId="43677" xr:uid="{00000000-0005-0000-0000-000002450000}"/>
    <cellStyle name="Normal 4 4 3 4 3 5 3" xfId="31389" xr:uid="{00000000-0005-0000-0000-000003450000}"/>
    <cellStyle name="Normal 4 4 3 4 3 6" xfId="12957" xr:uid="{00000000-0005-0000-0000-000004450000}"/>
    <cellStyle name="Normal 4 4 3 4 3 6 2" xfId="37533" xr:uid="{00000000-0005-0000-0000-000005450000}"/>
    <cellStyle name="Normal 4 4 3 4 3 7" xfId="25245" xr:uid="{00000000-0005-0000-0000-000006450000}"/>
    <cellStyle name="Normal 4 4 3 4 4" xfId="1049" xr:uid="{00000000-0005-0000-0000-000007450000}"/>
    <cellStyle name="Normal 4 4 3 4 4 2" xfId="2585" xr:uid="{00000000-0005-0000-0000-000008450000}"/>
    <cellStyle name="Normal 4 4 3 4 4 2 2" xfId="5661" xr:uid="{00000000-0005-0000-0000-000009450000}"/>
    <cellStyle name="Normal 4 4 3 4 4 2 2 2" xfId="11805" xr:uid="{00000000-0005-0000-0000-00000A450000}"/>
    <cellStyle name="Normal 4 4 3 4 4 2 2 2 2" xfId="24093" xr:uid="{00000000-0005-0000-0000-00000B450000}"/>
    <cellStyle name="Normal 4 4 3 4 4 2 2 2 2 2" xfId="48669" xr:uid="{00000000-0005-0000-0000-00000C450000}"/>
    <cellStyle name="Normal 4 4 3 4 4 2 2 2 3" xfId="36381" xr:uid="{00000000-0005-0000-0000-00000D450000}"/>
    <cellStyle name="Normal 4 4 3 4 4 2 2 3" xfId="17949" xr:uid="{00000000-0005-0000-0000-00000E450000}"/>
    <cellStyle name="Normal 4 4 3 4 4 2 2 3 2" xfId="42525" xr:uid="{00000000-0005-0000-0000-00000F450000}"/>
    <cellStyle name="Normal 4 4 3 4 4 2 2 4" xfId="30237" xr:uid="{00000000-0005-0000-0000-000010450000}"/>
    <cellStyle name="Normal 4 4 3 4 4 2 3" xfId="8733" xr:uid="{00000000-0005-0000-0000-000011450000}"/>
    <cellStyle name="Normal 4 4 3 4 4 2 3 2" xfId="21021" xr:uid="{00000000-0005-0000-0000-000012450000}"/>
    <cellStyle name="Normal 4 4 3 4 4 2 3 2 2" xfId="45597" xr:uid="{00000000-0005-0000-0000-000013450000}"/>
    <cellStyle name="Normal 4 4 3 4 4 2 3 3" xfId="33309" xr:uid="{00000000-0005-0000-0000-000014450000}"/>
    <cellStyle name="Normal 4 4 3 4 4 2 4" xfId="14877" xr:uid="{00000000-0005-0000-0000-000015450000}"/>
    <cellStyle name="Normal 4 4 3 4 4 2 4 2" xfId="39453" xr:uid="{00000000-0005-0000-0000-000016450000}"/>
    <cellStyle name="Normal 4 4 3 4 4 2 5" xfId="27165" xr:uid="{00000000-0005-0000-0000-000017450000}"/>
    <cellStyle name="Normal 4 4 3 4 4 3" xfId="4125" xr:uid="{00000000-0005-0000-0000-000018450000}"/>
    <cellStyle name="Normal 4 4 3 4 4 3 2" xfId="10269" xr:uid="{00000000-0005-0000-0000-000019450000}"/>
    <cellStyle name="Normal 4 4 3 4 4 3 2 2" xfId="22557" xr:uid="{00000000-0005-0000-0000-00001A450000}"/>
    <cellStyle name="Normal 4 4 3 4 4 3 2 2 2" xfId="47133" xr:uid="{00000000-0005-0000-0000-00001B450000}"/>
    <cellStyle name="Normal 4 4 3 4 4 3 2 3" xfId="34845" xr:uid="{00000000-0005-0000-0000-00001C450000}"/>
    <cellStyle name="Normal 4 4 3 4 4 3 3" xfId="16413" xr:uid="{00000000-0005-0000-0000-00001D450000}"/>
    <cellStyle name="Normal 4 4 3 4 4 3 3 2" xfId="40989" xr:uid="{00000000-0005-0000-0000-00001E450000}"/>
    <cellStyle name="Normal 4 4 3 4 4 3 4" xfId="28701" xr:uid="{00000000-0005-0000-0000-00001F450000}"/>
    <cellStyle name="Normal 4 4 3 4 4 4" xfId="7197" xr:uid="{00000000-0005-0000-0000-000020450000}"/>
    <cellStyle name="Normal 4 4 3 4 4 4 2" xfId="19485" xr:uid="{00000000-0005-0000-0000-000021450000}"/>
    <cellStyle name="Normal 4 4 3 4 4 4 2 2" xfId="44061" xr:uid="{00000000-0005-0000-0000-000022450000}"/>
    <cellStyle name="Normal 4 4 3 4 4 4 3" xfId="31773" xr:uid="{00000000-0005-0000-0000-000023450000}"/>
    <cellStyle name="Normal 4 4 3 4 4 5" xfId="13341" xr:uid="{00000000-0005-0000-0000-000024450000}"/>
    <cellStyle name="Normal 4 4 3 4 4 5 2" xfId="37917" xr:uid="{00000000-0005-0000-0000-000025450000}"/>
    <cellStyle name="Normal 4 4 3 4 4 6" xfId="25629" xr:uid="{00000000-0005-0000-0000-000026450000}"/>
    <cellStyle name="Normal 4 4 3 4 5" xfId="1817" xr:uid="{00000000-0005-0000-0000-000027450000}"/>
    <cellStyle name="Normal 4 4 3 4 5 2" xfId="4893" xr:uid="{00000000-0005-0000-0000-000028450000}"/>
    <cellStyle name="Normal 4 4 3 4 5 2 2" xfId="11037" xr:uid="{00000000-0005-0000-0000-000029450000}"/>
    <cellStyle name="Normal 4 4 3 4 5 2 2 2" xfId="23325" xr:uid="{00000000-0005-0000-0000-00002A450000}"/>
    <cellStyle name="Normal 4 4 3 4 5 2 2 2 2" xfId="47901" xr:uid="{00000000-0005-0000-0000-00002B450000}"/>
    <cellStyle name="Normal 4 4 3 4 5 2 2 3" xfId="35613" xr:uid="{00000000-0005-0000-0000-00002C450000}"/>
    <cellStyle name="Normal 4 4 3 4 5 2 3" xfId="17181" xr:uid="{00000000-0005-0000-0000-00002D450000}"/>
    <cellStyle name="Normal 4 4 3 4 5 2 3 2" xfId="41757" xr:uid="{00000000-0005-0000-0000-00002E450000}"/>
    <cellStyle name="Normal 4 4 3 4 5 2 4" xfId="29469" xr:uid="{00000000-0005-0000-0000-00002F450000}"/>
    <cellStyle name="Normal 4 4 3 4 5 3" xfId="7965" xr:uid="{00000000-0005-0000-0000-000030450000}"/>
    <cellStyle name="Normal 4 4 3 4 5 3 2" xfId="20253" xr:uid="{00000000-0005-0000-0000-000031450000}"/>
    <cellStyle name="Normal 4 4 3 4 5 3 2 2" xfId="44829" xr:uid="{00000000-0005-0000-0000-000032450000}"/>
    <cellStyle name="Normal 4 4 3 4 5 3 3" xfId="32541" xr:uid="{00000000-0005-0000-0000-000033450000}"/>
    <cellStyle name="Normal 4 4 3 4 5 4" xfId="14109" xr:uid="{00000000-0005-0000-0000-000034450000}"/>
    <cellStyle name="Normal 4 4 3 4 5 4 2" xfId="38685" xr:uid="{00000000-0005-0000-0000-000035450000}"/>
    <cellStyle name="Normal 4 4 3 4 5 5" xfId="26397" xr:uid="{00000000-0005-0000-0000-000036450000}"/>
    <cellStyle name="Normal 4 4 3 4 6" xfId="3357" xr:uid="{00000000-0005-0000-0000-000037450000}"/>
    <cellStyle name="Normal 4 4 3 4 6 2" xfId="9501" xr:uid="{00000000-0005-0000-0000-000038450000}"/>
    <cellStyle name="Normal 4 4 3 4 6 2 2" xfId="21789" xr:uid="{00000000-0005-0000-0000-000039450000}"/>
    <cellStyle name="Normal 4 4 3 4 6 2 2 2" xfId="46365" xr:uid="{00000000-0005-0000-0000-00003A450000}"/>
    <cellStyle name="Normal 4 4 3 4 6 2 3" xfId="34077" xr:uid="{00000000-0005-0000-0000-00003B450000}"/>
    <cellStyle name="Normal 4 4 3 4 6 3" xfId="15645" xr:uid="{00000000-0005-0000-0000-00003C450000}"/>
    <cellStyle name="Normal 4 4 3 4 6 3 2" xfId="40221" xr:uid="{00000000-0005-0000-0000-00003D450000}"/>
    <cellStyle name="Normal 4 4 3 4 6 4" xfId="27933" xr:uid="{00000000-0005-0000-0000-00003E450000}"/>
    <cellStyle name="Normal 4 4 3 4 7" xfId="6429" xr:uid="{00000000-0005-0000-0000-00003F450000}"/>
    <cellStyle name="Normal 4 4 3 4 7 2" xfId="18717" xr:uid="{00000000-0005-0000-0000-000040450000}"/>
    <cellStyle name="Normal 4 4 3 4 7 2 2" xfId="43293" xr:uid="{00000000-0005-0000-0000-000041450000}"/>
    <cellStyle name="Normal 4 4 3 4 7 3" xfId="31005" xr:uid="{00000000-0005-0000-0000-000042450000}"/>
    <cellStyle name="Normal 4 4 3 4 8" xfId="12573" xr:uid="{00000000-0005-0000-0000-000043450000}"/>
    <cellStyle name="Normal 4 4 3 4 8 2" xfId="37149" xr:uid="{00000000-0005-0000-0000-000044450000}"/>
    <cellStyle name="Normal 4 4 3 4 9" xfId="24861" xr:uid="{00000000-0005-0000-0000-000045450000}"/>
    <cellStyle name="Normal 4 4 3 5" xfId="345" xr:uid="{00000000-0005-0000-0000-000046450000}"/>
    <cellStyle name="Normal 4 4 3 5 2" xfId="729" xr:uid="{00000000-0005-0000-0000-000047450000}"/>
    <cellStyle name="Normal 4 4 3 5 2 2" xfId="1497" xr:uid="{00000000-0005-0000-0000-000048450000}"/>
    <cellStyle name="Normal 4 4 3 5 2 2 2" xfId="3033" xr:uid="{00000000-0005-0000-0000-000049450000}"/>
    <cellStyle name="Normal 4 4 3 5 2 2 2 2" xfId="6109" xr:uid="{00000000-0005-0000-0000-00004A450000}"/>
    <cellStyle name="Normal 4 4 3 5 2 2 2 2 2" xfId="12253" xr:uid="{00000000-0005-0000-0000-00004B450000}"/>
    <cellStyle name="Normal 4 4 3 5 2 2 2 2 2 2" xfId="24541" xr:uid="{00000000-0005-0000-0000-00004C450000}"/>
    <cellStyle name="Normal 4 4 3 5 2 2 2 2 2 2 2" xfId="49117" xr:uid="{00000000-0005-0000-0000-00004D450000}"/>
    <cellStyle name="Normal 4 4 3 5 2 2 2 2 2 3" xfId="36829" xr:uid="{00000000-0005-0000-0000-00004E450000}"/>
    <cellStyle name="Normal 4 4 3 5 2 2 2 2 3" xfId="18397" xr:uid="{00000000-0005-0000-0000-00004F450000}"/>
    <cellStyle name="Normal 4 4 3 5 2 2 2 2 3 2" xfId="42973" xr:uid="{00000000-0005-0000-0000-000050450000}"/>
    <cellStyle name="Normal 4 4 3 5 2 2 2 2 4" xfId="30685" xr:uid="{00000000-0005-0000-0000-000051450000}"/>
    <cellStyle name="Normal 4 4 3 5 2 2 2 3" xfId="9181" xr:uid="{00000000-0005-0000-0000-000052450000}"/>
    <cellStyle name="Normal 4 4 3 5 2 2 2 3 2" xfId="21469" xr:uid="{00000000-0005-0000-0000-000053450000}"/>
    <cellStyle name="Normal 4 4 3 5 2 2 2 3 2 2" xfId="46045" xr:uid="{00000000-0005-0000-0000-000054450000}"/>
    <cellStyle name="Normal 4 4 3 5 2 2 2 3 3" xfId="33757" xr:uid="{00000000-0005-0000-0000-000055450000}"/>
    <cellStyle name="Normal 4 4 3 5 2 2 2 4" xfId="15325" xr:uid="{00000000-0005-0000-0000-000056450000}"/>
    <cellStyle name="Normal 4 4 3 5 2 2 2 4 2" xfId="39901" xr:uid="{00000000-0005-0000-0000-000057450000}"/>
    <cellStyle name="Normal 4 4 3 5 2 2 2 5" xfId="27613" xr:uid="{00000000-0005-0000-0000-000058450000}"/>
    <cellStyle name="Normal 4 4 3 5 2 2 3" xfId="4573" xr:uid="{00000000-0005-0000-0000-000059450000}"/>
    <cellStyle name="Normal 4 4 3 5 2 2 3 2" xfId="10717" xr:uid="{00000000-0005-0000-0000-00005A450000}"/>
    <cellStyle name="Normal 4 4 3 5 2 2 3 2 2" xfId="23005" xr:uid="{00000000-0005-0000-0000-00005B450000}"/>
    <cellStyle name="Normal 4 4 3 5 2 2 3 2 2 2" xfId="47581" xr:uid="{00000000-0005-0000-0000-00005C450000}"/>
    <cellStyle name="Normal 4 4 3 5 2 2 3 2 3" xfId="35293" xr:uid="{00000000-0005-0000-0000-00005D450000}"/>
    <cellStyle name="Normal 4 4 3 5 2 2 3 3" xfId="16861" xr:uid="{00000000-0005-0000-0000-00005E450000}"/>
    <cellStyle name="Normal 4 4 3 5 2 2 3 3 2" xfId="41437" xr:uid="{00000000-0005-0000-0000-00005F450000}"/>
    <cellStyle name="Normal 4 4 3 5 2 2 3 4" xfId="29149" xr:uid="{00000000-0005-0000-0000-000060450000}"/>
    <cellStyle name="Normal 4 4 3 5 2 2 4" xfId="7645" xr:uid="{00000000-0005-0000-0000-000061450000}"/>
    <cellStyle name="Normal 4 4 3 5 2 2 4 2" xfId="19933" xr:uid="{00000000-0005-0000-0000-000062450000}"/>
    <cellStyle name="Normal 4 4 3 5 2 2 4 2 2" xfId="44509" xr:uid="{00000000-0005-0000-0000-000063450000}"/>
    <cellStyle name="Normal 4 4 3 5 2 2 4 3" xfId="32221" xr:uid="{00000000-0005-0000-0000-000064450000}"/>
    <cellStyle name="Normal 4 4 3 5 2 2 5" xfId="13789" xr:uid="{00000000-0005-0000-0000-000065450000}"/>
    <cellStyle name="Normal 4 4 3 5 2 2 5 2" xfId="38365" xr:uid="{00000000-0005-0000-0000-000066450000}"/>
    <cellStyle name="Normal 4 4 3 5 2 2 6" xfId="26077" xr:uid="{00000000-0005-0000-0000-000067450000}"/>
    <cellStyle name="Normal 4 4 3 5 2 3" xfId="2265" xr:uid="{00000000-0005-0000-0000-000068450000}"/>
    <cellStyle name="Normal 4 4 3 5 2 3 2" xfId="5341" xr:uid="{00000000-0005-0000-0000-000069450000}"/>
    <cellStyle name="Normal 4 4 3 5 2 3 2 2" xfId="11485" xr:uid="{00000000-0005-0000-0000-00006A450000}"/>
    <cellStyle name="Normal 4 4 3 5 2 3 2 2 2" xfId="23773" xr:uid="{00000000-0005-0000-0000-00006B450000}"/>
    <cellStyle name="Normal 4 4 3 5 2 3 2 2 2 2" xfId="48349" xr:uid="{00000000-0005-0000-0000-00006C450000}"/>
    <cellStyle name="Normal 4 4 3 5 2 3 2 2 3" xfId="36061" xr:uid="{00000000-0005-0000-0000-00006D450000}"/>
    <cellStyle name="Normal 4 4 3 5 2 3 2 3" xfId="17629" xr:uid="{00000000-0005-0000-0000-00006E450000}"/>
    <cellStyle name="Normal 4 4 3 5 2 3 2 3 2" xfId="42205" xr:uid="{00000000-0005-0000-0000-00006F450000}"/>
    <cellStyle name="Normal 4 4 3 5 2 3 2 4" xfId="29917" xr:uid="{00000000-0005-0000-0000-000070450000}"/>
    <cellStyle name="Normal 4 4 3 5 2 3 3" xfId="8413" xr:uid="{00000000-0005-0000-0000-000071450000}"/>
    <cellStyle name="Normal 4 4 3 5 2 3 3 2" xfId="20701" xr:uid="{00000000-0005-0000-0000-000072450000}"/>
    <cellStyle name="Normal 4 4 3 5 2 3 3 2 2" xfId="45277" xr:uid="{00000000-0005-0000-0000-000073450000}"/>
    <cellStyle name="Normal 4 4 3 5 2 3 3 3" xfId="32989" xr:uid="{00000000-0005-0000-0000-000074450000}"/>
    <cellStyle name="Normal 4 4 3 5 2 3 4" xfId="14557" xr:uid="{00000000-0005-0000-0000-000075450000}"/>
    <cellStyle name="Normal 4 4 3 5 2 3 4 2" xfId="39133" xr:uid="{00000000-0005-0000-0000-000076450000}"/>
    <cellStyle name="Normal 4 4 3 5 2 3 5" xfId="26845" xr:uid="{00000000-0005-0000-0000-000077450000}"/>
    <cellStyle name="Normal 4 4 3 5 2 4" xfId="3805" xr:uid="{00000000-0005-0000-0000-000078450000}"/>
    <cellStyle name="Normal 4 4 3 5 2 4 2" xfId="9949" xr:uid="{00000000-0005-0000-0000-000079450000}"/>
    <cellStyle name="Normal 4 4 3 5 2 4 2 2" xfId="22237" xr:uid="{00000000-0005-0000-0000-00007A450000}"/>
    <cellStyle name="Normal 4 4 3 5 2 4 2 2 2" xfId="46813" xr:uid="{00000000-0005-0000-0000-00007B450000}"/>
    <cellStyle name="Normal 4 4 3 5 2 4 2 3" xfId="34525" xr:uid="{00000000-0005-0000-0000-00007C450000}"/>
    <cellStyle name="Normal 4 4 3 5 2 4 3" xfId="16093" xr:uid="{00000000-0005-0000-0000-00007D450000}"/>
    <cellStyle name="Normal 4 4 3 5 2 4 3 2" xfId="40669" xr:uid="{00000000-0005-0000-0000-00007E450000}"/>
    <cellStyle name="Normal 4 4 3 5 2 4 4" xfId="28381" xr:uid="{00000000-0005-0000-0000-00007F450000}"/>
    <cellStyle name="Normal 4 4 3 5 2 5" xfId="6877" xr:uid="{00000000-0005-0000-0000-000080450000}"/>
    <cellStyle name="Normal 4 4 3 5 2 5 2" xfId="19165" xr:uid="{00000000-0005-0000-0000-000081450000}"/>
    <cellStyle name="Normal 4 4 3 5 2 5 2 2" xfId="43741" xr:uid="{00000000-0005-0000-0000-000082450000}"/>
    <cellStyle name="Normal 4 4 3 5 2 5 3" xfId="31453" xr:uid="{00000000-0005-0000-0000-000083450000}"/>
    <cellStyle name="Normal 4 4 3 5 2 6" xfId="13021" xr:uid="{00000000-0005-0000-0000-000084450000}"/>
    <cellStyle name="Normal 4 4 3 5 2 6 2" xfId="37597" xr:uid="{00000000-0005-0000-0000-000085450000}"/>
    <cellStyle name="Normal 4 4 3 5 2 7" xfId="25309" xr:uid="{00000000-0005-0000-0000-000086450000}"/>
    <cellStyle name="Normal 4 4 3 5 3" xfId="1113" xr:uid="{00000000-0005-0000-0000-000087450000}"/>
    <cellStyle name="Normal 4 4 3 5 3 2" xfId="2649" xr:uid="{00000000-0005-0000-0000-000088450000}"/>
    <cellStyle name="Normal 4 4 3 5 3 2 2" xfId="5725" xr:uid="{00000000-0005-0000-0000-000089450000}"/>
    <cellStyle name="Normal 4 4 3 5 3 2 2 2" xfId="11869" xr:uid="{00000000-0005-0000-0000-00008A450000}"/>
    <cellStyle name="Normal 4 4 3 5 3 2 2 2 2" xfId="24157" xr:uid="{00000000-0005-0000-0000-00008B450000}"/>
    <cellStyle name="Normal 4 4 3 5 3 2 2 2 2 2" xfId="48733" xr:uid="{00000000-0005-0000-0000-00008C450000}"/>
    <cellStyle name="Normal 4 4 3 5 3 2 2 2 3" xfId="36445" xr:uid="{00000000-0005-0000-0000-00008D450000}"/>
    <cellStyle name="Normal 4 4 3 5 3 2 2 3" xfId="18013" xr:uid="{00000000-0005-0000-0000-00008E450000}"/>
    <cellStyle name="Normal 4 4 3 5 3 2 2 3 2" xfId="42589" xr:uid="{00000000-0005-0000-0000-00008F450000}"/>
    <cellStyle name="Normal 4 4 3 5 3 2 2 4" xfId="30301" xr:uid="{00000000-0005-0000-0000-000090450000}"/>
    <cellStyle name="Normal 4 4 3 5 3 2 3" xfId="8797" xr:uid="{00000000-0005-0000-0000-000091450000}"/>
    <cellStyle name="Normal 4 4 3 5 3 2 3 2" xfId="21085" xr:uid="{00000000-0005-0000-0000-000092450000}"/>
    <cellStyle name="Normal 4 4 3 5 3 2 3 2 2" xfId="45661" xr:uid="{00000000-0005-0000-0000-000093450000}"/>
    <cellStyle name="Normal 4 4 3 5 3 2 3 3" xfId="33373" xr:uid="{00000000-0005-0000-0000-000094450000}"/>
    <cellStyle name="Normal 4 4 3 5 3 2 4" xfId="14941" xr:uid="{00000000-0005-0000-0000-000095450000}"/>
    <cellStyle name="Normal 4 4 3 5 3 2 4 2" xfId="39517" xr:uid="{00000000-0005-0000-0000-000096450000}"/>
    <cellStyle name="Normal 4 4 3 5 3 2 5" xfId="27229" xr:uid="{00000000-0005-0000-0000-000097450000}"/>
    <cellStyle name="Normal 4 4 3 5 3 3" xfId="4189" xr:uid="{00000000-0005-0000-0000-000098450000}"/>
    <cellStyle name="Normal 4 4 3 5 3 3 2" xfId="10333" xr:uid="{00000000-0005-0000-0000-000099450000}"/>
    <cellStyle name="Normal 4 4 3 5 3 3 2 2" xfId="22621" xr:uid="{00000000-0005-0000-0000-00009A450000}"/>
    <cellStyle name="Normal 4 4 3 5 3 3 2 2 2" xfId="47197" xr:uid="{00000000-0005-0000-0000-00009B450000}"/>
    <cellStyle name="Normal 4 4 3 5 3 3 2 3" xfId="34909" xr:uid="{00000000-0005-0000-0000-00009C450000}"/>
    <cellStyle name="Normal 4 4 3 5 3 3 3" xfId="16477" xr:uid="{00000000-0005-0000-0000-00009D450000}"/>
    <cellStyle name="Normal 4 4 3 5 3 3 3 2" xfId="41053" xr:uid="{00000000-0005-0000-0000-00009E450000}"/>
    <cellStyle name="Normal 4 4 3 5 3 3 4" xfId="28765" xr:uid="{00000000-0005-0000-0000-00009F450000}"/>
    <cellStyle name="Normal 4 4 3 5 3 4" xfId="7261" xr:uid="{00000000-0005-0000-0000-0000A0450000}"/>
    <cellStyle name="Normal 4 4 3 5 3 4 2" xfId="19549" xr:uid="{00000000-0005-0000-0000-0000A1450000}"/>
    <cellStyle name="Normal 4 4 3 5 3 4 2 2" xfId="44125" xr:uid="{00000000-0005-0000-0000-0000A2450000}"/>
    <cellStyle name="Normal 4 4 3 5 3 4 3" xfId="31837" xr:uid="{00000000-0005-0000-0000-0000A3450000}"/>
    <cellStyle name="Normal 4 4 3 5 3 5" xfId="13405" xr:uid="{00000000-0005-0000-0000-0000A4450000}"/>
    <cellStyle name="Normal 4 4 3 5 3 5 2" xfId="37981" xr:uid="{00000000-0005-0000-0000-0000A5450000}"/>
    <cellStyle name="Normal 4 4 3 5 3 6" xfId="25693" xr:uid="{00000000-0005-0000-0000-0000A6450000}"/>
    <cellStyle name="Normal 4 4 3 5 4" xfId="1881" xr:uid="{00000000-0005-0000-0000-0000A7450000}"/>
    <cellStyle name="Normal 4 4 3 5 4 2" xfId="4957" xr:uid="{00000000-0005-0000-0000-0000A8450000}"/>
    <cellStyle name="Normal 4 4 3 5 4 2 2" xfId="11101" xr:uid="{00000000-0005-0000-0000-0000A9450000}"/>
    <cellStyle name="Normal 4 4 3 5 4 2 2 2" xfId="23389" xr:uid="{00000000-0005-0000-0000-0000AA450000}"/>
    <cellStyle name="Normal 4 4 3 5 4 2 2 2 2" xfId="47965" xr:uid="{00000000-0005-0000-0000-0000AB450000}"/>
    <cellStyle name="Normal 4 4 3 5 4 2 2 3" xfId="35677" xr:uid="{00000000-0005-0000-0000-0000AC450000}"/>
    <cellStyle name="Normal 4 4 3 5 4 2 3" xfId="17245" xr:uid="{00000000-0005-0000-0000-0000AD450000}"/>
    <cellStyle name="Normal 4 4 3 5 4 2 3 2" xfId="41821" xr:uid="{00000000-0005-0000-0000-0000AE450000}"/>
    <cellStyle name="Normal 4 4 3 5 4 2 4" xfId="29533" xr:uid="{00000000-0005-0000-0000-0000AF450000}"/>
    <cellStyle name="Normal 4 4 3 5 4 3" xfId="8029" xr:uid="{00000000-0005-0000-0000-0000B0450000}"/>
    <cellStyle name="Normal 4 4 3 5 4 3 2" xfId="20317" xr:uid="{00000000-0005-0000-0000-0000B1450000}"/>
    <cellStyle name="Normal 4 4 3 5 4 3 2 2" xfId="44893" xr:uid="{00000000-0005-0000-0000-0000B2450000}"/>
    <cellStyle name="Normal 4 4 3 5 4 3 3" xfId="32605" xr:uid="{00000000-0005-0000-0000-0000B3450000}"/>
    <cellStyle name="Normal 4 4 3 5 4 4" xfId="14173" xr:uid="{00000000-0005-0000-0000-0000B4450000}"/>
    <cellStyle name="Normal 4 4 3 5 4 4 2" xfId="38749" xr:uid="{00000000-0005-0000-0000-0000B5450000}"/>
    <cellStyle name="Normal 4 4 3 5 4 5" xfId="26461" xr:uid="{00000000-0005-0000-0000-0000B6450000}"/>
    <cellStyle name="Normal 4 4 3 5 5" xfId="3421" xr:uid="{00000000-0005-0000-0000-0000B7450000}"/>
    <cellStyle name="Normal 4 4 3 5 5 2" xfId="9565" xr:uid="{00000000-0005-0000-0000-0000B8450000}"/>
    <cellStyle name="Normal 4 4 3 5 5 2 2" xfId="21853" xr:uid="{00000000-0005-0000-0000-0000B9450000}"/>
    <cellStyle name="Normal 4 4 3 5 5 2 2 2" xfId="46429" xr:uid="{00000000-0005-0000-0000-0000BA450000}"/>
    <cellStyle name="Normal 4 4 3 5 5 2 3" xfId="34141" xr:uid="{00000000-0005-0000-0000-0000BB450000}"/>
    <cellStyle name="Normal 4 4 3 5 5 3" xfId="15709" xr:uid="{00000000-0005-0000-0000-0000BC450000}"/>
    <cellStyle name="Normal 4 4 3 5 5 3 2" xfId="40285" xr:uid="{00000000-0005-0000-0000-0000BD450000}"/>
    <cellStyle name="Normal 4 4 3 5 5 4" xfId="27997" xr:uid="{00000000-0005-0000-0000-0000BE450000}"/>
    <cellStyle name="Normal 4 4 3 5 6" xfId="6493" xr:uid="{00000000-0005-0000-0000-0000BF450000}"/>
    <cellStyle name="Normal 4 4 3 5 6 2" xfId="18781" xr:uid="{00000000-0005-0000-0000-0000C0450000}"/>
    <cellStyle name="Normal 4 4 3 5 6 2 2" xfId="43357" xr:uid="{00000000-0005-0000-0000-0000C1450000}"/>
    <cellStyle name="Normal 4 4 3 5 6 3" xfId="31069" xr:uid="{00000000-0005-0000-0000-0000C2450000}"/>
    <cellStyle name="Normal 4 4 3 5 7" xfId="12637" xr:uid="{00000000-0005-0000-0000-0000C3450000}"/>
    <cellStyle name="Normal 4 4 3 5 7 2" xfId="37213" xr:uid="{00000000-0005-0000-0000-0000C4450000}"/>
    <cellStyle name="Normal 4 4 3 5 8" xfId="24925" xr:uid="{00000000-0005-0000-0000-0000C5450000}"/>
    <cellStyle name="Normal 4 4 3 6" xfId="537" xr:uid="{00000000-0005-0000-0000-0000C6450000}"/>
    <cellStyle name="Normal 4 4 3 6 2" xfId="1305" xr:uid="{00000000-0005-0000-0000-0000C7450000}"/>
    <cellStyle name="Normal 4 4 3 6 2 2" xfId="2841" xr:uid="{00000000-0005-0000-0000-0000C8450000}"/>
    <cellStyle name="Normal 4 4 3 6 2 2 2" xfId="5917" xr:uid="{00000000-0005-0000-0000-0000C9450000}"/>
    <cellStyle name="Normal 4 4 3 6 2 2 2 2" xfId="12061" xr:uid="{00000000-0005-0000-0000-0000CA450000}"/>
    <cellStyle name="Normal 4 4 3 6 2 2 2 2 2" xfId="24349" xr:uid="{00000000-0005-0000-0000-0000CB450000}"/>
    <cellStyle name="Normal 4 4 3 6 2 2 2 2 2 2" xfId="48925" xr:uid="{00000000-0005-0000-0000-0000CC450000}"/>
    <cellStyle name="Normal 4 4 3 6 2 2 2 2 3" xfId="36637" xr:uid="{00000000-0005-0000-0000-0000CD450000}"/>
    <cellStyle name="Normal 4 4 3 6 2 2 2 3" xfId="18205" xr:uid="{00000000-0005-0000-0000-0000CE450000}"/>
    <cellStyle name="Normal 4 4 3 6 2 2 2 3 2" xfId="42781" xr:uid="{00000000-0005-0000-0000-0000CF450000}"/>
    <cellStyle name="Normal 4 4 3 6 2 2 2 4" xfId="30493" xr:uid="{00000000-0005-0000-0000-0000D0450000}"/>
    <cellStyle name="Normal 4 4 3 6 2 2 3" xfId="8989" xr:uid="{00000000-0005-0000-0000-0000D1450000}"/>
    <cellStyle name="Normal 4 4 3 6 2 2 3 2" xfId="21277" xr:uid="{00000000-0005-0000-0000-0000D2450000}"/>
    <cellStyle name="Normal 4 4 3 6 2 2 3 2 2" xfId="45853" xr:uid="{00000000-0005-0000-0000-0000D3450000}"/>
    <cellStyle name="Normal 4 4 3 6 2 2 3 3" xfId="33565" xr:uid="{00000000-0005-0000-0000-0000D4450000}"/>
    <cellStyle name="Normal 4 4 3 6 2 2 4" xfId="15133" xr:uid="{00000000-0005-0000-0000-0000D5450000}"/>
    <cellStyle name="Normal 4 4 3 6 2 2 4 2" xfId="39709" xr:uid="{00000000-0005-0000-0000-0000D6450000}"/>
    <cellStyle name="Normal 4 4 3 6 2 2 5" xfId="27421" xr:uid="{00000000-0005-0000-0000-0000D7450000}"/>
    <cellStyle name="Normal 4 4 3 6 2 3" xfId="4381" xr:uid="{00000000-0005-0000-0000-0000D8450000}"/>
    <cellStyle name="Normal 4 4 3 6 2 3 2" xfId="10525" xr:uid="{00000000-0005-0000-0000-0000D9450000}"/>
    <cellStyle name="Normal 4 4 3 6 2 3 2 2" xfId="22813" xr:uid="{00000000-0005-0000-0000-0000DA450000}"/>
    <cellStyle name="Normal 4 4 3 6 2 3 2 2 2" xfId="47389" xr:uid="{00000000-0005-0000-0000-0000DB450000}"/>
    <cellStyle name="Normal 4 4 3 6 2 3 2 3" xfId="35101" xr:uid="{00000000-0005-0000-0000-0000DC450000}"/>
    <cellStyle name="Normal 4 4 3 6 2 3 3" xfId="16669" xr:uid="{00000000-0005-0000-0000-0000DD450000}"/>
    <cellStyle name="Normal 4 4 3 6 2 3 3 2" xfId="41245" xr:uid="{00000000-0005-0000-0000-0000DE450000}"/>
    <cellStyle name="Normal 4 4 3 6 2 3 4" xfId="28957" xr:uid="{00000000-0005-0000-0000-0000DF450000}"/>
    <cellStyle name="Normal 4 4 3 6 2 4" xfId="7453" xr:uid="{00000000-0005-0000-0000-0000E0450000}"/>
    <cellStyle name="Normal 4 4 3 6 2 4 2" xfId="19741" xr:uid="{00000000-0005-0000-0000-0000E1450000}"/>
    <cellStyle name="Normal 4 4 3 6 2 4 2 2" xfId="44317" xr:uid="{00000000-0005-0000-0000-0000E2450000}"/>
    <cellStyle name="Normal 4 4 3 6 2 4 3" xfId="32029" xr:uid="{00000000-0005-0000-0000-0000E3450000}"/>
    <cellStyle name="Normal 4 4 3 6 2 5" xfId="13597" xr:uid="{00000000-0005-0000-0000-0000E4450000}"/>
    <cellStyle name="Normal 4 4 3 6 2 5 2" xfId="38173" xr:uid="{00000000-0005-0000-0000-0000E5450000}"/>
    <cellStyle name="Normal 4 4 3 6 2 6" xfId="25885" xr:uid="{00000000-0005-0000-0000-0000E6450000}"/>
    <cellStyle name="Normal 4 4 3 6 3" xfId="2073" xr:uid="{00000000-0005-0000-0000-0000E7450000}"/>
    <cellStyle name="Normal 4 4 3 6 3 2" xfId="5149" xr:uid="{00000000-0005-0000-0000-0000E8450000}"/>
    <cellStyle name="Normal 4 4 3 6 3 2 2" xfId="11293" xr:uid="{00000000-0005-0000-0000-0000E9450000}"/>
    <cellStyle name="Normal 4 4 3 6 3 2 2 2" xfId="23581" xr:uid="{00000000-0005-0000-0000-0000EA450000}"/>
    <cellStyle name="Normal 4 4 3 6 3 2 2 2 2" xfId="48157" xr:uid="{00000000-0005-0000-0000-0000EB450000}"/>
    <cellStyle name="Normal 4 4 3 6 3 2 2 3" xfId="35869" xr:uid="{00000000-0005-0000-0000-0000EC450000}"/>
    <cellStyle name="Normal 4 4 3 6 3 2 3" xfId="17437" xr:uid="{00000000-0005-0000-0000-0000ED450000}"/>
    <cellStyle name="Normal 4 4 3 6 3 2 3 2" xfId="42013" xr:uid="{00000000-0005-0000-0000-0000EE450000}"/>
    <cellStyle name="Normal 4 4 3 6 3 2 4" xfId="29725" xr:uid="{00000000-0005-0000-0000-0000EF450000}"/>
    <cellStyle name="Normal 4 4 3 6 3 3" xfId="8221" xr:uid="{00000000-0005-0000-0000-0000F0450000}"/>
    <cellStyle name="Normal 4 4 3 6 3 3 2" xfId="20509" xr:uid="{00000000-0005-0000-0000-0000F1450000}"/>
    <cellStyle name="Normal 4 4 3 6 3 3 2 2" xfId="45085" xr:uid="{00000000-0005-0000-0000-0000F2450000}"/>
    <cellStyle name="Normal 4 4 3 6 3 3 3" xfId="32797" xr:uid="{00000000-0005-0000-0000-0000F3450000}"/>
    <cellStyle name="Normal 4 4 3 6 3 4" xfId="14365" xr:uid="{00000000-0005-0000-0000-0000F4450000}"/>
    <cellStyle name="Normal 4 4 3 6 3 4 2" xfId="38941" xr:uid="{00000000-0005-0000-0000-0000F5450000}"/>
    <cellStyle name="Normal 4 4 3 6 3 5" xfId="26653" xr:uid="{00000000-0005-0000-0000-0000F6450000}"/>
    <cellStyle name="Normal 4 4 3 6 4" xfId="3613" xr:uid="{00000000-0005-0000-0000-0000F7450000}"/>
    <cellStyle name="Normal 4 4 3 6 4 2" xfId="9757" xr:uid="{00000000-0005-0000-0000-0000F8450000}"/>
    <cellStyle name="Normal 4 4 3 6 4 2 2" xfId="22045" xr:uid="{00000000-0005-0000-0000-0000F9450000}"/>
    <cellStyle name="Normal 4 4 3 6 4 2 2 2" xfId="46621" xr:uid="{00000000-0005-0000-0000-0000FA450000}"/>
    <cellStyle name="Normal 4 4 3 6 4 2 3" xfId="34333" xr:uid="{00000000-0005-0000-0000-0000FB450000}"/>
    <cellStyle name="Normal 4 4 3 6 4 3" xfId="15901" xr:uid="{00000000-0005-0000-0000-0000FC450000}"/>
    <cellStyle name="Normal 4 4 3 6 4 3 2" xfId="40477" xr:uid="{00000000-0005-0000-0000-0000FD450000}"/>
    <cellStyle name="Normal 4 4 3 6 4 4" xfId="28189" xr:uid="{00000000-0005-0000-0000-0000FE450000}"/>
    <cellStyle name="Normal 4 4 3 6 5" xfId="6685" xr:uid="{00000000-0005-0000-0000-0000FF450000}"/>
    <cellStyle name="Normal 4 4 3 6 5 2" xfId="18973" xr:uid="{00000000-0005-0000-0000-000000460000}"/>
    <cellStyle name="Normal 4 4 3 6 5 2 2" xfId="43549" xr:uid="{00000000-0005-0000-0000-000001460000}"/>
    <cellStyle name="Normal 4 4 3 6 5 3" xfId="31261" xr:uid="{00000000-0005-0000-0000-000002460000}"/>
    <cellStyle name="Normal 4 4 3 6 6" xfId="12829" xr:uid="{00000000-0005-0000-0000-000003460000}"/>
    <cellStyle name="Normal 4 4 3 6 6 2" xfId="37405" xr:uid="{00000000-0005-0000-0000-000004460000}"/>
    <cellStyle name="Normal 4 4 3 6 7" xfId="25117" xr:uid="{00000000-0005-0000-0000-000005460000}"/>
    <cellStyle name="Normal 4 4 3 7" xfId="921" xr:uid="{00000000-0005-0000-0000-000006460000}"/>
    <cellStyle name="Normal 4 4 3 7 2" xfId="2457" xr:uid="{00000000-0005-0000-0000-000007460000}"/>
    <cellStyle name="Normal 4 4 3 7 2 2" xfId="5533" xr:uid="{00000000-0005-0000-0000-000008460000}"/>
    <cellStyle name="Normal 4 4 3 7 2 2 2" xfId="11677" xr:uid="{00000000-0005-0000-0000-000009460000}"/>
    <cellStyle name="Normal 4 4 3 7 2 2 2 2" xfId="23965" xr:uid="{00000000-0005-0000-0000-00000A460000}"/>
    <cellStyle name="Normal 4 4 3 7 2 2 2 2 2" xfId="48541" xr:uid="{00000000-0005-0000-0000-00000B460000}"/>
    <cellStyle name="Normal 4 4 3 7 2 2 2 3" xfId="36253" xr:uid="{00000000-0005-0000-0000-00000C460000}"/>
    <cellStyle name="Normal 4 4 3 7 2 2 3" xfId="17821" xr:uid="{00000000-0005-0000-0000-00000D460000}"/>
    <cellStyle name="Normal 4 4 3 7 2 2 3 2" xfId="42397" xr:uid="{00000000-0005-0000-0000-00000E460000}"/>
    <cellStyle name="Normal 4 4 3 7 2 2 4" xfId="30109" xr:uid="{00000000-0005-0000-0000-00000F460000}"/>
    <cellStyle name="Normal 4 4 3 7 2 3" xfId="8605" xr:uid="{00000000-0005-0000-0000-000010460000}"/>
    <cellStyle name="Normal 4 4 3 7 2 3 2" xfId="20893" xr:uid="{00000000-0005-0000-0000-000011460000}"/>
    <cellStyle name="Normal 4 4 3 7 2 3 2 2" xfId="45469" xr:uid="{00000000-0005-0000-0000-000012460000}"/>
    <cellStyle name="Normal 4 4 3 7 2 3 3" xfId="33181" xr:uid="{00000000-0005-0000-0000-000013460000}"/>
    <cellStyle name="Normal 4 4 3 7 2 4" xfId="14749" xr:uid="{00000000-0005-0000-0000-000014460000}"/>
    <cellStyle name="Normal 4 4 3 7 2 4 2" xfId="39325" xr:uid="{00000000-0005-0000-0000-000015460000}"/>
    <cellStyle name="Normal 4 4 3 7 2 5" xfId="27037" xr:uid="{00000000-0005-0000-0000-000016460000}"/>
    <cellStyle name="Normal 4 4 3 7 3" xfId="3997" xr:uid="{00000000-0005-0000-0000-000017460000}"/>
    <cellStyle name="Normal 4 4 3 7 3 2" xfId="10141" xr:uid="{00000000-0005-0000-0000-000018460000}"/>
    <cellStyle name="Normal 4 4 3 7 3 2 2" xfId="22429" xr:uid="{00000000-0005-0000-0000-000019460000}"/>
    <cellStyle name="Normal 4 4 3 7 3 2 2 2" xfId="47005" xr:uid="{00000000-0005-0000-0000-00001A460000}"/>
    <cellStyle name="Normal 4 4 3 7 3 2 3" xfId="34717" xr:uid="{00000000-0005-0000-0000-00001B460000}"/>
    <cellStyle name="Normal 4 4 3 7 3 3" xfId="16285" xr:uid="{00000000-0005-0000-0000-00001C460000}"/>
    <cellStyle name="Normal 4 4 3 7 3 3 2" xfId="40861" xr:uid="{00000000-0005-0000-0000-00001D460000}"/>
    <cellStyle name="Normal 4 4 3 7 3 4" xfId="28573" xr:uid="{00000000-0005-0000-0000-00001E460000}"/>
    <cellStyle name="Normal 4 4 3 7 4" xfId="7069" xr:uid="{00000000-0005-0000-0000-00001F460000}"/>
    <cellStyle name="Normal 4 4 3 7 4 2" xfId="19357" xr:uid="{00000000-0005-0000-0000-000020460000}"/>
    <cellStyle name="Normal 4 4 3 7 4 2 2" xfId="43933" xr:uid="{00000000-0005-0000-0000-000021460000}"/>
    <cellStyle name="Normal 4 4 3 7 4 3" xfId="31645" xr:uid="{00000000-0005-0000-0000-000022460000}"/>
    <cellStyle name="Normal 4 4 3 7 5" xfId="13213" xr:uid="{00000000-0005-0000-0000-000023460000}"/>
    <cellStyle name="Normal 4 4 3 7 5 2" xfId="37789" xr:uid="{00000000-0005-0000-0000-000024460000}"/>
    <cellStyle name="Normal 4 4 3 7 6" xfId="25501" xr:uid="{00000000-0005-0000-0000-000025460000}"/>
    <cellStyle name="Normal 4 4 3 8" xfId="1689" xr:uid="{00000000-0005-0000-0000-000026460000}"/>
    <cellStyle name="Normal 4 4 3 8 2" xfId="4765" xr:uid="{00000000-0005-0000-0000-000027460000}"/>
    <cellStyle name="Normal 4 4 3 8 2 2" xfId="10909" xr:uid="{00000000-0005-0000-0000-000028460000}"/>
    <cellStyle name="Normal 4 4 3 8 2 2 2" xfId="23197" xr:uid="{00000000-0005-0000-0000-000029460000}"/>
    <cellStyle name="Normal 4 4 3 8 2 2 2 2" xfId="47773" xr:uid="{00000000-0005-0000-0000-00002A460000}"/>
    <cellStyle name="Normal 4 4 3 8 2 2 3" xfId="35485" xr:uid="{00000000-0005-0000-0000-00002B460000}"/>
    <cellStyle name="Normal 4 4 3 8 2 3" xfId="17053" xr:uid="{00000000-0005-0000-0000-00002C460000}"/>
    <cellStyle name="Normal 4 4 3 8 2 3 2" xfId="41629" xr:uid="{00000000-0005-0000-0000-00002D460000}"/>
    <cellStyle name="Normal 4 4 3 8 2 4" xfId="29341" xr:uid="{00000000-0005-0000-0000-00002E460000}"/>
    <cellStyle name="Normal 4 4 3 8 3" xfId="7837" xr:uid="{00000000-0005-0000-0000-00002F460000}"/>
    <cellStyle name="Normal 4 4 3 8 3 2" xfId="20125" xr:uid="{00000000-0005-0000-0000-000030460000}"/>
    <cellStyle name="Normal 4 4 3 8 3 2 2" xfId="44701" xr:uid="{00000000-0005-0000-0000-000031460000}"/>
    <cellStyle name="Normal 4 4 3 8 3 3" xfId="32413" xr:uid="{00000000-0005-0000-0000-000032460000}"/>
    <cellStyle name="Normal 4 4 3 8 4" xfId="13981" xr:uid="{00000000-0005-0000-0000-000033460000}"/>
    <cellStyle name="Normal 4 4 3 8 4 2" xfId="38557" xr:uid="{00000000-0005-0000-0000-000034460000}"/>
    <cellStyle name="Normal 4 4 3 8 5" xfId="26269" xr:uid="{00000000-0005-0000-0000-000035460000}"/>
    <cellStyle name="Normal 4 4 3 9" xfId="3229" xr:uid="{00000000-0005-0000-0000-000036460000}"/>
    <cellStyle name="Normal 4 4 3 9 2" xfId="9373" xr:uid="{00000000-0005-0000-0000-000037460000}"/>
    <cellStyle name="Normal 4 4 3 9 2 2" xfId="21661" xr:uid="{00000000-0005-0000-0000-000038460000}"/>
    <cellStyle name="Normal 4 4 3 9 2 2 2" xfId="46237" xr:uid="{00000000-0005-0000-0000-000039460000}"/>
    <cellStyle name="Normal 4 4 3 9 2 3" xfId="33949" xr:uid="{00000000-0005-0000-0000-00003A460000}"/>
    <cellStyle name="Normal 4 4 3 9 3" xfId="15517" xr:uid="{00000000-0005-0000-0000-00003B460000}"/>
    <cellStyle name="Normal 4 4 3 9 3 2" xfId="40093" xr:uid="{00000000-0005-0000-0000-00003C460000}"/>
    <cellStyle name="Normal 4 4 3 9 4" xfId="27805" xr:uid="{00000000-0005-0000-0000-00003D460000}"/>
    <cellStyle name="Normal 4 4 4" xfId="168" xr:uid="{00000000-0005-0000-0000-00003E460000}"/>
    <cellStyle name="Normal 4 4 4 10" xfId="12461" xr:uid="{00000000-0005-0000-0000-00003F460000}"/>
    <cellStyle name="Normal 4 4 4 10 2" xfId="37037" xr:uid="{00000000-0005-0000-0000-000040460000}"/>
    <cellStyle name="Normal 4 4 4 11" xfId="24749" xr:uid="{00000000-0005-0000-0000-000041460000}"/>
    <cellStyle name="Normal 4 4 4 2" xfId="233" xr:uid="{00000000-0005-0000-0000-000042460000}"/>
    <cellStyle name="Normal 4 4 4 2 2" xfId="425" xr:uid="{00000000-0005-0000-0000-000043460000}"/>
    <cellStyle name="Normal 4 4 4 2 2 2" xfId="809" xr:uid="{00000000-0005-0000-0000-000044460000}"/>
    <cellStyle name="Normal 4 4 4 2 2 2 2" xfId="1577" xr:uid="{00000000-0005-0000-0000-000045460000}"/>
    <cellStyle name="Normal 4 4 4 2 2 2 2 2" xfId="3113" xr:uid="{00000000-0005-0000-0000-000046460000}"/>
    <cellStyle name="Normal 4 4 4 2 2 2 2 2 2" xfId="6189" xr:uid="{00000000-0005-0000-0000-000047460000}"/>
    <cellStyle name="Normal 4 4 4 2 2 2 2 2 2 2" xfId="12333" xr:uid="{00000000-0005-0000-0000-000048460000}"/>
    <cellStyle name="Normal 4 4 4 2 2 2 2 2 2 2 2" xfId="24621" xr:uid="{00000000-0005-0000-0000-000049460000}"/>
    <cellStyle name="Normal 4 4 4 2 2 2 2 2 2 2 2 2" xfId="49197" xr:uid="{00000000-0005-0000-0000-00004A460000}"/>
    <cellStyle name="Normal 4 4 4 2 2 2 2 2 2 2 3" xfId="36909" xr:uid="{00000000-0005-0000-0000-00004B460000}"/>
    <cellStyle name="Normal 4 4 4 2 2 2 2 2 2 3" xfId="18477" xr:uid="{00000000-0005-0000-0000-00004C460000}"/>
    <cellStyle name="Normal 4 4 4 2 2 2 2 2 2 3 2" xfId="43053" xr:uid="{00000000-0005-0000-0000-00004D460000}"/>
    <cellStyle name="Normal 4 4 4 2 2 2 2 2 2 4" xfId="30765" xr:uid="{00000000-0005-0000-0000-00004E460000}"/>
    <cellStyle name="Normal 4 4 4 2 2 2 2 2 3" xfId="9261" xr:uid="{00000000-0005-0000-0000-00004F460000}"/>
    <cellStyle name="Normal 4 4 4 2 2 2 2 2 3 2" xfId="21549" xr:uid="{00000000-0005-0000-0000-000050460000}"/>
    <cellStyle name="Normal 4 4 4 2 2 2 2 2 3 2 2" xfId="46125" xr:uid="{00000000-0005-0000-0000-000051460000}"/>
    <cellStyle name="Normal 4 4 4 2 2 2 2 2 3 3" xfId="33837" xr:uid="{00000000-0005-0000-0000-000052460000}"/>
    <cellStyle name="Normal 4 4 4 2 2 2 2 2 4" xfId="15405" xr:uid="{00000000-0005-0000-0000-000053460000}"/>
    <cellStyle name="Normal 4 4 4 2 2 2 2 2 4 2" xfId="39981" xr:uid="{00000000-0005-0000-0000-000054460000}"/>
    <cellStyle name="Normal 4 4 4 2 2 2 2 2 5" xfId="27693" xr:uid="{00000000-0005-0000-0000-000055460000}"/>
    <cellStyle name="Normal 4 4 4 2 2 2 2 3" xfId="4653" xr:uid="{00000000-0005-0000-0000-000056460000}"/>
    <cellStyle name="Normal 4 4 4 2 2 2 2 3 2" xfId="10797" xr:uid="{00000000-0005-0000-0000-000057460000}"/>
    <cellStyle name="Normal 4 4 4 2 2 2 2 3 2 2" xfId="23085" xr:uid="{00000000-0005-0000-0000-000058460000}"/>
    <cellStyle name="Normal 4 4 4 2 2 2 2 3 2 2 2" xfId="47661" xr:uid="{00000000-0005-0000-0000-000059460000}"/>
    <cellStyle name="Normal 4 4 4 2 2 2 2 3 2 3" xfId="35373" xr:uid="{00000000-0005-0000-0000-00005A460000}"/>
    <cellStyle name="Normal 4 4 4 2 2 2 2 3 3" xfId="16941" xr:uid="{00000000-0005-0000-0000-00005B460000}"/>
    <cellStyle name="Normal 4 4 4 2 2 2 2 3 3 2" xfId="41517" xr:uid="{00000000-0005-0000-0000-00005C460000}"/>
    <cellStyle name="Normal 4 4 4 2 2 2 2 3 4" xfId="29229" xr:uid="{00000000-0005-0000-0000-00005D460000}"/>
    <cellStyle name="Normal 4 4 4 2 2 2 2 4" xfId="7725" xr:uid="{00000000-0005-0000-0000-00005E460000}"/>
    <cellStyle name="Normal 4 4 4 2 2 2 2 4 2" xfId="20013" xr:uid="{00000000-0005-0000-0000-00005F460000}"/>
    <cellStyle name="Normal 4 4 4 2 2 2 2 4 2 2" xfId="44589" xr:uid="{00000000-0005-0000-0000-000060460000}"/>
    <cellStyle name="Normal 4 4 4 2 2 2 2 4 3" xfId="32301" xr:uid="{00000000-0005-0000-0000-000061460000}"/>
    <cellStyle name="Normal 4 4 4 2 2 2 2 5" xfId="13869" xr:uid="{00000000-0005-0000-0000-000062460000}"/>
    <cellStyle name="Normal 4 4 4 2 2 2 2 5 2" xfId="38445" xr:uid="{00000000-0005-0000-0000-000063460000}"/>
    <cellStyle name="Normal 4 4 4 2 2 2 2 6" xfId="26157" xr:uid="{00000000-0005-0000-0000-000064460000}"/>
    <cellStyle name="Normal 4 4 4 2 2 2 3" xfId="2345" xr:uid="{00000000-0005-0000-0000-000065460000}"/>
    <cellStyle name="Normal 4 4 4 2 2 2 3 2" xfId="5421" xr:uid="{00000000-0005-0000-0000-000066460000}"/>
    <cellStyle name="Normal 4 4 4 2 2 2 3 2 2" xfId="11565" xr:uid="{00000000-0005-0000-0000-000067460000}"/>
    <cellStyle name="Normal 4 4 4 2 2 2 3 2 2 2" xfId="23853" xr:uid="{00000000-0005-0000-0000-000068460000}"/>
    <cellStyle name="Normal 4 4 4 2 2 2 3 2 2 2 2" xfId="48429" xr:uid="{00000000-0005-0000-0000-000069460000}"/>
    <cellStyle name="Normal 4 4 4 2 2 2 3 2 2 3" xfId="36141" xr:uid="{00000000-0005-0000-0000-00006A460000}"/>
    <cellStyle name="Normal 4 4 4 2 2 2 3 2 3" xfId="17709" xr:uid="{00000000-0005-0000-0000-00006B460000}"/>
    <cellStyle name="Normal 4 4 4 2 2 2 3 2 3 2" xfId="42285" xr:uid="{00000000-0005-0000-0000-00006C460000}"/>
    <cellStyle name="Normal 4 4 4 2 2 2 3 2 4" xfId="29997" xr:uid="{00000000-0005-0000-0000-00006D460000}"/>
    <cellStyle name="Normal 4 4 4 2 2 2 3 3" xfId="8493" xr:uid="{00000000-0005-0000-0000-00006E460000}"/>
    <cellStyle name="Normal 4 4 4 2 2 2 3 3 2" xfId="20781" xr:uid="{00000000-0005-0000-0000-00006F460000}"/>
    <cellStyle name="Normal 4 4 4 2 2 2 3 3 2 2" xfId="45357" xr:uid="{00000000-0005-0000-0000-000070460000}"/>
    <cellStyle name="Normal 4 4 4 2 2 2 3 3 3" xfId="33069" xr:uid="{00000000-0005-0000-0000-000071460000}"/>
    <cellStyle name="Normal 4 4 4 2 2 2 3 4" xfId="14637" xr:uid="{00000000-0005-0000-0000-000072460000}"/>
    <cellStyle name="Normal 4 4 4 2 2 2 3 4 2" xfId="39213" xr:uid="{00000000-0005-0000-0000-000073460000}"/>
    <cellStyle name="Normal 4 4 4 2 2 2 3 5" xfId="26925" xr:uid="{00000000-0005-0000-0000-000074460000}"/>
    <cellStyle name="Normal 4 4 4 2 2 2 4" xfId="3885" xr:uid="{00000000-0005-0000-0000-000075460000}"/>
    <cellStyle name="Normal 4 4 4 2 2 2 4 2" xfId="10029" xr:uid="{00000000-0005-0000-0000-000076460000}"/>
    <cellStyle name="Normal 4 4 4 2 2 2 4 2 2" xfId="22317" xr:uid="{00000000-0005-0000-0000-000077460000}"/>
    <cellStyle name="Normal 4 4 4 2 2 2 4 2 2 2" xfId="46893" xr:uid="{00000000-0005-0000-0000-000078460000}"/>
    <cellStyle name="Normal 4 4 4 2 2 2 4 2 3" xfId="34605" xr:uid="{00000000-0005-0000-0000-000079460000}"/>
    <cellStyle name="Normal 4 4 4 2 2 2 4 3" xfId="16173" xr:uid="{00000000-0005-0000-0000-00007A460000}"/>
    <cellStyle name="Normal 4 4 4 2 2 2 4 3 2" xfId="40749" xr:uid="{00000000-0005-0000-0000-00007B460000}"/>
    <cellStyle name="Normal 4 4 4 2 2 2 4 4" xfId="28461" xr:uid="{00000000-0005-0000-0000-00007C460000}"/>
    <cellStyle name="Normal 4 4 4 2 2 2 5" xfId="6957" xr:uid="{00000000-0005-0000-0000-00007D460000}"/>
    <cellStyle name="Normal 4 4 4 2 2 2 5 2" xfId="19245" xr:uid="{00000000-0005-0000-0000-00007E460000}"/>
    <cellStyle name="Normal 4 4 4 2 2 2 5 2 2" xfId="43821" xr:uid="{00000000-0005-0000-0000-00007F460000}"/>
    <cellStyle name="Normal 4 4 4 2 2 2 5 3" xfId="31533" xr:uid="{00000000-0005-0000-0000-000080460000}"/>
    <cellStyle name="Normal 4 4 4 2 2 2 6" xfId="13101" xr:uid="{00000000-0005-0000-0000-000081460000}"/>
    <cellStyle name="Normal 4 4 4 2 2 2 6 2" xfId="37677" xr:uid="{00000000-0005-0000-0000-000082460000}"/>
    <cellStyle name="Normal 4 4 4 2 2 2 7" xfId="25389" xr:uid="{00000000-0005-0000-0000-000083460000}"/>
    <cellStyle name="Normal 4 4 4 2 2 3" xfId="1193" xr:uid="{00000000-0005-0000-0000-000084460000}"/>
    <cellStyle name="Normal 4 4 4 2 2 3 2" xfId="2729" xr:uid="{00000000-0005-0000-0000-000085460000}"/>
    <cellStyle name="Normal 4 4 4 2 2 3 2 2" xfId="5805" xr:uid="{00000000-0005-0000-0000-000086460000}"/>
    <cellStyle name="Normal 4 4 4 2 2 3 2 2 2" xfId="11949" xr:uid="{00000000-0005-0000-0000-000087460000}"/>
    <cellStyle name="Normal 4 4 4 2 2 3 2 2 2 2" xfId="24237" xr:uid="{00000000-0005-0000-0000-000088460000}"/>
    <cellStyle name="Normal 4 4 4 2 2 3 2 2 2 2 2" xfId="48813" xr:uid="{00000000-0005-0000-0000-000089460000}"/>
    <cellStyle name="Normal 4 4 4 2 2 3 2 2 2 3" xfId="36525" xr:uid="{00000000-0005-0000-0000-00008A460000}"/>
    <cellStyle name="Normal 4 4 4 2 2 3 2 2 3" xfId="18093" xr:uid="{00000000-0005-0000-0000-00008B460000}"/>
    <cellStyle name="Normal 4 4 4 2 2 3 2 2 3 2" xfId="42669" xr:uid="{00000000-0005-0000-0000-00008C460000}"/>
    <cellStyle name="Normal 4 4 4 2 2 3 2 2 4" xfId="30381" xr:uid="{00000000-0005-0000-0000-00008D460000}"/>
    <cellStyle name="Normal 4 4 4 2 2 3 2 3" xfId="8877" xr:uid="{00000000-0005-0000-0000-00008E460000}"/>
    <cellStyle name="Normal 4 4 4 2 2 3 2 3 2" xfId="21165" xr:uid="{00000000-0005-0000-0000-00008F460000}"/>
    <cellStyle name="Normal 4 4 4 2 2 3 2 3 2 2" xfId="45741" xr:uid="{00000000-0005-0000-0000-000090460000}"/>
    <cellStyle name="Normal 4 4 4 2 2 3 2 3 3" xfId="33453" xr:uid="{00000000-0005-0000-0000-000091460000}"/>
    <cellStyle name="Normal 4 4 4 2 2 3 2 4" xfId="15021" xr:uid="{00000000-0005-0000-0000-000092460000}"/>
    <cellStyle name="Normal 4 4 4 2 2 3 2 4 2" xfId="39597" xr:uid="{00000000-0005-0000-0000-000093460000}"/>
    <cellStyle name="Normal 4 4 4 2 2 3 2 5" xfId="27309" xr:uid="{00000000-0005-0000-0000-000094460000}"/>
    <cellStyle name="Normal 4 4 4 2 2 3 3" xfId="4269" xr:uid="{00000000-0005-0000-0000-000095460000}"/>
    <cellStyle name="Normal 4 4 4 2 2 3 3 2" xfId="10413" xr:uid="{00000000-0005-0000-0000-000096460000}"/>
    <cellStyle name="Normal 4 4 4 2 2 3 3 2 2" xfId="22701" xr:uid="{00000000-0005-0000-0000-000097460000}"/>
    <cellStyle name="Normal 4 4 4 2 2 3 3 2 2 2" xfId="47277" xr:uid="{00000000-0005-0000-0000-000098460000}"/>
    <cellStyle name="Normal 4 4 4 2 2 3 3 2 3" xfId="34989" xr:uid="{00000000-0005-0000-0000-000099460000}"/>
    <cellStyle name="Normal 4 4 4 2 2 3 3 3" xfId="16557" xr:uid="{00000000-0005-0000-0000-00009A460000}"/>
    <cellStyle name="Normal 4 4 4 2 2 3 3 3 2" xfId="41133" xr:uid="{00000000-0005-0000-0000-00009B460000}"/>
    <cellStyle name="Normal 4 4 4 2 2 3 3 4" xfId="28845" xr:uid="{00000000-0005-0000-0000-00009C460000}"/>
    <cellStyle name="Normal 4 4 4 2 2 3 4" xfId="7341" xr:uid="{00000000-0005-0000-0000-00009D460000}"/>
    <cellStyle name="Normal 4 4 4 2 2 3 4 2" xfId="19629" xr:uid="{00000000-0005-0000-0000-00009E460000}"/>
    <cellStyle name="Normal 4 4 4 2 2 3 4 2 2" xfId="44205" xr:uid="{00000000-0005-0000-0000-00009F460000}"/>
    <cellStyle name="Normal 4 4 4 2 2 3 4 3" xfId="31917" xr:uid="{00000000-0005-0000-0000-0000A0460000}"/>
    <cellStyle name="Normal 4 4 4 2 2 3 5" xfId="13485" xr:uid="{00000000-0005-0000-0000-0000A1460000}"/>
    <cellStyle name="Normal 4 4 4 2 2 3 5 2" xfId="38061" xr:uid="{00000000-0005-0000-0000-0000A2460000}"/>
    <cellStyle name="Normal 4 4 4 2 2 3 6" xfId="25773" xr:uid="{00000000-0005-0000-0000-0000A3460000}"/>
    <cellStyle name="Normal 4 4 4 2 2 4" xfId="1961" xr:uid="{00000000-0005-0000-0000-0000A4460000}"/>
    <cellStyle name="Normal 4 4 4 2 2 4 2" xfId="5037" xr:uid="{00000000-0005-0000-0000-0000A5460000}"/>
    <cellStyle name="Normal 4 4 4 2 2 4 2 2" xfId="11181" xr:uid="{00000000-0005-0000-0000-0000A6460000}"/>
    <cellStyle name="Normal 4 4 4 2 2 4 2 2 2" xfId="23469" xr:uid="{00000000-0005-0000-0000-0000A7460000}"/>
    <cellStyle name="Normal 4 4 4 2 2 4 2 2 2 2" xfId="48045" xr:uid="{00000000-0005-0000-0000-0000A8460000}"/>
    <cellStyle name="Normal 4 4 4 2 2 4 2 2 3" xfId="35757" xr:uid="{00000000-0005-0000-0000-0000A9460000}"/>
    <cellStyle name="Normal 4 4 4 2 2 4 2 3" xfId="17325" xr:uid="{00000000-0005-0000-0000-0000AA460000}"/>
    <cellStyle name="Normal 4 4 4 2 2 4 2 3 2" xfId="41901" xr:uid="{00000000-0005-0000-0000-0000AB460000}"/>
    <cellStyle name="Normal 4 4 4 2 2 4 2 4" xfId="29613" xr:uid="{00000000-0005-0000-0000-0000AC460000}"/>
    <cellStyle name="Normal 4 4 4 2 2 4 3" xfId="8109" xr:uid="{00000000-0005-0000-0000-0000AD460000}"/>
    <cellStyle name="Normal 4 4 4 2 2 4 3 2" xfId="20397" xr:uid="{00000000-0005-0000-0000-0000AE460000}"/>
    <cellStyle name="Normal 4 4 4 2 2 4 3 2 2" xfId="44973" xr:uid="{00000000-0005-0000-0000-0000AF460000}"/>
    <cellStyle name="Normal 4 4 4 2 2 4 3 3" xfId="32685" xr:uid="{00000000-0005-0000-0000-0000B0460000}"/>
    <cellStyle name="Normal 4 4 4 2 2 4 4" xfId="14253" xr:uid="{00000000-0005-0000-0000-0000B1460000}"/>
    <cellStyle name="Normal 4 4 4 2 2 4 4 2" xfId="38829" xr:uid="{00000000-0005-0000-0000-0000B2460000}"/>
    <cellStyle name="Normal 4 4 4 2 2 4 5" xfId="26541" xr:uid="{00000000-0005-0000-0000-0000B3460000}"/>
    <cellStyle name="Normal 4 4 4 2 2 5" xfId="3501" xr:uid="{00000000-0005-0000-0000-0000B4460000}"/>
    <cellStyle name="Normal 4 4 4 2 2 5 2" xfId="9645" xr:uid="{00000000-0005-0000-0000-0000B5460000}"/>
    <cellStyle name="Normal 4 4 4 2 2 5 2 2" xfId="21933" xr:uid="{00000000-0005-0000-0000-0000B6460000}"/>
    <cellStyle name="Normal 4 4 4 2 2 5 2 2 2" xfId="46509" xr:uid="{00000000-0005-0000-0000-0000B7460000}"/>
    <cellStyle name="Normal 4 4 4 2 2 5 2 3" xfId="34221" xr:uid="{00000000-0005-0000-0000-0000B8460000}"/>
    <cellStyle name="Normal 4 4 4 2 2 5 3" xfId="15789" xr:uid="{00000000-0005-0000-0000-0000B9460000}"/>
    <cellStyle name="Normal 4 4 4 2 2 5 3 2" xfId="40365" xr:uid="{00000000-0005-0000-0000-0000BA460000}"/>
    <cellStyle name="Normal 4 4 4 2 2 5 4" xfId="28077" xr:uid="{00000000-0005-0000-0000-0000BB460000}"/>
    <cellStyle name="Normal 4 4 4 2 2 6" xfId="6573" xr:uid="{00000000-0005-0000-0000-0000BC460000}"/>
    <cellStyle name="Normal 4 4 4 2 2 6 2" xfId="18861" xr:uid="{00000000-0005-0000-0000-0000BD460000}"/>
    <cellStyle name="Normal 4 4 4 2 2 6 2 2" xfId="43437" xr:uid="{00000000-0005-0000-0000-0000BE460000}"/>
    <cellStyle name="Normal 4 4 4 2 2 6 3" xfId="31149" xr:uid="{00000000-0005-0000-0000-0000BF460000}"/>
    <cellStyle name="Normal 4 4 4 2 2 7" xfId="12717" xr:uid="{00000000-0005-0000-0000-0000C0460000}"/>
    <cellStyle name="Normal 4 4 4 2 2 7 2" xfId="37293" xr:uid="{00000000-0005-0000-0000-0000C1460000}"/>
    <cellStyle name="Normal 4 4 4 2 2 8" xfId="25005" xr:uid="{00000000-0005-0000-0000-0000C2460000}"/>
    <cellStyle name="Normal 4 4 4 2 3" xfId="617" xr:uid="{00000000-0005-0000-0000-0000C3460000}"/>
    <cellStyle name="Normal 4 4 4 2 3 2" xfId="1385" xr:uid="{00000000-0005-0000-0000-0000C4460000}"/>
    <cellStyle name="Normal 4 4 4 2 3 2 2" xfId="2921" xr:uid="{00000000-0005-0000-0000-0000C5460000}"/>
    <cellStyle name="Normal 4 4 4 2 3 2 2 2" xfId="5997" xr:uid="{00000000-0005-0000-0000-0000C6460000}"/>
    <cellStyle name="Normal 4 4 4 2 3 2 2 2 2" xfId="12141" xr:uid="{00000000-0005-0000-0000-0000C7460000}"/>
    <cellStyle name="Normal 4 4 4 2 3 2 2 2 2 2" xfId="24429" xr:uid="{00000000-0005-0000-0000-0000C8460000}"/>
    <cellStyle name="Normal 4 4 4 2 3 2 2 2 2 2 2" xfId="49005" xr:uid="{00000000-0005-0000-0000-0000C9460000}"/>
    <cellStyle name="Normal 4 4 4 2 3 2 2 2 2 3" xfId="36717" xr:uid="{00000000-0005-0000-0000-0000CA460000}"/>
    <cellStyle name="Normal 4 4 4 2 3 2 2 2 3" xfId="18285" xr:uid="{00000000-0005-0000-0000-0000CB460000}"/>
    <cellStyle name="Normal 4 4 4 2 3 2 2 2 3 2" xfId="42861" xr:uid="{00000000-0005-0000-0000-0000CC460000}"/>
    <cellStyle name="Normal 4 4 4 2 3 2 2 2 4" xfId="30573" xr:uid="{00000000-0005-0000-0000-0000CD460000}"/>
    <cellStyle name="Normal 4 4 4 2 3 2 2 3" xfId="9069" xr:uid="{00000000-0005-0000-0000-0000CE460000}"/>
    <cellStyle name="Normal 4 4 4 2 3 2 2 3 2" xfId="21357" xr:uid="{00000000-0005-0000-0000-0000CF460000}"/>
    <cellStyle name="Normal 4 4 4 2 3 2 2 3 2 2" xfId="45933" xr:uid="{00000000-0005-0000-0000-0000D0460000}"/>
    <cellStyle name="Normal 4 4 4 2 3 2 2 3 3" xfId="33645" xr:uid="{00000000-0005-0000-0000-0000D1460000}"/>
    <cellStyle name="Normal 4 4 4 2 3 2 2 4" xfId="15213" xr:uid="{00000000-0005-0000-0000-0000D2460000}"/>
    <cellStyle name="Normal 4 4 4 2 3 2 2 4 2" xfId="39789" xr:uid="{00000000-0005-0000-0000-0000D3460000}"/>
    <cellStyle name="Normal 4 4 4 2 3 2 2 5" xfId="27501" xr:uid="{00000000-0005-0000-0000-0000D4460000}"/>
    <cellStyle name="Normal 4 4 4 2 3 2 3" xfId="4461" xr:uid="{00000000-0005-0000-0000-0000D5460000}"/>
    <cellStyle name="Normal 4 4 4 2 3 2 3 2" xfId="10605" xr:uid="{00000000-0005-0000-0000-0000D6460000}"/>
    <cellStyle name="Normal 4 4 4 2 3 2 3 2 2" xfId="22893" xr:uid="{00000000-0005-0000-0000-0000D7460000}"/>
    <cellStyle name="Normal 4 4 4 2 3 2 3 2 2 2" xfId="47469" xr:uid="{00000000-0005-0000-0000-0000D8460000}"/>
    <cellStyle name="Normal 4 4 4 2 3 2 3 2 3" xfId="35181" xr:uid="{00000000-0005-0000-0000-0000D9460000}"/>
    <cellStyle name="Normal 4 4 4 2 3 2 3 3" xfId="16749" xr:uid="{00000000-0005-0000-0000-0000DA460000}"/>
    <cellStyle name="Normal 4 4 4 2 3 2 3 3 2" xfId="41325" xr:uid="{00000000-0005-0000-0000-0000DB460000}"/>
    <cellStyle name="Normal 4 4 4 2 3 2 3 4" xfId="29037" xr:uid="{00000000-0005-0000-0000-0000DC460000}"/>
    <cellStyle name="Normal 4 4 4 2 3 2 4" xfId="7533" xr:uid="{00000000-0005-0000-0000-0000DD460000}"/>
    <cellStyle name="Normal 4 4 4 2 3 2 4 2" xfId="19821" xr:uid="{00000000-0005-0000-0000-0000DE460000}"/>
    <cellStyle name="Normal 4 4 4 2 3 2 4 2 2" xfId="44397" xr:uid="{00000000-0005-0000-0000-0000DF460000}"/>
    <cellStyle name="Normal 4 4 4 2 3 2 4 3" xfId="32109" xr:uid="{00000000-0005-0000-0000-0000E0460000}"/>
    <cellStyle name="Normal 4 4 4 2 3 2 5" xfId="13677" xr:uid="{00000000-0005-0000-0000-0000E1460000}"/>
    <cellStyle name="Normal 4 4 4 2 3 2 5 2" xfId="38253" xr:uid="{00000000-0005-0000-0000-0000E2460000}"/>
    <cellStyle name="Normal 4 4 4 2 3 2 6" xfId="25965" xr:uid="{00000000-0005-0000-0000-0000E3460000}"/>
    <cellStyle name="Normal 4 4 4 2 3 3" xfId="2153" xr:uid="{00000000-0005-0000-0000-0000E4460000}"/>
    <cellStyle name="Normal 4 4 4 2 3 3 2" xfId="5229" xr:uid="{00000000-0005-0000-0000-0000E5460000}"/>
    <cellStyle name="Normal 4 4 4 2 3 3 2 2" xfId="11373" xr:uid="{00000000-0005-0000-0000-0000E6460000}"/>
    <cellStyle name="Normal 4 4 4 2 3 3 2 2 2" xfId="23661" xr:uid="{00000000-0005-0000-0000-0000E7460000}"/>
    <cellStyle name="Normal 4 4 4 2 3 3 2 2 2 2" xfId="48237" xr:uid="{00000000-0005-0000-0000-0000E8460000}"/>
    <cellStyle name="Normal 4 4 4 2 3 3 2 2 3" xfId="35949" xr:uid="{00000000-0005-0000-0000-0000E9460000}"/>
    <cellStyle name="Normal 4 4 4 2 3 3 2 3" xfId="17517" xr:uid="{00000000-0005-0000-0000-0000EA460000}"/>
    <cellStyle name="Normal 4 4 4 2 3 3 2 3 2" xfId="42093" xr:uid="{00000000-0005-0000-0000-0000EB460000}"/>
    <cellStyle name="Normal 4 4 4 2 3 3 2 4" xfId="29805" xr:uid="{00000000-0005-0000-0000-0000EC460000}"/>
    <cellStyle name="Normal 4 4 4 2 3 3 3" xfId="8301" xr:uid="{00000000-0005-0000-0000-0000ED460000}"/>
    <cellStyle name="Normal 4 4 4 2 3 3 3 2" xfId="20589" xr:uid="{00000000-0005-0000-0000-0000EE460000}"/>
    <cellStyle name="Normal 4 4 4 2 3 3 3 2 2" xfId="45165" xr:uid="{00000000-0005-0000-0000-0000EF460000}"/>
    <cellStyle name="Normal 4 4 4 2 3 3 3 3" xfId="32877" xr:uid="{00000000-0005-0000-0000-0000F0460000}"/>
    <cellStyle name="Normal 4 4 4 2 3 3 4" xfId="14445" xr:uid="{00000000-0005-0000-0000-0000F1460000}"/>
    <cellStyle name="Normal 4 4 4 2 3 3 4 2" xfId="39021" xr:uid="{00000000-0005-0000-0000-0000F2460000}"/>
    <cellStyle name="Normal 4 4 4 2 3 3 5" xfId="26733" xr:uid="{00000000-0005-0000-0000-0000F3460000}"/>
    <cellStyle name="Normal 4 4 4 2 3 4" xfId="3693" xr:uid="{00000000-0005-0000-0000-0000F4460000}"/>
    <cellStyle name="Normal 4 4 4 2 3 4 2" xfId="9837" xr:uid="{00000000-0005-0000-0000-0000F5460000}"/>
    <cellStyle name="Normal 4 4 4 2 3 4 2 2" xfId="22125" xr:uid="{00000000-0005-0000-0000-0000F6460000}"/>
    <cellStyle name="Normal 4 4 4 2 3 4 2 2 2" xfId="46701" xr:uid="{00000000-0005-0000-0000-0000F7460000}"/>
    <cellStyle name="Normal 4 4 4 2 3 4 2 3" xfId="34413" xr:uid="{00000000-0005-0000-0000-0000F8460000}"/>
    <cellStyle name="Normal 4 4 4 2 3 4 3" xfId="15981" xr:uid="{00000000-0005-0000-0000-0000F9460000}"/>
    <cellStyle name="Normal 4 4 4 2 3 4 3 2" xfId="40557" xr:uid="{00000000-0005-0000-0000-0000FA460000}"/>
    <cellStyle name="Normal 4 4 4 2 3 4 4" xfId="28269" xr:uid="{00000000-0005-0000-0000-0000FB460000}"/>
    <cellStyle name="Normal 4 4 4 2 3 5" xfId="6765" xr:uid="{00000000-0005-0000-0000-0000FC460000}"/>
    <cellStyle name="Normal 4 4 4 2 3 5 2" xfId="19053" xr:uid="{00000000-0005-0000-0000-0000FD460000}"/>
    <cellStyle name="Normal 4 4 4 2 3 5 2 2" xfId="43629" xr:uid="{00000000-0005-0000-0000-0000FE460000}"/>
    <cellStyle name="Normal 4 4 4 2 3 5 3" xfId="31341" xr:uid="{00000000-0005-0000-0000-0000FF460000}"/>
    <cellStyle name="Normal 4 4 4 2 3 6" xfId="12909" xr:uid="{00000000-0005-0000-0000-000000470000}"/>
    <cellStyle name="Normal 4 4 4 2 3 6 2" xfId="37485" xr:uid="{00000000-0005-0000-0000-000001470000}"/>
    <cellStyle name="Normal 4 4 4 2 3 7" xfId="25197" xr:uid="{00000000-0005-0000-0000-000002470000}"/>
    <cellStyle name="Normal 4 4 4 2 4" xfId="1001" xr:uid="{00000000-0005-0000-0000-000003470000}"/>
    <cellStyle name="Normal 4 4 4 2 4 2" xfId="2537" xr:uid="{00000000-0005-0000-0000-000004470000}"/>
    <cellStyle name="Normal 4 4 4 2 4 2 2" xfId="5613" xr:uid="{00000000-0005-0000-0000-000005470000}"/>
    <cellStyle name="Normal 4 4 4 2 4 2 2 2" xfId="11757" xr:uid="{00000000-0005-0000-0000-000006470000}"/>
    <cellStyle name="Normal 4 4 4 2 4 2 2 2 2" xfId="24045" xr:uid="{00000000-0005-0000-0000-000007470000}"/>
    <cellStyle name="Normal 4 4 4 2 4 2 2 2 2 2" xfId="48621" xr:uid="{00000000-0005-0000-0000-000008470000}"/>
    <cellStyle name="Normal 4 4 4 2 4 2 2 2 3" xfId="36333" xr:uid="{00000000-0005-0000-0000-000009470000}"/>
    <cellStyle name="Normal 4 4 4 2 4 2 2 3" xfId="17901" xr:uid="{00000000-0005-0000-0000-00000A470000}"/>
    <cellStyle name="Normal 4 4 4 2 4 2 2 3 2" xfId="42477" xr:uid="{00000000-0005-0000-0000-00000B470000}"/>
    <cellStyle name="Normal 4 4 4 2 4 2 2 4" xfId="30189" xr:uid="{00000000-0005-0000-0000-00000C470000}"/>
    <cellStyle name="Normal 4 4 4 2 4 2 3" xfId="8685" xr:uid="{00000000-0005-0000-0000-00000D470000}"/>
    <cellStyle name="Normal 4 4 4 2 4 2 3 2" xfId="20973" xr:uid="{00000000-0005-0000-0000-00000E470000}"/>
    <cellStyle name="Normal 4 4 4 2 4 2 3 2 2" xfId="45549" xr:uid="{00000000-0005-0000-0000-00000F470000}"/>
    <cellStyle name="Normal 4 4 4 2 4 2 3 3" xfId="33261" xr:uid="{00000000-0005-0000-0000-000010470000}"/>
    <cellStyle name="Normal 4 4 4 2 4 2 4" xfId="14829" xr:uid="{00000000-0005-0000-0000-000011470000}"/>
    <cellStyle name="Normal 4 4 4 2 4 2 4 2" xfId="39405" xr:uid="{00000000-0005-0000-0000-000012470000}"/>
    <cellStyle name="Normal 4 4 4 2 4 2 5" xfId="27117" xr:uid="{00000000-0005-0000-0000-000013470000}"/>
    <cellStyle name="Normal 4 4 4 2 4 3" xfId="4077" xr:uid="{00000000-0005-0000-0000-000014470000}"/>
    <cellStyle name="Normal 4 4 4 2 4 3 2" xfId="10221" xr:uid="{00000000-0005-0000-0000-000015470000}"/>
    <cellStyle name="Normal 4 4 4 2 4 3 2 2" xfId="22509" xr:uid="{00000000-0005-0000-0000-000016470000}"/>
    <cellStyle name="Normal 4 4 4 2 4 3 2 2 2" xfId="47085" xr:uid="{00000000-0005-0000-0000-000017470000}"/>
    <cellStyle name="Normal 4 4 4 2 4 3 2 3" xfId="34797" xr:uid="{00000000-0005-0000-0000-000018470000}"/>
    <cellStyle name="Normal 4 4 4 2 4 3 3" xfId="16365" xr:uid="{00000000-0005-0000-0000-000019470000}"/>
    <cellStyle name="Normal 4 4 4 2 4 3 3 2" xfId="40941" xr:uid="{00000000-0005-0000-0000-00001A470000}"/>
    <cellStyle name="Normal 4 4 4 2 4 3 4" xfId="28653" xr:uid="{00000000-0005-0000-0000-00001B470000}"/>
    <cellStyle name="Normal 4 4 4 2 4 4" xfId="7149" xr:uid="{00000000-0005-0000-0000-00001C470000}"/>
    <cellStyle name="Normal 4 4 4 2 4 4 2" xfId="19437" xr:uid="{00000000-0005-0000-0000-00001D470000}"/>
    <cellStyle name="Normal 4 4 4 2 4 4 2 2" xfId="44013" xr:uid="{00000000-0005-0000-0000-00001E470000}"/>
    <cellStyle name="Normal 4 4 4 2 4 4 3" xfId="31725" xr:uid="{00000000-0005-0000-0000-00001F470000}"/>
    <cellStyle name="Normal 4 4 4 2 4 5" xfId="13293" xr:uid="{00000000-0005-0000-0000-000020470000}"/>
    <cellStyle name="Normal 4 4 4 2 4 5 2" xfId="37869" xr:uid="{00000000-0005-0000-0000-000021470000}"/>
    <cellStyle name="Normal 4 4 4 2 4 6" xfId="25581" xr:uid="{00000000-0005-0000-0000-000022470000}"/>
    <cellStyle name="Normal 4 4 4 2 5" xfId="1769" xr:uid="{00000000-0005-0000-0000-000023470000}"/>
    <cellStyle name="Normal 4 4 4 2 5 2" xfId="4845" xr:uid="{00000000-0005-0000-0000-000024470000}"/>
    <cellStyle name="Normal 4 4 4 2 5 2 2" xfId="10989" xr:uid="{00000000-0005-0000-0000-000025470000}"/>
    <cellStyle name="Normal 4 4 4 2 5 2 2 2" xfId="23277" xr:uid="{00000000-0005-0000-0000-000026470000}"/>
    <cellStyle name="Normal 4 4 4 2 5 2 2 2 2" xfId="47853" xr:uid="{00000000-0005-0000-0000-000027470000}"/>
    <cellStyle name="Normal 4 4 4 2 5 2 2 3" xfId="35565" xr:uid="{00000000-0005-0000-0000-000028470000}"/>
    <cellStyle name="Normal 4 4 4 2 5 2 3" xfId="17133" xr:uid="{00000000-0005-0000-0000-000029470000}"/>
    <cellStyle name="Normal 4 4 4 2 5 2 3 2" xfId="41709" xr:uid="{00000000-0005-0000-0000-00002A470000}"/>
    <cellStyle name="Normal 4 4 4 2 5 2 4" xfId="29421" xr:uid="{00000000-0005-0000-0000-00002B470000}"/>
    <cellStyle name="Normal 4 4 4 2 5 3" xfId="7917" xr:uid="{00000000-0005-0000-0000-00002C470000}"/>
    <cellStyle name="Normal 4 4 4 2 5 3 2" xfId="20205" xr:uid="{00000000-0005-0000-0000-00002D470000}"/>
    <cellStyle name="Normal 4 4 4 2 5 3 2 2" xfId="44781" xr:uid="{00000000-0005-0000-0000-00002E470000}"/>
    <cellStyle name="Normal 4 4 4 2 5 3 3" xfId="32493" xr:uid="{00000000-0005-0000-0000-00002F470000}"/>
    <cellStyle name="Normal 4 4 4 2 5 4" xfId="14061" xr:uid="{00000000-0005-0000-0000-000030470000}"/>
    <cellStyle name="Normal 4 4 4 2 5 4 2" xfId="38637" xr:uid="{00000000-0005-0000-0000-000031470000}"/>
    <cellStyle name="Normal 4 4 4 2 5 5" xfId="26349" xr:uid="{00000000-0005-0000-0000-000032470000}"/>
    <cellStyle name="Normal 4 4 4 2 6" xfId="3309" xr:uid="{00000000-0005-0000-0000-000033470000}"/>
    <cellStyle name="Normal 4 4 4 2 6 2" xfId="9453" xr:uid="{00000000-0005-0000-0000-000034470000}"/>
    <cellStyle name="Normal 4 4 4 2 6 2 2" xfId="21741" xr:uid="{00000000-0005-0000-0000-000035470000}"/>
    <cellStyle name="Normal 4 4 4 2 6 2 2 2" xfId="46317" xr:uid="{00000000-0005-0000-0000-000036470000}"/>
    <cellStyle name="Normal 4 4 4 2 6 2 3" xfId="34029" xr:uid="{00000000-0005-0000-0000-000037470000}"/>
    <cellStyle name="Normal 4 4 4 2 6 3" xfId="15597" xr:uid="{00000000-0005-0000-0000-000038470000}"/>
    <cellStyle name="Normal 4 4 4 2 6 3 2" xfId="40173" xr:uid="{00000000-0005-0000-0000-000039470000}"/>
    <cellStyle name="Normal 4 4 4 2 6 4" xfId="27885" xr:uid="{00000000-0005-0000-0000-00003A470000}"/>
    <cellStyle name="Normal 4 4 4 2 7" xfId="6381" xr:uid="{00000000-0005-0000-0000-00003B470000}"/>
    <cellStyle name="Normal 4 4 4 2 7 2" xfId="18669" xr:uid="{00000000-0005-0000-0000-00003C470000}"/>
    <cellStyle name="Normal 4 4 4 2 7 2 2" xfId="43245" xr:uid="{00000000-0005-0000-0000-00003D470000}"/>
    <cellStyle name="Normal 4 4 4 2 7 3" xfId="30957" xr:uid="{00000000-0005-0000-0000-00003E470000}"/>
    <cellStyle name="Normal 4 4 4 2 8" xfId="12525" xr:uid="{00000000-0005-0000-0000-00003F470000}"/>
    <cellStyle name="Normal 4 4 4 2 8 2" xfId="37101" xr:uid="{00000000-0005-0000-0000-000040470000}"/>
    <cellStyle name="Normal 4 4 4 2 9" xfId="24813" xr:uid="{00000000-0005-0000-0000-000041470000}"/>
    <cellStyle name="Normal 4 4 4 3" xfId="297" xr:uid="{00000000-0005-0000-0000-000042470000}"/>
    <cellStyle name="Normal 4 4 4 3 2" xfId="489" xr:uid="{00000000-0005-0000-0000-000043470000}"/>
    <cellStyle name="Normal 4 4 4 3 2 2" xfId="873" xr:uid="{00000000-0005-0000-0000-000044470000}"/>
    <cellStyle name="Normal 4 4 4 3 2 2 2" xfId="1641" xr:uid="{00000000-0005-0000-0000-000045470000}"/>
    <cellStyle name="Normal 4 4 4 3 2 2 2 2" xfId="3177" xr:uid="{00000000-0005-0000-0000-000046470000}"/>
    <cellStyle name="Normal 4 4 4 3 2 2 2 2 2" xfId="6253" xr:uid="{00000000-0005-0000-0000-000047470000}"/>
    <cellStyle name="Normal 4 4 4 3 2 2 2 2 2 2" xfId="12397" xr:uid="{00000000-0005-0000-0000-000048470000}"/>
    <cellStyle name="Normal 4 4 4 3 2 2 2 2 2 2 2" xfId="24685" xr:uid="{00000000-0005-0000-0000-000049470000}"/>
    <cellStyle name="Normal 4 4 4 3 2 2 2 2 2 2 2 2" xfId="49261" xr:uid="{00000000-0005-0000-0000-00004A470000}"/>
    <cellStyle name="Normal 4 4 4 3 2 2 2 2 2 2 3" xfId="36973" xr:uid="{00000000-0005-0000-0000-00004B470000}"/>
    <cellStyle name="Normal 4 4 4 3 2 2 2 2 2 3" xfId="18541" xr:uid="{00000000-0005-0000-0000-00004C470000}"/>
    <cellStyle name="Normal 4 4 4 3 2 2 2 2 2 3 2" xfId="43117" xr:uid="{00000000-0005-0000-0000-00004D470000}"/>
    <cellStyle name="Normal 4 4 4 3 2 2 2 2 2 4" xfId="30829" xr:uid="{00000000-0005-0000-0000-00004E470000}"/>
    <cellStyle name="Normal 4 4 4 3 2 2 2 2 3" xfId="9325" xr:uid="{00000000-0005-0000-0000-00004F470000}"/>
    <cellStyle name="Normal 4 4 4 3 2 2 2 2 3 2" xfId="21613" xr:uid="{00000000-0005-0000-0000-000050470000}"/>
    <cellStyle name="Normal 4 4 4 3 2 2 2 2 3 2 2" xfId="46189" xr:uid="{00000000-0005-0000-0000-000051470000}"/>
    <cellStyle name="Normal 4 4 4 3 2 2 2 2 3 3" xfId="33901" xr:uid="{00000000-0005-0000-0000-000052470000}"/>
    <cellStyle name="Normal 4 4 4 3 2 2 2 2 4" xfId="15469" xr:uid="{00000000-0005-0000-0000-000053470000}"/>
    <cellStyle name="Normal 4 4 4 3 2 2 2 2 4 2" xfId="40045" xr:uid="{00000000-0005-0000-0000-000054470000}"/>
    <cellStyle name="Normal 4 4 4 3 2 2 2 2 5" xfId="27757" xr:uid="{00000000-0005-0000-0000-000055470000}"/>
    <cellStyle name="Normal 4 4 4 3 2 2 2 3" xfId="4717" xr:uid="{00000000-0005-0000-0000-000056470000}"/>
    <cellStyle name="Normal 4 4 4 3 2 2 2 3 2" xfId="10861" xr:uid="{00000000-0005-0000-0000-000057470000}"/>
    <cellStyle name="Normal 4 4 4 3 2 2 2 3 2 2" xfId="23149" xr:uid="{00000000-0005-0000-0000-000058470000}"/>
    <cellStyle name="Normal 4 4 4 3 2 2 2 3 2 2 2" xfId="47725" xr:uid="{00000000-0005-0000-0000-000059470000}"/>
    <cellStyle name="Normal 4 4 4 3 2 2 2 3 2 3" xfId="35437" xr:uid="{00000000-0005-0000-0000-00005A470000}"/>
    <cellStyle name="Normal 4 4 4 3 2 2 2 3 3" xfId="17005" xr:uid="{00000000-0005-0000-0000-00005B470000}"/>
    <cellStyle name="Normal 4 4 4 3 2 2 2 3 3 2" xfId="41581" xr:uid="{00000000-0005-0000-0000-00005C470000}"/>
    <cellStyle name="Normal 4 4 4 3 2 2 2 3 4" xfId="29293" xr:uid="{00000000-0005-0000-0000-00005D470000}"/>
    <cellStyle name="Normal 4 4 4 3 2 2 2 4" xfId="7789" xr:uid="{00000000-0005-0000-0000-00005E470000}"/>
    <cellStyle name="Normal 4 4 4 3 2 2 2 4 2" xfId="20077" xr:uid="{00000000-0005-0000-0000-00005F470000}"/>
    <cellStyle name="Normal 4 4 4 3 2 2 2 4 2 2" xfId="44653" xr:uid="{00000000-0005-0000-0000-000060470000}"/>
    <cellStyle name="Normal 4 4 4 3 2 2 2 4 3" xfId="32365" xr:uid="{00000000-0005-0000-0000-000061470000}"/>
    <cellStyle name="Normal 4 4 4 3 2 2 2 5" xfId="13933" xr:uid="{00000000-0005-0000-0000-000062470000}"/>
    <cellStyle name="Normal 4 4 4 3 2 2 2 5 2" xfId="38509" xr:uid="{00000000-0005-0000-0000-000063470000}"/>
    <cellStyle name="Normal 4 4 4 3 2 2 2 6" xfId="26221" xr:uid="{00000000-0005-0000-0000-000064470000}"/>
    <cellStyle name="Normal 4 4 4 3 2 2 3" xfId="2409" xr:uid="{00000000-0005-0000-0000-000065470000}"/>
    <cellStyle name="Normal 4 4 4 3 2 2 3 2" xfId="5485" xr:uid="{00000000-0005-0000-0000-000066470000}"/>
    <cellStyle name="Normal 4 4 4 3 2 2 3 2 2" xfId="11629" xr:uid="{00000000-0005-0000-0000-000067470000}"/>
    <cellStyle name="Normal 4 4 4 3 2 2 3 2 2 2" xfId="23917" xr:uid="{00000000-0005-0000-0000-000068470000}"/>
    <cellStyle name="Normal 4 4 4 3 2 2 3 2 2 2 2" xfId="48493" xr:uid="{00000000-0005-0000-0000-000069470000}"/>
    <cellStyle name="Normal 4 4 4 3 2 2 3 2 2 3" xfId="36205" xr:uid="{00000000-0005-0000-0000-00006A470000}"/>
    <cellStyle name="Normal 4 4 4 3 2 2 3 2 3" xfId="17773" xr:uid="{00000000-0005-0000-0000-00006B470000}"/>
    <cellStyle name="Normal 4 4 4 3 2 2 3 2 3 2" xfId="42349" xr:uid="{00000000-0005-0000-0000-00006C470000}"/>
    <cellStyle name="Normal 4 4 4 3 2 2 3 2 4" xfId="30061" xr:uid="{00000000-0005-0000-0000-00006D470000}"/>
    <cellStyle name="Normal 4 4 4 3 2 2 3 3" xfId="8557" xr:uid="{00000000-0005-0000-0000-00006E470000}"/>
    <cellStyle name="Normal 4 4 4 3 2 2 3 3 2" xfId="20845" xr:uid="{00000000-0005-0000-0000-00006F470000}"/>
    <cellStyle name="Normal 4 4 4 3 2 2 3 3 2 2" xfId="45421" xr:uid="{00000000-0005-0000-0000-000070470000}"/>
    <cellStyle name="Normal 4 4 4 3 2 2 3 3 3" xfId="33133" xr:uid="{00000000-0005-0000-0000-000071470000}"/>
    <cellStyle name="Normal 4 4 4 3 2 2 3 4" xfId="14701" xr:uid="{00000000-0005-0000-0000-000072470000}"/>
    <cellStyle name="Normal 4 4 4 3 2 2 3 4 2" xfId="39277" xr:uid="{00000000-0005-0000-0000-000073470000}"/>
    <cellStyle name="Normal 4 4 4 3 2 2 3 5" xfId="26989" xr:uid="{00000000-0005-0000-0000-000074470000}"/>
    <cellStyle name="Normal 4 4 4 3 2 2 4" xfId="3949" xr:uid="{00000000-0005-0000-0000-000075470000}"/>
    <cellStyle name="Normal 4 4 4 3 2 2 4 2" xfId="10093" xr:uid="{00000000-0005-0000-0000-000076470000}"/>
    <cellStyle name="Normal 4 4 4 3 2 2 4 2 2" xfId="22381" xr:uid="{00000000-0005-0000-0000-000077470000}"/>
    <cellStyle name="Normal 4 4 4 3 2 2 4 2 2 2" xfId="46957" xr:uid="{00000000-0005-0000-0000-000078470000}"/>
    <cellStyle name="Normal 4 4 4 3 2 2 4 2 3" xfId="34669" xr:uid="{00000000-0005-0000-0000-000079470000}"/>
    <cellStyle name="Normal 4 4 4 3 2 2 4 3" xfId="16237" xr:uid="{00000000-0005-0000-0000-00007A470000}"/>
    <cellStyle name="Normal 4 4 4 3 2 2 4 3 2" xfId="40813" xr:uid="{00000000-0005-0000-0000-00007B470000}"/>
    <cellStyle name="Normal 4 4 4 3 2 2 4 4" xfId="28525" xr:uid="{00000000-0005-0000-0000-00007C470000}"/>
    <cellStyle name="Normal 4 4 4 3 2 2 5" xfId="7021" xr:uid="{00000000-0005-0000-0000-00007D470000}"/>
    <cellStyle name="Normal 4 4 4 3 2 2 5 2" xfId="19309" xr:uid="{00000000-0005-0000-0000-00007E470000}"/>
    <cellStyle name="Normal 4 4 4 3 2 2 5 2 2" xfId="43885" xr:uid="{00000000-0005-0000-0000-00007F470000}"/>
    <cellStyle name="Normal 4 4 4 3 2 2 5 3" xfId="31597" xr:uid="{00000000-0005-0000-0000-000080470000}"/>
    <cellStyle name="Normal 4 4 4 3 2 2 6" xfId="13165" xr:uid="{00000000-0005-0000-0000-000081470000}"/>
    <cellStyle name="Normal 4 4 4 3 2 2 6 2" xfId="37741" xr:uid="{00000000-0005-0000-0000-000082470000}"/>
    <cellStyle name="Normal 4 4 4 3 2 2 7" xfId="25453" xr:uid="{00000000-0005-0000-0000-000083470000}"/>
    <cellStyle name="Normal 4 4 4 3 2 3" xfId="1257" xr:uid="{00000000-0005-0000-0000-000084470000}"/>
    <cellStyle name="Normal 4 4 4 3 2 3 2" xfId="2793" xr:uid="{00000000-0005-0000-0000-000085470000}"/>
    <cellStyle name="Normal 4 4 4 3 2 3 2 2" xfId="5869" xr:uid="{00000000-0005-0000-0000-000086470000}"/>
    <cellStyle name="Normal 4 4 4 3 2 3 2 2 2" xfId="12013" xr:uid="{00000000-0005-0000-0000-000087470000}"/>
    <cellStyle name="Normal 4 4 4 3 2 3 2 2 2 2" xfId="24301" xr:uid="{00000000-0005-0000-0000-000088470000}"/>
    <cellStyle name="Normal 4 4 4 3 2 3 2 2 2 2 2" xfId="48877" xr:uid="{00000000-0005-0000-0000-000089470000}"/>
    <cellStyle name="Normal 4 4 4 3 2 3 2 2 2 3" xfId="36589" xr:uid="{00000000-0005-0000-0000-00008A470000}"/>
    <cellStyle name="Normal 4 4 4 3 2 3 2 2 3" xfId="18157" xr:uid="{00000000-0005-0000-0000-00008B470000}"/>
    <cellStyle name="Normal 4 4 4 3 2 3 2 2 3 2" xfId="42733" xr:uid="{00000000-0005-0000-0000-00008C470000}"/>
    <cellStyle name="Normal 4 4 4 3 2 3 2 2 4" xfId="30445" xr:uid="{00000000-0005-0000-0000-00008D470000}"/>
    <cellStyle name="Normal 4 4 4 3 2 3 2 3" xfId="8941" xr:uid="{00000000-0005-0000-0000-00008E470000}"/>
    <cellStyle name="Normal 4 4 4 3 2 3 2 3 2" xfId="21229" xr:uid="{00000000-0005-0000-0000-00008F470000}"/>
    <cellStyle name="Normal 4 4 4 3 2 3 2 3 2 2" xfId="45805" xr:uid="{00000000-0005-0000-0000-000090470000}"/>
    <cellStyle name="Normal 4 4 4 3 2 3 2 3 3" xfId="33517" xr:uid="{00000000-0005-0000-0000-000091470000}"/>
    <cellStyle name="Normal 4 4 4 3 2 3 2 4" xfId="15085" xr:uid="{00000000-0005-0000-0000-000092470000}"/>
    <cellStyle name="Normal 4 4 4 3 2 3 2 4 2" xfId="39661" xr:uid="{00000000-0005-0000-0000-000093470000}"/>
    <cellStyle name="Normal 4 4 4 3 2 3 2 5" xfId="27373" xr:uid="{00000000-0005-0000-0000-000094470000}"/>
    <cellStyle name="Normal 4 4 4 3 2 3 3" xfId="4333" xr:uid="{00000000-0005-0000-0000-000095470000}"/>
    <cellStyle name="Normal 4 4 4 3 2 3 3 2" xfId="10477" xr:uid="{00000000-0005-0000-0000-000096470000}"/>
    <cellStyle name="Normal 4 4 4 3 2 3 3 2 2" xfId="22765" xr:uid="{00000000-0005-0000-0000-000097470000}"/>
    <cellStyle name="Normal 4 4 4 3 2 3 3 2 2 2" xfId="47341" xr:uid="{00000000-0005-0000-0000-000098470000}"/>
    <cellStyle name="Normal 4 4 4 3 2 3 3 2 3" xfId="35053" xr:uid="{00000000-0005-0000-0000-000099470000}"/>
    <cellStyle name="Normal 4 4 4 3 2 3 3 3" xfId="16621" xr:uid="{00000000-0005-0000-0000-00009A470000}"/>
    <cellStyle name="Normal 4 4 4 3 2 3 3 3 2" xfId="41197" xr:uid="{00000000-0005-0000-0000-00009B470000}"/>
    <cellStyle name="Normal 4 4 4 3 2 3 3 4" xfId="28909" xr:uid="{00000000-0005-0000-0000-00009C470000}"/>
    <cellStyle name="Normal 4 4 4 3 2 3 4" xfId="7405" xr:uid="{00000000-0005-0000-0000-00009D470000}"/>
    <cellStyle name="Normal 4 4 4 3 2 3 4 2" xfId="19693" xr:uid="{00000000-0005-0000-0000-00009E470000}"/>
    <cellStyle name="Normal 4 4 4 3 2 3 4 2 2" xfId="44269" xr:uid="{00000000-0005-0000-0000-00009F470000}"/>
    <cellStyle name="Normal 4 4 4 3 2 3 4 3" xfId="31981" xr:uid="{00000000-0005-0000-0000-0000A0470000}"/>
    <cellStyle name="Normal 4 4 4 3 2 3 5" xfId="13549" xr:uid="{00000000-0005-0000-0000-0000A1470000}"/>
    <cellStyle name="Normal 4 4 4 3 2 3 5 2" xfId="38125" xr:uid="{00000000-0005-0000-0000-0000A2470000}"/>
    <cellStyle name="Normal 4 4 4 3 2 3 6" xfId="25837" xr:uid="{00000000-0005-0000-0000-0000A3470000}"/>
    <cellStyle name="Normal 4 4 4 3 2 4" xfId="2025" xr:uid="{00000000-0005-0000-0000-0000A4470000}"/>
    <cellStyle name="Normal 4 4 4 3 2 4 2" xfId="5101" xr:uid="{00000000-0005-0000-0000-0000A5470000}"/>
    <cellStyle name="Normal 4 4 4 3 2 4 2 2" xfId="11245" xr:uid="{00000000-0005-0000-0000-0000A6470000}"/>
    <cellStyle name="Normal 4 4 4 3 2 4 2 2 2" xfId="23533" xr:uid="{00000000-0005-0000-0000-0000A7470000}"/>
    <cellStyle name="Normal 4 4 4 3 2 4 2 2 2 2" xfId="48109" xr:uid="{00000000-0005-0000-0000-0000A8470000}"/>
    <cellStyle name="Normal 4 4 4 3 2 4 2 2 3" xfId="35821" xr:uid="{00000000-0005-0000-0000-0000A9470000}"/>
    <cellStyle name="Normal 4 4 4 3 2 4 2 3" xfId="17389" xr:uid="{00000000-0005-0000-0000-0000AA470000}"/>
    <cellStyle name="Normal 4 4 4 3 2 4 2 3 2" xfId="41965" xr:uid="{00000000-0005-0000-0000-0000AB470000}"/>
    <cellStyle name="Normal 4 4 4 3 2 4 2 4" xfId="29677" xr:uid="{00000000-0005-0000-0000-0000AC470000}"/>
    <cellStyle name="Normal 4 4 4 3 2 4 3" xfId="8173" xr:uid="{00000000-0005-0000-0000-0000AD470000}"/>
    <cellStyle name="Normal 4 4 4 3 2 4 3 2" xfId="20461" xr:uid="{00000000-0005-0000-0000-0000AE470000}"/>
    <cellStyle name="Normal 4 4 4 3 2 4 3 2 2" xfId="45037" xr:uid="{00000000-0005-0000-0000-0000AF470000}"/>
    <cellStyle name="Normal 4 4 4 3 2 4 3 3" xfId="32749" xr:uid="{00000000-0005-0000-0000-0000B0470000}"/>
    <cellStyle name="Normal 4 4 4 3 2 4 4" xfId="14317" xr:uid="{00000000-0005-0000-0000-0000B1470000}"/>
    <cellStyle name="Normal 4 4 4 3 2 4 4 2" xfId="38893" xr:uid="{00000000-0005-0000-0000-0000B2470000}"/>
    <cellStyle name="Normal 4 4 4 3 2 4 5" xfId="26605" xr:uid="{00000000-0005-0000-0000-0000B3470000}"/>
    <cellStyle name="Normal 4 4 4 3 2 5" xfId="3565" xr:uid="{00000000-0005-0000-0000-0000B4470000}"/>
    <cellStyle name="Normal 4 4 4 3 2 5 2" xfId="9709" xr:uid="{00000000-0005-0000-0000-0000B5470000}"/>
    <cellStyle name="Normal 4 4 4 3 2 5 2 2" xfId="21997" xr:uid="{00000000-0005-0000-0000-0000B6470000}"/>
    <cellStyle name="Normal 4 4 4 3 2 5 2 2 2" xfId="46573" xr:uid="{00000000-0005-0000-0000-0000B7470000}"/>
    <cellStyle name="Normal 4 4 4 3 2 5 2 3" xfId="34285" xr:uid="{00000000-0005-0000-0000-0000B8470000}"/>
    <cellStyle name="Normal 4 4 4 3 2 5 3" xfId="15853" xr:uid="{00000000-0005-0000-0000-0000B9470000}"/>
    <cellStyle name="Normal 4 4 4 3 2 5 3 2" xfId="40429" xr:uid="{00000000-0005-0000-0000-0000BA470000}"/>
    <cellStyle name="Normal 4 4 4 3 2 5 4" xfId="28141" xr:uid="{00000000-0005-0000-0000-0000BB470000}"/>
    <cellStyle name="Normal 4 4 4 3 2 6" xfId="6637" xr:uid="{00000000-0005-0000-0000-0000BC470000}"/>
    <cellStyle name="Normal 4 4 4 3 2 6 2" xfId="18925" xr:uid="{00000000-0005-0000-0000-0000BD470000}"/>
    <cellStyle name="Normal 4 4 4 3 2 6 2 2" xfId="43501" xr:uid="{00000000-0005-0000-0000-0000BE470000}"/>
    <cellStyle name="Normal 4 4 4 3 2 6 3" xfId="31213" xr:uid="{00000000-0005-0000-0000-0000BF470000}"/>
    <cellStyle name="Normal 4 4 4 3 2 7" xfId="12781" xr:uid="{00000000-0005-0000-0000-0000C0470000}"/>
    <cellStyle name="Normal 4 4 4 3 2 7 2" xfId="37357" xr:uid="{00000000-0005-0000-0000-0000C1470000}"/>
    <cellStyle name="Normal 4 4 4 3 2 8" xfId="25069" xr:uid="{00000000-0005-0000-0000-0000C2470000}"/>
    <cellStyle name="Normal 4 4 4 3 3" xfId="681" xr:uid="{00000000-0005-0000-0000-0000C3470000}"/>
    <cellStyle name="Normal 4 4 4 3 3 2" xfId="1449" xr:uid="{00000000-0005-0000-0000-0000C4470000}"/>
    <cellStyle name="Normal 4 4 4 3 3 2 2" xfId="2985" xr:uid="{00000000-0005-0000-0000-0000C5470000}"/>
    <cellStyle name="Normal 4 4 4 3 3 2 2 2" xfId="6061" xr:uid="{00000000-0005-0000-0000-0000C6470000}"/>
    <cellStyle name="Normal 4 4 4 3 3 2 2 2 2" xfId="12205" xr:uid="{00000000-0005-0000-0000-0000C7470000}"/>
    <cellStyle name="Normal 4 4 4 3 3 2 2 2 2 2" xfId="24493" xr:uid="{00000000-0005-0000-0000-0000C8470000}"/>
    <cellStyle name="Normal 4 4 4 3 3 2 2 2 2 2 2" xfId="49069" xr:uid="{00000000-0005-0000-0000-0000C9470000}"/>
    <cellStyle name="Normal 4 4 4 3 3 2 2 2 2 3" xfId="36781" xr:uid="{00000000-0005-0000-0000-0000CA470000}"/>
    <cellStyle name="Normal 4 4 4 3 3 2 2 2 3" xfId="18349" xr:uid="{00000000-0005-0000-0000-0000CB470000}"/>
    <cellStyle name="Normal 4 4 4 3 3 2 2 2 3 2" xfId="42925" xr:uid="{00000000-0005-0000-0000-0000CC470000}"/>
    <cellStyle name="Normal 4 4 4 3 3 2 2 2 4" xfId="30637" xr:uid="{00000000-0005-0000-0000-0000CD470000}"/>
    <cellStyle name="Normal 4 4 4 3 3 2 2 3" xfId="9133" xr:uid="{00000000-0005-0000-0000-0000CE470000}"/>
    <cellStyle name="Normal 4 4 4 3 3 2 2 3 2" xfId="21421" xr:uid="{00000000-0005-0000-0000-0000CF470000}"/>
    <cellStyle name="Normal 4 4 4 3 3 2 2 3 2 2" xfId="45997" xr:uid="{00000000-0005-0000-0000-0000D0470000}"/>
    <cellStyle name="Normal 4 4 4 3 3 2 2 3 3" xfId="33709" xr:uid="{00000000-0005-0000-0000-0000D1470000}"/>
    <cellStyle name="Normal 4 4 4 3 3 2 2 4" xfId="15277" xr:uid="{00000000-0005-0000-0000-0000D2470000}"/>
    <cellStyle name="Normal 4 4 4 3 3 2 2 4 2" xfId="39853" xr:uid="{00000000-0005-0000-0000-0000D3470000}"/>
    <cellStyle name="Normal 4 4 4 3 3 2 2 5" xfId="27565" xr:uid="{00000000-0005-0000-0000-0000D4470000}"/>
    <cellStyle name="Normal 4 4 4 3 3 2 3" xfId="4525" xr:uid="{00000000-0005-0000-0000-0000D5470000}"/>
    <cellStyle name="Normal 4 4 4 3 3 2 3 2" xfId="10669" xr:uid="{00000000-0005-0000-0000-0000D6470000}"/>
    <cellStyle name="Normal 4 4 4 3 3 2 3 2 2" xfId="22957" xr:uid="{00000000-0005-0000-0000-0000D7470000}"/>
    <cellStyle name="Normal 4 4 4 3 3 2 3 2 2 2" xfId="47533" xr:uid="{00000000-0005-0000-0000-0000D8470000}"/>
    <cellStyle name="Normal 4 4 4 3 3 2 3 2 3" xfId="35245" xr:uid="{00000000-0005-0000-0000-0000D9470000}"/>
    <cellStyle name="Normal 4 4 4 3 3 2 3 3" xfId="16813" xr:uid="{00000000-0005-0000-0000-0000DA470000}"/>
    <cellStyle name="Normal 4 4 4 3 3 2 3 3 2" xfId="41389" xr:uid="{00000000-0005-0000-0000-0000DB470000}"/>
    <cellStyle name="Normal 4 4 4 3 3 2 3 4" xfId="29101" xr:uid="{00000000-0005-0000-0000-0000DC470000}"/>
    <cellStyle name="Normal 4 4 4 3 3 2 4" xfId="7597" xr:uid="{00000000-0005-0000-0000-0000DD470000}"/>
    <cellStyle name="Normal 4 4 4 3 3 2 4 2" xfId="19885" xr:uid="{00000000-0005-0000-0000-0000DE470000}"/>
    <cellStyle name="Normal 4 4 4 3 3 2 4 2 2" xfId="44461" xr:uid="{00000000-0005-0000-0000-0000DF470000}"/>
    <cellStyle name="Normal 4 4 4 3 3 2 4 3" xfId="32173" xr:uid="{00000000-0005-0000-0000-0000E0470000}"/>
    <cellStyle name="Normal 4 4 4 3 3 2 5" xfId="13741" xr:uid="{00000000-0005-0000-0000-0000E1470000}"/>
    <cellStyle name="Normal 4 4 4 3 3 2 5 2" xfId="38317" xr:uid="{00000000-0005-0000-0000-0000E2470000}"/>
    <cellStyle name="Normal 4 4 4 3 3 2 6" xfId="26029" xr:uid="{00000000-0005-0000-0000-0000E3470000}"/>
    <cellStyle name="Normal 4 4 4 3 3 3" xfId="2217" xr:uid="{00000000-0005-0000-0000-0000E4470000}"/>
    <cellStyle name="Normal 4 4 4 3 3 3 2" xfId="5293" xr:uid="{00000000-0005-0000-0000-0000E5470000}"/>
    <cellStyle name="Normal 4 4 4 3 3 3 2 2" xfId="11437" xr:uid="{00000000-0005-0000-0000-0000E6470000}"/>
    <cellStyle name="Normal 4 4 4 3 3 3 2 2 2" xfId="23725" xr:uid="{00000000-0005-0000-0000-0000E7470000}"/>
    <cellStyle name="Normal 4 4 4 3 3 3 2 2 2 2" xfId="48301" xr:uid="{00000000-0005-0000-0000-0000E8470000}"/>
    <cellStyle name="Normal 4 4 4 3 3 3 2 2 3" xfId="36013" xr:uid="{00000000-0005-0000-0000-0000E9470000}"/>
    <cellStyle name="Normal 4 4 4 3 3 3 2 3" xfId="17581" xr:uid="{00000000-0005-0000-0000-0000EA470000}"/>
    <cellStyle name="Normal 4 4 4 3 3 3 2 3 2" xfId="42157" xr:uid="{00000000-0005-0000-0000-0000EB470000}"/>
    <cellStyle name="Normal 4 4 4 3 3 3 2 4" xfId="29869" xr:uid="{00000000-0005-0000-0000-0000EC470000}"/>
    <cellStyle name="Normal 4 4 4 3 3 3 3" xfId="8365" xr:uid="{00000000-0005-0000-0000-0000ED470000}"/>
    <cellStyle name="Normal 4 4 4 3 3 3 3 2" xfId="20653" xr:uid="{00000000-0005-0000-0000-0000EE470000}"/>
    <cellStyle name="Normal 4 4 4 3 3 3 3 2 2" xfId="45229" xr:uid="{00000000-0005-0000-0000-0000EF470000}"/>
    <cellStyle name="Normal 4 4 4 3 3 3 3 3" xfId="32941" xr:uid="{00000000-0005-0000-0000-0000F0470000}"/>
    <cellStyle name="Normal 4 4 4 3 3 3 4" xfId="14509" xr:uid="{00000000-0005-0000-0000-0000F1470000}"/>
    <cellStyle name="Normal 4 4 4 3 3 3 4 2" xfId="39085" xr:uid="{00000000-0005-0000-0000-0000F2470000}"/>
    <cellStyle name="Normal 4 4 4 3 3 3 5" xfId="26797" xr:uid="{00000000-0005-0000-0000-0000F3470000}"/>
    <cellStyle name="Normal 4 4 4 3 3 4" xfId="3757" xr:uid="{00000000-0005-0000-0000-0000F4470000}"/>
    <cellStyle name="Normal 4 4 4 3 3 4 2" xfId="9901" xr:uid="{00000000-0005-0000-0000-0000F5470000}"/>
    <cellStyle name="Normal 4 4 4 3 3 4 2 2" xfId="22189" xr:uid="{00000000-0005-0000-0000-0000F6470000}"/>
    <cellStyle name="Normal 4 4 4 3 3 4 2 2 2" xfId="46765" xr:uid="{00000000-0005-0000-0000-0000F7470000}"/>
    <cellStyle name="Normal 4 4 4 3 3 4 2 3" xfId="34477" xr:uid="{00000000-0005-0000-0000-0000F8470000}"/>
    <cellStyle name="Normal 4 4 4 3 3 4 3" xfId="16045" xr:uid="{00000000-0005-0000-0000-0000F9470000}"/>
    <cellStyle name="Normal 4 4 4 3 3 4 3 2" xfId="40621" xr:uid="{00000000-0005-0000-0000-0000FA470000}"/>
    <cellStyle name="Normal 4 4 4 3 3 4 4" xfId="28333" xr:uid="{00000000-0005-0000-0000-0000FB470000}"/>
    <cellStyle name="Normal 4 4 4 3 3 5" xfId="6829" xr:uid="{00000000-0005-0000-0000-0000FC470000}"/>
    <cellStyle name="Normal 4 4 4 3 3 5 2" xfId="19117" xr:uid="{00000000-0005-0000-0000-0000FD470000}"/>
    <cellStyle name="Normal 4 4 4 3 3 5 2 2" xfId="43693" xr:uid="{00000000-0005-0000-0000-0000FE470000}"/>
    <cellStyle name="Normal 4 4 4 3 3 5 3" xfId="31405" xr:uid="{00000000-0005-0000-0000-0000FF470000}"/>
    <cellStyle name="Normal 4 4 4 3 3 6" xfId="12973" xr:uid="{00000000-0005-0000-0000-000000480000}"/>
    <cellStyle name="Normal 4 4 4 3 3 6 2" xfId="37549" xr:uid="{00000000-0005-0000-0000-000001480000}"/>
    <cellStyle name="Normal 4 4 4 3 3 7" xfId="25261" xr:uid="{00000000-0005-0000-0000-000002480000}"/>
    <cellStyle name="Normal 4 4 4 3 4" xfId="1065" xr:uid="{00000000-0005-0000-0000-000003480000}"/>
    <cellStyle name="Normal 4 4 4 3 4 2" xfId="2601" xr:uid="{00000000-0005-0000-0000-000004480000}"/>
    <cellStyle name="Normal 4 4 4 3 4 2 2" xfId="5677" xr:uid="{00000000-0005-0000-0000-000005480000}"/>
    <cellStyle name="Normal 4 4 4 3 4 2 2 2" xfId="11821" xr:uid="{00000000-0005-0000-0000-000006480000}"/>
    <cellStyle name="Normal 4 4 4 3 4 2 2 2 2" xfId="24109" xr:uid="{00000000-0005-0000-0000-000007480000}"/>
    <cellStyle name="Normal 4 4 4 3 4 2 2 2 2 2" xfId="48685" xr:uid="{00000000-0005-0000-0000-000008480000}"/>
    <cellStyle name="Normal 4 4 4 3 4 2 2 2 3" xfId="36397" xr:uid="{00000000-0005-0000-0000-000009480000}"/>
    <cellStyle name="Normal 4 4 4 3 4 2 2 3" xfId="17965" xr:uid="{00000000-0005-0000-0000-00000A480000}"/>
    <cellStyle name="Normal 4 4 4 3 4 2 2 3 2" xfId="42541" xr:uid="{00000000-0005-0000-0000-00000B480000}"/>
    <cellStyle name="Normal 4 4 4 3 4 2 2 4" xfId="30253" xr:uid="{00000000-0005-0000-0000-00000C480000}"/>
    <cellStyle name="Normal 4 4 4 3 4 2 3" xfId="8749" xr:uid="{00000000-0005-0000-0000-00000D480000}"/>
    <cellStyle name="Normal 4 4 4 3 4 2 3 2" xfId="21037" xr:uid="{00000000-0005-0000-0000-00000E480000}"/>
    <cellStyle name="Normal 4 4 4 3 4 2 3 2 2" xfId="45613" xr:uid="{00000000-0005-0000-0000-00000F480000}"/>
    <cellStyle name="Normal 4 4 4 3 4 2 3 3" xfId="33325" xr:uid="{00000000-0005-0000-0000-000010480000}"/>
    <cellStyle name="Normal 4 4 4 3 4 2 4" xfId="14893" xr:uid="{00000000-0005-0000-0000-000011480000}"/>
    <cellStyle name="Normal 4 4 4 3 4 2 4 2" xfId="39469" xr:uid="{00000000-0005-0000-0000-000012480000}"/>
    <cellStyle name="Normal 4 4 4 3 4 2 5" xfId="27181" xr:uid="{00000000-0005-0000-0000-000013480000}"/>
    <cellStyle name="Normal 4 4 4 3 4 3" xfId="4141" xr:uid="{00000000-0005-0000-0000-000014480000}"/>
    <cellStyle name="Normal 4 4 4 3 4 3 2" xfId="10285" xr:uid="{00000000-0005-0000-0000-000015480000}"/>
    <cellStyle name="Normal 4 4 4 3 4 3 2 2" xfId="22573" xr:uid="{00000000-0005-0000-0000-000016480000}"/>
    <cellStyle name="Normal 4 4 4 3 4 3 2 2 2" xfId="47149" xr:uid="{00000000-0005-0000-0000-000017480000}"/>
    <cellStyle name="Normal 4 4 4 3 4 3 2 3" xfId="34861" xr:uid="{00000000-0005-0000-0000-000018480000}"/>
    <cellStyle name="Normal 4 4 4 3 4 3 3" xfId="16429" xr:uid="{00000000-0005-0000-0000-000019480000}"/>
    <cellStyle name="Normal 4 4 4 3 4 3 3 2" xfId="41005" xr:uid="{00000000-0005-0000-0000-00001A480000}"/>
    <cellStyle name="Normal 4 4 4 3 4 3 4" xfId="28717" xr:uid="{00000000-0005-0000-0000-00001B480000}"/>
    <cellStyle name="Normal 4 4 4 3 4 4" xfId="7213" xr:uid="{00000000-0005-0000-0000-00001C480000}"/>
    <cellStyle name="Normal 4 4 4 3 4 4 2" xfId="19501" xr:uid="{00000000-0005-0000-0000-00001D480000}"/>
    <cellStyle name="Normal 4 4 4 3 4 4 2 2" xfId="44077" xr:uid="{00000000-0005-0000-0000-00001E480000}"/>
    <cellStyle name="Normal 4 4 4 3 4 4 3" xfId="31789" xr:uid="{00000000-0005-0000-0000-00001F480000}"/>
    <cellStyle name="Normal 4 4 4 3 4 5" xfId="13357" xr:uid="{00000000-0005-0000-0000-000020480000}"/>
    <cellStyle name="Normal 4 4 4 3 4 5 2" xfId="37933" xr:uid="{00000000-0005-0000-0000-000021480000}"/>
    <cellStyle name="Normal 4 4 4 3 4 6" xfId="25645" xr:uid="{00000000-0005-0000-0000-000022480000}"/>
    <cellStyle name="Normal 4 4 4 3 5" xfId="1833" xr:uid="{00000000-0005-0000-0000-000023480000}"/>
    <cellStyle name="Normal 4 4 4 3 5 2" xfId="4909" xr:uid="{00000000-0005-0000-0000-000024480000}"/>
    <cellStyle name="Normal 4 4 4 3 5 2 2" xfId="11053" xr:uid="{00000000-0005-0000-0000-000025480000}"/>
    <cellStyle name="Normal 4 4 4 3 5 2 2 2" xfId="23341" xr:uid="{00000000-0005-0000-0000-000026480000}"/>
    <cellStyle name="Normal 4 4 4 3 5 2 2 2 2" xfId="47917" xr:uid="{00000000-0005-0000-0000-000027480000}"/>
    <cellStyle name="Normal 4 4 4 3 5 2 2 3" xfId="35629" xr:uid="{00000000-0005-0000-0000-000028480000}"/>
    <cellStyle name="Normal 4 4 4 3 5 2 3" xfId="17197" xr:uid="{00000000-0005-0000-0000-000029480000}"/>
    <cellStyle name="Normal 4 4 4 3 5 2 3 2" xfId="41773" xr:uid="{00000000-0005-0000-0000-00002A480000}"/>
    <cellStyle name="Normal 4 4 4 3 5 2 4" xfId="29485" xr:uid="{00000000-0005-0000-0000-00002B480000}"/>
    <cellStyle name="Normal 4 4 4 3 5 3" xfId="7981" xr:uid="{00000000-0005-0000-0000-00002C480000}"/>
    <cellStyle name="Normal 4 4 4 3 5 3 2" xfId="20269" xr:uid="{00000000-0005-0000-0000-00002D480000}"/>
    <cellStyle name="Normal 4 4 4 3 5 3 2 2" xfId="44845" xr:uid="{00000000-0005-0000-0000-00002E480000}"/>
    <cellStyle name="Normal 4 4 4 3 5 3 3" xfId="32557" xr:uid="{00000000-0005-0000-0000-00002F480000}"/>
    <cellStyle name="Normal 4 4 4 3 5 4" xfId="14125" xr:uid="{00000000-0005-0000-0000-000030480000}"/>
    <cellStyle name="Normal 4 4 4 3 5 4 2" xfId="38701" xr:uid="{00000000-0005-0000-0000-000031480000}"/>
    <cellStyle name="Normal 4 4 4 3 5 5" xfId="26413" xr:uid="{00000000-0005-0000-0000-000032480000}"/>
    <cellStyle name="Normal 4 4 4 3 6" xfId="3373" xr:uid="{00000000-0005-0000-0000-000033480000}"/>
    <cellStyle name="Normal 4 4 4 3 6 2" xfId="9517" xr:uid="{00000000-0005-0000-0000-000034480000}"/>
    <cellStyle name="Normal 4 4 4 3 6 2 2" xfId="21805" xr:uid="{00000000-0005-0000-0000-000035480000}"/>
    <cellStyle name="Normal 4 4 4 3 6 2 2 2" xfId="46381" xr:uid="{00000000-0005-0000-0000-000036480000}"/>
    <cellStyle name="Normal 4 4 4 3 6 2 3" xfId="34093" xr:uid="{00000000-0005-0000-0000-000037480000}"/>
    <cellStyle name="Normal 4 4 4 3 6 3" xfId="15661" xr:uid="{00000000-0005-0000-0000-000038480000}"/>
    <cellStyle name="Normal 4 4 4 3 6 3 2" xfId="40237" xr:uid="{00000000-0005-0000-0000-000039480000}"/>
    <cellStyle name="Normal 4 4 4 3 6 4" xfId="27949" xr:uid="{00000000-0005-0000-0000-00003A480000}"/>
    <cellStyle name="Normal 4 4 4 3 7" xfId="6445" xr:uid="{00000000-0005-0000-0000-00003B480000}"/>
    <cellStyle name="Normal 4 4 4 3 7 2" xfId="18733" xr:uid="{00000000-0005-0000-0000-00003C480000}"/>
    <cellStyle name="Normal 4 4 4 3 7 2 2" xfId="43309" xr:uid="{00000000-0005-0000-0000-00003D480000}"/>
    <cellStyle name="Normal 4 4 4 3 7 3" xfId="31021" xr:uid="{00000000-0005-0000-0000-00003E480000}"/>
    <cellStyle name="Normal 4 4 4 3 8" xfId="12589" xr:uid="{00000000-0005-0000-0000-00003F480000}"/>
    <cellStyle name="Normal 4 4 4 3 8 2" xfId="37165" xr:uid="{00000000-0005-0000-0000-000040480000}"/>
    <cellStyle name="Normal 4 4 4 3 9" xfId="24877" xr:uid="{00000000-0005-0000-0000-000041480000}"/>
    <cellStyle name="Normal 4 4 4 4" xfId="361" xr:uid="{00000000-0005-0000-0000-000042480000}"/>
    <cellStyle name="Normal 4 4 4 4 2" xfId="745" xr:uid="{00000000-0005-0000-0000-000043480000}"/>
    <cellStyle name="Normal 4 4 4 4 2 2" xfId="1513" xr:uid="{00000000-0005-0000-0000-000044480000}"/>
    <cellStyle name="Normal 4 4 4 4 2 2 2" xfId="3049" xr:uid="{00000000-0005-0000-0000-000045480000}"/>
    <cellStyle name="Normal 4 4 4 4 2 2 2 2" xfId="6125" xr:uid="{00000000-0005-0000-0000-000046480000}"/>
    <cellStyle name="Normal 4 4 4 4 2 2 2 2 2" xfId="12269" xr:uid="{00000000-0005-0000-0000-000047480000}"/>
    <cellStyle name="Normal 4 4 4 4 2 2 2 2 2 2" xfId="24557" xr:uid="{00000000-0005-0000-0000-000048480000}"/>
    <cellStyle name="Normal 4 4 4 4 2 2 2 2 2 2 2" xfId="49133" xr:uid="{00000000-0005-0000-0000-000049480000}"/>
    <cellStyle name="Normal 4 4 4 4 2 2 2 2 2 3" xfId="36845" xr:uid="{00000000-0005-0000-0000-00004A480000}"/>
    <cellStyle name="Normal 4 4 4 4 2 2 2 2 3" xfId="18413" xr:uid="{00000000-0005-0000-0000-00004B480000}"/>
    <cellStyle name="Normal 4 4 4 4 2 2 2 2 3 2" xfId="42989" xr:uid="{00000000-0005-0000-0000-00004C480000}"/>
    <cellStyle name="Normal 4 4 4 4 2 2 2 2 4" xfId="30701" xr:uid="{00000000-0005-0000-0000-00004D480000}"/>
    <cellStyle name="Normal 4 4 4 4 2 2 2 3" xfId="9197" xr:uid="{00000000-0005-0000-0000-00004E480000}"/>
    <cellStyle name="Normal 4 4 4 4 2 2 2 3 2" xfId="21485" xr:uid="{00000000-0005-0000-0000-00004F480000}"/>
    <cellStyle name="Normal 4 4 4 4 2 2 2 3 2 2" xfId="46061" xr:uid="{00000000-0005-0000-0000-000050480000}"/>
    <cellStyle name="Normal 4 4 4 4 2 2 2 3 3" xfId="33773" xr:uid="{00000000-0005-0000-0000-000051480000}"/>
    <cellStyle name="Normal 4 4 4 4 2 2 2 4" xfId="15341" xr:uid="{00000000-0005-0000-0000-000052480000}"/>
    <cellStyle name="Normal 4 4 4 4 2 2 2 4 2" xfId="39917" xr:uid="{00000000-0005-0000-0000-000053480000}"/>
    <cellStyle name="Normal 4 4 4 4 2 2 2 5" xfId="27629" xr:uid="{00000000-0005-0000-0000-000054480000}"/>
    <cellStyle name="Normal 4 4 4 4 2 2 3" xfId="4589" xr:uid="{00000000-0005-0000-0000-000055480000}"/>
    <cellStyle name="Normal 4 4 4 4 2 2 3 2" xfId="10733" xr:uid="{00000000-0005-0000-0000-000056480000}"/>
    <cellStyle name="Normal 4 4 4 4 2 2 3 2 2" xfId="23021" xr:uid="{00000000-0005-0000-0000-000057480000}"/>
    <cellStyle name="Normal 4 4 4 4 2 2 3 2 2 2" xfId="47597" xr:uid="{00000000-0005-0000-0000-000058480000}"/>
    <cellStyle name="Normal 4 4 4 4 2 2 3 2 3" xfId="35309" xr:uid="{00000000-0005-0000-0000-000059480000}"/>
    <cellStyle name="Normal 4 4 4 4 2 2 3 3" xfId="16877" xr:uid="{00000000-0005-0000-0000-00005A480000}"/>
    <cellStyle name="Normal 4 4 4 4 2 2 3 3 2" xfId="41453" xr:uid="{00000000-0005-0000-0000-00005B480000}"/>
    <cellStyle name="Normal 4 4 4 4 2 2 3 4" xfId="29165" xr:uid="{00000000-0005-0000-0000-00005C480000}"/>
    <cellStyle name="Normal 4 4 4 4 2 2 4" xfId="7661" xr:uid="{00000000-0005-0000-0000-00005D480000}"/>
    <cellStyle name="Normal 4 4 4 4 2 2 4 2" xfId="19949" xr:uid="{00000000-0005-0000-0000-00005E480000}"/>
    <cellStyle name="Normal 4 4 4 4 2 2 4 2 2" xfId="44525" xr:uid="{00000000-0005-0000-0000-00005F480000}"/>
    <cellStyle name="Normal 4 4 4 4 2 2 4 3" xfId="32237" xr:uid="{00000000-0005-0000-0000-000060480000}"/>
    <cellStyle name="Normal 4 4 4 4 2 2 5" xfId="13805" xr:uid="{00000000-0005-0000-0000-000061480000}"/>
    <cellStyle name="Normal 4 4 4 4 2 2 5 2" xfId="38381" xr:uid="{00000000-0005-0000-0000-000062480000}"/>
    <cellStyle name="Normal 4 4 4 4 2 2 6" xfId="26093" xr:uid="{00000000-0005-0000-0000-000063480000}"/>
    <cellStyle name="Normal 4 4 4 4 2 3" xfId="2281" xr:uid="{00000000-0005-0000-0000-000064480000}"/>
    <cellStyle name="Normal 4 4 4 4 2 3 2" xfId="5357" xr:uid="{00000000-0005-0000-0000-000065480000}"/>
    <cellStyle name="Normal 4 4 4 4 2 3 2 2" xfId="11501" xr:uid="{00000000-0005-0000-0000-000066480000}"/>
    <cellStyle name="Normal 4 4 4 4 2 3 2 2 2" xfId="23789" xr:uid="{00000000-0005-0000-0000-000067480000}"/>
    <cellStyle name="Normal 4 4 4 4 2 3 2 2 2 2" xfId="48365" xr:uid="{00000000-0005-0000-0000-000068480000}"/>
    <cellStyle name="Normal 4 4 4 4 2 3 2 2 3" xfId="36077" xr:uid="{00000000-0005-0000-0000-000069480000}"/>
    <cellStyle name="Normal 4 4 4 4 2 3 2 3" xfId="17645" xr:uid="{00000000-0005-0000-0000-00006A480000}"/>
    <cellStyle name="Normal 4 4 4 4 2 3 2 3 2" xfId="42221" xr:uid="{00000000-0005-0000-0000-00006B480000}"/>
    <cellStyle name="Normal 4 4 4 4 2 3 2 4" xfId="29933" xr:uid="{00000000-0005-0000-0000-00006C480000}"/>
    <cellStyle name="Normal 4 4 4 4 2 3 3" xfId="8429" xr:uid="{00000000-0005-0000-0000-00006D480000}"/>
    <cellStyle name="Normal 4 4 4 4 2 3 3 2" xfId="20717" xr:uid="{00000000-0005-0000-0000-00006E480000}"/>
    <cellStyle name="Normal 4 4 4 4 2 3 3 2 2" xfId="45293" xr:uid="{00000000-0005-0000-0000-00006F480000}"/>
    <cellStyle name="Normal 4 4 4 4 2 3 3 3" xfId="33005" xr:uid="{00000000-0005-0000-0000-000070480000}"/>
    <cellStyle name="Normal 4 4 4 4 2 3 4" xfId="14573" xr:uid="{00000000-0005-0000-0000-000071480000}"/>
    <cellStyle name="Normal 4 4 4 4 2 3 4 2" xfId="39149" xr:uid="{00000000-0005-0000-0000-000072480000}"/>
    <cellStyle name="Normal 4 4 4 4 2 3 5" xfId="26861" xr:uid="{00000000-0005-0000-0000-000073480000}"/>
    <cellStyle name="Normal 4 4 4 4 2 4" xfId="3821" xr:uid="{00000000-0005-0000-0000-000074480000}"/>
    <cellStyle name="Normal 4 4 4 4 2 4 2" xfId="9965" xr:uid="{00000000-0005-0000-0000-000075480000}"/>
    <cellStyle name="Normal 4 4 4 4 2 4 2 2" xfId="22253" xr:uid="{00000000-0005-0000-0000-000076480000}"/>
    <cellStyle name="Normal 4 4 4 4 2 4 2 2 2" xfId="46829" xr:uid="{00000000-0005-0000-0000-000077480000}"/>
    <cellStyle name="Normal 4 4 4 4 2 4 2 3" xfId="34541" xr:uid="{00000000-0005-0000-0000-000078480000}"/>
    <cellStyle name="Normal 4 4 4 4 2 4 3" xfId="16109" xr:uid="{00000000-0005-0000-0000-000079480000}"/>
    <cellStyle name="Normal 4 4 4 4 2 4 3 2" xfId="40685" xr:uid="{00000000-0005-0000-0000-00007A480000}"/>
    <cellStyle name="Normal 4 4 4 4 2 4 4" xfId="28397" xr:uid="{00000000-0005-0000-0000-00007B480000}"/>
    <cellStyle name="Normal 4 4 4 4 2 5" xfId="6893" xr:uid="{00000000-0005-0000-0000-00007C480000}"/>
    <cellStyle name="Normal 4 4 4 4 2 5 2" xfId="19181" xr:uid="{00000000-0005-0000-0000-00007D480000}"/>
    <cellStyle name="Normal 4 4 4 4 2 5 2 2" xfId="43757" xr:uid="{00000000-0005-0000-0000-00007E480000}"/>
    <cellStyle name="Normal 4 4 4 4 2 5 3" xfId="31469" xr:uid="{00000000-0005-0000-0000-00007F480000}"/>
    <cellStyle name="Normal 4 4 4 4 2 6" xfId="13037" xr:uid="{00000000-0005-0000-0000-000080480000}"/>
    <cellStyle name="Normal 4 4 4 4 2 6 2" xfId="37613" xr:uid="{00000000-0005-0000-0000-000081480000}"/>
    <cellStyle name="Normal 4 4 4 4 2 7" xfId="25325" xr:uid="{00000000-0005-0000-0000-000082480000}"/>
    <cellStyle name="Normal 4 4 4 4 3" xfId="1129" xr:uid="{00000000-0005-0000-0000-000083480000}"/>
    <cellStyle name="Normal 4 4 4 4 3 2" xfId="2665" xr:uid="{00000000-0005-0000-0000-000084480000}"/>
    <cellStyle name="Normal 4 4 4 4 3 2 2" xfId="5741" xr:uid="{00000000-0005-0000-0000-000085480000}"/>
    <cellStyle name="Normal 4 4 4 4 3 2 2 2" xfId="11885" xr:uid="{00000000-0005-0000-0000-000086480000}"/>
    <cellStyle name="Normal 4 4 4 4 3 2 2 2 2" xfId="24173" xr:uid="{00000000-0005-0000-0000-000087480000}"/>
    <cellStyle name="Normal 4 4 4 4 3 2 2 2 2 2" xfId="48749" xr:uid="{00000000-0005-0000-0000-000088480000}"/>
    <cellStyle name="Normal 4 4 4 4 3 2 2 2 3" xfId="36461" xr:uid="{00000000-0005-0000-0000-000089480000}"/>
    <cellStyle name="Normal 4 4 4 4 3 2 2 3" xfId="18029" xr:uid="{00000000-0005-0000-0000-00008A480000}"/>
    <cellStyle name="Normal 4 4 4 4 3 2 2 3 2" xfId="42605" xr:uid="{00000000-0005-0000-0000-00008B480000}"/>
    <cellStyle name="Normal 4 4 4 4 3 2 2 4" xfId="30317" xr:uid="{00000000-0005-0000-0000-00008C480000}"/>
    <cellStyle name="Normal 4 4 4 4 3 2 3" xfId="8813" xr:uid="{00000000-0005-0000-0000-00008D480000}"/>
    <cellStyle name="Normal 4 4 4 4 3 2 3 2" xfId="21101" xr:uid="{00000000-0005-0000-0000-00008E480000}"/>
    <cellStyle name="Normal 4 4 4 4 3 2 3 2 2" xfId="45677" xr:uid="{00000000-0005-0000-0000-00008F480000}"/>
    <cellStyle name="Normal 4 4 4 4 3 2 3 3" xfId="33389" xr:uid="{00000000-0005-0000-0000-000090480000}"/>
    <cellStyle name="Normal 4 4 4 4 3 2 4" xfId="14957" xr:uid="{00000000-0005-0000-0000-000091480000}"/>
    <cellStyle name="Normal 4 4 4 4 3 2 4 2" xfId="39533" xr:uid="{00000000-0005-0000-0000-000092480000}"/>
    <cellStyle name="Normal 4 4 4 4 3 2 5" xfId="27245" xr:uid="{00000000-0005-0000-0000-000093480000}"/>
    <cellStyle name="Normal 4 4 4 4 3 3" xfId="4205" xr:uid="{00000000-0005-0000-0000-000094480000}"/>
    <cellStyle name="Normal 4 4 4 4 3 3 2" xfId="10349" xr:uid="{00000000-0005-0000-0000-000095480000}"/>
    <cellStyle name="Normal 4 4 4 4 3 3 2 2" xfId="22637" xr:uid="{00000000-0005-0000-0000-000096480000}"/>
    <cellStyle name="Normal 4 4 4 4 3 3 2 2 2" xfId="47213" xr:uid="{00000000-0005-0000-0000-000097480000}"/>
    <cellStyle name="Normal 4 4 4 4 3 3 2 3" xfId="34925" xr:uid="{00000000-0005-0000-0000-000098480000}"/>
    <cellStyle name="Normal 4 4 4 4 3 3 3" xfId="16493" xr:uid="{00000000-0005-0000-0000-000099480000}"/>
    <cellStyle name="Normal 4 4 4 4 3 3 3 2" xfId="41069" xr:uid="{00000000-0005-0000-0000-00009A480000}"/>
    <cellStyle name="Normal 4 4 4 4 3 3 4" xfId="28781" xr:uid="{00000000-0005-0000-0000-00009B480000}"/>
    <cellStyle name="Normal 4 4 4 4 3 4" xfId="7277" xr:uid="{00000000-0005-0000-0000-00009C480000}"/>
    <cellStyle name="Normal 4 4 4 4 3 4 2" xfId="19565" xr:uid="{00000000-0005-0000-0000-00009D480000}"/>
    <cellStyle name="Normal 4 4 4 4 3 4 2 2" xfId="44141" xr:uid="{00000000-0005-0000-0000-00009E480000}"/>
    <cellStyle name="Normal 4 4 4 4 3 4 3" xfId="31853" xr:uid="{00000000-0005-0000-0000-00009F480000}"/>
    <cellStyle name="Normal 4 4 4 4 3 5" xfId="13421" xr:uid="{00000000-0005-0000-0000-0000A0480000}"/>
    <cellStyle name="Normal 4 4 4 4 3 5 2" xfId="37997" xr:uid="{00000000-0005-0000-0000-0000A1480000}"/>
    <cellStyle name="Normal 4 4 4 4 3 6" xfId="25709" xr:uid="{00000000-0005-0000-0000-0000A2480000}"/>
    <cellStyle name="Normal 4 4 4 4 4" xfId="1897" xr:uid="{00000000-0005-0000-0000-0000A3480000}"/>
    <cellStyle name="Normal 4 4 4 4 4 2" xfId="4973" xr:uid="{00000000-0005-0000-0000-0000A4480000}"/>
    <cellStyle name="Normal 4 4 4 4 4 2 2" xfId="11117" xr:uid="{00000000-0005-0000-0000-0000A5480000}"/>
    <cellStyle name="Normal 4 4 4 4 4 2 2 2" xfId="23405" xr:uid="{00000000-0005-0000-0000-0000A6480000}"/>
    <cellStyle name="Normal 4 4 4 4 4 2 2 2 2" xfId="47981" xr:uid="{00000000-0005-0000-0000-0000A7480000}"/>
    <cellStyle name="Normal 4 4 4 4 4 2 2 3" xfId="35693" xr:uid="{00000000-0005-0000-0000-0000A8480000}"/>
    <cellStyle name="Normal 4 4 4 4 4 2 3" xfId="17261" xr:uid="{00000000-0005-0000-0000-0000A9480000}"/>
    <cellStyle name="Normal 4 4 4 4 4 2 3 2" xfId="41837" xr:uid="{00000000-0005-0000-0000-0000AA480000}"/>
    <cellStyle name="Normal 4 4 4 4 4 2 4" xfId="29549" xr:uid="{00000000-0005-0000-0000-0000AB480000}"/>
    <cellStyle name="Normal 4 4 4 4 4 3" xfId="8045" xr:uid="{00000000-0005-0000-0000-0000AC480000}"/>
    <cellStyle name="Normal 4 4 4 4 4 3 2" xfId="20333" xr:uid="{00000000-0005-0000-0000-0000AD480000}"/>
    <cellStyle name="Normal 4 4 4 4 4 3 2 2" xfId="44909" xr:uid="{00000000-0005-0000-0000-0000AE480000}"/>
    <cellStyle name="Normal 4 4 4 4 4 3 3" xfId="32621" xr:uid="{00000000-0005-0000-0000-0000AF480000}"/>
    <cellStyle name="Normal 4 4 4 4 4 4" xfId="14189" xr:uid="{00000000-0005-0000-0000-0000B0480000}"/>
    <cellStyle name="Normal 4 4 4 4 4 4 2" xfId="38765" xr:uid="{00000000-0005-0000-0000-0000B1480000}"/>
    <cellStyle name="Normal 4 4 4 4 4 5" xfId="26477" xr:uid="{00000000-0005-0000-0000-0000B2480000}"/>
    <cellStyle name="Normal 4 4 4 4 5" xfId="3437" xr:uid="{00000000-0005-0000-0000-0000B3480000}"/>
    <cellStyle name="Normal 4 4 4 4 5 2" xfId="9581" xr:uid="{00000000-0005-0000-0000-0000B4480000}"/>
    <cellStyle name="Normal 4 4 4 4 5 2 2" xfId="21869" xr:uid="{00000000-0005-0000-0000-0000B5480000}"/>
    <cellStyle name="Normal 4 4 4 4 5 2 2 2" xfId="46445" xr:uid="{00000000-0005-0000-0000-0000B6480000}"/>
    <cellStyle name="Normal 4 4 4 4 5 2 3" xfId="34157" xr:uid="{00000000-0005-0000-0000-0000B7480000}"/>
    <cellStyle name="Normal 4 4 4 4 5 3" xfId="15725" xr:uid="{00000000-0005-0000-0000-0000B8480000}"/>
    <cellStyle name="Normal 4 4 4 4 5 3 2" xfId="40301" xr:uid="{00000000-0005-0000-0000-0000B9480000}"/>
    <cellStyle name="Normal 4 4 4 4 5 4" xfId="28013" xr:uid="{00000000-0005-0000-0000-0000BA480000}"/>
    <cellStyle name="Normal 4 4 4 4 6" xfId="6509" xr:uid="{00000000-0005-0000-0000-0000BB480000}"/>
    <cellStyle name="Normal 4 4 4 4 6 2" xfId="18797" xr:uid="{00000000-0005-0000-0000-0000BC480000}"/>
    <cellStyle name="Normal 4 4 4 4 6 2 2" xfId="43373" xr:uid="{00000000-0005-0000-0000-0000BD480000}"/>
    <cellStyle name="Normal 4 4 4 4 6 3" xfId="31085" xr:uid="{00000000-0005-0000-0000-0000BE480000}"/>
    <cellStyle name="Normal 4 4 4 4 7" xfId="12653" xr:uid="{00000000-0005-0000-0000-0000BF480000}"/>
    <cellStyle name="Normal 4 4 4 4 7 2" xfId="37229" xr:uid="{00000000-0005-0000-0000-0000C0480000}"/>
    <cellStyle name="Normal 4 4 4 4 8" xfId="24941" xr:uid="{00000000-0005-0000-0000-0000C1480000}"/>
    <cellStyle name="Normal 4 4 4 5" xfId="553" xr:uid="{00000000-0005-0000-0000-0000C2480000}"/>
    <cellStyle name="Normal 4 4 4 5 2" xfId="1321" xr:uid="{00000000-0005-0000-0000-0000C3480000}"/>
    <cellStyle name="Normal 4 4 4 5 2 2" xfId="2857" xr:uid="{00000000-0005-0000-0000-0000C4480000}"/>
    <cellStyle name="Normal 4 4 4 5 2 2 2" xfId="5933" xr:uid="{00000000-0005-0000-0000-0000C5480000}"/>
    <cellStyle name="Normal 4 4 4 5 2 2 2 2" xfId="12077" xr:uid="{00000000-0005-0000-0000-0000C6480000}"/>
    <cellStyle name="Normal 4 4 4 5 2 2 2 2 2" xfId="24365" xr:uid="{00000000-0005-0000-0000-0000C7480000}"/>
    <cellStyle name="Normal 4 4 4 5 2 2 2 2 2 2" xfId="48941" xr:uid="{00000000-0005-0000-0000-0000C8480000}"/>
    <cellStyle name="Normal 4 4 4 5 2 2 2 2 3" xfId="36653" xr:uid="{00000000-0005-0000-0000-0000C9480000}"/>
    <cellStyle name="Normal 4 4 4 5 2 2 2 3" xfId="18221" xr:uid="{00000000-0005-0000-0000-0000CA480000}"/>
    <cellStyle name="Normal 4 4 4 5 2 2 2 3 2" xfId="42797" xr:uid="{00000000-0005-0000-0000-0000CB480000}"/>
    <cellStyle name="Normal 4 4 4 5 2 2 2 4" xfId="30509" xr:uid="{00000000-0005-0000-0000-0000CC480000}"/>
    <cellStyle name="Normal 4 4 4 5 2 2 3" xfId="9005" xr:uid="{00000000-0005-0000-0000-0000CD480000}"/>
    <cellStyle name="Normal 4 4 4 5 2 2 3 2" xfId="21293" xr:uid="{00000000-0005-0000-0000-0000CE480000}"/>
    <cellStyle name="Normal 4 4 4 5 2 2 3 2 2" xfId="45869" xr:uid="{00000000-0005-0000-0000-0000CF480000}"/>
    <cellStyle name="Normal 4 4 4 5 2 2 3 3" xfId="33581" xr:uid="{00000000-0005-0000-0000-0000D0480000}"/>
    <cellStyle name="Normal 4 4 4 5 2 2 4" xfId="15149" xr:uid="{00000000-0005-0000-0000-0000D1480000}"/>
    <cellStyle name="Normal 4 4 4 5 2 2 4 2" xfId="39725" xr:uid="{00000000-0005-0000-0000-0000D2480000}"/>
    <cellStyle name="Normal 4 4 4 5 2 2 5" xfId="27437" xr:uid="{00000000-0005-0000-0000-0000D3480000}"/>
    <cellStyle name="Normal 4 4 4 5 2 3" xfId="4397" xr:uid="{00000000-0005-0000-0000-0000D4480000}"/>
    <cellStyle name="Normal 4 4 4 5 2 3 2" xfId="10541" xr:uid="{00000000-0005-0000-0000-0000D5480000}"/>
    <cellStyle name="Normal 4 4 4 5 2 3 2 2" xfId="22829" xr:uid="{00000000-0005-0000-0000-0000D6480000}"/>
    <cellStyle name="Normal 4 4 4 5 2 3 2 2 2" xfId="47405" xr:uid="{00000000-0005-0000-0000-0000D7480000}"/>
    <cellStyle name="Normal 4 4 4 5 2 3 2 3" xfId="35117" xr:uid="{00000000-0005-0000-0000-0000D8480000}"/>
    <cellStyle name="Normal 4 4 4 5 2 3 3" xfId="16685" xr:uid="{00000000-0005-0000-0000-0000D9480000}"/>
    <cellStyle name="Normal 4 4 4 5 2 3 3 2" xfId="41261" xr:uid="{00000000-0005-0000-0000-0000DA480000}"/>
    <cellStyle name="Normal 4 4 4 5 2 3 4" xfId="28973" xr:uid="{00000000-0005-0000-0000-0000DB480000}"/>
    <cellStyle name="Normal 4 4 4 5 2 4" xfId="7469" xr:uid="{00000000-0005-0000-0000-0000DC480000}"/>
    <cellStyle name="Normal 4 4 4 5 2 4 2" xfId="19757" xr:uid="{00000000-0005-0000-0000-0000DD480000}"/>
    <cellStyle name="Normal 4 4 4 5 2 4 2 2" xfId="44333" xr:uid="{00000000-0005-0000-0000-0000DE480000}"/>
    <cellStyle name="Normal 4 4 4 5 2 4 3" xfId="32045" xr:uid="{00000000-0005-0000-0000-0000DF480000}"/>
    <cellStyle name="Normal 4 4 4 5 2 5" xfId="13613" xr:uid="{00000000-0005-0000-0000-0000E0480000}"/>
    <cellStyle name="Normal 4 4 4 5 2 5 2" xfId="38189" xr:uid="{00000000-0005-0000-0000-0000E1480000}"/>
    <cellStyle name="Normal 4 4 4 5 2 6" xfId="25901" xr:uid="{00000000-0005-0000-0000-0000E2480000}"/>
    <cellStyle name="Normal 4 4 4 5 3" xfId="2089" xr:uid="{00000000-0005-0000-0000-0000E3480000}"/>
    <cellStyle name="Normal 4 4 4 5 3 2" xfId="5165" xr:uid="{00000000-0005-0000-0000-0000E4480000}"/>
    <cellStyle name="Normal 4 4 4 5 3 2 2" xfId="11309" xr:uid="{00000000-0005-0000-0000-0000E5480000}"/>
    <cellStyle name="Normal 4 4 4 5 3 2 2 2" xfId="23597" xr:uid="{00000000-0005-0000-0000-0000E6480000}"/>
    <cellStyle name="Normal 4 4 4 5 3 2 2 2 2" xfId="48173" xr:uid="{00000000-0005-0000-0000-0000E7480000}"/>
    <cellStyle name="Normal 4 4 4 5 3 2 2 3" xfId="35885" xr:uid="{00000000-0005-0000-0000-0000E8480000}"/>
    <cellStyle name="Normal 4 4 4 5 3 2 3" xfId="17453" xr:uid="{00000000-0005-0000-0000-0000E9480000}"/>
    <cellStyle name="Normal 4 4 4 5 3 2 3 2" xfId="42029" xr:uid="{00000000-0005-0000-0000-0000EA480000}"/>
    <cellStyle name="Normal 4 4 4 5 3 2 4" xfId="29741" xr:uid="{00000000-0005-0000-0000-0000EB480000}"/>
    <cellStyle name="Normal 4 4 4 5 3 3" xfId="8237" xr:uid="{00000000-0005-0000-0000-0000EC480000}"/>
    <cellStyle name="Normal 4 4 4 5 3 3 2" xfId="20525" xr:uid="{00000000-0005-0000-0000-0000ED480000}"/>
    <cellStyle name="Normal 4 4 4 5 3 3 2 2" xfId="45101" xr:uid="{00000000-0005-0000-0000-0000EE480000}"/>
    <cellStyle name="Normal 4 4 4 5 3 3 3" xfId="32813" xr:uid="{00000000-0005-0000-0000-0000EF480000}"/>
    <cellStyle name="Normal 4 4 4 5 3 4" xfId="14381" xr:uid="{00000000-0005-0000-0000-0000F0480000}"/>
    <cellStyle name="Normal 4 4 4 5 3 4 2" xfId="38957" xr:uid="{00000000-0005-0000-0000-0000F1480000}"/>
    <cellStyle name="Normal 4 4 4 5 3 5" xfId="26669" xr:uid="{00000000-0005-0000-0000-0000F2480000}"/>
    <cellStyle name="Normal 4 4 4 5 4" xfId="3629" xr:uid="{00000000-0005-0000-0000-0000F3480000}"/>
    <cellStyle name="Normal 4 4 4 5 4 2" xfId="9773" xr:uid="{00000000-0005-0000-0000-0000F4480000}"/>
    <cellStyle name="Normal 4 4 4 5 4 2 2" xfId="22061" xr:uid="{00000000-0005-0000-0000-0000F5480000}"/>
    <cellStyle name="Normal 4 4 4 5 4 2 2 2" xfId="46637" xr:uid="{00000000-0005-0000-0000-0000F6480000}"/>
    <cellStyle name="Normal 4 4 4 5 4 2 3" xfId="34349" xr:uid="{00000000-0005-0000-0000-0000F7480000}"/>
    <cellStyle name="Normal 4 4 4 5 4 3" xfId="15917" xr:uid="{00000000-0005-0000-0000-0000F8480000}"/>
    <cellStyle name="Normal 4 4 4 5 4 3 2" xfId="40493" xr:uid="{00000000-0005-0000-0000-0000F9480000}"/>
    <cellStyle name="Normal 4 4 4 5 4 4" xfId="28205" xr:uid="{00000000-0005-0000-0000-0000FA480000}"/>
    <cellStyle name="Normal 4 4 4 5 5" xfId="6701" xr:uid="{00000000-0005-0000-0000-0000FB480000}"/>
    <cellStyle name="Normal 4 4 4 5 5 2" xfId="18989" xr:uid="{00000000-0005-0000-0000-0000FC480000}"/>
    <cellStyle name="Normal 4 4 4 5 5 2 2" xfId="43565" xr:uid="{00000000-0005-0000-0000-0000FD480000}"/>
    <cellStyle name="Normal 4 4 4 5 5 3" xfId="31277" xr:uid="{00000000-0005-0000-0000-0000FE480000}"/>
    <cellStyle name="Normal 4 4 4 5 6" xfId="12845" xr:uid="{00000000-0005-0000-0000-0000FF480000}"/>
    <cellStyle name="Normal 4 4 4 5 6 2" xfId="37421" xr:uid="{00000000-0005-0000-0000-000000490000}"/>
    <cellStyle name="Normal 4 4 4 5 7" xfId="25133" xr:uid="{00000000-0005-0000-0000-000001490000}"/>
    <cellStyle name="Normal 4 4 4 6" xfId="937" xr:uid="{00000000-0005-0000-0000-000002490000}"/>
    <cellStyle name="Normal 4 4 4 6 2" xfId="2473" xr:uid="{00000000-0005-0000-0000-000003490000}"/>
    <cellStyle name="Normal 4 4 4 6 2 2" xfId="5549" xr:uid="{00000000-0005-0000-0000-000004490000}"/>
    <cellStyle name="Normal 4 4 4 6 2 2 2" xfId="11693" xr:uid="{00000000-0005-0000-0000-000005490000}"/>
    <cellStyle name="Normal 4 4 4 6 2 2 2 2" xfId="23981" xr:uid="{00000000-0005-0000-0000-000006490000}"/>
    <cellStyle name="Normal 4 4 4 6 2 2 2 2 2" xfId="48557" xr:uid="{00000000-0005-0000-0000-000007490000}"/>
    <cellStyle name="Normal 4 4 4 6 2 2 2 3" xfId="36269" xr:uid="{00000000-0005-0000-0000-000008490000}"/>
    <cellStyle name="Normal 4 4 4 6 2 2 3" xfId="17837" xr:uid="{00000000-0005-0000-0000-000009490000}"/>
    <cellStyle name="Normal 4 4 4 6 2 2 3 2" xfId="42413" xr:uid="{00000000-0005-0000-0000-00000A490000}"/>
    <cellStyle name="Normal 4 4 4 6 2 2 4" xfId="30125" xr:uid="{00000000-0005-0000-0000-00000B490000}"/>
    <cellStyle name="Normal 4 4 4 6 2 3" xfId="8621" xr:uid="{00000000-0005-0000-0000-00000C490000}"/>
    <cellStyle name="Normal 4 4 4 6 2 3 2" xfId="20909" xr:uid="{00000000-0005-0000-0000-00000D490000}"/>
    <cellStyle name="Normal 4 4 4 6 2 3 2 2" xfId="45485" xr:uid="{00000000-0005-0000-0000-00000E490000}"/>
    <cellStyle name="Normal 4 4 4 6 2 3 3" xfId="33197" xr:uid="{00000000-0005-0000-0000-00000F490000}"/>
    <cellStyle name="Normal 4 4 4 6 2 4" xfId="14765" xr:uid="{00000000-0005-0000-0000-000010490000}"/>
    <cellStyle name="Normal 4 4 4 6 2 4 2" xfId="39341" xr:uid="{00000000-0005-0000-0000-000011490000}"/>
    <cellStyle name="Normal 4 4 4 6 2 5" xfId="27053" xr:uid="{00000000-0005-0000-0000-000012490000}"/>
    <cellStyle name="Normal 4 4 4 6 3" xfId="4013" xr:uid="{00000000-0005-0000-0000-000013490000}"/>
    <cellStyle name="Normal 4 4 4 6 3 2" xfId="10157" xr:uid="{00000000-0005-0000-0000-000014490000}"/>
    <cellStyle name="Normal 4 4 4 6 3 2 2" xfId="22445" xr:uid="{00000000-0005-0000-0000-000015490000}"/>
    <cellStyle name="Normal 4 4 4 6 3 2 2 2" xfId="47021" xr:uid="{00000000-0005-0000-0000-000016490000}"/>
    <cellStyle name="Normal 4 4 4 6 3 2 3" xfId="34733" xr:uid="{00000000-0005-0000-0000-000017490000}"/>
    <cellStyle name="Normal 4 4 4 6 3 3" xfId="16301" xr:uid="{00000000-0005-0000-0000-000018490000}"/>
    <cellStyle name="Normal 4 4 4 6 3 3 2" xfId="40877" xr:uid="{00000000-0005-0000-0000-000019490000}"/>
    <cellStyle name="Normal 4 4 4 6 3 4" xfId="28589" xr:uid="{00000000-0005-0000-0000-00001A490000}"/>
    <cellStyle name="Normal 4 4 4 6 4" xfId="7085" xr:uid="{00000000-0005-0000-0000-00001B490000}"/>
    <cellStyle name="Normal 4 4 4 6 4 2" xfId="19373" xr:uid="{00000000-0005-0000-0000-00001C490000}"/>
    <cellStyle name="Normal 4 4 4 6 4 2 2" xfId="43949" xr:uid="{00000000-0005-0000-0000-00001D490000}"/>
    <cellStyle name="Normal 4 4 4 6 4 3" xfId="31661" xr:uid="{00000000-0005-0000-0000-00001E490000}"/>
    <cellStyle name="Normal 4 4 4 6 5" xfId="13229" xr:uid="{00000000-0005-0000-0000-00001F490000}"/>
    <cellStyle name="Normal 4 4 4 6 5 2" xfId="37805" xr:uid="{00000000-0005-0000-0000-000020490000}"/>
    <cellStyle name="Normal 4 4 4 6 6" xfId="25517" xr:uid="{00000000-0005-0000-0000-000021490000}"/>
    <cellStyle name="Normal 4 4 4 7" xfId="1705" xr:uid="{00000000-0005-0000-0000-000022490000}"/>
    <cellStyle name="Normal 4 4 4 7 2" xfId="4781" xr:uid="{00000000-0005-0000-0000-000023490000}"/>
    <cellStyle name="Normal 4 4 4 7 2 2" xfId="10925" xr:uid="{00000000-0005-0000-0000-000024490000}"/>
    <cellStyle name="Normal 4 4 4 7 2 2 2" xfId="23213" xr:uid="{00000000-0005-0000-0000-000025490000}"/>
    <cellStyle name="Normal 4 4 4 7 2 2 2 2" xfId="47789" xr:uid="{00000000-0005-0000-0000-000026490000}"/>
    <cellStyle name="Normal 4 4 4 7 2 2 3" xfId="35501" xr:uid="{00000000-0005-0000-0000-000027490000}"/>
    <cellStyle name="Normal 4 4 4 7 2 3" xfId="17069" xr:uid="{00000000-0005-0000-0000-000028490000}"/>
    <cellStyle name="Normal 4 4 4 7 2 3 2" xfId="41645" xr:uid="{00000000-0005-0000-0000-000029490000}"/>
    <cellStyle name="Normal 4 4 4 7 2 4" xfId="29357" xr:uid="{00000000-0005-0000-0000-00002A490000}"/>
    <cellStyle name="Normal 4 4 4 7 3" xfId="7853" xr:uid="{00000000-0005-0000-0000-00002B490000}"/>
    <cellStyle name="Normal 4 4 4 7 3 2" xfId="20141" xr:uid="{00000000-0005-0000-0000-00002C490000}"/>
    <cellStyle name="Normal 4 4 4 7 3 2 2" xfId="44717" xr:uid="{00000000-0005-0000-0000-00002D490000}"/>
    <cellStyle name="Normal 4 4 4 7 3 3" xfId="32429" xr:uid="{00000000-0005-0000-0000-00002E490000}"/>
    <cellStyle name="Normal 4 4 4 7 4" xfId="13997" xr:uid="{00000000-0005-0000-0000-00002F490000}"/>
    <cellStyle name="Normal 4 4 4 7 4 2" xfId="38573" xr:uid="{00000000-0005-0000-0000-000030490000}"/>
    <cellStyle name="Normal 4 4 4 7 5" xfId="26285" xr:uid="{00000000-0005-0000-0000-000031490000}"/>
    <cellStyle name="Normal 4 4 4 8" xfId="3245" xr:uid="{00000000-0005-0000-0000-000032490000}"/>
    <cellStyle name="Normal 4 4 4 8 2" xfId="9389" xr:uid="{00000000-0005-0000-0000-000033490000}"/>
    <cellStyle name="Normal 4 4 4 8 2 2" xfId="21677" xr:uid="{00000000-0005-0000-0000-000034490000}"/>
    <cellStyle name="Normal 4 4 4 8 2 2 2" xfId="46253" xr:uid="{00000000-0005-0000-0000-000035490000}"/>
    <cellStyle name="Normal 4 4 4 8 2 3" xfId="33965" xr:uid="{00000000-0005-0000-0000-000036490000}"/>
    <cellStyle name="Normal 4 4 4 8 3" xfId="15533" xr:uid="{00000000-0005-0000-0000-000037490000}"/>
    <cellStyle name="Normal 4 4 4 8 3 2" xfId="40109" xr:uid="{00000000-0005-0000-0000-000038490000}"/>
    <cellStyle name="Normal 4 4 4 8 4" xfId="27821" xr:uid="{00000000-0005-0000-0000-000039490000}"/>
    <cellStyle name="Normal 4 4 4 9" xfId="6317" xr:uid="{00000000-0005-0000-0000-00003A490000}"/>
    <cellStyle name="Normal 4 4 4 9 2" xfId="18605" xr:uid="{00000000-0005-0000-0000-00003B490000}"/>
    <cellStyle name="Normal 4 4 4 9 2 2" xfId="43181" xr:uid="{00000000-0005-0000-0000-00003C490000}"/>
    <cellStyle name="Normal 4 4 4 9 3" xfId="30893" xr:uid="{00000000-0005-0000-0000-00003D490000}"/>
    <cellStyle name="Normal 4 4 5" xfId="201" xr:uid="{00000000-0005-0000-0000-00003E490000}"/>
    <cellStyle name="Normal 4 4 5 2" xfId="393" xr:uid="{00000000-0005-0000-0000-00003F490000}"/>
    <cellStyle name="Normal 4 4 5 2 2" xfId="777" xr:uid="{00000000-0005-0000-0000-000040490000}"/>
    <cellStyle name="Normal 4 4 5 2 2 2" xfId="1545" xr:uid="{00000000-0005-0000-0000-000041490000}"/>
    <cellStyle name="Normal 4 4 5 2 2 2 2" xfId="3081" xr:uid="{00000000-0005-0000-0000-000042490000}"/>
    <cellStyle name="Normal 4 4 5 2 2 2 2 2" xfId="6157" xr:uid="{00000000-0005-0000-0000-000043490000}"/>
    <cellStyle name="Normal 4 4 5 2 2 2 2 2 2" xfId="12301" xr:uid="{00000000-0005-0000-0000-000044490000}"/>
    <cellStyle name="Normal 4 4 5 2 2 2 2 2 2 2" xfId="24589" xr:uid="{00000000-0005-0000-0000-000045490000}"/>
    <cellStyle name="Normal 4 4 5 2 2 2 2 2 2 2 2" xfId="49165" xr:uid="{00000000-0005-0000-0000-000046490000}"/>
    <cellStyle name="Normal 4 4 5 2 2 2 2 2 2 3" xfId="36877" xr:uid="{00000000-0005-0000-0000-000047490000}"/>
    <cellStyle name="Normal 4 4 5 2 2 2 2 2 3" xfId="18445" xr:uid="{00000000-0005-0000-0000-000048490000}"/>
    <cellStyle name="Normal 4 4 5 2 2 2 2 2 3 2" xfId="43021" xr:uid="{00000000-0005-0000-0000-000049490000}"/>
    <cellStyle name="Normal 4 4 5 2 2 2 2 2 4" xfId="30733" xr:uid="{00000000-0005-0000-0000-00004A490000}"/>
    <cellStyle name="Normal 4 4 5 2 2 2 2 3" xfId="9229" xr:uid="{00000000-0005-0000-0000-00004B490000}"/>
    <cellStyle name="Normal 4 4 5 2 2 2 2 3 2" xfId="21517" xr:uid="{00000000-0005-0000-0000-00004C490000}"/>
    <cellStyle name="Normal 4 4 5 2 2 2 2 3 2 2" xfId="46093" xr:uid="{00000000-0005-0000-0000-00004D490000}"/>
    <cellStyle name="Normal 4 4 5 2 2 2 2 3 3" xfId="33805" xr:uid="{00000000-0005-0000-0000-00004E490000}"/>
    <cellStyle name="Normal 4 4 5 2 2 2 2 4" xfId="15373" xr:uid="{00000000-0005-0000-0000-00004F490000}"/>
    <cellStyle name="Normal 4 4 5 2 2 2 2 4 2" xfId="39949" xr:uid="{00000000-0005-0000-0000-000050490000}"/>
    <cellStyle name="Normal 4 4 5 2 2 2 2 5" xfId="27661" xr:uid="{00000000-0005-0000-0000-000051490000}"/>
    <cellStyle name="Normal 4 4 5 2 2 2 3" xfId="4621" xr:uid="{00000000-0005-0000-0000-000052490000}"/>
    <cellStyle name="Normal 4 4 5 2 2 2 3 2" xfId="10765" xr:uid="{00000000-0005-0000-0000-000053490000}"/>
    <cellStyle name="Normal 4 4 5 2 2 2 3 2 2" xfId="23053" xr:uid="{00000000-0005-0000-0000-000054490000}"/>
    <cellStyle name="Normal 4 4 5 2 2 2 3 2 2 2" xfId="47629" xr:uid="{00000000-0005-0000-0000-000055490000}"/>
    <cellStyle name="Normal 4 4 5 2 2 2 3 2 3" xfId="35341" xr:uid="{00000000-0005-0000-0000-000056490000}"/>
    <cellStyle name="Normal 4 4 5 2 2 2 3 3" xfId="16909" xr:uid="{00000000-0005-0000-0000-000057490000}"/>
    <cellStyle name="Normal 4 4 5 2 2 2 3 3 2" xfId="41485" xr:uid="{00000000-0005-0000-0000-000058490000}"/>
    <cellStyle name="Normal 4 4 5 2 2 2 3 4" xfId="29197" xr:uid="{00000000-0005-0000-0000-000059490000}"/>
    <cellStyle name="Normal 4 4 5 2 2 2 4" xfId="7693" xr:uid="{00000000-0005-0000-0000-00005A490000}"/>
    <cellStyle name="Normal 4 4 5 2 2 2 4 2" xfId="19981" xr:uid="{00000000-0005-0000-0000-00005B490000}"/>
    <cellStyle name="Normal 4 4 5 2 2 2 4 2 2" xfId="44557" xr:uid="{00000000-0005-0000-0000-00005C490000}"/>
    <cellStyle name="Normal 4 4 5 2 2 2 4 3" xfId="32269" xr:uid="{00000000-0005-0000-0000-00005D490000}"/>
    <cellStyle name="Normal 4 4 5 2 2 2 5" xfId="13837" xr:uid="{00000000-0005-0000-0000-00005E490000}"/>
    <cellStyle name="Normal 4 4 5 2 2 2 5 2" xfId="38413" xr:uid="{00000000-0005-0000-0000-00005F490000}"/>
    <cellStyle name="Normal 4 4 5 2 2 2 6" xfId="26125" xr:uid="{00000000-0005-0000-0000-000060490000}"/>
    <cellStyle name="Normal 4 4 5 2 2 3" xfId="2313" xr:uid="{00000000-0005-0000-0000-000061490000}"/>
    <cellStyle name="Normal 4 4 5 2 2 3 2" xfId="5389" xr:uid="{00000000-0005-0000-0000-000062490000}"/>
    <cellStyle name="Normal 4 4 5 2 2 3 2 2" xfId="11533" xr:uid="{00000000-0005-0000-0000-000063490000}"/>
    <cellStyle name="Normal 4 4 5 2 2 3 2 2 2" xfId="23821" xr:uid="{00000000-0005-0000-0000-000064490000}"/>
    <cellStyle name="Normal 4 4 5 2 2 3 2 2 2 2" xfId="48397" xr:uid="{00000000-0005-0000-0000-000065490000}"/>
    <cellStyle name="Normal 4 4 5 2 2 3 2 2 3" xfId="36109" xr:uid="{00000000-0005-0000-0000-000066490000}"/>
    <cellStyle name="Normal 4 4 5 2 2 3 2 3" xfId="17677" xr:uid="{00000000-0005-0000-0000-000067490000}"/>
    <cellStyle name="Normal 4 4 5 2 2 3 2 3 2" xfId="42253" xr:uid="{00000000-0005-0000-0000-000068490000}"/>
    <cellStyle name="Normal 4 4 5 2 2 3 2 4" xfId="29965" xr:uid="{00000000-0005-0000-0000-000069490000}"/>
    <cellStyle name="Normal 4 4 5 2 2 3 3" xfId="8461" xr:uid="{00000000-0005-0000-0000-00006A490000}"/>
    <cellStyle name="Normal 4 4 5 2 2 3 3 2" xfId="20749" xr:uid="{00000000-0005-0000-0000-00006B490000}"/>
    <cellStyle name="Normal 4 4 5 2 2 3 3 2 2" xfId="45325" xr:uid="{00000000-0005-0000-0000-00006C490000}"/>
    <cellStyle name="Normal 4 4 5 2 2 3 3 3" xfId="33037" xr:uid="{00000000-0005-0000-0000-00006D490000}"/>
    <cellStyle name="Normal 4 4 5 2 2 3 4" xfId="14605" xr:uid="{00000000-0005-0000-0000-00006E490000}"/>
    <cellStyle name="Normal 4 4 5 2 2 3 4 2" xfId="39181" xr:uid="{00000000-0005-0000-0000-00006F490000}"/>
    <cellStyle name="Normal 4 4 5 2 2 3 5" xfId="26893" xr:uid="{00000000-0005-0000-0000-000070490000}"/>
    <cellStyle name="Normal 4 4 5 2 2 4" xfId="3853" xr:uid="{00000000-0005-0000-0000-000071490000}"/>
    <cellStyle name="Normal 4 4 5 2 2 4 2" xfId="9997" xr:uid="{00000000-0005-0000-0000-000072490000}"/>
    <cellStyle name="Normal 4 4 5 2 2 4 2 2" xfId="22285" xr:uid="{00000000-0005-0000-0000-000073490000}"/>
    <cellStyle name="Normal 4 4 5 2 2 4 2 2 2" xfId="46861" xr:uid="{00000000-0005-0000-0000-000074490000}"/>
    <cellStyle name="Normal 4 4 5 2 2 4 2 3" xfId="34573" xr:uid="{00000000-0005-0000-0000-000075490000}"/>
    <cellStyle name="Normal 4 4 5 2 2 4 3" xfId="16141" xr:uid="{00000000-0005-0000-0000-000076490000}"/>
    <cellStyle name="Normal 4 4 5 2 2 4 3 2" xfId="40717" xr:uid="{00000000-0005-0000-0000-000077490000}"/>
    <cellStyle name="Normal 4 4 5 2 2 4 4" xfId="28429" xr:uid="{00000000-0005-0000-0000-000078490000}"/>
    <cellStyle name="Normal 4 4 5 2 2 5" xfId="6925" xr:uid="{00000000-0005-0000-0000-000079490000}"/>
    <cellStyle name="Normal 4 4 5 2 2 5 2" xfId="19213" xr:uid="{00000000-0005-0000-0000-00007A490000}"/>
    <cellStyle name="Normal 4 4 5 2 2 5 2 2" xfId="43789" xr:uid="{00000000-0005-0000-0000-00007B490000}"/>
    <cellStyle name="Normal 4 4 5 2 2 5 3" xfId="31501" xr:uid="{00000000-0005-0000-0000-00007C490000}"/>
    <cellStyle name="Normal 4 4 5 2 2 6" xfId="13069" xr:uid="{00000000-0005-0000-0000-00007D490000}"/>
    <cellStyle name="Normal 4 4 5 2 2 6 2" xfId="37645" xr:uid="{00000000-0005-0000-0000-00007E490000}"/>
    <cellStyle name="Normal 4 4 5 2 2 7" xfId="25357" xr:uid="{00000000-0005-0000-0000-00007F490000}"/>
    <cellStyle name="Normal 4 4 5 2 3" xfId="1161" xr:uid="{00000000-0005-0000-0000-000080490000}"/>
    <cellStyle name="Normal 4 4 5 2 3 2" xfId="2697" xr:uid="{00000000-0005-0000-0000-000081490000}"/>
    <cellStyle name="Normal 4 4 5 2 3 2 2" xfId="5773" xr:uid="{00000000-0005-0000-0000-000082490000}"/>
    <cellStyle name="Normal 4 4 5 2 3 2 2 2" xfId="11917" xr:uid="{00000000-0005-0000-0000-000083490000}"/>
    <cellStyle name="Normal 4 4 5 2 3 2 2 2 2" xfId="24205" xr:uid="{00000000-0005-0000-0000-000084490000}"/>
    <cellStyle name="Normal 4 4 5 2 3 2 2 2 2 2" xfId="48781" xr:uid="{00000000-0005-0000-0000-000085490000}"/>
    <cellStyle name="Normal 4 4 5 2 3 2 2 2 3" xfId="36493" xr:uid="{00000000-0005-0000-0000-000086490000}"/>
    <cellStyle name="Normal 4 4 5 2 3 2 2 3" xfId="18061" xr:uid="{00000000-0005-0000-0000-000087490000}"/>
    <cellStyle name="Normal 4 4 5 2 3 2 2 3 2" xfId="42637" xr:uid="{00000000-0005-0000-0000-000088490000}"/>
    <cellStyle name="Normal 4 4 5 2 3 2 2 4" xfId="30349" xr:uid="{00000000-0005-0000-0000-000089490000}"/>
    <cellStyle name="Normal 4 4 5 2 3 2 3" xfId="8845" xr:uid="{00000000-0005-0000-0000-00008A490000}"/>
    <cellStyle name="Normal 4 4 5 2 3 2 3 2" xfId="21133" xr:uid="{00000000-0005-0000-0000-00008B490000}"/>
    <cellStyle name="Normal 4 4 5 2 3 2 3 2 2" xfId="45709" xr:uid="{00000000-0005-0000-0000-00008C490000}"/>
    <cellStyle name="Normal 4 4 5 2 3 2 3 3" xfId="33421" xr:uid="{00000000-0005-0000-0000-00008D490000}"/>
    <cellStyle name="Normal 4 4 5 2 3 2 4" xfId="14989" xr:uid="{00000000-0005-0000-0000-00008E490000}"/>
    <cellStyle name="Normal 4 4 5 2 3 2 4 2" xfId="39565" xr:uid="{00000000-0005-0000-0000-00008F490000}"/>
    <cellStyle name="Normal 4 4 5 2 3 2 5" xfId="27277" xr:uid="{00000000-0005-0000-0000-000090490000}"/>
    <cellStyle name="Normal 4 4 5 2 3 3" xfId="4237" xr:uid="{00000000-0005-0000-0000-000091490000}"/>
    <cellStyle name="Normal 4 4 5 2 3 3 2" xfId="10381" xr:uid="{00000000-0005-0000-0000-000092490000}"/>
    <cellStyle name="Normal 4 4 5 2 3 3 2 2" xfId="22669" xr:uid="{00000000-0005-0000-0000-000093490000}"/>
    <cellStyle name="Normal 4 4 5 2 3 3 2 2 2" xfId="47245" xr:uid="{00000000-0005-0000-0000-000094490000}"/>
    <cellStyle name="Normal 4 4 5 2 3 3 2 3" xfId="34957" xr:uid="{00000000-0005-0000-0000-000095490000}"/>
    <cellStyle name="Normal 4 4 5 2 3 3 3" xfId="16525" xr:uid="{00000000-0005-0000-0000-000096490000}"/>
    <cellStyle name="Normal 4 4 5 2 3 3 3 2" xfId="41101" xr:uid="{00000000-0005-0000-0000-000097490000}"/>
    <cellStyle name="Normal 4 4 5 2 3 3 4" xfId="28813" xr:uid="{00000000-0005-0000-0000-000098490000}"/>
    <cellStyle name="Normal 4 4 5 2 3 4" xfId="7309" xr:uid="{00000000-0005-0000-0000-000099490000}"/>
    <cellStyle name="Normal 4 4 5 2 3 4 2" xfId="19597" xr:uid="{00000000-0005-0000-0000-00009A490000}"/>
    <cellStyle name="Normal 4 4 5 2 3 4 2 2" xfId="44173" xr:uid="{00000000-0005-0000-0000-00009B490000}"/>
    <cellStyle name="Normal 4 4 5 2 3 4 3" xfId="31885" xr:uid="{00000000-0005-0000-0000-00009C490000}"/>
    <cellStyle name="Normal 4 4 5 2 3 5" xfId="13453" xr:uid="{00000000-0005-0000-0000-00009D490000}"/>
    <cellStyle name="Normal 4 4 5 2 3 5 2" xfId="38029" xr:uid="{00000000-0005-0000-0000-00009E490000}"/>
    <cellStyle name="Normal 4 4 5 2 3 6" xfId="25741" xr:uid="{00000000-0005-0000-0000-00009F490000}"/>
    <cellStyle name="Normal 4 4 5 2 4" xfId="1929" xr:uid="{00000000-0005-0000-0000-0000A0490000}"/>
    <cellStyle name="Normal 4 4 5 2 4 2" xfId="5005" xr:uid="{00000000-0005-0000-0000-0000A1490000}"/>
    <cellStyle name="Normal 4 4 5 2 4 2 2" xfId="11149" xr:uid="{00000000-0005-0000-0000-0000A2490000}"/>
    <cellStyle name="Normal 4 4 5 2 4 2 2 2" xfId="23437" xr:uid="{00000000-0005-0000-0000-0000A3490000}"/>
    <cellStyle name="Normal 4 4 5 2 4 2 2 2 2" xfId="48013" xr:uid="{00000000-0005-0000-0000-0000A4490000}"/>
    <cellStyle name="Normal 4 4 5 2 4 2 2 3" xfId="35725" xr:uid="{00000000-0005-0000-0000-0000A5490000}"/>
    <cellStyle name="Normal 4 4 5 2 4 2 3" xfId="17293" xr:uid="{00000000-0005-0000-0000-0000A6490000}"/>
    <cellStyle name="Normal 4 4 5 2 4 2 3 2" xfId="41869" xr:uid="{00000000-0005-0000-0000-0000A7490000}"/>
    <cellStyle name="Normal 4 4 5 2 4 2 4" xfId="29581" xr:uid="{00000000-0005-0000-0000-0000A8490000}"/>
    <cellStyle name="Normal 4 4 5 2 4 3" xfId="8077" xr:uid="{00000000-0005-0000-0000-0000A9490000}"/>
    <cellStyle name="Normal 4 4 5 2 4 3 2" xfId="20365" xr:uid="{00000000-0005-0000-0000-0000AA490000}"/>
    <cellStyle name="Normal 4 4 5 2 4 3 2 2" xfId="44941" xr:uid="{00000000-0005-0000-0000-0000AB490000}"/>
    <cellStyle name="Normal 4 4 5 2 4 3 3" xfId="32653" xr:uid="{00000000-0005-0000-0000-0000AC490000}"/>
    <cellStyle name="Normal 4 4 5 2 4 4" xfId="14221" xr:uid="{00000000-0005-0000-0000-0000AD490000}"/>
    <cellStyle name="Normal 4 4 5 2 4 4 2" xfId="38797" xr:uid="{00000000-0005-0000-0000-0000AE490000}"/>
    <cellStyle name="Normal 4 4 5 2 4 5" xfId="26509" xr:uid="{00000000-0005-0000-0000-0000AF490000}"/>
    <cellStyle name="Normal 4 4 5 2 5" xfId="3469" xr:uid="{00000000-0005-0000-0000-0000B0490000}"/>
    <cellStyle name="Normal 4 4 5 2 5 2" xfId="9613" xr:uid="{00000000-0005-0000-0000-0000B1490000}"/>
    <cellStyle name="Normal 4 4 5 2 5 2 2" xfId="21901" xr:uid="{00000000-0005-0000-0000-0000B2490000}"/>
    <cellStyle name="Normal 4 4 5 2 5 2 2 2" xfId="46477" xr:uid="{00000000-0005-0000-0000-0000B3490000}"/>
    <cellStyle name="Normal 4 4 5 2 5 2 3" xfId="34189" xr:uid="{00000000-0005-0000-0000-0000B4490000}"/>
    <cellStyle name="Normal 4 4 5 2 5 3" xfId="15757" xr:uid="{00000000-0005-0000-0000-0000B5490000}"/>
    <cellStyle name="Normal 4 4 5 2 5 3 2" xfId="40333" xr:uid="{00000000-0005-0000-0000-0000B6490000}"/>
    <cellStyle name="Normal 4 4 5 2 5 4" xfId="28045" xr:uid="{00000000-0005-0000-0000-0000B7490000}"/>
    <cellStyle name="Normal 4 4 5 2 6" xfId="6541" xr:uid="{00000000-0005-0000-0000-0000B8490000}"/>
    <cellStyle name="Normal 4 4 5 2 6 2" xfId="18829" xr:uid="{00000000-0005-0000-0000-0000B9490000}"/>
    <cellStyle name="Normal 4 4 5 2 6 2 2" xfId="43405" xr:uid="{00000000-0005-0000-0000-0000BA490000}"/>
    <cellStyle name="Normal 4 4 5 2 6 3" xfId="31117" xr:uid="{00000000-0005-0000-0000-0000BB490000}"/>
    <cellStyle name="Normal 4 4 5 2 7" xfId="12685" xr:uid="{00000000-0005-0000-0000-0000BC490000}"/>
    <cellStyle name="Normal 4 4 5 2 7 2" xfId="37261" xr:uid="{00000000-0005-0000-0000-0000BD490000}"/>
    <cellStyle name="Normal 4 4 5 2 8" xfId="24973" xr:uid="{00000000-0005-0000-0000-0000BE490000}"/>
    <cellStyle name="Normal 4 4 5 3" xfId="585" xr:uid="{00000000-0005-0000-0000-0000BF490000}"/>
    <cellStyle name="Normal 4 4 5 3 2" xfId="1353" xr:uid="{00000000-0005-0000-0000-0000C0490000}"/>
    <cellStyle name="Normal 4 4 5 3 2 2" xfId="2889" xr:uid="{00000000-0005-0000-0000-0000C1490000}"/>
    <cellStyle name="Normal 4 4 5 3 2 2 2" xfId="5965" xr:uid="{00000000-0005-0000-0000-0000C2490000}"/>
    <cellStyle name="Normal 4 4 5 3 2 2 2 2" xfId="12109" xr:uid="{00000000-0005-0000-0000-0000C3490000}"/>
    <cellStyle name="Normal 4 4 5 3 2 2 2 2 2" xfId="24397" xr:uid="{00000000-0005-0000-0000-0000C4490000}"/>
    <cellStyle name="Normal 4 4 5 3 2 2 2 2 2 2" xfId="48973" xr:uid="{00000000-0005-0000-0000-0000C5490000}"/>
    <cellStyle name="Normal 4 4 5 3 2 2 2 2 3" xfId="36685" xr:uid="{00000000-0005-0000-0000-0000C6490000}"/>
    <cellStyle name="Normal 4 4 5 3 2 2 2 3" xfId="18253" xr:uid="{00000000-0005-0000-0000-0000C7490000}"/>
    <cellStyle name="Normal 4 4 5 3 2 2 2 3 2" xfId="42829" xr:uid="{00000000-0005-0000-0000-0000C8490000}"/>
    <cellStyle name="Normal 4 4 5 3 2 2 2 4" xfId="30541" xr:uid="{00000000-0005-0000-0000-0000C9490000}"/>
    <cellStyle name="Normal 4 4 5 3 2 2 3" xfId="9037" xr:uid="{00000000-0005-0000-0000-0000CA490000}"/>
    <cellStyle name="Normal 4 4 5 3 2 2 3 2" xfId="21325" xr:uid="{00000000-0005-0000-0000-0000CB490000}"/>
    <cellStyle name="Normal 4 4 5 3 2 2 3 2 2" xfId="45901" xr:uid="{00000000-0005-0000-0000-0000CC490000}"/>
    <cellStyle name="Normal 4 4 5 3 2 2 3 3" xfId="33613" xr:uid="{00000000-0005-0000-0000-0000CD490000}"/>
    <cellStyle name="Normal 4 4 5 3 2 2 4" xfId="15181" xr:uid="{00000000-0005-0000-0000-0000CE490000}"/>
    <cellStyle name="Normal 4 4 5 3 2 2 4 2" xfId="39757" xr:uid="{00000000-0005-0000-0000-0000CF490000}"/>
    <cellStyle name="Normal 4 4 5 3 2 2 5" xfId="27469" xr:uid="{00000000-0005-0000-0000-0000D0490000}"/>
    <cellStyle name="Normal 4 4 5 3 2 3" xfId="4429" xr:uid="{00000000-0005-0000-0000-0000D1490000}"/>
    <cellStyle name="Normal 4 4 5 3 2 3 2" xfId="10573" xr:uid="{00000000-0005-0000-0000-0000D2490000}"/>
    <cellStyle name="Normal 4 4 5 3 2 3 2 2" xfId="22861" xr:uid="{00000000-0005-0000-0000-0000D3490000}"/>
    <cellStyle name="Normal 4 4 5 3 2 3 2 2 2" xfId="47437" xr:uid="{00000000-0005-0000-0000-0000D4490000}"/>
    <cellStyle name="Normal 4 4 5 3 2 3 2 3" xfId="35149" xr:uid="{00000000-0005-0000-0000-0000D5490000}"/>
    <cellStyle name="Normal 4 4 5 3 2 3 3" xfId="16717" xr:uid="{00000000-0005-0000-0000-0000D6490000}"/>
    <cellStyle name="Normal 4 4 5 3 2 3 3 2" xfId="41293" xr:uid="{00000000-0005-0000-0000-0000D7490000}"/>
    <cellStyle name="Normal 4 4 5 3 2 3 4" xfId="29005" xr:uid="{00000000-0005-0000-0000-0000D8490000}"/>
    <cellStyle name="Normal 4 4 5 3 2 4" xfId="7501" xr:uid="{00000000-0005-0000-0000-0000D9490000}"/>
    <cellStyle name="Normal 4 4 5 3 2 4 2" xfId="19789" xr:uid="{00000000-0005-0000-0000-0000DA490000}"/>
    <cellStyle name="Normal 4 4 5 3 2 4 2 2" xfId="44365" xr:uid="{00000000-0005-0000-0000-0000DB490000}"/>
    <cellStyle name="Normal 4 4 5 3 2 4 3" xfId="32077" xr:uid="{00000000-0005-0000-0000-0000DC490000}"/>
    <cellStyle name="Normal 4 4 5 3 2 5" xfId="13645" xr:uid="{00000000-0005-0000-0000-0000DD490000}"/>
    <cellStyle name="Normal 4 4 5 3 2 5 2" xfId="38221" xr:uid="{00000000-0005-0000-0000-0000DE490000}"/>
    <cellStyle name="Normal 4 4 5 3 2 6" xfId="25933" xr:uid="{00000000-0005-0000-0000-0000DF490000}"/>
    <cellStyle name="Normal 4 4 5 3 3" xfId="2121" xr:uid="{00000000-0005-0000-0000-0000E0490000}"/>
    <cellStyle name="Normal 4 4 5 3 3 2" xfId="5197" xr:uid="{00000000-0005-0000-0000-0000E1490000}"/>
    <cellStyle name="Normal 4 4 5 3 3 2 2" xfId="11341" xr:uid="{00000000-0005-0000-0000-0000E2490000}"/>
    <cellStyle name="Normal 4 4 5 3 3 2 2 2" xfId="23629" xr:uid="{00000000-0005-0000-0000-0000E3490000}"/>
    <cellStyle name="Normal 4 4 5 3 3 2 2 2 2" xfId="48205" xr:uid="{00000000-0005-0000-0000-0000E4490000}"/>
    <cellStyle name="Normal 4 4 5 3 3 2 2 3" xfId="35917" xr:uid="{00000000-0005-0000-0000-0000E5490000}"/>
    <cellStyle name="Normal 4 4 5 3 3 2 3" xfId="17485" xr:uid="{00000000-0005-0000-0000-0000E6490000}"/>
    <cellStyle name="Normal 4 4 5 3 3 2 3 2" xfId="42061" xr:uid="{00000000-0005-0000-0000-0000E7490000}"/>
    <cellStyle name="Normal 4 4 5 3 3 2 4" xfId="29773" xr:uid="{00000000-0005-0000-0000-0000E8490000}"/>
    <cellStyle name="Normal 4 4 5 3 3 3" xfId="8269" xr:uid="{00000000-0005-0000-0000-0000E9490000}"/>
    <cellStyle name="Normal 4 4 5 3 3 3 2" xfId="20557" xr:uid="{00000000-0005-0000-0000-0000EA490000}"/>
    <cellStyle name="Normal 4 4 5 3 3 3 2 2" xfId="45133" xr:uid="{00000000-0005-0000-0000-0000EB490000}"/>
    <cellStyle name="Normal 4 4 5 3 3 3 3" xfId="32845" xr:uid="{00000000-0005-0000-0000-0000EC490000}"/>
    <cellStyle name="Normal 4 4 5 3 3 4" xfId="14413" xr:uid="{00000000-0005-0000-0000-0000ED490000}"/>
    <cellStyle name="Normal 4 4 5 3 3 4 2" xfId="38989" xr:uid="{00000000-0005-0000-0000-0000EE490000}"/>
    <cellStyle name="Normal 4 4 5 3 3 5" xfId="26701" xr:uid="{00000000-0005-0000-0000-0000EF490000}"/>
    <cellStyle name="Normal 4 4 5 3 4" xfId="3661" xr:uid="{00000000-0005-0000-0000-0000F0490000}"/>
    <cellStyle name="Normal 4 4 5 3 4 2" xfId="9805" xr:uid="{00000000-0005-0000-0000-0000F1490000}"/>
    <cellStyle name="Normal 4 4 5 3 4 2 2" xfId="22093" xr:uid="{00000000-0005-0000-0000-0000F2490000}"/>
    <cellStyle name="Normal 4 4 5 3 4 2 2 2" xfId="46669" xr:uid="{00000000-0005-0000-0000-0000F3490000}"/>
    <cellStyle name="Normal 4 4 5 3 4 2 3" xfId="34381" xr:uid="{00000000-0005-0000-0000-0000F4490000}"/>
    <cellStyle name="Normal 4 4 5 3 4 3" xfId="15949" xr:uid="{00000000-0005-0000-0000-0000F5490000}"/>
    <cellStyle name="Normal 4 4 5 3 4 3 2" xfId="40525" xr:uid="{00000000-0005-0000-0000-0000F6490000}"/>
    <cellStyle name="Normal 4 4 5 3 4 4" xfId="28237" xr:uid="{00000000-0005-0000-0000-0000F7490000}"/>
    <cellStyle name="Normal 4 4 5 3 5" xfId="6733" xr:uid="{00000000-0005-0000-0000-0000F8490000}"/>
    <cellStyle name="Normal 4 4 5 3 5 2" xfId="19021" xr:uid="{00000000-0005-0000-0000-0000F9490000}"/>
    <cellStyle name="Normal 4 4 5 3 5 2 2" xfId="43597" xr:uid="{00000000-0005-0000-0000-0000FA490000}"/>
    <cellStyle name="Normal 4 4 5 3 5 3" xfId="31309" xr:uid="{00000000-0005-0000-0000-0000FB490000}"/>
    <cellStyle name="Normal 4 4 5 3 6" xfId="12877" xr:uid="{00000000-0005-0000-0000-0000FC490000}"/>
    <cellStyle name="Normal 4 4 5 3 6 2" xfId="37453" xr:uid="{00000000-0005-0000-0000-0000FD490000}"/>
    <cellStyle name="Normal 4 4 5 3 7" xfId="25165" xr:uid="{00000000-0005-0000-0000-0000FE490000}"/>
    <cellStyle name="Normal 4 4 5 4" xfId="969" xr:uid="{00000000-0005-0000-0000-0000FF490000}"/>
    <cellStyle name="Normal 4 4 5 4 2" xfId="2505" xr:uid="{00000000-0005-0000-0000-0000004A0000}"/>
    <cellStyle name="Normal 4 4 5 4 2 2" xfId="5581" xr:uid="{00000000-0005-0000-0000-0000014A0000}"/>
    <cellStyle name="Normal 4 4 5 4 2 2 2" xfId="11725" xr:uid="{00000000-0005-0000-0000-0000024A0000}"/>
    <cellStyle name="Normal 4 4 5 4 2 2 2 2" xfId="24013" xr:uid="{00000000-0005-0000-0000-0000034A0000}"/>
    <cellStyle name="Normal 4 4 5 4 2 2 2 2 2" xfId="48589" xr:uid="{00000000-0005-0000-0000-0000044A0000}"/>
    <cellStyle name="Normal 4 4 5 4 2 2 2 3" xfId="36301" xr:uid="{00000000-0005-0000-0000-0000054A0000}"/>
    <cellStyle name="Normal 4 4 5 4 2 2 3" xfId="17869" xr:uid="{00000000-0005-0000-0000-0000064A0000}"/>
    <cellStyle name="Normal 4 4 5 4 2 2 3 2" xfId="42445" xr:uid="{00000000-0005-0000-0000-0000074A0000}"/>
    <cellStyle name="Normal 4 4 5 4 2 2 4" xfId="30157" xr:uid="{00000000-0005-0000-0000-0000084A0000}"/>
    <cellStyle name="Normal 4 4 5 4 2 3" xfId="8653" xr:uid="{00000000-0005-0000-0000-0000094A0000}"/>
    <cellStyle name="Normal 4 4 5 4 2 3 2" xfId="20941" xr:uid="{00000000-0005-0000-0000-00000A4A0000}"/>
    <cellStyle name="Normal 4 4 5 4 2 3 2 2" xfId="45517" xr:uid="{00000000-0005-0000-0000-00000B4A0000}"/>
    <cellStyle name="Normal 4 4 5 4 2 3 3" xfId="33229" xr:uid="{00000000-0005-0000-0000-00000C4A0000}"/>
    <cellStyle name="Normal 4 4 5 4 2 4" xfId="14797" xr:uid="{00000000-0005-0000-0000-00000D4A0000}"/>
    <cellStyle name="Normal 4 4 5 4 2 4 2" xfId="39373" xr:uid="{00000000-0005-0000-0000-00000E4A0000}"/>
    <cellStyle name="Normal 4 4 5 4 2 5" xfId="27085" xr:uid="{00000000-0005-0000-0000-00000F4A0000}"/>
    <cellStyle name="Normal 4 4 5 4 3" xfId="4045" xr:uid="{00000000-0005-0000-0000-0000104A0000}"/>
    <cellStyle name="Normal 4 4 5 4 3 2" xfId="10189" xr:uid="{00000000-0005-0000-0000-0000114A0000}"/>
    <cellStyle name="Normal 4 4 5 4 3 2 2" xfId="22477" xr:uid="{00000000-0005-0000-0000-0000124A0000}"/>
    <cellStyle name="Normal 4 4 5 4 3 2 2 2" xfId="47053" xr:uid="{00000000-0005-0000-0000-0000134A0000}"/>
    <cellStyle name="Normal 4 4 5 4 3 2 3" xfId="34765" xr:uid="{00000000-0005-0000-0000-0000144A0000}"/>
    <cellStyle name="Normal 4 4 5 4 3 3" xfId="16333" xr:uid="{00000000-0005-0000-0000-0000154A0000}"/>
    <cellStyle name="Normal 4 4 5 4 3 3 2" xfId="40909" xr:uid="{00000000-0005-0000-0000-0000164A0000}"/>
    <cellStyle name="Normal 4 4 5 4 3 4" xfId="28621" xr:uid="{00000000-0005-0000-0000-0000174A0000}"/>
    <cellStyle name="Normal 4 4 5 4 4" xfId="7117" xr:uid="{00000000-0005-0000-0000-0000184A0000}"/>
    <cellStyle name="Normal 4 4 5 4 4 2" xfId="19405" xr:uid="{00000000-0005-0000-0000-0000194A0000}"/>
    <cellStyle name="Normal 4 4 5 4 4 2 2" xfId="43981" xr:uid="{00000000-0005-0000-0000-00001A4A0000}"/>
    <cellStyle name="Normal 4 4 5 4 4 3" xfId="31693" xr:uid="{00000000-0005-0000-0000-00001B4A0000}"/>
    <cellStyle name="Normal 4 4 5 4 5" xfId="13261" xr:uid="{00000000-0005-0000-0000-00001C4A0000}"/>
    <cellStyle name="Normal 4 4 5 4 5 2" xfId="37837" xr:uid="{00000000-0005-0000-0000-00001D4A0000}"/>
    <cellStyle name="Normal 4 4 5 4 6" xfId="25549" xr:uid="{00000000-0005-0000-0000-00001E4A0000}"/>
    <cellStyle name="Normal 4 4 5 5" xfId="1737" xr:uid="{00000000-0005-0000-0000-00001F4A0000}"/>
    <cellStyle name="Normal 4 4 5 5 2" xfId="4813" xr:uid="{00000000-0005-0000-0000-0000204A0000}"/>
    <cellStyle name="Normal 4 4 5 5 2 2" xfId="10957" xr:uid="{00000000-0005-0000-0000-0000214A0000}"/>
    <cellStyle name="Normal 4 4 5 5 2 2 2" xfId="23245" xr:uid="{00000000-0005-0000-0000-0000224A0000}"/>
    <cellStyle name="Normal 4 4 5 5 2 2 2 2" xfId="47821" xr:uid="{00000000-0005-0000-0000-0000234A0000}"/>
    <cellStyle name="Normal 4 4 5 5 2 2 3" xfId="35533" xr:uid="{00000000-0005-0000-0000-0000244A0000}"/>
    <cellStyle name="Normal 4 4 5 5 2 3" xfId="17101" xr:uid="{00000000-0005-0000-0000-0000254A0000}"/>
    <cellStyle name="Normal 4 4 5 5 2 3 2" xfId="41677" xr:uid="{00000000-0005-0000-0000-0000264A0000}"/>
    <cellStyle name="Normal 4 4 5 5 2 4" xfId="29389" xr:uid="{00000000-0005-0000-0000-0000274A0000}"/>
    <cellStyle name="Normal 4 4 5 5 3" xfId="7885" xr:uid="{00000000-0005-0000-0000-0000284A0000}"/>
    <cellStyle name="Normal 4 4 5 5 3 2" xfId="20173" xr:uid="{00000000-0005-0000-0000-0000294A0000}"/>
    <cellStyle name="Normal 4 4 5 5 3 2 2" xfId="44749" xr:uid="{00000000-0005-0000-0000-00002A4A0000}"/>
    <cellStyle name="Normal 4 4 5 5 3 3" xfId="32461" xr:uid="{00000000-0005-0000-0000-00002B4A0000}"/>
    <cellStyle name="Normal 4 4 5 5 4" xfId="14029" xr:uid="{00000000-0005-0000-0000-00002C4A0000}"/>
    <cellStyle name="Normal 4 4 5 5 4 2" xfId="38605" xr:uid="{00000000-0005-0000-0000-00002D4A0000}"/>
    <cellStyle name="Normal 4 4 5 5 5" xfId="26317" xr:uid="{00000000-0005-0000-0000-00002E4A0000}"/>
    <cellStyle name="Normal 4 4 5 6" xfId="3277" xr:uid="{00000000-0005-0000-0000-00002F4A0000}"/>
    <cellStyle name="Normal 4 4 5 6 2" xfId="9421" xr:uid="{00000000-0005-0000-0000-0000304A0000}"/>
    <cellStyle name="Normal 4 4 5 6 2 2" xfId="21709" xr:uid="{00000000-0005-0000-0000-0000314A0000}"/>
    <cellStyle name="Normal 4 4 5 6 2 2 2" xfId="46285" xr:uid="{00000000-0005-0000-0000-0000324A0000}"/>
    <cellStyle name="Normal 4 4 5 6 2 3" xfId="33997" xr:uid="{00000000-0005-0000-0000-0000334A0000}"/>
    <cellStyle name="Normal 4 4 5 6 3" xfId="15565" xr:uid="{00000000-0005-0000-0000-0000344A0000}"/>
    <cellStyle name="Normal 4 4 5 6 3 2" xfId="40141" xr:uid="{00000000-0005-0000-0000-0000354A0000}"/>
    <cellStyle name="Normal 4 4 5 6 4" xfId="27853" xr:uid="{00000000-0005-0000-0000-0000364A0000}"/>
    <cellStyle name="Normal 4 4 5 7" xfId="6349" xr:uid="{00000000-0005-0000-0000-0000374A0000}"/>
    <cellStyle name="Normal 4 4 5 7 2" xfId="18637" xr:uid="{00000000-0005-0000-0000-0000384A0000}"/>
    <cellStyle name="Normal 4 4 5 7 2 2" xfId="43213" xr:uid="{00000000-0005-0000-0000-0000394A0000}"/>
    <cellStyle name="Normal 4 4 5 7 3" xfId="30925" xr:uid="{00000000-0005-0000-0000-00003A4A0000}"/>
    <cellStyle name="Normal 4 4 5 8" xfId="12493" xr:uid="{00000000-0005-0000-0000-00003B4A0000}"/>
    <cellStyle name="Normal 4 4 5 8 2" xfId="37069" xr:uid="{00000000-0005-0000-0000-00003C4A0000}"/>
    <cellStyle name="Normal 4 4 5 9" xfId="24781" xr:uid="{00000000-0005-0000-0000-00003D4A0000}"/>
    <cellStyle name="Normal 4 4 6" xfId="265" xr:uid="{00000000-0005-0000-0000-00003E4A0000}"/>
    <cellStyle name="Normal 4 4 6 2" xfId="457" xr:uid="{00000000-0005-0000-0000-00003F4A0000}"/>
    <cellStyle name="Normal 4 4 6 2 2" xfId="841" xr:uid="{00000000-0005-0000-0000-0000404A0000}"/>
    <cellStyle name="Normal 4 4 6 2 2 2" xfId="1609" xr:uid="{00000000-0005-0000-0000-0000414A0000}"/>
    <cellStyle name="Normal 4 4 6 2 2 2 2" xfId="3145" xr:uid="{00000000-0005-0000-0000-0000424A0000}"/>
    <cellStyle name="Normal 4 4 6 2 2 2 2 2" xfId="6221" xr:uid="{00000000-0005-0000-0000-0000434A0000}"/>
    <cellStyle name="Normal 4 4 6 2 2 2 2 2 2" xfId="12365" xr:uid="{00000000-0005-0000-0000-0000444A0000}"/>
    <cellStyle name="Normal 4 4 6 2 2 2 2 2 2 2" xfId="24653" xr:uid="{00000000-0005-0000-0000-0000454A0000}"/>
    <cellStyle name="Normal 4 4 6 2 2 2 2 2 2 2 2" xfId="49229" xr:uid="{00000000-0005-0000-0000-0000464A0000}"/>
    <cellStyle name="Normal 4 4 6 2 2 2 2 2 2 3" xfId="36941" xr:uid="{00000000-0005-0000-0000-0000474A0000}"/>
    <cellStyle name="Normal 4 4 6 2 2 2 2 2 3" xfId="18509" xr:uid="{00000000-0005-0000-0000-0000484A0000}"/>
    <cellStyle name="Normal 4 4 6 2 2 2 2 2 3 2" xfId="43085" xr:uid="{00000000-0005-0000-0000-0000494A0000}"/>
    <cellStyle name="Normal 4 4 6 2 2 2 2 2 4" xfId="30797" xr:uid="{00000000-0005-0000-0000-00004A4A0000}"/>
    <cellStyle name="Normal 4 4 6 2 2 2 2 3" xfId="9293" xr:uid="{00000000-0005-0000-0000-00004B4A0000}"/>
    <cellStyle name="Normal 4 4 6 2 2 2 2 3 2" xfId="21581" xr:uid="{00000000-0005-0000-0000-00004C4A0000}"/>
    <cellStyle name="Normal 4 4 6 2 2 2 2 3 2 2" xfId="46157" xr:uid="{00000000-0005-0000-0000-00004D4A0000}"/>
    <cellStyle name="Normal 4 4 6 2 2 2 2 3 3" xfId="33869" xr:uid="{00000000-0005-0000-0000-00004E4A0000}"/>
    <cellStyle name="Normal 4 4 6 2 2 2 2 4" xfId="15437" xr:uid="{00000000-0005-0000-0000-00004F4A0000}"/>
    <cellStyle name="Normal 4 4 6 2 2 2 2 4 2" xfId="40013" xr:uid="{00000000-0005-0000-0000-0000504A0000}"/>
    <cellStyle name="Normal 4 4 6 2 2 2 2 5" xfId="27725" xr:uid="{00000000-0005-0000-0000-0000514A0000}"/>
    <cellStyle name="Normal 4 4 6 2 2 2 3" xfId="4685" xr:uid="{00000000-0005-0000-0000-0000524A0000}"/>
    <cellStyle name="Normal 4 4 6 2 2 2 3 2" xfId="10829" xr:uid="{00000000-0005-0000-0000-0000534A0000}"/>
    <cellStyle name="Normal 4 4 6 2 2 2 3 2 2" xfId="23117" xr:uid="{00000000-0005-0000-0000-0000544A0000}"/>
    <cellStyle name="Normal 4 4 6 2 2 2 3 2 2 2" xfId="47693" xr:uid="{00000000-0005-0000-0000-0000554A0000}"/>
    <cellStyle name="Normal 4 4 6 2 2 2 3 2 3" xfId="35405" xr:uid="{00000000-0005-0000-0000-0000564A0000}"/>
    <cellStyle name="Normal 4 4 6 2 2 2 3 3" xfId="16973" xr:uid="{00000000-0005-0000-0000-0000574A0000}"/>
    <cellStyle name="Normal 4 4 6 2 2 2 3 3 2" xfId="41549" xr:uid="{00000000-0005-0000-0000-0000584A0000}"/>
    <cellStyle name="Normal 4 4 6 2 2 2 3 4" xfId="29261" xr:uid="{00000000-0005-0000-0000-0000594A0000}"/>
    <cellStyle name="Normal 4 4 6 2 2 2 4" xfId="7757" xr:uid="{00000000-0005-0000-0000-00005A4A0000}"/>
    <cellStyle name="Normal 4 4 6 2 2 2 4 2" xfId="20045" xr:uid="{00000000-0005-0000-0000-00005B4A0000}"/>
    <cellStyle name="Normal 4 4 6 2 2 2 4 2 2" xfId="44621" xr:uid="{00000000-0005-0000-0000-00005C4A0000}"/>
    <cellStyle name="Normal 4 4 6 2 2 2 4 3" xfId="32333" xr:uid="{00000000-0005-0000-0000-00005D4A0000}"/>
    <cellStyle name="Normal 4 4 6 2 2 2 5" xfId="13901" xr:uid="{00000000-0005-0000-0000-00005E4A0000}"/>
    <cellStyle name="Normal 4 4 6 2 2 2 5 2" xfId="38477" xr:uid="{00000000-0005-0000-0000-00005F4A0000}"/>
    <cellStyle name="Normal 4 4 6 2 2 2 6" xfId="26189" xr:uid="{00000000-0005-0000-0000-0000604A0000}"/>
    <cellStyle name="Normal 4 4 6 2 2 3" xfId="2377" xr:uid="{00000000-0005-0000-0000-0000614A0000}"/>
    <cellStyle name="Normal 4 4 6 2 2 3 2" xfId="5453" xr:uid="{00000000-0005-0000-0000-0000624A0000}"/>
    <cellStyle name="Normal 4 4 6 2 2 3 2 2" xfId="11597" xr:uid="{00000000-0005-0000-0000-0000634A0000}"/>
    <cellStyle name="Normal 4 4 6 2 2 3 2 2 2" xfId="23885" xr:uid="{00000000-0005-0000-0000-0000644A0000}"/>
    <cellStyle name="Normal 4 4 6 2 2 3 2 2 2 2" xfId="48461" xr:uid="{00000000-0005-0000-0000-0000654A0000}"/>
    <cellStyle name="Normal 4 4 6 2 2 3 2 2 3" xfId="36173" xr:uid="{00000000-0005-0000-0000-0000664A0000}"/>
    <cellStyle name="Normal 4 4 6 2 2 3 2 3" xfId="17741" xr:uid="{00000000-0005-0000-0000-0000674A0000}"/>
    <cellStyle name="Normal 4 4 6 2 2 3 2 3 2" xfId="42317" xr:uid="{00000000-0005-0000-0000-0000684A0000}"/>
    <cellStyle name="Normal 4 4 6 2 2 3 2 4" xfId="30029" xr:uid="{00000000-0005-0000-0000-0000694A0000}"/>
    <cellStyle name="Normal 4 4 6 2 2 3 3" xfId="8525" xr:uid="{00000000-0005-0000-0000-00006A4A0000}"/>
    <cellStyle name="Normal 4 4 6 2 2 3 3 2" xfId="20813" xr:uid="{00000000-0005-0000-0000-00006B4A0000}"/>
    <cellStyle name="Normal 4 4 6 2 2 3 3 2 2" xfId="45389" xr:uid="{00000000-0005-0000-0000-00006C4A0000}"/>
    <cellStyle name="Normal 4 4 6 2 2 3 3 3" xfId="33101" xr:uid="{00000000-0005-0000-0000-00006D4A0000}"/>
    <cellStyle name="Normal 4 4 6 2 2 3 4" xfId="14669" xr:uid="{00000000-0005-0000-0000-00006E4A0000}"/>
    <cellStyle name="Normal 4 4 6 2 2 3 4 2" xfId="39245" xr:uid="{00000000-0005-0000-0000-00006F4A0000}"/>
    <cellStyle name="Normal 4 4 6 2 2 3 5" xfId="26957" xr:uid="{00000000-0005-0000-0000-0000704A0000}"/>
    <cellStyle name="Normal 4 4 6 2 2 4" xfId="3917" xr:uid="{00000000-0005-0000-0000-0000714A0000}"/>
    <cellStyle name="Normal 4 4 6 2 2 4 2" xfId="10061" xr:uid="{00000000-0005-0000-0000-0000724A0000}"/>
    <cellStyle name="Normal 4 4 6 2 2 4 2 2" xfId="22349" xr:uid="{00000000-0005-0000-0000-0000734A0000}"/>
    <cellStyle name="Normal 4 4 6 2 2 4 2 2 2" xfId="46925" xr:uid="{00000000-0005-0000-0000-0000744A0000}"/>
    <cellStyle name="Normal 4 4 6 2 2 4 2 3" xfId="34637" xr:uid="{00000000-0005-0000-0000-0000754A0000}"/>
    <cellStyle name="Normal 4 4 6 2 2 4 3" xfId="16205" xr:uid="{00000000-0005-0000-0000-0000764A0000}"/>
    <cellStyle name="Normal 4 4 6 2 2 4 3 2" xfId="40781" xr:uid="{00000000-0005-0000-0000-0000774A0000}"/>
    <cellStyle name="Normal 4 4 6 2 2 4 4" xfId="28493" xr:uid="{00000000-0005-0000-0000-0000784A0000}"/>
    <cellStyle name="Normal 4 4 6 2 2 5" xfId="6989" xr:uid="{00000000-0005-0000-0000-0000794A0000}"/>
    <cellStyle name="Normal 4 4 6 2 2 5 2" xfId="19277" xr:uid="{00000000-0005-0000-0000-00007A4A0000}"/>
    <cellStyle name="Normal 4 4 6 2 2 5 2 2" xfId="43853" xr:uid="{00000000-0005-0000-0000-00007B4A0000}"/>
    <cellStyle name="Normal 4 4 6 2 2 5 3" xfId="31565" xr:uid="{00000000-0005-0000-0000-00007C4A0000}"/>
    <cellStyle name="Normal 4 4 6 2 2 6" xfId="13133" xr:uid="{00000000-0005-0000-0000-00007D4A0000}"/>
    <cellStyle name="Normal 4 4 6 2 2 6 2" xfId="37709" xr:uid="{00000000-0005-0000-0000-00007E4A0000}"/>
    <cellStyle name="Normal 4 4 6 2 2 7" xfId="25421" xr:uid="{00000000-0005-0000-0000-00007F4A0000}"/>
    <cellStyle name="Normal 4 4 6 2 3" xfId="1225" xr:uid="{00000000-0005-0000-0000-0000804A0000}"/>
    <cellStyle name="Normal 4 4 6 2 3 2" xfId="2761" xr:uid="{00000000-0005-0000-0000-0000814A0000}"/>
    <cellStyle name="Normal 4 4 6 2 3 2 2" xfId="5837" xr:uid="{00000000-0005-0000-0000-0000824A0000}"/>
    <cellStyle name="Normal 4 4 6 2 3 2 2 2" xfId="11981" xr:uid="{00000000-0005-0000-0000-0000834A0000}"/>
    <cellStyle name="Normal 4 4 6 2 3 2 2 2 2" xfId="24269" xr:uid="{00000000-0005-0000-0000-0000844A0000}"/>
    <cellStyle name="Normal 4 4 6 2 3 2 2 2 2 2" xfId="48845" xr:uid="{00000000-0005-0000-0000-0000854A0000}"/>
    <cellStyle name="Normal 4 4 6 2 3 2 2 2 3" xfId="36557" xr:uid="{00000000-0005-0000-0000-0000864A0000}"/>
    <cellStyle name="Normal 4 4 6 2 3 2 2 3" xfId="18125" xr:uid="{00000000-0005-0000-0000-0000874A0000}"/>
    <cellStyle name="Normal 4 4 6 2 3 2 2 3 2" xfId="42701" xr:uid="{00000000-0005-0000-0000-0000884A0000}"/>
    <cellStyle name="Normal 4 4 6 2 3 2 2 4" xfId="30413" xr:uid="{00000000-0005-0000-0000-0000894A0000}"/>
    <cellStyle name="Normal 4 4 6 2 3 2 3" xfId="8909" xr:uid="{00000000-0005-0000-0000-00008A4A0000}"/>
    <cellStyle name="Normal 4 4 6 2 3 2 3 2" xfId="21197" xr:uid="{00000000-0005-0000-0000-00008B4A0000}"/>
    <cellStyle name="Normal 4 4 6 2 3 2 3 2 2" xfId="45773" xr:uid="{00000000-0005-0000-0000-00008C4A0000}"/>
    <cellStyle name="Normal 4 4 6 2 3 2 3 3" xfId="33485" xr:uid="{00000000-0005-0000-0000-00008D4A0000}"/>
    <cellStyle name="Normal 4 4 6 2 3 2 4" xfId="15053" xr:uid="{00000000-0005-0000-0000-00008E4A0000}"/>
    <cellStyle name="Normal 4 4 6 2 3 2 4 2" xfId="39629" xr:uid="{00000000-0005-0000-0000-00008F4A0000}"/>
    <cellStyle name="Normal 4 4 6 2 3 2 5" xfId="27341" xr:uid="{00000000-0005-0000-0000-0000904A0000}"/>
    <cellStyle name="Normal 4 4 6 2 3 3" xfId="4301" xr:uid="{00000000-0005-0000-0000-0000914A0000}"/>
    <cellStyle name="Normal 4 4 6 2 3 3 2" xfId="10445" xr:uid="{00000000-0005-0000-0000-0000924A0000}"/>
    <cellStyle name="Normal 4 4 6 2 3 3 2 2" xfId="22733" xr:uid="{00000000-0005-0000-0000-0000934A0000}"/>
    <cellStyle name="Normal 4 4 6 2 3 3 2 2 2" xfId="47309" xr:uid="{00000000-0005-0000-0000-0000944A0000}"/>
    <cellStyle name="Normal 4 4 6 2 3 3 2 3" xfId="35021" xr:uid="{00000000-0005-0000-0000-0000954A0000}"/>
    <cellStyle name="Normal 4 4 6 2 3 3 3" xfId="16589" xr:uid="{00000000-0005-0000-0000-0000964A0000}"/>
    <cellStyle name="Normal 4 4 6 2 3 3 3 2" xfId="41165" xr:uid="{00000000-0005-0000-0000-0000974A0000}"/>
    <cellStyle name="Normal 4 4 6 2 3 3 4" xfId="28877" xr:uid="{00000000-0005-0000-0000-0000984A0000}"/>
    <cellStyle name="Normal 4 4 6 2 3 4" xfId="7373" xr:uid="{00000000-0005-0000-0000-0000994A0000}"/>
    <cellStyle name="Normal 4 4 6 2 3 4 2" xfId="19661" xr:uid="{00000000-0005-0000-0000-00009A4A0000}"/>
    <cellStyle name="Normal 4 4 6 2 3 4 2 2" xfId="44237" xr:uid="{00000000-0005-0000-0000-00009B4A0000}"/>
    <cellStyle name="Normal 4 4 6 2 3 4 3" xfId="31949" xr:uid="{00000000-0005-0000-0000-00009C4A0000}"/>
    <cellStyle name="Normal 4 4 6 2 3 5" xfId="13517" xr:uid="{00000000-0005-0000-0000-00009D4A0000}"/>
    <cellStyle name="Normal 4 4 6 2 3 5 2" xfId="38093" xr:uid="{00000000-0005-0000-0000-00009E4A0000}"/>
    <cellStyle name="Normal 4 4 6 2 3 6" xfId="25805" xr:uid="{00000000-0005-0000-0000-00009F4A0000}"/>
    <cellStyle name="Normal 4 4 6 2 4" xfId="1993" xr:uid="{00000000-0005-0000-0000-0000A04A0000}"/>
    <cellStyle name="Normal 4 4 6 2 4 2" xfId="5069" xr:uid="{00000000-0005-0000-0000-0000A14A0000}"/>
    <cellStyle name="Normal 4 4 6 2 4 2 2" xfId="11213" xr:uid="{00000000-0005-0000-0000-0000A24A0000}"/>
    <cellStyle name="Normal 4 4 6 2 4 2 2 2" xfId="23501" xr:uid="{00000000-0005-0000-0000-0000A34A0000}"/>
    <cellStyle name="Normal 4 4 6 2 4 2 2 2 2" xfId="48077" xr:uid="{00000000-0005-0000-0000-0000A44A0000}"/>
    <cellStyle name="Normal 4 4 6 2 4 2 2 3" xfId="35789" xr:uid="{00000000-0005-0000-0000-0000A54A0000}"/>
    <cellStyle name="Normal 4 4 6 2 4 2 3" xfId="17357" xr:uid="{00000000-0005-0000-0000-0000A64A0000}"/>
    <cellStyle name="Normal 4 4 6 2 4 2 3 2" xfId="41933" xr:uid="{00000000-0005-0000-0000-0000A74A0000}"/>
    <cellStyle name="Normal 4 4 6 2 4 2 4" xfId="29645" xr:uid="{00000000-0005-0000-0000-0000A84A0000}"/>
    <cellStyle name="Normal 4 4 6 2 4 3" xfId="8141" xr:uid="{00000000-0005-0000-0000-0000A94A0000}"/>
    <cellStyle name="Normal 4 4 6 2 4 3 2" xfId="20429" xr:uid="{00000000-0005-0000-0000-0000AA4A0000}"/>
    <cellStyle name="Normal 4 4 6 2 4 3 2 2" xfId="45005" xr:uid="{00000000-0005-0000-0000-0000AB4A0000}"/>
    <cellStyle name="Normal 4 4 6 2 4 3 3" xfId="32717" xr:uid="{00000000-0005-0000-0000-0000AC4A0000}"/>
    <cellStyle name="Normal 4 4 6 2 4 4" xfId="14285" xr:uid="{00000000-0005-0000-0000-0000AD4A0000}"/>
    <cellStyle name="Normal 4 4 6 2 4 4 2" xfId="38861" xr:uid="{00000000-0005-0000-0000-0000AE4A0000}"/>
    <cellStyle name="Normal 4 4 6 2 4 5" xfId="26573" xr:uid="{00000000-0005-0000-0000-0000AF4A0000}"/>
    <cellStyle name="Normal 4 4 6 2 5" xfId="3533" xr:uid="{00000000-0005-0000-0000-0000B04A0000}"/>
    <cellStyle name="Normal 4 4 6 2 5 2" xfId="9677" xr:uid="{00000000-0005-0000-0000-0000B14A0000}"/>
    <cellStyle name="Normal 4 4 6 2 5 2 2" xfId="21965" xr:uid="{00000000-0005-0000-0000-0000B24A0000}"/>
    <cellStyle name="Normal 4 4 6 2 5 2 2 2" xfId="46541" xr:uid="{00000000-0005-0000-0000-0000B34A0000}"/>
    <cellStyle name="Normal 4 4 6 2 5 2 3" xfId="34253" xr:uid="{00000000-0005-0000-0000-0000B44A0000}"/>
    <cellStyle name="Normal 4 4 6 2 5 3" xfId="15821" xr:uid="{00000000-0005-0000-0000-0000B54A0000}"/>
    <cellStyle name="Normal 4 4 6 2 5 3 2" xfId="40397" xr:uid="{00000000-0005-0000-0000-0000B64A0000}"/>
    <cellStyle name="Normal 4 4 6 2 5 4" xfId="28109" xr:uid="{00000000-0005-0000-0000-0000B74A0000}"/>
    <cellStyle name="Normal 4 4 6 2 6" xfId="6605" xr:uid="{00000000-0005-0000-0000-0000B84A0000}"/>
    <cellStyle name="Normal 4 4 6 2 6 2" xfId="18893" xr:uid="{00000000-0005-0000-0000-0000B94A0000}"/>
    <cellStyle name="Normal 4 4 6 2 6 2 2" xfId="43469" xr:uid="{00000000-0005-0000-0000-0000BA4A0000}"/>
    <cellStyle name="Normal 4 4 6 2 6 3" xfId="31181" xr:uid="{00000000-0005-0000-0000-0000BB4A0000}"/>
    <cellStyle name="Normal 4 4 6 2 7" xfId="12749" xr:uid="{00000000-0005-0000-0000-0000BC4A0000}"/>
    <cellStyle name="Normal 4 4 6 2 7 2" xfId="37325" xr:uid="{00000000-0005-0000-0000-0000BD4A0000}"/>
    <cellStyle name="Normal 4 4 6 2 8" xfId="25037" xr:uid="{00000000-0005-0000-0000-0000BE4A0000}"/>
    <cellStyle name="Normal 4 4 6 3" xfId="649" xr:uid="{00000000-0005-0000-0000-0000BF4A0000}"/>
    <cellStyle name="Normal 4 4 6 3 2" xfId="1417" xr:uid="{00000000-0005-0000-0000-0000C04A0000}"/>
    <cellStyle name="Normal 4 4 6 3 2 2" xfId="2953" xr:uid="{00000000-0005-0000-0000-0000C14A0000}"/>
    <cellStyle name="Normal 4 4 6 3 2 2 2" xfId="6029" xr:uid="{00000000-0005-0000-0000-0000C24A0000}"/>
    <cellStyle name="Normal 4 4 6 3 2 2 2 2" xfId="12173" xr:uid="{00000000-0005-0000-0000-0000C34A0000}"/>
    <cellStyle name="Normal 4 4 6 3 2 2 2 2 2" xfId="24461" xr:uid="{00000000-0005-0000-0000-0000C44A0000}"/>
    <cellStyle name="Normal 4 4 6 3 2 2 2 2 2 2" xfId="49037" xr:uid="{00000000-0005-0000-0000-0000C54A0000}"/>
    <cellStyle name="Normal 4 4 6 3 2 2 2 2 3" xfId="36749" xr:uid="{00000000-0005-0000-0000-0000C64A0000}"/>
    <cellStyle name="Normal 4 4 6 3 2 2 2 3" xfId="18317" xr:uid="{00000000-0005-0000-0000-0000C74A0000}"/>
    <cellStyle name="Normal 4 4 6 3 2 2 2 3 2" xfId="42893" xr:uid="{00000000-0005-0000-0000-0000C84A0000}"/>
    <cellStyle name="Normal 4 4 6 3 2 2 2 4" xfId="30605" xr:uid="{00000000-0005-0000-0000-0000C94A0000}"/>
    <cellStyle name="Normal 4 4 6 3 2 2 3" xfId="9101" xr:uid="{00000000-0005-0000-0000-0000CA4A0000}"/>
    <cellStyle name="Normal 4 4 6 3 2 2 3 2" xfId="21389" xr:uid="{00000000-0005-0000-0000-0000CB4A0000}"/>
    <cellStyle name="Normal 4 4 6 3 2 2 3 2 2" xfId="45965" xr:uid="{00000000-0005-0000-0000-0000CC4A0000}"/>
    <cellStyle name="Normal 4 4 6 3 2 2 3 3" xfId="33677" xr:uid="{00000000-0005-0000-0000-0000CD4A0000}"/>
    <cellStyle name="Normal 4 4 6 3 2 2 4" xfId="15245" xr:uid="{00000000-0005-0000-0000-0000CE4A0000}"/>
    <cellStyle name="Normal 4 4 6 3 2 2 4 2" xfId="39821" xr:uid="{00000000-0005-0000-0000-0000CF4A0000}"/>
    <cellStyle name="Normal 4 4 6 3 2 2 5" xfId="27533" xr:uid="{00000000-0005-0000-0000-0000D04A0000}"/>
    <cellStyle name="Normal 4 4 6 3 2 3" xfId="4493" xr:uid="{00000000-0005-0000-0000-0000D14A0000}"/>
    <cellStyle name="Normal 4 4 6 3 2 3 2" xfId="10637" xr:uid="{00000000-0005-0000-0000-0000D24A0000}"/>
    <cellStyle name="Normal 4 4 6 3 2 3 2 2" xfId="22925" xr:uid="{00000000-0005-0000-0000-0000D34A0000}"/>
    <cellStyle name="Normal 4 4 6 3 2 3 2 2 2" xfId="47501" xr:uid="{00000000-0005-0000-0000-0000D44A0000}"/>
    <cellStyle name="Normal 4 4 6 3 2 3 2 3" xfId="35213" xr:uid="{00000000-0005-0000-0000-0000D54A0000}"/>
    <cellStyle name="Normal 4 4 6 3 2 3 3" xfId="16781" xr:uid="{00000000-0005-0000-0000-0000D64A0000}"/>
    <cellStyle name="Normal 4 4 6 3 2 3 3 2" xfId="41357" xr:uid="{00000000-0005-0000-0000-0000D74A0000}"/>
    <cellStyle name="Normal 4 4 6 3 2 3 4" xfId="29069" xr:uid="{00000000-0005-0000-0000-0000D84A0000}"/>
    <cellStyle name="Normal 4 4 6 3 2 4" xfId="7565" xr:uid="{00000000-0005-0000-0000-0000D94A0000}"/>
    <cellStyle name="Normal 4 4 6 3 2 4 2" xfId="19853" xr:uid="{00000000-0005-0000-0000-0000DA4A0000}"/>
    <cellStyle name="Normal 4 4 6 3 2 4 2 2" xfId="44429" xr:uid="{00000000-0005-0000-0000-0000DB4A0000}"/>
    <cellStyle name="Normal 4 4 6 3 2 4 3" xfId="32141" xr:uid="{00000000-0005-0000-0000-0000DC4A0000}"/>
    <cellStyle name="Normal 4 4 6 3 2 5" xfId="13709" xr:uid="{00000000-0005-0000-0000-0000DD4A0000}"/>
    <cellStyle name="Normal 4 4 6 3 2 5 2" xfId="38285" xr:uid="{00000000-0005-0000-0000-0000DE4A0000}"/>
    <cellStyle name="Normal 4 4 6 3 2 6" xfId="25997" xr:uid="{00000000-0005-0000-0000-0000DF4A0000}"/>
    <cellStyle name="Normal 4 4 6 3 3" xfId="2185" xr:uid="{00000000-0005-0000-0000-0000E04A0000}"/>
    <cellStyle name="Normal 4 4 6 3 3 2" xfId="5261" xr:uid="{00000000-0005-0000-0000-0000E14A0000}"/>
    <cellStyle name="Normal 4 4 6 3 3 2 2" xfId="11405" xr:uid="{00000000-0005-0000-0000-0000E24A0000}"/>
    <cellStyle name="Normal 4 4 6 3 3 2 2 2" xfId="23693" xr:uid="{00000000-0005-0000-0000-0000E34A0000}"/>
    <cellStyle name="Normal 4 4 6 3 3 2 2 2 2" xfId="48269" xr:uid="{00000000-0005-0000-0000-0000E44A0000}"/>
    <cellStyle name="Normal 4 4 6 3 3 2 2 3" xfId="35981" xr:uid="{00000000-0005-0000-0000-0000E54A0000}"/>
    <cellStyle name="Normal 4 4 6 3 3 2 3" xfId="17549" xr:uid="{00000000-0005-0000-0000-0000E64A0000}"/>
    <cellStyle name="Normal 4 4 6 3 3 2 3 2" xfId="42125" xr:uid="{00000000-0005-0000-0000-0000E74A0000}"/>
    <cellStyle name="Normal 4 4 6 3 3 2 4" xfId="29837" xr:uid="{00000000-0005-0000-0000-0000E84A0000}"/>
    <cellStyle name="Normal 4 4 6 3 3 3" xfId="8333" xr:uid="{00000000-0005-0000-0000-0000E94A0000}"/>
    <cellStyle name="Normal 4 4 6 3 3 3 2" xfId="20621" xr:uid="{00000000-0005-0000-0000-0000EA4A0000}"/>
    <cellStyle name="Normal 4 4 6 3 3 3 2 2" xfId="45197" xr:uid="{00000000-0005-0000-0000-0000EB4A0000}"/>
    <cellStyle name="Normal 4 4 6 3 3 3 3" xfId="32909" xr:uid="{00000000-0005-0000-0000-0000EC4A0000}"/>
    <cellStyle name="Normal 4 4 6 3 3 4" xfId="14477" xr:uid="{00000000-0005-0000-0000-0000ED4A0000}"/>
    <cellStyle name="Normal 4 4 6 3 3 4 2" xfId="39053" xr:uid="{00000000-0005-0000-0000-0000EE4A0000}"/>
    <cellStyle name="Normal 4 4 6 3 3 5" xfId="26765" xr:uid="{00000000-0005-0000-0000-0000EF4A0000}"/>
    <cellStyle name="Normal 4 4 6 3 4" xfId="3725" xr:uid="{00000000-0005-0000-0000-0000F04A0000}"/>
    <cellStyle name="Normal 4 4 6 3 4 2" xfId="9869" xr:uid="{00000000-0005-0000-0000-0000F14A0000}"/>
    <cellStyle name="Normal 4 4 6 3 4 2 2" xfId="22157" xr:uid="{00000000-0005-0000-0000-0000F24A0000}"/>
    <cellStyle name="Normal 4 4 6 3 4 2 2 2" xfId="46733" xr:uid="{00000000-0005-0000-0000-0000F34A0000}"/>
    <cellStyle name="Normal 4 4 6 3 4 2 3" xfId="34445" xr:uid="{00000000-0005-0000-0000-0000F44A0000}"/>
    <cellStyle name="Normal 4 4 6 3 4 3" xfId="16013" xr:uid="{00000000-0005-0000-0000-0000F54A0000}"/>
    <cellStyle name="Normal 4 4 6 3 4 3 2" xfId="40589" xr:uid="{00000000-0005-0000-0000-0000F64A0000}"/>
    <cellStyle name="Normal 4 4 6 3 4 4" xfId="28301" xr:uid="{00000000-0005-0000-0000-0000F74A0000}"/>
    <cellStyle name="Normal 4 4 6 3 5" xfId="6797" xr:uid="{00000000-0005-0000-0000-0000F84A0000}"/>
    <cellStyle name="Normal 4 4 6 3 5 2" xfId="19085" xr:uid="{00000000-0005-0000-0000-0000F94A0000}"/>
    <cellStyle name="Normal 4 4 6 3 5 2 2" xfId="43661" xr:uid="{00000000-0005-0000-0000-0000FA4A0000}"/>
    <cellStyle name="Normal 4 4 6 3 5 3" xfId="31373" xr:uid="{00000000-0005-0000-0000-0000FB4A0000}"/>
    <cellStyle name="Normal 4 4 6 3 6" xfId="12941" xr:uid="{00000000-0005-0000-0000-0000FC4A0000}"/>
    <cellStyle name="Normal 4 4 6 3 6 2" xfId="37517" xr:uid="{00000000-0005-0000-0000-0000FD4A0000}"/>
    <cellStyle name="Normal 4 4 6 3 7" xfId="25229" xr:uid="{00000000-0005-0000-0000-0000FE4A0000}"/>
    <cellStyle name="Normal 4 4 6 4" xfId="1033" xr:uid="{00000000-0005-0000-0000-0000FF4A0000}"/>
    <cellStyle name="Normal 4 4 6 4 2" xfId="2569" xr:uid="{00000000-0005-0000-0000-0000004B0000}"/>
    <cellStyle name="Normal 4 4 6 4 2 2" xfId="5645" xr:uid="{00000000-0005-0000-0000-0000014B0000}"/>
    <cellStyle name="Normal 4 4 6 4 2 2 2" xfId="11789" xr:uid="{00000000-0005-0000-0000-0000024B0000}"/>
    <cellStyle name="Normal 4 4 6 4 2 2 2 2" xfId="24077" xr:uid="{00000000-0005-0000-0000-0000034B0000}"/>
    <cellStyle name="Normal 4 4 6 4 2 2 2 2 2" xfId="48653" xr:uid="{00000000-0005-0000-0000-0000044B0000}"/>
    <cellStyle name="Normal 4 4 6 4 2 2 2 3" xfId="36365" xr:uid="{00000000-0005-0000-0000-0000054B0000}"/>
    <cellStyle name="Normal 4 4 6 4 2 2 3" xfId="17933" xr:uid="{00000000-0005-0000-0000-0000064B0000}"/>
    <cellStyle name="Normal 4 4 6 4 2 2 3 2" xfId="42509" xr:uid="{00000000-0005-0000-0000-0000074B0000}"/>
    <cellStyle name="Normal 4 4 6 4 2 2 4" xfId="30221" xr:uid="{00000000-0005-0000-0000-0000084B0000}"/>
    <cellStyle name="Normal 4 4 6 4 2 3" xfId="8717" xr:uid="{00000000-0005-0000-0000-0000094B0000}"/>
    <cellStyle name="Normal 4 4 6 4 2 3 2" xfId="21005" xr:uid="{00000000-0005-0000-0000-00000A4B0000}"/>
    <cellStyle name="Normal 4 4 6 4 2 3 2 2" xfId="45581" xr:uid="{00000000-0005-0000-0000-00000B4B0000}"/>
    <cellStyle name="Normal 4 4 6 4 2 3 3" xfId="33293" xr:uid="{00000000-0005-0000-0000-00000C4B0000}"/>
    <cellStyle name="Normal 4 4 6 4 2 4" xfId="14861" xr:uid="{00000000-0005-0000-0000-00000D4B0000}"/>
    <cellStyle name="Normal 4 4 6 4 2 4 2" xfId="39437" xr:uid="{00000000-0005-0000-0000-00000E4B0000}"/>
    <cellStyle name="Normal 4 4 6 4 2 5" xfId="27149" xr:uid="{00000000-0005-0000-0000-00000F4B0000}"/>
    <cellStyle name="Normal 4 4 6 4 3" xfId="4109" xr:uid="{00000000-0005-0000-0000-0000104B0000}"/>
    <cellStyle name="Normal 4 4 6 4 3 2" xfId="10253" xr:uid="{00000000-0005-0000-0000-0000114B0000}"/>
    <cellStyle name="Normal 4 4 6 4 3 2 2" xfId="22541" xr:uid="{00000000-0005-0000-0000-0000124B0000}"/>
    <cellStyle name="Normal 4 4 6 4 3 2 2 2" xfId="47117" xr:uid="{00000000-0005-0000-0000-0000134B0000}"/>
    <cellStyle name="Normal 4 4 6 4 3 2 3" xfId="34829" xr:uid="{00000000-0005-0000-0000-0000144B0000}"/>
    <cellStyle name="Normal 4 4 6 4 3 3" xfId="16397" xr:uid="{00000000-0005-0000-0000-0000154B0000}"/>
    <cellStyle name="Normal 4 4 6 4 3 3 2" xfId="40973" xr:uid="{00000000-0005-0000-0000-0000164B0000}"/>
    <cellStyle name="Normal 4 4 6 4 3 4" xfId="28685" xr:uid="{00000000-0005-0000-0000-0000174B0000}"/>
    <cellStyle name="Normal 4 4 6 4 4" xfId="7181" xr:uid="{00000000-0005-0000-0000-0000184B0000}"/>
    <cellStyle name="Normal 4 4 6 4 4 2" xfId="19469" xr:uid="{00000000-0005-0000-0000-0000194B0000}"/>
    <cellStyle name="Normal 4 4 6 4 4 2 2" xfId="44045" xr:uid="{00000000-0005-0000-0000-00001A4B0000}"/>
    <cellStyle name="Normal 4 4 6 4 4 3" xfId="31757" xr:uid="{00000000-0005-0000-0000-00001B4B0000}"/>
    <cellStyle name="Normal 4 4 6 4 5" xfId="13325" xr:uid="{00000000-0005-0000-0000-00001C4B0000}"/>
    <cellStyle name="Normal 4 4 6 4 5 2" xfId="37901" xr:uid="{00000000-0005-0000-0000-00001D4B0000}"/>
    <cellStyle name="Normal 4 4 6 4 6" xfId="25613" xr:uid="{00000000-0005-0000-0000-00001E4B0000}"/>
    <cellStyle name="Normal 4 4 6 5" xfId="1801" xr:uid="{00000000-0005-0000-0000-00001F4B0000}"/>
    <cellStyle name="Normal 4 4 6 5 2" xfId="4877" xr:uid="{00000000-0005-0000-0000-0000204B0000}"/>
    <cellStyle name="Normal 4 4 6 5 2 2" xfId="11021" xr:uid="{00000000-0005-0000-0000-0000214B0000}"/>
    <cellStyle name="Normal 4 4 6 5 2 2 2" xfId="23309" xr:uid="{00000000-0005-0000-0000-0000224B0000}"/>
    <cellStyle name="Normal 4 4 6 5 2 2 2 2" xfId="47885" xr:uid="{00000000-0005-0000-0000-0000234B0000}"/>
    <cellStyle name="Normal 4 4 6 5 2 2 3" xfId="35597" xr:uid="{00000000-0005-0000-0000-0000244B0000}"/>
    <cellStyle name="Normal 4 4 6 5 2 3" xfId="17165" xr:uid="{00000000-0005-0000-0000-0000254B0000}"/>
    <cellStyle name="Normal 4 4 6 5 2 3 2" xfId="41741" xr:uid="{00000000-0005-0000-0000-0000264B0000}"/>
    <cellStyle name="Normal 4 4 6 5 2 4" xfId="29453" xr:uid="{00000000-0005-0000-0000-0000274B0000}"/>
    <cellStyle name="Normal 4 4 6 5 3" xfId="7949" xr:uid="{00000000-0005-0000-0000-0000284B0000}"/>
    <cellStyle name="Normal 4 4 6 5 3 2" xfId="20237" xr:uid="{00000000-0005-0000-0000-0000294B0000}"/>
    <cellStyle name="Normal 4 4 6 5 3 2 2" xfId="44813" xr:uid="{00000000-0005-0000-0000-00002A4B0000}"/>
    <cellStyle name="Normal 4 4 6 5 3 3" xfId="32525" xr:uid="{00000000-0005-0000-0000-00002B4B0000}"/>
    <cellStyle name="Normal 4 4 6 5 4" xfId="14093" xr:uid="{00000000-0005-0000-0000-00002C4B0000}"/>
    <cellStyle name="Normal 4 4 6 5 4 2" xfId="38669" xr:uid="{00000000-0005-0000-0000-00002D4B0000}"/>
    <cellStyle name="Normal 4 4 6 5 5" xfId="26381" xr:uid="{00000000-0005-0000-0000-00002E4B0000}"/>
    <cellStyle name="Normal 4 4 6 6" xfId="3341" xr:uid="{00000000-0005-0000-0000-00002F4B0000}"/>
    <cellStyle name="Normal 4 4 6 6 2" xfId="9485" xr:uid="{00000000-0005-0000-0000-0000304B0000}"/>
    <cellStyle name="Normal 4 4 6 6 2 2" xfId="21773" xr:uid="{00000000-0005-0000-0000-0000314B0000}"/>
    <cellStyle name="Normal 4 4 6 6 2 2 2" xfId="46349" xr:uid="{00000000-0005-0000-0000-0000324B0000}"/>
    <cellStyle name="Normal 4 4 6 6 2 3" xfId="34061" xr:uid="{00000000-0005-0000-0000-0000334B0000}"/>
    <cellStyle name="Normal 4 4 6 6 3" xfId="15629" xr:uid="{00000000-0005-0000-0000-0000344B0000}"/>
    <cellStyle name="Normal 4 4 6 6 3 2" xfId="40205" xr:uid="{00000000-0005-0000-0000-0000354B0000}"/>
    <cellStyle name="Normal 4 4 6 6 4" xfId="27917" xr:uid="{00000000-0005-0000-0000-0000364B0000}"/>
    <cellStyle name="Normal 4 4 6 7" xfId="6413" xr:uid="{00000000-0005-0000-0000-0000374B0000}"/>
    <cellStyle name="Normal 4 4 6 7 2" xfId="18701" xr:uid="{00000000-0005-0000-0000-0000384B0000}"/>
    <cellStyle name="Normal 4 4 6 7 2 2" xfId="43277" xr:uid="{00000000-0005-0000-0000-0000394B0000}"/>
    <cellStyle name="Normal 4 4 6 7 3" xfId="30989" xr:uid="{00000000-0005-0000-0000-00003A4B0000}"/>
    <cellStyle name="Normal 4 4 6 8" xfId="12557" xr:uid="{00000000-0005-0000-0000-00003B4B0000}"/>
    <cellStyle name="Normal 4 4 6 8 2" xfId="37133" xr:uid="{00000000-0005-0000-0000-00003C4B0000}"/>
    <cellStyle name="Normal 4 4 6 9" xfId="24845" xr:uid="{00000000-0005-0000-0000-00003D4B0000}"/>
    <cellStyle name="Normal 4 4 7" xfId="329" xr:uid="{00000000-0005-0000-0000-00003E4B0000}"/>
    <cellStyle name="Normal 4 4 7 2" xfId="713" xr:uid="{00000000-0005-0000-0000-00003F4B0000}"/>
    <cellStyle name="Normal 4 4 7 2 2" xfId="1481" xr:uid="{00000000-0005-0000-0000-0000404B0000}"/>
    <cellStyle name="Normal 4 4 7 2 2 2" xfId="3017" xr:uid="{00000000-0005-0000-0000-0000414B0000}"/>
    <cellStyle name="Normal 4 4 7 2 2 2 2" xfId="6093" xr:uid="{00000000-0005-0000-0000-0000424B0000}"/>
    <cellStyle name="Normal 4 4 7 2 2 2 2 2" xfId="12237" xr:uid="{00000000-0005-0000-0000-0000434B0000}"/>
    <cellStyle name="Normal 4 4 7 2 2 2 2 2 2" xfId="24525" xr:uid="{00000000-0005-0000-0000-0000444B0000}"/>
    <cellStyle name="Normal 4 4 7 2 2 2 2 2 2 2" xfId="49101" xr:uid="{00000000-0005-0000-0000-0000454B0000}"/>
    <cellStyle name="Normal 4 4 7 2 2 2 2 2 3" xfId="36813" xr:uid="{00000000-0005-0000-0000-0000464B0000}"/>
    <cellStyle name="Normal 4 4 7 2 2 2 2 3" xfId="18381" xr:uid="{00000000-0005-0000-0000-0000474B0000}"/>
    <cellStyle name="Normal 4 4 7 2 2 2 2 3 2" xfId="42957" xr:uid="{00000000-0005-0000-0000-0000484B0000}"/>
    <cellStyle name="Normal 4 4 7 2 2 2 2 4" xfId="30669" xr:uid="{00000000-0005-0000-0000-0000494B0000}"/>
    <cellStyle name="Normal 4 4 7 2 2 2 3" xfId="9165" xr:uid="{00000000-0005-0000-0000-00004A4B0000}"/>
    <cellStyle name="Normal 4 4 7 2 2 2 3 2" xfId="21453" xr:uid="{00000000-0005-0000-0000-00004B4B0000}"/>
    <cellStyle name="Normal 4 4 7 2 2 2 3 2 2" xfId="46029" xr:uid="{00000000-0005-0000-0000-00004C4B0000}"/>
    <cellStyle name="Normal 4 4 7 2 2 2 3 3" xfId="33741" xr:uid="{00000000-0005-0000-0000-00004D4B0000}"/>
    <cellStyle name="Normal 4 4 7 2 2 2 4" xfId="15309" xr:uid="{00000000-0005-0000-0000-00004E4B0000}"/>
    <cellStyle name="Normal 4 4 7 2 2 2 4 2" xfId="39885" xr:uid="{00000000-0005-0000-0000-00004F4B0000}"/>
    <cellStyle name="Normal 4 4 7 2 2 2 5" xfId="27597" xr:uid="{00000000-0005-0000-0000-0000504B0000}"/>
    <cellStyle name="Normal 4 4 7 2 2 3" xfId="4557" xr:uid="{00000000-0005-0000-0000-0000514B0000}"/>
    <cellStyle name="Normal 4 4 7 2 2 3 2" xfId="10701" xr:uid="{00000000-0005-0000-0000-0000524B0000}"/>
    <cellStyle name="Normal 4 4 7 2 2 3 2 2" xfId="22989" xr:uid="{00000000-0005-0000-0000-0000534B0000}"/>
    <cellStyle name="Normal 4 4 7 2 2 3 2 2 2" xfId="47565" xr:uid="{00000000-0005-0000-0000-0000544B0000}"/>
    <cellStyle name="Normal 4 4 7 2 2 3 2 3" xfId="35277" xr:uid="{00000000-0005-0000-0000-0000554B0000}"/>
    <cellStyle name="Normal 4 4 7 2 2 3 3" xfId="16845" xr:uid="{00000000-0005-0000-0000-0000564B0000}"/>
    <cellStyle name="Normal 4 4 7 2 2 3 3 2" xfId="41421" xr:uid="{00000000-0005-0000-0000-0000574B0000}"/>
    <cellStyle name="Normal 4 4 7 2 2 3 4" xfId="29133" xr:uid="{00000000-0005-0000-0000-0000584B0000}"/>
    <cellStyle name="Normal 4 4 7 2 2 4" xfId="7629" xr:uid="{00000000-0005-0000-0000-0000594B0000}"/>
    <cellStyle name="Normal 4 4 7 2 2 4 2" xfId="19917" xr:uid="{00000000-0005-0000-0000-00005A4B0000}"/>
    <cellStyle name="Normal 4 4 7 2 2 4 2 2" xfId="44493" xr:uid="{00000000-0005-0000-0000-00005B4B0000}"/>
    <cellStyle name="Normal 4 4 7 2 2 4 3" xfId="32205" xr:uid="{00000000-0005-0000-0000-00005C4B0000}"/>
    <cellStyle name="Normal 4 4 7 2 2 5" xfId="13773" xr:uid="{00000000-0005-0000-0000-00005D4B0000}"/>
    <cellStyle name="Normal 4 4 7 2 2 5 2" xfId="38349" xr:uid="{00000000-0005-0000-0000-00005E4B0000}"/>
    <cellStyle name="Normal 4 4 7 2 2 6" xfId="26061" xr:uid="{00000000-0005-0000-0000-00005F4B0000}"/>
    <cellStyle name="Normal 4 4 7 2 3" xfId="2249" xr:uid="{00000000-0005-0000-0000-0000604B0000}"/>
    <cellStyle name="Normal 4 4 7 2 3 2" xfId="5325" xr:uid="{00000000-0005-0000-0000-0000614B0000}"/>
    <cellStyle name="Normal 4 4 7 2 3 2 2" xfId="11469" xr:uid="{00000000-0005-0000-0000-0000624B0000}"/>
    <cellStyle name="Normal 4 4 7 2 3 2 2 2" xfId="23757" xr:uid="{00000000-0005-0000-0000-0000634B0000}"/>
    <cellStyle name="Normal 4 4 7 2 3 2 2 2 2" xfId="48333" xr:uid="{00000000-0005-0000-0000-0000644B0000}"/>
    <cellStyle name="Normal 4 4 7 2 3 2 2 3" xfId="36045" xr:uid="{00000000-0005-0000-0000-0000654B0000}"/>
    <cellStyle name="Normal 4 4 7 2 3 2 3" xfId="17613" xr:uid="{00000000-0005-0000-0000-0000664B0000}"/>
    <cellStyle name="Normal 4 4 7 2 3 2 3 2" xfId="42189" xr:uid="{00000000-0005-0000-0000-0000674B0000}"/>
    <cellStyle name="Normal 4 4 7 2 3 2 4" xfId="29901" xr:uid="{00000000-0005-0000-0000-0000684B0000}"/>
    <cellStyle name="Normal 4 4 7 2 3 3" xfId="8397" xr:uid="{00000000-0005-0000-0000-0000694B0000}"/>
    <cellStyle name="Normal 4 4 7 2 3 3 2" xfId="20685" xr:uid="{00000000-0005-0000-0000-00006A4B0000}"/>
    <cellStyle name="Normal 4 4 7 2 3 3 2 2" xfId="45261" xr:uid="{00000000-0005-0000-0000-00006B4B0000}"/>
    <cellStyle name="Normal 4 4 7 2 3 3 3" xfId="32973" xr:uid="{00000000-0005-0000-0000-00006C4B0000}"/>
    <cellStyle name="Normal 4 4 7 2 3 4" xfId="14541" xr:uid="{00000000-0005-0000-0000-00006D4B0000}"/>
    <cellStyle name="Normal 4 4 7 2 3 4 2" xfId="39117" xr:uid="{00000000-0005-0000-0000-00006E4B0000}"/>
    <cellStyle name="Normal 4 4 7 2 3 5" xfId="26829" xr:uid="{00000000-0005-0000-0000-00006F4B0000}"/>
    <cellStyle name="Normal 4 4 7 2 4" xfId="3789" xr:uid="{00000000-0005-0000-0000-0000704B0000}"/>
    <cellStyle name="Normal 4 4 7 2 4 2" xfId="9933" xr:uid="{00000000-0005-0000-0000-0000714B0000}"/>
    <cellStyle name="Normal 4 4 7 2 4 2 2" xfId="22221" xr:uid="{00000000-0005-0000-0000-0000724B0000}"/>
    <cellStyle name="Normal 4 4 7 2 4 2 2 2" xfId="46797" xr:uid="{00000000-0005-0000-0000-0000734B0000}"/>
    <cellStyle name="Normal 4 4 7 2 4 2 3" xfId="34509" xr:uid="{00000000-0005-0000-0000-0000744B0000}"/>
    <cellStyle name="Normal 4 4 7 2 4 3" xfId="16077" xr:uid="{00000000-0005-0000-0000-0000754B0000}"/>
    <cellStyle name="Normal 4 4 7 2 4 3 2" xfId="40653" xr:uid="{00000000-0005-0000-0000-0000764B0000}"/>
    <cellStyle name="Normal 4 4 7 2 4 4" xfId="28365" xr:uid="{00000000-0005-0000-0000-0000774B0000}"/>
    <cellStyle name="Normal 4 4 7 2 5" xfId="6861" xr:uid="{00000000-0005-0000-0000-0000784B0000}"/>
    <cellStyle name="Normal 4 4 7 2 5 2" xfId="19149" xr:uid="{00000000-0005-0000-0000-0000794B0000}"/>
    <cellStyle name="Normal 4 4 7 2 5 2 2" xfId="43725" xr:uid="{00000000-0005-0000-0000-00007A4B0000}"/>
    <cellStyle name="Normal 4 4 7 2 5 3" xfId="31437" xr:uid="{00000000-0005-0000-0000-00007B4B0000}"/>
    <cellStyle name="Normal 4 4 7 2 6" xfId="13005" xr:uid="{00000000-0005-0000-0000-00007C4B0000}"/>
    <cellStyle name="Normal 4 4 7 2 6 2" xfId="37581" xr:uid="{00000000-0005-0000-0000-00007D4B0000}"/>
    <cellStyle name="Normal 4 4 7 2 7" xfId="25293" xr:uid="{00000000-0005-0000-0000-00007E4B0000}"/>
    <cellStyle name="Normal 4 4 7 3" xfId="1097" xr:uid="{00000000-0005-0000-0000-00007F4B0000}"/>
    <cellStyle name="Normal 4 4 7 3 2" xfId="2633" xr:uid="{00000000-0005-0000-0000-0000804B0000}"/>
    <cellStyle name="Normal 4 4 7 3 2 2" xfId="5709" xr:uid="{00000000-0005-0000-0000-0000814B0000}"/>
    <cellStyle name="Normal 4 4 7 3 2 2 2" xfId="11853" xr:uid="{00000000-0005-0000-0000-0000824B0000}"/>
    <cellStyle name="Normal 4 4 7 3 2 2 2 2" xfId="24141" xr:uid="{00000000-0005-0000-0000-0000834B0000}"/>
    <cellStyle name="Normal 4 4 7 3 2 2 2 2 2" xfId="48717" xr:uid="{00000000-0005-0000-0000-0000844B0000}"/>
    <cellStyle name="Normal 4 4 7 3 2 2 2 3" xfId="36429" xr:uid="{00000000-0005-0000-0000-0000854B0000}"/>
    <cellStyle name="Normal 4 4 7 3 2 2 3" xfId="17997" xr:uid="{00000000-0005-0000-0000-0000864B0000}"/>
    <cellStyle name="Normal 4 4 7 3 2 2 3 2" xfId="42573" xr:uid="{00000000-0005-0000-0000-0000874B0000}"/>
    <cellStyle name="Normal 4 4 7 3 2 2 4" xfId="30285" xr:uid="{00000000-0005-0000-0000-0000884B0000}"/>
    <cellStyle name="Normal 4 4 7 3 2 3" xfId="8781" xr:uid="{00000000-0005-0000-0000-0000894B0000}"/>
    <cellStyle name="Normal 4 4 7 3 2 3 2" xfId="21069" xr:uid="{00000000-0005-0000-0000-00008A4B0000}"/>
    <cellStyle name="Normal 4 4 7 3 2 3 2 2" xfId="45645" xr:uid="{00000000-0005-0000-0000-00008B4B0000}"/>
    <cellStyle name="Normal 4 4 7 3 2 3 3" xfId="33357" xr:uid="{00000000-0005-0000-0000-00008C4B0000}"/>
    <cellStyle name="Normal 4 4 7 3 2 4" xfId="14925" xr:uid="{00000000-0005-0000-0000-00008D4B0000}"/>
    <cellStyle name="Normal 4 4 7 3 2 4 2" xfId="39501" xr:uid="{00000000-0005-0000-0000-00008E4B0000}"/>
    <cellStyle name="Normal 4 4 7 3 2 5" xfId="27213" xr:uid="{00000000-0005-0000-0000-00008F4B0000}"/>
    <cellStyle name="Normal 4 4 7 3 3" xfId="4173" xr:uid="{00000000-0005-0000-0000-0000904B0000}"/>
    <cellStyle name="Normal 4 4 7 3 3 2" xfId="10317" xr:uid="{00000000-0005-0000-0000-0000914B0000}"/>
    <cellStyle name="Normal 4 4 7 3 3 2 2" xfId="22605" xr:uid="{00000000-0005-0000-0000-0000924B0000}"/>
    <cellStyle name="Normal 4 4 7 3 3 2 2 2" xfId="47181" xr:uid="{00000000-0005-0000-0000-0000934B0000}"/>
    <cellStyle name="Normal 4 4 7 3 3 2 3" xfId="34893" xr:uid="{00000000-0005-0000-0000-0000944B0000}"/>
    <cellStyle name="Normal 4 4 7 3 3 3" xfId="16461" xr:uid="{00000000-0005-0000-0000-0000954B0000}"/>
    <cellStyle name="Normal 4 4 7 3 3 3 2" xfId="41037" xr:uid="{00000000-0005-0000-0000-0000964B0000}"/>
    <cellStyle name="Normal 4 4 7 3 3 4" xfId="28749" xr:uid="{00000000-0005-0000-0000-0000974B0000}"/>
    <cellStyle name="Normal 4 4 7 3 4" xfId="7245" xr:uid="{00000000-0005-0000-0000-0000984B0000}"/>
    <cellStyle name="Normal 4 4 7 3 4 2" xfId="19533" xr:uid="{00000000-0005-0000-0000-0000994B0000}"/>
    <cellStyle name="Normal 4 4 7 3 4 2 2" xfId="44109" xr:uid="{00000000-0005-0000-0000-00009A4B0000}"/>
    <cellStyle name="Normal 4 4 7 3 4 3" xfId="31821" xr:uid="{00000000-0005-0000-0000-00009B4B0000}"/>
    <cellStyle name="Normal 4 4 7 3 5" xfId="13389" xr:uid="{00000000-0005-0000-0000-00009C4B0000}"/>
    <cellStyle name="Normal 4 4 7 3 5 2" xfId="37965" xr:uid="{00000000-0005-0000-0000-00009D4B0000}"/>
    <cellStyle name="Normal 4 4 7 3 6" xfId="25677" xr:uid="{00000000-0005-0000-0000-00009E4B0000}"/>
    <cellStyle name="Normal 4 4 7 4" xfId="1865" xr:uid="{00000000-0005-0000-0000-00009F4B0000}"/>
    <cellStyle name="Normal 4 4 7 4 2" xfId="4941" xr:uid="{00000000-0005-0000-0000-0000A04B0000}"/>
    <cellStyle name="Normal 4 4 7 4 2 2" xfId="11085" xr:uid="{00000000-0005-0000-0000-0000A14B0000}"/>
    <cellStyle name="Normal 4 4 7 4 2 2 2" xfId="23373" xr:uid="{00000000-0005-0000-0000-0000A24B0000}"/>
    <cellStyle name="Normal 4 4 7 4 2 2 2 2" xfId="47949" xr:uid="{00000000-0005-0000-0000-0000A34B0000}"/>
    <cellStyle name="Normal 4 4 7 4 2 2 3" xfId="35661" xr:uid="{00000000-0005-0000-0000-0000A44B0000}"/>
    <cellStyle name="Normal 4 4 7 4 2 3" xfId="17229" xr:uid="{00000000-0005-0000-0000-0000A54B0000}"/>
    <cellStyle name="Normal 4 4 7 4 2 3 2" xfId="41805" xr:uid="{00000000-0005-0000-0000-0000A64B0000}"/>
    <cellStyle name="Normal 4 4 7 4 2 4" xfId="29517" xr:uid="{00000000-0005-0000-0000-0000A74B0000}"/>
    <cellStyle name="Normal 4 4 7 4 3" xfId="8013" xr:uid="{00000000-0005-0000-0000-0000A84B0000}"/>
    <cellStyle name="Normal 4 4 7 4 3 2" xfId="20301" xr:uid="{00000000-0005-0000-0000-0000A94B0000}"/>
    <cellStyle name="Normal 4 4 7 4 3 2 2" xfId="44877" xr:uid="{00000000-0005-0000-0000-0000AA4B0000}"/>
    <cellStyle name="Normal 4 4 7 4 3 3" xfId="32589" xr:uid="{00000000-0005-0000-0000-0000AB4B0000}"/>
    <cellStyle name="Normal 4 4 7 4 4" xfId="14157" xr:uid="{00000000-0005-0000-0000-0000AC4B0000}"/>
    <cellStyle name="Normal 4 4 7 4 4 2" xfId="38733" xr:uid="{00000000-0005-0000-0000-0000AD4B0000}"/>
    <cellStyle name="Normal 4 4 7 4 5" xfId="26445" xr:uid="{00000000-0005-0000-0000-0000AE4B0000}"/>
    <cellStyle name="Normal 4 4 7 5" xfId="3405" xr:uid="{00000000-0005-0000-0000-0000AF4B0000}"/>
    <cellStyle name="Normal 4 4 7 5 2" xfId="9549" xr:uid="{00000000-0005-0000-0000-0000B04B0000}"/>
    <cellStyle name="Normal 4 4 7 5 2 2" xfId="21837" xr:uid="{00000000-0005-0000-0000-0000B14B0000}"/>
    <cellStyle name="Normal 4 4 7 5 2 2 2" xfId="46413" xr:uid="{00000000-0005-0000-0000-0000B24B0000}"/>
    <cellStyle name="Normal 4 4 7 5 2 3" xfId="34125" xr:uid="{00000000-0005-0000-0000-0000B34B0000}"/>
    <cellStyle name="Normal 4 4 7 5 3" xfId="15693" xr:uid="{00000000-0005-0000-0000-0000B44B0000}"/>
    <cellStyle name="Normal 4 4 7 5 3 2" xfId="40269" xr:uid="{00000000-0005-0000-0000-0000B54B0000}"/>
    <cellStyle name="Normal 4 4 7 5 4" xfId="27981" xr:uid="{00000000-0005-0000-0000-0000B64B0000}"/>
    <cellStyle name="Normal 4 4 7 6" xfId="6477" xr:uid="{00000000-0005-0000-0000-0000B74B0000}"/>
    <cellStyle name="Normal 4 4 7 6 2" xfId="18765" xr:uid="{00000000-0005-0000-0000-0000B84B0000}"/>
    <cellStyle name="Normal 4 4 7 6 2 2" xfId="43341" xr:uid="{00000000-0005-0000-0000-0000B94B0000}"/>
    <cellStyle name="Normal 4 4 7 6 3" xfId="31053" xr:uid="{00000000-0005-0000-0000-0000BA4B0000}"/>
    <cellStyle name="Normal 4 4 7 7" xfId="12621" xr:uid="{00000000-0005-0000-0000-0000BB4B0000}"/>
    <cellStyle name="Normal 4 4 7 7 2" xfId="37197" xr:uid="{00000000-0005-0000-0000-0000BC4B0000}"/>
    <cellStyle name="Normal 4 4 7 8" xfId="24909" xr:uid="{00000000-0005-0000-0000-0000BD4B0000}"/>
    <cellStyle name="Normal 4 4 8" xfId="521" xr:uid="{00000000-0005-0000-0000-0000BE4B0000}"/>
    <cellStyle name="Normal 4 4 8 2" xfId="1289" xr:uid="{00000000-0005-0000-0000-0000BF4B0000}"/>
    <cellStyle name="Normal 4 4 8 2 2" xfId="2825" xr:uid="{00000000-0005-0000-0000-0000C04B0000}"/>
    <cellStyle name="Normal 4 4 8 2 2 2" xfId="5901" xr:uid="{00000000-0005-0000-0000-0000C14B0000}"/>
    <cellStyle name="Normal 4 4 8 2 2 2 2" xfId="12045" xr:uid="{00000000-0005-0000-0000-0000C24B0000}"/>
    <cellStyle name="Normal 4 4 8 2 2 2 2 2" xfId="24333" xr:uid="{00000000-0005-0000-0000-0000C34B0000}"/>
    <cellStyle name="Normal 4 4 8 2 2 2 2 2 2" xfId="48909" xr:uid="{00000000-0005-0000-0000-0000C44B0000}"/>
    <cellStyle name="Normal 4 4 8 2 2 2 2 3" xfId="36621" xr:uid="{00000000-0005-0000-0000-0000C54B0000}"/>
    <cellStyle name="Normal 4 4 8 2 2 2 3" xfId="18189" xr:uid="{00000000-0005-0000-0000-0000C64B0000}"/>
    <cellStyle name="Normal 4 4 8 2 2 2 3 2" xfId="42765" xr:uid="{00000000-0005-0000-0000-0000C74B0000}"/>
    <cellStyle name="Normal 4 4 8 2 2 2 4" xfId="30477" xr:uid="{00000000-0005-0000-0000-0000C84B0000}"/>
    <cellStyle name="Normal 4 4 8 2 2 3" xfId="8973" xr:uid="{00000000-0005-0000-0000-0000C94B0000}"/>
    <cellStyle name="Normal 4 4 8 2 2 3 2" xfId="21261" xr:uid="{00000000-0005-0000-0000-0000CA4B0000}"/>
    <cellStyle name="Normal 4 4 8 2 2 3 2 2" xfId="45837" xr:uid="{00000000-0005-0000-0000-0000CB4B0000}"/>
    <cellStyle name="Normal 4 4 8 2 2 3 3" xfId="33549" xr:uid="{00000000-0005-0000-0000-0000CC4B0000}"/>
    <cellStyle name="Normal 4 4 8 2 2 4" xfId="15117" xr:uid="{00000000-0005-0000-0000-0000CD4B0000}"/>
    <cellStyle name="Normal 4 4 8 2 2 4 2" xfId="39693" xr:uid="{00000000-0005-0000-0000-0000CE4B0000}"/>
    <cellStyle name="Normal 4 4 8 2 2 5" xfId="27405" xr:uid="{00000000-0005-0000-0000-0000CF4B0000}"/>
    <cellStyle name="Normal 4 4 8 2 3" xfId="4365" xr:uid="{00000000-0005-0000-0000-0000D04B0000}"/>
    <cellStyle name="Normal 4 4 8 2 3 2" xfId="10509" xr:uid="{00000000-0005-0000-0000-0000D14B0000}"/>
    <cellStyle name="Normal 4 4 8 2 3 2 2" xfId="22797" xr:uid="{00000000-0005-0000-0000-0000D24B0000}"/>
    <cellStyle name="Normal 4 4 8 2 3 2 2 2" xfId="47373" xr:uid="{00000000-0005-0000-0000-0000D34B0000}"/>
    <cellStyle name="Normal 4 4 8 2 3 2 3" xfId="35085" xr:uid="{00000000-0005-0000-0000-0000D44B0000}"/>
    <cellStyle name="Normal 4 4 8 2 3 3" xfId="16653" xr:uid="{00000000-0005-0000-0000-0000D54B0000}"/>
    <cellStyle name="Normal 4 4 8 2 3 3 2" xfId="41229" xr:uid="{00000000-0005-0000-0000-0000D64B0000}"/>
    <cellStyle name="Normal 4 4 8 2 3 4" xfId="28941" xr:uid="{00000000-0005-0000-0000-0000D74B0000}"/>
    <cellStyle name="Normal 4 4 8 2 4" xfId="7437" xr:uid="{00000000-0005-0000-0000-0000D84B0000}"/>
    <cellStyle name="Normal 4 4 8 2 4 2" xfId="19725" xr:uid="{00000000-0005-0000-0000-0000D94B0000}"/>
    <cellStyle name="Normal 4 4 8 2 4 2 2" xfId="44301" xr:uid="{00000000-0005-0000-0000-0000DA4B0000}"/>
    <cellStyle name="Normal 4 4 8 2 4 3" xfId="32013" xr:uid="{00000000-0005-0000-0000-0000DB4B0000}"/>
    <cellStyle name="Normal 4 4 8 2 5" xfId="13581" xr:uid="{00000000-0005-0000-0000-0000DC4B0000}"/>
    <cellStyle name="Normal 4 4 8 2 5 2" xfId="38157" xr:uid="{00000000-0005-0000-0000-0000DD4B0000}"/>
    <cellStyle name="Normal 4 4 8 2 6" xfId="25869" xr:uid="{00000000-0005-0000-0000-0000DE4B0000}"/>
    <cellStyle name="Normal 4 4 8 3" xfId="2057" xr:uid="{00000000-0005-0000-0000-0000DF4B0000}"/>
    <cellStyle name="Normal 4 4 8 3 2" xfId="5133" xr:uid="{00000000-0005-0000-0000-0000E04B0000}"/>
    <cellStyle name="Normal 4 4 8 3 2 2" xfId="11277" xr:uid="{00000000-0005-0000-0000-0000E14B0000}"/>
    <cellStyle name="Normal 4 4 8 3 2 2 2" xfId="23565" xr:uid="{00000000-0005-0000-0000-0000E24B0000}"/>
    <cellStyle name="Normal 4 4 8 3 2 2 2 2" xfId="48141" xr:uid="{00000000-0005-0000-0000-0000E34B0000}"/>
    <cellStyle name="Normal 4 4 8 3 2 2 3" xfId="35853" xr:uid="{00000000-0005-0000-0000-0000E44B0000}"/>
    <cellStyle name="Normal 4 4 8 3 2 3" xfId="17421" xr:uid="{00000000-0005-0000-0000-0000E54B0000}"/>
    <cellStyle name="Normal 4 4 8 3 2 3 2" xfId="41997" xr:uid="{00000000-0005-0000-0000-0000E64B0000}"/>
    <cellStyle name="Normal 4 4 8 3 2 4" xfId="29709" xr:uid="{00000000-0005-0000-0000-0000E74B0000}"/>
    <cellStyle name="Normal 4 4 8 3 3" xfId="8205" xr:uid="{00000000-0005-0000-0000-0000E84B0000}"/>
    <cellStyle name="Normal 4 4 8 3 3 2" xfId="20493" xr:uid="{00000000-0005-0000-0000-0000E94B0000}"/>
    <cellStyle name="Normal 4 4 8 3 3 2 2" xfId="45069" xr:uid="{00000000-0005-0000-0000-0000EA4B0000}"/>
    <cellStyle name="Normal 4 4 8 3 3 3" xfId="32781" xr:uid="{00000000-0005-0000-0000-0000EB4B0000}"/>
    <cellStyle name="Normal 4 4 8 3 4" xfId="14349" xr:uid="{00000000-0005-0000-0000-0000EC4B0000}"/>
    <cellStyle name="Normal 4 4 8 3 4 2" xfId="38925" xr:uid="{00000000-0005-0000-0000-0000ED4B0000}"/>
    <cellStyle name="Normal 4 4 8 3 5" xfId="26637" xr:uid="{00000000-0005-0000-0000-0000EE4B0000}"/>
    <cellStyle name="Normal 4 4 8 4" xfId="3597" xr:uid="{00000000-0005-0000-0000-0000EF4B0000}"/>
    <cellStyle name="Normal 4 4 8 4 2" xfId="9741" xr:uid="{00000000-0005-0000-0000-0000F04B0000}"/>
    <cellStyle name="Normal 4 4 8 4 2 2" xfId="22029" xr:uid="{00000000-0005-0000-0000-0000F14B0000}"/>
    <cellStyle name="Normal 4 4 8 4 2 2 2" xfId="46605" xr:uid="{00000000-0005-0000-0000-0000F24B0000}"/>
    <cellStyle name="Normal 4 4 8 4 2 3" xfId="34317" xr:uid="{00000000-0005-0000-0000-0000F34B0000}"/>
    <cellStyle name="Normal 4 4 8 4 3" xfId="15885" xr:uid="{00000000-0005-0000-0000-0000F44B0000}"/>
    <cellStyle name="Normal 4 4 8 4 3 2" xfId="40461" xr:uid="{00000000-0005-0000-0000-0000F54B0000}"/>
    <cellStyle name="Normal 4 4 8 4 4" xfId="28173" xr:uid="{00000000-0005-0000-0000-0000F64B0000}"/>
    <cellStyle name="Normal 4 4 8 5" xfId="6669" xr:uid="{00000000-0005-0000-0000-0000F74B0000}"/>
    <cellStyle name="Normal 4 4 8 5 2" xfId="18957" xr:uid="{00000000-0005-0000-0000-0000F84B0000}"/>
    <cellStyle name="Normal 4 4 8 5 2 2" xfId="43533" xr:uid="{00000000-0005-0000-0000-0000F94B0000}"/>
    <cellStyle name="Normal 4 4 8 5 3" xfId="31245" xr:uid="{00000000-0005-0000-0000-0000FA4B0000}"/>
    <cellStyle name="Normal 4 4 8 6" xfId="12813" xr:uid="{00000000-0005-0000-0000-0000FB4B0000}"/>
    <cellStyle name="Normal 4 4 8 6 2" xfId="37389" xr:uid="{00000000-0005-0000-0000-0000FC4B0000}"/>
    <cellStyle name="Normal 4 4 8 7" xfId="25101" xr:uid="{00000000-0005-0000-0000-0000FD4B0000}"/>
    <cellStyle name="Normal 4 4 9" xfId="905" xr:uid="{00000000-0005-0000-0000-0000FE4B0000}"/>
    <cellStyle name="Normal 4 4 9 2" xfId="2441" xr:uid="{00000000-0005-0000-0000-0000FF4B0000}"/>
    <cellStyle name="Normal 4 4 9 2 2" xfId="5517" xr:uid="{00000000-0005-0000-0000-0000004C0000}"/>
    <cellStyle name="Normal 4 4 9 2 2 2" xfId="11661" xr:uid="{00000000-0005-0000-0000-0000014C0000}"/>
    <cellStyle name="Normal 4 4 9 2 2 2 2" xfId="23949" xr:uid="{00000000-0005-0000-0000-0000024C0000}"/>
    <cellStyle name="Normal 4 4 9 2 2 2 2 2" xfId="48525" xr:uid="{00000000-0005-0000-0000-0000034C0000}"/>
    <cellStyle name="Normal 4 4 9 2 2 2 3" xfId="36237" xr:uid="{00000000-0005-0000-0000-0000044C0000}"/>
    <cellStyle name="Normal 4 4 9 2 2 3" xfId="17805" xr:uid="{00000000-0005-0000-0000-0000054C0000}"/>
    <cellStyle name="Normal 4 4 9 2 2 3 2" xfId="42381" xr:uid="{00000000-0005-0000-0000-0000064C0000}"/>
    <cellStyle name="Normal 4 4 9 2 2 4" xfId="30093" xr:uid="{00000000-0005-0000-0000-0000074C0000}"/>
    <cellStyle name="Normal 4 4 9 2 3" xfId="8589" xr:uid="{00000000-0005-0000-0000-0000084C0000}"/>
    <cellStyle name="Normal 4 4 9 2 3 2" xfId="20877" xr:uid="{00000000-0005-0000-0000-0000094C0000}"/>
    <cellStyle name="Normal 4 4 9 2 3 2 2" xfId="45453" xr:uid="{00000000-0005-0000-0000-00000A4C0000}"/>
    <cellStyle name="Normal 4 4 9 2 3 3" xfId="33165" xr:uid="{00000000-0005-0000-0000-00000B4C0000}"/>
    <cellStyle name="Normal 4 4 9 2 4" xfId="14733" xr:uid="{00000000-0005-0000-0000-00000C4C0000}"/>
    <cellStyle name="Normal 4 4 9 2 4 2" xfId="39309" xr:uid="{00000000-0005-0000-0000-00000D4C0000}"/>
    <cellStyle name="Normal 4 4 9 2 5" xfId="27021" xr:uid="{00000000-0005-0000-0000-00000E4C0000}"/>
    <cellStyle name="Normal 4 4 9 3" xfId="3981" xr:uid="{00000000-0005-0000-0000-00000F4C0000}"/>
    <cellStyle name="Normal 4 4 9 3 2" xfId="10125" xr:uid="{00000000-0005-0000-0000-0000104C0000}"/>
    <cellStyle name="Normal 4 4 9 3 2 2" xfId="22413" xr:uid="{00000000-0005-0000-0000-0000114C0000}"/>
    <cellStyle name="Normal 4 4 9 3 2 2 2" xfId="46989" xr:uid="{00000000-0005-0000-0000-0000124C0000}"/>
    <cellStyle name="Normal 4 4 9 3 2 3" xfId="34701" xr:uid="{00000000-0005-0000-0000-0000134C0000}"/>
    <cellStyle name="Normal 4 4 9 3 3" xfId="16269" xr:uid="{00000000-0005-0000-0000-0000144C0000}"/>
    <cellStyle name="Normal 4 4 9 3 3 2" xfId="40845" xr:uid="{00000000-0005-0000-0000-0000154C0000}"/>
    <cellStyle name="Normal 4 4 9 3 4" xfId="28557" xr:uid="{00000000-0005-0000-0000-0000164C0000}"/>
    <cellStyle name="Normal 4 4 9 4" xfId="7053" xr:uid="{00000000-0005-0000-0000-0000174C0000}"/>
    <cellStyle name="Normal 4 4 9 4 2" xfId="19341" xr:uid="{00000000-0005-0000-0000-0000184C0000}"/>
    <cellStyle name="Normal 4 4 9 4 2 2" xfId="43917" xr:uid="{00000000-0005-0000-0000-0000194C0000}"/>
    <cellStyle name="Normal 4 4 9 4 3" xfId="31629" xr:uid="{00000000-0005-0000-0000-00001A4C0000}"/>
    <cellStyle name="Normal 4 4 9 5" xfId="13197" xr:uid="{00000000-0005-0000-0000-00001B4C0000}"/>
    <cellStyle name="Normal 4 4 9 5 2" xfId="37773" xr:uid="{00000000-0005-0000-0000-00001C4C0000}"/>
    <cellStyle name="Normal 4 4 9 6" xfId="25485" xr:uid="{00000000-0005-0000-0000-00001D4C0000}"/>
    <cellStyle name="Normal 4 5" xfId="100" xr:uid="{00000000-0005-0000-0000-00001E4C0000}"/>
    <cellStyle name="Normal 4 5 10" xfId="3217" xr:uid="{00000000-0005-0000-0000-00001F4C0000}"/>
    <cellStyle name="Normal 4 5 10 2" xfId="9361" xr:uid="{00000000-0005-0000-0000-0000204C0000}"/>
    <cellStyle name="Normal 4 5 10 2 2" xfId="21649" xr:uid="{00000000-0005-0000-0000-0000214C0000}"/>
    <cellStyle name="Normal 4 5 10 2 2 2" xfId="46225" xr:uid="{00000000-0005-0000-0000-0000224C0000}"/>
    <cellStyle name="Normal 4 5 10 2 3" xfId="33937" xr:uid="{00000000-0005-0000-0000-0000234C0000}"/>
    <cellStyle name="Normal 4 5 10 3" xfId="15505" xr:uid="{00000000-0005-0000-0000-0000244C0000}"/>
    <cellStyle name="Normal 4 5 10 3 2" xfId="40081" xr:uid="{00000000-0005-0000-0000-0000254C0000}"/>
    <cellStyle name="Normal 4 5 10 4" xfId="27793" xr:uid="{00000000-0005-0000-0000-0000264C0000}"/>
    <cellStyle name="Normal 4 5 11" xfId="6289" xr:uid="{00000000-0005-0000-0000-0000274C0000}"/>
    <cellStyle name="Normal 4 5 11 2" xfId="18577" xr:uid="{00000000-0005-0000-0000-0000284C0000}"/>
    <cellStyle name="Normal 4 5 11 2 2" xfId="43153" xr:uid="{00000000-0005-0000-0000-0000294C0000}"/>
    <cellStyle name="Normal 4 5 11 3" xfId="30865" xr:uid="{00000000-0005-0000-0000-00002A4C0000}"/>
    <cellStyle name="Normal 4 5 12" xfId="12433" xr:uid="{00000000-0005-0000-0000-00002B4C0000}"/>
    <cellStyle name="Normal 4 5 12 2" xfId="37009" xr:uid="{00000000-0005-0000-0000-00002C4C0000}"/>
    <cellStyle name="Normal 4 5 13" xfId="24721" xr:uid="{00000000-0005-0000-0000-00002D4C0000}"/>
    <cellStyle name="Normal 4 5 2" xfId="116" xr:uid="{00000000-0005-0000-0000-00002E4C0000}"/>
    <cellStyle name="Normal 4 5 2 10" xfId="6305" xr:uid="{00000000-0005-0000-0000-00002F4C0000}"/>
    <cellStyle name="Normal 4 5 2 10 2" xfId="18593" xr:uid="{00000000-0005-0000-0000-0000304C0000}"/>
    <cellStyle name="Normal 4 5 2 10 2 2" xfId="43169" xr:uid="{00000000-0005-0000-0000-0000314C0000}"/>
    <cellStyle name="Normal 4 5 2 10 3" xfId="30881" xr:uid="{00000000-0005-0000-0000-0000324C0000}"/>
    <cellStyle name="Normal 4 5 2 11" xfId="12449" xr:uid="{00000000-0005-0000-0000-0000334C0000}"/>
    <cellStyle name="Normal 4 5 2 11 2" xfId="37025" xr:uid="{00000000-0005-0000-0000-0000344C0000}"/>
    <cellStyle name="Normal 4 5 2 12" xfId="24737" xr:uid="{00000000-0005-0000-0000-0000354C0000}"/>
    <cellStyle name="Normal 4 5 2 2" xfId="188" xr:uid="{00000000-0005-0000-0000-0000364C0000}"/>
    <cellStyle name="Normal 4 5 2 2 10" xfId="12481" xr:uid="{00000000-0005-0000-0000-0000374C0000}"/>
    <cellStyle name="Normal 4 5 2 2 10 2" xfId="37057" xr:uid="{00000000-0005-0000-0000-0000384C0000}"/>
    <cellStyle name="Normal 4 5 2 2 11" xfId="24769" xr:uid="{00000000-0005-0000-0000-0000394C0000}"/>
    <cellStyle name="Normal 4 5 2 2 2" xfId="253" xr:uid="{00000000-0005-0000-0000-00003A4C0000}"/>
    <cellStyle name="Normal 4 5 2 2 2 2" xfId="445" xr:uid="{00000000-0005-0000-0000-00003B4C0000}"/>
    <cellStyle name="Normal 4 5 2 2 2 2 2" xfId="829" xr:uid="{00000000-0005-0000-0000-00003C4C0000}"/>
    <cellStyle name="Normal 4 5 2 2 2 2 2 2" xfId="1597" xr:uid="{00000000-0005-0000-0000-00003D4C0000}"/>
    <cellStyle name="Normal 4 5 2 2 2 2 2 2 2" xfId="3133" xr:uid="{00000000-0005-0000-0000-00003E4C0000}"/>
    <cellStyle name="Normal 4 5 2 2 2 2 2 2 2 2" xfId="6209" xr:uid="{00000000-0005-0000-0000-00003F4C0000}"/>
    <cellStyle name="Normal 4 5 2 2 2 2 2 2 2 2 2" xfId="12353" xr:uid="{00000000-0005-0000-0000-0000404C0000}"/>
    <cellStyle name="Normal 4 5 2 2 2 2 2 2 2 2 2 2" xfId="24641" xr:uid="{00000000-0005-0000-0000-0000414C0000}"/>
    <cellStyle name="Normal 4 5 2 2 2 2 2 2 2 2 2 2 2" xfId="49217" xr:uid="{00000000-0005-0000-0000-0000424C0000}"/>
    <cellStyle name="Normal 4 5 2 2 2 2 2 2 2 2 2 3" xfId="36929" xr:uid="{00000000-0005-0000-0000-0000434C0000}"/>
    <cellStyle name="Normal 4 5 2 2 2 2 2 2 2 2 3" xfId="18497" xr:uid="{00000000-0005-0000-0000-0000444C0000}"/>
    <cellStyle name="Normal 4 5 2 2 2 2 2 2 2 2 3 2" xfId="43073" xr:uid="{00000000-0005-0000-0000-0000454C0000}"/>
    <cellStyle name="Normal 4 5 2 2 2 2 2 2 2 2 4" xfId="30785" xr:uid="{00000000-0005-0000-0000-0000464C0000}"/>
    <cellStyle name="Normal 4 5 2 2 2 2 2 2 2 3" xfId="9281" xr:uid="{00000000-0005-0000-0000-0000474C0000}"/>
    <cellStyle name="Normal 4 5 2 2 2 2 2 2 2 3 2" xfId="21569" xr:uid="{00000000-0005-0000-0000-0000484C0000}"/>
    <cellStyle name="Normal 4 5 2 2 2 2 2 2 2 3 2 2" xfId="46145" xr:uid="{00000000-0005-0000-0000-0000494C0000}"/>
    <cellStyle name="Normal 4 5 2 2 2 2 2 2 2 3 3" xfId="33857" xr:uid="{00000000-0005-0000-0000-00004A4C0000}"/>
    <cellStyle name="Normal 4 5 2 2 2 2 2 2 2 4" xfId="15425" xr:uid="{00000000-0005-0000-0000-00004B4C0000}"/>
    <cellStyle name="Normal 4 5 2 2 2 2 2 2 2 4 2" xfId="40001" xr:uid="{00000000-0005-0000-0000-00004C4C0000}"/>
    <cellStyle name="Normal 4 5 2 2 2 2 2 2 2 5" xfId="27713" xr:uid="{00000000-0005-0000-0000-00004D4C0000}"/>
    <cellStyle name="Normal 4 5 2 2 2 2 2 2 3" xfId="4673" xr:uid="{00000000-0005-0000-0000-00004E4C0000}"/>
    <cellStyle name="Normal 4 5 2 2 2 2 2 2 3 2" xfId="10817" xr:uid="{00000000-0005-0000-0000-00004F4C0000}"/>
    <cellStyle name="Normal 4 5 2 2 2 2 2 2 3 2 2" xfId="23105" xr:uid="{00000000-0005-0000-0000-0000504C0000}"/>
    <cellStyle name="Normal 4 5 2 2 2 2 2 2 3 2 2 2" xfId="47681" xr:uid="{00000000-0005-0000-0000-0000514C0000}"/>
    <cellStyle name="Normal 4 5 2 2 2 2 2 2 3 2 3" xfId="35393" xr:uid="{00000000-0005-0000-0000-0000524C0000}"/>
    <cellStyle name="Normal 4 5 2 2 2 2 2 2 3 3" xfId="16961" xr:uid="{00000000-0005-0000-0000-0000534C0000}"/>
    <cellStyle name="Normal 4 5 2 2 2 2 2 2 3 3 2" xfId="41537" xr:uid="{00000000-0005-0000-0000-0000544C0000}"/>
    <cellStyle name="Normal 4 5 2 2 2 2 2 2 3 4" xfId="29249" xr:uid="{00000000-0005-0000-0000-0000554C0000}"/>
    <cellStyle name="Normal 4 5 2 2 2 2 2 2 4" xfId="7745" xr:uid="{00000000-0005-0000-0000-0000564C0000}"/>
    <cellStyle name="Normal 4 5 2 2 2 2 2 2 4 2" xfId="20033" xr:uid="{00000000-0005-0000-0000-0000574C0000}"/>
    <cellStyle name="Normal 4 5 2 2 2 2 2 2 4 2 2" xfId="44609" xr:uid="{00000000-0005-0000-0000-0000584C0000}"/>
    <cellStyle name="Normal 4 5 2 2 2 2 2 2 4 3" xfId="32321" xr:uid="{00000000-0005-0000-0000-0000594C0000}"/>
    <cellStyle name="Normal 4 5 2 2 2 2 2 2 5" xfId="13889" xr:uid="{00000000-0005-0000-0000-00005A4C0000}"/>
    <cellStyle name="Normal 4 5 2 2 2 2 2 2 5 2" xfId="38465" xr:uid="{00000000-0005-0000-0000-00005B4C0000}"/>
    <cellStyle name="Normal 4 5 2 2 2 2 2 2 6" xfId="26177" xr:uid="{00000000-0005-0000-0000-00005C4C0000}"/>
    <cellStyle name="Normal 4 5 2 2 2 2 2 3" xfId="2365" xr:uid="{00000000-0005-0000-0000-00005D4C0000}"/>
    <cellStyle name="Normal 4 5 2 2 2 2 2 3 2" xfId="5441" xr:uid="{00000000-0005-0000-0000-00005E4C0000}"/>
    <cellStyle name="Normal 4 5 2 2 2 2 2 3 2 2" xfId="11585" xr:uid="{00000000-0005-0000-0000-00005F4C0000}"/>
    <cellStyle name="Normal 4 5 2 2 2 2 2 3 2 2 2" xfId="23873" xr:uid="{00000000-0005-0000-0000-0000604C0000}"/>
    <cellStyle name="Normal 4 5 2 2 2 2 2 3 2 2 2 2" xfId="48449" xr:uid="{00000000-0005-0000-0000-0000614C0000}"/>
    <cellStyle name="Normal 4 5 2 2 2 2 2 3 2 2 3" xfId="36161" xr:uid="{00000000-0005-0000-0000-0000624C0000}"/>
    <cellStyle name="Normal 4 5 2 2 2 2 2 3 2 3" xfId="17729" xr:uid="{00000000-0005-0000-0000-0000634C0000}"/>
    <cellStyle name="Normal 4 5 2 2 2 2 2 3 2 3 2" xfId="42305" xr:uid="{00000000-0005-0000-0000-0000644C0000}"/>
    <cellStyle name="Normal 4 5 2 2 2 2 2 3 2 4" xfId="30017" xr:uid="{00000000-0005-0000-0000-0000654C0000}"/>
    <cellStyle name="Normal 4 5 2 2 2 2 2 3 3" xfId="8513" xr:uid="{00000000-0005-0000-0000-0000664C0000}"/>
    <cellStyle name="Normal 4 5 2 2 2 2 2 3 3 2" xfId="20801" xr:uid="{00000000-0005-0000-0000-0000674C0000}"/>
    <cellStyle name="Normal 4 5 2 2 2 2 2 3 3 2 2" xfId="45377" xr:uid="{00000000-0005-0000-0000-0000684C0000}"/>
    <cellStyle name="Normal 4 5 2 2 2 2 2 3 3 3" xfId="33089" xr:uid="{00000000-0005-0000-0000-0000694C0000}"/>
    <cellStyle name="Normal 4 5 2 2 2 2 2 3 4" xfId="14657" xr:uid="{00000000-0005-0000-0000-00006A4C0000}"/>
    <cellStyle name="Normal 4 5 2 2 2 2 2 3 4 2" xfId="39233" xr:uid="{00000000-0005-0000-0000-00006B4C0000}"/>
    <cellStyle name="Normal 4 5 2 2 2 2 2 3 5" xfId="26945" xr:uid="{00000000-0005-0000-0000-00006C4C0000}"/>
    <cellStyle name="Normal 4 5 2 2 2 2 2 4" xfId="3905" xr:uid="{00000000-0005-0000-0000-00006D4C0000}"/>
    <cellStyle name="Normal 4 5 2 2 2 2 2 4 2" xfId="10049" xr:uid="{00000000-0005-0000-0000-00006E4C0000}"/>
    <cellStyle name="Normal 4 5 2 2 2 2 2 4 2 2" xfId="22337" xr:uid="{00000000-0005-0000-0000-00006F4C0000}"/>
    <cellStyle name="Normal 4 5 2 2 2 2 2 4 2 2 2" xfId="46913" xr:uid="{00000000-0005-0000-0000-0000704C0000}"/>
    <cellStyle name="Normal 4 5 2 2 2 2 2 4 2 3" xfId="34625" xr:uid="{00000000-0005-0000-0000-0000714C0000}"/>
    <cellStyle name="Normal 4 5 2 2 2 2 2 4 3" xfId="16193" xr:uid="{00000000-0005-0000-0000-0000724C0000}"/>
    <cellStyle name="Normal 4 5 2 2 2 2 2 4 3 2" xfId="40769" xr:uid="{00000000-0005-0000-0000-0000734C0000}"/>
    <cellStyle name="Normal 4 5 2 2 2 2 2 4 4" xfId="28481" xr:uid="{00000000-0005-0000-0000-0000744C0000}"/>
    <cellStyle name="Normal 4 5 2 2 2 2 2 5" xfId="6977" xr:uid="{00000000-0005-0000-0000-0000754C0000}"/>
    <cellStyle name="Normal 4 5 2 2 2 2 2 5 2" xfId="19265" xr:uid="{00000000-0005-0000-0000-0000764C0000}"/>
    <cellStyle name="Normal 4 5 2 2 2 2 2 5 2 2" xfId="43841" xr:uid="{00000000-0005-0000-0000-0000774C0000}"/>
    <cellStyle name="Normal 4 5 2 2 2 2 2 5 3" xfId="31553" xr:uid="{00000000-0005-0000-0000-0000784C0000}"/>
    <cellStyle name="Normal 4 5 2 2 2 2 2 6" xfId="13121" xr:uid="{00000000-0005-0000-0000-0000794C0000}"/>
    <cellStyle name="Normal 4 5 2 2 2 2 2 6 2" xfId="37697" xr:uid="{00000000-0005-0000-0000-00007A4C0000}"/>
    <cellStyle name="Normal 4 5 2 2 2 2 2 7" xfId="25409" xr:uid="{00000000-0005-0000-0000-00007B4C0000}"/>
    <cellStyle name="Normal 4 5 2 2 2 2 3" xfId="1213" xr:uid="{00000000-0005-0000-0000-00007C4C0000}"/>
    <cellStyle name="Normal 4 5 2 2 2 2 3 2" xfId="2749" xr:uid="{00000000-0005-0000-0000-00007D4C0000}"/>
    <cellStyle name="Normal 4 5 2 2 2 2 3 2 2" xfId="5825" xr:uid="{00000000-0005-0000-0000-00007E4C0000}"/>
    <cellStyle name="Normal 4 5 2 2 2 2 3 2 2 2" xfId="11969" xr:uid="{00000000-0005-0000-0000-00007F4C0000}"/>
    <cellStyle name="Normal 4 5 2 2 2 2 3 2 2 2 2" xfId="24257" xr:uid="{00000000-0005-0000-0000-0000804C0000}"/>
    <cellStyle name="Normal 4 5 2 2 2 2 3 2 2 2 2 2" xfId="48833" xr:uid="{00000000-0005-0000-0000-0000814C0000}"/>
    <cellStyle name="Normal 4 5 2 2 2 2 3 2 2 2 3" xfId="36545" xr:uid="{00000000-0005-0000-0000-0000824C0000}"/>
    <cellStyle name="Normal 4 5 2 2 2 2 3 2 2 3" xfId="18113" xr:uid="{00000000-0005-0000-0000-0000834C0000}"/>
    <cellStyle name="Normal 4 5 2 2 2 2 3 2 2 3 2" xfId="42689" xr:uid="{00000000-0005-0000-0000-0000844C0000}"/>
    <cellStyle name="Normal 4 5 2 2 2 2 3 2 2 4" xfId="30401" xr:uid="{00000000-0005-0000-0000-0000854C0000}"/>
    <cellStyle name="Normal 4 5 2 2 2 2 3 2 3" xfId="8897" xr:uid="{00000000-0005-0000-0000-0000864C0000}"/>
    <cellStyle name="Normal 4 5 2 2 2 2 3 2 3 2" xfId="21185" xr:uid="{00000000-0005-0000-0000-0000874C0000}"/>
    <cellStyle name="Normal 4 5 2 2 2 2 3 2 3 2 2" xfId="45761" xr:uid="{00000000-0005-0000-0000-0000884C0000}"/>
    <cellStyle name="Normal 4 5 2 2 2 2 3 2 3 3" xfId="33473" xr:uid="{00000000-0005-0000-0000-0000894C0000}"/>
    <cellStyle name="Normal 4 5 2 2 2 2 3 2 4" xfId="15041" xr:uid="{00000000-0005-0000-0000-00008A4C0000}"/>
    <cellStyle name="Normal 4 5 2 2 2 2 3 2 4 2" xfId="39617" xr:uid="{00000000-0005-0000-0000-00008B4C0000}"/>
    <cellStyle name="Normal 4 5 2 2 2 2 3 2 5" xfId="27329" xr:uid="{00000000-0005-0000-0000-00008C4C0000}"/>
    <cellStyle name="Normal 4 5 2 2 2 2 3 3" xfId="4289" xr:uid="{00000000-0005-0000-0000-00008D4C0000}"/>
    <cellStyle name="Normal 4 5 2 2 2 2 3 3 2" xfId="10433" xr:uid="{00000000-0005-0000-0000-00008E4C0000}"/>
    <cellStyle name="Normal 4 5 2 2 2 2 3 3 2 2" xfId="22721" xr:uid="{00000000-0005-0000-0000-00008F4C0000}"/>
    <cellStyle name="Normal 4 5 2 2 2 2 3 3 2 2 2" xfId="47297" xr:uid="{00000000-0005-0000-0000-0000904C0000}"/>
    <cellStyle name="Normal 4 5 2 2 2 2 3 3 2 3" xfId="35009" xr:uid="{00000000-0005-0000-0000-0000914C0000}"/>
    <cellStyle name="Normal 4 5 2 2 2 2 3 3 3" xfId="16577" xr:uid="{00000000-0005-0000-0000-0000924C0000}"/>
    <cellStyle name="Normal 4 5 2 2 2 2 3 3 3 2" xfId="41153" xr:uid="{00000000-0005-0000-0000-0000934C0000}"/>
    <cellStyle name="Normal 4 5 2 2 2 2 3 3 4" xfId="28865" xr:uid="{00000000-0005-0000-0000-0000944C0000}"/>
    <cellStyle name="Normal 4 5 2 2 2 2 3 4" xfId="7361" xr:uid="{00000000-0005-0000-0000-0000954C0000}"/>
    <cellStyle name="Normal 4 5 2 2 2 2 3 4 2" xfId="19649" xr:uid="{00000000-0005-0000-0000-0000964C0000}"/>
    <cellStyle name="Normal 4 5 2 2 2 2 3 4 2 2" xfId="44225" xr:uid="{00000000-0005-0000-0000-0000974C0000}"/>
    <cellStyle name="Normal 4 5 2 2 2 2 3 4 3" xfId="31937" xr:uid="{00000000-0005-0000-0000-0000984C0000}"/>
    <cellStyle name="Normal 4 5 2 2 2 2 3 5" xfId="13505" xr:uid="{00000000-0005-0000-0000-0000994C0000}"/>
    <cellStyle name="Normal 4 5 2 2 2 2 3 5 2" xfId="38081" xr:uid="{00000000-0005-0000-0000-00009A4C0000}"/>
    <cellStyle name="Normal 4 5 2 2 2 2 3 6" xfId="25793" xr:uid="{00000000-0005-0000-0000-00009B4C0000}"/>
    <cellStyle name="Normal 4 5 2 2 2 2 4" xfId="1981" xr:uid="{00000000-0005-0000-0000-00009C4C0000}"/>
    <cellStyle name="Normal 4 5 2 2 2 2 4 2" xfId="5057" xr:uid="{00000000-0005-0000-0000-00009D4C0000}"/>
    <cellStyle name="Normal 4 5 2 2 2 2 4 2 2" xfId="11201" xr:uid="{00000000-0005-0000-0000-00009E4C0000}"/>
    <cellStyle name="Normal 4 5 2 2 2 2 4 2 2 2" xfId="23489" xr:uid="{00000000-0005-0000-0000-00009F4C0000}"/>
    <cellStyle name="Normal 4 5 2 2 2 2 4 2 2 2 2" xfId="48065" xr:uid="{00000000-0005-0000-0000-0000A04C0000}"/>
    <cellStyle name="Normal 4 5 2 2 2 2 4 2 2 3" xfId="35777" xr:uid="{00000000-0005-0000-0000-0000A14C0000}"/>
    <cellStyle name="Normal 4 5 2 2 2 2 4 2 3" xfId="17345" xr:uid="{00000000-0005-0000-0000-0000A24C0000}"/>
    <cellStyle name="Normal 4 5 2 2 2 2 4 2 3 2" xfId="41921" xr:uid="{00000000-0005-0000-0000-0000A34C0000}"/>
    <cellStyle name="Normal 4 5 2 2 2 2 4 2 4" xfId="29633" xr:uid="{00000000-0005-0000-0000-0000A44C0000}"/>
    <cellStyle name="Normal 4 5 2 2 2 2 4 3" xfId="8129" xr:uid="{00000000-0005-0000-0000-0000A54C0000}"/>
    <cellStyle name="Normal 4 5 2 2 2 2 4 3 2" xfId="20417" xr:uid="{00000000-0005-0000-0000-0000A64C0000}"/>
    <cellStyle name="Normal 4 5 2 2 2 2 4 3 2 2" xfId="44993" xr:uid="{00000000-0005-0000-0000-0000A74C0000}"/>
    <cellStyle name="Normal 4 5 2 2 2 2 4 3 3" xfId="32705" xr:uid="{00000000-0005-0000-0000-0000A84C0000}"/>
    <cellStyle name="Normal 4 5 2 2 2 2 4 4" xfId="14273" xr:uid="{00000000-0005-0000-0000-0000A94C0000}"/>
    <cellStyle name="Normal 4 5 2 2 2 2 4 4 2" xfId="38849" xr:uid="{00000000-0005-0000-0000-0000AA4C0000}"/>
    <cellStyle name="Normal 4 5 2 2 2 2 4 5" xfId="26561" xr:uid="{00000000-0005-0000-0000-0000AB4C0000}"/>
    <cellStyle name="Normal 4 5 2 2 2 2 5" xfId="3521" xr:uid="{00000000-0005-0000-0000-0000AC4C0000}"/>
    <cellStyle name="Normal 4 5 2 2 2 2 5 2" xfId="9665" xr:uid="{00000000-0005-0000-0000-0000AD4C0000}"/>
    <cellStyle name="Normal 4 5 2 2 2 2 5 2 2" xfId="21953" xr:uid="{00000000-0005-0000-0000-0000AE4C0000}"/>
    <cellStyle name="Normal 4 5 2 2 2 2 5 2 2 2" xfId="46529" xr:uid="{00000000-0005-0000-0000-0000AF4C0000}"/>
    <cellStyle name="Normal 4 5 2 2 2 2 5 2 3" xfId="34241" xr:uid="{00000000-0005-0000-0000-0000B04C0000}"/>
    <cellStyle name="Normal 4 5 2 2 2 2 5 3" xfId="15809" xr:uid="{00000000-0005-0000-0000-0000B14C0000}"/>
    <cellStyle name="Normal 4 5 2 2 2 2 5 3 2" xfId="40385" xr:uid="{00000000-0005-0000-0000-0000B24C0000}"/>
    <cellStyle name="Normal 4 5 2 2 2 2 5 4" xfId="28097" xr:uid="{00000000-0005-0000-0000-0000B34C0000}"/>
    <cellStyle name="Normal 4 5 2 2 2 2 6" xfId="6593" xr:uid="{00000000-0005-0000-0000-0000B44C0000}"/>
    <cellStyle name="Normal 4 5 2 2 2 2 6 2" xfId="18881" xr:uid="{00000000-0005-0000-0000-0000B54C0000}"/>
    <cellStyle name="Normal 4 5 2 2 2 2 6 2 2" xfId="43457" xr:uid="{00000000-0005-0000-0000-0000B64C0000}"/>
    <cellStyle name="Normal 4 5 2 2 2 2 6 3" xfId="31169" xr:uid="{00000000-0005-0000-0000-0000B74C0000}"/>
    <cellStyle name="Normal 4 5 2 2 2 2 7" xfId="12737" xr:uid="{00000000-0005-0000-0000-0000B84C0000}"/>
    <cellStyle name="Normal 4 5 2 2 2 2 7 2" xfId="37313" xr:uid="{00000000-0005-0000-0000-0000B94C0000}"/>
    <cellStyle name="Normal 4 5 2 2 2 2 8" xfId="25025" xr:uid="{00000000-0005-0000-0000-0000BA4C0000}"/>
    <cellStyle name="Normal 4 5 2 2 2 3" xfId="637" xr:uid="{00000000-0005-0000-0000-0000BB4C0000}"/>
    <cellStyle name="Normal 4 5 2 2 2 3 2" xfId="1405" xr:uid="{00000000-0005-0000-0000-0000BC4C0000}"/>
    <cellStyle name="Normal 4 5 2 2 2 3 2 2" xfId="2941" xr:uid="{00000000-0005-0000-0000-0000BD4C0000}"/>
    <cellStyle name="Normal 4 5 2 2 2 3 2 2 2" xfId="6017" xr:uid="{00000000-0005-0000-0000-0000BE4C0000}"/>
    <cellStyle name="Normal 4 5 2 2 2 3 2 2 2 2" xfId="12161" xr:uid="{00000000-0005-0000-0000-0000BF4C0000}"/>
    <cellStyle name="Normal 4 5 2 2 2 3 2 2 2 2 2" xfId="24449" xr:uid="{00000000-0005-0000-0000-0000C04C0000}"/>
    <cellStyle name="Normal 4 5 2 2 2 3 2 2 2 2 2 2" xfId="49025" xr:uid="{00000000-0005-0000-0000-0000C14C0000}"/>
    <cellStyle name="Normal 4 5 2 2 2 3 2 2 2 2 3" xfId="36737" xr:uid="{00000000-0005-0000-0000-0000C24C0000}"/>
    <cellStyle name="Normal 4 5 2 2 2 3 2 2 2 3" xfId="18305" xr:uid="{00000000-0005-0000-0000-0000C34C0000}"/>
    <cellStyle name="Normal 4 5 2 2 2 3 2 2 2 3 2" xfId="42881" xr:uid="{00000000-0005-0000-0000-0000C44C0000}"/>
    <cellStyle name="Normal 4 5 2 2 2 3 2 2 2 4" xfId="30593" xr:uid="{00000000-0005-0000-0000-0000C54C0000}"/>
    <cellStyle name="Normal 4 5 2 2 2 3 2 2 3" xfId="9089" xr:uid="{00000000-0005-0000-0000-0000C64C0000}"/>
    <cellStyle name="Normal 4 5 2 2 2 3 2 2 3 2" xfId="21377" xr:uid="{00000000-0005-0000-0000-0000C74C0000}"/>
    <cellStyle name="Normal 4 5 2 2 2 3 2 2 3 2 2" xfId="45953" xr:uid="{00000000-0005-0000-0000-0000C84C0000}"/>
    <cellStyle name="Normal 4 5 2 2 2 3 2 2 3 3" xfId="33665" xr:uid="{00000000-0005-0000-0000-0000C94C0000}"/>
    <cellStyle name="Normal 4 5 2 2 2 3 2 2 4" xfId="15233" xr:uid="{00000000-0005-0000-0000-0000CA4C0000}"/>
    <cellStyle name="Normal 4 5 2 2 2 3 2 2 4 2" xfId="39809" xr:uid="{00000000-0005-0000-0000-0000CB4C0000}"/>
    <cellStyle name="Normal 4 5 2 2 2 3 2 2 5" xfId="27521" xr:uid="{00000000-0005-0000-0000-0000CC4C0000}"/>
    <cellStyle name="Normal 4 5 2 2 2 3 2 3" xfId="4481" xr:uid="{00000000-0005-0000-0000-0000CD4C0000}"/>
    <cellStyle name="Normal 4 5 2 2 2 3 2 3 2" xfId="10625" xr:uid="{00000000-0005-0000-0000-0000CE4C0000}"/>
    <cellStyle name="Normal 4 5 2 2 2 3 2 3 2 2" xfId="22913" xr:uid="{00000000-0005-0000-0000-0000CF4C0000}"/>
    <cellStyle name="Normal 4 5 2 2 2 3 2 3 2 2 2" xfId="47489" xr:uid="{00000000-0005-0000-0000-0000D04C0000}"/>
    <cellStyle name="Normal 4 5 2 2 2 3 2 3 2 3" xfId="35201" xr:uid="{00000000-0005-0000-0000-0000D14C0000}"/>
    <cellStyle name="Normal 4 5 2 2 2 3 2 3 3" xfId="16769" xr:uid="{00000000-0005-0000-0000-0000D24C0000}"/>
    <cellStyle name="Normal 4 5 2 2 2 3 2 3 3 2" xfId="41345" xr:uid="{00000000-0005-0000-0000-0000D34C0000}"/>
    <cellStyle name="Normal 4 5 2 2 2 3 2 3 4" xfId="29057" xr:uid="{00000000-0005-0000-0000-0000D44C0000}"/>
    <cellStyle name="Normal 4 5 2 2 2 3 2 4" xfId="7553" xr:uid="{00000000-0005-0000-0000-0000D54C0000}"/>
    <cellStyle name="Normal 4 5 2 2 2 3 2 4 2" xfId="19841" xr:uid="{00000000-0005-0000-0000-0000D64C0000}"/>
    <cellStyle name="Normal 4 5 2 2 2 3 2 4 2 2" xfId="44417" xr:uid="{00000000-0005-0000-0000-0000D74C0000}"/>
    <cellStyle name="Normal 4 5 2 2 2 3 2 4 3" xfId="32129" xr:uid="{00000000-0005-0000-0000-0000D84C0000}"/>
    <cellStyle name="Normal 4 5 2 2 2 3 2 5" xfId="13697" xr:uid="{00000000-0005-0000-0000-0000D94C0000}"/>
    <cellStyle name="Normal 4 5 2 2 2 3 2 5 2" xfId="38273" xr:uid="{00000000-0005-0000-0000-0000DA4C0000}"/>
    <cellStyle name="Normal 4 5 2 2 2 3 2 6" xfId="25985" xr:uid="{00000000-0005-0000-0000-0000DB4C0000}"/>
    <cellStyle name="Normal 4 5 2 2 2 3 3" xfId="2173" xr:uid="{00000000-0005-0000-0000-0000DC4C0000}"/>
    <cellStyle name="Normal 4 5 2 2 2 3 3 2" xfId="5249" xr:uid="{00000000-0005-0000-0000-0000DD4C0000}"/>
    <cellStyle name="Normal 4 5 2 2 2 3 3 2 2" xfId="11393" xr:uid="{00000000-0005-0000-0000-0000DE4C0000}"/>
    <cellStyle name="Normal 4 5 2 2 2 3 3 2 2 2" xfId="23681" xr:uid="{00000000-0005-0000-0000-0000DF4C0000}"/>
    <cellStyle name="Normal 4 5 2 2 2 3 3 2 2 2 2" xfId="48257" xr:uid="{00000000-0005-0000-0000-0000E04C0000}"/>
    <cellStyle name="Normal 4 5 2 2 2 3 3 2 2 3" xfId="35969" xr:uid="{00000000-0005-0000-0000-0000E14C0000}"/>
    <cellStyle name="Normal 4 5 2 2 2 3 3 2 3" xfId="17537" xr:uid="{00000000-0005-0000-0000-0000E24C0000}"/>
    <cellStyle name="Normal 4 5 2 2 2 3 3 2 3 2" xfId="42113" xr:uid="{00000000-0005-0000-0000-0000E34C0000}"/>
    <cellStyle name="Normal 4 5 2 2 2 3 3 2 4" xfId="29825" xr:uid="{00000000-0005-0000-0000-0000E44C0000}"/>
    <cellStyle name="Normal 4 5 2 2 2 3 3 3" xfId="8321" xr:uid="{00000000-0005-0000-0000-0000E54C0000}"/>
    <cellStyle name="Normal 4 5 2 2 2 3 3 3 2" xfId="20609" xr:uid="{00000000-0005-0000-0000-0000E64C0000}"/>
    <cellStyle name="Normal 4 5 2 2 2 3 3 3 2 2" xfId="45185" xr:uid="{00000000-0005-0000-0000-0000E74C0000}"/>
    <cellStyle name="Normal 4 5 2 2 2 3 3 3 3" xfId="32897" xr:uid="{00000000-0005-0000-0000-0000E84C0000}"/>
    <cellStyle name="Normal 4 5 2 2 2 3 3 4" xfId="14465" xr:uid="{00000000-0005-0000-0000-0000E94C0000}"/>
    <cellStyle name="Normal 4 5 2 2 2 3 3 4 2" xfId="39041" xr:uid="{00000000-0005-0000-0000-0000EA4C0000}"/>
    <cellStyle name="Normal 4 5 2 2 2 3 3 5" xfId="26753" xr:uid="{00000000-0005-0000-0000-0000EB4C0000}"/>
    <cellStyle name="Normal 4 5 2 2 2 3 4" xfId="3713" xr:uid="{00000000-0005-0000-0000-0000EC4C0000}"/>
    <cellStyle name="Normal 4 5 2 2 2 3 4 2" xfId="9857" xr:uid="{00000000-0005-0000-0000-0000ED4C0000}"/>
    <cellStyle name="Normal 4 5 2 2 2 3 4 2 2" xfId="22145" xr:uid="{00000000-0005-0000-0000-0000EE4C0000}"/>
    <cellStyle name="Normal 4 5 2 2 2 3 4 2 2 2" xfId="46721" xr:uid="{00000000-0005-0000-0000-0000EF4C0000}"/>
    <cellStyle name="Normal 4 5 2 2 2 3 4 2 3" xfId="34433" xr:uid="{00000000-0005-0000-0000-0000F04C0000}"/>
    <cellStyle name="Normal 4 5 2 2 2 3 4 3" xfId="16001" xr:uid="{00000000-0005-0000-0000-0000F14C0000}"/>
    <cellStyle name="Normal 4 5 2 2 2 3 4 3 2" xfId="40577" xr:uid="{00000000-0005-0000-0000-0000F24C0000}"/>
    <cellStyle name="Normal 4 5 2 2 2 3 4 4" xfId="28289" xr:uid="{00000000-0005-0000-0000-0000F34C0000}"/>
    <cellStyle name="Normal 4 5 2 2 2 3 5" xfId="6785" xr:uid="{00000000-0005-0000-0000-0000F44C0000}"/>
    <cellStyle name="Normal 4 5 2 2 2 3 5 2" xfId="19073" xr:uid="{00000000-0005-0000-0000-0000F54C0000}"/>
    <cellStyle name="Normal 4 5 2 2 2 3 5 2 2" xfId="43649" xr:uid="{00000000-0005-0000-0000-0000F64C0000}"/>
    <cellStyle name="Normal 4 5 2 2 2 3 5 3" xfId="31361" xr:uid="{00000000-0005-0000-0000-0000F74C0000}"/>
    <cellStyle name="Normal 4 5 2 2 2 3 6" xfId="12929" xr:uid="{00000000-0005-0000-0000-0000F84C0000}"/>
    <cellStyle name="Normal 4 5 2 2 2 3 6 2" xfId="37505" xr:uid="{00000000-0005-0000-0000-0000F94C0000}"/>
    <cellStyle name="Normal 4 5 2 2 2 3 7" xfId="25217" xr:uid="{00000000-0005-0000-0000-0000FA4C0000}"/>
    <cellStyle name="Normal 4 5 2 2 2 4" xfId="1021" xr:uid="{00000000-0005-0000-0000-0000FB4C0000}"/>
    <cellStyle name="Normal 4 5 2 2 2 4 2" xfId="2557" xr:uid="{00000000-0005-0000-0000-0000FC4C0000}"/>
    <cellStyle name="Normal 4 5 2 2 2 4 2 2" xfId="5633" xr:uid="{00000000-0005-0000-0000-0000FD4C0000}"/>
    <cellStyle name="Normal 4 5 2 2 2 4 2 2 2" xfId="11777" xr:uid="{00000000-0005-0000-0000-0000FE4C0000}"/>
    <cellStyle name="Normal 4 5 2 2 2 4 2 2 2 2" xfId="24065" xr:uid="{00000000-0005-0000-0000-0000FF4C0000}"/>
    <cellStyle name="Normal 4 5 2 2 2 4 2 2 2 2 2" xfId="48641" xr:uid="{00000000-0005-0000-0000-0000004D0000}"/>
    <cellStyle name="Normal 4 5 2 2 2 4 2 2 2 3" xfId="36353" xr:uid="{00000000-0005-0000-0000-0000014D0000}"/>
    <cellStyle name="Normal 4 5 2 2 2 4 2 2 3" xfId="17921" xr:uid="{00000000-0005-0000-0000-0000024D0000}"/>
    <cellStyle name="Normal 4 5 2 2 2 4 2 2 3 2" xfId="42497" xr:uid="{00000000-0005-0000-0000-0000034D0000}"/>
    <cellStyle name="Normal 4 5 2 2 2 4 2 2 4" xfId="30209" xr:uid="{00000000-0005-0000-0000-0000044D0000}"/>
    <cellStyle name="Normal 4 5 2 2 2 4 2 3" xfId="8705" xr:uid="{00000000-0005-0000-0000-0000054D0000}"/>
    <cellStyle name="Normal 4 5 2 2 2 4 2 3 2" xfId="20993" xr:uid="{00000000-0005-0000-0000-0000064D0000}"/>
    <cellStyle name="Normal 4 5 2 2 2 4 2 3 2 2" xfId="45569" xr:uid="{00000000-0005-0000-0000-0000074D0000}"/>
    <cellStyle name="Normal 4 5 2 2 2 4 2 3 3" xfId="33281" xr:uid="{00000000-0005-0000-0000-0000084D0000}"/>
    <cellStyle name="Normal 4 5 2 2 2 4 2 4" xfId="14849" xr:uid="{00000000-0005-0000-0000-0000094D0000}"/>
    <cellStyle name="Normal 4 5 2 2 2 4 2 4 2" xfId="39425" xr:uid="{00000000-0005-0000-0000-00000A4D0000}"/>
    <cellStyle name="Normal 4 5 2 2 2 4 2 5" xfId="27137" xr:uid="{00000000-0005-0000-0000-00000B4D0000}"/>
    <cellStyle name="Normal 4 5 2 2 2 4 3" xfId="4097" xr:uid="{00000000-0005-0000-0000-00000C4D0000}"/>
    <cellStyle name="Normal 4 5 2 2 2 4 3 2" xfId="10241" xr:uid="{00000000-0005-0000-0000-00000D4D0000}"/>
    <cellStyle name="Normal 4 5 2 2 2 4 3 2 2" xfId="22529" xr:uid="{00000000-0005-0000-0000-00000E4D0000}"/>
    <cellStyle name="Normal 4 5 2 2 2 4 3 2 2 2" xfId="47105" xr:uid="{00000000-0005-0000-0000-00000F4D0000}"/>
    <cellStyle name="Normal 4 5 2 2 2 4 3 2 3" xfId="34817" xr:uid="{00000000-0005-0000-0000-0000104D0000}"/>
    <cellStyle name="Normal 4 5 2 2 2 4 3 3" xfId="16385" xr:uid="{00000000-0005-0000-0000-0000114D0000}"/>
    <cellStyle name="Normal 4 5 2 2 2 4 3 3 2" xfId="40961" xr:uid="{00000000-0005-0000-0000-0000124D0000}"/>
    <cellStyle name="Normal 4 5 2 2 2 4 3 4" xfId="28673" xr:uid="{00000000-0005-0000-0000-0000134D0000}"/>
    <cellStyle name="Normal 4 5 2 2 2 4 4" xfId="7169" xr:uid="{00000000-0005-0000-0000-0000144D0000}"/>
    <cellStyle name="Normal 4 5 2 2 2 4 4 2" xfId="19457" xr:uid="{00000000-0005-0000-0000-0000154D0000}"/>
    <cellStyle name="Normal 4 5 2 2 2 4 4 2 2" xfId="44033" xr:uid="{00000000-0005-0000-0000-0000164D0000}"/>
    <cellStyle name="Normal 4 5 2 2 2 4 4 3" xfId="31745" xr:uid="{00000000-0005-0000-0000-0000174D0000}"/>
    <cellStyle name="Normal 4 5 2 2 2 4 5" xfId="13313" xr:uid="{00000000-0005-0000-0000-0000184D0000}"/>
    <cellStyle name="Normal 4 5 2 2 2 4 5 2" xfId="37889" xr:uid="{00000000-0005-0000-0000-0000194D0000}"/>
    <cellStyle name="Normal 4 5 2 2 2 4 6" xfId="25601" xr:uid="{00000000-0005-0000-0000-00001A4D0000}"/>
    <cellStyle name="Normal 4 5 2 2 2 5" xfId="1789" xr:uid="{00000000-0005-0000-0000-00001B4D0000}"/>
    <cellStyle name="Normal 4 5 2 2 2 5 2" xfId="4865" xr:uid="{00000000-0005-0000-0000-00001C4D0000}"/>
    <cellStyle name="Normal 4 5 2 2 2 5 2 2" xfId="11009" xr:uid="{00000000-0005-0000-0000-00001D4D0000}"/>
    <cellStyle name="Normal 4 5 2 2 2 5 2 2 2" xfId="23297" xr:uid="{00000000-0005-0000-0000-00001E4D0000}"/>
    <cellStyle name="Normal 4 5 2 2 2 5 2 2 2 2" xfId="47873" xr:uid="{00000000-0005-0000-0000-00001F4D0000}"/>
    <cellStyle name="Normal 4 5 2 2 2 5 2 2 3" xfId="35585" xr:uid="{00000000-0005-0000-0000-0000204D0000}"/>
    <cellStyle name="Normal 4 5 2 2 2 5 2 3" xfId="17153" xr:uid="{00000000-0005-0000-0000-0000214D0000}"/>
    <cellStyle name="Normal 4 5 2 2 2 5 2 3 2" xfId="41729" xr:uid="{00000000-0005-0000-0000-0000224D0000}"/>
    <cellStyle name="Normal 4 5 2 2 2 5 2 4" xfId="29441" xr:uid="{00000000-0005-0000-0000-0000234D0000}"/>
    <cellStyle name="Normal 4 5 2 2 2 5 3" xfId="7937" xr:uid="{00000000-0005-0000-0000-0000244D0000}"/>
    <cellStyle name="Normal 4 5 2 2 2 5 3 2" xfId="20225" xr:uid="{00000000-0005-0000-0000-0000254D0000}"/>
    <cellStyle name="Normal 4 5 2 2 2 5 3 2 2" xfId="44801" xr:uid="{00000000-0005-0000-0000-0000264D0000}"/>
    <cellStyle name="Normal 4 5 2 2 2 5 3 3" xfId="32513" xr:uid="{00000000-0005-0000-0000-0000274D0000}"/>
    <cellStyle name="Normal 4 5 2 2 2 5 4" xfId="14081" xr:uid="{00000000-0005-0000-0000-0000284D0000}"/>
    <cellStyle name="Normal 4 5 2 2 2 5 4 2" xfId="38657" xr:uid="{00000000-0005-0000-0000-0000294D0000}"/>
    <cellStyle name="Normal 4 5 2 2 2 5 5" xfId="26369" xr:uid="{00000000-0005-0000-0000-00002A4D0000}"/>
    <cellStyle name="Normal 4 5 2 2 2 6" xfId="3329" xr:uid="{00000000-0005-0000-0000-00002B4D0000}"/>
    <cellStyle name="Normal 4 5 2 2 2 6 2" xfId="9473" xr:uid="{00000000-0005-0000-0000-00002C4D0000}"/>
    <cellStyle name="Normal 4 5 2 2 2 6 2 2" xfId="21761" xr:uid="{00000000-0005-0000-0000-00002D4D0000}"/>
    <cellStyle name="Normal 4 5 2 2 2 6 2 2 2" xfId="46337" xr:uid="{00000000-0005-0000-0000-00002E4D0000}"/>
    <cellStyle name="Normal 4 5 2 2 2 6 2 3" xfId="34049" xr:uid="{00000000-0005-0000-0000-00002F4D0000}"/>
    <cellStyle name="Normal 4 5 2 2 2 6 3" xfId="15617" xr:uid="{00000000-0005-0000-0000-0000304D0000}"/>
    <cellStyle name="Normal 4 5 2 2 2 6 3 2" xfId="40193" xr:uid="{00000000-0005-0000-0000-0000314D0000}"/>
    <cellStyle name="Normal 4 5 2 2 2 6 4" xfId="27905" xr:uid="{00000000-0005-0000-0000-0000324D0000}"/>
    <cellStyle name="Normal 4 5 2 2 2 7" xfId="6401" xr:uid="{00000000-0005-0000-0000-0000334D0000}"/>
    <cellStyle name="Normal 4 5 2 2 2 7 2" xfId="18689" xr:uid="{00000000-0005-0000-0000-0000344D0000}"/>
    <cellStyle name="Normal 4 5 2 2 2 7 2 2" xfId="43265" xr:uid="{00000000-0005-0000-0000-0000354D0000}"/>
    <cellStyle name="Normal 4 5 2 2 2 7 3" xfId="30977" xr:uid="{00000000-0005-0000-0000-0000364D0000}"/>
    <cellStyle name="Normal 4 5 2 2 2 8" xfId="12545" xr:uid="{00000000-0005-0000-0000-0000374D0000}"/>
    <cellStyle name="Normal 4 5 2 2 2 8 2" xfId="37121" xr:uid="{00000000-0005-0000-0000-0000384D0000}"/>
    <cellStyle name="Normal 4 5 2 2 2 9" xfId="24833" xr:uid="{00000000-0005-0000-0000-0000394D0000}"/>
    <cellStyle name="Normal 4 5 2 2 3" xfId="317" xr:uid="{00000000-0005-0000-0000-00003A4D0000}"/>
    <cellStyle name="Normal 4 5 2 2 3 2" xfId="509" xr:uid="{00000000-0005-0000-0000-00003B4D0000}"/>
    <cellStyle name="Normal 4 5 2 2 3 2 2" xfId="893" xr:uid="{00000000-0005-0000-0000-00003C4D0000}"/>
    <cellStyle name="Normal 4 5 2 2 3 2 2 2" xfId="1661" xr:uid="{00000000-0005-0000-0000-00003D4D0000}"/>
    <cellStyle name="Normal 4 5 2 2 3 2 2 2 2" xfId="3197" xr:uid="{00000000-0005-0000-0000-00003E4D0000}"/>
    <cellStyle name="Normal 4 5 2 2 3 2 2 2 2 2" xfId="6273" xr:uid="{00000000-0005-0000-0000-00003F4D0000}"/>
    <cellStyle name="Normal 4 5 2 2 3 2 2 2 2 2 2" xfId="12417" xr:uid="{00000000-0005-0000-0000-0000404D0000}"/>
    <cellStyle name="Normal 4 5 2 2 3 2 2 2 2 2 2 2" xfId="24705" xr:uid="{00000000-0005-0000-0000-0000414D0000}"/>
    <cellStyle name="Normal 4 5 2 2 3 2 2 2 2 2 2 2 2" xfId="49281" xr:uid="{00000000-0005-0000-0000-0000424D0000}"/>
    <cellStyle name="Normal 4 5 2 2 3 2 2 2 2 2 2 3" xfId="36993" xr:uid="{00000000-0005-0000-0000-0000434D0000}"/>
    <cellStyle name="Normal 4 5 2 2 3 2 2 2 2 2 3" xfId="18561" xr:uid="{00000000-0005-0000-0000-0000444D0000}"/>
    <cellStyle name="Normal 4 5 2 2 3 2 2 2 2 2 3 2" xfId="43137" xr:uid="{00000000-0005-0000-0000-0000454D0000}"/>
    <cellStyle name="Normal 4 5 2 2 3 2 2 2 2 2 4" xfId="30849" xr:uid="{00000000-0005-0000-0000-0000464D0000}"/>
    <cellStyle name="Normal 4 5 2 2 3 2 2 2 2 3" xfId="9345" xr:uid="{00000000-0005-0000-0000-0000474D0000}"/>
    <cellStyle name="Normal 4 5 2 2 3 2 2 2 2 3 2" xfId="21633" xr:uid="{00000000-0005-0000-0000-0000484D0000}"/>
    <cellStyle name="Normal 4 5 2 2 3 2 2 2 2 3 2 2" xfId="46209" xr:uid="{00000000-0005-0000-0000-0000494D0000}"/>
    <cellStyle name="Normal 4 5 2 2 3 2 2 2 2 3 3" xfId="33921" xr:uid="{00000000-0005-0000-0000-00004A4D0000}"/>
    <cellStyle name="Normal 4 5 2 2 3 2 2 2 2 4" xfId="15489" xr:uid="{00000000-0005-0000-0000-00004B4D0000}"/>
    <cellStyle name="Normal 4 5 2 2 3 2 2 2 2 4 2" xfId="40065" xr:uid="{00000000-0005-0000-0000-00004C4D0000}"/>
    <cellStyle name="Normal 4 5 2 2 3 2 2 2 2 5" xfId="27777" xr:uid="{00000000-0005-0000-0000-00004D4D0000}"/>
    <cellStyle name="Normal 4 5 2 2 3 2 2 2 3" xfId="4737" xr:uid="{00000000-0005-0000-0000-00004E4D0000}"/>
    <cellStyle name="Normal 4 5 2 2 3 2 2 2 3 2" xfId="10881" xr:uid="{00000000-0005-0000-0000-00004F4D0000}"/>
    <cellStyle name="Normal 4 5 2 2 3 2 2 2 3 2 2" xfId="23169" xr:uid="{00000000-0005-0000-0000-0000504D0000}"/>
    <cellStyle name="Normal 4 5 2 2 3 2 2 2 3 2 2 2" xfId="47745" xr:uid="{00000000-0005-0000-0000-0000514D0000}"/>
    <cellStyle name="Normal 4 5 2 2 3 2 2 2 3 2 3" xfId="35457" xr:uid="{00000000-0005-0000-0000-0000524D0000}"/>
    <cellStyle name="Normal 4 5 2 2 3 2 2 2 3 3" xfId="17025" xr:uid="{00000000-0005-0000-0000-0000534D0000}"/>
    <cellStyle name="Normal 4 5 2 2 3 2 2 2 3 3 2" xfId="41601" xr:uid="{00000000-0005-0000-0000-0000544D0000}"/>
    <cellStyle name="Normal 4 5 2 2 3 2 2 2 3 4" xfId="29313" xr:uid="{00000000-0005-0000-0000-0000554D0000}"/>
    <cellStyle name="Normal 4 5 2 2 3 2 2 2 4" xfId="7809" xr:uid="{00000000-0005-0000-0000-0000564D0000}"/>
    <cellStyle name="Normal 4 5 2 2 3 2 2 2 4 2" xfId="20097" xr:uid="{00000000-0005-0000-0000-0000574D0000}"/>
    <cellStyle name="Normal 4 5 2 2 3 2 2 2 4 2 2" xfId="44673" xr:uid="{00000000-0005-0000-0000-0000584D0000}"/>
    <cellStyle name="Normal 4 5 2 2 3 2 2 2 4 3" xfId="32385" xr:uid="{00000000-0005-0000-0000-0000594D0000}"/>
    <cellStyle name="Normal 4 5 2 2 3 2 2 2 5" xfId="13953" xr:uid="{00000000-0005-0000-0000-00005A4D0000}"/>
    <cellStyle name="Normal 4 5 2 2 3 2 2 2 5 2" xfId="38529" xr:uid="{00000000-0005-0000-0000-00005B4D0000}"/>
    <cellStyle name="Normal 4 5 2 2 3 2 2 2 6" xfId="26241" xr:uid="{00000000-0005-0000-0000-00005C4D0000}"/>
    <cellStyle name="Normal 4 5 2 2 3 2 2 3" xfId="2429" xr:uid="{00000000-0005-0000-0000-00005D4D0000}"/>
    <cellStyle name="Normal 4 5 2 2 3 2 2 3 2" xfId="5505" xr:uid="{00000000-0005-0000-0000-00005E4D0000}"/>
    <cellStyle name="Normal 4 5 2 2 3 2 2 3 2 2" xfId="11649" xr:uid="{00000000-0005-0000-0000-00005F4D0000}"/>
    <cellStyle name="Normal 4 5 2 2 3 2 2 3 2 2 2" xfId="23937" xr:uid="{00000000-0005-0000-0000-0000604D0000}"/>
    <cellStyle name="Normal 4 5 2 2 3 2 2 3 2 2 2 2" xfId="48513" xr:uid="{00000000-0005-0000-0000-0000614D0000}"/>
    <cellStyle name="Normal 4 5 2 2 3 2 2 3 2 2 3" xfId="36225" xr:uid="{00000000-0005-0000-0000-0000624D0000}"/>
    <cellStyle name="Normal 4 5 2 2 3 2 2 3 2 3" xfId="17793" xr:uid="{00000000-0005-0000-0000-0000634D0000}"/>
    <cellStyle name="Normal 4 5 2 2 3 2 2 3 2 3 2" xfId="42369" xr:uid="{00000000-0005-0000-0000-0000644D0000}"/>
    <cellStyle name="Normal 4 5 2 2 3 2 2 3 2 4" xfId="30081" xr:uid="{00000000-0005-0000-0000-0000654D0000}"/>
    <cellStyle name="Normal 4 5 2 2 3 2 2 3 3" xfId="8577" xr:uid="{00000000-0005-0000-0000-0000664D0000}"/>
    <cellStyle name="Normal 4 5 2 2 3 2 2 3 3 2" xfId="20865" xr:uid="{00000000-0005-0000-0000-0000674D0000}"/>
    <cellStyle name="Normal 4 5 2 2 3 2 2 3 3 2 2" xfId="45441" xr:uid="{00000000-0005-0000-0000-0000684D0000}"/>
    <cellStyle name="Normal 4 5 2 2 3 2 2 3 3 3" xfId="33153" xr:uid="{00000000-0005-0000-0000-0000694D0000}"/>
    <cellStyle name="Normal 4 5 2 2 3 2 2 3 4" xfId="14721" xr:uid="{00000000-0005-0000-0000-00006A4D0000}"/>
    <cellStyle name="Normal 4 5 2 2 3 2 2 3 4 2" xfId="39297" xr:uid="{00000000-0005-0000-0000-00006B4D0000}"/>
    <cellStyle name="Normal 4 5 2 2 3 2 2 3 5" xfId="27009" xr:uid="{00000000-0005-0000-0000-00006C4D0000}"/>
    <cellStyle name="Normal 4 5 2 2 3 2 2 4" xfId="3969" xr:uid="{00000000-0005-0000-0000-00006D4D0000}"/>
    <cellStyle name="Normal 4 5 2 2 3 2 2 4 2" xfId="10113" xr:uid="{00000000-0005-0000-0000-00006E4D0000}"/>
    <cellStyle name="Normal 4 5 2 2 3 2 2 4 2 2" xfId="22401" xr:uid="{00000000-0005-0000-0000-00006F4D0000}"/>
    <cellStyle name="Normal 4 5 2 2 3 2 2 4 2 2 2" xfId="46977" xr:uid="{00000000-0005-0000-0000-0000704D0000}"/>
    <cellStyle name="Normal 4 5 2 2 3 2 2 4 2 3" xfId="34689" xr:uid="{00000000-0005-0000-0000-0000714D0000}"/>
    <cellStyle name="Normal 4 5 2 2 3 2 2 4 3" xfId="16257" xr:uid="{00000000-0005-0000-0000-0000724D0000}"/>
    <cellStyle name="Normal 4 5 2 2 3 2 2 4 3 2" xfId="40833" xr:uid="{00000000-0005-0000-0000-0000734D0000}"/>
    <cellStyle name="Normal 4 5 2 2 3 2 2 4 4" xfId="28545" xr:uid="{00000000-0005-0000-0000-0000744D0000}"/>
    <cellStyle name="Normal 4 5 2 2 3 2 2 5" xfId="7041" xr:uid="{00000000-0005-0000-0000-0000754D0000}"/>
    <cellStyle name="Normal 4 5 2 2 3 2 2 5 2" xfId="19329" xr:uid="{00000000-0005-0000-0000-0000764D0000}"/>
    <cellStyle name="Normal 4 5 2 2 3 2 2 5 2 2" xfId="43905" xr:uid="{00000000-0005-0000-0000-0000774D0000}"/>
    <cellStyle name="Normal 4 5 2 2 3 2 2 5 3" xfId="31617" xr:uid="{00000000-0005-0000-0000-0000784D0000}"/>
    <cellStyle name="Normal 4 5 2 2 3 2 2 6" xfId="13185" xr:uid="{00000000-0005-0000-0000-0000794D0000}"/>
    <cellStyle name="Normal 4 5 2 2 3 2 2 6 2" xfId="37761" xr:uid="{00000000-0005-0000-0000-00007A4D0000}"/>
    <cellStyle name="Normal 4 5 2 2 3 2 2 7" xfId="25473" xr:uid="{00000000-0005-0000-0000-00007B4D0000}"/>
    <cellStyle name="Normal 4 5 2 2 3 2 3" xfId="1277" xr:uid="{00000000-0005-0000-0000-00007C4D0000}"/>
    <cellStyle name="Normal 4 5 2 2 3 2 3 2" xfId="2813" xr:uid="{00000000-0005-0000-0000-00007D4D0000}"/>
    <cellStyle name="Normal 4 5 2 2 3 2 3 2 2" xfId="5889" xr:uid="{00000000-0005-0000-0000-00007E4D0000}"/>
    <cellStyle name="Normal 4 5 2 2 3 2 3 2 2 2" xfId="12033" xr:uid="{00000000-0005-0000-0000-00007F4D0000}"/>
    <cellStyle name="Normal 4 5 2 2 3 2 3 2 2 2 2" xfId="24321" xr:uid="{00000000-0005-0000-0000-0000804D0000}"/>
    <cellStyle name="Normal 4 5 2 2 3 2 3 2 2 2 2 2" xfId="48897" xr:uid="{00000000-0005-0000-0000-0000814D0000}"/>
    <cellStyle name="Normal 4 5 2 2 3 2 3 2 2 2 3" xfId="36609" xr:uid="{00000000-0005-0000-0000-0000824D0000}"/>
    <cellStyle name="Normal 4 5 2 2 3 2 3 2 2 3" xfId="18177" xr:uid="{00000000-0005-0000-0000-0000834D0000}"/>
    <cellStyle name="Normal 4 5 2 2 3 2 3 2 2 3 2" xfId="42753" xr:uid="{00000000-0005-0000-0000-0000844D0000}"/>
    <cellStyle name="Normal 4 5 2 2 3 2 3 2 2 4" xfId="30465" xr:uid="{00000000-0005-0000-0000-0000854D0000}"/>
    <cellStyle name="Normal 4 5 2 2 3 2 3 2 3" xfId="8961" xr:uid="{00000000-0005-0000-0000-0000864D0000}"/>
    <cellStyle name="Normal 4 5 2 2 3 2 3 2 3 2" xfId="21249" xr:uid="{00000000-0005-0000-0000-0000874D0000}"/>
    <cellStyle name="Normal 4 5 2 2 3 2 3 2 3 2 2" xfId="45825" xr:uid="{00000000-0005-0000-0000-0000884D0000}"/>
    <cellStyle name="Normal 4 5 2 2 3 2 3 2 3 3" xfId="33537" xr:uid="{00000000-0005-0000-0000-0000894D0000}"/>
    <cellStyle name="Normal 4 5 2 2 3 2 3 2 4" xfId="15105" xr:uid="{00000000-0005-0000-0000-00008A4D0000}"/>
    <cellStyle name="Normal 4 5 2 2 3 2 3 2 4 2" xfId="39681" xr:uid="{00000000-0005-0000-0000-00008B4D0000}"/>
    <cellStyle name="Normal 4 5 2 2 3 2 3 2 5" xfId="27393" xr:uid="{00000000-0005-0000-0000-00008C4D0000}"/>
    <cellStyle name="Normal 4 5 2 2 3 2 3 3" xfId="4353" xr:uid="{00000000-0005-0000-0000-00008D4D0000}"/>
    <cellStyle name="Normal 4 5 2 2 3 2 3 3 2" xfId="10497" xr:uid="{00000000-0005-0000-0000-00008E4D0000}"/>
    <cellStyle name="Normal 4 5 2 2 3 2 3 3 2 2" xfId="22785" xr:uid="{00000000-0005-0000-0000-00008F4D0000}"/>
    <cellStyle name="Normal 4 5 2 2 3 2 3 3 2 2 2" xfId="47361" xr:uid="{00000000-0005-0000-0000-0000904D0000}"/>
    <cellStyle name="Normal 4 5 2 2 3 2 3 3 2 3" xfId="35073" xr:uid="{00000000-0005-0000-0000-0000914D0000}"/>
    <cellStyle name="Normal 4 5 2 2 3 2 3 3 3" xfId="16641" xr:uid="{00000000-0005-0000-0000-0000924D0000}"/>
    <cellStyle name="Normal 4 5 2 2 3 2 3 3 3 2" xfId="41217" xr:uid="{00000000-0005-0000-0000-0000934D0000}"/>
    <cellStyle name="Normal 4 5 2 2 3 2 3 3 4" xfId="28929" xr:uid="{00000000-0005-0000-0000-0000944D0000}"/>
    <cellStyle name="Normal 4 5 2 2 3 2 3 4" xfId="7425" xr:uid="{00000000-0005-0000-0000-0000954D0000}"/>
    <cellStyle name="Normal 4 5 2 2 3 2 3 4 2" xfId="19713" xr:uid="{00000000-0005-0000-0000-0000964D0000}"/>
    <cellStyle name="Normal 4 5 2 2 3 2 3 4 2 2" xfId="44289" xr:uid="{00000000-0005-0000-0000-0000974D0000}"/>
    <cellStyle name="Normal 4 5 2 2 3 2 3 4 3" xfId="32001" xr:uid="{00000000-0005-0000-0000-0000984D0000}"/>
    <cellStyle name="Normal 4 5 2 2 3 2 3 5" xfId="13569" xr:uid="{00000000-0005-0000-0000-0000994D0000}"/>
    <cellStyle name="Normal 4 5 2 2 3 2 3 5 2" xfId="38145" xr:uid="{00000000-0005-0000-0000-00009A4D0000}"/>
    <cellStyle name="Normal 4 5 2 2 3 2 3 6" xfId="25857" xr:uid="{00000000-0005-0000-0000-00009B4D0000}"/>
    <cellStyle name="Normal 4 5 2 2 3 2 4" xfId="2045" xr:uid="{00000000-0005-0000-0000-00009C4D0000}"/>
    <cellStyle name="Normal 4 5 2 2 3 2 4 2" xfId="5121" xr:uid="{00000000-0005-0000-0000-00009D4D0000}"/>
    <cellStyle name="Normal 4 5 2 2 3 2 4 2 2" xfId="11265" xr:uid="{00000000-0005-0000-0000-00009E4D0000}"/>
    <cellStyle name="Normal 4 5 2 2 3 2 4 2 2 2" xfId="23553" xr:uid="{00000000-0005-0000-0000-00009F4D0000}"/>
    <cellStyle name="Normal 4 5 2 2 3 2 4 2 2 2 2" xfId="48129" xr:uid="{00000000-0005-0000-0000-0000A04D0000}"/>
    <cellStyle name="Normal 4 5 2 2 3 2 4 2 2 3" xfId="35841" xr:uid="{00000000-0005-0000-0000-0000A14D0000}"/>
    <cellStyle name="Normal 4 5 2 2 3 2 4 2 3" xfId="17409" xr:uid="{00000000-0005-0000-0000-0000A24D0000}"/>
    <cellStyle name="Normal 4 5 2 2 3 2 4 2 3 2" xfId="41985" xr:uid="{00000000-0005-0000-0000-0000A34D0000}"/>
    <cellStyle name="Normal 4 5 2 2 3 2 4 2 4" xfId="29697" xr:uid="{00000000-0005-0000-0000-0000A44D0000}"/>
    <cellStyle name="Normal 4 5 2 2 3 2 4 3" xfId="8193" xr:uid="{00000000-0005-0000-0000-0000A54D0000}"/>
    <cellStyle name="Normal 4 5 2 2 3 2 4 3 2" xfId="20481" xr:uid="{00000000-0005-0000-0000-0000A64D0000}"/>
    <cellStyle name="Normal 4 5 2 2 3 2 4 3 2 2" xfId="45057" xr:uid="{00000000-0005-0000-0000-0000A74D0000}"/>
    <cellStyle name="Normal 4 5 2 2 3 2 4 3 3" xfId="32769" xr:uid="{00000000-0005-0000-0000-0000A84D0000}"/>
    <cellStyle name="Normal 4 5 2 2 3 2 4 4" xfId="14337" xr:uid="{00000000-0005-0000-0000-0000A94D0000}"/>
    <cellStyle name="Normal 4 5 2 2 3 2 4 4 2" xfId="38913" xr:uid="{00000000-0005-0000-0000-0000AA4D0000}"/>
    <cellStyle name="Normal 4 5 2 2 3 2 4 5" xfId="26625" xr:uid="{00000000-0005-0000-0000-0000AB4D0000}"/>
    <cellStyle name="Normal 4 5 2 2 3 2 5" xfId="3585" xr:uid="{00000000-0005-0000-0000-0000AC4D0000}"/>
    <cellStyle name="Normal 4 5 2 2 3 2 5 2" xfId="9729" xr:uid="{00000000-0005-0000-0000-0000AD4D0000}"/>
    <cellStyle name="Normal 4 5 2 2 3 2 5 2 2" xfId="22017" xr:uid="{00000000-0005-0000-0000-0000AE4D0000}"/>
    <cellStyle name="Normal 4 5 2 2 3 2 5 2 2 2" xfId="46593" xr:uid="{00000000-0005-0000-0000-0000AF4D0000}"/>
    <cellStyle name="Normal 4 5 2 2 3 2 5 2 3" xfId="34305" xr:uid="{00000000-0005-0000-0000-0000B04D0000}"/>
    <cellStyle name="Normal 4 5 2 2 3 2 5 3" xfId="15873" xr:uid="{00000000-0005-0000-0000-0000B14D0000}"/>
    <cellStyle name="Normal 4 5 2 2 3 2 5 3 2" xfId="40449" xr:uid="{00000000-0005-0000-0000-0000B24D0000}"/>
    <cellStyle name="Normal 4 5 2 2 3 2 5 4" xfId="28161" xr:uid="{00000000-0005-0000-0000-0000B34D0000}"/>
    <cellStyle name="Normal 4 5 2 2 3 2 6" xfId="6657" xr:uid="{00000000-0005-0000-0000-0000B44D0000}"/>
    <cellStyle name="Normal 4 5 2 2 3 2 6 2" xfId="18945" xr:uid="{00000000-0005-0000-0000-0000B54D0000}"/>
    <cellStyle name="Normal 4 5 2 2 3 2 6 2 2" xfId="43521" xr:uid="{00000000-0005-0000-0000-0000B64D0000}"/>
    <cellStyle name="Normal 4 5 2 2 3 2 6 3" xfId="31233" xr:uid="{00000000-0005-0000-0000-0000B74D0000}"/>
    <cellStyle name="Normal 4 5 2 2 3 2 7" xfId="12801" xr:uid="{00000000-0005-0000-0000-0000B84D0000}"/>
    <cellStyle name="Normal 4 5 2 2 3 2 7 2" xfId="37377" xr:uid="{00000000-0005-0000-0000-0000B94D0000}"/>
    <cellStyle name="Normal 4 5 2 2 3 2 8" xfId="25089" xr:uid="{00000000-0005-0000-0000-0000BA4D0000}"/>
    <cellStyle name="Normal 4 5 2 2 3 3" xfId="701" xr:uid="{00000000-0005-0000-0000-0000BB4D0000}"/>
    <cellStyle name="Normal 4 5 2 2 3 3 2" xfId="1469" xr:uid="{00000000-0005-0000-0000-0000BC4D0000}"/>
    <cellStyle name="Normal 4 5 2 2 3 3 2 2" xfId="3005" xr:uid="{00000000-0005-0000-0000-0000BD4D0000}"/>
    <cellStyle name="Normal 4 5 2 2 3 3 2 2 2" xfId="6081" xr:uid="{00000000-0005-0000-0000-0000BE4D0000}"/>
    <cellStyle name="Normal 4 5 2 2 3 3 2 2 2 2" xfId="12225" xr:uid="{00000000-0005-0000-0000-0000BF4D0000}"/>
    <cellStyle name="Normal 4 5 2 2 3 3 2 2 2 2 2" xfId="24513" xr:uid="{00000000-0005-0000-0000-0000C04D0000}"/>
    <cellStyle name="Normal 4 5 2 2 3 3 2 2 2 2 2 2" xfId="49089" xr:uid="{00000000-0005-0000-0000-0000C14D0000}"/>
    <cellStyle name="Normal 4 5 2 2 3 3 2 2 2 2 3" xfId="36801" xr:uid="{00000000-0005-0000-0000-0000C24D0000}"/>
    <cellStyle name="Normal 4 5 2 2 3 3 2 2 2 3" xfId="18369" xr:uid="{00000000-0005-0000-0000-0000C34D0000}"/>
    <cellStyle name="Normal 4 5 2 2 3 3 2 2 2 3 2" xfId="42945" xr:uid="{00000000-0005-0000-0000-0000C44D0000}"/>
    <cellStyle name="Normal 4 5 2 2 3 3 2 2 2 4" xfId="30657" xr:uid="{00000000-0005-0000-0000-0000C54D0000}"/>
    <cellStyle name="Normal 4 5 2 2 3 3 2 2 3" xfId="9153" xr:uid="{00000000-0005-0000-0000-0000C64D0000}"/>
    <cellStyle name="Normal 4 5 2 2 3 3 2 2 3 2" xfId="21441" xr:uid="{00000000-0005-0000-0000-0000C74D0000}"/>
    <cellStyle name="Normal 4 5 2 2 3 3 2 2 3 2 2" xfId="46017" xr:uid="{00000000-0005-0000-0000-0000C84D0000}"/>
    <cellStyle name="Normal 4 5 2 2 3 3 2 2 3 3" xfId="33729" xr:uid="{00000000-0005-0000-0000-0000C94D0000}"/>
    <cellStyle name="Normal 4 5 2 2 3 3 2 2 4" xfId="15297" xr:uid="{00000000-0005-0000-0000-0000CA4D0000}"/>
    <cellStyle name="Normal 4 5 2 2 3 3 2 2 4 2" xfId="39873" xr:uid="{00000000-0005-0000-0000-0000CB4D0000}"/>
    <cellStyle name="Normal 4 5 2 2 3 3 2 2 5" xfId="27585" xr:uid="{00000000-0005-0000-0000-0000CC4D0000}"/>
    <cellStyle name="Normal 4 5 2 2 3 3 2 3" xfId="4545" xr:uid="{00000000-0005-0000-0000-0000CD4D0000}"/>
    <cellStyle name="Normal 4 5 2 2 3 3 2 3 2" xfId="10689" xr:uid="{00000000-0005-0000-0000-0000CE4D0000}"/>
    <cellStyle name="Normal 4 5 2 2 3 3 2 3 2 2" xfId="22977" xr:uid="{00000000-0005-0000-0000-0000CF4D0000}"/>
    <cellStyle name="Normal 4 5 2 2 3 3 2 3 2 2 2" xfId="47553" xr:uid="{00000000-0005-0000-0000-0000D04D0000}"/>
    <cellStyle name="Normal 4 5 2 2 3 3 2 3 2 3" xfId="35265" xr:uid="{00000000-0005-0000-0000-0000D14D0000}"/>
    <cellStyle name="Normal 4 5 2 2 3 3 2 3 3" xfId="16833" xr:uid="{00000000-0005-0000-0000-0000D24D0000}"/>
    <cellStyle name="Normal 4 5 2 2 3 3 2 3 3 2" xfId="41409" xr:uid="{00000000-0005-0000-0000-0000D34D0000}"/>
    <cellStyle name="Normal 4 5 2 2 3 3 2 3 4" xfId="29121" xr:uid="{00000000-0005-0000-0000-0000D44D0000}"/>
    <cellStyle name="Normal 4 5 2 2 3 3 2 4" xfId="7617" xr:uid="{00000000-0005-0000-0000-0000D54D0000}"/>
    <cellStyle name="Normal 4 5 2 2 3 3 2 4 2" xfId="19905" xr:uid="{00000000-0005-0000-0000-0000D64D0000}"/>
    <cellStyle name="Normal 4 5 2 2 3 3 2 4 2 2" xfId="44481" xr:uid="{00000000-0005-0000-0000-0000D74D0000}"/>
    <cellStyle name="Normal 4 5 2 2 3 3 2 4 3" xfId="32193" xr:uid="{00000000-0005-0000-0000-0000D84D0000}"/>
    <cellStyle name="Normal 4 5 2 2 3 3 2 5" xfId="13761" xr:uid="{00000000-0005-0000-0000-0000D94D0000}"/>
    <cellStyle name="Normal 4 5 2 2 3 3 2 5 2" xfId="38337" xr:uid="{00000000-0005-0000-0000-0000DA4D0000}"/>
    <cellStyle name="Normal 4 5 2 2 3 3 2 6" xfId="26049" xr:uid="{00000000-0005-0000-0000-0000DB4D0000}"/>
    <cellStyle name="Normal 4 5 2 2 3 3 3" xfId="2237" xr:uid="{00000000-0005-0000-0000-0000DC4D0000}"/>
    <cellStyle name="Normal 4 5 2 2 3 3 3 2" xfId="5313" xr:uid="{00000000-0005-0000-0000-0000DD4D0000}"/>
    <cellStyle name="Normal 4 5 2 2 3 3 3 2 2" xfId="11457" xr:uid="{00000000-0005-0000-0000-0000DE4D0000}"/>
    <cellStyle name="Normal 4 5 2 2 3 3 3 2 2 2" xfId="23745" xr:uid="{00000000-0005-0000-0000-0000DF4D0000}"/>
    <cellStyle name="Normal 4 5 2 2 3 3 3 2 2 2 2" xfId="48321" xr:uid="{00000000-0005-0000-0000-0000E04D0000}"/>
    <cellStyle name="Normal 4 5 2 2 3 3 3 2 2 3" xfId="36033" xr:uid="{00000000-0005-0000-0000-0000E14D0000}"/>
    <cellStyle name="Normal 4 5 2 2 3 3 3 2 3" xfId="17601" xr:uid="{00000000-0005-0000-0000-0000E24D0000}"/>
    <cellStyle name="Normal 4 5 2 2 3 3 3 2 3 2" xfId="42177" xr:uid="{00000000-0005-0000-0000-0000E34D0000}"/>
    <cellStyle name="Normal 4 5 2 2 3 3 3 2 4" xfId="29889" xr:uid="{00000000-0005-0000-0000-0000E44D0000}"/>
    <cellStyle name="Normal 4 5 2 2 3 3 3 3" xfId="8385" xr:uid="{00000000-0005-0000-0000-0000E54D0000}"/>
    <cellStyle name="Normal 4 5 2 2 3 3 3 3 2" xfId="20673" xr:uid="{00000000-0005-0000-0000-0000E64D0000}"/>
    <cellStyle name="Normal 4 5 2 2 3 3 3 3 2 2" xfId="45249" xr:uid="{00000000-0005-0000-0000-0000E74D0000}"/>
    <cellStyle name="Normal 4 5 2 2 3 3 3 3 3" xfId="32961" xr:uid="{00000000-0005-0000-0000-0000E84D0000}"/>
    <cellStyle name="Normal 4 5 2 2 3 3 3 4" xfId="14529" xr:uid="{00000000-0005-0000-0000-0000E94D0000}"/>
    <cellStyle name="Normal 4 5 2 2 3 3 3 4 2" xfId="39105" xr:uid="{00000000-0005-0000-0000-0000EA4D0000}"/>
    <cellStyle name="Normal 4 5 2 2 3 3 3 5" xfId="26817" xr:uid="{00000000-0005-0000-0000-0000EB4D0000}"/>
    <cellStyle name="Normal 4 5 2 2 3 3 4" xfId="3777" xr:uid="{00000000-0005-0000-0000-0000EC4D0000}"/>
    <cellStyle name="Normal 4 5 2 2 3 3 4 2" xfId="9921" xr:uid="{00000000-0005-0000-0000-0000ED4D0000}"/>
    <cellStyle name="Normal 4 5 2 2 3 3 4 2 2" xfId="22209" xr:uid="{00000000-0005-0000-0000-0000EE4D0000}"/>
    <cellStyle name="Normal 4 5 2 2 3 3 4 2 2 2" xfId="46785" xr:uid="{00000000-0005-0000-0000-0000EF4D0000}"/>
    <cellStyle name="Normal 4 5 2 2 3 3 4 2 3" xfId="34497" xr:uid="{00000000-0005-0000-0000-0000F04D0000}"/>
    <cellStyle name="Normal 4 5 2 2 3 3 4 3" xfId="16065" xr:uid="{00000000-0005-0000-0000-0000F14D0000}"/>
    <cellStyle name="Normal 4 5 2 2 3 3 4 3 2" xfId="40641" xr:uid="{00000000-0005-0000-0000-0000F24D0000}"/>
    <cellStyle name="Normal 4 5 2 2 3 3 4 4" xfId="28353" xr:uid="{00000000-0005-0000-0000-0000F34D0000}"/>
    <cellStyle name="Normal 4 5 2 2 3 3 5" xfId="6849" xr:uid="{00000000-0005-0000-0000-0000F44D0000}"/>
    <cellStyle name="Normal 4 5 2 2 3 3 5 2" xfId="19137" xr:uid="{00000000-0005-0000-0000-0000F54D0000}"/>
    <cellStyle name="Normal 4 5 2 2 3 3 5 2 2" xfId="43713" xr:uid="{00000000-0005-0000-0000-0000F64D0000}"/>
    <cellStyle name="Normal 4 5 2 2 3 3 5 3" xfId="31425" xr:uid="{00000000-0005-0000-0000-0000F74D0000}"/>
    <cellStyle name="Normal 4 5 2 2 3 3 6" xfId="12993" xr:uid="{00000000-0005-0000-0000-0000F84D0000}"/>
    <cellStyle name="Normal 4 5 2 2 3 3 6 2" xfId="37569" xr:uid="{00000000-0005-0000-0000-0000F94D0000}"/>
    <cellStyle name="Normal 4 5 2 2 3 3 7" xfId="25281" xr:uid="{00000000-0005-0000-0000-0000FA4D0000}"/>
    <cellStyle name="Normal 4 5 2 2 3 4" xfId="1085" xr:uid="{00000000-0005-0000-0000-0000FB4D0000}"/>
    <cellStyle name="Normal 4 5 2 2 3 4 2" xfId="2621" xr:uid="{00000000-0005-0000-0000-0000FC4D0000}"/>
    <cellStyle name="Normal 4 5 2 2 3 4 2 2" xfId="5697" xr:uid="{00000000-0005-0000-0000-0000FD4D0000}"/>
    <cellStyle name="Normal 4 5 2 2 3 4 2 2 2" xfId="11841" xr:uid="{00000000-0005-0000-0000-0000FE4D0000}"/>
    <cellStyle name="Normal 4 5 2 2 3 4 2 2 2 2" xfId="24129" xr:uid="{00000000-0005-0000-0000-0000FF4D0000}"/>
    <cellStyle name="Normal 4 5 2 2 3 4 2 2 2 2 2" xfId="48705" xr:uid="{00000000-0005-0000-0000-0000004E0000}"/>
    <cellStyle name="Normal 4 5 2 2 3 4 2 2 2 3" xfId="36417" xr:uid="{00000000-0005-0000-0000-0000014E0000}"/>
    <cellStyle name="Normal 4 5 2 2 3 4 2 2 3" xfId="17985" xr:uid="{00000000-0005-0000-0000-0000024E0000}"/>
    <cellStyle name="Normal 4 5 2 2 3 4 2 2 3 2" xfId="42561" xr:uid="{00000000-0005-0000-0000-0000034E0000}"/>
    <cellStyle name="Normal 4 5 2 2 3 4 2 2 4" xfId="30273" xr:uid="{00000000-0005-0000-0000-0000044E0000}"/>
    <cellStyle name="Normal 4 5 2 2 3 4 2 3" xfId="8769" xr:uid="{00000000-0005-0000-0000-0000054E0000}"/>
    <cellStyle name="Normal 4 5 2 2 3 4 2 3 2" xfId="21057" xr:uid="{00000000-0005-0000-0000-0000064E0000}"/>
    <cellStyle name="Normal 4 5 2 2 3 4 2 3 2 2" xfId="45633" xr:uid="{00000000-0005-0000-0000-0000074E0000}"/>
    <cellStyle name="Normal 4 5 2 2 3 4 2 3 3" xfId="33345" xr:uid="{00000000-0005-0000-0000-0000084E0000}"/>
    <cellStyle name="Normal 4 5 2 2 3 4 2 4" xfId="14913" xr:uid="{00000000-0005-0000-0000-0000094E0000}"/>
    <cellStyle name="Normal 4 5 2 2 3 4 2 4 2" xfId="39489" xr:uid="{00000000-0005-0000-0000-00000A4E0000}"/>
    <cellStyle name="Normal 4 5 2 2 3 4 2 5" xfId="27201" xr:uid="{00000000-0005-0000-0000-00000B4E0000}"/>
    <cellStyle name="Normal 4 5 2 2 3 4 3" xfId="4161" xr:uid="{00000000-0005-0000-0000-00000C4E0000}"/>
    <cellStyle name="Normal 4 5 2 2 3 4 3 2" xfId="10305" xr:uid="{00000000-0005-0000-0000-00000D4E0000}"/>
    <cellStyle name="Normal 4 5 2 2 3 4 3 2 2" xfId="22593" xr:uid="{00000000-0005-0000-0000-00000E4E0000}"/>
    <cellStyle name="Normal 4 5 2 2 3 4 3 2 2 2" xfId="47169" xr:uid="{00000000-0005-0000-0000-00000F4E0000}"/>
    <cellStyle name="Normal 4 5 2 2 3 4 3 2 3" xfId="34881" xr:uid="{00000000-0005-0000-0000-0000104E0000}"/>
    <cellStyle name="Normal 4 5 2 2 3 4 3 3" xfId="16449" xr:uid="{00000000-0005-0000-0000-0000114E0000}"/>
    <cellStyle name="Normal 4 5 2 2 3 4 3 3 2" xfId="41025" xr:uid="{00000000-0005-0000-0000-0000124E0000}"/>
    <cellStyle name="Normal 4 5 2 2 3 4 3 4" xfId="28737" xr:uid="{00000000-0005-0000-0000-0000134E0000}"/>
    <cellStyle name="Normal 4 5 2 2 3 4 4" xfId="7233" xr:uid="{00000000-0005-0000-0000-0000144E0000}"/>
    <cellStyle name="Normal 4 5 2 2 3 4 4 2" xfId="19521" xr:uid="{00000000-0005-0000-0000-0000154E0000}"/>
    <cellStyle name="Normal 4 5 2 2 3 4 4 2 2" xfId="44097" xr:uid="{00000000-0005-0000-0000-0000164E0000}"/>
    <cellStyle name="Normal 4 5 2 2 3 4 4 3" xfId="31809" xr:uid="{00000000-0005-0000-0000-0000174E0000}"/>
    <cellStyle name="Normal 4 5 2 2 3 4 5" xfId="13377" xr:uid="{00000000-0005-0000-0000-0000184E0000}"/>
    <cellStyle name="Normal 4 5 2 2 3 4 5 2" xfId="37953" xr:uid="{00000000-0005-0000-0000-0000194E0000}"/>
    <cellStyle name="Normal 4 5 2 2 3 4 6" xfId="25665" xr:uid="{00000000-0005-0000-0000-00001A4E0000}"/>
    <cellStyle name="Normal 4 5 2 2 3 5" xfId="1853" xr:uid="{00000000-0005-0000-0000-00001B4E0000}"/>
    <cellStyle name="Normal 4 5 2 2 3 5 2" xfId="4929" xr:uid="{00000000-0005-0000-0000-00001C4E0000}"/>
    <cellStyle name="Normal 4 5 2 2 3 5 2 2" xfId="11073" xr:uid="{00000000-0005-0000-0000-00001D4E0000}"/>
    <cellStyle name="Normal 4 5 2 2 3 5 2 2 2" xfId="23361" xr:uid="{00000000-0005-0000-0000-00001E4E0000}"/>
    <cellStyle name="Normal 4 5 2 2 3 5 2 2 2 2" xfId="47937" xr:uid="{00000000-0005-0000-0000-00001F4E0000}"/>
    <cellStyle name="Normal 4 5 2 2 3 5 2 2 3" xfId="35649" xr:uid="{00000000-0005-0000-0000-0000204E0000}"/>
    <cellStyle name="Normal 4 5 2 2 3 5 2 3" xfId="17217" xr:uid="{00000000-0005-0000-0000-0000214E0000}"/>
    <cellStyle name="Normal 4 5 2 2 3 5 2 3 2" xfId="41793" xr:uid="{00000000-0005-0000-0000-0000224E0000}"/>
    <cellStyle name="Normal 4 5 2 2 3 5 2 4" xfId="29505" xr:uid="{00000000-0005-0000-0000-0000234E0000}"/>
    <cellStyle name="Normal 4 5 2 2 3 5 3" xfId="8001" xr:uid="{00000000-0005-0000-0000-0000244E0000}"/>
    <cellStyle name="Normal 4 5 2 2 3 5 3 2" xfId="20289" xr:uid="{00000000-0005-0000-0000-0000254E0000}"/>
    <cellStyle name="Normal 4 5 2 2 3 5 3 2 2" xfId="44865" xr:uid="{00000000-0005-0000-0000-0000264E0000}"/>
    <cellStyle name="Normal 4 5 2 2 3 5 3 3" xfId="32577" xr:uid="{00000000-0005-0000-0000-0000274E0000}"/>
    <cellStyle name="Normal 4 5 2 2 3 5 4" xfId="14145" xr:uid="{00000000-0005-0000-0000-0000284E0000}"/>
    <cellStyle name="Normal 4 5 2 2 3 5 4 2" xfId="38721" xr:uid="{00000000-0005-0000-0000-0000294E0000}"/>
    <cellStyle name="Normal 4 5 2 2 3 5 5" xfId="26433" xr:uid="{00000000-0005-0000-0000-00002A4E0000}"/>
    <cellStyle name="Normal 4 5 2 2 3 6" xfId="3393" xr:uid="{00000000-0005-0000-0000-00002B4E0000}"/>
    <cellStyle name="Normal 4 5 2 2 3 6 2" xfId="9537" xr:uid="{00000000-0005-0000-0000-00002C4E0000}"/>
    <cellStyle name="Normal 4 5 2 2 3 6 2 2" xfId="21825" xr:uid="{00000000-0005-0000-0000-00002D4E0000}"/>
    <cellStyle name="Normal 4 5 2 2 3 6 2 2 2" xfId="46401" xr:uid="{00000000-0005-0000-0000-00002E4E0000}"/>
    <cellStyle name="Normal 4 5 2 2 3 6 2 3" xfId="34113" xr:uid="{00000000-0005-0000-0000-00002F4E0000}"/>
    <cellStyle name="Normal 4 5 2 2 3 6 3" xfId="15681" xr:uid="{00000000-0005-0000-0000-0000304E0000}"/>
    <cellStyle name="Normal 4 5 2 2 3 6 3 2" xfId="40257" xr:uid="{00000000-0005-0000-0000-0000314E0000}"/>
    <cellStyle name="Normal 4 5 2 2 3 6 4" xfId="27969" xr:uid="{00000000-0005-0000-0000-0000324E0000}"/>
    <cellStyle name="Normal 4 5 2 2 3 7" xfId="6465" xr:uid="{00000000-0005-0000-0000-0000334E0000}"/>
    <cellStyle name="Normal 4 5 2 2 3 7 2" xfId="18753" xr:uid="{00000000-0005-0000-0000-0000344E0000}"/>
    <cellStyle name="Normal 4 5 2 2 3 7 2 2" xfId="43329" xr:uid="{00000000-0005-0000-0000-0000354E0000}"/>
    <cellStyle name="Normal 4 5 2 2 3 7 3" xfId="31041" xr:uid="{00000000-0005-0000-0000-0000364E0000}"/>
    <cellStyle name="Normal 4 5 2 2 3 8" xfId="12609" xr:uid="{00000000-0005-0000-0000-0000374E0000}"/>
    <cellStyle name="Normal 4 5 2 2 3 8 2" xfId="37185" xr:uid="{00000000-0005-0000-0000-0000384E0000}"/>
    <cellStyle name="Normal 4 5 2 2 3 9" xfId="24897" xr:uid="{00000000-0005-0000-0000-0000394E0000}"/>
    <cellStyle name="Normal 4 5 2 2 4" xfId="381" xr:uid="{00000000-0005-0000-0000-00003A4E0000}"/>
    <cellStyle name="Normal 4 5 2 2 4 2" xfId="765" xr:uid="{00000000-0005-0000-0000-00003B4E0000}"/>
    <cellStyle name="Normal 4 5 2 2 4 2 2" xfId="1533" xr:uid="{00000000-0005-0000-0000-00003C4E0000}"/>
    <cellStyle name="Normal 4 5 2 2 4 2 2 2" xfId="3069" xr:uid="{00000000-0005-0000-0000-00003D4E0000}"/>
    <cellStyle name="Normal 4 5 2 2 4 2 2 2 2" xfId="6145" xr:uid="{00000000-0005-0000-0000-00003E4E0000}"/>
    <cellStyle name="Normal 4 5 2 2 4 2 2 2 2 2" xfId="12289" xr:uid="{00000000-0005-0000-0000-00003F4E0000}"/>
    <cellStyle name="Normal 4 5 2 2 4 2 2 2 2 2 2" xfId="24577" xr:uid="{00000000-0005-0000-0000-0000404E0000}"/>
    <cellStyle name="Normal 4 5 2 2 4 2 2 2 2 2 2 2" xfId="49153" xr:uid="{00000000-0005-0000-0000-0000414E0000}"/>
    <cellStyle name="Normal 4 5 2 2 4 2 2 2 2 2 3" xfId="36865" xr:uid="{00000000-0005-0000-0000-0000424E0000}"/>
    <cellStyle name="Normal 4 5 2 2 4 2 2 2 2 3" xfId="18433" xr:uid="{00000000-0005-0000-0000-0000434E0000}"/>
    <cellStyle name="Normal 4 5 2 2 4 2 2 2 2 3 2" xfId="43009" xr:uid="{00000000-0005-0000-0000-0000444E0000}"/>
    <cellStyle name="Normal 4 5 2 2 4 2 2 2 2 4" xfId="30721" xr:uid="{00000000-0005-0000-0000-0000454E0000}"/>
    <cellStyle name="Normal 4 5 2 2 4 2 2 2 3" xfId="9217" xr:uid="{00000000-0005-0000-0000-0000464E0000}"/>
    <cellStyle name="Normal 4 5 2 2 4 2 2 2 3 2" xfId="21505" xr:uid="{00000000-0005-0000-0000-0000474E0000}"/>
    <cellStyle name="Normal 4 5 2 2 4 2 2 2 3 2 2" xfId="46081" xr:uid="{00000000-0005-0000-0000-0000484E0000}"/>
    <cellStyle name="Normal 4 5 2 2 4 2 2 2 3 3" xfId="33793" xr:uid="{00000000-0005-0000-0000-0000494E0000}"/>
    <cellStyle name="Normal 4 5 2 2 4 2 2 2 4" xfId="15361" xr:uid="{00000000-0005-0000-0000-00004A4E0000}"/>
    <cellStyle name="Normal 4 5 2 2 4 2 2 2 4 2" xfId="39937" xr:uid="{00000000-0005-0000-0000-00004B4E0000}"/>
    <cellStyle name="Normal 4 5 2 2 4 2 2 2 5" xfId="27649" xr:uid="{00000000-0005-0000-0000-00004C4E0000}"/>
    <cellStyle name="Normal 4 5 2 2 4 2 2 3" xfId="4609" xr:uid="{00000000-0005-0000-0000-00004D4E0000}"/>
    <cellStyle name="Normal 4 5 2 2 4 2 2 3 2" xfId="10753" xr:uid="{00000000-0005-0000-0000-00004E4E0000}"/>
    <cellStyle name="Normal 4 5 2 2 4 2 2 3 2 2" xfId="23041" xr:uid="{00000000-0005-0000-0000-00004F4E0000}"/>
    <cellStyle name="Normal 4 5 2 2 4 2 2 3 2 2 2" xfId="47617" xr:uid="{00000000-0005-0000-0000-0000504E0000}"/>
    <cellStyle name="Normal 4 5 2 2 4 2 2 3 2 3" xfId="35329" xr:uid="{00000000-0005-0000-0000-0000514E0000}"/>
    <cellStyle name="Normal 4 5 2 2 4 2 2 3 3" xfId="16897" xr:uid="{00000000-0005-0000-0000-0000524E0000}"/>
    <cellStyle name="Normal 4 5 2 2 4 2 2 3 3 2" xfId="41473" xr:uid="{00000000-0005-0000-0000-0000534E0000}"/>
    <cellStyle name="Normal 4 5 2 2 4 2 2 3 4" xfId="29185" xr:uid="{00000000-0005-0000-0000-0000544E0000}"/>
    <cellStyle name="Normal 4 5 2 2 4 2 2 4" xfId="7681" xr:uid="{00000000-0005-0000-0000-0000554E0000}"/>
    <cellStyle name="Normal 4 5 2 2 4 2 2 4 2" xfId="19969" xr:uid="{00000000-0005-0000-0000-0000564E0000}"/>
    <cellStyle name="Normal 4 5 2 2 4 2 2 4 2 2" xfId="44545" xr:uid="{00000000-0005-0000-0000-0000574E0000}"/>
    <cellStyle name="Normal 4 5 2 2 4 2 2 4 3" xfId="32257" xr:uid="{00000000-0005-0000-0000-0000584E0000}"/>
    <cellStyle name="Normal 4 5 2 2 4 2 2 5" xfId="13825" xr:uid="{00000000-0005-0000-0000-0000594E0000}"/>
    <cellStyle name="Normal 4 5 2 2 4 2 2 5 2" xfId="38401" xr:uid="{00000000-0005-0000-0000-00005A4E0000}"/>
    <cellStyle name="Normal 4 5 2 2 4 2 2 6" xfId="26113" xr:uid="{00000000-0005-0000-0000-00005B4E0000}"/>
    <cellStyle name="Normal 4 5 2 2 4 2 3" xfId="2301" xr:uid="{00000000-0005-0000-0000-00005C4E0000}"/>
    <cellStyle name="Normal 4 5 2 2 4 2 3 2" xfId="5377" xr:uid="{00000000-0005-0000-0000-00005D4E0000}"/>
    <cellStyle name="Normal 4 5 2 2 4 2 3 2 2" xfId="11521" xr:uid="{00000000-0005-0000-0000-00005E4E0000}"/>
    <cellStyle name="Normal 4 5 2 2 4 2 3 2 2 2" xfId="23809" xr:uid="{00000000-0005-0000-0000-00005F4E0000}"/>
    <cellStyle name="Normal 4 5 2 2 4 2 3 2 2 2 2" xfId="48385" xr:uid="{00000000-0005-0000-0000-0000604E0000}"/>
    <cellStyle name="Normal 4 5 2 2 4 2 3 2 2 3" xfId="36097" xr:uid="{00000000-0005-0000-0000-0000614E0000}"/>
    <cellStyle name="Normal 4 5 2 2 4 2 3 2 3" xfId="17665" xr:uid="{00000000-0005-0000-0000-0000624E0000}"/>
    <cellStyle name="Normal 4 5 2 2 4 2 3 2 3 2" xfId="42241" xr:uid="{00000000-0005-0000-0000-0000634E0000}"/>
    <cellStyle name="Normal 4 5 2 2 4 2 3 2 4" xfId="29953" xr:uid="{00000000-0005-0000-0000-0000644E0000}"/>
    <cellStyle name="Normal 4 5 2 2 4 2 3 3" xfId="8449" xr:uid="{00000000-0005-0000-0000-0000654E0000}"/>
    <cellStyle name="Normal 4 5 2 2 4 2 3 3 2" xfId="20737" xr:uid="{00000000-0005-0000-0000-0000664E0000}"/>
    <cellStyle name="Normal 4 5 2 2 4 2 3 3 2 2" xfId="45313" xr:uid="{00000000-0005-0000-0000-0000674E0000}"/>
    <cellStyle name="Normal 4 5 2 2 4 2 3 3 3" xfId="33025" xr:uid="{00000000-0005-0000-0000-0000684E0000}"/>
    <cellStyle name="Normal 4 5 2 2 4 2 3 4" xfId="14593" xr:uid="{00000000-0005-0000-0000-0000694E0000}"/>
    <cellStyle name="Normal 4 5 2 2 4 2 3 4 2" xfId="39169" xr:uid="{00000000-0005-0000-0000-00006A4E0000}"/>
    <cellStyle name="Normal 4 5 2 2 4 2 3 5" xfId="26881" xr:uid="{00000000-0005-0000-0000-00006B4E0000}"/>
    <cellStyle name="Normal 4 5 2 2 4 2 4" xfId="3841" xr:uid="{00000000-0005-0000-0000-00006C4E0000}"/>
    <cellStyle name="Normal 4 5 2 2 4 2 4 2" xfId="9985" xr:uid="{00000000-0005-0000-0000-00006D4E0000}"/>
    <cellStyle name="Normal 4 5 2 2 4 2 4 2 2" xfId="22273" xr:uid="{00000000-0005-0000-0000-00006E4E0000}"/>
    <cellStyle name="Normal 4 5 2 2 4 2 4 2 2 2" xfId="46849" xr:uid="{00000000-0005-0000-0000-00006F4E0000}"/>
    <cellStyle name="Normal 4 5 2 2 4 2 4 2 3" xfId="34561" xr:uid="{00000000-0005-0000-0000-0000704E0000}"/>
    <cellStyle name="Normal 4 5 2 2 4 2 4 3" xfId="16129" xr:uid="{00000000-0005-0000-0000-0000714E0000}"/>
    <cellStyle name="Normal 4 5 2 2 4 2 4 3 2" xfId="40705" xr:uid="{00000000-0005-0000-0000-0000724E0000}"/>
    <cellStyle name="Normal 4 5 2 2 4 2 4 4" xfId="28417" xr:uid="{00000000-0005-0000-0000-0000734E0000}"/>
    <cellStyle name="Normal 4 5 2 2 4 2 5" xfId="6913" xr:uid="{00000000-0005-0000-0000-0000744E0000}"/>
    <cellStyle name="Normal 4 5 2 2 4 2 5 2" xfId="19201" xr:uid="{00000000-0005-0000-0000-0000754E0000}"/>
    <cellStyle name="Normal 4 5 2 2 4 2 5 2 2" xfId="43777" xr:uid="{00000000-0005-0000-0000-0000764E0000}"/>
    <cellStyle name="Normal 4 5 2 2 4 2 5 3" xfId="31489" xr:uid="{00000000-0005-0000-0000-0000774E0000}"/>
    <cellStyle name="Normal 4 5 2 2 4 2 6" xfId="13057" xr:uid="{00000000-0005-0000-0000-0000784E0000}"/>
    <cellStyle name="Normal 4 5 2 2 4 2 6 2" xfId="37633" xr:uid="{00000000-0005-0000-0000-0000794E0000}"/>
    <cellStyle name="Normal 4 5 2 2 4 2 7" xfId="25345" xr:uid="{00000000-0005-0000-0000-00007A4E0000}"/>
    <cellStyle name="Normal 4 5 2 2 4 3" xfId="1149" xr:uid="{00000000-0005-0000-0000-00007B4E0000}"/>
    <cellStyle name="Normal 4 5 2 2 4 3 2" xfId="2685" xr:uid="{00000000-0005-0000-0000-00007C4E0000}"/>
    <cellStyle name="Normal 4 5 2 2 4 3 2 2" xfId="5761" xr:uid="{00000000-0005-0000-0000-00007D4E0000}"/>
    <cellStyle name="Normal 4 5 2 2 4 3 2 2 2" xfId="11905" xr:uid="{00000000-0005-0000-0000-00007E4E0000}"/>
    <cellStyle name="Normal 4 5 2 2 4 3 2 2 2 2" xfId="24193" xr:uid="{00000000-0005-0000-0000-00007F4E0000}"/>
    <cellStyle name="Normal 4 5 2 2 4 3 2 2 2 2 2" xfId="48769" xr:uid="{00000000-0005-0000-0000-0000804E0000}"/>
    <cellStyle name="Normal 4 5 2 2 4 3 2 2 2 3" xfId="36481" xr:uid="{00000000-0005-0000-0000-0000814E0000}"/>
    <cellStyle name="Normal 4 5 2 2 4 3 2 2 3" xfId="18049" xr:uid="{00000000-0005-0000-0000-0000824E0000}"/>
    <cellStyle name="Normal 4 5 2 2 4 3 2 2 3 2" xfId="42625" xr:uid="{00000000-0005-0000-0000-0000834E0000}"/>
    <cellStyle name="Normal 4 5 2 2 4 3 2 2 4" xfId="30337" xr:uid="{00000000-0005-0000-0000-0000844E0000}"/>
    <cellStyle name="Normal 4 5 2 2 4 3 2 3" xfId="8833" xr:uid="{00000000-0005-0000-0000-0000854E0000}"/>
    <cellStyle name="Normal 4 5 2 2 4 3 2 3 2" xfId="21121" xr:uid="{00000000-0005-0000-0000-0000864E0000}"/>
    <cellStyle name="Normal 4 5 2 2 4 3 2 3 2 2" xfId="45697" xr:uid="{00000000-0005-0000-0000-0000874E0000}"/>
    <cellStyle name="Normal 4 5 2 2 4 3 2 3 3" xfId="33409" xr:uid="{00000000-0005-0000-0000-0000884E0000}"/>
    <cellStyle name="Normal 4 5 2 2 4 3 2 4" xfId="14977" xr:uid="{00000000-0005-0000-0000-0000894E0000}"/>
    <cellStyle name="Normal 4 5 2 2 4 3 2 4 2" xfId="39553" xr:uid="{00000000-0005-0000-0000-00008A4E0000}"/>
    <cellStyle name="Normal 4 5 2 2 4 3 2 5" xfId="27265" xr:uid="{00000000-0005-0000-0000-00008B4E0000}"/>
    <cellStyle name="Normal 4 5 2 2 4 3 3" xfId="4225" xr:uid="{00000000-0005-0000-0000-00008C4E0000}"/>
    <cellStyle name="Normal 4 5 2 2 4 3 3 2" xfId="10369" xr:uid="{00000000-0005-0000-0000-00008D4E0000}"/>
    <cellStyle name="Normal 4 5 2 2 4 3 3 2 2" xfId="22657" xr:uid="{00000000-0005-0000-0000-00008E4E0000}"/>
    <cellStyle name="Normal 4 5 2 2 4 3 3 2 2 2" xfId="47233" xr:uid="{00000000-0005-0000-0000-00008F4E0000}"/>
    <cellStyle name="Normal 4 5 2 2 4 3 3 2 3" xfId="34945" xr:uid="{00000000-0005-0000-0000-0000904E0000}"/>
    <cellStyle name="Normal 4 5 2 2 4 3 3 3" xfId="16513" xr:uid="{00000000-0005-0000-0000-0000914E0000}"/>
    <cellStyle name="Normal 4 5 2 2 4 3 3 3 2" xfId="41089" xr:uid="{00000000-0005-0000-0000-0000924E0000}"/>
    <cellStyle name="Normal 4 5 2 2 4 3 3 4" xfId="28801" xr:uid="{00000000-0005-0000-0000-0000934E0000}"/>
    <cellStyle name="Normal 4 5 2 2 4 3 4" xfId="7297" xr:uid="{00000000-0005-0000-0000-0000944E0000}"/>
    <cellStyle name="Normal 4 5 2 2 4 3 4 2" xfId="19585" xr:uid="{00000000-0005-0000-0000-0000954E0000}"/>
    <cellStyle name="Normal 4 5 2 2 4 3 4 2 2" xfId="44161" xr:uid="{00000000-0005-0000-0000-0000964E0000}"/>
    <cellStyle name="Normal 4 5 2 2 4 3 4 3" xfId="31873" xr:uid="{00000000-0005-0000-0000-0000974E0000}"/>
    <cellStyle name="Normal 4 5 2 2 4 3 5" xfId="13441" xr:uid="{00000000-0005-0000-0000-0000984E0000}"/>
    <cellStyle name="Normal 4 5 2 2 4 3 5 2" xfId="38017" xr:uid="{00000000-0005-0000-0000-0000994E0000}"/>
    <cellStyle name="Normal 4 5 2 2 4 3 6" xfId="25729" xr:uid="{00000000-0005-0000-0000-00009A4E0000}"/>
    <cellStyle name="Normal 4 5 2 2 4 4" xfId="1917" xr:uid="{00000000-0005-0000-0000-00009B4E0000}"/>
    <cellStyle name="Normal 4 5 2 2 4 4 2" xfId="4993" xr:uid="{00000000-0005-0000-0000-00009C4E0000}"/>
    <cellStyle name="Normal 4 5 2 2 4 4 2 2" xfId="11137" xr:uid="{00000000-0005-0000-0000-00009D4E0000}"/>
    <cellStyle name="Normal 4 5 2 2 4 4 2 2 2" xfId="23425" xr:uid="{00000000-0005-0000-0000-00009E4E0000}"/>
    <cellStyle name="Normal 4 5 2 2 4 4 2 2 2 2" xfId="48001" xr:uid="{00000000-0005-0000-0000-00009F4E0000}"/>
    <cellStyle name="Normal 4 5 2 2 4 4 2 2 3" xfId="35713" xr:uid="{00000000-0005-0000-0000-0000A04E0000}"/>
    <cellStyle name="Normal 4 5 2 2 4 4 2 3" xfId="17281" xr:uid="{00000000-0005-0000-0000-0000A14E0000}"/>
    <cellStyle name="Normal 4 5 2 2 4 4 2 3 2" xfId="41857" xr:uid="{00000000-0005-0000-0000-0000A24E0000}"/>
    <cellStyle name="Normal 4 5 2 2 4 4 2 4" xfId="29569" xr:uid="{00000000-0005-0000-0000-0000A34E0000}"/>
    <cellStyle name="Normal 4 5 2 2 4 4 3" xfId="8065" xr:uid="{00000000-0005-0000-0000-0000A44E0000}"/>
    <cellStyle name="Normal 4 5 2 2 4 4 3 2" xfId="20353" xr:uid="{00000000-0005-0000-0000-0000A54E0000}"/>
    <cellStyle name="Normal 4 5 2 2 4 4 3 2 2" xfId="44929" xr:uid="{00000000-0005-0000-0000-0000A64E0000}"/>
    <cellStyle name="Normal 4 5 2 2 4 4 3 3" xfId="32641" xr:uid="{00000000-0005-0000-0000-0000A74E0000}"/>
    <cellStyle name="Normal 4 5 2 2 4 4 4" xfId="14209" xr:uid="{00000000-0005-0000-0000-0000A84E0000}"/>
    <cellStyle name="Normal 4 5 2 2 4 4 4 2" xfId="38785" xr:uid="{00000000-0005-0000-0000-0000A94E0000}"/>
    <cellStyle name="Normal 4 5 2 2 4 4 5" xfId="26497" xr:uid="{00000000-0005-0000-0000-0000AA4E0000}"/>
    <cellStyle name="Normal 4 5 2 2 4 5" xfId="3457" xr:uid="{00000000-0005-0000-0000-0000AB4E0000}"/>
    <cellStyle name="Normal 4 5 2 2 4 5 2" xfId="9601" xr:uid="{00000000-0005-0000-0000-0000AC4E0000}"/>
    <cellStyle name="Normal 4 5 2 2 4 5 2 2" xfId="21889" xr:uid="{00000000-0005-0000-0000-0000AD4E0000}"/>
    <cellStyle name="Normal 4 5 2 2 4 5 2 2 2" xfId="46465" xr:uid="{00000000-0005-0000-0000-0000AE4E0000}"/>
    <cellStyle name="Normal 4 5 2 2 4 5 2 3" xfId="34177" xr:uid="{00000000-0005-0000-0000-0000AF4E0000}"/>
    <cellStyle name="Normal 4 5 2 2 4 5 3" xfId="15745" xr:uid="{00000000-0005-0000-0000-0000B04E0000}"/>
    <cellStyle name="Normal 4 5 2 2 4 5 3 2" xfId="40321" xr:uid="{00000000-0005-0000-0000-0000B14E0000}"/>
    <cellStyle name="Normal 4 5 2 2 4 5 4" xfId="28033" xr:uid="{00000000-0005-0000-0000-0000B24E0000}"/>
    <cellStyle name="Normal 4 5 2 2 4 6" xfId="6529" xr:uid="{00000000-0005-0000-0000-0000B34E0000}"/>
    <cellStyle name="Normal 4 5 2 2 4 6 2" xfId="18817" xr:uid="{00000000-0005-0000-0000-0000B44E0000}"/>
    <cellStyle name="Normal 4 5 2 2 4 6 2 2" xfId="43393" xr:uid="{00000000-0005-0000-0000-0000B54E0000}"/>
    <cellStyle name="Normal 4 5 2 2 4 6 3" xfId="31105" xr:uid="{00000000-0005-0000-0000-0000B64E0000}"/>
    <cellStyle name="Normal 4 5 2 2 4 7" xfId="12673" xr:uid="{00000000-0005-0000-0000-0000B74E0000}"/>
    <cellStyle name="Normal 4 5 2 2 4 7 2" xfId="37249" xr:uid="{00000000-0005-0000-0000-0000B84E0000}"/>
    <cellStyle name="Normal 4 5 2 2 4 8" xfId="24961" xr:uid="{00000000-0005-0000-0000-0000B94E0000}"/>
    <cellStyle name="Normal 4 5 2 2 5" xfId="573" xr:uid="{00000000-0005-0000-0000-0000BA4E0000}"/>
    <cellStyle name="Normal 4 5 2 2 5 2" xfId="1341" xr:uid="{00000000-0005-0000-0000-0000BB4E0000}"/>
    <cellStyle name="Normal 4 5 2 2 5 2 2" xfId="2877" xr:uid="{00000000-0005-0000-0000-0000BC4E0000}"/>
    <cellStyle name="Normal 4 5 2 2 5 2 2 2" xfId="5953" xr:uid="{00000000-0005-0000-0000-0000BD4E0000}"/>
    <cellStyle name="Normal 4 5 2 2 5 2 2 2 2" xfId="12097" xr:uid="{00000000-0005-0000-0000-0000BE4E0000}"/>
    <cellStyle name="Normal 4 5 2 2 5 2 2 2 2 2" xfId="24385" xr:uid="{00000000-0005-0000-0000-0000BF4E0000}"/>
    <cellStyle name="Normal 4 5 2 2 5 2 2 2 2 2 2" xfId="48961" xr:uid="{00000000-0005-0000-0000-0000C04E0000}"/>
    <cellStyle name="Normal 4 5 2 2 5 2 2 2 2 3" xfId="36673" xr:uid="{00000000-0005-0000-0000-0000C14E0000}"/>
    <cellStyle name="Normal 4 5 2 2 5 2 2 2 3" xfId="18241" xr:uid="{00000000-0005-0000-0000-0000C24E0000}"/>
    <cellStyle name="Normal 4 5 2 2 5 2 2 2 3 2" xfId="42817" xr:uid="{00000000-0005-0000-0000-0000C34E0000}"/>
    <cellStyle name="Normal 4 5 2 2 5 2 2 2 4" xfId="30529" xr:uid="{00000000-0005-0000-0000-0000C44E0000}"/>
    <cellStyle name="Normal 4 5 2 2 5 2 2 3" xfId="9025" xr:uid="{00000000-0005-0000-0000-0000C54E0000}"/>
    <cellStyle name="Normal 4 5 2 2 5 2 2 3 2" xfId="21313" xr:uid="{00000000-0005-0000-0000-0000C64E0000}"/>
    <cellStyle name="Normal 4 5 2 2 5 2 2 3 2 2" xfId="45889" xr:uid="{00000000-0005-0000-0000-0000C74E0000}"/>
    <cellStyle name="Normal 4 5 2 2 5 2 2 3 3" xfId="33601" xr:uid="{00000000-0005-0000-0000-0000C84E0000}"/>
    <cellStyle name="Normal 4 5 2 2 5 2 2 4" xfId="15169" xr:uid="{00000000-0005-0000-0000-0000C94E0000}"/>
    <cellStyle name="Normal 4 5 2 2 5 2 2 4 2" xfId="39745" xr:uid="{00000000-0005-0000-0000-0000CA4E0000}"/>
    <cellStyle name="Normal 4 5 2 2 5 2 2 5" xfId="27457" xr:uid="{00000000-0005-0000-0000-0000CB4E0000}"/>
    <cellStyle name="Normal 4 5 2 2 5 2 3" xfId="4417" xr:uid="{00000000-0005-0000-0000-0000CC4E0000}"/>
    <cellStyle name="Normal 4 5 2 2 5 2 3 2" xfId="10561" xr:uid="{00000000-0005-0000-0000-0000CD4E0000}"/>
    <cellStyle name="Normal 4 5 2 2 5 2 3 2 2" xfId="22849" xr:uid="{00000000-0005-0000-0000-0000CE4E0000}"/>
    <cellStyle name="Normal 4 5 2 2 5 2 3 2 2 2" xfId="47425" xr:uid="{00000000-0005-0000-0000-0000CF4E0000}"/>
    <cellStyle name="Normal 4 5 2 2 5 2 3 2 3" xfId="35137" xr:uid="{00000000-0005-0000-0000-0000D04E0000}"/>
    <cellStyle name="Normal 4 5 2 2 5 2 3 3" xfId="16705" xr:uid="{00000000-0005-0000-0000-0000D14E0000}"/>
    <cellStyle name="Normal 4 5 2 2 5 2 3 3 2" xfId="41281" xr:uid="{00000000-0005-0000-0000-0000D24E0000}"/>
    <cellStyle name="Normal 4 5 2 2 5 2 3 4" xfId="28993" xr:uid="{00000000-0005-0000-0000-0000D34E0000}"/>
    <cellStyle name="Normal 4 5 2 2 5 2 4" xfId="7489" xr:uid="{00000000-0005-0000-0000-0000D44E0000}"/>
    <cellStyle name="Normal 4 5 2 2 5 2 4 2" xfId="19777" xr:uid="{00000000-0005-0000-0000-0000D54E0000}"/>
    <cellStyle name="Normal 4 5 2 2 5 2 4 2 2" xfId="44353" xr:uid="{00000000-0005-0000-0000-0000D64E0000}"/>
    <cellStyle name="Normal 4 5 2 2 5 2 4 3" xfId="32065" xr:uid="{00000000-0005-0000-0000-0000D74E0000}"/>
    <cellStyle name="Normal 4 5 2 2 5 2 5" xfId="13633" xr:uid="{00000000-0005-0000-0000-0000D84E0000}"/>
    <cellStyle name="Normal 4 5 2 2 5 2 5 2" xfId="38209" xr:uid="{00000000-0005-0000-0000-0000D94E0000}"/>
    <cellStyle name="Normal 4 5 2 2 5 2 6" xfId="25921" xr:uid="{00000000-0005-0000-0000-0000DA4E0000}"/>
    <cellStyle name="Normal 4 5 2 2 5 3" xfId="2109" xr:uid="{00000000-0005-0000-0000-0000DB4E0000}"/>
    <cellStyle name="Normal 4 5 2 2 5 3 2" xfId="5185" xr:uid="{00000000-0005-0000-0000-0000DC4E0000}"/>
    <cellStyle name="Normal 4 5 2 2 5 3 2 2" xfId="11329" xr:uid="{00000000-0005-0000-0000-0000DD4E0000}"/>
    <cellStyle name="Normal 4 5 2 2 5 3 2 2 2" xfId="23617" xr:uid="{00000000-0005-0000-0000-0000DE4E0000}"/>
    <cellStyle name="Normal 4 5 2 2 5 3 2 2 2 2" xfId="48193" xr:uid="{00000000-0005-0000-0000-0000DF4E0000}"/>
    <cellStyle name="Normal 4 5 2 2 5 3 2 2 3" xfId="35905" xr:uid="{00000000-0005-0000-0000-0000E04E0000}"/>
    <cellStyle name="Normal 4 5 2 2 5 3 2 3" xfId="17473" xr:uid="{00000000-0005-0000-0000-0000E14E0000}"/>
    <cellStyle name="Normal 4 5 2 2 5 3 2 3 2" xfId="42049" xr:uid="{00000000-0005-0000-0000-0000E24E0000}"/>
    <cellStyle name="Normal 4 5 2 2 5 3 2 4" xfId="29761" xr:uid="{00000000-0005-0000-0000-0000E34E0000}"/>
    <cellStyle name="Normal 4 5 2 2 5 3 3" xfId="8257" xr:uid="{00000000-0005-0000-0000-0000E44E0000}"/>
    <cellStyle name="Normal 4 5 2 2 5 3 3 2" xfId="20545" xr:uid="{00000000-0005-0000-0000-0000E54E0000}"/>
    <cellStyle name="Normal 4 5 2 2 5 3 3 2 2" xfId="45121" xr:uid="{00000000-0005-0000-0000-0000E64E0000}"/>
    <cellStyle name="Normal 4 5 2 2 5 3 3 3" xfId="32833" xr:uid="{00000000-0005-0000-0000-0000E74E0000}"/>
    <cellStyle name="Normal 4 5 2 2 5 3 4" xfId="14401" xr:uid="{00000000-0005-0000-0000-0000E84E0000}"/>
    <cellStyle name="Normal 4 5 2 2 5 3 4 2" xfId="38977" xr:uid="{00000000-0005-0000-0000-0000E94E0000}"/>
    <cellStyle name="Normal 4 5 2 2 5 3 5" xfId="26689" xr:uid="{00000000-0005-0000-0000-0000EA4E0000}"/>
    <cellStyle name="Normal 4 5 2 2 5 4" xfId="3649" xr:uid="{00000000-0005-0000-0000-0000EB4E0000}"/>
    <cellStyle name="Normal 4 5 2 2 5 4 2" xfId="9793" xr:uid="{00000000-0005-0000-0000-0000EC4E0000}"/>
    <cellStyle name="Normal 4 5 2 2 5 4 2 2" xfId="22081" xr:uid="{00000000-0005-0000-0000-0000ED4E0000}"/>
    <cellStyle name="Normal 4 5 2 2 5 4 2 2 2" xfId="46657" xr:uid="{00000000-0005-0000-0000-0000EE4E0000}"/>
    <cellStyle name="Normal 4 5 2 2 5 4 2 3" xfId="34369" xr:uid="{00000000-0005-0000-0000-0000EF4E0000}"/>
    <cellStyle name="Normal 4 5 2 2 5 4 3" xfId="15937" xr:uid="{00000000-0005-0000-0000-0000F04E0000}"/>
    <cellStyle name="Normal 4 5 2 2 5 4 3 2" xfId="40513" xr:uid="{00000000-0005-0000-0000-0000F14E0000}"/>
    <cellStyle name="Normal 4 5 2 2 5 4 4" xfId="28225" xr:uid="{00000000-0005-0000-0000-0000F24E0000}"/>
    <cellStyle name="Normal 4 5 2 2 5 5" xfId="6721" xr:uid="{00000000-0005-0000-0000-0000F34E0000}"/>
    <cellStyle name="Normal 4 5 2 2 5 5 2" xfId="19009" xr:uid="{00000000-0005-0000-0000-0000F44E0000}"/>
    <cellStyle name="Normal 4 5 2 2 5 5 2 2" xfId="43585" xr:uid="{00000000-0005-0000-0000-0000F54E0000}"/>
    <cellStyle name="Normal 4 5 2 2 5 5 3" xfId="31297" xr:uid="{00000000-0005-0000-0000-0000F64E0000}"/>
    <cellStyle name="Normal 4 5 2 2 5 6" xfId="12865" xr:uid="{00000000-0005-0000-0000-0000F74E0000}"/>
    <cellStyle name="Normal 4 5 2 2 5 6 2" xfId="37441" xr:uid="{00000000-0005-0000-0000-0000F84E0000}"/>
    <cellStyle name="Normal 4 5 2 2 5 7" xfId="25153" xr:uid="{00000000-0005-0000-0000-0000F94E0000}"/>
    <cellStyle name="Normal 4 5 2 2 6" xfId="957" xr:uid="{00000000-0005-0000-0000-0000FA4E0000}"/>
    <cellStyle name="Normal 4 5 2 2 6 2" xfId="2493" xr:uid="{00000000-0005-0000-0000-0000FB4E0000}"/>
    <cellStyle name="Normal 4 5 2 2 6 2 2" xfId="5569" xr:uid="{00000000-0005-0000-0000-0000FC4E0000}"/>
    <cellStyle name="Normal 4 5 2 2 6 2 2 2" xfId="11713" xr:uid="{00000000-0005-0000-0000-0000FD4E0000}"/>
    <cellStyle name="Normal 4 5 2 2 6 2 2 2 2" xfId="24001" xr:uid="{00000000-0005-0000-0000-0000FE4E0000}"/>
    <cellStyle name="Normal 4 5 2 2 6 2 2 2 2 2" xfId="48577" xr:uid="{00000000-0005-0000-0000-0000FF4E0000}"/>
    <cellStyle name="Normal 4 5 2 2 6 2 2 2 3" xfId="36289" xr:uid="{00000000-0005-0000-0000-0000004F0000}"/>
    <cellStyle name="Normal 4 5 2 2 6 2 2 3" xfId="17857" xr:uid="{00000000-0005-0000-0000-0000014F0000}"/>
    <cellStyle name="Normal 4 5 2 2 6 2 2 3 2" xfId="42433" xr:uid="{00000000-0005-0000-0000-0000024F0000}"/>
    <cellStyle name="Normal 4 5 2 2 6 2 2 4" xfId="30145" xr:uid="{00000000-0005-0000-0000-0000034F0000}"/>
    <cellStyle name="Normal 4 5 2 2 6 2 3" xfId="8641" xr:uid="{00000000-0005-0000-0000-0000044F0000}"/>
    <cellStyle name="Normal 4 5 2 2 6 2 3 2" xfId="20929" xr:uid="{00000000-0005-0000-0000-0000054F0000}"/>
    <cellStyle name="Normal 4 5 2 2 6 2 3 2 2" xfId="45505" xr:uid="{00000000-0005-0000-0000-0000064F0000}"/>
    <cellStyle name="Normal 4 5 2 2 6 2 3 3" xfId="33217" xr:uid="{00000000-0005-0000-0000-0000074F0000}"/>
    <cellStyle name="Normal 4 5 2 2 6 2 4" xfId="14785" xr:uid="{00000000-0005-0000-0000-0000084F0000}"/>
    <cellStyle name="Normal 4 5 2 2 6 2 4 2" xfId="39361" xr:uid="{00000000-0005-0000-0000-0000094F0000}"/>
    <cellStyle name="Normal 4 5 2 2 6 2 5" xfId="27073" xr:uid="{00000000-0005-0000-0000-00000A4F0000}"/>
    <cellStyle name="Normal 4 5 2 2 6 3" xfId="4033" xr:uid="{00000000-0005-0000-0000-00000B4F0000}"/>
    <cellStyle name="Normal 4 5 2 2 6 3 2" xfId="10177" xr:uid="{00000000-0005-0000-0000-00000C4F0000}"/>
    <cellStyle name="Normal 4 5 2 2 6 3 2 2" xfId="22465" xr:uid="{00000000-0005-0000-0000-00000D4F0000}"/>
    <cellStyle name="Normal 4 5 2 2 6 3 2 2 2" xfId="47041" xr:uid="{00000000-0005-0000-0000-00000E4F0000}"/>
    <cellStyle name="Normal 4 5 2 2 6 3 2 3" xfId="34753" xr:uid="{00000000-0005-0000-0000-00000F4F0000}"/>
    <cellStyle name="Normal 4 5 2 2 6 3 3" xfId="16321" xr:uid="{00000000-0005-0000-0000-0000104F0000}"/>
    <cellStyle name="Normal 4 5 2 2 6 3 3 2" xfId="40897" xr:uid="{00000000-0005-0000-0000-0000114F0000}"/>
    <cellStyle name="Normal 4 5 2 2 6 3 4" xfId="28609" xr:uid="{00000000-0005-0000-0000-0000124F0000}"/>
    <cellStyle name="Normal 4 5 2 2 6 4" xfId="7105" xr:uid="{00000000-0005-0000-0000-0000134F0000}"/>
    <cellStyle name="Normal 4 5 2 2 6 4 2" xfId="19393" xr:uid="{00000000-0005-0000-0000-0000144F0000}"/>
    <cellStyle name="Normal 4 5 2 2 6 4 2 2" xfId="43969" xr:uid="{00000000-0005-0000-0000-0000154F0000}"/>
    <cellStyle name="Normal 4 5 2 2 6 4 3" xfId="31681" xr:uid="{00000000-0005-0000-0000-0000164F0000}"/>
    <cellStyle name="Normal 4 5 2 2 6 5" xfId="13249" xr:uid="{00000000-0005-0000-0000-0000174F0000}"/>
    <cellStyle name="Normal 4 5 2 2 6 5 2" xfId="37825" xr:uid="{00000000-0005-0000-0000-0000184F0000}"/>
    <cellStyle name="Normal 4 5 2 2 6 6" xfId="25537" xr:uid="{00000000-0005-0000-0000-0000194F0000}"/>
    <cellStyle name="Normal 4 5 2 2 7" xfId="1725" xr:uid="{00000000-0005-0000-0000-00001A4F0000}"/>
    <cellStyle name="Normal 4 5 2 2 7 2" xfId="4801" xr:uid="{00000000-0005-0000-0000-00001B4F0000}"/>
    <cellStyle name="Normal 4 5 2 2 7 2 2" xfId="10945" xr:uid="{00000000-0005-0000-0000-00001C4F0000}"/>
    <cellStyle name="Normal 4 5 2 2 7 2 2 2" xfId="23233" xr:uid="{00000000-0005-0000-0000-00001D4F0000}"/>
    <cellStyle name="Normal 4 5 2 2 7 2 2 2 2" xfId="47809" xr:uid="{00000000-0005-0000-0000-00001E4F0000}"/>
    <cellStyle name="Normal 4 5 2 2 7 2 2 3" xfId="35521" xr:uid="{00000000-0005-0000-0000-00001F4F0000}"/>
    <cellStyle name="Normal 4 5 2 2 7 2 3" xfId="17089" xr:uid="{00000000-0005-0000-0000-0000204F0000}"/>
    <cellStyle name="Normal 4 5 2 2 7 2 3 2" xfId="41665" xr:uid="{00000000-0005-0000-0000-0000214F0000}"/>
    <cellStyle name="Normal 4 5 2 2 7 2 4" xfId="29377" xr:uid="{00000000-0005-0000-0000-0000224F0000}"/>
    <cellStyle name="Normal 4 5 2 2 7 3" xfId="7873" xr:uid="{00000000-0005-0000-0000-0000234F0000}"/>
    <cellStyle name="Normal 4 5 2 2 7 3 2" xfId="20161" xr:uid="{00000000-0005-0000-0000-0000244F0000}"/>
    <cellStyle name="Normal 4 5 2 2 7 3 2 2" xfId="44737" xr:uid="{00000000-0005-0000-0000-0000254F0000}"/>
    <cellStyle name="Normal 4 5 2 2 7 3 3" xfId="32449" xr:uid="{00000000-0005-0000-0000-0000264F0000}"/>
    <cellStyle name="Normal 4 5 2 2 7 4" xfId="14017" xr:uid="{00000000-0005-0000-0000-0000274F0000}"/>
    <cellStyle name="Normal 4 5 2 2 7 4 2" xfId="38593" xr:uid="{00000000-0005-0000-0000-0000284F0000}"/>
    <cellStyle name="Normal 4 5 2 2 7 5" xfId="26305" xr:uid="{00000000-0005-0000-0000-0000294F0000}"/>
    <cellStyle name="Normal 4 5 2 2 8" xfId="3265" xr:uid="{00000000-0005-0000-0000-00002A4F0000}"/>
    <cellStyle name="Normal 4 5 2 2 8 2" xfId="9409" xr:uid="{00000000-0005-0000-0000-00002B4F0000}"/>
    <cellStyle name="Normal 4 5 2 2 8 2 2" xfId="21697" xr:uid="{00000000-0005-0000-0000-00002C4F0000}"/>
    <cellStyle name="Normal 4 5 2 2 8 2 2 2" xfId="46273" xr:uid="{00000000-0005-0000-0000-00002D4F0000}"/>
    <cellStyle name="Normal 4 5 2 2 8 2 3" xfId="33985" xr:uid="{00000000-0005-0000-0000-00002E4F0000}"/>
    <cellStyle name="Normal 4 5 2 2 8 3" xfId="15553" xr:uid="{00000000-0005-0000-0000-00002F4F0000}"/>
    <cellStyle name="Normal 4 5 2 2 8 3 2" xfId="40129" xr:uid="{00000000-0005-0000-0000-0000304F0000}"/>
    <cellStyle name="Normal 4 5 2 2 8 4" xfId="27841" xr:uid="{00000000-0005-0000-0000-0000314F0000}"/>
    <cellStyle name="Normal 4 5 2 2 9" xfId="6337" xr:uid="{00000000-0005-0000-0000-0000324F0000}"/>
    <cellStyle name="Normal 4 5 2 2 9 2" xfId="18625" xr:uid="{00000000-0005-0000-0000-0000334F0000}"/>
    <cellStyle name="Normal 4 5 2 2 9 2 2" xfId="43201" xr:uid="{00000000-0005-0000-0000-0000344F0000}"/>
    <cellStyle name="Normal 4 5 2 2 9 3" xfId="30913" xr:uid="{00000000-0005-0000-0000-0000354F0000}"/>
    <cellStyle name="Normal 4 5 2 3" xfId="221" xr:uid="{00000000-0005-0000-0000-0000364F0000}"/>
    <cellStyle name="Normal 4 5 2 3 2" xfId="413" xr:uid="{00000000-0005-0000-0000-0000374F0000}"/>
    <cellStyle name="Normal 4 5 2 3 2 2" xfId="797" xr:uid="{00000000-0005-0000-0000-0000384F0000}"/>
    <cellStyle name="Normal 4 5 2 3 2 2 2" xfId="1565" xr:uid="{00000000-0005-0000-0000-0000394F0000}"/>
    <cellStyle name="Normal 4 5 2 3 2 2 2 2" xfId="3101" xr:uid="{00000000-0005-0000-0000-00003A4F0000}"/>
    <cellStyle name="Normal 4 5 2 3 2 2 2 2 2" xfId="6177" xr:uid="{00000000-0005-0000-0000-00003B4F0000}"/>
    <cellStyle name="Normal 4 5 2 3 2 2 2 2 2 2" xfId="12321" xr:uid="{00000000-0005-0000-0000-00003C4F0000}"/>
    <cellStyle name="Normal 4 5 2 3 2 2 2 2 2 2 2" xfId="24609" xr:uid="{00000000-0005-0000-0000-00003D4F0000}"/>
    <cellStyle name="Normal 4 5 2 3 2 2 2 2 2 2 2 2" xfId="49185" xr:uid="{00000000-0005-0000-0000-00003E4F0000}"/>
    <cellStyle name="Normal 4 5 2 3 2 2 2 2 2 2 3" xfId="36897" xr:uid="{00000000-0005-0000-0000-00003F4F0000}"/>
    <cellStyle name="Normal 4 5 2 3 2 2 2 2 2 3" xfId="18465" xr:uid="{00000000-0005-0000-0000-0000404F0000}"/>
    <cellStyle name="Normal 4 5 2 3 2 2 2 2 2 3 2" xfId="43041" xr:uid="{00000000-0005-0000-0000-0000414F0000}"/>
    <cellStyle name="Normal 4 5 2 3 2 2 2 2 2 4" xfId="30753" xr:uid="{00000000-0005-0000-0000-0000424F0000}"/>
    <cellStyle name="Normal 4 5 2 3 2 2 2 2 3" xfId="9249" xr:uid="{00000000-0005-0000-0000-0000434F0000}"/>
    <cellStyle name="Normal 4 5 2 3 2 2 2 2 3 2" xfId="21537" xr:uid="{00000000-0005-0000-0000-0000444F0000}"/>
    <cellStyle name="Normal 4 5 2 3 2 2 2 2 3 2 2" xfId="46113" xr:uid="{00000000-0005-0000-0000-0000454F0000}"/>
    <cellStyle name="Normal 4 5 2 3 2 2 2 2 3 3" xfId="33825" xr:uid="{00000000-0005-0000-0000-0000464F0000}"/>
    <cellStyle name="Normal 4 5 2 3 2 2 2 2 4" xfId="15393" xr:uid="{00000000-0005-0000-0000-0000474F0000}"/>
    <cellStyle name="Normal 4 5 2 3 2 2 2 2 4 2" xfId="39969" xr:uid="{00000000-0005-0000-0000-0000484F0000}"/>
    <cellStyle name="Normal 4 5 2 3 2 2 2 2 5" xfId="27681" xr:uid="{00000000-0005-0000-0000-0000494F0000}"/>
    <cellStyle name="Normal 4 5 2 3 2 2 2 3" xfId="4641" xr:uid="{00000000-0005-0000-0000-00004A4F0000}"/>
    <cellStyle name="Normal 4 5 2 3 2 2 2 3 2" xfId="10785" xr:uid="{00000000-0005-0000-0000-00004B4F0000}"/>
    <cellStyle name="Normal 4 5 2 3 2 2 2 3 2 2" xfId="23073" xr:uid="{00000000-0005-0000-0000-00004C4F0000}"/>
    <cellStyle name="Normal 4 5 2 3 2 2 2 3 2 2 2" xfId="47649" xr:uid="{00000000-0005-0000-0000-00004D4F0000}"/>
    <cellStyle name="Normal 4 5 2 3 2 2 2 3 2 3" xfId="35361" xr:uid="{00000000-0005-0000-0000-00004E4F0000}"/>
    <cellStyle name="Normal 4 5 2 3 2 2 2 3 3" xfId="16929" xr:uid="{00000000-0005-0000-0000-00004F4F0000}"/>
    <cellStyle name="Normal 4 5 2 3 2 2 2 3 3 2" xfId="41505" xr:uid="{00000000-0005-0000-0000-0000504F0000}"/>
    <cellStyle name="Normal 4 5 2 3 2 2 2 3 4" xfId="29217" xr:uid="{00000000-0005-0000-0000-0000514F0000}"/>
    <cellStyle name="Normal 4 5 2 3 2 2 2 4" xfId="7713" xr:uid="{00000000-0005-0000-0000-0000524F0000}"/>
    <cellStyle name="Normal 4 5 2 3 2 2 2 4 2" xfId="20001" xr:uid="{00000000-0005-0000-0000-0000534F0000}"/>
    <cellStyle name="Normal 4 5 2 3 2 2 2 4 2 2" xfId="44577" xr:uid="{00000000-0005-0000-0000-0000544F0000}"/>
    <cellStyle name="Normal 4 5 2 3 2 2 2 4 3" xfId="32289" xr:uid="{00000000-0005-0000-0000-0000554F0000}"/>
    <cellStyle name="Normal 4 5 2 3 2 2 2 5" xfId="13857" xr:uid="{00000000-0005-0000-0000-0000564F0000}"/>
    <cellStyle name="Normal 4 5 2 3 2 2 2 5 2" xfId="38433" xr:uid="{00000000-0005-0000-0000-0000574F0000}"/>
    <cellStyle name="Normal 4 5 2 3 2 2 2 6" xfId="26145" xr:uid="{00000000-0005-0000-0000-0000584F0000}"/>
    <cellStyle name="Normal 4 5 2 3 2 2 3" xfId="2333" xr:uid="{00000000-0005-0000-0000-0000594F0000}"/>
    <cellStyle name="Normal 4 5 2 3 2 2 3 2" xfId="5409" xr:uid="{00000000-0005-0000-0000-00005A4F0000}"/>
    <cellStyle name="Normal 4 5 2 3 2 2 3 2 2" xfId="11553" xr:uid="{00000000-0005-0000-0000-00005B4F0000}"/>
    <cellStyle name="Normal 4 5 2 3 2 2 3 2 2 2" xfId="23841" xr:uid="{00000000-0005-0000-0000-00005C4F0000}"/>
    <cellStyle name="Normal 4 5 2 3 2 2 3 2 2 2 2" xfId="48417" xr:uid="{00000000-0005-0000-0000-00005D4F0000}"/>
    <cellStyle name="Normal 4 5 2 3 2 2 3 2 2 3" xfId="36129" xr:uid="{00000000-0005-0000-0000-00005E4F0000}"/>
    <cellStyle name="Normal 4 5 2 3 2 2 3 2 3" xfId="17697" xr:uid="{00000000-0005-0000-0000-00005F4F0000}"/>
    <cellStyle name="Normal 4 5 2 3 2 2 3 2 3 2" xfId="42273" xr:uid="{00000000-0005-0000-0000-0000604F0000}"/>
    <cellStyle name="Normal 4 5 2 3 2 2 3 2 4" xfId="29985" xr:uid="{00000000-0005-0000-0000-0000614F0000}"/>
    <cellStyle name="Normal 4 5 2 3 2 2 3 3" xfId="8481" xr:uid="{00000000-0005-0000-0000-0000624F0000}"/>
    <cellStyle name="Normal 4 5 2 3 2 2 3 3 2" xfId="20769" xr:uid="{00000000-0005-0000-0000-0000634F0000}"/>
    <cellStyle name="Normal 4 5 2 3 2 2 3 3 2 2" xfId="45345" xr:uid="{00000000-0005-0000-0000-0000644F0000}"/>
    <cellStyle name="Normal 4 5 2 3 2 2 3 3 3" xfId="33057" xr:uid="{00000000-0005-0000-0000-0000654F0000}"/>
    <cellStyle name="Normal 4 5 2 3 2 2 3 4" xfId="14625" xr:uid="{00000000-0005-0000-0000-0000664F0000}"/>
    <cellStyle name="Normal 4 5 2 3 2 2 3 4 2" xfId="39201" xr:uid="{00000000-0005-0000-0000-0000674F0000}"/>
    <cellStyle name="Normal 4 5 2 3 2 2 3 5" xfId="26913" xr:uid="{00000000-0005-0000-0000-0000684F0000}"/>
    <cellStyle name="Normal 4 5 2 3 2 2 4" xfId="3873" xr:uid="{00000000-0005-0000-0000-0000694F0000}"/>
    <cellStyle name="Normal 4 5 2 3 2 2 4 2" xfId="10017" xr:uid="{00000000-0005-0000-0000-00006A4F0000}"/>
    <cellStyle name="Normal 4 5 2 3 2 2 4 2 2" xfId="22305" xr:uid="{00000000-0005-0000-0000-00006B4F0000}"/>
    <cellStyle name="Normal 4 5 2 3 2 2 4 2 2 2" xfId="46881" xr:uid="{00000000-0005-0000-0000-00006C4F0000}"/>
    <cellStyle name="Normal 4 5 2 3 2 2 4 2 3" xfId="34593" xr:uid="{00000000-0005-0000-0000-00006D4F0000}"/>
    <cellStyle name="Normal 4 5 2 3 2 2 4 3" xfId="16161" xr:uid="{00000000-0005-0000-0000-00006E4F0000}"/>
    <cellStyle name="Normal 4 5 2 3 2 2 4 3 2" xfId="40737" xr:uid="{00000000-0005-0000-0000-00006F4F0000}"/>
    <cellStyle name="Normal 4 5 2 3 2 2 4 4" xfId="28449" xr:uid="{00000000-0005-0000-0000-0000704F0000}"/>
    <cellStyle name="Normal 4 5 2 3 2 2 5" xfId="6945" xr:uid="{00000000-0005-0000-0000-0000714F0000}"/>
    <cellStyle name="Normal 4 5 2 3 2 2 5 2" xfId="19233" xr:uid="{00000000-0005-0000-0000-0000724F0000}"/>
    <cellStyle name="Normal 4 5 2 3 2 2 5 2 2" xfId="43809" xr:uid="{00000000-0005-0000-0000-0000734F0000}"/>
    <cellStyle name="Normal 4 5 2 3 2 2 5 3" xfId="31521" xr:uid="{00000000-0005-0000-0000-0000744F0000}"/>
    <cellStyle name="Normal 4 5 2 3 2 2 6" xfId="13089" xr:uid="{00000000-0005-0000-0000-0000754F0000}"/>
    <cellStyle name="Normal 4 5 2 3 2 2 6 2" xfId="37665" xr:uid="{00000000-0005-0000-0000-0000764F0000}"/>
    <cellStyle name="Normal 4 5 2 3 2 2 7" xfId="25377" xr:uid="{00000000-0005-0000-0000-0000774F0000}"/>
    <cellStyle name="Normal 4 5 2 3 2 3" xfId="1181" xr:uid="{00000000-0005-0000-0000-0000784F0000}"/>
    <cellStyle name="Normal 4 5 2 3 2 3 2" xfId="2717" xr:uid="{00000000-0005-0000-0000-0000794F0000}"/>
    <cellStyle name="Normal 4 5 2 3 2 3 2 2" xfId="5793" xr:uid="{00000000-0005-0000-0000-00007A4F0000}"/>
    <cellStyle name="Normal 4 5 2 3 2 3 2 2 2" xfId="11937" xr:uid="{00000000-0005-0000-0000-00007B4F0000}"/>
    <cellStyle name="Normal 4 5 2 3 2 3 2 2 2 2" xfId="24225" xr:uid="{00000000-0005-0000-0000-00007C4F0000}"/>
    <cellStyle name="Normal 4 5 2 3 2 3 2 2 2 2 2" xfId="48801" xr:uid="{00000000-0005-0000-0000-00007D4F0000}"/>
    <cellStyle name="Normal 4 5 2 3 2 3 2 2 2 3" xfId="36513" xr:uid="{00000000-0005-0000-0000-00007E4F0000}"/>
    <cellStyle name="Normal 4 5 2 3 2 3 2 2 3" xfId="18081" xr:uid="{00000000-0005-0000-0000-00007F4F0000}"/>
    <cellStyle name="Normal 4 5 2 3 2 3 2 2 3 2" xfId="42657" xr:uid="{00000000-0005-0000-0000-0000804F0000}"/>
    <cellStyle name="Normal 4 5 2 3 2 3 2 2 4" xfId="30369" xr:uid="{00000000-0005-0000-0000-0000814F0000}"/>
    <cellStyle name="Normal 4 5 2 3 2 3 2 3" xfId="8865" xr:uid="{00000000-0005-0000-0000-0000824F0000}"/>
    <cellStyle name="Normal 4 5 2 3 2 3 2 3 2" xfId="21153" xr:uid="{00000000-0005-0000-0000-0000834F0000}"/>
    <cellStyle name="Normal 4 5 2 3 2 3 2 3 2 2" xfId="45729" xr:uid="{00000000-0005-0000-0000-0000844F0000}"/>
    <cellStyle name="Normal 4 5 2 3 2 3 2 3 3" xfId="33441" xr:uid="{00000000-0005-0000-0000-0000854F0000}"/>
    <cellStyle name="Normal 4 5 2 3 2 3 2 4" xfId="15009" xr:uid="{00000000-0005-0000-0000-0000864F0000}"/>
    <cellStyle name="Normal 4 5 2 3 2 3 2 4 2" xfId="39585" xr:uid="{00000000-0005-0000-0000-0000874F0000}"/>
    <cellStyle name="Normal 4 5 2 3 2 3 2 5" xfId="27297" xr:uid="{00000000-0005-0000-0000-0000884F0000}"/>
    <cellStyle name="Normal 4 5 2 3 2 3 3" xfId="4257" xr:uid="{00000000-0005-0000-0000-0000894F0000}"/>
    <cellStyle name="Normal 4 5 2 3 2 3 3 2" xfId="10401" xr:uid="{00000000-0005-0000-0000-00008A4F0000}"/>
    <cellStyle name="Normal 4 5 2 3 2 3 3 2 2" xfId="22689" xr:uid="{00000000-0005-0000-0000-00008B4F0000}"/>
    <cellStyle name="Normal 4 5 2 3 2 3 3 2 2 2" xfId="47265" xr:uid="{00000000-0005-0000-0000-00008C4F0000}"/>
    <cellStyle name="Normal 4 5 2 3 2 3 3 2 3" xfId="34977" xr:uid="{00000000-0005-0000-0000-00008D4F0000}"/>
    <cellStyle name="Normal 4 5 2 3 2 3 3 3" xfId="16545" xr:uid="{00000000-0005-0000-0000-00008E4F0000}"/>
    <cellStyle name="Normal 4 5 2 3 2 3 3 3 2" xfId="41121" xr:uid="{00000000-0005-0000-0000-00008F4F0000}"/>
    <cellStyle name="Normal 4 5 2 3 2 3 3 4" xfId="28833" xr:uid="{00000000-0005-0000-0000-0000904F0000}"/>
    <cellStyle name="Normal 4 5 2 3 2 3 4" xfId="7329" xr:uid="{00000000-0005-0000-0000-0000914F0000}"/>
    <cellStyle name="Normal 4 5 2 3 2 3 4 2" xfId="19617" xr:uid="{00000000-0005-0000-0000-0000924F0000}"/>
    <cellStyle name="Normal 4 5 2 3 2 3 4 2 2" xfId="44193" xr:uid="{00000000-0005-0000-0000-0000934F0000}"/>
    <cellStyle name="Normal 4 5 2 3 2 3 4 3" xfId="31905" xr:uid="{00000000-0005-0000-0000-0000944F0000}"/>
    <cellStyle name="Normal 4 5 2 3 2 3 5" xfId="13473" xr:uid="{00000000-0005-0000-0000-0000954F0000}"/>
    <cellStyle name="Normal 4 5 2 3 2 3 5 2" xfId="38049" xr:uid="{00000000-0005-0000-0000-0000964F0000}"/>
    <cellStyle name="Normal 4 5 2 3 2 3 6" xfId="25761" xr:uid="{00000000-0005-0000-0000-0000974F0000}"/>
    <cellStyle name="Normal 4 5 2 3 2 4" xfId="1949" xr:uid="{00000000-0005-0000-0000-0000984F0000}"/>
    <cellStyle name="Normal 4 5 2 3 2 4 2" xfId="5025" xr:uid="{00000000-0005-0000-0000-0000994F0000}"/>
    <cellStyle name="Normal 4 5 2 3 2 4 2 2" xfId="11169" xr:uid="{00000000-0005-0000-0000-00009A4F0000}"/>
    <cellStyle name="Normal 4 5 2 3 2 4 2 2 2" xfId="23457" xr:uid="{00000000-0005-0000-0000-00009B4F0000}"/>
    <cellStyle name="Normal 4 5 2 3 2 4 2 2 2 2" xfId="48033" xr:uid="{00000000-0005-0000-0000-00009C4F0000}"/>
    <cellStyle name="Normal 4 5 2 3 2 4 2 2 3" xfId="35745" xr:uid="{00000000-0005-0000-0000-00009D4F0000}"/>
    <cellStyle name="Normal 4 5 2 3 2 4 2 3" xfId="17313" xr:uid="{00000000-0005-0000-0000-00009E4F0000}"/>
    <cellStyle name="Normal 4 5 2 3 2 4 2 3 2" xfId="41889" xr:uid="{00000000-0005-0000-0000-00009F4F0000}"/>
    <cellStyle name="Normal 4 5 2 3 2 4 2 4" xfId="29601" xr:uid="{00000000-0005-0000-0000-0000A04F0000}"/>
    <cellStyle name="Normal 4 5 2 3 2 4 3" xfId="8097" xr:uid="{00000000-0005-0000-0000-0000A14F0000}"/>
    <cellStyle name="Normal 4 5 2 3 2 4 3 2" xfId="20385" xr:uid="{00000000-0005-0000-0000-0000A24F0000}"/>
    <cellStyle name="Normal 4 5 2 3 2 4 3 2 2" xfId="44961" xr:uid="{00000000-0005-0000-0000-0000A34F0000}"/>
    <cellStyle name="Normal 4 5 2 3 2 4 3 3" xfId="32673" xr:uid="{00000000-0005-0000-0000-0000A44F0000}"/>
    <cellStyle name="Normal 4 5 2 3 2 4 4" xfId="14241" xr:uid="{00000000-0005-0000-0000-0000A54F0000}"/>
    <cellStyle name="Normal 4 5 2 3 2 4 4 2" xfId="38817" xr:uid="{00000000-0005-0000-0000-0000A64F0000}"/>
    <cellStyle name="Normal 4 5 2 3 2 4 5" xfId="26529" xr:uid="{00000000-0005-0000-0000-0000A74F0000}"/>
    <cellStyle name="Normal 4 5 2 3 2 5" xfId="3489" xr:uid="{00000000-0005-0000-0000-0000A84F0000}"/>
    <cellStyle name="Normal 4 5 2 3 2 5 2" xfId="9633" xr:uid="{00000000-0005-0000-0000-0000A94F0000}"/>
    <cellStyle name="Normal 4 5 2 3 2 5 2 2" xfId="21921" xr:uid="{00000000-0005-0000-0000-0000AA4F0000}"/>
    <cellStyle name="Normal 4 5 2 3 2 5 2 2 2" xfId="46497" xr:uid="{00000000-0005-0000-0000-0000AB4F0000}"/>
    <cellStyle name="Normal 4 5 2 3 2 5 2 3" xfId="34209" xr:uid="{00000000-0005-0000-0000-0000AC4F0000}"/>
    <cellStyle name="Normal 4 5 2 3 2 5 3" xfId="15777" xr:uid="{00000000-0005-0000-0000-0000AD4F0000}"/>
    <cellStyle name="Normal 4 5 2 3 2 5 3 2" xfId="40353" xr:uid="{00000000-0005-0000-0000-0000AE4F0000}"/>
    <cellStyle name="Normal 4 5 2 3 2 5 4" xfId="28065" xr:uid="{00000000-0005-0000-0000-0000AF4F0000}"/>
    <cellStyle name="Normal 4 5 2 3 2 6" xfId="6561" xr:uid="{00000000-0005-0000-0000-0000B04F0000}"/>
    <cellStyle name="Normal 4 5 2 3 2 6 2" xfId="18849" xr:uid="{00000000-0005-0000-0000-0000B14F0000}"/>
    <cellStyle name="Normal 4 5 2 3 2 6 2 2" xfId="43425" xr:uid="{00000000-0005-0000-0000-0000B24F0000}"/>
    <cellStyle name="Normal 4 5 2 3 2 6 3" xfId="31137" xr:uid="{00000000-0005-0000-0000-0000B34F0000}"/>
    <cellStyle name="Normal 4 5 2 3 2 7" xfId="12705" xr:uid="{00000000-0005-0000-0000-0000B44F0000}"/>
    <cellStyle name="Normal 4 5 2 3 2 7 2" xfId="37281" xr:uid="{00000000-0005-0000-0000-0000B54F0000}"/>
    <cellStyle name="Normal 4 5 2 3 2 8" xfId="24993" xr:uid="{00000000-0005-0000-0000-0000B64F0000}"/>
    <cellStyle name="Normal 4 5 2 3 3" xfId="605" xr:uid="{00000000-0005-0000-0000-0000B74F0000}"/>
    <cellStyle name="Normal 4 5 2 3 3 2" xfId="1373" xr:uid="{00000000-0005-0000-0000-0000B84F0000}"/>
    <cellStyle name="Normal 4 5 2 3 3 2 2" xfId="2909" xr:uid="{00000000-0005-0000-0000-0000B94F0000}"/>
    <cellStyle name="Normal 4 5 2 3 3 2 2 2" xfId="5985" xr:uid="{00000000-0005-0000-0000-0000BA4F0000}"/>
    <cellStyle name="Normal 4 5 2 3 3 2 2 2 2" xfId="12129" xr:uid="{00000000-0005-0000-0000-0000BB4F0000}"/>
    <cellStyle name="Normal 4 5 2 3 3 2 2 2 2 2" xfId="24417" xr:uid="{00000000-0005-0000-0000-0000BC4F0000}"/>
    <cellStyle name="Normal 4 5 2 3 3 2 2 2 2 2 2" xfId="48993" xr:uid="{00000000-0005-0000-0000-0000BD4F0000}"/>
    <cellStyle name="Normal 4 5 2 3 3 2 2 2 2 3" xfId="36705" xr:uid="{00000000-0005-0000-0000-0000BE4F0000}"/>
    <cellStyle name="Normal 4 5 2 3 3 2 2 2 3" xfId="18273" xr:uid="{00000000-0005-0000-0000-0000BF4F0000}"/>
    <cellStyle name="Normal 4 5 2 3 3 2 2 2 3 2" xfId="42849" xr:uid="{00000000-0005-0000-0000-0000C04F0000}"/>
    <cellStyle name="Normal 4 5 2 3 3 2 2 2 4" xfId="30561" xr:uid="{00000000-0005-0000-0000-0000C14F0000}"/>
    <cellStyle name="Normal 4 5 2 3 3 2 2 3" xfId="9057" xr:uid="{00000000-0005-0000-0000-0000C24F0000}"/>
    <cellStyle name="Normal 4 5 2 3 3 2 2 3 2" xfId="21345" xr:uid="{00000000-0005-0000-0000-0000C34F0000}"/>
    <cellStyle name="Normal 4 5 2 3 3 2 2 3 2 2" xfId="45921" xr:uid="{00000000-0005-0000-0000-0000C44F0000}"/>
    <cellStyle name="Normal 4 5 2 3 3 2 2 3 3" xfId="33633" xr:uid="{00000000-0005-0000-0000-0000C54F0000}"/>
    <cellStyle name="Normal 4 5 2 3 3 2 2 4" xfId="15201" xr:uid="{00000000-0005-0000-0000-0000C64F0000}"/>
    <cellStyle name="Normal 4 5 2 3 3 2 2 4 2" xfId="39777" xr:uid="{00000000-0005-0000-0000-0000C74F0000}"/>
    <cellStyle name="Normal 4 5 2 3 3 2 2 5" xfId="27489" xr:uid="{00000000-0005-0000-0000-0000C84F0000}"/>
    <cellStyle name="Normal 4 5 2 3 3 2 3" xfId="4449" xr:uid="{00000000-0005-0000-0000-0000C94F0000}"/>
    <cellStyle name="Normal 4 5 2 3 3 2 3 2" xfId="10593" xr:uid="{00000000-0005-0000-0000-0000CA4F0000}"/>
    <cellStyle name="Normal 4 5 2 3 3 2 3 2 2" xfId="22881" xr:uid="{00000000-0005-0000-0000-0000CB4F0000}"/>
    <cellStyle name="Normal 4 5 2 3 3 2 3 2 2 2" xfId="47457" xr:uid="{00000000-0005-0000-0000-0000CC4F0000}"/>
    <cellStyle name="Normal 4 5 2 3 3 2 3 2 3" xfId="35169" xr:uid="{00000000-0005-0000-0000-0000CD4F0000}"/>
    <cellStyle name="Normal 4 5 2 3 3 2 3 3" xfId="16737" xr:uid="{00000000-0005-0000-0000-0000CE4F0000}"/>
    <cellStyle name="Normal 4 5 2 3 3 2 3 3 2" xfId="41313" xr:uid="{00000000-0005-0000-0000-0000CF4F0000}"/>
    <cellStyle name="Normal 4 5 2 3 3 2 3 4" xfId="29025" xr:uid="{00000000-0005-0000-0000-0000D04F0000}"/>
    <cellStyle name="Normal 4 5 2 3 3 2 4" xfId="7521" xr:uid="{00000000-0005-0000-0000-0000D14F0000}"/>
    <cellStyle name="Normal 4 5 2 3 3 2 4 2" xfId="19809" xr:uid="{00000000-0005-0000-0000-0000D24F0000}"/>
    <cellStyle name="Normal 4 5 2 3 3 2 4 2 2" xfId="44385" xr:uid="{00000000-0005-0000-0000-0000D34F0000}"/>
    <cellStyle name="Normal 4 5 2 3 3 2 4 3" xfId="32097" xr:uid="{00000000-0005-0000-0000-0000D44F0000}"/>
    <cellStyle name="Normal 4 5 2 3 3 2 5" xfId="13665" xr:uid="{00000000-0005-0000-0000-0000D54F0000}"/>
    <cellStyle name="Normal 4 5 2 3 3 2 5 2" xfId="38241" xr:uid="{00000000-0005-0000-0000-0000D64F0000}"/>
    <cellStyle name="Normal 4 5 2 3 3 2 6" xfId="25953" xr:uid="{00000000-0005-0000-0000-0000D74F0000}"/>
    <cellStyle name="Normal 4 5 2 3 3 3" xfId="2141" xr:uid="{00000000-0005-0000-0000-0000D84F0000}"/>
    <cellStyle name="Normal 4 5 2 3 3 3 2" xfId="5217" xr:uid="{00000000-0005-0000-0000-0000D94F0000}"/>
    <cellStyle name="Normal 4 5 2 3 3 3 2 2" xfId="11361" xr:uid="{00000000-0005-0000-0000-0000DA4F0000}"/>
    <cellStyle name="Normal 4 5 2 3 3 3 2 2 2" xfId="23649" xr:uid="{00000000-0005-0000-0000-0000DB4F0000}"/>
    <cellStyle name="Normal 4 5 2 3 3 3 2 2 2 2" xfId="48225" xr:uid="{00000000-0005-0000-0000-0000DC4F0000}"/>
    <cellStyle name="Normal 4 5 2 3 3 3 2 2 3" xfId="35937" xr:uid="{00000000-0005-0000-0000-0000DD4F0000}"/>
    <cellStyle name="Normal 4 5 2 3 3 3 2 3" xfId="17505" xr:uid="{00000000-0005-0000-0000-0000DE4F0000}"/>
    <cellStyle name="Normal 4 5 2 3 3 3 2 3 2" xfId="42081" xr:uid="{00000000-0005-0000-0000-0000DF4F0000}"/>
    <cellStyle name="Normal 4 5 2 3 3 3 2 4" xfId="29793" xr:uid="{00000000-0005-0000-0000-0000E04F0000}"/>
    <cellStyle name="Normal 4 5 2 3 3 3 3" xfId="8289" xr:uid="{00000000-0005-0000-0000-0000E14F0000}"/>
    <cellStyle name="Normal 4 5 2 3 3 3 3 2" xfId="20577" xr:uid="{00000000-0005-0000-0000-0000E24F0000}"/>
    <cellStyle name="Normal 4 5 2 3 3 3 3 2 2" xfId="45153" xr:uid="{00000000-0005-0000-0000-0000E34F0000}"/>
    <cellStyle name="Normal 4 5 2 3 3 3 3 3" xfId="32865" xr:uid="{00000000-0005-0000-0000-0000E44F0000}"/>
    <cellStyle name="Normal 4 5 2 3 3 3 4" xfId="14433" xr:uid="{00000000-0005-0000-0000-0000E54F0000}"/>
    <cellStyle name="Normal 4 5 2 3 3 3 4 2" xfId="39009" xr:uid="{00000000-0005-0000-0000-0000E64F0000}"/>
    <cellStyle name="Normal 4 5 2 3 3 3 5" xfId="26721" xr:uid="{00000000-0005-0000-0000-0000E74F0000}"/>
    <cellStyle name="Normal 4 5 2 3 3 4" xfId="3681" xr:uid="{00000000-0005-0000-0000-0000E84F0000}"/>
    <cellStyle name="Normal 4 5 2 3 3 4 2" xfId="9825" xr:uid="{00000000-0005-0000-0000-0000E94F0000}"/>
    <cellStyle name="Normal 4 5 2 3 3 4 2 2" xfId="22113" xr:uid="{00000000-0005-0000-0000-0000EA4F0000}"/>
    <cellStyle name="Normal 4 5 2 3 3 4 2 2 2" xfId="46689" xr:uid="{00000000-0005-0000-0000-0000EB4F0000}"/>
    <cellStyle name="Normal 4 5 2 3 3 4 2 3" xfId="34401" xr:uid="{00000000-0005-0000-0000-0000EC4F0000}"/>
    <cellStyle name="Normal 4 5 2 3 3 4 3" xfId="15969" xr:uid="{00000000-0005-0000-0000-0000ED4F0000}"/>
    <cellStyle name="Normal 4 5 2 3 3 4 3 2" xfId="40545" xr:uid="{00000000-0005-0000-0000-0000EE4F0000}"/>
    <cellStyle name="Normal 4 5 2 3 3 4 4" xfId="28257" xr:uid="{00000000-0005-0000-0000-0000EF4F0000}"/>
    <cellStyle name="Normal 4 5 2 3 3 5" xfId="6753" xr:uid="{00000000-0005-0000-0000-0000F04F0000}"/>
    <cellStyle name="Normal 4 5 2 3 3 5 2" xfId="19041" xr:uid="{00000000-0005-0000-0000-0000F14F0000}"/>
    <cellStyle name="Normal 4 5 2 3 3 5 2 2" xfId="43617" xr:uid="{00000000-0005-0000-0000-0000F24F0000}"/>
    <cellStyle name="Normal 4 5 2 3 3 5 3" xfId="31329" xr:uid="{00000000-0005-0000-0000-0000F34F0000}"/>
    <cellStyle name="Normal 4 5 2 3 3 6" xfId="12897" xr:uid="{00000000-0005-0000-0000-0000F44F0000}"/>
    <cellStyle name="Normal 4 5 2 3 3 6 2" xfId="37473" xr:uid="{00000000-0005-0000-0000-0000F54F0000}"/>
    <cellStyle name="Normal 4 5 2 3 3 7" xfId="25185" xr:uid="{00000000-0005-0000-0000-0000F64F0000}"/>
    <cellStyle name="Normal 4 5 2 3 4" xfId="989" xr:uid="{00000000-0005-0000-0000-0000F74F0000}"/>
    <cellStyle name="Normal 4 5 2 3 4 2" xfId="2525" xr:uid="{00000000-0005-0000-0000-0000F84F0000}"/>
    <cellStyle name="Normal 4 5 2 3 4 2 2" xfId="5601" xr:uid="{00000000-0005-0000-0000-0000F94F0000}"/>
    <cellStyle name="Normal 4 5 2 3 4 2 2 2" xfId="11745" xr:uid="{00000000-0005-0000-0000-0000FA4F0000}"/>
    <cellStyle name="Normal 4 5 2 3 4 2 2 2 2" xfId="24033" xr:uid="{00000000-0005-0000-0000-0000FB4F0000}"/>
    <cellStyle name="Normal 4 5 2 3 4 2 2 2 2 2" xfId="48609" xr:uid="{00000000-0005-0000-0000-0000FC4F0000}"/>
    <cellStyle name="Normal 4 5 2 3 4 2 2 2 3" xfId="36321" xr:uid="{00000000-0005-0000-0000-0000FD4F0000}"/>
    <cellStyle name="Normal 4 5 2 3 4 2 2 3" xfId="17889" xr:uid="{00000000-0005-0000-0000-0000FE4F0000}"/>
    <cellStyle name="Normal 4 5 2 3 4 2 2 3 2" xfId="42465" xr:uid="{00000000-0005-0000-0000-0000FF4F0000}"/>
    <cellStyle name="Normal 4 5 2 3 4 2 2 4" xfId="30177" xr:uid="{00000000-0005-0000-0000-000000500000}"/>
    <cellStyle name="Normal 4 5 2 3 4 2 3" xfId="8673" xr:uid="{00000000-0005-0000-0000-000001500000}"/>
    <cellStyle name="Normal 4 5 2 3 4 2 3 2" xfId="20961" xr:uid="{00000000-0005-0000-0000-000002500000}"/>
    <cellStyle name="Normal 4 5 2 3 4 2 3 2 2" xfId="45537" xr:uid="{00000000-0005-0000-0000-000003500000}"/>
    <cellStyle name="Normal 4 5 2 3 4 2 3 3" xfId="33249" xr:uid="{00000000-0005-0000-0000-000004500000}"/>
    <cellStyle name="Normal 4 5 2 3 4 2 4" xfId="14817" xr:uid="{00000000-0005-0000-0000-000005500000}"/>
    <cellStyle name="Normal 4 5 2 3 4 2 4 2" xfId="39393" xr:uid="{00000000-0005-0000-0000-000006500000}"/>
    <cellStyle name="Normal 4 5 2 3 4 2 5" xfId="27105" xr:uid="{00000000-0005-0000-0000-000007500000}"/>
    <cellStyle name="Normal 4 5 2 3 4 3" xfId="4065" xr:uid="{00000000-0005-0000-0000-000008500000}"/>
    <cellStyle name="Normal 4 5 2 3 4 3 2" xfId="10209" xr:uid="{00000000-0005-0000-0000-000009500000}"/>
    <cellStyle name="Normal 4 5 2 3 4 3 2 2" xfId="22497" xr:uid="{00000000-0005-0000-0000-00000A500000}"/>
    <cellStyle name="Normal 4 5 2 3 4 3 2 2 2" xfId="47073" xr:uid="{00000000-0005-0000-0000-00000B500000}"/>
    <cellStyle name="Normal 4 5 2 3 4 3 2 3" xfId="34785" xr:uid="{00000000-0005-0000-0000-00000C500000}"/>
    <cellStyle name="Normal 4 5 2 3 4 3 3" xfId="16353" xr:uid="{00000000-0005-0000-0000-00000D500000}"/>
    <cellStyle name="Normal 4 5 2 3 4 3 3 2" xfId="40929" xr:uid="{00000000-0005-0000-0000-00000E500000}"/>
    <cellStyle name="Normal 4 5 2 3 4 3 4" xfId="28641" xr:uid="{00000000-0005-0000-0000-00000F500000}"/>
    <cellStyle name="Normal 4 5 2 3 4 4" xfId="7137" xr:uid="{00000000-0005-0000-0000-000010500000}"/>
    <cellStyle name="Normal 4 5 2 3 4 4 2" xfId="19425" xr:uid="{00000000-0005-0000-0000-000011500000}"/>
    <cellStyle name="Normal 4 5 2 3 4 4 2 2" xfId="44001" xr:uid="{00000000-0005-0000-0000-000012500000}"/>
    <cellStyle name="Normal 4 5 2 3 4 4 3" xfId="31713" xr:uid="{00000000-0005-0000-0000-000013500000}"/>
    <cellStyle name="Normal 4 5 2 3 4 5" xfId="13281" xr:uid="{00000000-0005-0000-0000-000014500000}"/>
    <cellStyle name="Normal 4 5 2 3 4 5 2" xfId="37857" xr:uid="{00000000-0005-0000-0000-000015500000}"/>
    <cellStyle name="Normal 4 5 2 3 4 6" xfId="25569" xr:uid="{00000000-0005-0000-0000-000016500000}"/>
    <cellStyle name="Normal 4 5 2 3 5" xfId="1757" xr:uid="{00000000-0005-0000-0000-000017500000}"/>
    <cellStyle name="Normal 4 5 2 3 5 2" xfId="4833" xr:uid="{00000000-0005-0000-0000-000018500000}"/>
    <cellStyle name="Normal 4 5 2 3 5 2 2" xfId="10977" xr:uid="{00000000-0005-0000-0000-000019500000}"/>
    <cellStyle name="Normal 4 5 2 3 5 2 2 2" xfId="23265" xr:uid="{00000000-0005-0000-0000-00001A500000}"/>
    <cellStyle name="Normal 4 5 2 3 5 2 2 2 2" xfId="47841" xr:uid="{00000000-0005-0000-0000-00001B500000}"/>
    <cellStyle name="Normal 4 5 2 3 5 2 2 3" xfId="35553" xr:uid="{00000000-0005-0000-0000-00001C500000}"/>
    <cellStyle name="Normal 4 5 2 3 5 2 3" xfId="17121" xr:uid="{00000000-0005-0000-0000-00001D500000}"/>
    <cellStyle name="Normal 4 5 2 3 5 2 3 2" xfId="41697" xr:uid="{00000000-0005-0000-0000-00001E500000}"/>
    <cellStyle name="Normal 4 5 2 3 5 2 4" xfId="29409" xr:uid="{00000000-0005-0000-0000-00001F500000}"/>
    <cellStyle name="Normal 4 5 2 3 5 3" xfId="7905" xr:uid="{00000000-0005-0000-0000-000020500000}"/>
    <cellStyle name="Normal 4 5 2 3 5 3 2" xfId="20193" xr:uid="{00000000-0005-0000-0000-000021500000}"/>
    <cellStyle name="Normal 4 5 2 3 5 3 2 2" xfId="44769" xr:uid="{00000000-0005-0000-0000-000022500000}"/>
    <cellStyle name="Normal 4 5 2 3 5 3 3" xfId="32481" xr:uid="{00000000-0005-0000-0000-000023500000}"/>
    <cellStyle name="Normal 4 5 2 3 5 4" xfId="14049" xr:uid="{00000000-0005-0000-0000-000024500000}"/>
    <cellStyle name="Normal 4 5 2 3 5 4 2" xfId="38625" xr:uid="{00000000-0005-0000-0000-000025500000}"/>
    <cellStyle name="Normal 4 5 2 3 5 5" xfId="26337" xr:uid="{00000000-0005-0000-0000-000026500000}"/>
    <cellStyle name="Normal 4 5 2 3 6" xfId="3297" xr:uid="{00000000-0005-0000-0000-000027500000}"/>
    <cellStyle name="Normal 4 5 2 3 6 2" xfId="9441" xr:uid="{00000000-0005-0000-0000-000028500000}"/>
    <cellStyle name="Normal 4 5 2 3 6 2 2" xfId="21729" xr:uid="{00000000-0005-0000-0000-000029500000}"/>
    <cellStyle name="Normal 4 5 2 3 6 2 2 2" xfId="46305" xr:uid="{00000000-0005-0000-0000-00002A500000}"/>
    <cellStyle name="Normal 4 5 2 3 6 2 3" xfId="34017" xr:uid="{00000000-0005-0000-0000-00002B500000}"/>
    <cellStyle name="Normal 4 5 2 3 6 3" xfId="15585" xr:uid="{00000000-0005-0000-0000-00002C500000}"/>
    <cellStyle name="Normal 4 5 2 3 6 3 2" xfId="40161" xr:uid="{00000000-0005-0000-0000-00002D500000}"/>
    <cellStyle name="Normal 4 5 2 3 6 4" xfId="27873" xr:uid="{00000000-0005-0000-0000-00002E500000}"/>
    <cellStyle name="Normal 4 5 2 3 7" xfId="6369" xr:uid="{00000000-0005-0000-0000-00002F500000}"/>
    <cellStyle name="Normal 4 5 2 3 7 2" xfId="18657" xr:uid="{00000000-0005-0000-0000-000030500000}"/>
    <cellStyle name="Normal 4 5 2 3 7 2 2" xfId="43233" xr:uid="{00000000-0005-0000-0000-000031500000}"/>
    <cellStyle name="Normal 4 5 2 3 7 3" xfId="30945" xr:uid="{00000000-0005-0000-0000-000032500000}"/>
    <cellStyle name="Normal 4 5 2 3 8" xfId="12513" xr:uid="{00000000-0005-0000-0000-000033500000}"/>
    <cellStyle name="Normal 4 5 2 3 8 2" xfId="37089" xr:uid="{00000000-0005-0000-0000-000034500000}"/>
    <cellStyle name="Normal 4 5 2 3 9" xfId="24801" xr:uid="{00000000-0005-0000-0000-000035500000}"/>
    <cellStyle name="Normal 4 5 2 4" xfId="285" xr:uid="{00000000-0005-0000-0000-000036500000}"/>
    <cellStyle name="Normal 4 5 2 4 2" xfId="477" xr:uid="{00000000-0005-0000-0000-000037500000}"/>
    <cellStyle name="Normal 4 5 2 4 2 2" xfId="861" xr:uid="{00000000-0005-0000-0000-000038500000}"/>
    <cellStyle name="Normal 4 5 2 4 2 2 2" xfId="1629" xr:uid="{00000000-0005-0000-0000-000039500000}"/>
    <cellStyle name="Normal 4 5 2 4 2 2 2 2" xfId="3165" xr:uid="{00000000-0005-0000-0000-00003A500000}"/>
    <cellStyle name="Normal 4 5 2 4 2 2 2 2 2" xfId="6241" xr:uid="{00000000-0005-0000-0000-00003B500000}"/>
    <cellStyle name="Normal 4 5 2 4 2 2 2 2 2 2" xfId="12385" xr:uid="{00000000-0005-0000-0000-00003C500000}"/>
    <cellStyle name="Normal 4 5 2 4 2 2 2 2 2 2 2" xfId="24673" xr:uid="{00000000-0005-0000-0000-00003D500000}"/>
    <cellStyle name="Normal 4 5 2 4 2 2 2 2 2 2 2 2" xfId="49249" xr:uid="{00000000-0005-0000-0000-00003E500000}"/>
    <cellStyle name="Normal 4 5 2 4 2 2 2 2 2 2 3" xfId="36961" xr:uid="{00000000-0005-0000-0000-00003F500000}"/>
    <cellStyle name="Normal 4 5 2 4 2 2 2 2 2 3" xfId="18529" xr:uid="{00000000-0005-0000-0000-000040500000}"/>
    <cellStyle name="Normal 4 5 2 4 2 2 2 2 2 3 2" xfId="43105" xr:uid="{00000000-0005-0000-0000-000041500000}"/>
    <cellStyle name="Normal 4 5 2 4 2 2 2 2 2 4" xfId="30817" xr:uid="{00000000-0005-0000-0000-000042500000}"/>
    <cellStyle name="Normal 4 5 2 4 2 2 2 2 3" xfId="9313" xr:uid="{00000000-0005-0000-0000-000043500000}"/>
    <cellStyle name="Normal 4 5 2 4 2 2 2 2 3 2" xfId="21601" xr:uid="{00000000-0005-0000-0000-000044500000}"/>
    <cellStyle name="Normal 4 5 2 4 2 2 2 2 3 2 2" xfId="46177" xr:uid="{00000000-0005-0000-0000-000045500000}"/>
    <cellStyle name="Normal 4 5 2 4 2 2 2 2 3 3" xfId="33889" xr:uid="{00000000-0005-0000-0000-000046500000}"/>
    <cellStyle name="Normal 4 5 2 4 2 2 2 2 4" xfId="15457" xr:uid="{00000000-0005-0000-0000-000047500000}"/>
    <cellStyle name="Normal 4 5 2 4 2 2 2 2 4 2" xfId="40033" xr:uid="{00000000-0005-0000-0000-000048500000}"/>
    <cellStyle name="Normal 4 5 2 4 2 2 2 2 5" xfId="27745" xr:uid="{00000000-0005-0000-0000-000049500000}"/>
    <cellStyle name="Normal 4 5 2 4 2 2 2 3" xfId="4705" xr:uid="{00000000-0005-0000-0000-00004A500000}"/>
    <cellStyle name="Normal 4 5 2 4 2 2 2 3 2" xfId="10849" xr:uid="{00000000-0005-0000-0000-00004B500000}"/>
    <cellStyle name="Normal 4 5 2 4 2 2 2 3 2 2" xfId="23137" xr:uid="{00000000-0005-0000-0000-00004C500000}"/>
    <cellStyle name="Normal 4 5 2 4 2 2 2 3 2 2 2" xfId="47713" xr:uid="{00000000-0005-0000-0000-00004D500000}"/>
    <cellStyle name="Normal 4 5 2 4 2 2 2 3 2 3" xfId="35425" xr:uid="{00000000-0005-0000-0000-00004E500000}"/>
    <cellStyle name="Normal 4 5 2 4 2 2 2 3 3" xfId="16993" xr:uid="{00000000-0005-0000-0000-00004F500000}"/>
    <cellStyle name="Normal 4 5 2 4 2 2 2 3 3 2" xfId="41569" xr:uid="{00000000-0005-0000-0000-000050500000}"/>
    <cellStyle name="Normal 4 5 2 4 2 2 2 3 4" xfId="29281" xr:uid="{00000000-0005-0000-0000-000051500000}"/>
    <cellStyle name="Normal 4 5 2 4 2 2 2 4" xfId="7777" xr:uid="{00000000-0005-0000-0000-000052500000}"/>
    <cellStyle name="Normal 4 5 2 4 2 2 2 4 2" xfId="20065" xr:uid="{00000000-0005-0000-0000-000053500000}"/>
    <cellStyle name="Normal 4 5 2 4 2 2 2 4 2 2" xfId="44641" xr:uid="{00000000-0005-0000-0000-000054500000}"/>
    <cellStyle name="Normal 4 5 2 4 2 2 2 4 3" xfId="32353" xr:uid="{00000000-0005-0000-0000-000055500000}"/>
    <cellStyle name="Normal 4 5 2 4 2 2 2 5" xfId="13921" xr:uid="{00000000-0005-0000-0000-000056500000}"/>
    <cellStyle name="Normal 4 5 2 4 2 2 2 5 2" xfId="38497" xr:uid="{00000000-0005-0000-0000-000057500000}"/>
    <cellStyle name="Normal 4 5 2 4 2 2 2 6" xfId="26209" xr:uid="{00000000-0005-0000-0000-000058500000}"/>
    <cellStyle name="Normal 4 5 2 4 2 2 3" xfId="2397" xr:uid="{00000000-0005-0000-0000-000059500000}"/>
    <cellStyle name="Normal 4 5 2 4 2 2 3 2" xfId="5473" xr:uid="{00000000-0005-0000-0000-00005A500000}"/>
    <cellStyle name="Normal 4 5 2 4 2 2 3 2 2" xfId="11617" xr:uid="{00000000-0005-0000-0000-00005B500000}"/>
    <cellStyle name="Normal 4 5 2 4 2 2 3 2 2 2" xfId="23905" xr:uid="{00000000-0005-0000-0000-00005C500000}"/>
    <cellStyle name="Normal 4 5 2 4 2 2 3 2 2 2 2" xfId="48481" xr:uid="{00000000-0005-0000-0000-00005D500000}"/>
    <cellStyle name="Normal 4 5 2 4 2 2 3 2 2 3" xfId="36193" xr:uid="{00000000-0005-0000-0000-00005E500000}"/>
    <cellStyle name="Normal 4 5 2 4 2 2 3 2 3" xfId="17761" xr:uid="{00000000-0005-0000-0000-00005F500000}"/>
    <cellStyle name="Normal 4 5 2 4 2 2 3 2 3 2" xfId="42337" xr:uid="{00000000-0005-0000-0000-000060500000}"/>
    <cellStyle name="Normal 4 5 2 4 2 2 3 2 4" xfId="30049" xr:uid="{00000000-0005-0000-0000-000061500000}"/>
    <cellStyle name="Normal 4 5 2 4 2 2 3 3" xfId="8545" xr:uid="{00000000-0005-0000-0000-000062500000}"/>
    <cellStyle name="Normal 4 5 2 4 2 2 3 3 2" xfId="20833" xr:uid="{00000000-0005-0000-0000-000063500000}"/>
    <cellStyle name="Normal 4 5 2 4 2 2 3 3 2 2" xfId="45409" xr:uid="{00000000-0005-0000-0000-000064500000}"/>
    <cellStyle name="Normal 4 5 2 4 2 2 3 3 3" xfId="33121" xr:uid="{00000000-0005-0000-0000-000065500000}"/>
    <cellStyle name="Normal 4 5 2 4 2 2 3 4" xfId="14689" xr:uid="{00000000-0005-0000-0000-000066500000}"/>
    <cellStyle name="Normal 4 5 2 4 2 2 3 4 2" xfId="39265" xr:uid="{00000000-0005-0000-0000-000067500000}"/>
    <cellStyle name="Normal 4 5 2 4 2 2 3 5" xfId="26977" xr:uid="{00000000-0005-0000-0000-000068500000}"/>
    <cellStyle name="Normal 4 5 2 4 2 2 4" xfId="3937" xr:uid="{00000000-0005-0000-0000-000069500000}"/>
    <cellStyle name="Normal 4 5 2 4 2 2 4 2" xfId="10081" xr:uid="{00000000-0005-0000-0000-00006A500000}"/>
    <cellStyle name="Normal 4 5 2 4 2 2 4 2 2" xfId="22369" xr:uid="{00000000-0005-0000-0000-00006B500000}"/>
    <cellStyle name="Normal 4 5 2 4 2 2 4 2 2 2" xfId="46945" xr:uid="{00000000-0005-0000-0000-00006C500000}"/>
    <cellStyle name="Normal 4 5 2 4 2 2 4 2 3" xfId="34657" xr:uid="{00000000-0005-0000-0000-00006D500000}"/>
    <cellStyle name="Normal 4 5 2 4 2 2 4 3" xfId="16225" xr:uid="{00000000-0005-0000-0000-00006E500000}"/>
    <cellStyle name="Normal 4 5 2 4 2 2 4 3 2" xfId="40801" xr:uid="{00000000-0005-0000-0000-00006F500000}"/>
    <cellStyle name="Normal 4 5 2 4 2 2 4 4" xfId="28513" xr:uid="{00000000-0005-0000-0000-000070500000}"/>
    <cellStyle name="Normal 4 5 2 4 2 2 5" xfId="7009" xr:uid="{00000000-0005-0000-0000-000071500000}"/>
    <cellStyle name="Normal 4 5 2 4 2 2 5 2" xfId="19297" xr:uid="{00000000-0005-0000-0000-000072500000}"/>
    <cellStyle name="Normal 4 5 2 4 2 2 5 2 2" xfId="43873" xr:uid="{00000000-0005-0000-0000-000073500000}"/>
    <cellStyle name="Normal 4 5 2 4 2 2 5 3" xfId="31585" xr:uid="{00000000-0005-0000-0000-000074500000}"/>
    <cellStyle name="Normal 4 5 2 4 2 2 6" xfId="13153" xr:uid="{00000000-0005-0000-0000-000075500000}"/>
    <cellStyle name="Normal 4 5 2 4 2 2 6 2" xfId="37729" xr:uid="{00000000-0005-0000-0000-000076500000}"/>
    <cellStyle name="Normal 4 5 2 4 2 2 7" xfId="25441" xr:uid="{00000000-0005-0000-0000-000077500000}"/>
    <cellStyle name="Normal 4 5 2 4 2 3" xfId="1245" xr:uid="{00000000-0005-0000-0000-000078500000}"/>
    <cellStyle name="Normal 4 5 2 4 2 3 2" xfId="2781" xr:uid="{00000000-0005-0000-0000-000079500000}"/>
    <cellStyle name="Normal 4 5 2 4 2 3 2 2" xfId="5857" xr:uid="{00000000-0005-0000-0000-00007A500000}"/>
    <cellStyle name="Normal 4 5 2 4 2 3 2 2 2" xfId="12001" xr:uid="{00000000-0005-0000-0000-00007B500000}"/>
    <cellStyle name="Normal 4 5 2 4 2 3 2 2 2 2" xfId="24289" xr:uid="{00000000-0005-0000-0000-00007C500000}"/>
    <cellStyle name="Normal 4 5 2 4 2 3 2 2 2 2 2" xfId="48865" xr:uid="{00000000-0005-0000-0000-00007D500000}"/>
    <cellStyle name="Normal 4 5 2 4 2 3 2 2 2 3" xfId="36577" xr:uid="{00000000-0005-0000-0000-00007E500000}"/>
    <cellStyle name="Normal 4 5 2 4 2 3 2 2 3" xfId="18145" xr:uid="{00000000-0005-0000-0000-00007F500000}"/>
    <cellStyle name="Normal 4 5 2 4 2 3 2 2 3 2" xfId="42721" xr:uid="{00000000-0005-0000-0000-000080500000}"/>
    <cellStyle name="Normal 4 5 2 4 2 3 2 2 4" xfId="30433" xr:uid="{00000000-0005-0000-0000-000081500000}"/>
    <cellStyle name="Normal 4 5 2 4 2 3 2 3" xfId="8929" xr:uid="{00000000-0005-0000-0000-000082500000}"/>
    <cellStyle name="Normal 4 5 2 4 2 3 2 3 2" xfId="21217" xr:uid="{00000000-0005-0000-0000-000083500000}"/>
    <cellStyle name="Normal 4 5 2 4 2 3 2 3 2 2" xfId="45793" xr:uid="{00000000-0005-0000-0000-000084500000}"/>
    <cellStyle name="Normal 4 5 2 4 2 3 2 3 3" xfId="33505" xr:uid="{00000000-0005-0000-0000-000085500000}"/>
    <cellStyle name="Normal 4 5 2 4 2 3 2 4" xfId="15073" xr:uid="{00000000-0005-0000-0000-000086500000}"/>
    <cellStyle name="Normal 4 5 2 4 2 3 2 4 2" xfId="39649" xr:uid="{00000000-0005-0000-0000-000087500000}"/>
    <cellStyle name="Normal 4 5 2 4 2 3 2 5" xfId="27361" xr:uid="{00000000-0005-0000-0000-000088500000}"/>
    <cellStyle name="Normal 4 5 2 4 2 3 3" xfId="4321" xr:uid="{00000000-0005-0000-0000-000089500000}"/>
    <cellStyle name="Normal 4 5 2 4 2 3 3 2" xfId="10465" xr:uid="{00000000-0005-0000-0000-00008A500000}"/>
    <cellStyle name="Normal 4 5 2 4 2 3 3 2 2" xfId="22753" xr:uid="{00000000-0005-0000-0000-00008B500000}"/>
    <cellStyle name="Normal 4 5 2 4 2 3 3 2 2 2" xfId="47329" xr:uid="{00000000-0005-0000-0000-00008C500000}"/>
    <cellStyle name="Normal 4 5 2 4 2 3 3 2 3" xfId="35041" xr:uid="{00000000-0005-0000-0000-00008D500000}"/>
    <cellStyle name="Normal 4 5 2 4 2 3 3 3" xfId="16609" xr:uid="{00000000-0005-0000-0000-00008E500000}"/>
    <cellStyle name="Normal 4 5 2 4 2 3 3 3 2" xfId="41185" xr:uid="{00000000-0005-0000-0000-00008F500000}"/>
    <cellStyle name="Normal 4 5 2 4 2 3 3 4" xfId="28897" xr:uid="{00000000-0005-0000-0000-000090500000}"/>
    <cellStyle name="Normal 4 5 2 4 2 3 4" xfId="7393" xr:uid="{00000000-0005-0000-0000-000091500000}"/>
    <cellStyle name="Normal 4 5 2 4 2 3 4 2" xfId="19681" xr:uid="{00000000-0005-0000-0000-000092500000}"/>
    <cellStyle name="Normal 4 5 2 4 2 3 4 2 2" xfId="44257" xr:uid="{00000000-0005-0000-0000-000093500000}"/>
    <cellStyle name="Normal 4 5 2 4 2 3 4 3" xfId="31969" xr:uid="{00000000-0005-0000-0000-000094500000}"/>
    <cellStyle name="Normal 4 5 2 4 2 3 5" xfId="13537" xr:uid="{00000000-0005-0000-0000-000095500000}"/>
    <cellStyle name="Normal 4 5 2 4 2 3 5 2" xfId="38113" xr:uid="{00000000-0005-0000-0000-000096500000}"/>
    <cellStyle name="Normal 4 5 2 4 2 3 6" xfId="25825" xr:uid="{00000000-0005-0000-0000-000097500000}"/>
    <cellStyle name="Normal 4 5 2 4 2 4" xfId="2013" xr:uid="{00000000-0005-0000-0000-000098500000}"/>
    <cellStyle name="Normal 4 5 2 4 2 4 2" xfId="5089" xr:uid="{00000000-0005-0000-0000-000099500000}"/>
    <cellStyle name="Normal 4 5 2 4 2 4 2 2" xfId="11233" xr:uid="{00000000-0005-0000-0000-00009A500000}"/>
    <cellStyle name="Normal 4 5 2 4 2 4 2 2 2" xfId="23521" xr:uid="{00000000-0005-0000-0000-00009B500000}"/>
    <cellStyle name="Normal 4 5 2 4 2 4 2 2 2 2" xfId="48097" xr:uid="{00000000-0005-0000-0000-00009C500000}"/>
    <cellStyle name="Normal 4 5 2 4 2 4 2 2 3" xfId="35809" xr:uid="{00000000-0005-0000-0000-00009D500000}"/>
    <cellStyle name="Normal 4 5 2 4 2 4 2 3" xfId="17377" xr:uid="{00000000-0005-0000-0000-00009E500000}"/>
    <cellStyle name="Normal 4 5 2 4 2 4 2 3 2" xfId="41953" xr:uid="{00000000-0005-0000-0000-00009F500000}"/>
    <cellStyle name="Normal 4 5 2 4 2 4 2 4" xfId="29665" xr:uid="{00000000-0005-0000-0000-0000A0500000}"/>
    <cellStyle name="Normal 4 5 2 4 2 4 3" xfId="8161" xr:uid="{00000000-0005-0000-0000-0000A1500000}"/>
    <cellStyle name="Normal 4 5 2 4 2 4 3 2" xfId="20449" xr:uid="{00000000-0005-0000-0000-0000A2500000}"/>
    <cellStyle name="Normal 4 5 2 4 2 4 3 2 2" xfId="45025" xr:uid="{00000000-0005-0000-0000-0000A3500000}"/>
    <cellStyle name="Normal 4 5 2 4 2 4 3 3" xfId="32737" xr:uid="{00000000-0005-0000-0000-0000A4500000}"/>
    <cellStyle name="Normal 4 5 2 4 2 4 4" xfId="14305" xr:uid="{00000000-0005-0000-0000-0000A5500000}"/>
    <cellStyle name="Normal 4 5 2 4 2 4 4 2" xfId="38881" xr:uid="{00000000-0005-0000-0000-0000A6500000}"/>
    <cellStyle name="Normal 4 5 2 4 2 4 5" xfId="26593" xr:uid="{00000000-0005-0000-0000-0000A7500000}"/>
    <cellStyle name="Normal 4 5 2 4 2 5" xfId="3553" xr:uid="{00000000-0005-0000-0000-0000A8500000}"/>
    <cellStyle name="Normal 4 5 2 4 2 5 2" xfId="9697" xr:uid="{00000000-0005-0000-0000-0000A9500000}"/>
    <cellStyle name="Normal 4 5 2 4 2 5 2 2" xfId="21985" xr:uid="{00000000-0005-0000-0000-0000AA500000}"/>
    <cellStyle name="Normal 4 5 2 4 2 5 2 2 2" xfId="46561" xr:uid="{00000000-0005-0000-0000-0000AB500000}"/>
    <cellStyle name="Normal 4 5 2 4 2 5 2 3" xfId="34273" xr:uid="{00000000-0005-0000-0000-0000AC500000}"/>
    <cellStyle name="Normal 4 5 2 4 2 5 3" xfId="15841" xr:uid="{00000000-0005-0000-0000-0000AD500000}"/>
    <cellStyle name="Normal 4 5 2 4 2 5 3 2" xfId="40417" xr:uid="{00000000-0005-0000-0000-0000AE500000}"/>
    <cellStyle name="Normal 4 5 2 4 2 5 4" xfId="28129" xr:uid="{00000000-0005-0000-0000-0000AF500000}"/>
    <cellStyle name="Normal 4 5 2 4 2 6" xfId="6625" xr:uid="{00000000-0005-0000-0000-0000B0500000}"/>
    <cellStyle name="Normal 4 5 2 4 2 6 2" xfId="18913" xr:uid="{00000000-0005-0000-0000-0000B1500000}"/>
    <cellStyle name="Normal 4 5 2 4 2 6 2 2" xfId="43489" xr:uid="{00000000-0005-0000-0000-0000B2500000}"/>
    <cellStyle name="Normal 4 5 2 4 2 6 3" xfId="31201" xr:uid="{00000000-0005-0000-0000-0000B3500000}"/>
    <cellStyle name="Normal 4 5 2 4 2 7" xfId="12769" xr:uid="{00000000-0005-0000-0000-0000B4500000}"/>
    <cellStyle name="Normal 4 5 2 4 2 7 2" xfId="37345" xr:uid="{00000000-0005-0000-0000-0000B5500000}"/>
    <cellStyle name="Normal 4 5 2 4 2 8" xfId="25057" xr:uid="{00000000-0005-0000-0000-0000B6500000}"/>
    <cellStyle name="Normal 4 5 2 4 3" xfId="669" xr:uid="{00000000-0005-0000-0000-0000B7500000}"/>
    <cellStyle name="Normal 4 5 2 4 3 2" xfId="1437" xr:uid="{00000000-0005-0000-0000-0000B8500000}"/>
    <cellStyle name="Normal 4 5 2 4 3 2 2" xfId="2973" xr:uid="{00000000-0005-0000-0000-0000B9500000}"/>
    <cellStyle name="Normal 4 5 2 4 3 2 2 2" xfId="6049" xr:uid="{00000000-0005-0000-0000-0000BA500000}"/>
    <cellStyle name="Normal 4 5 2 4 3 2 2 2 2" xfId="12193" xr:uid="{00000000-0005-0000-0000-0000BB500000}"/>
    <cellStyle name="Normal 4 5 2 4 3 2 2 2 2 2" xfId="24481" xr:uid="{00000000-0005-0000-0000-0000BC500000}"/>
    <cellStyle name="Normal 4 5 2 4 3 2 2 2 2 2 2" xfId="49057" xr:uid="{00000000-0005-0000-0000-0000BD500000}"/>
    <cellStyle name="Normal 4 5 2 4 3 2 2 2 2 3" xfId="36769" xr:uid="{00000000-0005-0000-0000-0000BE500000}"/>
    <cellStyle name="Normal 4 5 2 4 3 2 2 2 3" xfId="18337" xr:uid="{00000000-0005-0000-0000-0000BF500000}"/>
    <cellStyle name="Normal 4 5 2 4 3 2 2 2 3 2" xfId="42913" xr:uid="{00000000-0005-0000-0000-0000C0500000}"/>
    <cellStyle name="Normal 4 5 2 4 3 2 2 2 4" xfId="30625" xr:uid="{00000000-0005-0000-0000-0000C1500000}"/>
    <cellStyle name="Normal 4 5 2 4 3 2 2 3" xfId="9121" xr:uid="{00000000-0005-0000-0000-0000C2500000}"/>
    <cellStyle name="Normal 4 5 2 4 3 2 2 3 2" xfId="21409" xr:uid="{00000000-0005-0000-0000-0000C3500000}"/>
    <cellStyle name="Normal 4 5 2 4 3 2 2 3 2 2" xfId="45985" xr:uid="{00000000-0005-0000-0000-0000C4500000}"/>
    <cellStyle name="Normal 4 5 2 4 3 2 2 3 3" xfId="33697" xr:uid="{00000000-0005-0000-0000-0000C5500000}"/>
    <cellStyle name="Normal 4 5 2 4 3 2 2 4" xfId="15265" xr:uid="{00000000-0005-0000-0000-0000C6500000}"/>
    <cellStyle name="Normal 4 5 2 4 3 2 2 4 2" xfId="39841" xr:uid="{00000000-0005-0000-0000-0000C7500000}"/>
    <cellStyle name="Normal 4 5 2 4 3 2 2 5" xfId="27553" xr:uid="{00000000-0005-0000-0000-0000C8500000}"/>
    <cellStyle name="Normal 4 5 2 4 3 2 3" xfId="4513" xr:uid="{00000000-0005-0000-0000-0000C9500000}"/>
    <cellStyle name="Normal 4 5 2 4 3 2 3 2" xfId="10657" xr:uid="{00000000-0005-0000-0000-0000CA500000}"/>
    <cellStyle name="Normal 4 5 2 4 3 2 3 2 2" xfId="22945" xr:uid="{00000000-0005-0000-0000-0000CB500000}"/>
    <cellStyle name="Normal 4 5 2 4 3 2 3 2 2 2" xfId="47521" xr:uid="{00000000-0005-0000-0000-0000CC500000}"/>
    <cellStyle name="Normal 4 5 2 4 3 2 3 2 3" xfId="35233" xr:uid="{00000000-0005-0000-0000-0000CD500000}"/>
    <cellStyle name="Normal 4 5 2 4 3 2 3 3" xfId="16801" xr:uid="{00000000-0005-0000-0000-0000CE500000}"/>
    <cellStyle name="Normal 4 5 2 4 3 2 3 3 2" xfId="41377" xr:uid="{00000000-0005-0000-0000-0000CF500000}"/>
    <cellStyle name="Normal 4 5 2 4 3 2 3 4" xfId="29089" xr:uid="{00000000-0005-0000-0000-0000D0500000}"/>
    <cellStyle name="Normal 4 5 2 4 3 2 4" xfId="7585" xr:uid="{00000000-0005-0000-0000-0000D1500000}"/>
    <cellStyle name="Normal 4 5 2 4 3 2 4 2" xfId="19873" xr:uid="{00000000-0005-0000-0000-0000D2500000}"/>
    <cellStyle name="Normal 4 5 2 4 3 2 4 2 2" xfId="44449" xr:uid="{00000000-0005-0000-0000-0000D3500000}"/>
    <cellStyle name="Normal 4 5 2 4 3 2 4 3" xfId="32161" xr:uid="{00000000-0005-0000-0000-0000D4500000}"/>
    <cellStyle name="Normal 4 5 2 4 3 2 5" xfId="13729" xr:uid="{00000000-0005-0000-0000-0000D5500000}"/>
    <cellStyle name="Normal 4 5 2 4 3 2 5 2" xfId="38305" xr:uid="{00000000-0005-0000-0000-0000D6500000}"/>
    <cellStyle name="Normal 4 5 2 4 3 2 6" xfId="26017" xr:uid="{00000000-0005-0000-0000-0000D7500000}"/>
    <cellStyle name="Normal 4 5 2 4 3 3" xfId="2205" xr:uid="{00000000-0005-0000-0000-0000D8500000}"/>
    <cellStyle name="Normal 4 5 2 4 3 3 2" xfId="5281" xr:uid="{00000000-0005-0000-0000-0000D9500000}"/>
    <cellStyle name="Normal 4 5 2 4 3 3 2 2" xfId="11425" xr:uid="{00000000-0005-0000-0000-0000DA500000}"/>
    <cellStyle name="Normal 4 5 2 4 3 3 2 2 2" xfId="23713" xr:uid="{00000000-0005-0000-0000-0000DB500000}"/>
    <cellStyle name="Normal 4 5 2 4 3 3 2 2 2 2" xfId="48289" xr:uid="{00000000-0005-0000-0000-0000DC500000}"/>
    <cellStyle name="Normal 4 5 2 4 3 3 2 2 3" xfId="36001" xr:uid="{00000000-0005-0000-0000-0000DD500000}"/>
    <cellStyle name="Normal 4 5 2 4 3 3 2 3" xfId="17569" xr:uid="{00000000-0005-0000-0000-0000DE500000}"/>
    <cellStyle name="Normal 4 5 2 4 3 3 2 3 2" xfId="42145" xr:uid="{00000000-0005-0000-0000-0000DF500000}"/>
    <cellStyle name="Normal 4 5 2 4 3 3 2 4" xfId="29857" xr:uid="{00000000-0005-0000-0000-0000E0500000}"/>
    <cellStyle name="Normal 4 5 2 4 3 3 3" xfId="8353" xr:uid="{00000000-0005-0000-0000-0000E1500000}"/>
    <cellStyle name="Normal 4 5 2 4 3 3 3 2" xfId="20641" xr:uid="{00000000-0005-0000-0000-0000E2500000}"/>
    <cellStyle name="Normal 4 5 2 4 3 3 3 2 2" xfId="45217" xr:uid="{00000000-0005-0000-0000-0000E3500000}"/>
    <cellStyle name="Normal 4 5 2 4 3 3 3 3" xfId="32929" xr:uid="{00000000-0005-0000-0000-0000E4500000}"/>
    <cellStyle name="Normal 4 5 2 4 3 3 4" xfId="14497" xr:uid="{00000000-0005-0000-0000-0000E5500000}"/>
    <cellStyle name="Normal 4 5 2 4 3 3 4 2" xfId="39073" xr:uid="{00000000-0005-0000-0000-0000E6500000}"/>
    <cellStyle name="Normal 4 5 2 4 3 3 5" xfId="26785" xr:uid="{00000000-0005-0000-0000-0000E7500000}"/>
    <cellStyle name="Normal 4 5 2 4 3 4" xfId="3745" xr:uid="{00000000-0005-0000-0000-0000E8500000}"/>
    <cellStyle name="Normal 4 5 2 4 3 4 2" xfId="9889" xr:uid="{00000000-0005-0000-0000-0000E9500000}"/>
    <cellStyle name="Normal 4 5 2 4 3 4 2 2" xfId="22177" xr:uid="{00000000-0005-0000-0000-0000EA500000}"/>
    <cellStyle name="Normal 4 5 2 4 3 4 2 2 2" xfId="46753" xr:uid="{00000000-0005-0000-0000-0000EB500000}"/>
    <cellStyle name="Normal 4 5 2 4 3 4 2 3" xfId="34465" xr:uid="{00000000-0005-0000-0000-0000EC500000}"/>
    <cellStyle name="Normal 4 5 2 4 3 4 3" xfId="16033" xr:uid="{00000000-0005-0000-0000-0000ED500000}"/>
    <cellStyle name="Normal 4 5 2 4 3 4 3 2" xfId="40609" xr:uid="{00000000-0005-0000-0000-0000EE500000}"/>
    <cellStyle name="Normal 4 5 2 4 3 4 4" xfId="28321" xr:uid="{00000000-0005-0000-0000-0000EF500000}"/>
    <cellStyle name="Normal 4 5 2 4 3 5" xfId="6817" xr:uid="{00000000-0005-0000-0000-0000F0500000}"/>
    <cellStyle name="Normal 4 5 2 4 3 5 2" xfId="19105" xr:uid="{00000000-0005-0000-0000-0000F1500000}"/>
    <cellStyle name="Normal 4 5 2 4 3 5 2 2" xfId="43681" xr:uid="{00000000-0005-0000-0000-0000F2500000}"/>
    <cellStyle name="Normal 4 5 2 4 3 5 3" xfId="31393" xr:uid="{00000000-0005-0000-0000-0000F3500000}"/>
    <cellStyle name="Normal 4 5 2 4 3 6" xfId="12961" xr:uid="{00000000-0005-0000-0000-0000F4500000}"/>
    <cellStyle name="Normal 4 5 2 4 3 6 2" xfId="37537" xr:uid="{00000000-0005-0000-0000-0000F5500000}"/>
    <cellStyle name="Normal 4 5 2 4 3 7" xfId="25249" xr:uid="{00000000-0005-0000-0000-0000F6500000}"/>
    <cellStyle name="Normal 4 5 2 4 4" xfId="1053" xr:uid="{00000000-0005-0000-0000-0000F7500000}"/>
    <cellStyle name="Normal 4 5 2 4 4 2" xfId="2589" xr:uid="{00000000-0005-0000-0000-0000F8500000}"/>
    <cellStyle name="Normal 4 5 2 4 4 2 2" xfId="5665" xr:uid="{00000000-0005-0000-0000-0000F9500000}"/>
    <cellStyle name="Normal 4 5 2 4 4 2 2 2" xfId="11809" xr:uid="{00000000-0005-0000-0000-0000FA500000}"/>
    <cellStyle name="Normal 4 5 2 4 4 2 2 2 2" xfId="24097" xr:uid="{00000000-0005-0000-0000-0000FB500000}"/>
    <cellStyle name="Normal 4 5 2 4 4 2 2 2 2 2" xfId="48673" xr:uid="{00000000-0005-0000-0000-0000FC500000}"/>
    <cellStyle name="Normal 4 5 2 4 4 2 2 2 3" xfId="36385" xr:uid="{00000000-0005-0000-0000-0000FD500000}"/>
    <cellStyle name="Normal 4 5 2 4 4 2 2 3" xfId="17953" xr:uid="{00000000-0005-0000-0000-0000FE500000}"/>
    <cellStyle name="Normal 4 5 2 4 4 2 2 3 2" xfId="42529" xr:uid="{00000000-0005-0000-0000-0000FF500000}"/>
    <cellStyle name="Normal 4 5 2 4 4 2 2 4" xfId="30241" xr:uid="{00000000-0005-0000-0000-000000510000}"/>
    <cellStyle name="Normal 4 5 2 4 4 2 3" xfId="8737" xr:uid="{00000000-0005-0000-0000-000001510000}"/>
    <cellStyle name="Normal 4 5 2 4 4 2 3 2" xfId="21025" xr:uid="{00000000-0005-0000-0000-000002510000}"/>
    <cellStyle name="Normal 4 5 2 4 4 2 3 2 2" xfId="45601" xr:uid="{00000000-0005-0000-0000-000003510000}"/>
    <cellStyle name="Normal 4 5 2 4 4 2 3 3" xfId="33313" xr:uid="{00000000-0005-0000-0000-000004510000}"/>
    <cellStyle name="Normal 4 5 2 4 4 2 4" xfId="14881" xr:uid="{00000000-0005-0000-0000-000005510000}"/>
    <cellStyle name="Normal 4 5 2 4 4 2 4 2" xfId="39457" xr:uid="{00000000-0005-0000-0000-000006510000}"/>
    <cellStyle name="Normal 4 5 2 4 4 2 5" xfId="27169" xr:uid="{00000000-0005-0000-0000-000007510000}"/>
    <cellStyle name="Normal 4 5 2 4 4 3" xfId="4129" xr:uid="{00000000-0005-0000-0000-000008510000}"/>
    <cellStyle name="Normal 4 5 2 4 4 3 2" xfId="10273" xr:uid="{00000000-0005-0000-0000-000009510000}"/>
    <cellStyle name="Normal 4 5 2 4 4 3 2 2" xfId="22561" xr:uid="{00000000-0005-0000-0000-00000A510000}"/>
    <cellStyle name="Normal 4 5 2 4 4 3 2 2 2" xfId="47137" xr:uid="{00000000-0005-0000-0000-00000B510000}"/>
    <cellStyle name="Normal 4 5 2 4 4 3 2 3" xfId="34849" xr:uid="{00000000-0005-0000-0000-00000C510000}"/>
    <cellStyle name="Normal 4 5 2 4 4 3 3" xfId="16417" xr:uid="{00000000-0005-0000-0000-00000D510000}"/>
    <cellStyle name="Normal 4 5 2 4 4 3 3 2" xfId="40993" xr:uid="{00000000-0005-0000-0000-00000E510000}"/>
    <cellStyle name="Normal 4 5 2 4 4 3 4" xfId="28705" xr:uid="{00000000-0005-0000-0000-00000F510000}"/>
    <cellStyle name="Normal 4 5 2 4 4 4" xfId="7201" xr:uid="{00000000-0005-0000-0000-000010510000}"/>
    <cellStyle name="Normal 4 5 2 4 4 4 2" xfId="19489" xr:uid="{00000000-0005-0000-0000-000011510000}"/>
    <cellStyle name="Normal 4 5 2 4 4 4 2 2" xfId="44065" xr:uid="{00000000-0005-0000-0000-000012510000}"/>
    <cellStyle name="Normal 4 5 2 4 4 4 3" xfId="31777" xr:uid="{00000000-0005-0000-0000-000013510000}"/>
    <cellStyle name="Normal 4 5 2 4 4 5" xfId="13345" xr:uid="{00000000-0005-0000-0000-000014510000}"/>
    <cellStyle name="Normal 4 5 2 4 4 5 2" xfId="37921" xr:uid="{00000000-0005-0000-0000-000015510000}"/>
    <cellStyle name="Normal 4 5 2 4 4 6" xfId="25633" xr:uid="{00000000-0005-0000-0000-000016510000}"/>
    <cellStyle name="Normal 4 5 2 4 5" xfId="1821" xr:uid="{00000000-0005-0000-0000-000017510000}"/>
    <cellStyle name="Normal 4 5 2 4 5 2" xfId="4897" xr:uid="{00000000-0005-0000-0000-000018510000}"/>
    <cellStyle name="Normal 4 5 2 4 5 2 2" xfId="11041" xr:uid="{00000000-0005-0000-0000-000019510000}"/>
    <cellStyle name="Normal 4 5 2 4 5 2 2 2" xfId="23329" xr:uid="{00000000-0005-0000-0000-00001A510000}"/>
    <cellStyle name="Normal 4 5 2 4 5 2 2 2 2" xfId="47905" xr:uid="{00000000-0005-0000-0000-00001B510000}"/>
    <cellStyle name="Normal 4 5 2 4 5 2 2 3" xfId="35617" xr:uid="{00000000-0005-0000-0000-00001C510000}"/>
    <cellStyle name="Normal 4 5 2 4 5 2 3" xfId="17185" xr:uid="{00000000-0005-0000-0000-00001D510000}"/>
    <cellStyle name="Normal 4 5 2 4 5 2 3 2" xfId="41761" xr:uid="{00000000-0005-0000-0000-00001E510000}"/>
    <cellStyle name="Normal 4 5 2 4 5 2 4" xfId="29473" xr:uid="{00000000-0005-0000-0000-00001F510000}"/>
    <cellStyle name="Normal 4 5 2 4 5 3" xfId="7969" xr:uid="{00000000-0005-0000-0000-000020510000}"/>
    <cellStyle name="Normal 4 5 2 4 5 3 2" xfId="20257" xr:uid="{00000000-0005-0000-0000-000021510000}"/>
    <cellStyle name="Normal 4 5 2 4 5 3 2 2" xfId="44833" xr:uid="{00000000-0005-0000-0000-000022510000}"/>
    <cellStyle name="Normal 4 5 2 4 5 3 3" xfId="32545" xr:uid="{00000000-0005-0000-0000-000023510000}"/>
    <cellStyle name="Normal 4 5 2 4 5 4" xfId="14113" xr:uid="{00000000-0005-0000-0000-000024510000}"/>
    <cellStyle name="Normal 4 5 2 4 5 4 2" xfId="38689" xr:uid="{00000000-0005-0000-0000-000025510000}"/>
    <cellStyle name="Normal 4 5 2 4 5 5" xfId="26401" xr:uid="{00000000-0005-0000-0000-000026510000}"/>
    <cellStyle name="Normal 4 5 2 4 6" xfId="3361" xr:uid="{00000000-0005-0000-0000-000027510000}"/>
    <cellStyle name="Normal 4 5 2 4 6 2" xfId="9505" xr:uid="{00000000-0005-0000-0000-000028510000}"/>
    <cellStyle name="Normal 4 5 2 4 6 2 2" xfId="21793" xr:uid="{00000000-0005-0000-0000-000029510000}"/>
    <cellStyle name="Normal 4 5 2 4 6 2 2 2" xfId="46369" xr:uid="{00000000-0005-0000-0000-00002A510000}"/>
    <cellStyle name="Normal 4 5 2 4 6 2 3" xfId="34081" xr:uid="{00000000-0005-0000-0000-00002B510000}"/>
    <cellStyle name="Normal 4 5 2 4 6 3" xfId="15649" xr:uid="{00000000-0005-0000-0000-00002C510000}"/>
    <cellStyle name="Normal 4 5 2 4 6 3 2" xfId="40225" xr:uid="{00000000-0005-0000-0000-00002D510000}"/>
    <cellStyle name="Normal 4 5 2 4 6 4" xfId="27937" xr:uid="{00000000-0005-0000-0000-00002E510000}"/>
    <cellStyle name="Normal 4 5 2 4 7" xfId="6433" xr:uid="{00000000-0005-0000-0000-00002F510000}"/>
    <cellStyle name="Normal 4 5 2 4 7 2" xfId="18721" xr:uid="{00000000-0005-0000-0000-000030510000}"/>
    <cellStyle name="Normal 4 5 2 4 7 2 2" xfId="43297" xr:uid="{00000000-0005-0000-0000-000031510000}"/>
    <cellStyle name="Normal 4 5 2 4 7 3" xfId="31009" xr:uid="{00000000-0005-0000-0000-000032510000}"/>
    <cellStyle name="Normal 4 5 2 4 8" xfId="12577" xr:uid="{00000000-0005-0000-0000-000033510000}"/>
    <cellStyle name="Normal 4 5 2 4 8 2" xfId="37153" xr:uid="{00000000-0005-0000-0000-000034510000}"/>
    <cellStyle name="Normal 4 5 2 4 9" xfId="24865" xr:uid="{00000000-0005-0000-0000-000035510000}"/>
    <cellStyle name="Normal 4 5 2 5" xfId="349" xr:uid="{00000000-0005-0000-0000-000036510000}"/>
    <cellStyle name="Normal 4 5 2 5 2" xfId="733" xr:uid="{00000000-0005-0000-0000-000037510000}"/>
    <cellStyle name="Normal 4 5 2 5 2 2" xfId="1501" xr:uid="{00000000-0005-0000-0000-000038510000}"/>
    <cellStyle name="Normal 4 5 2 5 2 2 2" xfId="3037" xr:uid="{00000000-0005-0000-0000-000039510000}"/>
    <cellStyle name="Normal 4 5 2 5 2 2 2 2" xfId="6113" xr:uid="{00000000-0005-0000-0000-00003A510000}"/>
    <cellStyle name="Normal 4 5 2 5 2 2 2 2 2" xfId="12257" xr:uid="{00000000-0005-0000-0000-00003B510000}"/>
    <cellStyle name="Normal 4 5 2 5 2 2 2 2 2 2" xfId="24545" xr:uid="{00000000-0005-0000-0000-00003C510000}"/>
    <cellStyle name="Normal 4 5 2 5 2 2 2 2 2 2 2" xfId="49121" xr:uid="{00000000-0005-0000-0000-00003D510000}"/>
    <cellStyle name="Normal 4 5 2 5 2 2 2 2 2 3" xfId="36833" xr:uid="{00000000-0005-0000-0000-00003E510000}"/>
    <cellStyle name="Normal 4 5 2 5 2 2 2 2 3" xfId="18401" xr:uid="{00000000-0005-0000-0000-00003F510000}"/>
    <cellStyle name="Normal 4 5 2 5 2 2 2 2 3 2" xfId="42977" xr:uid="{00000000-0005-0000-0000-000040510000}"/>
    <cellStyle name="Normal 4 5 2 5 2 2 2 2 4" xfId="30689" xr:uid="{00000000-0005-0000-0000-000041510000}"/>
    <cellStyle name="Normal 4 5 2 5 2 2 2 3" xfId="9185" xr:uid="{00000000-0005-0000-0000-000042510000}"/>
    <cellStyle name="Normal 4 5 2 5 2 2 2 3 2" xfId="21473" xr:uid="{00000000-0005-0000-0000-000043510000}"/>
    <cellStyle name="Normal 4 5 2 5 2 2 2 3 2 2" xfId="46049" xr:uid="{00000000-0005-0000-0000-000044510000}"/>
    <cellStyle name="Normal 4 5 2 5 2 2 2 3 3" xfId="33761" xr:uid="{00000000-0005-0000-0000-000045510000}"/>
    <cellStyle name="Normal 4 5 2 5 2 2 2 4" xfId="15329" xr:uid="{00000000-0005-0000-0000-000046510000}"/>
    <cellStyle name="Normal 4 5 2 5 2 2 2 4 2" xfId="39905" xr:uid="{00000000-0005-0000-0000-000047510000}"/>
    <cellStyle name="Normal 4 5 2 5 2 2 2 5" xfId="27617" xr:uid="{00000000-0005-0000-0000-000048510000}"/>
    <cellStyle name="Normal 4 5 2 5 2 2 3" xfId="4577" xr:uid="{00000000-0005-0000-0000-000049510000}"/>
    <cellStyle name="Normal 4 5 2 5 2 2 3 2" xfId="10721" xr:uid="{00000000-0005-0000-0000-00004A510000}"/>
    <cellStyle name="Normal 4 5 2 5 2 2 3 2 2" xfId="23009" xr:uid="{00000000-0005-0000-0000-00004B510000}"/>
    <cellStyle name="Normal 4 5 2 5 2 2 3 2 2 2" xfId="47585" xr:uid="{00000000-0005-0000-0000-00004C510000}"/>
    <cellStyle name="Normal 4 5 2 5 2 2 3 2 3" xfId="35297" xr:uid="{00000000-0005-0000-0000-00004D510000}"/>
    <cellStyle name="Normal 4 5 2 5 2 2 3 3" xfId="16865" xr:uid="{00000000-0005-0000-0000-00004E510000}"/>
    <cellStyle name="Normal 4 5 2 5 2 2 3 3 2" xfId="41441" xr:uid="{00000000-0005-0000-0000-00004F510000}"/>
    <cellStyle name="Normal 4 5 2 5 2 2 3 4" xfId="29153" xr:uid="{00000000-0005-0000-0000-000050510000}"/>
    <cellStyle name="Normal 4 5 2 5 2 2 4" xfId="7649" xr:uid="{00000000-0005-0000-0000-000051510000}"/>
    <cellStyle name="Normal 4 5 2 5 2 2 4 2" xfId="19937" xr:uid="{00000000-0005-0000-0000-000052510000}"/>
    <cellStyle name="Normal 4 5 2 5 2 2 4 2 2" xfId="44513" xr:uid="{00000000-0005-0000-0000-000053510000}"/>
    <cellStyle name="Normal 4 5 2 5 2 2 4 3" xfId="32225" xr:uid="{00000000-0005-0000-0000-000054510000}"/>
    <cellStyle name="Normal 4 5 2 5 2 2 5" xfId="13793" xr:uid="{00000000-0005-0000-0000-000055510000}"/>
    <cellStyle name="Normal 4 5 2 5 2 2 5 2" xfId="38369" xr:uid="{00000000-0005-0000-0000-000056510000}"/>
    <cellStyle name="Normal 4 5 2 5 2 2 6" xfId="26081" xr:uid="{00000000-0005-0000-0000-000057510000}"/>
    <cellStyle name="Normal 4 5 2 5 2 3" xfId="2269" xr:uid="{00000000-0005-0000-0000-000058510000}"/>
    <cellStyle name="Normal 4 5 2 5 2 3 2" xfId="5345" xr:uid="{00000000-0005-0000-0000-000059510000}"/>
    <cellStyle name="Normal 4 5 2 5 2 3 2 2" xfId="11489" xr:uid="{00000000-0005-0000-0000-00005A510000}"/>
    <cellStyle name="Normal 4 5 2 5 2 3 2 2 2" xfId="23777" xr:uid="{00000000-0005-0000-0000-00005B510000}"/>
    <cellStyle name="Normal 4 5 2 5 2 3 2 2 2 2" xfId="48353" xr:uid="{00000000-0005-0000-0000-00005C510000}"/>
    <cellStyle name="Normal 4 5 2 5 2 3 2 2 3" xfId="36065" xr:uid="{00000000-0005-0000-0000-00005D510000}"/>
    <cellStyle name="Normal 4 5 2 5 2 3 2 3" xfId="17633" xr:uid="{00000000-0005-0000-0000-00005E510000}"/>
    <cellStyle name="Normal 4 5 2 5 2 3 2 3 2" xfId="42209" xr:uid="{00000000-0005-0000-0000-00005F510000}"/>
    <cellStyle name="Normal 4 5 2 5 2 3 2 4" xfId="29921" xr:uid="{00000000-0005-0000-0000-000060510000}"/>
    <cellStyle name="Normal 4 5 2 5 2 3 3" xfId="8417" xr:uid="{00000000-0005-0000-0000-000061510000}"/>
    <cellStyle name="Normal 4 5 2 5 2 3 3 2" xfId="20705" xr:uid="{00000000-0005-0000-0000-000062510000}"/>
    <cellStyle name="Normal 4 5 2 5 2 3 3 2 2" xfId="45281" xr:uid="{00000000-0005-0000-0000-000063510000}"/>
    <cellStyle name="Normal 4 5 2 5 2 3 3 3" xfId="32993" xr:uid="{00000000-0005-0000-0000-000064510000}"/>
    <cellStyle name="Normal 4 5 2 5 2 3 4" xfId="14561" xr:uid="{00000000-0005-0000-0000-000065510000}"/>
    <cellStyle name="Normal 4 5 2 5 2 3 4 2" xfId="39137" xr:uid="{00000000-0005-0000-0000-000066510000}"/>
    <cellStyle name="Normal 4 5 2 5 2 3 5" xfId="26849" xr:uid="{00000000-0005-0000-0000-000067510000}"/>
    <cellStyle name="Normal 4 5 2 5 2 4" xfId="3809" xr:uid="{00000000-0005-0000-0000-000068510000}"/>
    <cellStyle name="Normal 4 5 2 5 2 4 2" xfId="9953" xr:uid="{00000000-0005-0000-0000-000069510000}"/>
    <cellStyle name="Normal 4 5 2 5 2 4 2 2" xfId="22241" xr:uid="{00000000-0005-0000-0000-00006A510000}"/>
    <cellStyle name="Normal 4 5 2 5 2 4 2 2 2" xfId="46817" xr:uid="{00000000-0005-0000-0000-00006B510000}"/>
    <cellStyle name="Normal 4 5 2 5 2 4 2 3" xfId="34529" xr:uid="{00000000-0005-0000-0000-00006C510000}"/>
    <cellStyle name="Normal 4 5 2 5 2 4 3" xfId="16097" xr:uid="{00000000-0005-0000-0000-00006D510000}"/>
    <cellStyle name="Normal 4 5 2 5 2 4 3 2" xfId="40673" xr:uid="{00000000-0005-0000-0000-00006E510000}"/>
    <cellStyle name="Normal 4 5 2 5 2 4 4" xfId="28385" xr:uid="{00000000-0005-0000-0000-00006F510000}"/>
    <cellStyle name="Normal 4 5 2 5 2 5" xfId="6881" xr:uid="{00000000-0005-0000-0000-000070510000}"/>
    <cellStyle name="Normal 4 5 2 5 2 5 2" xfId="19169" xr:uid="{00000000-0005-0000-0000-000071510000}"/>
    <cellStyle name="Normal 4 5 2 5 2 5 2 2" xfId="43745" xr:uid="{00000000-0005-0000-0000-000072510000}"/>
    <cellStyle name="Normal 4 5 2 5 2 5 3" xfId="31457" xr:uid="{00000000-0005-0000-0000-000073510000}"/>
    <cellStyle name="Normal 4 5 2 5 2 6" xfId="13025" xr:uid="{00000000-0005-0000-0000-000074510000}"/>
    <cellStyle name="Normal 4 5 2 5 2 6 2" xfId="37601" xr:uid="{00000000-0005-0000-0000-000075510000}"/>
    <cellStyle name="Normal 4 5 2 5 2 7" xfId="25313" xr:uid="{00000000-0005-0000-0000-000076510000}"/>
    <cellStyle name="Normal 4 5 2 5 3" xfId="1117" xr:uid="{00000000-0005-0000-0000-000077510000}"/>
    <cellStyle name="Normal 4 5 2 5 3 2" xfId="2653" xr:uid="{00000000-0005-0000-0000-000078510000}"/>
    <cellStyle name="Normal 4 5 2 5 3 2 2" xfId="5729" xr:uid="{00000000-0005-0000-0000-000079510000}"/>
    <cellStyle name="Normal 4 5 2 5 3 2 2 2" xfId="11873" xr:uid="{00000000-0005-0000-0000-00007A510000}"/>
    <cellStyle name="Normal 4 5 2 5 3 2 2 2 2" xfId="24161" xr:uid="{00000000-0005-0000-0000-00007B510000}"/>
    <cellStyle name="Normal 4 5 2 5 3 2 2 2 2 2" xfId="48737" xr:uid="{00000000-0005-0000-0000-00007C510000}"/>
    <cellStyle name="Normal 4 5 2 5 3 2 2 2 3" xfId="36449" xr:uid="{00000000-0005-0000-0000-00007D510000}"/>
    <cellStyle name="Normal 4 5 2 5 3 2 2 3" xfId="18017" xr:uid="{00000000-0005-0000-0000-00007E510000}"/>
    <cellStyle name="Normal 4 5 2 5 3 2 2 3 2" xfId="42593" xr:uid="{00000000-0005-0000-0000-00007F510000}"/>
    <cellStyle name="Normal 4 5 2 5 3 2 2 4" xfId="30305" xr:uid="{00000000-0005-0000-0000-000080510000}"/>
    <cellStyle name="Normal 4 5 2 5 3 2 3" xfId="8801" xr:uid="{00000000-0005-0000-0000-000081510000}"/>
    <cellStyle name="Normal 4 5 2 5 3 2 3 2" xfId="21089" xr:uid="{00000000-0005-0000-0000-000082510000}"/>
    <cellStyle name="Normal 4 5 2 5 3 2 3 2 2" xfId="45665" xr:uid="{00000000-0005-0000-0000-000083510000}"/>
    <cellStyle name="Normal 4 5 2 5 3 2 3 3" xfId="33377" xr:uid="{00000000-0005-0000-0000-000084510000}"/>
    <cellStyle name="Normal 4 5 2 5 3 2 4" xfId="14945" xr:uid="{00000000-0005-0000-0000-000085510000}"/>
    <cellStyle name="Normal 4 5 2 5 3 2 4 2" xfId="39521" xr:uid="{00000000-0005-0000-0000-000086510000}"/>
    <cellStyle name="Normal 4 5 2 5 3 2 5" xfId="27233" xr:uid="{00000000-0005-0000-0000-000087510000}"/>
    <cellStyle name="Normal 4 5 2 5 3 3" xfId="4193" xr:uid="{00000000-0005-0000-0000-000088510000}"/>
    <cellStyle name="Normal 4 5 2 5 3 3 2" xfId="10337" xr:uid="{00000000-0005-0000-0000-000089510000}"/>
    <cellStyle name="Normal 4 5 2 5 3 3 2 2" xfId="22625" xr:uid="{00000000-0005-0000-0000-00008A510000}"/>
    <cellStyle name="Normal 4 5 2 5 3 3 2 2 2" xfId="47201" xr:uid="{00000000-0005-0000-0000-00008B510000}"/>
    <cellStyle name="Normal 4 5 2 5 3 3 2 3" xfId="34913" xr:uid="{00000000-0005-0000-0000-00008C510000}"/>
    <cellStyle name="Normal 4 5 2 5 3 3 3" xfId="16481" xr:uid="{00000000-0005-0000-0000-00008D510000}"/>
    <cellStyle name="Normal 4 5 2 5 3 3 3 2" xfId="41057" xr:uid="{00000000-0005-0000-0000-00008E510000}"/>
    <cellStyle name="Normal 4 5 2 5 3 3 4" xfId="28769" xr:uid="{00000000-0005-0000-0000-00008F510000}"/>
    <cellStyle name="Normal 4 5 2 5 3 4" xfId="7265" xr:uid="{00000000-0005-0000-0000-000090510000}"/>
    <cellStyle name="Normal 4 5 2 5 3 4 2" xfId="19553" xr:uid="{00000000-0005-0000-0000-000091510000}"/>
    <cellStyle name="Normal 4 5 2 5 3 4 2 2" xfId="44129" xr:uid="{00000000-0005-0000-0000-000092510000}"/>
    <cellStyle name="Normal 4 5 2 5 3 4 3" xfId="31841" xr:uid="{00000000-0005-0000-0000-000093510000}"/>
    <cellStyle name="Normal 4 5 2 5 3 5" xfId="13409" xr:uid="{00000000-0005-0000-0000-000094510000}"/>
    <cellStyle name="Normal 4 5 2 5 3 5 2" xfId="37985" xr:uid="{00000000-0005-0000-0000-000095510000}"/>
    <cellStyle name="Normal 4 5 2 5 3 6" xfId="25697" xr:uid="{00000000-0005-0000-0000-000096510000}"/>
    <cellStyle name="Normal 4 5 2 5 4" xfId="1885" xr:uid="{00000000-0005-0000-0000-000097510000}"/>
    <cellStyle name="Normal 4 5 2 5 4 2" xfId="4961" xr:uid="{00000000-0005-0000-0000-000098510000}"/>
    <cellStyle name="Normal 4 5 2 5 4 2 2" xfId="11105" xr:uid="{00000000-0005-0000-0000-000099510000}"/>
    <cellStyle name="Normal 4 5 2 5 4 2 2 2" xfId="23393" xr:uid="{00000000-0005-0000-0000-00009A510000}"/>
    <cellStyle name="Normal 4 5 2 5 4 2 2 2 2" xfId="47969" xr:uid="{00000000-0005-0000-0000-00009B510000}"/>
    <cellStyle name="Normal 4 5 2 5 4 2 2 3" xfId="35681" xr:uid="{00000000-0005-0000-0000-00009C510000}"/>
    <cellStyle name="Normal 4 5 2 5 4 2 3" xfId="17249" xr:uid="{00000000-0005-0000-0000-00009D510000}"/>
    <cellStyle name="Normal 4 5 2 5 4 2 3 2" xfId="41825" xr:uid="{00000000-0005-0000-0000-00009E510000}"/>
    <cellStyle name="Normal 4 5 2 5 4 2 4" xfId="29537" xr:uid="{00000000-0005-0000-0000-00009F510000}"/>
    <cellStyle name="Normal 4 5 2 5 4 3" xfId="8033" xr:uid="{00000000-0005-0000-0000-0000A0510000}"/>
    <cellStyle name="Normal 4 5 2 5 4 3 2" xfId="20321" xr:uid="{00000000-0005-0000-0000-0000A1510000}"/>
    <cellStyle name="Normal 4 5 2 5 4 3 2 2" xfId="44897" xr:uid="{00000000-0005-0000-0000-0000A2510000}"/>
    <cellStyle name="Normal 4 5 2 5 4 3 3" xfId="32609" xr:uid="{00000000-0005-0000-0000-0000A3510000}"/>
    <cellStyle name="Normal 4 5 2 5 4 4" xfId="14177" xr:uid="{00000000-0005-0000-0000-0000A4510000}"/>
    <cellStyle name="Normal 4 5 2 5 4 4 2" xfId="38753" xr:uid="{00000000-0005-0000-0000-0000A5510000}"/>
    <cellStyle name="Normal 4 5 2 5 4 5" xfId="26465" xr:uid="{00000000-0005-0000-0000-0000A6510000}"/>
    <cellStyle name="Normal 4 5 2 5 5" xfId="3425" xr:uid="{00000000-0005-0000-0000-0000A7510000}"/>
    <cellStyle name="Normal 4 5 2 5 5 2" xfId="9569" xr:uid="{00000000-0005-0000-0000-0000A8510000}"/>
    <cellStyle name="Normal 4 5 2 5 5 2 2" xfId="21857" xr:uid="{00000000-0005-0000-0000-0000A9510000}"/>
    <cellStyle name="Normal 4 5 2 5 5 2 2 2" xfId="46433" xr:uid="{00000000-0005-0000-0000-0000AA510000}"/>
    <cellStyle name="Normal 4 5 2 5 5 2 3" xfId="34145" xr:uid="{00000000-0005-0000-0000-0000AB510000}"/>
    <cellStyle name="Normal 4 5 2 5 5 3" xfId="15713" xr:uid="{00000000-0005-0000-0000-0000AC510000}"/>
    <cellStyle name="Normal 4 5 2 5 5 3 2" xfId="40289" xr:uid="{00000000-0005-0000-0000-0000AD510000}"/>
    <cellStyle name="Normal 4 5 2 5 5 4" xfId="28001" xr:uid="{00000000-0005-0000-0000-0000AE510000}"/>
    <cellStyle name="Normal 4 5 2 5 6" xfId="6497" xr:uid="{00000000-0005-0000-0000-0000AF510000}"/>
    <cellStyle name="Normal 4 5 2 5 6 2" xfId="18785" xr:uid="{00000000-0005-0000-0000-0000B0510000}"/>
    <cellStyle name="Normal 4 5 2 5 6 2 2" xfId="43361" xr:uid="{00000000-0005-0000-0000-0000B1510000}"/>
    <cellStyle name="Normal 4 5 2 5 6 3" xfId="31073" xr:uid="{00000000-0005-0000-0000-0000B2510000}"/>
    <cellStyle name="Normal 4 5 2 5 7" xfId="12641" xr:uid="{00000000-0005-0000-0000-0000B3510000}"/>
    <cellStyle name="Normal 4 5 2 5 7 2" xfId="37217" xr:uid="{00000000-0005-0000-0000-0000B4510000}"/>
    <cellStyle name="Normal 4 5 2 5 8" xfId="24929" xr:uid="{00000000-0005-0000-0000-0000B5510000}"/>
    <cellStyle name="Normal 4 5 2 6" xfId="541" xr:uid="{00000000-0005-0000-0000-0000B6510000}"/>
    <cellStyle name="Normal 4 5 2 6 2" xfId="1309" xr:uid="{00000000-0005-0000-0000-0000B7510000}"/>
    <cellStyle name="Normal 4 5 2 6 2 2" xfId="2845" xr:uid="{00000000-0005-0000-0000-0000B8510000}"/>
    <cellStyle name="Normal 4 5 2 6 2 2 2" xfId="5921" xr:uid="{00000000-0005-0000-0000-0000B9510000}"/>
    <cellStyle name="Normal 4 5 2 6 2 2 2 2" xfId="12065" xr:uid="{00000000-0005-0000-0000-0000BA510000}"/>
    <cellStyle name="Normal 4 5 2 6 2 2 2 2 2" xfId="24353" xr:uid="{00000000-0005-0000-0000-0000BB510000}"/>
    <cellStyle name="Normal 4 5 2 6 2 2 2 2 2 2" xfId="48929" xr:uid="{00000000-0005-0000-0000-0000BC510000}"/>
    <cellStyle name="Normal 4 5 2 6 2 2 2 2 3" xfId="36641" xr:uid="{00000000-0005-0000-0000-0000BD510000}"/>
    <cellStyle name="Normal 4 5 2 6 2 2 2 3" xfId="18209" xr:uid="{00000000-0005-0000-0000-0000BE510000}"/>
    <cellStyle name="Normal 4 5 2 6 2 2 2 3 2" xfId="42785" xr:uid="{00000000-0005-0000-0000-0000BF510000}"/>
    <cellStyle name="Normal 4 5 2 6 2 2 2 4" xfId="30497" xr:uid="{00000000-0005-0000-0000-0000C0510000}"/>
    <cellStyle name="Normal 4 5 2 6 2 2 3" xfId="8993" xr:uid="{00000000-0005-0000-0000-0000C1510000}"/>
    <cellStyle name="Normal 4 5 2 6 2 2 3 2" xfId="21281" xr:uid="{00000000-0005-0000-0000-0000C2510000}"/>
    <cellStyle name="Normal 4 5 2 6 2 2 3 2 2" xfId="45857" xr:uid="{00000000-0005-0000-0000-0000C3510000}"/>
    <cellStyle name="Normal 4 5 2 6 2 2 3 3" xfId="33569" xr:uid="{00000000-0005-0000-0000-0000C4510000}"/>
    <cellStyle name="Normal 4 5 2 6 2 2 4" xfId="15137" xr:uid="{00000000-0005-0000-0000-0000C5510000}"/>
    <cellStyle name="Normal 4 5 2 6 2 2 4 2" xfId="39713" xr:uid="{00000000-0005-0000-0000-0000C6510000}"/>
    <cellStyle name="Normal 4 5 2 6 2 2 5" xfId="27425" xr:uid="{00000000-0005-0000-0000-0000C7510000}"/>
    <cellStyle name="Normal 4 5 2 6 2 3" xfId="4385" xr:uid="{00000000-0005-0000-0000-0000C8510000}"/>
    <cellStyle name="Normal 4 5 2 6 2 3 2" xfId="10529" xr:uid="{00000000-0005-0000-0000-0000C9510000}"/>
    <cellStyle name="Normal 4 5 2 6 2 3 2 2" xfId="22817" xr:uid="{00000000-0005-0000-0000-0000CA510000}"/>
    <cellStyle name="Normal 4 5 2 6 2 3 2 2 2" xfId="47393" xr:uid="{00000000-0005-0000-0000-0000CB510000}"/>
    <cellStyle name="Normal 4 5 2 6 2 3 2 3" xfId="35105" xr:uid="{00000000-0005-0000-0000-0000CC510000}"/>
    <cellStyle name="Normal 4 5 2 6 2 3 3" xfId="16673" xr:uid="{00000000-0005-0000-0000-0000CD510000}"/>
    <cellStyle name="Normal 4 5 2 6 2 3 3 2" xfId="41249" xr:uid="{00000000-0005-0000-0000-0000CE510000}"/>
    <cellStyle name="Normal 4 5 2 6 2 3 4" xfId="28961" xr:uid="{00000000-0005-0000-0000-0000CF510000}"/>
    <cellStyle name="Normal 4 5 2 6 2 4" xfId="7457" xr:uid="{00000000-0005-0000-0000-0000D0510000}"/>
    <cellStyle name="Normal 4 5 2 6 2 4 2" xfId="19745" xr:uid="{00000000-0005-0000-0000-0000D1510000}"/>
    <cellStyle name="Normal 4 5 2 6 2 4 2 2" xfId="44321" xr:uid="{00000000-0005-0000-0000-0000D2510000}"/>
    <cellStyle name="Normal 4 5 2 6 2 4 3" xfId="32033" xr:uid="{00000000-0005-0000-0000-0000D3510000}"/>
    <cellStyle name="Normal 4 5 2 6 2 5" xfId="13601" xr:uid="{00000000-0005-0000-0000-0000D4510000}"/>
    <cellStyle name="Normal 4 5 2 6 2 5 2" xfId="38177" xr:uid="{00000000-0005-0000-0000-0000D5510000}"/>
    <cellStyle name="Normal 4 5 2 6 2 6" xfId="25889" xr:uid="{00000000-0005-0000-0000-0000D6510000}"/>
    <cellStyle name="Normal 4 5 2 6 3" xfId="2077" xr:uid="{00000000-0005-0000-0000-0000D7510000}"/>
    <cellStyle name="Normal 4 5 2 6 3 2" xfId="5153" xr:uid="{00000000-0005-0000-0000-0000D8510000}"/>
    <cellStyle name="Normal 4 5 2 6 3 2 2" xfId="11297" xr:uid="{00000000-0005-0000-0000-0000D9510000}"/>
    <cellStyle name="Normal 4 5 2 6 3 2 2 2" xfId="23585" xr:uid="{00000000-0005-0000-0000-0000DA510000}"/>
    <cellStyle name="Normal 4 5 2 6 3 2 2 2 2" xfId="48161" xr:uid="{00000000-0005-0000-0000-0000DB510000}"/>
    <cellStyle name="Normal 4 5 2 6 3 2 2 3" xfId="35873" xr:uid="{00000000-0005-0000-0000-0000DC510000}"/>
    <cellStyle name="Normal 4 5 2 6 3 2 3" xfId="17441" xr:uid="{00000000-0005-0000-0000-0000DD510000}"/>
    <cellStyle name="Normal 4 5 2 6 3 2 3 2" xfId="42017" xr:uid="{00000000-0005-0000-0000-0000DE510000}"/>
    <cellStyle name="Normal 4 5 2 6 3 2 4" xfId="29729" xr:uid="{00000000-0005-0000-0000-0000DF510000}"/>
    <cellStyle name="Normal 4 5 2 6 3 3" xfId="8225" xr:uid="{00000000-0005-0000-0000-0000E0510000}"/>
    <cellStyle name="Normal 4 5 2 6 3 3 2" xfId="20513" xr:uid="{00000000-0005-0000-0000-0000E1510000}"/>
    <cellStyle name="Normal 4 5 2 6 3 3 2 2" xfId="45089" xr:uid="{00000000-0005-0000-0000-0000E2510000}"/>
    <cellStyle name="Normal 4 5 2 6 3 3 3" xfId="32801" xr:uid="{00000000-0005-0000-0000-0000E3510000}"/>
    <cellStyle name="Normal 4 5 2 6 3 4" xfId="14369" xr:uid="{00000000-0005-0000-0000-0000E4510000}"/>
    <cellStyle name="Normal 4 5 2 6 3 4 2" xfId="38945" xr:uid="{00000000-0005-0000-0000-0000E5510000}"/>
    <cellStyle name="Normal 4 5 2 6 3 5" xfId="26657" xr:uid="{00000000-0005-0000-0000-0000E6510000}"/>
    <cellStyle name="Normal 4 5 2 6 4" xfId="3617" xr:uid="{00000000-0005-0000-0000-0000E7510000}"/>
    <cellStyle name="Normal 4 5 2 6 4 2" xfId="9761" xr:uid="{00000000-0005-0000-0000-0000E8510000}"/>
    <cellStyle name="Normal 4 5 2 6 4 2 2" xfId="22049" xr:uid="{00000000-0005-0000-0000-0000E9510000}"/>
    <cellStyle name="Normal 4 5 2 6 4 2 2 2" xfId="46625" xr:uid="{00000000-0005-0000-0000-0000EA510000}"/>
    <cellStyle name="Normal 4 5 2 6 4 2 3" xfId="34337" xr:uid="{00000000-0005-0000-0000-0000EB510000}"/>
    <cellStyle name="Normal 4 5 2 6 4 3" xfId="15905" xr:uid="{00000000-0005-0000-0000-0000EC510000}"/>
    <cellStyle name="Normal 4 5 2 6 4 3 2" xfId="40481" xr:uid="{00000000-0005-0000-0000-0000ED510000}"/>
    <cellStyle name="Normal 4 5 2 6 4 4" xfId="28193" xr:uid="{00000000-0005-0000-0000-0000EE510000}"/>
    <cellStyle name="Normal 4 5 2 6 5" xfId="6689" xr:uid="{00000000-0005-0000-0000-0000EF510000}"/>
    <cellStyle name="Normal 4 5 2 6 5 2" xfId="18977" xr:uid="{00000000-0005-0000-0000-0000F0510000}"/>
    <cellStyle name="Normal 4 5 2 6 5 2 2" xfId="43553" xr:uid="{00000000-0005-0000-0000-0000F1510000}"/>
    <cellStyle name="Normal 4 5 2 6 5 3" xfId="31265" xr:uid="{00000000-0005-0000-0000-0000F2510000}"/>
    <cellStyle name="Normal 4 5 2 6 6" xfId="12833" xr:uid="{00000000-0005-0000-0000-0000F3510000}"/>
    <cellStyle name="Normal 4 5 2 6 6 2" xfId="37409" xr:uid="{00000000-0005-0000-0000-0000F4510000}"/>
    <cellStyle name="Normal 4 5 2 6 7" xfId="25121" xr:uid="{00000000-0005-0000-0000-0000F5510000}"/>
    <cellStyle name="Normal 4 5 2 7" xfId="925" xr:uid="{00000000-0005-0000-0000-0000F6510000}"/>
    <cellStyle name="Normal 4 5 2 7 2" xfId="2461" xr:uid="{00000000-0005-0000-0000-0000F7510000}"/>
    <cellStyle name="Normal 4 5 2 7 2 2" xfId="5537" xr:uid="{00000000-0005-0000-0000-0000F8510000}"/>
    <cellStyle name="Normal 4 5 2 7 2 2 2" xfId="11681" xr:uid="{00000000-0005-0000-0000-0000F9510000}"/>
    <cellStyle name="Normal 4 5 2 7 2 2 2 2" xfId="23969" xr:uid="{00000000-0005-0000-0000-0000FA510000}"/>
    <cellStyle name="Normal 4 5 2 7 2 2 2 2 2" xfId="48545" xr:uid="{00000000-0005-0000-0000-0000FB510000}"/>
    <cellStyle name="Normal 4 5 2 7 2 2 2 3" xfId="36257" xr:uid="{00000000-0005-0000-0000-0000FC510000}"/>
    <cellStyle name="Normal 4 5 2 7 2 2 3" xfId="17825" xr:uid="{00000000-0005-0000-0000-0000FD510000}"/>
    <cellStyle name="Normal 4 5 2 7 2 2 3 2" xfId="42401" xr:uid="{00000000-0005-0000-0000-0000FE510000}"/>
    <cellStyle name="Normal 4 5 2 7 2 2 4" xfId="30113" xr:uid="{00000000-0005-0000-0000-0000FF510000}"/>
    <cellStyle name="Normal 4 5 2 7 2 3" xfId="8609" xr:uid="{00000000-0005-0000-0000-000000520000}"/>
    <cellStyle name="Normal 4 5 2 7 2 3 2" xfId="20897" xr:uid="{00000000-0005-0000-0000-000001520000}"/>
    <cellStyle name="Normal 4 5 2 7 2 3 2 2" xfId="45473" xr:uid="{00000000-0005-0000-0000-000002520000}"/>
    <cellStyle name="Normal 4 5 2 7 2 3 3" xfId="33185" xr:uid="{00000000-0005-0000-0000-000003520000}"/>
    <cellStyle name="Normal 4 5 2 7 2 4" xfId="14753" xr:uid="{00000000-0005-0000-0000-000004520000}"/>
    <cellStyle name="Normal 4 5 2 7 2 4 2" xfId="39329" xr:uid="{00000000-0005-0000-0000-000005520000}"/>
    <cellStyle name="Normal 4 5 2 7 2 5" xfId="27041" xr:uid="{00000000-0005-0000-0000-000006520000}"/>
    <cellStyle name="Normal 4 5 2 7 3" xfId="4001" xr:uid="{00000000-0005-0000-0000-000007520000}"/>
    <cellStyle name="Normal 4 5 2 7 3 2" xfId="10145" xr:uid="{00000000-0005-0000-0000-000008520000}"/>
    <cellStyle name="Normal 4 5 2 7 3 2 2" xfId="22433" xr:uid="{00000000-0005-0000-0000-000009520000}"/>
    <cellStyle name="Normal 4 5 2 7 3 2 2 2" xfId="47009" xr:uid="{00000000-0005-0000-0000-00000A520000}"/>
    <cellStyle name="Normal 4 5 2 7 3 2 3" xfId="34721" xr:uid="{00000000-0005-0000-0000-00000B520000}"/>
    <cellStyle name="Normal 4 5 2 7 3 3" xfId="16289" xr:uid="{00000000-0005-0000-0000-00000C520000}"/>
    <cellStyle name="Normal 4 5 2 7 3 3 2" xfId="40865" xr:uid="{00000000-0005-0000-0000-00000D520000}"/>
    <cellStyle name="Normal 4 5 2 7 3 4" xfId="28577" xr:uid="{00000000-0005-0000-0000-00000E520000}"/>
    <cellStyle name="Normal 4 5 2 7 4" xfId="7073" xr:uid="{00000000-0005-0000-0000-00000F520000}"/>
    <cellStyle name="Normal 4 5 2 7 4 2" xfId="19361" xr:uid="{00000000-0005-0000-0000-000010520000}"/>
    <cellStyle name="Normal 4 5 2 7 4 2 2" xfId="43937" xr:uid="{00000000-0005-0000-0000-000011520000}"/>
    <cellStyle name="Normal 4 5 2 7 4 3" xfId="31649" xr:uid="{00000000-0005-0000-0000-000012520000}"/>
    <cellStyle name="Normal 4 5 2 7 5" xfId="13217" xr:uid="{00000000-0005-0000-0000-000013520000}"/>
    <cellStyle name="Normal 4 5 2 7 5 2" xfId="37793" xr:uid="{00000000-0005-0000-0000-000014520000}"/>
    <cellStyle name="Normal 4 5 2 7 6" xfId="25505" xr:uid="{00000000-0005-0000-0000-000015520000}"/>
    <cellStyle name="Normal 4 5 2 8" xfId="1693" xr:uid="{00000000-0005-0000-0000-000016520000}"/>
    <cellStyle name="Normal 4 5 2 8 2" xfId="4769" xr:uid="{00000000-0005-0000-0000-000017520000}"/>
    <cellStyle name="Normal 4 5 2 8 2 2" xfId="10913" xr:uid="{00000000-0005-0000-0000-000018520000}"/>
    <cellStyle name="Normal 4 5 2 8 2 2 2" xfId="23201" xr:uid="{00000000-0005-0000-0000-000019520000}"/>
    <cellStyle name="Normal 4 5 2 8 2 2 2 2" xfId="47777" xr:uid="{00000000-0005-0000-0000-00001A520000}"/>
    <cellStyle name="Normal 4 5 2 8 2 2 3" xfId="35489" xr:uid="{00000000-0005-0000-0000-00001B520000}"/>
    <cellStyle name="Normal 4 5 2 8 2 3" xfId="17057" xr:uid="{00000000-0005-0000-0000-00001C520000}"/>
    <cellStyle name="Normal 4 5 2 8 2 3 2" xfId="41633" xr:uid="{00000000-0005-0000-0000-00001D520000}"/>
    <cellStyle name="Normal 4 5 2 8 2 4" xfId="29345" xr:uid="{00000000-0005-0000-0000-00001E520000}"/>
    <cellStyle name="Normal 4 5 2 8 3" xfId="7841" xr:uid="{00000000-0005-0000-0000-00001F520000}"/>
    <cellStyle name="Normal 4 5 2 8 3 2" xfId="20129" xr:uid="{00000000-0005-0000-0000-000020520000}"/>
    <cellStyle name="Normal 4 5 2 8 3 2 2" xfId="44705" xr:uid="{00000000-0005-0000-0000-000021520000}"/>
    <cellStyle name="Normal 4 5 2 8 3 3" xfId="32417" xr:uid="{00000000-0005-0000-0000-000022520000}"/>
    <cellStyle name="Normal 4 5 2 8 4" xfId="13985" xr:uid="{00000000-0005-0000-0000-000023520000}"/>
    <cellStyle name="Normal 4 5 2 8 4 2" xfId="38561" xr:uid="{00000000-0005-0000-0000-000024520000}"/>
    <cellStyle name="Normal 4 5 2 8 5" xfId="26273" xr:uid="{00000000-0005-0000-0000-000025520000}"/>
    <cellStyle name="Normal 4 5 2 9" xfId="3233" xr:uid="{00000000-0005-0000-0000-000026520000}"/>
    <cellStyle name="Normal 4 5 2 9 2" xfId="9377" xr:uid="{00000000-0005-0000-0000-000027520000}"/>
    <cellStyle name="Normal 4 5 2 9 2 2" xfId="21665" xr:uid="{00000000-0005-0000-0000-000028520000}"/>
    <cellStyle name="Normal 4 5 2 9 2 2 2" xfId="46241" xr:uid="{00000000-0005-0000-0000-000029520000}"/>
    <cellStyle name="Normal 4 5 2 9 2 3" xfId="33953" xr:uid="{00000000-0005-0000-0000-00002A520000}"/>
    <cellStyle name="Normal 4 5 2 9 3" xfId="15521" xr:uid="{00000000-0005-0000-0000-00002B520000}"/>
    <cellStyle name="Normal 4 5 2 9 3 2" xfId="40097" xr:uid="{00000000-0005-0000-0000-00002C520000}"/>
    <cellStyle name="Normal 4 5 2 9 4" xfId="27809" xr:uid="{00000000-0005-0000-0000-00002D520000}"/>
    <cellStyle name="Normal 4 5 3" xfId="172" xr:uid="{00000000-0005-0000-0000-00002E520000}"/>
    <cellStyle name="Normal 4 5 3 10" xfId="12465" xr:uid="{00000000-0005-0000-0000-00002F520000}"/>
    <cellStyle name="Normal 4 5 3 10 2" xfId="37041" xr:uid="{00000000-0005-0000-0000-000030520000}"/>
    <cellStyle name="Normal 4 5 3 11" xfId="24753" xr:uid="{00000000-0005-0000-0000-000031520000}"/>
    <cellStyle name="Normal 4 5 3 2" xfId="237" xr:uid="{00000000-0005-0000-0000-000032520000}"/>
    <cellStyle name="Normal 4 5 3 2 2" xfId="429" xr:uid="{00000000-0005-0000-0000-000033520000}"/>
    <cellStyle name="Normal 4 5 3 2 2 2" xfId="813" xr:uid="{00000000-0005-0000-0000-000034520000}"/>
    <cellStyle name="Normal 4 5 3 2 2 2 2" xfId="1581" xr:uid="{00000000-0005-0000-0000-000035520000}"/>
    <cellStyle name="Normal 4 5 3 2 2 2 2 2" xfId="3117" xr:uid="{00000000-0005-0000-0000-000036520000}"/>
    <cellStyle name="Normal 4 5 3 2 2 2 2 2 2" xfId="6193" xr:uid="{00000000-0005-0000-0000-000037520000}"/>
    <cellStyle name="Normal 4 5 3 2 2 2 2 2 2 2" xfId="12337" xr:uid="{00000000-0005-0000-0000-000038520000}"/>
    <cellStyle name="Normal 4 5 3 2 2 2 2 2 2 2 2" xfId="24625" xr:uid="{00000000-0005-0000-0000-000039520000}"/>
    <cellStyle name="Normal 4 5 3 2 2 2 2 2 2 2 2 2" xfId="49201" xr:uid="{00000000-0005-0000-0000-00003A520000}"/>
    <cellStyle name="Normal 4 5 3 2 2 2 2 2 2 2 3" xfId="36913" xr:uid="{00000000-0005-0000-0000-00003B520000}"/>
    <cellStyle name="Normal 4 5 3 2 2 2 2 2 2 3" xfId="18481" xr:uid="{00000000-0005-0000-0000-00003C520000}"/>
    <cellStyle name="Normal 4 5 3 2 2 2 2 2 2 3 2" xfId="43057" xr:uid="{00000000-0005-0000-0000-00003D520000}"/>
    <cellStyle name="Normal 4 5 3 2 2 2 2 2 2 4" xfId="30769" xr:uid="{00000000-0005-0000-0000-00003E520000}"/>
    <cellStyle name="Normal 4 5 3 2 2 2 2 2 3" xfId="9265" xr:uid="{00000000-0005-0000-0000-00003F520000}"/>
    <cellStyle name="Normal 4 5 3 2 2 2 2 2 3 2" xfId="21553" xr:uid="{00000000-0005-0000-0000-000040520000}"/>
    <cellStyle name="Normal 4 5 3 2 2 2 2 2 3 2 2" xfId="46129" xr:uid="{00000000-0005-0000-0000-000041520000}"/>
    <cellStyle name="Normal 4 5 3 2 2 2 2 2 3 3" xfId="33841" xr:uid="{00000000-0005-0000-0000-000042520000}"/>
    <cellStyle name="Normal 4 5 3 2 2 2 2 2 4" xfId="15409" xr:uid="{00000000-0005-0000-0000-000043520000}"/>
    <cellStyle name="Normal 4 5 3 2 2 2 2 2 4 2" xfId="39985" xr:uid="{00000000-0005-0000-0000-000044520000}"/>
    <cellStyle name="Normal 4 5 3 2 2 2 2 2 5" xfId="27697" xr:uid="{00000000-0005-0000-0000-000045520000}"/>
    <cellStyle name="Normal 4 5 3 2 2 2 2 3" xfId="4657" xr:uid="{00000000-0005-0000-0000-000046520000}"/>
    <cellStyle name="Normal 4 5 3 2 2 2 2 3 2" xfId="10801" xr:uid="{00000000-0005-0000-0000-000047520000}"/>
    <cellStyle name="Normal 4 5 3 2 2 2 2 3 2 2" xfId="23089" xr:uid="{00000000-0005-0000-0000-000048520000}"/>
    <cellStyle name="Normal 4 5 3 2 2 2 2 3 2 2 2" xfId="47665" xr:uid="{00000000-0005-0000-0000-000049520000}"/>
    <cellStyle name="Normal 4 5 3 2 2 2 2 3 2 3" xfId="35377" xr:uid="{00000000-0005-0000-0000-00004A520000}"/>
    <cellStyle name="Normal 4 5 3 2 2 2 2 3 3" xfId="16945" xr:uid="{00000000-0005-0000-0000-00004B520000}"/>
    <cellStyle name="Normal 4 5 3 2 2 2 2 3 3 2" xfId="41521" xr:uid="{00000000-0005-0000-0000-00004C520000}"/>
    <cellStyle name="Normal 4 5 3 2 2 2 2 3 4" xfId="29233" xr:uid="{00000000-0005-0000-0000-00004D520000}"/>
    <cellStyle name="Normal 4 5 3 2 2 2 2 4" xfId="7729" xr:uid="{00000000-0005-0000-0000-00004E520000}"/>
    <cellStyle name="Normal 4 5 3 2 2 2 2 4 2" xfId="20017" xr:uid="{00000000-0005-0000-0000-00004F520000}"/>
    <cellStyle name="Normal 4 5 3 2 2 2 2 4 2 2" xfId="44593" xr:uid="{00000000-0005-0000-0000-000050520000}"/>
    <cellStyle name="Normal 4 5 3 2 2 2 2 4 3" xfId="32305" xr:uid="{00000000-0005-0000-0000-000051520000}"/>
    <cellStyle name="Normal 4 5 3 2 2 2 2 5" xfId="13873" xr:uid="{00000000-0005-0000-0000-000052520000}"/>
    <cellStyle name="Normal 4 5 3 2 2 2 2 5 2" xfId="38449" xr:uid="{00000000-0005-0000-0000-000053520000}"/>
    <cellStyle name="Normal 4 5 3 2 2 2 2 6" xfId="26161" xr:uid="{00000000-0005-0000-0000-000054520000}"/>
    <cellStyle name="Normal 4 5 3 2 2 2 3" xfId="2349" xr:uid="{00000000-0005-0000-0000-000055520000}"/>
    <cellStyle name="Normal 4 5 3 2 2 2 3 2" xfId="5425" xr:uid="{00000000-0005-0000-0000-000056520000}"/>
    <cellStyle name="Normal 4 5 3 2 2 2 3 2 2" xfId="11569" xr:uid="{00000000-0005-0000-0000-000057520000}"/>
    <cellStyle name="Normal 4 5 3 2 2 2 3 2 2 2" xfId="23857" xr:uid="{00000000-0005-0000-0000-000058520000}"/>
    <cellStyle name="Normal 4 5 3 2 2 2 3 2 2 2 2" xfId="48433" xr:uid="{00000000-0005-0000-0000-000059520000}"/>
    <cellStyle name="Normal 4 5 3 2 2 2 3 2 2 3" xfId="36145" xr:uid="{00000000-0005-0000-0000-00005A520000}"/>
    <cellStyle name="Normal 4 5 3 2 2 2 3 2 3" xfId="17713" xr:uid="{00000000-0005-0000-0000-00005B520000}"/>
    <cellStyle name="Normal 4 5 3 2 2 2 3 2 3 2" xfId="42289" xr:uid="{00000000-0005-0000-0000-00005C520000}"/>
    <cellStyle name="Normal 4 5 3 2 2 2 3 2 4" xfId="30001" xr:uid="{00000000-0005-0000-0000-00005D520000}"/>
    <cellStyle name="Normal 4 5 3 2 2 2 3 3" xfId="8497" xr:uid="{00000000-0005-0000-0000-00005E520000}"/>
    <cellStyle name="Normal 4 5 3 2 2 2 3 3 2" xfId="20785" xr:uid="{00000000-0005-0000-0000-00005F520000}"/>
    <cellStyle name="Normal 4 5 3 2 2 2 3 3 2 2" xfId="45361" xr:uid="{00000000-0005-0000-0000-000060520000}"/>
    <cellStyle name="Normal 4 5 3 2 2 2 3 3 3" xfId="33073" xr:uid="{00000000-0005-0000-0000-000061520000}"/>
    <cellStyle name="Normal 4 5 3 2 2 2 3 4" xfId="14641" xr:uid="{00000000-0005-0000-0000-000062520000}"/>
    <cellStyle name="Normal 4 5 3 2 2 2 3 4 2" xfId="39217" xr:uid="{00000000-0005-0000-0000-000063520000}"/>
    <cellStyle name="Normal 4 5 3 2 2 2 3 5" xfId="26929" xr:uid="{00000000-0005-0000-0000-000064520000}"/>
    <cellStyle name="Normal 4 5 3 2 2 2 4" xfId="3889" xr:uid="{00000000-0005-0000-0000-000065520000}"/>
    <cellStyle name="Normal 4 5 3 2 2 2 4 2" xfId="10033" xr:uid="{00000000-0005-0000-0000-000066520000}"/>
    <cellStyle name="Normal 4 5 3 2 2 2 4 2 2" xfId="22321" xr:uid="{00000000-0005-0000-0000-000067520000}"/>
    <cellStyle name="Normal 4 5 3 2 2 2 4 2 2 2" xfId="46897" xr:uid="{00000000-0005-0000-0000-000068520000}"/>
    <cellStyle name="Normal 4 5 3 2 2 2 4 2 3" xfId="34609" xr:uid="{00000000-0005-0000-0000-000069520000}"/>
    <cellStyle name="Normal 4 5 3 2 2 2 4 3" xfId="16177" xr:uid="{00000000-0005-0000-0000-00006A520000}"/>
    <cellStyle name="Normal 4 5 3 2 2 2 4 3 2" xfId="40753" xr:uid="{00000000-0005-0000-0000-00006B520000}"/>
    <cellStyle name="Normal 4 5 3 2 2 2 4 4" xfId="28465" xr:uid="{00000000-0005-0000-0000-00006C520000}"/>
    <cellStyle name="Normal 4 5 3 2 2 2 5" xfId="6961" xr:uid="{00000000-0005-0000-0000-00006D520000}"/>
    <cellStyle name="Normal 4 5 3 2 2 2 5 2" xfId="19249" xr:uid="{00000000-0005-0000-0000-00006E520000}"/>
    <cellStyle name="Normal 4 5 3 2 2 2 5 2 2" xfId="43825" xr:uid="{00000000-0005-0000-0000-00006F520000}"/>
    <cellStyle name="Normal 4 5 3 2 2 2 5 3" xfId="31537" xr:uid="{00000000-0005-0000-0000-000070520000}"/>
    <cellStyle name="Normal 4 5 3 2 2 2 6" xfId="13105" xr:uid="{00000000-0005-0000-0000-000071520000}"/>
    <cellStyle name="Normal 4 5 3 2 2 2 6 2" xfId="37681" xr:uid="{00000000-0005-0000-0000-000072520000}"/>
    <cellStyle name="Normal 4 5 3 2 2 2 7" xfId="25393" xr:uid="{00000000-0005-0000-0000-000073520000}"/>
    <cellStyle name="Normal 4 5 3 2 2 3" xfId="1197" xr:uid="{00000000-0005-0000-0000-000074520000}"/>
    <cellStyle name="Normal 4 5 3 2 2 3 2" xfId="2733" xr:uid="{00000000-0005-0000-0000-000075520000}"/>
    <cellStyle name="Normal 4 5 3 2 2 3 2 2" xfId="5809" xr:uid="{00000000-0005-0000-0000-000076520000}"/>
    <cellStyle name="Normal 4 5 3 2 2 3 2 2 2" xfId="11953" xr:uid="{00000000-0005-0000-0000-000077520000}"/>
    <cellStyle name="Normal 4 5 3 2 2 3 2 2 2 2" xfId="24241" xr:uid="{00000000-0005-0000-0000-000078520000}"/>
    <cellStyle name="Normal 4 5 3 2 2 3 2 2 2 2 2" xfId="48817" xr:uid="{00000000-0005-0000-0000-000079520000}"/>
    <cellStyle name="Normal 4 5 3 2 2 3 2 2 2 3" xfId="36529" xr:uid="{00000000-0005-0000-0000-00007A520000}"/>
    <cellStyle name="Normal 4 5 3 2 2 3 2 2 3" xfId="18097" xr:uid="{00000000-0005-0000-0000-00007B520000}"/>
    <cellStyle name="Normal 4 5 3 2 2 3 2 2 3 2" xfId="42673" xr:uid="{00000000-0005-0000-0000-00007C520000}"/>
    <cellStyle name="Normal 4 5 3 2 2 3 2 2 4" xfId="30385" xr:uid="{00000000-0005-0000-0000-00007D520000}"/>
    <cellStyle name="Normal 4 5 3 2 2 3 2 3" xfId="8881" xr:uid="{00000000-0005-0000-0000-00007E520000}"/>
    <cellStyle name="Normal 4 5 3 2 2 3 2 3 2" xfId="21169" xr:uid="{00000000-0005-0000-0000-00007F520000}"/>
    <cellStyle name="Normal 4 5 3 2 2 3 2 3 2 2" xfId="45745" xr:uid="{00000000-0005-0000-0000-000080520000}"/>
    <cellStyle name="Normal 4 5 3 2 2 3 2 3 3" xfId="33457" xr:uid="{00000000-0005-0000-0000-000081520000}"/>
    <cellStyle name="Normal 4 5 3 2 2 3 2 4" xfId="15025" xr:uid="{00000000-0005-0000-0000-000082520000}"/>
    <cellStyle name="Normal 4 5 3 2 2 3 2 4 2" xfId="39601" xr:uid="{00000000-0005-0000-0000-000083520000}"/>
    <cellStyle name="Normal 4 5 3 2 2 3 2 5" xfId="27313" xr:uid="{00000000-0005-0000-0000-000084520000}"/>
    <cellStyle name="Normal 4 5 3 2 2 3 3" xfId="4273" xr:uid="{00000000-0005-0000-0000-000085520000}"/>
    <cellStyle name="Normal 4 5 3 2 2 3 3 2" xfId="10417" xr:uid="{00000000-0005-0000-0000-000086520000}"/>
    <cellStyle name="Normal 4 5 3 2 2 3 3 2 2" xfId="22705" xr:uid="{00000000-0005-0000-0000-000087520000}"/>
    <cellStyle name="Normal 4 5 3 2 2 3 3 2 2 2" xfId="47281" xr:uid="{00000000-0005-0000-0000-000088520000}"/>
    <cellStyle name="Normal 4 5 3 2 2 3 3 2 3" xfId="34993" xr:uid="{00000000-0005-0000-0000-000089520000}"/>
    <cellStyle name="Normal 4 5 3 2 2 3 3 3" xfId="16561" xr:uid="{00000000-0005-0000-0000-00008A520000}"/>
    <cellStyle name="Normal 4 5 3 2 2 3 3 3 2" xfId="41137" xr:uid="{00000000-0005-0000-0000-00008B520000}"/>
    <cellStyle name="Normal 4 5 3 2 2 3 3 4" xfId="28849" xr:uid="{00000000-0005-0000-0000-00008C520000}"/>
    <cellStyle name="Normal 4 5 3 2 2 3 4" xfId="7345" xr:uid="{00000000-0005-0000-0000-00008D520000}"/>
    <cellStyle name="Normal 4 5 3 2 2 3 4 2" xfId="19633" xr:uid="{00000000-0005-0000-0000-00008E520000}"/>
    <cellStyle name="Normal 4 5 3 2 2 3 4 2 2" xfId="44209" xr:uid="{00000000-0005-0000-0000-00008F520000}"/>
    <cellStyle name="Normal 4 5 3 2 2 3 4 3" xfId="31921" xr:uid="{00000000-0005-0000-0000-000090520000}"/>
    <cellStyle name="Normal 4 5 3 2 2 3 5" xfId="13489" xr:uid="{00000000-0005-0000-0000-000091520000}"/>
    <cellStyle name="Normal 4 5 3 2 2 3 5 2" xfId="38065" xr:uid="{00000000-0005-0000-0000-000092520000}"/>
    <cellStyle name="Normal 4 5 3 2 2 3 6" xfId="25777" xr:uid="{00000000-0005-0000-0000-000093520000}"/>
    <cellStyle name="Normal 4 5 3 2 2 4" xfId="1965" xr:uid="{00000000-0005-0000-0000-000094520000}"/>
    <cellStyle name="Normal 4 5 3 2 2 4 2" xfId="5041" xr:uid="{00000000-0005-0000-0000-000095520000}"/>
    <cellStyle name="Normal 4 5 3 2 2 4 2 2" xfId="11185" xr:uid="{00000000-0005-0000-0000-000096520000}"/>
    <cellStyle name="Normal 4 5 3 2 2 4 2 2 2" xfId="23473" xr:uid="{00000000-0005-0000-0000-000097520000}"/>
    <cellStyle name="Normal 4 5 3 2 2 4 2 2 2 2" xfId="48049" xr:uid="{00000000-0005-0000-0000-000098520000}"/>
    <cellStyle name="Normal 4 5 3 2 2 4 2 2 3" xfId="35761" xr:uid="{00000000-0005-0000-0000-000099520000}"/>
    <cellStyle name="Normal 4 5 3 2 2 4 2 3" xfId="17329" xr:uid="{00000000-0005-0000-0000-00009A520000}"/>
    <cellStyle name="Normal 4 5 3 2 2 4 2 3 2" xfId="41905" xr:uid="{00000000-0005-0000-0000-00009B520000}"/>
    <cellStyle name="Normal 4 5 3 2 2 4 2 4" xfId="29617" xr:uid="{00000000-0005-0000-0000-00009C520000}"/>
    <cellStyle name="Normal 4 5 3 2 2 4 3" xfId="8113" xr:uid="{00000000-0005-0000-0000-00009D520000}"/>
    <cellStyle name="Normal 4 5 3 2 2 4 3 2" xfId="20401" xr:uid="{00000000-0005-0000-0000-00009E520000}"/>
    <cellStyle name="Normal 4 5 3 2 2 4 3 2 2" xfId="44977" xr:uid="{00000000-0005-0000-0000-00009F520000}"/>
    <cellStyle name="Normal 4 5 3 2 2 4 3 3" xfId="32689" xr:uid="{00000000-0005-0000-0000-0000A0520000}"/>
    <cellStyle name="Normal 4 5 3 2 2 4 4" xfId="14257" xr:uid="{00000000-0005-0000-0000-0000A1520000}"/>
    <cellStyle name="Normal 4 5 3 2 2 4 4 2" xfId="38833" xr:uid="{00000000-0005-0000-0000-0000A2520000}"/>
    <cellStyle name="Normal 4 5 3 2 2 4 5" xfId="26545" xr:uid="{00000000-0005-0000-0000-0000A3520000}"/>
    <cellStyle name="Normal 4 5 3 2 2 5" xfId="3505" xr:uid="{00000000-0005-0000-0000-0000A4520000}"/>
    <cellStyle name="Normal 4 5 3 2 2 5 2" xfId="9649" xr:uid="{00000000-0005-0000-0000-0000A5520000}"/>
    <cellStyle name="Normal 4 5 3 2 2 5 2 2" xfId="21937" xr:uid="{00000000-0005-0000-0000-0000A6520000}"/>
    <cellStyle name="Normal 4 5 3 2 2 5 2 2 2" xfId="46513" xr:uid="{00000000-0005-0000-0000-0000A7520000}"/>
    <cellStyle name="Normal 4 5 3 2 2 5 2 3" xfId="34225" xr:uid="{00000000-0005-0000-0000-0000A8520000}"/>
    <cellStyle name="Normal 4 5 3 2 2 5 3" xfId="15793" xr:uid="{00000000-0005-0000-0000-0000A9520000}"/>
    <cellStyle name="Normal 4 5 3 2 2 5 3 2" xfId="40369" xr:uid="{00000000-0005-0000-0000-0000AA520000}"/>
    <cellStyle name="Normal 4 5 3 2 2 5 4" xfId="28081" xr:uid="{00000000-0005-0000-0000-0000AB520000}"/>
    <cellStyle name="Normal 4 5 3 2 2 6" xfId="6577" xr:uid="{00000000-0005-0000-0000-0000AC520000}"/>
    <cellStyle name="Normal 4 5 3 2 2 6 2" xfId="18865" xr:uid="{00000000-0005-0000-0000-0000AD520000}"/>
    <cellStyle name="Normal 4 5 3 2 2 6 2 2" xfId="43441" xr:uid="{00000000-0005-0000-0000-0000AE520000}"/>
    <cellStyle name="Normal 4 5 3 2 2 6 3" xfId="31153" xr:uid="{00000000-0005-0000-0000-0000AF520000}"/>
    <cellStyle name="Normal 4 5 3 2 2 7" xfId="12721" xr:uid="{00000000-0005-0000-0000-0000B0520000}"/>
    <cellStyle name="Normal 4 5 3 2 2 7 2" xfId="37297" xr:uid="{00000000-0005-0000-0000-0000B1520000}"/>
    <cellStyle name="Normal 4 5 3 2 2 8" xfId="25009" xr:uid="{00000000-0005-0000-0000-0000B2520000}"/>
    <cellStyle name="Normal 4 5 3 2 3" xfId="621" xr:uid="{00000000-0005-0000-0000-0000B3520000}"/>
    <cellStyle name="Normal 4 5 3 2 3 2" xfId="1389" xr:uid="{00000000-0005-0000-0000-0000B4520000}"/>
    <cellStyle name="Normal 4 5 3 2 3 2 2" xfId="2925" xr:uid="{00000000-0005-0000-0000-0000B5520000}"/>
    <cellStyle name="Normal 4 5 3 2 3 2 2 2" xfId="6001" xr:uid="{00000000-0005-0000-0000-0000B6520000}"/>
    <cellStyle name="Normal 4 5 3 2 3 2 2 2 2" xfId="12145" xr:uid="{00000000-0005-0000-0000-0000B7520000}"/>
    <cellStyle name="Normal 4 5 3 2 3 2 2 2 2 2" xfId="24433" xr:uid="{00000000-0005-0000-0000-0000B8520000}"/>
    <cellStyle name="Normal 4 5 3 2 3 2 2 2 2 2 2" xfId="49009" xr:uid="{00000000-0005-0000-0000-0000B9520000}"/>
    <cellStyle name="Normal 4 5 3 2 3 2 2 2 2 3" xfId="36721" xr:uid="{00000000-0005-0000-0000-0000BA520000}"/>
    <cellStyle name="Normal 4 5 3 2 3 2 2 2 3" xfId="18289" xr:uid="{00000000-0005-0000-0000-0000BB520000}"/>
    <cellStyle name="Normal 4 5 3 2 3 2 2 2 3 2" xfId="42865" xr:uid="{00000000-0005-0000-0000-0000BC520000}"/>
    <cellStyle name="Normal 4 5 3 2 3 2 2 2 4" xfId="30577" xr:uid="{00000000-0005-0000-0000-0000BD520000}"/>
    <cellStyle name="Normal 4 5 3 2 3 2 2 3" xfId="9073" xr:uid="{00000000-0005-0000-0000-0000BE520000}"/>
    <cellStyle name="Normal 4 5 3 2 3 2 2 3 2" xfId="21361" xr:uid="{00000000-0005-0000-0000-0000BF520000}"/>
    <cellStyle name="Normal 4 5 3 2 3 2 2 3 2 2" xfId="45937" xr:uid="{00000000-0005-0000-0000-0000C0520000}"/>
    <cellStyle name="Normal 4 5 3 2 3 2 2 3 3" xfId="33649" xr:uid="{00000000-0005-0000-0000-0000C1520000}"/>
    <cellStyle name="Normal 4 5 3 2 3 2 2 4" xfId="15217" xr:uid="{00000000-0005-0000-0000-0000C2520000}"/>
    <cellStyle name="Normal 4 5 3 2 3 2 2 4 2" xfId="39793" xr:uid="{00000000-0005-0000-0000-0000C3520000}"/>
    <cellStyle name="Normal 4 5 3 2 3 2 2 5" xfId="27505" xr:uid="{00000000-0005-0000-0000-0000C4520000}"/>
    <cellStyle name="Normal 4 5 3 2 3 2 3" xfId="4465" xr:uid="{00000000-0005-0000-0000-0000C5520000}"/>
    <cellStyle name="Normal 4 5 3 2 3 2 3 2" xfId="10609" xr:uid="{00000000-0005-0000-0000-0000C6520000}"/>
    <cellStyle name="Normal 4 5 3 2 3 2 3 2 2" xfId="22897" xr:uid="{00000000-0005-0000-0000-0000C7520000}"/>
    <cellStyle name="Normal 4 5 3 2 3 2 3 2 2 2" xfId="47473" xr:uid="{00000000-0005-0000-0000-0000C8520000}"/>
    <cellStyle name="Normal 4 5 3 2 3 2 3 2 3" xfId="35185" xr:uid="{00000000-0005-0000-0000-0000C9520000}"/>
    <cellStyle name="Normal 4 5 3 2 3 2 3 3" xfId="16753" xr:uid="{00000000-0005-0000-0000-0000CA520000}"/>
    <cellStyle name="Normal 4 5 3 2 3 2 3 3 2" xfId="41329" xr:uid="{00000000-0005-0000-0000-0000CB520000}"/>
    <cellStyle name="Normal 4 5 3 2 3 2 3 4" xfId="29041" xr:uid="{00000000-0005-0000-0000-0000CC520000}"/>
    <cellStyle name="Normal 4 5 3 2 3 2 4" xfId="7537" xr:uid="{00000000-0005-0000-0000-0000CD520000}"/>
    <cellStyle name="Normal 4 5 3 2 3 2 4 2" xfId="19825" xr:uid="{00000000-0005-0000-0000-0000CE520000}"/>
    <cellStyle name="Normal 4 5 3 2 3 2 4 2 2" xfId="44401" xr:uid="{00000000-0005-0000-0000-0000CF520000}"/>
    <cellStyle name="Normal 4 5 3 2 3 2 4 3" xfId="32113" xr:uid="{00000000-0005-0000-0000-0000D0520000}"/>
    <cellStyle name="Normal 4 5 3 2 3 2 5" xfId="13681" xr:uid="{00000000-0005-0000-0000-0000D1520000}"/>
    <cellStyle name="Normal 4 5 3 2 3 2 5 2" xfId="38257" xr:uid="{00000000-0005-0000-0000-0000D2520000}"/>
    <cellStyle name="Normal 4 5 3 2 3 2 6" xfId="25969" xr:uid="{00000000-0005-0000-0000-0000D3520000}"/>
    <cellStyle name="Normal 4 5 3 2 3 3" xfId="2157" xr:uid="{00000000-0005-0000-0000-0000D4520000}"/>
    <cellStyle name="Normal 4 5 3 2 3 3 2" xfId="5233" xr:uid="{00000000-0005-0000-0000-0000D5520000}"/>
    <cellStyle name="Normal 4 5 3 2 3 3 2 2" xfId="11377" xr:uid="{00000000-0005-0000-0000-0000D6520000}"/>
    <cellStyle name="Normal 4 5 3 2 3 3 2 2 2" xfId="23665" xr:uid="{00000000-0005-0000-0000-0000D7520000}"/>
    <cellStyle name="Normal 4 5 3 2 3 3 2 2 2 2" xfId="48241" xr:uid="{00000000-0005-0000-0000-0000D8520000}"/>
    <cellStyle name="Normal 4 5 3 2 3 3 2 2 3" xfId="35953" xr:uid="{00000000-0005-0000-0000-0000D9520000}"/>
    <cellStyle name="Normal 4 5 3 2 3 3 2 3" xfId="17521" xr:uid="{00000000-0005-0000-0000-0000DA520000}"/>
    <cellStyle name="Normal 4 5 3 2 3 3 2 3 2" xfId="42097" xr:uid="{00000000-0005-0000-0000-0000DB520000}"/>
    <cellStyle name="Normal 4 5 3 2 3 3 2 4" xfId="29809" xr:uid="{00000000-0005-0000-0000-0000DC520000}"/>
    <cellStyle name="Normal 4 5 3 2 3 3 3" xfId="8305" xr:uid="{00000000-0005-0000-0000-0000DD520000}"/>
    <cellStyle name="Normal 4 5 3 2 3 3 3 2" xfId="20593" xr:uid="{00000000-0005-0000-0000-0000DE520000}"/>
    <cellStyle name="Normal 4 5 3 2 3 3 3 2 2" xfId="45169" xr:uid="{00000000-0005-0000-0000-0000DF520000}"/>
    <cellStyle name="Normal 4 5 3 2 3 3 3 3" xfId="32881" xr:uid="{00000000-0005-0000-0000-0000E0520000}"/>
    <cellStyle name="Normal 4 5 3 2 3 3 4" xfId="14449" xr:uid="{00000000-0005-0000-0000-0000E1520000}"/>
    <cellStyle name="Normal 4 5 3 2 3 3 4 2" xfId="39025" xr:uid="{00000000-0005-0000-0000-0000E2520000}"/>
    <cellStyle name="Normal 4 5 3 2 3 3 5" xfId="26737" xr:uid="{00000000-0005-0000-0000-0000E3520000}"/>
    <cellStyle name="Normal 4 5 3 2 3 4" xfId="3697" xr:uid="{00000000-0005-0000-0000-0000E4520000}"/>
    <cellStyle name="Normal 4 5 3 2 3 4 2" xfId="9841" xr:uid="{00000000-0005-0000-0000-0000E5520000}"/>
    <cellStyle name="Normal 4 5 3 2 3 4 2 2" xfId="22129" xr:uid="{00000000-0005-0000-0000-0000E6520000}"/>
    <cellStyle name="Normal 4 5 3 2 3 4 2 2 2" xfId="46705" xr:uid="{00000000-0005-0000-0000-0000E7520000}"/>
    <cellStyle name="Normal 4 5 3 2 3 4 2 3" xfId="34417" xr:uid="{00000000-0005-0000-0000-0000E8520000}"/>
    <cellStyle name="Normal 4 5 3 2 3 4 3" xfId="15985" xr:uid="{00000000-0005-0000-0000-0000E9520000}"/>
    <cellStyle name="Normal 4 5 3 2 3 4 3 2" xfId="40561" xr:uid="{00000000-0005-0000-0000-0000EA520000}"/>
    <cellStyle name="Normal 4 5 3 2 3 4 4" xfId="28273" xr:uid="{00000000-0005-0000-0000-0000EB520000}"/>
    <cellStyle name="Normal 4 5 3 2 3 5" xfId="6769" xr:uid="{00000000-0005-0000-0000-0000EC520000}"/>
    <cellStyle name="Normal 4 5 3 2 3 5 2" xfId="19057" xr:uid="{00000000-0005-0000-0000-0000ED520000}"/>
    <cellStyle name="Normal 4 5 3 2 3 5 2 2" xfId="43633" xr:uid="{00000000-0005-0000-0000-0000EE520000}"/>
    <cellStyle name="Normal 4 5 3 2 3 5 3" xfId="31345" xr:uid="{00000000-0005-0000-0000-0000EF520000}"/>
    <cellStyle name="Normal 4 5 3 2 3 6" xfId="12913" xr:uid="{00000000-0005-0000-0000-0000F0520000}"/>
    <cellStyle name="Normal 4 5 3 2 3 6 2" xfId="37489" xr:uid="{00000000-0005-0000-0000-0000F1520000}"/>
    <cellStyle name="Normal 4 5 3 2 3 7" xfId="25201" xr:uid="{00000000-0005-0000-0000-0000F2520000}"/>
    <cellStyle name="Normal 4 5 3 2 4" xfId="1005" xr:uid="{00000000-0005-0000-0000-0000F3520000}"/>
    <cellStyle name="Normal 4 5 3 2 4 2" xfId="2541" xr:uid="{00000000-0005-0000-0000-0000F4520000}"/>
    <cellStyle name="Normal 4 5 3 2 4 2 2" xfId="5617" xr:uid="{00000000-0005-0000-0000-0000F5520000}"/>
    <cellStyle name="Normal 4 5 3 2 4 2 2 2" xfId="11761" xr:uid="{00000000-0005-0000-0000-0000F6520000}"/>
    <cellStyle name="Normal 4 5 3 2 4 2 2 2 2" xfId="24049" xr:uid="{00000000-0005-0000-0000-0000F7520000}"/>
    <cellStyle name="Normal 4 5 3 2 4 2 2 2 2 2" xfId="48625" xr:uid="{00000000-0005-0000-0000-0000F8520000}"/>
    <cellStyle name="Normal 4 5 3 2 4 2 2 2 3" xfId="36337" xr:uid="{00000000-0005-0000-0000-0000F9520000}"/>
    <cellStyle name="Normal 4 5 3 2 4 2 2 3" xfId="17905" xr:uid="{00000000-0005-0000-0000-0000FA520000}"/>
    <cellStyle name="Normal 4 5 3 2 4 2 2 3 2" xfId="42481" xr:uid="{00000000-0005-0000-0000-0000FB520000}"/>
    <cellStyle name="Normal 4 5 3 2 4 2 2 4" xfId="30193" xr:uid="{00000000-0005-0000-0000-0000FC520000}"/>
    <cellStyle name="Normal 4 5 3 2 4 2 3" xfId="8689" xr:uid="{00000000-0005-0000-0000-0000FD520000}"/>
    <cellStyle name="Normal 4 5 3 2 4 2 3 2" xfId="20977" xr:uid="{00000000-0005-0000-0000-0000FE520000}"/>
    <cellStyle name="Normal 4 5 3 2 4 2 3 2 2" xfId="45553" xr:uid="{00000000-0005-0000-0000-0000FF520000}"/>
    <cellStyle name="Normal 4 5 3 2 4 2 3 3" xfId="33265" xr:uid="{00000000-0005-0000-0000-000000530000}"/>
    <cellStyle name="Normal 4 5 3 2 4 2 4" xfId="14833" xr:uid="{00000000-0005-0000-0000-000001530000}"/>
    <cellStyle name="Normal 4 5 3 2 4 2 4 2" xfId="39409" xr:uid="{00000000-0005-0000-0000-000002530000}"/>
    <cellStyle name="Normal 4 5 3 2 4 2 5" xfId="27121" xr:uid="{00000000-0005-0000-0000-000003530000}"/>
    <cellStyle name="Normal 4 5 3 2 4 3" xfId="4081" xr:uid="{00000000-0005-0000-0000-000004530000}"/>
    <cellStyle name="Normal 4 5 3 2 4 3 2" xfId="10225" xr:uid="{00000000-0005-0000-0000-000005530000}"/>
    <cellStyle name="Normal 4 5 3 2 4 3 2 2" xfId="22513" xr:uid="{00000000-0005-0000-0000-000006530000}"/>
    <cellStyle name="Normal 4 5 3 2 4 3 2 2 2" xfId="47089" xr:uid="{00000000-0005-0000-0000-000007530000}"/>
    <cellStyle name="Normal 4 5 3 2 4 3 2 3" xfId="34801" xr:uid="{00000000-0005-0000-0000-000008530000}"/>
    <cellStyle name="Normal 4 5 3 2 4 3 3" xfId="16369" xr:uid="{00000000-0005-0000-0000-000009530000}"/>
    <cellStyle name="Normal 4 5 3 2 4 3 3 2" xfId="40945" xr:uid="{00000000-0005-0000-0000-00000A530000}"/>
    <cellStyle name="Normal 4 5 3 2 4 3 4" xfId="28657" xr:uid="{00000000-0005-0000-0000-00000B530000}"/>
    <cellStyle name="Normal 4 5 3 2 4 4" xfId="7153" xr:uid="{00000000-0005-0000-0000-00000C530000}"/>
    <cellStyle name="Normal 4 5 3 2 4 4 2" xfId="19441" xr:uid="{00000000-0005-0000-0000-00000D530000}"/>
    <cellStyle name="Normal 4 5 3 2 4 4 2 2" xfId="44017" xr:uid="{00000000-0005-0000-0000-00000E530000}"/>
    <cellStyle name="Normal 4 5 3 2 4 4 3" xfId="31729" xr:uid="{00000000-0005-0000-0000-00000F530000}"/>
    <cellStyle name="Normal 4 5 3 2 4 5" xfId="13297" xr:uid="{00000000-0005-0000-0000-000010530000}"/>
    <cellStyle name="Normal 4 5 3 2 4 5 2" xfId="37873" xr:uid="{00000000-0005-0000-0000-000011530000}"/>
    <cellStyle name="Normal 4 5 3 2 4 6" xfId="25585" xr:uid="{00000000-0005-0000-0000-000012530000}"/>
    <cellStyle name="Normal 4 5 3 2 5" xfId="1773" xr:uid="{00000000-0005-0000-0000-000013530000}"/>
    <cellStyle name="Normal 4 5 3 2 5 2" xfId="4849" xr:uid="{00000000-0005-0000-0000-000014530000}"/>
    <cellStyle name="Normal 4 5 3 2 5 2 2" xfId="10993" xr:uid="{00000000-0005-0000-0000-000015530000}"/>
    <cellStyle name="Normal 4 5 3 2 5 2 2 2" xfId="23281" xr:uid="{00000000-0005-0000-0000-000016530000}"/>
    <cellStyle name="Normal 4 5 3 2 5 2 2 2 2" xfId="47857" xr:uid="{00000000-0005-0000-0000-000017530000}"/>
    <cellStyle name="Normal 4 5 3 2 5 2 2 3" xfId="35569" xr:uid="{00000000-0005-0000-0000-000018530000}"/>
    <cellStyle name="Normal 4 5 3 2 5 2 3" xfId="17137" xr:uid="{00000000-0005-0000-0000-000019530000}"/>
    <cellStyle name="Normal 4 5 3 2 5 2 3 2" xfId="41713" xr:uid="{00000000-0005-0000-0000-00001A530000}"/>
    <cellStyle name="Normal 4 5 3 2 5 2 4" xfId="29425" xr:uid="{00000000-0005-0000-0000-00001B530000}"/>
    <cellStyle name="Normal 4 5 3 2 5 3" xfId="7921" xr:uid="{00000000-0005-0000-0000-00001C530000}"/>
    <cellStyle name="Normal 4 5 3 2 5 3 2" xfId="20209" xr:uid="{00000000-0005-0000-0000-00001D530000}"/>
    <cellStyle name="Normal 4 5 3 2 5 3 2 2" xfId="44785" xr:uid="{00000000-0005-0000-0000-00001E530000}"/>
    <cellStyle name="Normal 4 5 3 2 5 3 3" xfId="32497" xr:uid="{00000000-0005-0000-0000-00001F530000}"/>
    <cellStyle name="Normal 4 5 3 2 5 4" xfId="14065" xr:uid="{00000000-0005-0000-0000-000020530000}"/>
    <cellStyle name="Normal 4 5 3 2 5 4 2" xfId="38641" xr:uid="{00000000-0005-0000-0000-000021530000}"/>
    <cellStyle name="Normal 4 5 3 2 5 5" xfId="26353" xr:uid="{00000000-0005-0000-0000-000022530000}"/>
    <cellStyle name="Normal 4 5 3 2 6" xfId="3313" xr:uid="{00000000-0005-0000-0000-000023530000}"/>
    <cellStyle name="Normal 4 5 3 2 6 2" xfId="9457" xr:uid="{00000000-0005-0000-0000-000024530000}"/>
    <cellStyle name="Normal 4 5 3 2 6 2 2" xfId="21745" xr:uid="{00000000-0005-0000-0000-000025530000}"/>
    <cellStyle name="Normal 4 5 3 2 6 2 2 2" xfId="46321" xr:uid="{00000000-0005-0000-0000-000026530000}"/>
    <cellStyle name="Normal 4 5 3 2 6 2 3" xfId="34033" xr:uid="{00000000-0005-0000-0000-000027530000}"/>
    <cellStyle name="Normal 4 5 3 2 6 3" xfId="15601" xr:uid="{00000000-0005-0000-0000-000028530000}"/>
    <cellStyle name="Normal 4 5 3 2 6 3 2" xfId="40177" xr:uid="{00000000-0005-0000-0000-000029530000}"/>
    <cellStyle name="Normal 4 5 3 2 6 4" xfId="27889" xr:uid="{00000000-0005-0000-0000-00002A530000}"/>
    <cellStyle name="Normal 4 5 3 2 7" xfId="6385" xr:uid="{00000000-0005-0000-0000-00002B530000}"/>
    <cellStyle name="Normal 4 5 3 2 7 2" xfId="18673" xr:uid="{00000000-0005-0000-0000-00002C530000}"/>
    <cellStyle name="Normal 4 5 3 2 7 2 2" xfId="43249" xr:uid="{00000000-0005-0000-0000-00002D530000}"/>
    <cellStyle name="Normal 4 5 3 2 7 3" xfId="30961" xr:uid="{00000000-0005-0000-0000-00002E530000}"/>
    <cellStyle name="Normal 4 5 3 2 8" xfId="12529" xr:uid="{00000000-0005-0000-0000-00002F530000}"/>
    <cellStyle name="Normal 4 5 3 2 8 2" xfId="37105" xr:uid="{00000000-0005-0000-0000-000030530000}"/>
    <cellStyle name="Normal 4 5 3 2 9" xfId="24817" xr:uid="{00000000-0005-0000-0000-000031530000}"/>
    <cellStyle name="Normal 4 5 3 3" xfId="301" xr:uid="{00000000-0005-0000-0000-000032530000}"/>
    <cellStyle name="Normal 4 5 3 3 2" xfId="493" xr:uid="{00000000-0005-0000-0000-000033530000}"/>
    <cellStyle name="Normal 4 5 3 3 2 2" xfId="877" xr:uid="{00000000-0005-0000-0000-000034530000}"/>
    <cellStyle name="Normal 4 5 3 3 2 2 2" xfId="1645" xr:uid="{00000000-0005-0000-0000-000035530000}"/>
    <cellStyle name="Normal 4 5 3 3 2 2 2 2" xfId="3181" xr:uid="{00000000-0005-0000-0000-000036530000}"/>
    <cellStyle name="Normal 4 5 3 3 2 2 2 2 2" xfId="6257" xr:uid="{00000000-0005-0000-0000-000037530000}"/>
    <cellStyle name="Normal 4 5 3 3 2 2 2 2 2 2" xfId="12401" xr:uid="{00000000-0005-0000-0000-000038530000}"/>
    <cellStyle name="Normal 4 5 3 3 2 2 2 2 2 2 2" xfId="24689" xr:uid="{00000000-0005-0000-0000-000039530000}"/>
    <cellStyle name="Normal 4 5 3 3 2 2 2 2 2 2 2 2" xfId="49265" xr:uid="{00000000-0005-0000-0000-00003A530000}"/>
    <cellStyle name="Normal 4 5 3 3 2 2 2 2 2 2 3" xfId="36977" xr:uid="{00000000-0005-0000-0000-00003B530000}"/>
    <cellStyle name="Normal 4 5 3 3 2 2 2 2 2 3" xfId="18545" xr:uid="{00000000-0005-0000-0000-00003C530000}"/>
    <cellStyle name="Normal 4 5 3 3 2 2 2 2 2 3 2" xfId="43121" xr:uid="{00000000-0005-0000-0000-00003D530000}"/>
    <cellStyle name="Normal 4 5 3 3 2 2 2 2 2 4" xfId="30833" xr:uid="{00000000-0005-0000-0000-00003E530000}"/>
    <cellStyle name="Normal 4 5 3 3 2 2 2 2 3" xfId="9329" xr:uid="{00000000-0005-0000-0000-00003F530000}"/>
    <cellStyle name="Normal 4 5 3 3 2 2 2 2 3 2" xfId="21617" xr:uid="{00000000-0005-0000-0000-000040530000}"/>
    <cellStyle name="Normal 4 5 3 3 2 2 2 2 3 2 2" xfId="46193" xr:uid="{00000000-0005-0000-0000-000041530000}"/>
    <cellStyle name="Normal 4 5 3 3 2 2 2 2 3 3" xfId="33905" xr:uid="{00000000-0005-0000-0000-000042530000}"/>
    <cellStyle name="Normal 4 5 3 3 2 2 2 2 4" xfId="15473" xr:uid="{00000000-0005-0000-0000-000043530000}"/>
    <cellStyle name="Normal 4 5 3 3 2 2 2 2 4 2" xfId="40049" xr:uid="{00000000-0005-0000-0000-000044530000}"/>
    <cellStyle name="Normal 4 5 3 3 2 2 2 2 5" xfId="27761" xr:uid="{00000000-0005-0000-0000-000045530000}"/>
    <cellStyle name="Normal 4 5 3 3 2 2 2 3" xfId="4721" xr:uid="{00000000-0005-0000-0000-000046530000}"/>
    <cellStyle name="Normal 4 5 3 3 2 2 2 3 2" xfId="10865" xr:uid="{00000000-0005-0000-0000-000047530000}"/>
    <cellStyle name="Normal 4 5 3 3 2 2 2 3 2 2" xfId="23153" xr:uid="{00000000-0005-0000-0000-000048530000}"/>
    <cellStyle name="Normal 4 5 3 3 2 2 2 3 2 2 2" xfId="47729" xr:uid="{00000000-0005-0000-0000-000049530000}"/>
    <cellStyle name="Normal 4 5 3 3 2 2 2 3 2 3" xfId="35441" xr:uid="{00000000-0005-0000-0000-00004A530000}"/>
    <cellStyle name="Normal 4 5 3 3 2 2 2 3 3" xfId="17009" xr:uid="{00000000-0005-0000-0000-00004B530000}"/>
    <cellStyle name="Normal 4 5 3 3 2 2 2 3 3 2" xfId="41585" xr:uid="{00000000-0005-0000-0000-00004C530000}"/>
    <cellStyle name="Normal 4 5 3 3 2 2 2 3 4" xfId="29297" xr:uid="{00000000-0005-0000-0000-00004D530000}"/>
    <cellStyle name="Normal 4 5 3 3 2 2 2 4" xfId="7793" xr:uid="{00000000-0005-0000-0000-00004E530000}"/>
    <cellStyle name="Normal 4 5 3 3 2 2 2 4 2" xfId="20081" xr:uid="{00000000-0005-0000-0000-00004F530000}"/>
    <cellStyle name="Normal 4 5 3 3 2 2 2 4 2 2" xfId="44657" xr:uid="{00000000-0005-0000-0000-000050530000}"/>
    <cellStyle name="Normal 4 5 3 3 2 2 2 4 3" xfId="32369" xr:uid="{00000000-0005-0000-0000-000051530000}"/>
    <cellStyle name="Normal 4 5 3 3 2 2 2 5" xfId="13937" xr:uid="{00000000-0005-0000-0000-000052530000}"/>
    <cellStyle name="Normal 4 5 3 3 2 2 2 5 2" xfId="38513" xr:uid="{00000000-0005-0000-0000-000053530000}"/>
    <cellStyle name="Normal 4 5 3 3 2 2 2 6" xfId="26225" xr:uid="{00000000-0005-0000-0000-000054530000}"/>
    <cellStyle name="Normal 4 5 3 3 2 2 3" xfId="2413" xr:uid="{00000000-0005-0000-0000-000055530000}"/>
    <cellStyle name="Normal 4 5 3 3 2 2 3 2" xfId="5489" xr:uid="{00000000-0005-0000-0000-000056530000}"/>
    <cellStyle name="Normal 4 5 3 3 2 2 3 2 2" xfId="11633" xr:uid="{00000000-0005-0000-0000-000057530000}"/>
    <cellStyle name="Normal 4 5 3 3 2 2 3 2 2 2" xfId="23921" xr:uid="{00000000-0005-0000-0000-000058530000}"/>
    <cellStyle name="Normal 4 5 3 3 2 2 3 2 2 2 2" xfId="48497" xr:uid="{00000000-0005-0000-0000-000059530000}"/>
    <cellStyle name="Normal 4 5 3 3 2 2 3 2 2 3" xfId="36209" xr:uid="{00000000-0005-0000-0000-00005A530000}"/>
    <cellStyle name="Normal 4 5 3 3 2 2 3 2 3" xfId="17777" xr:uid="{00000000-0005-0000-0000-00005B530000}"/>
    <cellStyle name="Normal 4 5 3 3 2 2 3 2 3 2" xfId="42353" xr:uid="{00000000-0005-0000-0000-00005C530000}"/>
    <cellStyle name="Normal 4 5 3 3 2 2 3 2 4" xfId="30065" xr:uid="{00000000-0005-0000-0000-00005D530000}"/>
    <cellStyle name="Normal 4 5 3 3 2 2 3 3" xfId="8561" xr:uid="{00000000-0005-0000-0000-00005E530000}"/>
    <cellStyle name="Normal 4 5 3 3 2 2 3 3 2" xfId="20849" xr:uid="{00000000-0005-0000-0000-00005F530000}"/>
    <cellStyle name="Normal 4 5 3 3 2 2 3 3 2 2" xfId="45425" xr:uid="{00000000-0005-0000-0000-000060530000}"/>
    <cellStyle name="Normal 4 5 3 3 2 2 3 3 3" xfId="33137" xr:uid="{00000000-0005-0000-0000-000061530000}"/>
    <cellStyle name="Normal 4 5 3 3 2 2 3 4" xfId="14705" xr:uid="{00000000-0005-0000-0000-000062530000}"/>
    <cellStyle name="Normal 4 5 3 3 2 2 3 4 2" xfId="39281" xr:uid="{00000000-0005-0000-0000-000063530000}"/>
    <cellStyle name="Normal 4 5 3 3 2 2 3 5" xfId="26993" xr:uid="{00000000-0005-0000-0000-000064530000}"/>
    <cellStyle name="Normal 4 5 3 3 2 2 4" xfId="3953" xr:uid="{00000000-0005-0000-0000-000065530000}"/>
    <cellStyle name="Normal 4 5 3 3 2 2 4 2" xfId="10097" xr:uid="{00000000-0005-0000-0000-000066530000}"/>
    <cellStyle name="Normal 4 5 3 3 2 2 4 2 2" xfId="22385" xr:uid="{00000000-0005-0000-0000-000067530000}"/>
    <cellStyle name="Normal 4 5 3 3 2 2 4 2 2 2" xfId="46961" xr:uid="{00000000-0005-0000-0000-000068530000}"/>
    <cellStyle name="Normal 4 5 3 3 2 2 4 2 3" xfId="34673" xr:uid="{00000000-0005-0000-0000-000069530000}"/>
    <cellStyle name="Normal 4 5 3 3 2 2 4 3" xfId="16241" xr:uid="{00000000-0005-0000-0000-00006A530000}"/>
    <cellStyle name="Normal 4 5 3 3 2 2 4 3 2" xfId="40817" xr:uid="{00000000-0005-0000-0000-00006B530000}"/>
    <cellStyle name="Normal 4 5 3 3 2 2 4 4" xfId="28529" xr:uid="{00000000-0005-0000-0000-00006C530000}"/>
    <cellStyle name="Normal 4 5 3 3 2 2 5" xfId="7025" xr:uid="{00000000-0005-0000-0000-00006D530000}"/>
    <cellStyle name="Normal 4 5 3 3 2 2 5 2" xfId="19313" xr:uid="{00000000-0005-0000-0000-00006E530000}"/>
    <cellStyle name="Normal 4 5 3 3 2 2 5 2 2" xfId="43889" xr:uid="{00000000-0005-0000-0000-00006F530000}"/>
    <cellStyle name="Normal 4 5 3 3 2 2 5 3" xfId="31601" xr:uid="{00000000-0005-0000-0000-000070530000}"/>
    <cellStyle name="Normal 4 5 3 3 2 2 6" xfId="13169" xr:uid="{00000000-0005-0000-0000-000071530000}"/>
    <cellStyle name="Normal 4 5 3 3 2 2 6 2" xfId="37745" xr:uid="{00000000-0005-0000-0000-000072530000}"/>
    <cellStyle name="Normal 4 5 3 3 2 2 7" xfId="25457" xr:uid="{00000000-0005-0000-0000-000073530000}"/>
    <cellStyle name="Normal 4 5 3 3 2 3" xfId="1261" xr:uid="{00000000-0005-0000-0000-000074530000}"/>
    <cellStyle name="Normal 4 5 3 3 2 3 2" xfId="2797" xr:uid="{00000000-0005-0000-0000-000075530000}"/>
    <cellStyle name="Normal 4 5 3 3 2 3 2 2" xfId="5873" xr:uid="{00000000-0005-0000-0000-000076530000}"/>
    <cellStyle name="Normal 4 5 3 3 2 3 2 2 2" xfId="12017" xr:uid="{00000000-0005-0000-0000-000077530000}"/>
    <cellStyle name="Normal 4 5 3 3 2 3 2 2 2 2" xfId="24305" xr:uid="{00000000-0005-0000-0000-000078530000}"/>
    <cellStyle name="Normal 4 5 3 3 2 3 2 2 2 2 2" xfId="48881" xr:uid="{00000000-0005-0000-0000-000079530000}"/>
    <cellStyle name="Normal 4 5 3 3 2 3 2 2 2 3" xfId="36593" xr:uid="{00000000-0005-0000-0000-00007A530000}"/>
    <cellStyle name="Normal 4 5 3 3 2 3 2 2 3" xfId="18161" xr:uid="{00000000-0005-0000-0000-00007B530000}"/>
    <cellStyle name="Normal 4 5 3 3 2 3 2 2 3 2" xfId="42737" xr:uid="{00000000-0005-0000-0000-00007C530000}"/>
    <cellStyle name="Normal 4 5 3 3 2 3 2 2 4" xfId="30449" xr:uid="{00000000-0005-0000-0000-00007D530000}"/>
    <cellStyle name="Normal 4 5 3 3 2 3 2 3" xfId="8945" xr:uid="{00000000-0005-0000-0000-00007E530000}"/>
    <cellStyle name="Normal 4 5 3 3 2 3 2 3 2" xfId="21233" xr:uid="{00000000-0005-0000-0000-00007F530000}"/>
    <cellStyle name="Normal 4 5 3 3 2 3 2 3 2 2" xfId="45809" xr:uid="{00000000-0005-0000-0000-000080530000}"/>
    <cellStyle name="Normal 4 5 3 3 2 3 2 3 3" xfId="33521" xr:uid="{00000000-0005-0000-0000-000081530000}"/>
    <cellStyle name="Normal 4 5 3 3 2 3 2 4" xfId="15089" xr:uid="{00000000-0005-0000-0000-000082530000}"/>
    <cellStyle name="Normal 4 5 3 3 2 3 2 4 2" xfId="39665" xr:uid="{00000000-0005-0000-0000-000083530000}"/>
    <cellStyle name="Normal 4 5 3 3 2 3 2 5" xfId="27377" xr:uid="{00000000-0005-0000-0000-000084530000}"/>
    <cellStyle name="Normal 4 5 3 3 2 3 3" xfId="4337" xr:uid="{00000000-0005-0000-0000-000085530000}"/>
    <cellStyle name="Normal 4 5 3 3 2 3 3 2" xfId="10481" xr:uid="{00000000-0005-0000-0000-000086530000}"/>
    <cellStyle name="Normal 4 5 3 3 2 3 3 2 2" xfId="22769" xr:uid="{00000000-0005-0000-0000-000087530000}"/>
    <cellStyle name="Normal 4 5 3 3 2 3 3 2 2 2" xfId="47345" xr:uid="{00000000-0005-0000-0000-000088530000}"/>
    <cellStyle name="Normal 4 5 3 3 2 3 3 2 3" xfId="35057" xr:uid="{00000000-0005-0000-0000-000089530000}"/>
    <cellStyle name="Normal 4 5 3 3 2 3 3 3" xfId="16625" xr:uid="{00000000-0005-0000-0000-00008A530000}"/>
    <cellStyle name="Normal 4 5 3 3 2 3 3 3 2" xfId="41201" xr:uid="{00000000-0005-0000-0000-00008B530000}"/>
    <cellStyle name="Normal 4 5 3 3 2 3 3 4" xfId="28913" xr:uid="{00000000-0005-0000-0000-00008C530000}"/>
    <cellStyle name="Normal 4 5 3 3 2 3 4" xfId="7409" xr:uid="{00000000-0005-0000-0000-00008D530000}"/>
    <cellStyle name="Normal 4 5 3 3 2 3 4 2" xfId="19697" xr:uid="{00000000-0005-0000-0000-00008E530000}"/>
    <cellStyle name="Normal 4 5 3 3 2 3 4 2 2" xfId="44273" xr:uid="{00000000-0005-0000-0000-00008F530000}"/>
    <cellStyle name="Normal 4 5 3 3 2 3 4 3" xfId="31985" xr:uid="{00000000-0005-0000-0000-000090530000}"/>
    <cellStyle name="Normal 4 5 3 3 2 3 5" xfId="13553" xr:uid="{00000000-0005-0000-0000-000091530000}"/>
    <cellStyle name="Normal 4 5 3 3 2 3 5 2" xfId="38129" xr:uid="{00000000-0005-0000-0000-000092530000}"/>
    <cellStyle name="Normal 4 5 3 3 2 3 6" xfId="25841" xr:uid="{00000000-0005-0000-0000-000093530000}"/>
    <cellStyle name="Normal 4 5 3 3 2 4" xfId="2029" xr:uid="{00000000-0005-0000-0000-000094530000}"/>
    <cellStyle name="Normal 4 5 3 3 2 4 2" xfId="5105" xr:uid="{00000000-0005-0000-0000-000095530000}"/>
    <cellStyle name="Normal 4 5 3 3 2 4 2 2" xfId="11249" xr:uid="{00000000-0005-0000-0000-000096530000}"/>
    <cellStyle name="Normal 4 5 3 3 2 4 2 2 2" xfId="23537" xr:uid="{00000000-0005-0000-0000-000097530000}"/>
    <cellStyle name="Normal 4 5 3 3 2 4 2 2 2 2" xfId="48113" xr:uid="{00000000-0005-0000-0000-000098530000}"/>
    <cellStyle name="Normal 4 5 3 3 2 4 2 2 3" xfId="35825" xr:uid="{00000000-0005-0000-0000-000099530000}"/>
    <cellStyle name="Normal 4 5 3 3 2 4 2 3" xfId="17393" xr:uid="{00000000-0005-0000-0000-00009A530000}"/>
    <cellStyle name="Normal 4 5 3 3 2 4 2 3 2" xfId="41969" xr:uid="{00000000-0005-0000-0000-00009B530000}"/>
    <cellStyle name="Normal 4 5 3 3 2 4 2 4" xfId="29681" xr:uid="{00000000-0005-0000-0000-00009C530000}"/>
    <cellStyle name="Normal 4 5 3 3 2 4 3" xfId="8177" xr:uid="{00000000-0005-0000-0000-00009D530000}"/>
    <cellStyle name="Normal 4 5 3 3 2 4 3 2" xfId="20465" xr:uid="{00000000-0005-0000-0000-00009E530000}"/>
    <cellStyle name="Normal 4 5 3 3 2 4 3 2 2" xfId="45041" xr:uid="{00000000-0005-0000-0000-00009F530000}"/>
    <cellStyle name="Normal 4 5 3 3 2 4 3 3" xfId="32753" xr:uid="{00000000-0005-0000-0000-0000A0530000}"/>
    <cellStyle name="Normal 4 5 3 3 2 4 4" xfId="14321" xr:uid="{00000000-0005-0000-0000-0000A1530000}"/>
    <cellStyle name="Normal 4 5 3 3 2 4 4 2" xfId="38897" xr:uid="{00000000-0005-0000-0000-0000A2530000}"/>
    <cellStyle name="Normal 4 5 3 3 2 4 5" xfId="26609" xr:uid="{00000000-0005-0000-0000-0000A3530000}"/>
    <cellStyle name="Normal 4 5 3 3 2 5" xfId="3569" xr:uid="{00000000-0005-0000-0000-0000A4530000}"/>
    <cellStyle name="Normal 4 5 3 3 2 5 2" xfId="9713" xr:uid="{00000000-0005-0000-0000-0000A5530000}"/>
    <cellStyle name="Normal 4 5 3 3 2 5 2 2" xfId="22001" xr:uid="{00000000-0005-0000-0000-0000A6530000}"/>
    <cellStyle name="Normal 4 5 3 3 2 5 2 2 2" xfId="46577" xr:uid="{00000000-0005-0000-0000-0000A7530000}"/>
    <cellStyle name="Normal 4 5 3 3 2 5 2 3" xfId="34289" xr:uid="{00000000-0005-0000-0000-0000A8530000}"/>
    <cellStyle name="Normal 4 5 3 3 2 5 3" xfId="15857" xr:uid="{00000000-0005-0000-0000-0000A9530000}"/>
    <cellStyle name="Normal 4 5 3 3 2 5 3 2" xfId="40433" xr:uid="{00000000-0005-0000-0000-0000AA530000}"/>
    <cellStyle name="Normal 4 5 3 3 2 5 4" xfId="28145" xr:uid="{00000000-0005-0000-0000-0000AB530000}"/>
    <cellStyle name="Normal 4 5 3 3 2 6" xfId="6641" xr:uid="{00000000-0005-0000-0000-0000AC530000}"/>
    <cellStyle name="Normal 4 5 3 3 2 6 2" xfId="18929" xr:uid="{00000000-0005-0000-0000-0000AD530000}"/>
    <cellStyle name="Normal 4 5 3 3 2 6 2 2" xfId="43505" xr:uid="{00000000-0005-0000-0000-0000AE530000}"/>
    <cellStyle name="Normal 4 5 3 3 2 6 3" xfId="31217" xr:uid="{00000000-0005-0000-0000-0000AF530000}"/>
    <cellStyle name="Normal 4 5 3 3 2 7" xfId="12785" xr:uid="{00000000-0005-0000-0000-0000B0530000}"/>
    <cellStyle name="Normal 4 5 3 3 2 7 2" xfId="37361" xr:uid="{00000000-0005-0000-0000-0000B1530000}"/>
    <cellStyle name="Normal 4 5 3 3 2 8" xfId="25073" xr:uid="{00000000-0005-0000-0000-0000B2530000}"/>
    <cellStyle name="Normal 4 5 3 3 3" xfId="685" xr:uid="{00000000-0005-0000-0000-0000B3530000}"/>
    <cellStyle name="Normal 4 5 3 3 3 2" xfId="1453" xr:uid="{00000000-0005-0000-0000-0000B4530000}"/>
    <cellStyle name="Normal 4 5 3 3 3 2 2" xfId="2989" xr:uid="{00000000-0005-0000-0000-0000B5530000}"/>
    <cellStyle name="Normal 4 5 3 3 3 2 2 2" xfId="6065" xr:uid="{00000000-0005-0000-0000-0000B6530000}"/>
    <cellStyle name="Normal 4 5 3 3 3 2 2 2 2" xfId="12209" xr:uid="{00000000-0005-0000-0000-0000B7530000}"/>
    <cellStyle name="Normal 4 5 3 3 3 2 2 2 2 2" xfId="24497" xr:uid="{00000000-0005-0000-0000-0000B8530000}"/>
    <cellStyle name="Normal 4 5 3 3 3 2 2 2 2 2 2" xfId="49073" xr:uid="{00000000-0005-0000-0000-0000B9530000}"/>
    <cellStyle name="Normal 4 5 3 3 3 2 2 2 2 3" xfId="36785" xr:uid="{00000000-0005-0000-0000-0000BA530000}"/>
    <cellStyle name="Normal 4 5 3 3 3 2 2 2 3" xfId="18353" xr:uid="{00000000-0005-0000-0000-0000BB530000}"/>
    <cellStyle name="Normal 4 5 3 3 3 2 2 2 3 2" xfId="42929" xr:uid="{00000000-0005-0000-0000-0000BC530000}"/>
    <cellStyle name="Normal 4 5 3 3 3 2 2 2 4" xfId="30641" xr:uid="{00000000-0005-0000-0000-0000BD530000}"/>
    <cellStyle name="Normal 4 5 3 3 3 2 2 3" xfId="9137" xr:uid="{00000000-0005-0000-0000-0000BE530000}"/>
    <cellStyle name="Normal 4 5 3 3 3 2 2 3 2" xfId="21425" xr:uid="{00000000-0005-0000-0000-0000BF530000}"/>
    <cellStyle name="Normal 4 5 3 3 3 2 2 3 2 2" xfId="46001" xr:uid="{00000000-0005-0000-0000-0000C0530000}"/>
    <cellStyle name="Normal 4 5 3 3 3 2 2 3 3" xfId="33713" xr:uid="{00000000-0005-0000-0000-0000C1530000}"/>
    <cellStyle name="Normal 4 5 3 3 3 2 2 4" xfId="15281" xr:uid="{00000000-0005-0000-0000-0000C2530000}"/>
    <cellStyle name="Normal 4 5 3 3 3 2 2 4 2" xfId="39857" xr:uid="{00000000-0005-0000-0000-0000C3530000}"/>
    <cellStyle name="Normal 4 5 3 3 3 2 2 5" xfId="27569" xr:uid="{00000000-0005-0000-0000-0000C4530000}"/>
    <cellStyle name="Normal 4 5 3 3 3 2 3" xfId="4529" xr:uid="{00000000-0005-0000-0000-0000C5530000}"/>
    <cellStyle name="Normal 4 5 3 3 3 2 3 2" xfId="10673" xr:uid="{00000000-0005-0000-0000-0000C6530000}"/>
    <cellStyle name="Normal 4 5 3 3 3 2 3 2 2" xfId="22961" xr:uid="{00000000-0005-0000-0000-0000C7530000}"/>
    <cellStyle name="Normal 4 5 3 3 3 2 3 2 2 2" xfId="47537" xr:uid="{00000000-0005-0000-0000-0000C8530000}"/>
    <cellStyle name="Normal 4 5 3 3 3 2 3 2 3" xfId="35249" xr:uid="{00000000-0005-0000-0000-0000C9530000}"/>
    <cellStyle name="Normal 4 5 3 3 3 2 3 3" xfId="16817" xr:uid="{00000000-0005-0000-0000-0000CA530000}"/>
    <cellStyle name="Normal 4 5 3 3 3 2 3 3 2" xfId="41393" xr:uid="{00000000-0005-0000-0000-0000CB530000}"/>
    <cellStyle name="Normal 4 5 3 3 3 2 3 4" xfId="29105" xr:uid="{00000000-0005-0000-0000-0000CC530000}"/>
    <cellStyle name="Normal 4 5 3 3 3 2 4" xfId="7601" xr:uid="{00000000-0005-0000-0000-0000CD530000}"/>
    <cellStyle name="Normal 4 5 3 3 3 2 4 2" xfId="19889" xr:uid="{00000000-0005-0000-0000-0000CE530000}"/>
    <cellStyle name="Normal 4 5 3 3 3 2 4 2 2" xfId="44465" xr:uid="{00000000-0005-0000-0000-0000CF530000}"/>
    <cellStyle name="Normal 4 5 3 3 3 2 4 3" xfId="32177" xr:uid="{00000000-0005-0000-0000-0000D0530000}"/>
    <cellStyle name="Normal 4 5 3 3 3 2 5" xfId="13745" xr:uid="{00000000-0005-0000-0000-0000D1530000}"/>
    <cellStyle name="Normal 4 5 3 3 3 2 5 2" xfId="38321" xr:uid="{00000000-0005-0000-0000-0000D2530000}"/>
    <cellStyle name="Normal 4 5 3 3 3 2 6" xfId="26033" xr:uid="{00000000-0005-0000-0000-0000D3530000}"/>
    <cellStyle name="Normal 4 5 3 3 3 3" xfId="2221" xr:uid="{00000000-0005-0000-0000-0000D4530000}"/>
    <cellStyle name="Normal 4 5 3 3 3 3 2" xfId="5297" xr:uid="{00000000-0005-0000-0000-0000D5530000}"/>
    <cellStyle name="Normal 4 5 3 3 3 3 2 2" xfId="11441" xr:uid="{00000000-0005-0000-0000-0000D6530000}"/>
    <cellStyle name="Normal 4 5 3 3 3 3 2 2 2" xfId="23729" xr:uid="{00000000-0005-0000-0000-0000D7530000}"/>
    <cellStyle name="Normal 4 5 3 3 3 3 2 2 2 2" xfId="48305" xr:uid="{00000000-0005-0000-0000-0000D8530000}"/>
    <cellStyle name="Normal 4 5 3 3 3 3 2 2 3" xfId="36017" xr:uid="{00000000-0005-0000-0000-0000D9530000}"/>
    <cellStyle name="Normal 4 5 3 3 3 3 2 3" xfId="17585" xr:uid="{00000000-0005-0000-0000-0000DA530000}"/>
    <cellStyle name="Normal 4 5 3 3 3 3 2 3 2" xfId="42161" xr:uid="{00000000-0005-0000-0000-0000DB530000}"/>
    <cellStyle name="Normal 4 5 3 3 3 3 2 4" xfId="29873" xr:uid="{00000000-0005-0000-0000-0000DC530000}"/>
    <cellStyle name="Normal 4 5 3 3 3 3 3" xfId="8369" xr:uid="{00000000-0005-0000-0000-0000DD530000}"/>
    <cellStyle name="Normal 4 5 3 3 3 3 3 2" xfId="20657" xr:uid="{00000000-0005-0000-0000-0000DE530000}"/>
    <cellStyle name="Normal 4 5 3 3 3 3 3 2 2" xfId="45233" xr:uid="{00000000-0005-0000-0000-0000DF530000}"/>
    <cellStyle name="Normal 4 5 3 3 3 3 3 3" xfId="32945" xr:uid="{00000000-0005-0000-0000-0000E0530000}"/>
    <cellStyle name="Normal 4 5 3 3 3 3 4" xfId="14513" xr:uid="{00000000-0005-0000-0000-0000E1530000}"/>
    <cellStyle name="Normal 4 5 3 3 3 3 4 2" xfId="39089" xr:uid="{00000000-0005-0000-0000-0000E2530000}"/>
    <cellStyle name="Normal 4 5 3 3 3 3 5" xfId="26801" xr:uid="{00000000-0005-0000-0000-0000E3530000}"/>
    <cellStyle name="Normal 4 5 3 3 3 4" xfId="3761" xr:uid="{00000000-0005-0000-0000-0000E4530000}"/>
    <cellStyle name="Normal 4 5 3 3 3 4 2" xfId="9905" xr:uid="{00000000-0005-0000-0000-0000E5530000}"/>
    <cellStyle name="Normal 4 5 3 3 3 4 2 2" xfId="22193" xr:uid="{00000000-0005-0000-0000-0000E6530000}"/>
    <cellStyle name="Normal 4 5 3 3 3 4 2 2 2" xfId="46769" xr:uid="{00000000-0005-0000-0000-0000E7530000}"/>
    <cellStyle name="Normal 4 5 3 3 3 4 2 3" xfId="34481" xr:uid="{00000000-0005-0000-0000-0000E8530000}"/>
    <cellStyle name="Normal 4 5 3 3 3 4 3" xfId="16049" xr:uid="{00000000-0005-0000-0000-0000E9530000}"/>
    <cellStyle name="Normal 4 5 3 3 3 4 3 2" xfId="40625" xr:uid="{00000000-0005-0000-0000-0000EA530000}"/>
    <cellStyle name="Normal 4 5 3 3 3 4 4" xfId="28337" xr:uid="{00000000-0005-0000-0000-0000EB530000}"/>
    <cellStyle name="Normal 4 5 3 3 3 5" xfId="6833" xr:uid="{00000000-0005-0000-0000-0000EC530000}"/>
    <cellStyle name="Normal 4 5 3 3 3 5 2" xfId="19121" xr:uid="{00000000-0005-0000-0000-0000ED530000}"/>
    <cellStyle name="Normal 4 5 3 3 3 5 2 2" xfId="43697" xr:uid="{00000000-0005-0000-0000-0000EE530000}"/>
    <cellStyle name="Normal 4 5 3 3 3 5 3" xfId="31409" xr:uid="{00000000-0005-0000-0000-0000EF530000}"/>
    <cellStyle name="Normal 4 5 3 3 3 6" xfId="12977" xr:uid="{00000000-0005-0000-0000-0000F0530000}"/>
    <cellStyle name="Normal 4 5 3 3 3 6 2" xfId="37553" xr:uid="{00000000-0005-0000-0000-0000F1530000}"/>
    <cellStyle name="Normal 4 5 3 3 3 7" xfId="25265" xr:uid="{00000000-0005-0000-0000-0000F2530000}"/>
    <cellStyle name="Normal 4 5 3 3 4" xfId="1069" xr:uid="{00000000-0005-0000-0000-0000F3530000}"/>
    <cellStyle name="Normal 4 5 3 3 4 2" xfId="2605" xr:uid="{00000000-0005-0000-0000-0000F4530000}"/>
    <cellStyle name="Normal 4 5 3 3 4 2 2" xfId="5681" xr:uid="{00000000-0005-0000-0000-0000F5530000}"/>
    <cellStyle name="Normal 4 5 3 3 4 2 2 2" xfId="11825" xr:uid="{00000000-0005-0000-0000-0000F6530000}"/>
    <cellStyle name="Normal 4 5 3 3 4 2 2 2 2" xfId="24113" xr:uid="{00000000-0005-0000-0000-0000F7530000}"/>
    <cellStyle name="Normal 4 5 3 3 4 2 2 2 2 2" xfId="48689" xr:uid="{00000000-0005-0000-0000-0000F8530000}"/>
    <cellStyle name="Normal 4 5 3 3 4 2 2 2 3" xfId="36401" xr:uid="{00000000-0005-0000-0000-0000F9530000}"/>
    <cellStyle name="Normal 4 5 3 3 4 2 2 3" xfId="17969" xr:uid="{00000000-0005-0000-0000-0000FA530000}"/>
    <cellStyle name="Normal 4 5 3 3 4 2 2 3 2" xfId="42545" xr:uid="{00000000-0005-0000-0000-0000FB530000}"/>
    <cellStyle name="Normal 4 5 3 3 4 2 2 4" xfId="30257" xr:uid="{00000000-0005-0000-0000-0000FC530000}"/>
    <cellStyle name="Normal 4 5 3 3 4 2 3" xfId="8753" xr:uid="{00000000-0005-0000-0000-0000FD530000}"/>
    <cellStyle name="Normal 4 5 3 3 4 2 3 2" xfId="21041" xr:uid="{00000000-0005-0000-0000-0000FE530000}"/>
    <cellStyle name="Normal 4 5 3 3 4 2 3 2 2" xfId="45617" xr:uid="{00000000-0005-0000-0000-0000FF530000}"/>
    <cellStyle name="Normal 4 5 3 3 4 2 3 3" xfId="33329" xr:uid="{00000000-0005-0000-0000-000000540000}"/>
    <cellStyle name="Normal 4 5 3 3 4 2 4" xfId="14897" xr:uid="{00000000-0005-0000-0000-000001540000}"/>
    <cellStyle name="Normal 4 5 3 3 4 2 4 2" xfId="39473" xr:uid="{00000000-0005-0000-0000-000002540000}"/>
    <cellStyle name="Normal 4 5 3 3 4 2 5" xfId="27185" xr:uid="{00000000-0005-0000-0000-000003540000}"/>
    <cellStyle name="Normal 4 5 3 3 4 3" xfId="4145" xr:uid="{00000000-0005-0000-0000-000004540000}"/>
    <cellStyle name="Normal 4 5 3 3 4 3 2" xfId="10289" xr:uid="{00000000-0005-0000-0000-000005540000}"/>
    <cellStyle name="Normal 4 5 3 3 4 3 2 2" xfId="22577" xr:uid="{00000000-0005-0000-0000-000006540000}"/>
    <cellStyle name="Normal 4 5 3 3 4 3 2 2 2" xfId="47153" xr:uid="{00000000-0005-0000-0000-000007540000}"/>
    <cellStyle name="Normal 4 5 3 3 4 3 2 3" xfId="34865" xr:uid="{00000000-0005-0000-0000-000008540000}"/>
    <cellStyle name="Normal 4 5 3 3 4 3 3" xfId="16433" xr:uid="{00000000-0005-0000-0000-000009540000}"/>
    <cellStyle name="Normal 4 5 3 3 4 3 3 2" xfId="41009" xr:uid="{00000000-0005-0000-0000-00000A540000}"/>
    <cellStyle name="Normal 4 5 3 3 4 3 4" xfId="28721" xr:uid="{00000000-0005-0000-0000-00000B540000}"/>
    <cellStyle name="Normal 4 5 3 3 4 4" xfId="7217" xr:uid="{00000000-0005-0000-0000-00000C540000}"/>
    <cellStyle name="Normal 4 5 3 3 4 4 2" xfId="19505" xr:uid="{00000000-0005-0000-0000-00000D540000}"/>
    <cellStyle name="Normal 4 5 3 3 4 4 2 2" xfId="44081" xr:uid="{00000000-0005-0000-0000-00000E540000}"/>
    <cellStyle name="Normal 4 5 3 3 4 4 3" xfId="31793" xr:uid="{00000000-0005-0000-0000-00000F540000}"/>
    <cellStyle name="Normal 4 5 3 3 4 5" xfId="13361" xr:uid="{00000000-0005-0000-0000-000010540000}"/>
    <cellStyle name="Normal 4 5 3 3 4 5 2" xfId="37937" xr:uid="{00000000-0005-0000-0000-000011540000}"/>
    <cellStyle name="Normal 4 5 3 3 4 6" xfId="25649" xr:uid="{00000000-0005-0000-0000-000012540000}"/>
    <cellStyle name="Normal 4 5 3 3 5" xfId="1837" xr:uid="{00000000-0005-0000-0000-000013540000}"/>
    <cellStyle name="Normal 4 5 3 3 5 2" xfId="4913" xr:uid="{00000000-0005-0000-0000-000014540000}"/>
    <cellStyle name="Normal 4 5 3 3 5 2 2" xfId="11057" xr:uid="{00000000-0005-0000-0000-000015540000}"/>
    <cellStyle name="Normal 4 5 3 3 5 2 2 2" xfId="23345" xr:uid="{00000000-0005-0000-0000-000016540000}"/>
    <cellStyle name="Normal 4 5 3 3 5 2 2 2 2" xfId="47921" xr:uid="{00000000-0005-0000-0000-000017540000}"/>
    <cellStyle name="Normal 4 5 3 3 5 2 2 3" xfId="35633" xr:uid="{00000000-0005-0000-0000-000018540000}"/>
    <cellStyle name="Normal 4 5 3 3 5 2 3" xfId="17201" xr:uid="{00000000-0005-0000-0000-000019540000}"/>
    <cellStyle name="Normal 4 5 3 3 5 2 3 2" xfId="41777" xr:uid="{00000000-0005-0000-0000-00001A540000}"/>
    <cellStyle name="Normal 4 5 3 3 5 2 4" xfId="29489" xr:uid="{00000000-0005-0000-0000-00001B540000}"/>
    <cellStyle name="Normal 4 5 3 3 5 3" xfId="7985" xr:uid="{00000000-0005-0000-0000-00001C540000}"/>
    <cellStyle name="Normal 4 5 3 3 5 3 2" xfId="20273" xr:uid="{00000000-0005-0000-0000-00001D540000}"/>
    <cellStyle name="Normal 4 5 3 3 5 3 2 2" xfId="44849" xr:uid="{00000000-0005-0000-0000-00001E540000}"/>
    <cellStyle name="Normal 4 5 3 3 5 3 3" xfId="32561" xr:uid="{00000000-0005-0000-0000-00001F540000}"/>
    <cellStyle name="Normal 4 5 3 3 5 4" xfId="14129" xr:uid="{00000000-0005-0000-0000-000020540000}"/>
    <cellStyle name="Normal 4 5 3 3 5 4 2" xfId="38705" xr:uid="{00000000-0005-0000-0000-000021540000}"/>
    <cellStyle name="Normal 4 5 3 3 5 5" xfId="26417" xr:uid="{00000000-0005-0000-0000-000022540000}"/>
    <cellStyle name="Normal 4 5 3 3 6" xfId="3377" xr:uid="{00000000-0005-0000-0000-000023540000}"/>
    <cellStyle name="Normal 4 5 3 3 6 2" xfId="9521" xr:uid="{00000000-0005-0000-0000-000024540000}"/>
    <cellStyle name="Normal 4 5 3 3 6 2 2" xfId="21809" xr:uid="{00000000-0005-0000-0000-000025540000}"/>
    <cellStyle name="Normal 4 5 3 3 6 2 2 2" xfId="46385" xr:uid="{00000000-0005-0000-0000-000026540000}"/>
    <cellStyle name="Normal 4 5 3 3 6 2 3" xfId="34097" xr:uid="{00000000-0005-0000-0000-000027540000}"/>
    <cellStyle name="Normal 4 5 3 3 6 3" xfId="15665" xr:uid="{00000000-0005-0000-0000-000028540000}"/>
    <cellStyle name="Normal 4 5 3 3 6 3 2" xfId="40241" xr:uid="{00000000-0005-0000-0000-000029540000}"/>
    <cellStyle name="Normal 4 5 3 3 6 4" xfId="27953" xr:uid="{00000000-0005-0000-0000-00002A540000}"/>
    <cellStyle name="Normal 4 5 3 3 7" xfId="6449" xr:uid="{00000000-0005-0000-0000-00002B540000}"/>
    <cellStyle name="Normal 4 5 3 3 7 2" xfId="18737" xr:uid="{00000000-0005-0000-0000-00002C540000}"/>
    <cellStyle name="Normal 4 5 3 3 7 2 2" xfId="43313" xr:uid="{00000000-0005-0000-0000-00002D540000}"/>
    <cellStyle name="Normal 4 5 3 3 7 3" xfId="31025" xr:uid="{00000000-0005-0000-0000-00002E540000}"/>
    <cellStyle name="Normal 4 5 3 3 8" xfId="12593" xr:uid="{00000000-0005-0000-0000-00002F540000}"/>
    <cellStyle name="Normal 4 5 3 3 8 2" xfId="37169" xr:uid="{00000000-0005-0000-0000-000030540000}"/>
    <cellStyle name="Normal 4 5 3 3 9" xfId="24881" xr:uid="{00000000-0005-0000-0000-000031540000}"/>
    <cellStyle name="Normal 4 5 3 4" xfId="365" xr:uid="{00000000-0005-0000-0000-000032540000}"/>
    <cellStyle name="Normal 4 5 3 4 2" xfId="749" xr:uid="{00000000-0005-0000-0000-000033540000}"/>
    <cellStyle name="Normal 4 5 3 4 2 2" xfId="1517" xr:uid="{00000000-0005-0000-0000-000034540000}"/>
    <cellStyle name="Normal 4 5 3 4 2 2 2" xfId="3053" xr:uid="{00000000-0005-0000-0000-000035540000}"/>
    <cellStyle name="Normal 4 5 3 4 2 2 2 2" xfId="6129" xr:uid="{00000000-0005-0000-0000-000036540000}"/>
    <cellStyle name="Normal 4 5 3 4 2 2 2 2 2" xfId="12273" xr:uid="{00000000-0005-0000-0000-000037540000}"/>
    <cellStyle name="Normal 4 5 3 4 2 2 2 2 2 2" xfId="24561" xr:uid="{00000000-0005-0000-0000-000038540000}"/>
    <cellStyle name="Normal 4 5 3 4 2 2 2 2 2 2 2" xfId="49137" xr:uid="{00000000-0005-0000-0000-000039540000}"/>
    <cellStyle name="Normal 4 5 3 4 2 2 2 2 2 3" xfId="36849" xr:uid="{00000000-0005-0000-0000-00003A540000}"/>
    <cellStyle name="Normal 4 5 3 4 2 2 2 2 3" xfId="18417" xr:uid="{00000000-0005-0000-0000-00003B540000}"/>
    <cellStyle name="Normal 4 5 3 4 2 2 2 2 3 2" xfId="42993" xr:uid="{00000000-0005-0000-0000-00003C540000}"/>
    <cellStyle name="Normal 4 5 3 4 2 2 2 2 4" xfId="30705" xr:uid="{00000000-0005-0000-0000-00003D540000}"/>
    <cellStyle name="Normal 4 5 3 4 2 2 2 3" xfId="9201" xr:uid="{00000000-0005-0000-0000-00003E540000}"/>
    <cellStyle name="Normal 4 5 3 4 2 2 2 3 2" xfId="21489" xr:uid="{00000000-0005-0000-0000-00003F540000}"/>
    <cellStyle name="Normal 4 5 3 4 2 2 2 3 2 2" xfId="46065" xr:uid="{00000000-0005-0000-0000-000040540000}"/>
    <cellStyle name="Normal 4 5 3 4 2 2 2 3 3" xfId="33777" xr:uid="{00000000-0005-0000-0000-000041540000}"/>
    <cellStyle name="Normal 4 5 3 4 2 2 2 4" xfId="15345" xr:uid="{00000000-0005-0000-0000-000042540000}"/>
    <cellStyle name="Normal 4 5 3 4 2 2 2 4 2" xfId="39921" xr:uid="{00000000-0005-0000-0000-000043540000}"/>
    <cellStyle name="Normal 4 5 3 4 2 2 2 5" xfId="27633" xr:uid="{00000000-0005-0000-0000-000044540000}"/>
    <cellStyle name="Normal 4 5 3 4 2 2 3" xfId="4593" xr:uid="{00000000-0005-0000-0000-000045540000}"/>
    <cellStyle name="Normal 4 5 3 4 2 2 3 2" xfId="10737" xr:uid="{00000000-0005-0000-0000-000046540000}"/>
    <cellStyle name="Normal 4 5 3 4 2 2 3 2 2" xfId="23025" xr:uid="{00000000-0005-0000-0000-000047540000}"/>
    <cellStyle name="Normal 4 5 3 4 2 2 3 2 2 2" xfId="47601" xr:uid="{00000000-0005-0000-0000-000048540000}"/>
    <cellStyle name="Normal 4 5 3 4 2 2 3 2 3" xfId="35313" xr:uid="{00000000-0005-0000-0000-000049540000}"/>
    <cellStyle name="Normal 4 5 3 4 2 2 3 3" xfId="16881" xr:uid="{00000000-0005-0000-0000-00004A540000}"/>
    <cellStyle name="Normal 4 5 3 4 2 2 3 3 2" xfId="41457" xr:uid="{00000000-0005-0000-0000-00004B540000}"/>
    <cellStyle name="Normal 4 5 3 4 2 2 3 4" xfId="29169" xr:uid="{00000000-0005-0000-0000-00004C540000}"/>
    <cellStyle name="Normal 4 5 3 4 2 2 4" xfId="7665" xr:uid="{00000000-0005-0000-0000-00004D540000}"/>
    <cellStyle name="Normal 4 5 3 4 2 2 4 2" xfId="19953" xr:uid="{00000000-0005-0000-0000-00004E540000}"/>
    <cellStyle name="Normal 4 5 3 4 2 2 4 2 2" xfId="44529" xr:uid="{00000000-0005-0000-0000-00004F540000}"/>
    <cellStyle name="Normal 4 5 3 4 2 2 4 3" xfId="32241" xr:uid="{00000000-0005-0000-0000-000050540000}"/>
    <cellStyle name="Normal 4 5 3 4 2 2 5" xfId="13809" xr:uid="{00000000-0005-0000-0000-000051540000}"/>
    <cellStyle name="Normal 4 5 3 4 2 2 5 2" xfId="38385" xr:uid="{00000000-0005-0000-0000-000052540000}"/>
    <cellStyle name="Normal 4 5 3 4 2 2 6" xfId="26097" xr:uid="{00000000-0005-0000-0000-000053540000}"/>
    <cellStyle name="Normal 4 5 3 4 2 3" xfId="2285" xr:uid="{00000000-0005-0000-0000-000054540000}"/>
    <cellStyle name="Normal 4 5 3 4 2 3 2" xfId="5361" xr:uid="{00000000-0005-0000-0000-000055540000}"/>
    <cellStyle name="Normal 4 5 3 4 2 3 2 2" xfId="11505" xr:uid="{00000000-0005-0000-0000-000056540000}"/>
    <cellStyle name="Normal 4 5 3 4 2 3 2 2 2" xfId="23793" xr:uid="{00000000-0005-0000-0000-000057540000}"/>
    <cellStyle name="Normal 4 5 3 4 2 3 2 2 2 2" xfId="48369" xr:uid="{00000000-0005-0000-0000-000058540000}"/>
    <cellStyle name="Normal 4 5 3 4 2 3 2 2 3" xfId="36081" xr:uid="{00000000-0005-0000-0000-000059540000}"/>
    <cellStyle name="Normal 4 5 3 4 2 3 2 3" xfId="17649" xr:uid="{00000000-0005-0000-0000-00005A540000}"/>
    <cellStyle name="Normal 4 5 3 4 2 3 2 3 2" xfId="42225" xr:uid="{00000000-0005-0000-0000-00005B540000}"/>
    <cellStyle name="Normal 4 5 3 4 2 3 2 4" xfId="29937" xr:uid="{00000000-0005-0000-0000-00005C540000}"/>
    <cellStyle name="Normal 4 5 3 4 2 3 3" xfId="8433" xr:uid="{00000000-0005-0000-0000-00005D540000}"/>
    <cellStyle name="Normal 4 5 3 4 2 3 3 2" xfId="20721" xr:uid="{00000000-0005-0000-0000-00005E540000}"/>
    <cellStyle name="Normal 4 5 3 4 2 3 3 2 2" xfId="45297" xr:uid="{00000000-0005-0000-0000-00005F540000}"/>
    <cellStyle name="Normal 4 5 3 4 2 3 3 3" xfId="33009" xr:uid="{00000000-0005-0000-0000-000060540000}"/>
    <cellStyle name="Normal 4 5 3 4 2 3 4" xfId="14577" xr:uid="{00000000-0005-0000-0000-000061540000}"/>
    <cellStyle name="Normal 4 5 3 4 2 3 4 2" xfId="39153" xr:uid="{00000000-0005-0000-0000-000062540000}"/>
    <cellStyle name="Normal 4 5 3 4 2 3 5" xfId="26865" xr:uid="{00000000-0005-0000-0000-000063540000}"/>
    <cellStyle name="Normal 4 5 3 4 2 4" xfId="3825" xr:uid="{00000000-0005-0000-0000-000064540000}"/>
    <cellStyle name="Normal 4 5 3 4 2 4 2" xfId="9969" xr:uid="{00000000-0005-0000-0000-000065540000}"/>
    <cellStyle name="Normal 4 5 3 4 2 4 2 2" xfId="22257" xr:uid="{00000000-0005-0000-0000-000066540000}"/>
    <cellStyle name="Normal 4 5 3 4 2 4 2 2 2" xfId="46833" xr:uid="{00000000-0005-0000-0000-000067540000}"/>
    <cellStyle name="Normal 4 5 3 4 2 4 2 3" xfId="34545" xr:uid="{00000000-0005-0000-0000-000068540000}"/>
    <cellStyle name="Normal 4 5 3 4 2 4 3" xfId="16113" xr:uid="{00000000-0005-0000-0000-000069540000}"/>
    <cellStyle name="Normal 4 5 3 4 2 4 3 2" xfId="40689" xr:uid="{00000000-0005-0000-0000-00006A540000}"/>
    <cellStyle name="Normal 4 5 3 4 2 4 4" xfId="28401" xr:uid="{00000000-0005-0000-0000-00006B540000}"/>
    <cellStyle name="Normal 4 5 3 4 2 5" xfId="6897" xr:uid="{00000000-0005-0000-0000-00006C540000}"/>
    <cellStyle name="Normal 4 5 3 4 2 5 2" xfId="19185" xr:uid="{00000000-0005-0000-0000-00006D540000}"/>
    <cellStyle name="Normal 4 5 3 4 2 5 2 2" xfId="43761" xr:uid="{00000000-0005-0000-0000-00006E540000}"/>
    <cellStyle name="Normal 4 5 3 4 2 5 3" xfId="31473" xr:uid="{00000000-0005-0000-0000-00006F540000}"/>
    <cellStyle name="Normal 4 5 3 4 2 6" xfId="13041" xr:uid="{00000000-0005-0000-0000-000070540000}"/>
    <cellStyle name="Normal 4 5 3 4 2 6 2" xfId="37617" xr:uid="{00000000-0005-0000-0000-000071540000}"/>
    <cellStyle name="Normal 4 5 3 4 2 7" xfId="25329" xr:uid="{00000000-0005-0000-0000-000072540000}"/>
    <cellStyle name="Normal 4 5 3 4 3" xfId="1133" xr:uid="{00000000-0005-0000-0000-000073540000}"/>
    <cellStyle name="Normal 4 5 3 4 3 2" xfId="2669" xr:uid="{00000000-0005-0000-0000-000074540000}"/>
    <cellStyle name="Normal 4 5 3 4 3 2 2" xfId="5745" xr:uid="{00000000-0005-0000-0000-000075540000}"/>
    <cellStyle name="Normal 4 5 3 4 3 2 2 2" xfId="11889" xr:uid="{00000000-0005-0000-0000-000076540000}"/>
    <cellStyle name="Normal 4 5 3 4 3 2 2 2 2" xfId="24177" xr:uid="{00000000-0005-0000-0000-000077540000}"/>
    <cellStyle name="Normal 4 5 3 4 3 2 2 2 2 2" xfId="48753" xr:uid="{00000000-0005-0000-0000-000078540000}"/>
    <cellStyle name="Normal 4 5 3 4 3 2 2 2 3" xfId="36465" xr:uid="{00000000-0005-0000-0000-000079540000}"/>
    <cellStyle name="Normal 4 5 3 4 3 2 2 3" xfId="18033" xr:uid="{00000000-0005-0000-0000-00007A540000}"/>
    <cellStyle name="Normal 4 5 3 4 3 2 2 3 2" xfId="42609" xr:uid="{00000000-0005-0000-0000-00007B540000}"/>
    <cellStyle name="Normal 4 5 3 4 3 2 2 4" xfId="30321" xr:uid="{00000000-0005-0000-0000-00007C540000}"/>
    <cellStyle name="Normal 4 5 3 4 3 2 3" xfId="8817" xr:uid="{00000000-0005-0000-0000-00007D540000}"/>
    <cellStyle name="Normal 4 5 3 4 3 2 3 2" xfId="21105" xr:uid="{00000000-0005-0000-0000-00007E540000}"/>
    <cellStyle name="Normal 4 5 3 4 3 2 3 2 2" xfId="45681" xr:uid="{00000000-0005-0000-0000-00007F540000}"/>
    <cellStyle name="Normal 4 5 3 4 3 2 3 3" xfId="33393" xr:uid="{00000000-0005-0000-0000-000080540000}"/>
    <cellStyle name="Normal 4 5 3 4 3 2 4" xfId="14961" xr:uid="{00000000-0005-0000-0000-000081540000}"/>
    <cellStyle name="Normal 4 5 3 4 3 2 4 2" xfId="39537" xr:uid="{00000000-0005-0000-0000-000082540000}"/>
    <cellStyle name="Normal 4 5 3 4 3 2 5" xfId="27249" xr:uid="{00000000-0005-0000-0000-000083540000}"/>
    <cellStyle name="Normal 4 5 3 4 3 3" xfId="4209" xr:uid="{00000000-0005-0000-0000-000084540000}"/>
    <cellStyle name="Normal 4 5 3 4 3 3 2" xfId="10353" xr:uid="{00000000-0005-0000-0000-000085540000}"/>
    <cellStyle name="Normal 4 5 3 4 3 3 2 2" xfId="22641" xr:uid="{00000000-0005-0000-0000-000086540000}"/>
    <cellStyle name="Normal 4 5 3 4 3 3 2 2 2" xfId="47217" xr:uid="{00000000-0005-0000-0000-000087540000}"/>
    <cellStyle name="Normal 4 5 3 4 3 3 2 3" xfId="34929" xr:uid="{00000000-0005-0000-0000-000088540000}"/>
    <cellStyle name="Normal 4 5 3 4 3 3 3" xfId="16497" xr:uid="{00000000-0005-0000-0000-000089540000}"/>
    <cellStyle name="Normal 4 5 3 4 3 3 3 2" xfId="41073" xr:uid="{00000000-0005-0000-0000-00008A540000}"/>
    <cellStyle name="Normal 4 5 3 4 3 3 4" xfId="28785" xr:uid="{00000000-0005-0000-0000-00008B540000}"/>
    <cellStyle name="Normal 4 5 3 4 3 4" xfId="7281" xr:uid="{00000000-0005-0000-0000-00008C540000}"/>
    <cellStyle name="Normal 4 5 3 4 3 4 2" xfId="19569" xr:uid="{00000000-0005-0000-0000-00008D540000}"/>
    <cellStyle name="Normal 4 5 3 4 3 4 2 2" xfId="44145" xr:uid="{00000000-0005-0000-0000-00008E540000}"/>
    <cellStyle name="Normal 4 5 3 4 3 4 3" xfId="31857" xr:uid="{00000000-0005-0000-0000-00008F540000}"/>
    <cellStyle name="Normal 4 5 3 4 3 5" xfId="13425" xr:uid="{00000000-0005-0000-0000-000090540000}"/>
    <cellStyle name="Normal 4 5 3 4 3 5 2" xfId="38001" xr:uid="{00000000-0005-0000-0000-000091540000}"/>
    <cellStyle name="Normal 4 5 3 4 3 6" xfId="25713" xr:uid="{00000000-0005-0000-0000-000092540000}"/>
    <cellStyle name="Normal 4 5 3 4 4" xfId="1901" xr:uid="{00000000-0005-0000-0000-000093540000}"/>
    <cellStyle name="Normal 4 5 3 4 4 2" xfId="4977" xr:uid="{00000000-0005-0000-0000-000094540000}"/>
    <cellStyle name="Normal 4 5 3 4 4 2 2" xfId="11121" xr:uid="{00000000-0005-0000-0000-000095540000}"/>
    <cellStyle name="Normal 4 5 3 4 4 2 2 2" xfId="23409" xr:uid="{00000000-0005-0000-0000-000096540000}"/>
    <cellStyle name="Normal 4 5 3 4 4 2 2 2 2" xfId="47985" xr:uid="{00000000-0005-0000-0000-000097540000}"/>
    <cellStyle name="Normal 4 5 3 4 4 2 2 3" xfId="35697" xr:uid="{00000000-0005-0000-0000-000098540000}"/>
    <cellStyle name="Normal 4 5 3 4 4 2 3" xfId="17265" xr:uid="{00000000-0005-0000-0000-000099540000}"/>
    <cellStyle name="Normal 4 5 3 4 4 2 3 2" xfId="41841" xr:uid="{00000000-0005-0000-0000-00009A540000}"/>
    <cellStyle name="Normal 4 5 3 4 4 2 4" xfId="29553" xr:uid="{00000000-0005-0000-0000-00009B540000}"/>
    <cellStyle name="Normal 4 5 3 4 4 3" xfId="8049" xr:uid="{00000000-0005-0000-0000-00009C540000}"/>
    <cellStyle name="Normal 4 5 3 4 4 3 2" xfId="20337" xr:uid="{00000000-0005-0000-0000-00009D540000}"/>
    <cellStyle name="Normal 4 5 3 4 4 3 2 2" xfId="44913" xr:uid="{00000000-0005-0000-0000-00009E540000}"/>
    <cellStyle name="Normal 4 5 3 4 4 3 3" xfId="32625" xr:uid="{00000000-0005-0000-0000-00009F540000}"/>
    <cellStyle name="Normal 4 5 3 4 4 4" xfId="14193" xr:uid="{00000000-0005-0000-0000-0000A0540000}"/>
    <cellStyle name="Normal 4 5 3 4 4 4 2" xfId="38769" xr:uid="{00000000-0005-0000-0000-0000A1540000}"/>
    <cellStyle name="Normal 4 5 3 4 4 5" xfId="26481" xr:uid="{00000000-0005-0000-0000-0000A2540000}"/>
    <cellStyle name="Normal 4 5 3 4 5" xfId="3441" xr:uid="{00000000-0005-0000-0000-0000A3540000}"/>
    <cellStyle name="Normal 4 5 3 4 5 2" xfId="9585" xr:uid="{00000000-0005-0000-0000-0000A4540000}"/>
    <cellStyle name="Normal 4 5 3 4 5 2 2" xfId="21873" xr:uid="{00000000-0005-0000-0000-0000A5540000}"/>
    <cellStyle name="Normal 4 5 3 4 5 2 2 2" xfId="46449" xr:uid="{00000000-0005-0000-0000-0000A6540000}"/>
    <cellStyle name="Normal 4 5 3 4 5 2 3" xfId="34161" xr:uid="{00000000-0005-0000-0000-0000A7540000}"/>
    <cellStyle name="Normal 4 5 3 4 5 3" xfId="15729" xr:uid="{00000000-0005-0000-0000-0000A8540000}"/>
    <cellStyle name="Normal 4 5 3 4 5 3 2" xfId="40305" xr:uid="{00000000-0005-0000-0000-0000A9540000}"/>
    <cellStyle name="Normal 4 5 3 4 5 4" xfId="28017" xr:uid="{00000000-0005-0000-0000-0000AA540000}"/>
    <cellStyle name="Normal 4 5 3 4 6" xfId="6513" xr:uid="{00000000-0005-0000-0000-0000AB540000}"/>
    <cellStyle name="Normal 4 5 3 4 6 2" xfId="18801" xr:uid="{00000000-0005-0000-0000-0000AC540000}"/>
    <cellStyle name="Normal 4 5 3 4 6 2 2" xfId="43377" xr:uid="{00000000-0005-0000-0000-0000AD540000}"/>
    <cellStyle name="Normal 4 5 3 4 6 3" xfId="31089" xr:uid="{00000000-0005-0000-0000-0000AE540000}"/>
    <cellStyle name="Normal 4 5 3 4 7" xfId="12657" xr:uid="{00000000-0005-0000-0000-0000AF540000}"/>
    <cellStyle name="Normal 4 5 3 4 7 2" xfId="37233" xr:uid="{00000000-0005-0000-0000-0000B0540000}"/>
    <cellStyle name="Normal 4 5 3 4 8" xfId="24945" xr:uid="{00000000-0005-0000-0000-0000B1540000}"/>
    <cellStyle name="Normal 4 5 3 5" xfId="557" xr:uid="{00000000-0005-0000-0000-0000B2540000}"/>
    <cellStyle name="Normal 4 5 3 5 2" xfId="1325" xr:uid="{00000000-0005-0000-0000-0000B3540000}"/>
    <cellStyle name="Normal 4 5 3 5 2 2" xfId="2861" xr:uid="{00000000-0005-0000-0000-0000B4540000}"/>
    <cellStyle name="Normal 4 5 3 5 2 2 2" xfId="5937" xr:uid="{00000000-0005-0000-0000-0000B5540000}"/>
    <cellStyle name="Normal 4 5 3 5 2 2 2 2" xfId="12081" xr:uid="{00000000-0005-0000-0000-0000B6540000}"/>
    <cellStyle name="Normal 4 5 3 5 2 2 2 2 2" xfId="24369" xr:uid="{00000000-0005-0000-0000-0000B7540000}"/>
    <cellStyle name="Normal 4 5 3 5 2 2 2 2 2 2" xfId="48945" xr:uid="{00000000-0005-0000-0000-0000B8540000}"/>
    <cellStyle name="Normal 4 5 3 5 2 2 2 2 3" xfId="36657" xr:uid="{00000000-0005-0000-0000-0000B9540000}"/>
    <cellStyle name="Normal 4 5 3 5 2 2 2 3" xfId="18225" xr:uid="{00000000-0005-0000-0000-0000BA540000}"/>
    <cellStyle name="Normal 4 5 3 5 2 2 2 3 2" xfId="42801" xr:uid="{00000000-0005-0000-0000-0000BB540000}"/>
    <cellStyle name="Normal 4 5 3 5 2 2 2 4" xfId="30513" xr:uid="{00000000-0005-0000-0000-0000BC540000}"/>
    <cellStyle name="Normal 4 5 3 5 2 2 3" xfId="9009" xr:uid="{00000000-0005-0000-0000-0000BD540000}"/>
    <cellStyle name="Normal 4 5 3 5 2 2 3 2" xfId="21297" xr:uid="{00000000-0005-0000-0000-0000BE540000}"/>
    <cellStyle name="Normal 4 5 3 5 2 2 3 2 2" xfId="45873" xr:uid="{00000000-0005-0000-0000-0000BF540000}"/>
    <cellStyle name="Normal 4 5 3 5 2 2 3 3" xfId="33585" xr:uid="{00000000-0005-0000-0000-0000C0540000}"/>
    <cellStyle name="Normal 4 5 3 5 2 2 4" xfId="15153" xr:uid="{00000000-0005-0000-0000-0000C1540000}"/>
    <cellStyle name="Normal 4 5 3 5 2 2 4 2" xfId="39729" xr:uid="{00000000-0005-0000-0000-0000C2540000}"/>
    <cellStyle name="Normal 4 5 3 5 2 2 5" xfId="27441" xr:uid="{00000000-0005-0000-0000-0000C3540000}"/>
    <cellStyle name="Normal 4 5 3 5 2 3" xfId="4401" xr:uid="{00000000-0005-0000-0000-0000C4540000}"/>
    <cellStyle name="Normal 4 5 3 5 2 3 2" xfId="10545" xr:uid="{00000000-0005-0000-0000-0000C5540000}"/>
    <cellStyle name="Normal 4 5 3 5 2 3 2 2" xfId="22833" xr:uid="{00000000-0005-0000-0000-0000C6540000}"/>
    <cellStyle name="Normal 4 5 3 5 2 3 2 2 2" xfId="47409" xr:uid="{00000000-0005-0000-0000-0000C7540000}"/>
    <cellStyle name="Normal 4 5 3 5 2 3 2 3" xfId="35121" xr:uid="{00000000-0005-0000-0000-0000C8540000}"/>
    <cellStyle name="Normal 4 5 3 5 2 3 3" xfId="16689" xr:uid="{00000000-0005-0000-0000-0000C9540000}"/>
    <cellStyle name="Normal 4 5 3 5 2 3 3 2" xfId="41265" xr:uid="{00000000-0005-0000-0000-0000CA540000}"/>
    <cellStyle name="Normal 4 5 3 5 2 3 4" xfId="28977" xr:uid="{00000000-0005-0000-0000-0000CB540000}"/>
    <cellStyle name="Normal 4 5 3 5 2 4" xfId="7473" xr:uid="{00000000-0005-0000-0000-0000CC540000}"/>
    <cellStyle name="Normal 4 5 3 5 2 4 2" xfId="19761" xr:uid="{00000000-0005-0000-0000-0000CD540000}"/>
    <cellStyle name="Normal 4 5 3 5 2 4 2 2" xfId="44337" xr:uid="{00000000-0005-0000-0000-0000CE540000}"/>
    <cellStyle name="Normal 4 5 3 5 2 4 3" xfId="32049" xr:uid="{00000000-0005-0000-0000-0000CF540000}"/>
    <cellStyle name="Normal 4 5 3 5 2 5" xfId="13617" xr:uid="{00000000-0005-0000-0000-0000D0540000}"/>
    <cellStyle name="Normal 4 5 3 5 2 5 2" xfId="38193" xr:uid="{00000000-0005-0000-0000-0000D1540000}"/>
    <cellStyle name="Normal 4 5 3 5 2 6" xfId="25905" xr:uid="{00000000-0005-0000-0000-0000D2540000}"/>
    <cellStyle name="Normal 4 5 3 5 3" xfId="2093" xr:uid="{00000000-0005-0000-0000-0000D3540000}"/>
    <cellStyle name="Normal 4 5 3 5 3 2" xfId="5169" xr:uid="{00000000-0005-0000-0000-0000D4540000}"/>
    <cellStyle name="Normal 4 5 3 5 3 2 2" xfId="11313" xr:uid="{00000000-0005-0000-0000-0000D5540000}"/>
    <cellStyle name="Normal 4 5 3 5 3 2 2 2" xfId="23601" xr:uid="{00000000-0005-0000-0000-0000D6540000}"/>
    <cellStyle name="Normal 4 5 3 5 3 2 2 2 2" xfId="48177" xr:uid="{00000000-0005-0000-0000-0000D7540000}"/>
    <cellStyle name="Normal 4 5 3 5 3 2 2 3" xfId="35889" xr:uid="{00000000-0005-0000-0000-0000D8540000}"/>
    <cellStyle name="Normal 4 5 3 5 3 2 3" xfId="17457" xr:uid="{00000000-0005-0000-0000-0000D9540000}"/>
    <cellStyle name="Normal 4 5 3 5 3 2 3 2" xfId="42033" xr:uid="{00000000-0005-0000-0000-0000DA540000}"/>
    <cellStyle name="Normal 4 5 3 5 3 2 4" xfId="29745" xr:uid="{00000000-0005-0000-0000-0000DB540000}"/>
    <cellStyle name="Normal 4 5 3 5 3 3" xfId="8241" xr:uid="{00000000-0005-0000-0000-0000DC540000}"/>
    <cellStyle name="Normal 4 5 3 5 3 3 2" xfId="20529" xr:uid="{00000000-0005-0000-0000-0000DD540000}"/>
    <cellStyle name="Normal 4 5 3 5 3 3 2 2" xfId="45105" xr:uid="{00000000-0005-0000-0000-0000DE540000}"/>
    <cellStyle name="Normal 4 5 3 5 3 3 3" xfId="32817" xr:uid="{00000000-0005-0000-0000-0000DF540000}"/>
    <cellStyle name="Normal 4 5 3 5 3 4" xfId="14385" xr:uid="{00000000-0005-0000-0000-0000E0540000}"/>
    <cellStyle name="Normal 4 5 3 5 3 4 2" xfId="38961" xr:uid="{00000000-0005-0000-0000-0000E1540000}"/>
    <cellStyle name="Normal 4 5 3 5 3 5" xfId="26673" xr:uid="{00000000-0005-0000-0000-0000E2540000}"/>
    <cellStyle name="Normal 4 5 3 5 4" xfId="3633" xr:uid="{00000000-0005-0000-0000-0000E3540000}"/>
    <cellStyle name="Normal 4 5 3 5 4 2" xfId="9777" xr:uid="{00000000-0005-0000-0000-0000E4540000}"/>
    <cellStyle name="Normal 4 5 3 5 4 2 2" xfId="22065" xr:uid="{00000000-0005-0000-0000-0000E5540000}"/>
    <cellStyle name="Normal 4 5 3 5 4 2 2 2" xfId="46641" xr:uid="{00000000-0005-0000-0000-0000E6540000}"/>
    <cellStyle name="Normal 4 5 3 5 4 2 3" xfId="34353" xr:uid="{00000000-0005-0000-0000-0000E7540000}"/>
    <cellStyle name="Normal 4 5 3 5 4 3" xfId="15921" xr:uid="{00000000-0005-0000-0000-0000E8540000}"/>
    <cellStyle name="Normal 4 5 3 5 4 3 2" xfId="40497" xr:uid="{00000000-0005-0000-0000-0000E9540000}"/>
    <cellStyle name="Normal 4 5 3 5 4 4" xfId="28209" xr:uid="{00000000-0005-0000-0000-0000EA540000}"/>
    <cellStyle name="Normal 4 5 3 5 5" xfId="6705" xr:uid="{00000000-0005-0000-0000-0000EB540000}"/>
    <cellStyle name="Normal 4 5 3 5 5 2" xfId="18993" xr:uid="{00000000-0005-0000-0000-0000EC540000}"/>
    <cellStyle name="Normal 4 5 3 5 5 2 2" xfId="43569" xr:uid="{00000000-0005-0000-0000-0000ED540000}"/>
    <cellStyle name="Normal 4 5 3 5 5 3" xfId="31281" xr:uid="{00000000-0005-0000-0000-0000EE540000}"/>
    <cellStyle name="Normal 4 5 3 5 6" xfId="12849" xr:uid="{00000000-0005-0000-0000-0000EF540000}"/>
    <cellStyle name="Normal 4 5 3 5 6 2" xfId="37425" xr:uid="{00000000-0005-0000-0000-0000F0540000}"/>
    <cellStyle name="Normal 4 5 3 5 7" xfId="25137" xr:uid="{00000000-0005-0000-0000-0000F1540000}"/>
    <cellStyle name="Normal 4 5 3 6" xfId="941" xr:uid="{00000000-0005-0000-0000-0000F2540000}"/>
    <cellStyle name="Normal 4 5 3 6 2" xfId="2477" xr:uid="{00000000-0005-0000-0000-0000F3540000}"/>
    <cellStyle name="Normal 4 5 3 6 2 2" xfId="5553" xr:uid="{00000000-0005-0000-0000-0000F4540000}"/>
    <cellStyle name="Normal 4 5 3 6 2 2 2" xfId="11697" xr:uid="{00000000-0005-0000-0000-0000F5540000}"/>
    <cellStyle name="Normal 4 5 3 6 2 2 2 2" xfId="23985" xr:uid="{00000000-0005-0000-0000-0000F6540000}"/>
    <cellStyle name="Normal 4 5 3 6 2 2 2 2 2" xfId="48561" xr:uid="{00000000-0005-0000-0000-0000F7540000}"/>
    <cellStyle name="Normal 4 5 3 6 2 2 2 3" xfId="36273" xr:uid="{00000000-0005-0000-0000-0000F8540000}"/>
    <cellStyle name="Normal 4 5 3 6 2 2 3" xfId="17841" xr:uid="{00000000-0005-0000-0000-0000F9540000}"/>
    <cellStyle name="Normal 4 5 3 6 2 2 3 2" xfId="42417" xr:uid="{00000000-0005-0000-0000-0000FA540000}"/>
    <cellStyle name="Normal 4 5 3 6 2 2 4" xfId="30129" xr:uid="{00000000-0005-0000-0000-0000FB540000}"/>
    <cellStyle name="Normal 4 5 3 6 2 3" xfId="8625" xr:uid="{00000000-0005-0000-0000-0000FC540000}"/>
    <cellStyle name="Normal 4 5 3 6 2 3 2" xfId="20913" xr:uid="{00000000-0005-0000-0000-0000FD540000}"/>
    <cellStyle name="Normal 4 5 3 6 2 3 2 2" xfId="45489" xr:uid="{00000000-0005-0000-0000-0000FE540000}"/>
    <cellStyle name="Normal 4 5 3 6 2 3 3" xfId="33201" xr:uid="{00000000-0005-0000-0000-0000FF540000}"/>
    <cellStyle name="Normal 4 5 3 6 2 4" xfId="14769" xr:uid="{00000000-0005-0000-0000-000000550000}"/>
    <cellStyle name="Normal 4 5 3 6 2 4 2" xfId="39345" xr:uid="{00000000-0005-0000-0000-000001550000}"/>
    <cellStyle name="Normal 4 5 3 6 2 5" xfId="27057" xr:uid="{00000000-0005-0000-0000-000002550000}"/>
    <cellStyle name="Normal 4 5 3 6 3" xfId="4017" xr:uid="{00000000-0005-0000-0000-000003550000}"/>
    <cellStyle name="Normal 4 5 3 6 3 2" xfId="10161" xr:uid="{00000000-0005-0000-0000-000004550000}"/>
    <cellStyle name="Normal 4 5 3 6 3 2 2" xfId="22449" xr:uid="{00000000-0005-0000-0000-000005550000}"/>
    <cellStyle name="Normal 4 5 3 6 3 2 2 2" xfId="47025" xr:uid="{00000000-0005-0000-0000-000006550000}"/>
    <cellStyle name="Normal 4 5 3 6 3 2 3" xfId="34737" xr:uid="{00000000-0005-0000-0000-000007550000}"/>
    <cellStyle name="Normal 4 5 3 6 3 3" xfId="16305" xr:uid="{00000000-0005-0000-0000-000008550000}"/>
    <cellStyle name="Normal 4 5 3 6 3 3 2" xfId="40881" xr:uid="{00000000-0005-0000-0000-000009550000}"/>
    <cellStyle name="Normal 4 5 3 6 3 4" xfId="28593" xr:uid="{00000000-0005-0000-0000-00000A550000}"/>
    <cellStyle name="Normal 4 5 3 6 4" xfId="7089" xr:uid="{00000000-0005-0000-0000-00000B550000}"/>
    <cellStyle name="Normal 4 5 3 6 4 2" xfId="19377" xr:uid="{00000000-0005-0000-0000-00000C550000}"/>
    <cellStyle name="Normal 4 5 3 6 4 2 2" xfId="43953" xr:uid="{00000000-0005-0000-0000-00000D550000}"/>
    <cellStyle name="Normal 4 5 3 6 4 3" xfId="31665" xr:uid="{00000000-0005-0000-0000-00000E550000}"/>
    <cellStyle name="Normal 4 5 3 6 5" xfId="13233" xr:uid="{00000000-0005-0000-0000-00000F550000}"/>
    <cellStyle name="Normal 4 5 3 6 5 2" xfId="37809" xr:uid="{00000000-0005-0000-0000-000010550000}"/>
    <cellStyle name="Normal 4 5 3 6 6" xfId="25521" xr:uid="{00000000-0005-0000-0000-000011550000}"/>
    <cellStyle name="Normal 4 5 3 7" xfId="1709" xr:uid="{00000000-0005-0000-0000-000012550000}"/>
    <cellStyle name="Normal 4 5 3 7 2" xfId="4785" xr:uid="{00000000-0005-0000-0000-000013550000}"/>
    <cellStyle name="Normal 4 5 3 7 2 2" xfId="10929" xr:uid="{00000000-0005-0000-0000-000014550000}"/>
    <cellStyle name="Normal 4 5 3 7 2 2 2" xfId="23217" xr:uid="{00000000-0005-0000-0000-000015550000}"/>
    <cellStyle name="Normal 4 5 3 7 2 2 2 2" xfId="47793" xr:uid="{00000000-0005-0000-0000-000016550000}"/>
    <cellStyle name="Normal 4 5 3 7 2 2 3" xfId="35505" xr:uid="{00000000-0005-0000-0000-000017550000}"/>
    <cellStyle name="Normal 4 5 3 7 2 3" xfId="17073" xr:uid="{00000000-0005-0000-0000-000018550000}"/>
    <cellStyle name="Normal 4 5 3 7 2 3 2" xfId="41649" xr:uid="{00000000-0005-0000-0000-000019550000}"/>
    <cellStyle name="Normal 4 5 3 7 2 4" xfId="29361" xr:uid="{00000000-0005-0000-0000-00001A550000}"/>
    <cellStyle name="Normal 4 5 3 7 3" xfId="7857" xr:uid="{00000000-0005-0000-0000-00001B550000}"/>
    <cellStyle name="Normal 4 5 3 7 3 2" xfId="20145" xr:uid="{00000000-0005-0000-0000-00001C550000}"/>
    <cellStyle name="Normal 4 5 3 7 3 2 2" xfId="44721" xr:uid="{00000000-0005-0000-0000-00001D550000}"/>
    <cellStyle name="Normal 4 5 3 7 3 3" xfId="32433" xr:uid="{00000000-0005-0000-0000-00001E550000}"/>
    <cellStyle name="Normal 4 5 3 7 4" xfId="14001" xr:uid="{00000000-0005-0000-0000-00001F550000}"/>
    <cellStyle name="Normal 4 5 3 7 4 2" xfId="38577" xr:uid="{00000000-0005-0000-0000-000020550000}"/>
    <cellStyle name="Normal 4 5 3 7 5" xfId="26289" xr:uid="{00000000-0005-0000-0000-000021550000}"/>
    <cellStyle name="Normal 4 5 3 8" xfId="3249" xr:uid="{00000000-0005-0000-0000-000022550000}"/>
    <cellStyle name="Normal 4 5 3 8 2" xfId="9393" xr:uid="{00000000-0005-0000-0000-000023550000}"/>
    <cellStyle name="Normal 4 5 3 8 2 2" xfId="21681" xr:uid="{00000000-0005-0000-0000-000024550000}"/>
    <cellStyle name="Normal 4 5 3 8 2 2 2" xfId="46257" xr:uid="{00000000-0005-0000-0000-000025550000}"/>
    <cellStyle name="Normal 4 5 3 8 2 3" xfId="33969" xr:uid="{00000000-0005-0000-0000-000026550000}"/>
    <cellStyle name="Normal 4 5 3 8 3" xfId="15537" xr:uid="{00000000-0005-0000-0000-000027550000}"/>
    <cellStyle name="Normal 4 5 3 8 3 2" xfId="40113" xr:uid="{00000000-0005-0000-0000-000028550000}"/>
    <cellStyle name="Normal 4 5 3 8 4" xfId="27825" xr:uid="{00000000-0005-0000-0000-000029550000}"/>
    <cellStyle name="Normal 4 5 3 9" xfId="6321" xr:uid="{00000000-0005-0000-0000-00002A550000}"/>
    <cellStyle name="Normal 4 5 3 9 2" xfId="18609" xr:uid="{00000000-0005-0000-0000-00002B550000}"/>
    <cellStyle name="Normal 4 5 3 9 2 2" xfId="43185" xr:uid="{00000000-0005-0000-0000-00002C550000}"/>
    <cellStyle name="Normal 4 5 3 9 3" xfId="30897" xr:uid="{00000000-0005-0000-0000-00002D550000}"/>
    <cellStyle name="Normal 4 5 4" xfId="205" xr:uid="{00000000-0005-0000-0000-00002E550000}"/>
    <cellStyle name="Normal 4 5 4 2" xfId="397" xr:uid="{00000000-0005-0000-0000-00002F550000}"/>
    <cellStyle name="Normal 4 5 4 2 2" xfId="781" xr:uid="{00000000-0005-0000-0000-000030550000}"/>
    <cellStyle name="Normal 4 5 4 2 2 2" xfId="1549" xr:uid="{00000000-0005-0000-0000-000031550000}"/>
    <cellStyle name="Normal 4 5 4 2 2 2 2" xfId="3085" xr:uid="{00000000-0005-0000-0000-000032550000}"/>
    <cellStyle name="Normal 4 5 4 2 2 2 2 2" xfId="6161" xr:uid="{00000000-0005-0000-0000-000033550000}"/>
    <cellStyle name="Normal 4 5 4 2 2 2 2 2 2" xfId="12305" xr:uid="{00000000-0005-0000-0000-000034550000}"/>
    <cellStyle name="Normal 4 5 4 2 2 2 2 2 2 2" xfId="24593" xr:uid="{00000000-0005-0000-0000-000035550000}"/>
    <cellStyle name="Normal 4 5 4 2 2 2 2 2 2 2 2" xfId="49169" xr:uid="{00000000-0005-0000-0000-000036550000}"/>
    <cellStyle name="Normal 4 5 4 2 2 2 2 2 2 3" xfId="36881" xr:uid="{00000000-0005-0000-0000-000037550000}"/>
    <cellStyle name="Normal 4 5 4 2 2 2 2 2 3" xfId="18449" xr:uid="{00000000-0005-0000-0000-000038550000}"/>
    <cellStyle name="Normal 4 5 4 2 2 2 2 2 3 2" xfId="43025" xr:uid="{00000000-0005-0000-0000-000039550000}"/>
    <cellStyle name="Normal 4 5 4 2 2 2 2 2 4" xfId="30737" xr:uid="{00000000-0005-0000-0000-00003A550000}"/>
    <cellStyle name="Normal 4 5 4 2 2 2 2 3" xfId="9233" xr:uid="{00000000-0005-0000-0000-00003B550000}"/>
    <cellStyle name="Normal 4 5 4 2 2 2 2 3 2" xfId="21521" xr:uid="{00000000-0005-0000-0000-00003C550000}"/>
    <cellStyle name="Normal 4 5 4 2 2 2 2 3 2 2" xfId="46097" xr:uid="{00000000-0005-0000-0000-00003D550000}"/>
    <cellStyle name="Normal 4 5 4 2 2 2 2 3 3" xfId="33809" xr:uid="{00000000-0005-0000-0000-00003E550000}"/>
    <cellStyle name="Normal 4 5 4 2 2 2 2 4" xfId="15377" xr:uid="{00000000-0005-0000-0000-00003F550000}"/>
    <cellStyle name="Normal 4 5 4 2 2 2 2 4 2" xfId="39953" xr:uid="{00000000-0005-0000-0000-000040550000}"/>
    <cellStyle name="Normal 4 5 4 2 2 2 2 5" xfId="27665" xr:uid="{00000000-0005-0000-0000-000041550000}"/>
    <cellStyle name="Normal 4 5 4 2 2 2 3" xfId="4625" xr:uid="{00000000-0005-0000-0000-000042550000}"/>
    <cellStyle name="Normal 4 5 4 2 2 2 3 2" xfId="10769" xr:uid="{00000000-0005-0000-0000-000043550000}"/>
    <cellStyle name="Normal 4 5 4 2 2 2 3 2 2" xfId="23057" xr:uid="{00000000-0005-0000-0000-000044550000}"/>
    <cellStyle name="Normal 4 5 4 2 2 2 3 2 2 2" xfId="47633" xr:uid="{00000000-0005-0000-0000-000045550000}"/>
    <cellStyle name="Normal 4 5 4 2 2 2 3 2 3" xfId="35345" xr:uid="{00000000-0005-0000-0000-000046550000}"/>
    <cellStyle name="Normal 4 5 4 2 2 2 3 3" xfId="16913" xr:uid="{00000000-0005-0000-0000-000047550000}"/>
    <cellStyle name="Normal 4 5 4 2 2 2 3 3 2" xfId="41489" xr:uid="{00000000-0005-0000-0000-000048550000}"/>
    <cellStyle name="Normal 4 5 4 2 2 2 3 4" xfId="29201" xr:uid="{00000000-0005-0000-0000-000049550000}"/>
    <cellStyle name="Normal 4 5 4 2 2 2 4" xfId="7697" xr:uid="{00000000-0005-0000-0000-00004A550000}"/>
    <cellStyle name="Normal 4 5 4 2 2 2 4 2" xfId="19985" xr:uid="{00000000-0005-0000-0000-00004B550000}"/>
    <cellStyle name="Normal 4 5 4 2 2 2 4 2 2" xfId="44561" xr:uid="{00000000-0005-0000-0000-00004C550000}"/>
    <cellStyle name="Normal 4 5 4 2 2 2 4 3" xfId="32273" xr:uid="{00000000-0005-0000-0000-00004D550000}"/>
    <cellStyle name="Normal 4 5 4 2 2 2 5" xfId="13841" xr:uid="{00000000-0005-0000-0000-00004E550000}"/>
    <cellStyle name="Normal 4 5 4 2 2 2 5 2" xfId="38417" xr:uid="{00000000-0005-0000-0000-00004F550000}"/>
    <cellStyle name="Normal 4 5 4 2 2 2 6" xfId="26129" xr:uid="{00000000-0005-0000-0000-000050550000}"/>
    <cellStyle name="Normal 4 5 4 2 2 3" xfId="2317" xr:uid="{00000000-0005-0000-0000-000051550000}"/>
    <cellStyle name="Normal 4 5 4 2 2 3 2" xfId="5393" xr:uid="{00000000-0005-0000-0000-000052550000}"/>
    <cellStyle name="Normal 4 5 4 2 2 3 2 2" xfId="11537" xr:uid="{00000000-0005-0000-0000-000053550000}"/>
    <cellStyle name="Normal 4 5 4 2 2 3 2 2 2" xfId="23825" xr:uid="{00000000-0005-0000-0000-000054550000}"/>
    <cellStyle name="Normal 4 5 4 2 2 3 2 2 2 2" xfId="48401" xr:uid="{00000000-0005-0000-0000-000055550000}"/>
    <cellStyle name="Normal 4 5 4 2 2 3 2 2 3" xfId="36113" xr:uid="{00000000-0005-0000-0000-000056550000}"/>
    <cellStyle name="Normal 4 5 4 2 2 3 2 3" xfId="17681" xr:uid="{00000000-0005-0000-0000-000057550000}"/>
    <cellStyle name="Normal 4 5 4 2 2 3 2 3 2" xfId="42257" xr:uid="{00000000-0005-0000-0000-000058550000}"/>
    <cellStyle name="Normal 4 5 4 2 2 3 2 4" xfId="29969" xr:uid="{00000000-0005-0000-0000-000059550000}"/>
    <cellStyle name="Normal 4 5 4 2 2 3 3" xfId="8465" xr:uid="{00000000-0005-0000-0000-00005A550000}"/>
    <cellStyle name="Normal 4 5 4 2 2 3 3 2" xfId="20753" xr:uid="{00000000-0005-0000-0000-00005B550000}"/>
    <cellStyle name="Normal 4 5 4 2 2 3 3 2 2" xfId="45329" xr:uid="{00000000-0005-0000-0000-00005C550000}"/>
    <cellStyle name="Normal 4 5 4 2 2 3 3 3" xfId="33041" xr:uid="{00000000-0005-0000-0000-00005D550000}"/>
    <cellStyle name="Normal 4 5 4 2 2 3 4" xfId="14609" xr:uid="{00000000-0005-0000-0000-00005E550000}"/>
    <cellStyle name="Normal 4 5 4 2 2 3 4 2" xfId="39185" xr:uid="{00000000-0005-0000-0000-00005F550000}"/>
    <cellStyle name="Normal 4 5 4 2 2 3 5" xfId="26897" xr:uid="{00000000-0005-0000-0000-000060550000}"/>
    <cellStyle name="Normal 4 5 4 2 2 4" xfId="3857" xr:uid="{00000000-0005-0000-0000-000061550000}"/>
    <cellStyle name="Normal 4 5 4 2 2 4 2" xfId="10001" xr:uid="{00000000-0005-0000-0000-000062550000}"/>
    <cellStyle name="Normal 4 5 4 2 2 4 2 2" xfId="22289" xr:uid="{00000000-0005-0000-0000-000063550000}"/>
    <cellStyle name="Normal 4 5 4 2 2 4 2 2 2" xfId="46865" xr:uid="{00000000-0005-0000-0000-000064550000}"/>
    <cellStyle name="Normal 4 5 4 2 2 4 2 3" xfId="34577" xr:uid="{00000000-0005-0000-0000-000065550000}"/>
    <cellStyle name="Normal 4 5 4 2 2 4 3" xfId="16145" xr:uid="{00000000-0005-0000-0000-000066550000}"/>
    <cellStyle name="Normal 4 5 4 2 2 4 3 2" xfId="40721" xr:uid="{00000000-0005-0000-0000-000067550000}"/>
    <cellStyle name="Normal 4 5 4 2 2 4 4" xfId="28433" xr:uid="{00000000-0005-0000-0000-000068550000}"/>
    <cellStyle name="Normal 4 5 4 2 2 5" xfId="6929" xr:uid="{00000000-0005-0000-0000-000069550000}"/>
    <cellStyle name="Normal 4 5 4 2 2 5 2" xfId="19217" xr:uid="{00000000-0005-0000-0000-00006A550000}"/>
    <cellStyle name="Normal 4 5 4 2 2 5 2 2" xfId="43793" xr:uid="{00000000-0005-0000-0000-00006B550000}"/>
    <cellStyle name="Normal 4 5 4 2 2 5 3" xfId="31505" xr:uid="{00000000-0005-0000-0000-00006C550000}"/>
    <cellStyle name="Normal 4 5 4 2 2 6" xfId="13073" xr:uid="{00000000-0005-0000-0000-00006D550000}"/>
    <cellStyle name="Normal 4 5 4 2 2 6 2" xfId="37649" xr:uid="{00000000-0005-0000-0000-00006E550000}"/>
    <cellStyle name="Normal 4 5 4 2 2 7" xfId="25361" xr:uid="{00000000-0005-0000-0000-00006F550000}"/>
    <cellStyle name="Normal 4 5 4 2 3" xfId="1165" xr:uid="{00000000-0005-0000-0000-000070550000}"/>
    <cellStyle name="Normal 4 5 4 2 3 2" xfId="2701" xr:uid="{00000000-0005-0000-0000-000071550000}"/>
    <cellStyle name="Normal 4 5 4 2 3 2 2" xfId="5777" xr:uid="{00000000-0005-0000-0000-000072550000}"/>
    <cellStyle name="Normal 4 5 4 2 3 2 2 2" xfId="11921" xr:uid="{00000000-0005-0000-0000-000073550000}"/>
    <cellStyle name="Normal 4 5 4 2 3 2 2 2 2" xfId="24209" xr:uid="{00000000-0005-0000-0000-000074550000}"/>
    <cellStyle name="Normal 4 5 4 2 3 2 2 2 2 2" xfId="48785" xr:uid="{00000000-0005-0000-0000-000075550000}"/>
    <cellStyle name="Normal 4 5 4 2 3 2 2 2 3" xfId="36497" xr:uid="{00000000-0005-0000-0000-000076550000}"/>
    <cellStyle name="Normal 4 5 4 2 3 2 2 3" xfId="18065" xr:uid="{00000000-0005-0000-0000-000077550000}"/>
    <cellStyle name="Normal 4 5 4 2 3 2 2 3 2" xfId="42641" xr:uid="{00000000-0005-0000-0000-000078550000}"/>
    <cellStyle name="Normal 4 5 4 2 3 2 2 4" xfId="30353" xr:uid="{00000000-0005-0000-0000-000079550000}"/>
    <cellStyle name="Normal 4 5 4 2 3 2 3" xfId="8849" xr:uid="{00000000-0005-0000-0000-00007A550000}"/>
    <cellStyle name="Normal 4 5 4 2 3 2 3 2" xfId="21137" xr:uid="{00000000-0005-0000-0000-00007B550000}"/>
    <cellStyle name="Normal 4 5 4 2 3 2 3 2 2" xfId="45713" xr:uid="{00000000-0005-0000-0000-00007C550000}"/>
    <cellStyle name="Normal 4 5 4 2 3 2 3 3" xfId="33425" xr:uid="{00000000-0005-0000-0000-00007D550000}"/>
    <cellStyle name="Normal 4 5 4 2 3 2 4" xfId="14993" xr:uid="{00000000-0005-0000-0000-00007E550000}"/>
    <cellStyle name="Normal 4 5 4 2 3 2 4 2" xfId="39569" xr:uid="{00000000-0005-0000-0000-00007F550000}"/>
    <cellStyle name="Normal 4 5 4 2 3 2 5" xfId="27281" xr:uid="{00000000-0005-0000-0000-000080550000}"/>
    <cellStyle name="Normal 4 5 4 2 3 3" xfId="4241" xr:uid="{00000000-0005-0000-0000-000081550000}"/>
    <cellStyle name="Normal 4 5 4 2 3 3 2" xfId="10385" xr:uid="{00000000-0005-0000-0000-000082550000}"/>
    <cellStyle name="Normal 4 5 4 2 3 3 2 2" xfId="22673" xr:uid="{00000000-0005-0000-0000-000083550000}"/>
    <cellStyle name="Normal 4 5 4 2 3 3 2 2 2" xfId="47249" xr:uid="{00000000-0005-0000-0000-000084550000}"/>
    <cellStyle name="Normal 4 5 4 2 3 3 2 3" xfId="34961" xr:uid="{00000000-0005-0000-0000-000085550000}"/>
    <cellStyle name="Normal 4 5 4 2 3 3 3" xfId="16529" xr:uid="{00000000-0005-0000-0000-000086550000}"/>
    <cellStyle name="Normal 4 5 4 2 3 3 3 2" xfId="41105" xr:uid="{00000000-0005-0000-0000-000087550000}"/>
    <cellStyle name="Normal 4 5 4 2 3 3 4" xfId="28817" xr:uid="{00000000-0005-0000-0000-000088550000}"/>
    <cellStyle name="Normal 4 5 4 2 3 4" xfId="7313" xr:uid="{00000000-0005-0000-0000-000089550000}"/>
    <cellStyle name="Normal 4 5 4 2 3 4 2" xfId="19601" xr:uid="{00000000-0005-0000-0000-00008A550000}"/>
    <cellStyle name="Normal 4 5 4 2 3 4 2 2" xfId="44177" xr:uid="{00000000-0005-0000-0000-00008B550000}"/>
    <cellStyle name="Normal 4 5 4 2 3 4 3" xfId="31889" xr:uid="{00000000-0005-0000-0000-00008C550000}"/>
    <cellStyle name="Normal 4 5 4 2 3 5" xfId="13457" xr:uid="{00000000-0005-0000-0000-00008D550000}"/>
    <cellStyle name="Normal 4 5 4 2 3 5 2" xfId="38033" xr:uid="{00000000-0005-0000-0000-00008E550000}"/>
    <cellStyle name="Normal 4 5 4 2 3 6" xfId="25745" xr:uid="{00000000-0005-0000-0000-00008F550000}"/>
    <cellStyle name="Normal 4 5 4 2 4" xfId="1933" xr:uid="{00000000-0005-0000-0000-000090550000}"/>
    <cellStyle name="Normal 4 5 4 2 4 2" xfId="5009" xr:uid="{00000000-0005-0000-0000-000091550000}"/>
    <cellStyle name="Normal 4 5 4 2 4 2 2" xfId="11153" xr:uid="{00000000-0005-0000-0000-000092550000}"/>
    <cellStyle name="Normal 4 5 4 2 4 2 2 2" xfId="23441" xr:uid="{00000000-0005-0000-0000-000093550000}"/>
    <cellStyle name="Normal 4 5 4 2 4 2 2 2 2" xfId="48017" xr:uid="{00000000-0005-0000-0000-000094550000}"/>
    <cellStyle name="Normal 4 5 4 2 4 2 2 3" xfId="35729" xr:uid="{00000000-0005-0000-0000-000095550000}"/>
    <cellStyle name="Normal 4 5 4 2 4 2 3" xfId="17297" xr:uid="{00000000-0005-0000-0000-000096550000}"/>
    <cellStyle name="Normal 4 5 4 2 4 2 3 2" xfId="41873" xr:uid="{00000000-0005-0000-0000-000097550000}"/>
    <cellStyle name="Normal 4 5 4 2 4 2 4" xfId="29585" xr:uid="{00000000-0005-0000-0000-000098550000}"/>
    <cellStyle name="Normal 4 5 4 2 4 3" xfId="8081" xr:uid="{00000000-0005-0000-0000-000099550000}"/>
    <cellStyle name="Normal 4 5 4 2 4 3 2" xfId="20369" xr:uid="{00000000-0005-0000-0000-00009A550000}"/>
    <cellStyle name="Normal 4 5 4 2 4 3 2 2" xfId="44945" xr:uid="{00000000-0005-0000-0000-00009B550000}"/>
    <cellStyle name="Normal 4 5 4 2 4 3 3" xfId="32657" xr:uid="{00000000-0005-0000-0000-00009C550000}"/>
    <cellStyle name="Normal 4 5 4 2 4 4" xfId="14225" xr:uid="{00000000-0005-0000-0000-00009D550000}"/>
    <cellStyle name="Normal 4 5 4 2 4 4 2" xfId="38801" xr:uid="{00000000-0005-0000-0000-00009E550000}"/>
    <cellStyle name="Normal 4 5 4 2 4 5" xfId="26513" xr:uid="{00000000-0005-0000-0000-00009F550000}"/>
    <cellStyle name="Normal 4 5 4 2 5" xfId="3473" xr:uid="{00000000-0005-0000-0000-0000A0550000}"/>
    <cellStyle name="Normal 4 5 4 2 5 2" xfId="9617" xr:uid="{00000000-0005-0000-0000-0000A1550000}"/>
    <cellStyle name="Normal 4 5 4 2 5 2 2" xfId="21905" xr:uid="{00000000-0005-0000-0000-0000A2550000}"/>
    <cellStyle name="Normal 4 5 4 2 5 2 2 2" xfId="46481" xr:uid="{00000000-0005-0000-0000-0000A3550000}"/>
    <cellStyle name="Normal 4 5 4 2 5 2 3" xfId="34193" xr:uid="{00000000-0005-0000-0000-0000A4550000}"/>
    <cellStyle name="Normal 4 5 4 2 5 3" xfId="15761" xr:uid="{00000000-0005-0000-0000-0000A5550000}"/>
    <cellStyle name="Normal 4 5 4 2 5 3 2" xfId="40337" xr:uid="{00000000-0005-0000-0000-0000A6550000}"/>
    <cellStyle name="Normal 4 5 4 2 5 4" xfId="28049" xr:uid="{00000000-0005-0000-0000-0000A7550000}"/>
    <cellStyle name="Normal 4 5 4 2 6" xfId="6545" xr:uid="{00000000-0005-0000-0000-0000A8550000}"/>
    <cellStyle name="Normal 4 5 4 2 6 2" xfId="18833" xr:uid="{00000000-0005-0000-0000-0000A9550000}"/>
    <cellStyle name="Normal 4 5 4 2 6 2 2" xfId="43409" xr:uid="{00000000-0005-0000-0000-0000AA550000}"/>
    <cellStyle name="Normal 4 5 4 2 6 3" xfId="31121" xr:uid="{00000000-0005-0000-0000-0000AB550000}"/>
    <cellStyle name="Normal 4 5 4 2 7" xfId="12689" xr:uid="{00000000-0005-0000-0000-0000AC550000}"/>
    <cellStyle name="Normal 4 5 4 2 7 2" xfId="37265" xr:uid="{00000000-0005-0000-0000-0000AD550000}"/>
    <cellStyle name="Normal 4 5 4 2 8" xfId="24977" xr:uid="{00000000-0005-0000-0000-0000AE550000}"/>
    <cellStyle name="Normal 4 5 4 3" xfId="589" xr:uid="{00000000-0005-0000-0000-0000AF550000}"/>
    <cellStyle name="Normal 4 5 4 3 2" xfId="1357" xr:uid="{00000000-0005-0000-0000-0000B0550000}"/>
    <cellStyle name="Normal 4 5 4 3 2 2" xfId="2893" xr:uid="{00000000-0005-0000-0000-0000B1550000}"/>
    <cellStyle name="Normal 4 5 4 3 2 2 2" xfId="5969" xr:uid="{00000000-0005-0000-0000-0000B2550000}"/>
    <cellStyle name="Normal 4 5 4 3 2 2 2 2" xfId="12113" xr:uid="{00000000-0005-0000-0000-0000B3550000}"/>
    <cellStyle name="Normal 4 5 4 3 2 2 2 2 2" xfId="24401" xr:uid="{00000000-0005-0000-0000-0000B4550000}"/>
    <cellStyle name="Normal 4 5 4 3 2 2 2 2 2 2" xfId="48977" xr:uid="{00000000-0005-0000-0000-0000B5550000}"/>
    <cellStyle name="Normal 4 5 4 3 2 2 2 2 3" xfId="36689" xr:uid="{00000000-0005-0000-0000-0000B6550000}"/>
    <cellStyle name="Normal 4 5 4 3 2 2 2 3" xfId="18257" xr:uid="{00000000-0005-0000-0000-0000B7550000}"/>
    <cellStyle name="Normal 4 5 4 3 2 2 2 3 2" xfId="42833" xr:uid="{00000000-0005-0000-0000-0000B8550000}"/>
    <cellStyle name="Normal 4 5 4 3 2 2 2 4" xfId="30545" xr:uid="{00000000-0005-0000-0000-0000B9550000}"/>
    <cellStyle name="Normal 4 5 4 3 2 2 3" xfId="9041" xr:uid="{00000000-0005-0000-0000-0000BA550000}"/>
    <cellStyle name="Normal 4 5 4 3 2 2 3 2" xfId="21329" xr:uid="{00000000-0005-0000-0000-0000BB550000}"/>
    <cellStyle name="Normal 4 5 4 3 2 2 3 2 2" xfId="45905" xr:uid="{00000000-0005-0000-0000-0000BC550000}"/>
    <cellStyle name="Normal 4 5 4 3 2 2 3 3" xfId="33617" xr:uid="{00000000-0005-0000-0000-0000BD550000}"/>
    <cellStyle name="Normal 4 5 4 3 2 2 4" xfId="15185" xr:uid="{00000000-0005-0000-0000-0000BE550000}"/>
    <cellStyle name="Normal 4 5 4 3 2 2 4 2" xfId="39761" xr:uid="{00000000-0005-0000-0000-0000BF550000}"/>
    <cellStyle name="Normal 4 5 4 3 2 2 5" xfId="27473" xr:uid="{00000000-0005-0000-0000-0000C0550000}"/>
    <cellStyle name="Normal 4 5 4 3 2 3" xfId="4433" xr:uid="{00000000-0005-0000-0000-0000C1550000}"/>
    <cellStyle name="Normal 4 5 4 3 2 3 2" xfId="10577" xr:uid="{00000000-0005-0000-0000-0000C2550000}"/>
    <cellStyle name="Normal 4 5 4 3 2 3 2 2" xfId="22865" xr:uid="{00000000-0005-0000-0000-0000C3550000}"/>
    <cellStyle name="Normal 4 5 4 3 2 3 2 2 2" xfId="47441" xr:uid="{00000000-0005-0000-0000-0000C4550000}"/>
    <cellStyle name="Normal 4 5 4 3 2 3 2 3" xfId="35153" xr:uid="{00000000-0005-0000-0000-0000C5550000}"/>
    <cellStyle name="Normal 4 5 4 3 2 3 3" xfId="16721" xr:uid="{00000000-0005-0000-0000-0000C6550000}"/>
    <cellStyle name="Normal 4 5 4 3 2 3 3 2" xfId="41297" xr:uid="{00000000-0005-0000-0000-0000C7550000}"/>
    <cellStyle name="Normal 4 5 4 3 2 3 4" xfId="29009" xr:uid="{00000000-0005-0000-0000-0000C8550000}"/>
    <cellStyle name="Normal 4 5 4 3 2 4" xfId="7505" xr:uid="{00000000-0005-0000-0000-0000C9550000}"/>
    <cellStyle name="Normal 4 5 4 3 2 4 2" xfId="19793" xr:uid="{00000000-0005-0000-0000-0000CA550000}"/>
    <cellStyle name="Normal 4 5 4 3 2 4 2 2" xfId="44369" xr:uid="{00000000-0005-0000-0000-0000CB550000}"/>
    <cellStyle name="Normal 4 5 4 3 2 4 3" xfId="32081" xr:uid="{00000000-0005-0000-0000-0000CC550000}"/>
    <cellStyle name="Normal 4 5 4 3 2 5" xfId="13649" xr:uid="{00000000-0005-0000-0000-0000CD550000}"/>
    <cellStyle name="Normal 4 5 4 3 2 5 2" xfId="38225" xr:uid="{00000000-0005-0000-0000-0000CE550000}"/>
    <cellStyle name="Normal 4 5 4 3 2 6" xfId="25937" xr:uid="{00000000-0005-0000-0000-0000CF550000}"/>
    <cellStyle name="Normal 4 5 4 3 3" xfId="2125" xr:uid="{00000000-0005-0000-0000-0000D0550000}"/>
    <cellStyle name="Normal 4 5 4 3 3 2" xfId="5201" xr:uid="{00000000-0005-0000-0000-0000D1550000}"/>
    <cellStyle name="Normal 4 5 4 3 3 2 2" xfId="11345" xr:uid="{00000000-0005-0000-0000-0000D2550000}"/>
    <cellStyle name="Normal 4 5 4 3 3 2 2 2" xfId="23633" xr:uid="{00000000-0005-0000-0000-0000D3550000}"/>
    <cellStyle name="Normal 4 5 4 3 3 2 2 2 2" xfId="48209" xr:uid="{00000000-0005-0000-0000-0000D4550000}"/>
    <cellStyle name="Normal 4 5 4 3 3 2 2 3" xfId="35921" xr:uid="{00000000-0005-0000-0000-0000D5550000}"/>
    <cellStyle name="Normal 4 5 4 3 3 2 3" xfId="17489" xr:uid="{00000000-0005-0000-0000-0000D6550000}"/>
    <cellStyle name="Normal 4 5 4 3 3 2 3 2" xfId="42065" xr:uid="{00000000-0005-0000-0000-0000D7550000}"/>
    <cellStyle name="Normal 4 5 4 3 3 2 4" xfId="29777" xr:uid="{00000000-0005-0000-0000-0000D8550000}"/>
    <cellStyle name="Normal 4 5 4 3 3 3" xfId="8273" xr:uid="{00000000-0005-0000-0000-0000D9550000}"/>
    <cellStyle name="Normal 4 5 4 3 3 3 2" xfId="20561" xr:uid="{00000000-0005-0000-0000-0000DA550000}"/>
    <cellStyle name="Normal 4 5 4 3 3 3 2 2" xfId="45137" xr:uid="{00000000-0005-0000-0000-0000DB550000}"/>
    <cellStyle name="Normal 4 5 4 3 3 3 3" xfId="32849" xr:uid="{00000000-0005-0000-0000-0000DC550000}"/>
    <cellStyle name="Normal 4 5 4 3 3 4" xfId="14417" xr:uid="{00000000-0005-0000-0000-0000DD550000}"/>
    <cellStyle name="Normal 4 5 4 3 3 4 2" xfId="38993" xr:uid="{00000000-0005-0000-0000-0000DE550000}"/>
    <cellStyle name="Normal 4 5 4 3 3 5" xfId="26705" xr:uid="{00000000-0005-0000-0000-0000DF550000}"/>
    <cellStyle name="Normal 4 5 4 3 4" xfId="3665" xr:uid="{00000000-0005-0000-0000-0000E0550000}"/>
    <cellStyle name="Normal 4 5 4 3 4 2" xfId="9809" xr:uid="{00000000-0005-0000-0000-0000E1550000}"/>
    <cellStyle name="Normal 4 5 4 3 4 2 2" xfId="22097" xr:uid="{00000000-0005-0000-0000-0000E2550000}"/>
    <cellStyle name="Normal 4 5 4 3 4 2 2 2" xfId="46673" xr:uid="{00000000-0005-0000-0000-0000E3550000}"/>
    <cellStyle name="Normal 4 5 4 3 4 2 3" xfId="34385" xr:uid="{00000000-0005-0000-0000-0000E4550000}"/>
    <cellStyle name="Normal 4 5 4 3 4 3" xfId="15953" xr:uid="{00000000-0005-0000-0000-0000E5550000}"/>
    <cellStyle name="Normal 4 5 4 3 4 3 2" xfId="40529" xr:uid="{00000000-0005-0000-0000-0000E6550000}"/>
    <cellStyle name="Normal 4 5 4 3 4 4" xfId="28241" xr:uid="{00000000-0005-0000-0000-0000E7550000}"/>
    <cellStyle name="Normal 4 5 4 3 5" xfId="6737" xr:uid="{00000000-0005-0000-0000-0000E8550000}"/>
    <cellStyle name="Normal 4 5 4 3 5 2" xfId="19025" xr:uid="{00000000-0005-0000-0000-0000E9550000}"/>
    <cellStyle name="Normal 4 5 4 3 5 2 2" xfId="43601" xr:uid="{00000000-0005-0000-0000-0000EA550000}"/>
    <cellStyle name="Normal 4 5 4 3 5 3" xfId="31313" xr:uid="{00000000-0005-0000-0000-0000EB550000}"/>
    <cellStyle name="Normal 4 5 4 3 6" xfId="12881" xr:uid="{00000000-0005-0000-0000-0000EC550000}"/>
    <cellStyle name="Normal 4 5 4 3 6 2" xfId="37457" xr:uid="{00000000-0005-0000-0000-0000ED550000}"/>
    <cellStyle name="Normal 4 5 4 3 7" xfId="25169" xr:uid="{00000000-0005-0000-0000-0000EE550000}"/>
    <cellStyle name="Normal 4 5 4 4" xfId="973" xr:uid="{00000000-0005-0000-0000-0000EF550000}"/>
    <cellStyle name="Normal 4 5 4 4 2" xfId="2509" xr:uid="{00000000-0005-0000-0000-0000F0550000}"/>
    <cellStyle name="Normal 4 5 4 4 2 2" xfId="5585" xr:uid="{00000000-0005-0000-0000-0000F1550000}"/>
    <cellStyle name="Normal 4 5 4 4 2 2 2" xfId="11729" xr:uid="{00000000-0005-0000-0000-0000F2550000}"/>
    <cellStyle name="Normal 4 5 4 4 2 2 2 2" xfId="24017" xr:uid="{00000000-0005-0000-0000-0000F3550000}"/>
    <cellStyle name="Normal 4 5 4 4 2 2 2 2 2" xfId="48593" xr:uid="{00000000-0005-0000-0000-0000F4550000}"/>
    <cellStyle name="Normal 4 5 4 4 2 2 2 3" xfId="36305" xr:uid="{00000000-0005-0000-0000-0000F5550000}"/>
    <cellStyle name="Normal 4 5 4 4 2 2 3" xfId="17873" xr:uid="{00000000-0005-0000-0000-0000F6550000}"/>
    <cellStyle name="Normal 4 5 4 4 2 2 3 2" xfId="42449" xr:uid="{00000000-0005-0000-0000-0000F7550000}"/>
    <cellStyle name="Normal 4 5 4 4 2 2 4" xfId="30161" xr:uid="{00000000-0005-0000-0000-0000F8550000}"/>
    <cellStyle name="Normal 4 5 4 4 2 3" xfId="8657" xr:uid="{00000000-0005-0000-0000-0000F9550000}"/>
    <cellStyle name="Normal 4 5 4 4 2 3 2" xfId="20945" xr:uid="{00000000-0005-0000-0000-0000FA550000}"/>
    <cellStyle name="Normal 4 5 4 4 2 3 2 2" xfId="45521" xr:uid="{00000000-0005-0000-0000-0000FB550000}"/>
    <cellStyle name="Normal 4 5 4 4 2 3 3" xfId="33233" xr:uid="{00000000-0005-0000-0000-0000FC550000}"/>
    <cellStyle name="Normal 4 5 4 4 2 4" xfId="14801" xr:uid="{00000000-0005-0000-0000-0000FD550000}"/>
    <cellStyle name="Normal 4 5 4 4 2 4 2" xfId="39377" xr:uid="{00000000-0005-0000-0000-0000FE550000}"/>
    <cellStyle name="Normal 4 5 4 4 2 5" xfId="27089" xr:uid="{00000000-0005-0000-0000-0000FF550000}"/>
    <cellStyle name="Normal 4 5 4 4 3" xfId="4049" xr:uid="{00000000-0005-0000-0000-000000560000}"/>
    <cellStyle name="Normal 4 5 4 4 3 2" xfId="10193" xr:uid="{00000000-0005-0000-0000-000001560000}"/>
    <cellStyle name="Normal 4 5 4 4 3 2 2" xfId="22481" xr:uid="{00000000-0005-0000-0000-000002560000}"/>
    <cellStyle name="Normal 4 5 4 4 3 2 2 2" xfId="47057" xr:uid="{00000000-0005-0000-0000-000003560000}"/>
    <cellStyle name="Normal 4 5 4 4 3 2 3" xfId="34769" xr:uid="{00000000-0005-0000-0000-000004560000}"/>
    <cellStyle name="Normal 4 5 4 4 3 3" xfId="16337" xr:uid="{00000000-0005-0000-0000-000005560000}"/>
    <cellStyle name="Normal 4 5 4 4 3 3 2" xfId="40913" xr:uid="{00000000-0005-0000-0000-000006560000}"/>
    <cellStyle name="Normal 4 5 4 4 3 4" xfId="28625" xr:uid="{00000000-0005-0000-0000-000007560000}"/>
    <cellStyle name="Normal 4 5 4 4 4" xfId="7121" xr:uid="{00000000-0005-0000-0000-000008560000}"/>
    <cellStyle name="Normal 4 5 4 4 4 2" xfId="19409" xr:uid="{00000000-0005-0000-0000-000009560000}"/>
    <cellStyle name="Normal 4 5 4 4 4 2 2" xfId="43985" xr:uid="{00000000-0005-0000-0000-00000A560000}"/>
    <cellStyle name="Normal 4 5 4 4 4 3" xfId="31697" xr:uid="{00000000-0005-0000-0000-00000B560000}"/>
    <cellStyle name="Normal 4 5 4 4 5" xfId="13265" xr:uid="{00000000-0005-0000-0000-00000C560000}"/>
    <cellStyle name="Normal 4 5 4 4 5 2" xfId="37841" xr:uid="{00000000-0005-0000-0000-00000D560000}"/>
    <cellStyle name="Normal 4 5 4 4 6" xfId="25553" xr:uid="{00000000-0005-0000-0000-00000E560000}"/>
    <cellStyle name="Normal 4 5 4 5" xfId="1741" xr:uid="{00000000-0005-0000-0000-00000F560000}"/>
    <cellStyle name="Normal 4 5 4 5 2" xfId="4817" xr:uid="{00000000-0005-0000-0000-000010560000}"/>
    <cellStyle name="Normal 4 5 4 5 2 2" xfId="10961" xr:uid="{00000000-0005-0000-0000-000011560000}"/>
    <cellStyle name="Normal 4 5 4 5 2 2 2" xfId="23249" xr:uid="{00000000-0005-0000-0000-000012560000}"/>
    <cellStyle name="Normal 4 5 4 5 2 2 2 2" xfId="47825" xr:uid="{00000000-0005-0000-0000-000013560000}"/>
    <cellStyle name="Normal 4 5 4 5 2 2 3" xfId="35537" xr:uid="{00000000-0005-0000-0000-000014560000}"/>
    <cellStyle name="Normal 4 5 4 5 2 3" xfId="17105" xr:uid="{00000000-0005-0000-0000-000015560000}"/>
    <cellStyle name="Normal 4 5 4 5 2 3 2" xfId="41681" xr:uid="{00000000-0005-0000-0000-000016560000}"/>
    <cellStyle name="Normal 4 5 4 5 2 4" xfId="29393" xr:uid="{00000000-0005-0000-0000-000017560000}"/>
    <cellStyle name="Normal 4 5 4 5 3" xfId="7889" xr:uid="{00000000-0005-0000-0000-000018560000}"/>
    <cellStyle name="Normal 4 5 4 5 3 2" xfId="20177" xr:uid="{00000000-0005-0000-0000-000019560000}"/>
    <cellStyle name="Normal 4 5 4 5 3 2 2" xfId="44753" xr:uid="{00000000-0005-0000-0000-00001A560000}"/>
    <cellStyle name="Normal 4 5 4 5 3 3" xfId="32465" xr:uid="{00000000-0005-0000-0000-00001B560000}"/>
    <cellStyle name="Normal 4 5 4 5 4" xfId="14033" xr:uid="{00000000-0005-0000-0000-00001C560000}"/>
    <cellStyle name="Normal 4 5 4 5 4 2" xfId="38609" xr:uid="{00000000-0005-0000-0000-00001D560000}"/>
    <cellStyle name="Normal 4 5 4 5 5" xfId="26321" xr:uid="{00000000-0005-0000-0000-00001E560000}"/>
    <cellStyle name="Normal 4 5 4 6" xfId="3281" xr:uid="{00000000-0005-0000-0000-00001F560000}"/>
    <cellStyle name="Normal 4 5 4 6 2" xfId="9425" xr:uid="{00000000-0005-0000-0000-000020560000}"/>
    <cellStyle name="Normal 4 5 4 6 2 2" xfId="21713" xr:uid="{00000000-0005-0000-0000-000021560000}"/>
    <cellStyle name="Normal 4 5 4 6 2 2 2" xfId="46289" xr:uid="{00000000-0005-0000-0000-000022560000}"/>
    <cellStyle name="Normal 4 5 4 6 2 3" xfId="34001" xr:uid="{00000000-0005-0000-0000-000023560000}"/>
    <cellStyle name="Normal 4 5 4 6 3" xfId="15569" xr:uid="{00000000-0005-0000-0000-000024560000}"/>
    <cellStyle name="Normal 4 5 4 6 3 2" xfId="40145" xr:uid="{00000000-0005-0000-0000-000025560000}"/>
    <cellStyle name="Normal 4 5 4 6 4" xfId="27857" xr:uid="{00000000-0005-0000-0000-000026560000}"/>
    <cellStyle name="Normal 4 5 4 7" xfId="6353" xr:uid="{00000000-0005-0000-0000-000027560000}"/>
    <cellStyle name="Normal 4 5 4 7 2" xfId="18641" xr:uid="{00000000-0005-0000-0000-000028560000}"/>
    <cellStyle name="Normal 4 5 4 7 2 2" xfId="43217" xr:uid="{00000000-0005-0000-0000-000029560000}"/>
    <cellStyle name="Normal 4 5 4 7 3" xfId="30929" xr:uid="{00000000-0005-0000-0000-00002A560000}"/>
    <cellStyle name="Normal 4 5 4 8" xfId="12497" xr:uid="{00000000-0005-0000-0000-00002B560000}"/>
    <cellStyle name="Normal 4 5 4 8 2" xfId="37073" xr:uid="{00000000-0005-0000-0000-00002C560000}"/>
    <cellStyle name="Normal 4 5 4 9" xfId="24785" xr:uid="{00000000-0005-0000-0000-00002D560000}"/>
    <cellStyle name="Normal 4 5 5" xfId="269" xr:uid="{00000000-0005-0000-0000-00002E560000}"/>
    <cellStyle name="Normal 4 5 5 2" xfId="461" xr:uid="{00000000-0005-0000-0000-00002F560000}"/>
    <cellStyle name="Normal 4 5 5 2 2" xfId="845" xr:uid="{00000000-0005-0000-0000-000030560000}"/>
    <cellStyle name="Normal 4 5 5 2 2 2" xfId="1613" xr:uid="{00000000-0005-0000-0000-000031560000}"/>
    <cellStyle name="Normal 4 5 5 2 2 2 2" xfId="3149" xr:uid="{00000000-0005-0000-0000-000032560000}"/>
    <cellStyle name="Normal 4 5 5 2 2 2 2 2" xfId="6225" xr:uid="{00000000-0005-0000-0000-000033560000}"/>
    <cellStyle name="Normal 4 5 5 2 2 2 2 2 2" xfId="12369" xr:uid="{00000000-0005-0000-0000-000034560000}"/>
    <cellStyle name="Normal 4 5 5 2 2 2 2 2 2 2" xfId="24657" xr:uid="{00000000-0005-0000-0000-000035560000}"/>
    <cellStyle name="Normal 4 5 5 2 2 2 2 2 2 2 2" xfId="49233" xr:uid="{00000000-0005-0000-0000-000036560000}"/>
    <cellStyle name="Normal 4 5 5 2 2 2 2 2 2 3" xfId="36945" xr:uid="{00000000-0005-0000-0000-000037560000}"/>
    <cellStyle name="Normal 4 5 5 2 2 2 2 2 3" xfId="18513" xr:uid="{00000000-0005-0000-0000-000038560000}"/>
    <cellStyle name="Normal 4 5 5 2 2 2 2 2 3 2" xfId="43089" xr:uid="{00000000-0005-0000-0000-000039560000}"/>
    <cellStyle name="Normal 4 5 5 2 2 2 2 2 4" xfId="30801" xr:uid="{00000000-0005-0000-0000-00003A560000}"/>
    <cellStyle name="Normal 4 5 5 2 2 2 2 3" xfId="9297" xr:uid="{00000000-0005-0000-0000-00003B560000}"/>
    <cellStyle name="Normal 4 5 5 2 2 2 2 3 2" xfId="21585" xr:uid="{00000000-0005-0000-0000-00003C560000}"/>
    <cellStyle name="Normal 4 5 5 2 2 2 2 3 2 2" xfId="46161" xr:uid="{00000000-0005-0000-0000-00003D560000}"/>
    <cellStyle name="Normal 4 5 5 2 2 2 2 3 3" xfId="33873" xr:uid="{00000000-0005-0000-0000-00003E560000}"/>
    <cellStyle name="Normal 4 5 5 2 2 2 2 4" xfId="15441" xr:uid="{00000000-0005-0000-0000-00003F560000}"/>
    <cellStyle name="Normal 4 5 5 2 2 2 2 4 2" xfId="40017" xr:uid="{00000000-0005-0000-0000-000040560000}"/>
    <cellStyle name="Normal 4 5 5 2 2 2 2 5" xfId="27729" xr:uid="{00000000-0005-0000-0000-000041560000}"/>
    <cellStyle name="Normal 4 5 5 2 2 2 3" xfId="4689" xr:uid="{00000000-0005-0000-0000-000042560000}"/>
    <cellStyle name="Normal 4 5 5 2 2 2 3 2" xfId="10833" xr:uid="{00000000-0005-0000-0000-000043560000}"/>
    <cellStyle name="Normal 4 5 5 2 2 2 3 2 2" xfId="23121" xr:uid="{00000000-0005-0000-0000-000044560000}"/>
    <cellStyle name="Normal 4 5 5 2 2 2 3 2 2 2" xfId="47697" xr:uid="{00000000-0005-0000-0000-000045560000}"/>
    <cellStyle name="Normal 4 5 5 2 2 2 3 2 3" xfId="35409" xr:uid="{00000000-0005-0000-0000-000046560000}"/>
    <cellStyle name="Normal 4 5 5 2 2 2 3 3" xfId="16977" xr:uid="{00000000-0005-0000-0000-000047560000}"/>
    <cellStyle name="Normal 4 5 5 2 2 2 3 3 2" xfId="41553" xr:uid="{00000000-0005-0000-0000-000048560000}"/>
    <cellStyle name="Normal 4 5 5 2 2 2 3 4" xfId="29265" xr:uid="{00000000-0005-0000-0000-000049560000}"/>
    <cellStyle name="Normal 4 5 5 2 2 2 4" xfId="7761" xr:uid="{00000000-0005-0000-0000-00004A560000}"/>
    <cellStyle name="Normal 4 5 5 2 2 2 4 2" xfId="20049" xr:uid="{00000000-0005-0000-0000-00004B560000}"/>
    <cellStyle name="Normal 4 5 5 2 2 2 4 2 2" xfId="44625" xr:uid="{00000000-0005-0000-0000-00004C560000}"/>
    <cellStyle name="Normal 4 5 5 2 2 2 4 3" xfId="32337" xr:uid="{00000000-0005-0000-0000-00004D560000}"/>
    <cellStyle name="Normal 4 5 5 2 2 2 5" xfId="13905" xr:uid="{00000000-0005-0000-0000-00004E560000}"/>
    <cellStyle name="Normal 4 5 5 2 2 2 5 2" xfId="38481" xr:uid="{00000000-0005-0000-0000-00004F560000}"/>
    <cellStyle name="Normal 4 5 5 2 2 2 6" xfId="26193" xr:uid="{00000000-0005-0000-0000-000050560000}"/>
    <cellStyle name="Normal 4 5 5 2 2 3" xfId="2381" xr:uid="{00000000-0005-0000-0000-000051560000}"/>
    <cellStyle name="Normal 4 5 5 2 2 3 2" xfId="5457" xr:uid="{00000000-0005-0000-0000-000052560000}"/>
    <cellStyle name="Normal 4 5 5 2 2 3 2 2" xfId="11601" xr:uid="{00000000-0005-0000-0000-000053560000}"/>
    <cellStyle name="Normal 4 5 5 2 2 3 2 2 2" xfId="23889" xr:uid="{00000000-0005-0000-0000-000054560000}"/>
    <cellStyle name="Normal 4 5 5 2 2 3 2 2 2 2" xfId="48465" xr:uid="{00000000-0005-0000-0000-000055560000}"/>
    <cellStyle name="Normal 4 5 5 2 2 3 2 2 3" xfId="36177" xr:uid="{00000000-0005-0000-0000-000056560000}"/>
    <cellStyle name="Normal 4 5 5 2 2 3 2 3" xfId="17745" xr:uid="{00000000-0005-0000-0000-000057560000}"/>
    <cellStyle name="Normal 4 5 5 2 2 3 2 3 2" xfId="42321" xr:uid="{00000000-0005-0000-0000-000058560000}"/>
    <cellStyle name="Normal 4 5 5 2 2 3 2 4" xfId="30033" xr:uid="{00000000-0005-0000-0000-000059560000}"/>
    <cellStyle name="Normal 4 5 5 2 2 3 3" xfId="8529" xr:uid="{00000000-0005-0000-0000-00005A560000}"/>
    <cellStyle name="Normal 4 5 5 2 2 3 3 2" xfId="20817" xr:uid="{00000000-0005-0000-0000-00005B560000}"/>
    <cellStyle name="Normal 4 5 5 2 2 3 3 2 2" xfId="45393" xr:uid="{00000000-0005-0000-0000-00005C560000}"/>
    <cellStyle name="Normal 4 5 5 2 2 3 3 3" xfId="33105" xr:uid="{00000000-0005-0000-0000-00005D560000}"/>
    <cellStyle name="Normal 4 5 5 2 2 3 4" xfId="14673" xr:uid="{00000000-0005-0000-0000-00005E560000}"/>
    <cellStyle name="Normal 4 5 5 2 2 3 4 2" xfId="39249" xr:uid="{00000000-0005-0000-0000-00005F560000}"/>
    <cellStyle name="Normal 4 5 5 2 2 3 5" xfId="26961" xr:uid="{00000000-0005-0000-0000-000060560000}"/>
    <cellStyle name="Normal 4 5 5 2 2 4" xfId="3921" xr:uid="{00000000-0005-0000-0000-000061560000}"/>
    <cellStyle name="Normal 4 5 5 2 2 4 2" xfId="10065" xr:uid="{00000000-0005-0000-0000-000062560000}"/>
    <cellStyle name="Normal 4 5 5 2 2 4 2 2" xfId="22353" xr:uid="{00000000-0005-0000-0000-000063560000}"/>
    <cellStyle name="Normal 4 5 5 2 2 4 2 2 2" xfId="46929" xr:uid="{00000000-0005-0000-0000-000064560000}"/>
    <cellStyle name="Normal 4 5 5 2 2 4 2 3" xfId="34641" xr:uid="{00000000-0005-0000-0000-000065560000}"/>
    <cellStyle name="Normal 4 5 5 2 2 4 3" xfId="16209" xr:uid="{00000000-0005-0000-0000-000066560000}"/>
    <cellStyle name="Normal 4 5 5 2 2 4 3 2" xfId="40785" xr:uid="{00000000-0005-0000-0000-000067560000}"/>
    <cellStyle name="Normal 4 5 5 2 2 4 4" xfId="28497" xr:uid="{00000000-0005-0000-0000-000068560000}"/>
    <cellStyle name="Normal 4 5 5 2 2 5" xfId="6993" xr:uid="{00000000-0005-0000-0000-000069560000}"/>
    <cellStyle name="Normal 4 5 5 2 2 5 2" xfId="19281" xr:uid="{00000000-0005-0000-0000-00006A560000}"/>
    <cellStyle name="Normal 4 5 5 2 2 5 2 2" xfId="43857" xr:uid="{00000000-0005-0000-0000-00006B560000}"/>
    <cellStyle name="Normal 4 5 5 2 2 5 3" xfId="31569" xr:uid="{00000000-0005-0000-0000-00006C560000}"/>
    <cellStyle name="Normal 4 5 5 2 2 6" xfId="13137" xr:uid="{00000000-0005-0000-0000-00006D560000}"/>
    <cellStyle name="Normal 4 5 5 2 2 6 2" xfId="37713" xr:uid="{00000000-0005-0000-0000-00006E560000}"/>
    <cellStyle name="Normal 4 5 5 2 2 7" xfId="25425" xr:uid="{00000000-0005-0000-0000-00006F560000}"/>
    <cellStyle name="Normal 4 5 5 2 3" xfId="1229" xr:uid="{00000000-0005-0000-0000-000070560000}"/>
    <cellStyle name="Normal 4 5 5 2 3 2" xfId="2765" xr:uid="{00000000-0005-0000-0000-000071560000}"/>
    <cellStyle name="Normal 4 5 5 2 3 2 2" xfId="5841" xr:uid="{00000000-0005-0000-0000-000072560000}"/>
    <cellStyle name="Normal 4 5 5 2 3 2 2 2" xfId="11985" xr:uid="{00000000-0005-0000-0000-000073560000}"/>
    <cellStyle name="Normal 4 5 5 2 3 2 2 2 2" xfId="24273" xr:uid="{00000000-0005-0000-0000-000074560000}"/>
    <cellStyle name="Normal 4 5 5 2 3 2 2 2 2 2" xfId="48849" xr:uid="{00000000-0005-0000-0000-000075560000}"/>
    <cellStyle name="Normal 4 5 5 2 3 2 2 2 3" xfId="36561" xr:uid="{00000000-0005-0000-0000-000076560000}"/>
    <cellStyle name="Normal 4 5 5 2 3 2 2 3" xfId="18129" xr:uid="{00000000-0005-0000-0000-000077560000}"/>
    <cellStyle name="Normal 4 5 5 2 3 2 2 3 2" xfId="42705" xr:uid="{00000000-0005-0000-0000-000078560000}"/>
    <cellStyle name="Normal 4 5 5 2 3 2 2 4" xfId="30417" xr:uid="{00000000-0005-0000-0000-000079560000}"/>
    <cellStyle name="Normal 4 5 5 2 3 2 3" xfId="8913" xr:uid="{00000000-0005-0000-0000-00007A560000}"/>
    <cellStyle name="Normal 4 5 5 2 3 2 3 2" xfId="21201" xr:uid="{00000000-0005-0000-0000-00007B560000}"/>
    <cellStyle name="Normal 4 5 5 2 3 2 3 2 2" xfId="45777" xr:uid="{00000000-0005-0000-0000-00007C560000}"/>
    <cellStyle name="Normal 4 5 5 2 3 2 3 3" xfId="33489" xr:uid="{00000000-0005-0000-0000-00007D560000}"/>
    <cellStyle name="Normal 4 5 5 2 3 2 4" xfId="15057" xr:uid="{00000000-0005-0000-0000-00007E560000}"/>
    <cellStyle name="Normal 4 5 5 2 3 2 4 2" xfId="39633" xr:uid="{00000000-0005-0000-0000-00007F560000}"/>
    <cellStyle name="Normal 4 5 5 2 3 2 5" xfId="27345" xr:uid="{00000000-0005-0000-0000-000080560000}"/>
    <cellStyle name="Normal 4 5 5 2 3 3" xfId="4305" xr:uid="{00000000-0005-0000-0000-000081560000}"/>
    <cellStyle name="Normal 4 5 5 2 3 3 2" xfId="10449" xr:uid="{00000000-0005-0000-0000-000082560000}"/>
    <cellStyle name="Normal 4 5 5 2 3 3 2 2" xfId="22737" xr:uid="{00000000-0005-0000-0000-000083560000}"/>
    <cellStyle name="Normal 4 5 5 2 3 3 2 2 2" xfId="47313" xr:uid="{00000000-0005-0000-0000-000084560000}"/>
    <cellStyle name="Normal 4 5 5 2 3 3 2 3" xfId="35025" xr:uid="{00000000-0005-0000-0000-000085560000}"/>
    <cellStyle name="Normal 4 5 5 2 3 3 3" xfId="16593" xr:uid="{00000000-0005-0000-0000-000086560000}"/>
    <cellStyle name="Normal 4 5 5 2 3 3 3 2" xfId="41169" xr:uid="{00000000-0005-0000-0000-000087560000}"/>
    <cellStyle name="Normal 4 5 5 2 3 3 4" xfId="28881" xr:uid="{00000000-0005-0000-0000-000088560000}"/>
    <cellStyle name="Normal 4 5 5 2 3 4" xfId="7377" xr:uid="{00000000-0005-0000-0000-000089560000}"/>
    <cellStyle name="Normal 4 5 5 2 3 4 2" xfId="19665" xr:uid="{00000000-0005-0000-0000-00008A560000}"/>
    <cellStyle name="Normal 4 5 5 2 3 4 2 2" xfId="44241" xr:uid="{00000000-0005-0000-0000-00008B560000}"/>
    <cellStyle name="Normal 4 5 5 2 3 4 3" xfId="31953" xr:uid="{00000000-0005-0000-0000-00008C560000}"/>
    <cellStyle name="Normal 4 5 5 2 3 5" xfId="13521" xr:uid="{00000000-0005-0000-0000-00008D560000}"/>
    <cellStyle name="Normal 4 5 5 2 3 5 2" xfId="38097" xr:uid="{00000000-0005-0000-0000-00008E560000}"/>
    <cellStyle name="Normal 4 5 5 2 3 6" xfId="25809" xr:uid="{00000000-0005-0000-0000-00008F560000}"/>
    <cellStyle name="Normal 4 5 5 2 4" xfId="1997" xr:uid="{00000000-0005-0000-0000-000090560000}"/>
    <cellStyle name="Normal 4 5 5 2 4 2" xfId="5073" xr:uid="{00000000-0005-0000-0000-000091560000}"/>
    <cellStyle name="Normal 4 5 5 2 4 2 2" xfId="11217" xr:uid="{00000000-0005-0000-0000-000092560000}"/>
    <cellStyle name="Normal 4 5 5 2 4 2 2 2" xfId="23505" xr:uid="{00000000-0005-0000-0000-000093560000}"/>
    <cellStyle name="Normal 4 5 5 2 4 2 2 2 2" xfId="48081" xr:uid="{00000000-0005-0000-0000-000094560000}"/>
    <cellStyle name="Normal 4 5 5 2 4 2 2 3" xfId="35793" xr:uid="{00000000-0005-0000-0000-000095560000}"/>
    <cellStyle name="Normal 4 5 5 2 4 2 3" xfId="17361" xr:uid="{00000000-0005-0000-0000-000096560000}"/>
    <cellStyle name="Normal 4 5 5 2 4 2 3 2" xfId="41937" xr:uid="{00000000-0005-0000-0000-000097560000}"/>
    <cellStyle name="Normal 4 5 5 2 4 2 4" xfId="29649" xr:uid="{00000000-0005-0000-0000-000098560000}"/>
    <cellStyle name="Normal 4 5 5 2 4 3" xfId="8145" xr:uid="{00000000-0005-0000-0000-000099560000}"/>
    <cellStyle name="Normal 4 5 5 2 4 3 2" xfId="20433" xr:uid="{00000000-0005-0000-0000-00009A560000}"/>
    <cellStyle name="Normal 4 5 5 2 4 3 2 2" xfId="45009" xr:uid="{00000000-0005-0000-0000-00009B560000}"/>
    <cellStyle name="Normal 4 5 5 2 4 3 3" xfId="32721" xr:uid="{00000000-0005-0000-0000-00009C560000}"/>
    <cellStyle name="Normal 4 5 5 2 4 4" xfId="14289" xr:uid="{00000000-0005-0000-0000-00009D560000}"/>
    <cellStyle name="Normal 4 5 5 2 4 4 2" xfId="38865" xr:uid="{00000000-0005-0000-0000-00009E560000}"/>
    <cellStyle name="Normal 4 5 5 2 4 5" xfId="26577" xr:uid="{00000000-0005-0000-0000-00009F560000}"/>
    <cellStyle name="Normal 4 5 5 2 5" xfId="3537" xr:uid="{00000000-0005-0000-0000-0000A0560000}"/>
    <cellStyle name="Normal 4 5 5 2 5 2" xfId="9681" xr:uid="{00000000-0005-0000-0000-0000A1560000}"/>
    <cellStyle name="Normal 4 5 5 2 5 2 2" xfId="21969" xr:uid="{00000000-0005-0000-0000-0000A2560000}"/>
    <cellStyle name="Normal 4 5 5 2 5 2 2 2" xfId="46545" xr:uid="{00000000-0005-0000-0000-0000A3560000}"/>
    <cellStyle name="Normal 4 5 5 2 5 2 3" xfId="34257" xr:uid="{00000000-0005-0000-0000-0000A4560000}"/>
    <cellStyle name="Normal 4 5 5 2 5 3" xfId="15825" xr:uid="{00000000-0005-0000-0000-0000A5560000}"/>
    <cellStyle name="Normal 4 5 5 2 5 3 2" xfId="40401" xr:uid="{00000000-0005-0000-0000-0000A6560000}"/>
    <cellStyle name="Normal 4 5 5 2 5 4" xfId="28113" xr:uid="{00000000-0005-0000-0000-0000A7560000}"/>
    <cellStyle name="Normal 4 5 5 2 6" xfId="6609" xr:uid="{00000000-0005-0000-0000-0000A8560000}"/>
    <cellStyle name="Normal 4 5 5 2 6 2" xfId="18897" xr:uid="{00000000-0005-0000-0000-0000A9560000}"/>
    <cellStyle name="Normal 4 5 5 2 6 2 2" xfId="43473" xr:uid="{00000000-0005-0000-0000-0000AA560000}"/>
    <cellStyle name="Normal 4 5 5 2 6 3" xfId="31185" xr:uid="{00000000-0005-0000-0000-0000AB560000}"/>
    <cellStyle name="Normal 4 5 5 2 7" xfId="12753" xr:uid="{00000000-0005-0000-0000-0000AC560000}"/>
    <cellStyle name="Normal 4 5 5 2 7 2" xfId="37329" xr:uid="{00000000-0005-0000-0000-0000AD560000}"/>
    <cellStyle name="Normal 4 5 5 2 8" xfId="25041" xr:uid="{00000000-0005-0000-0000-0000AE560000}"/>
    <cellStyle name="Normal 4 5 5 3" xfId="653" xr:uid="{00000000-0005-0000-0000-0000AF560000}"/>
    <cellStyle name="Normal 4 5 5 3 2" xfId="1421" xr:uid="{00000000-0005-0000-0000-0000B0560000}"/>
    <cellStyle name="Normal 4 5 5 3 2 2" xfId="2957" xr:uid="{00000000-0005-0000-0000-0000B1560000}"/>
    <cellStyle name="Normal 4 5 5 3 2 2 2" xfId="6033" xr:uid="{00000000-0005-0000-0000-0000B2560000}"/>
    <cellStyle name="Normal 4 5 5 3 2 2 2 2" xfId="12177" xr:uid="{00000000-0005-0000-0000-0000B3560000}"/>
    <cellStyle name="Normal 4 5 5 3 2 2 2 2 2" xfId="24465" xr:uid="{00000000-0005-0000-0000-0000B4560000}"/>
    <cellStyle name="Normal 4 5 5 3 2 2 2 2 2 2" xfId="49041" xr:uid="{00000000-0005-0000-0000-0000B5560000}"/>
    <cellStyle name="Normal 4 5 5 3 2 2 2 2 3" xfId="36753" xr:uid="{00000000-0005-0000-0000-0000B6560000}"/>
    <cellStyle name="Normal 4 5 5 3 2 2 2 3" xfId="18321" xr:uid="{00000000-0005-0000-0000-0000B7560000}"/>
    <cellStyle name="Normal 4 5 5 3 2 2 2 3 2" xfId="42897" xr:uid="{00000000-0005-0000-0000-0000B8560000}"/>
    <cellStyle name="Normal 4 5 5 3 2 2 2 4" xfId="30609" xr:uid="{00000000-0005-0000-0000-0000B9560000}"/>
    <cellStyle name="Normal 4 5 5 3 2 2 3" xfId="9105" xr:uid="{00000000-0005-0000-0000-0000BA560000}"/>
    <cellStyle name="Normal 4 5 5 3 2 2 3 2" xfId="21393" xr:uid="{00000000-0005-0000-0000-0000BB560000}"/>
    <cellStyle name="Normal 4 5 5 3 2 2 3 2 2" xfId="45969" xr:uid="{00000000-0005-0000-0000-0000BC560000}"/>
    <cellStyle name="Normal 4 5 5 3 2 2 3 3" xfId="33681" xr:uid="{00000000-0005-0000-0000-0000BD560000}"/>
    <cellStyle name="Normal 4 5 5 3 2 2 4" xfId="15249" xr:uid="{00000000-0005-0000-0000-0000BE560000}"/>
    <cellStyle name="Normal 4 5 5 3 2 2 4 2" xfId="39825" xr:uid="{00000000-0005-0000-0000-0000BF560000}"/>
    <cellStyle name="Normal 4 5 5 3 2 2 5" xfId="27537" xr:uid="{00000000-0005-0000-0000-0000C0560000}"/>
    <cellStyle name="Normal 4 5 5 3 2 3" xfId="4497" xr:uid="{00000000-0005-0000-0000-0000C1560000}"/>
    <cellStyle name="Normal 4 5 5 3 2 3 2" xfId="10641" xr:uid="{00000000-0005-0000-0000-0000C2560000}"/>
    <cellStyle name="Normal 4 5 5 3 2 3 2 2" xfId="22929" xr:uid="{00000000-0005-0000-0000-0000C3560000}"/>
    <cellStyle name="Normal 4 5 5 3 2 3 2 2 2" xfId="47505" xr:uid="{00000000-0005-0000-0000-0000C4560000}"/>
    <cellStyle name="Normal 4 5 5 3 2 3 2 3" xfId="35217" xr:uid="{00000000-0005-0000-0000-0000C5560000}"/>
    <cellStyle name="Normal 4 5 5 3 2 3 3" xfId="16785" xr:uid="{00000000-0005-0000-0000-0000C6560000}"/>
    <cellStyle name="Normal 4 5 5 3 2 3 3 2" xfId="41361" xr:uid="{00000000-0005-0000-0000-0000C7560000}"/>
    <cellStyle name="Normal 4 5 5 3 2 3 4" xfId="29073" xr:uid="{00000000-0005-0000-0000-0000C8560000}"/>
    <cellStyle name="Normal 4 5 5 3 2 4" xfId="7569" xr:uid="{00000000-0005-0000-0000-0000C9560000}"/>
    <cellStyle name="Normal 4 5 5 3 2 4 2" xfId="19857" xr:uid="{00000000-0005-0000-0000-0000CA560000}"/>
    <cellStyle name="Normal 4 5 5 3 2 4 2 2" xfId="44433" xr:uid="{00000000-0005-0000-0000-0000CB560000}"/>
    <cellStyle name="Normal 4 5 5 3 2 4 3" xfId="32145" xr:uid="{00000000-0005-0000-0000-0000CC560000}"/>
    <cellStyle name="Normal 4 5 5 3 2 5" xfId="13713" xr:uid="{00000000-0005-0000-0000-0000CD560000}"/>
    <cellStyle name="Normal 4 5 5 3 2 5 2" xfId="38289" xr:uid="{00000000-0005-0000-0000-0000CE560000}"/>
    <cellStyle name="Normal 4 5 5 3 2 6" xfId="26001" xr:uid="{00000000-0005-0000-0000-0000CF560000}"/>
    <cellStyle name="Normal 4 5 5 3 3" xfId="2189" xr:uid="{00000000-0005-0000-0000-0000D0560000}"/>
    <cellStyle name="Normal 4 5 5 3 3 2" xfId="5265" xr:uid="{00000000-0005-0000-0000-0000D1560000}"/>
    <cellStyle name="Normal 4 5 5 3 3 2 2" xfId="11409" xr:uid="{00000000-0005-0000-0000-0000D2560000}"/>
    <cellStyle name="Normal 4 5 5 3 3 2 2 2" xfId="23697" xr:uid="{00000000-0005-0000-0000-0000D3560000}"/>
    <cellStyle name="Normal 4 5 5 3 3 2 2 2 2" xfId="48273" xr:uid="{00000000-0005-0000-0000-0000D4560000}"/>
    <cellStyle name="Normal 4 5 5 3 3 2 2 3" xfId="35985" xr:uid="{00000000-0005-0000-0000-0000D5560000}"/>
    <cellStyle name="Normal 4 5 5 3 3 2 3" xfId="17553" xr:uid="{00000000-0005-0000-0000-0000D6560000}"/>
    <cellStyle name="Normal 4 5 5 3 3 2 3 2" xfId="42129" xr:uid="{00000000-0005-0000-0000-0000D7560000}"/>
    <cellStyle name="Normal 4 5 5 3 3 2 4" xfId="29841" xr:uid="{00000000-0005-0000-0000-0000D8560000}"/>
    <cellStyle name="Normal 4 5 5 3 3 3" xfId="8337" xr:uid="{00000000-0005-0000-0000-0000D9560000}"/>
    <cellStyle name="Normal 4 5 5 3 3 3 2" xfId="20625" xr:uid="{00000000-0005-0000-0000-0000DA560000}"/>
    <cellStyle name="Normal 4 5 5 3 3 3 2 2" xfId="45201" xr:uid="{00000000-0005-0000-0000-0000DB560000}"/>
    <cellStyle name="Normal 4 5 5 3 3 3 3" xfId="32913" xr:uid="{00000000-0005-0000-0000-0000DC560000}"/>
    <cellStyle name="Normal 4 5 5 3 3 4" xfId="14481" xr:uid="{00000000-0005-0000-0000-0000DD560000}"/>
    <cellStyle name="Normal 4 5 5 3 3 4 2" xfId="39057" xr:uid="{00000000-0005-0000-0000-0000DE560000}"/>
    <cellStyle name="Normal 4 5 5 3 3 5" xfId="26769" xr:uid="{00000000-0005-0000-0000-0000DF560000}"/>
    <cellStyle name="Normal 4 5 5 3 4" xfId="3729" xr:uid="{00000000-0005-0000-0000-0000E0560000}"/>
    <cellStyle name="Normal 4 5 5 3 4 2" xfId="9873" xr:uid="{00000000-0005-0000-0000-0000E1560000}"/>
    <cellStyle name="Normal 4 5 5 3 4 2 2" xfId="22161" xr:uid="{00000000-0005-0000-0000-0000E2560000}"/>
    <cellStyle name="Normal 4 5 5 3 4 2 2 2" xfId="46737" xr:uid="{00000000-0005-0000-0000-0000E3560000}"/>
    <cellStyle name="Normal 4 5 5 3 4 2 3" xfId="34449" xr:uid="{00000000-0005-0000-0000-0000E4560000}"/>
    <cellStyle name="Normal 4 5 5 3 4 3" xfId="16017" xr:uid="{00000000-0005-0000-0000-0000E5560000}"/>
    <cellStyle name="Normal 4 5 5 3 4 3 2" xfId="40593" xr:uid="{00000000-0005-0000-0000-0000E6560000}"/>
    <cellStyle name="Normal 4 5 5 3 4 4" xfId="28305" xr:uid="{00000000-0005-0000-0000-0000E7560000}"/>
    <cellStyle name="Normal 4 5 5 3 5" xfId="6801" xr:uid="{00000000-0005-0000-0000-0000E8560000}"/>
    <cellStyle name="Normal 4 5 5 3 5 2" xfId="19089" xr:uid="{00000000-0005-0000-0000-0000E9560000}"/>
    <cellStyle name="Normal 4 5 5 3 5 2 2" xfId="43665" xr:uid="{00000000-0005-0000-0000-0000EA560000}"/>
    <cellStyle name="Normal 4 5 5 3 5 3" xfId="31377" xr:uid="{00000000-0005-0000-0000-0000EB560000}"/>
    <cellStyle name="Normal 4 5 5 3 6" xfId="12945" xr:uid="{00000000-0005-0000-0000-0000EC560000}"/>
    <cellStyle name="Normal 4 5 5 3 6 2" xfId="37521" xr:uid="{00000000-0005-0000-0000-0000ED560000}"/>
    <cellStyle name="Normal 4 5 5 3 7" xfId="25233" xr:uid="{00000000-0005-0000-0000-0000EE560000}"/>
    <cellStyle name="Normal 4 5 5 4" xfId="1037" xr:uid="{00000000-0005-0000-0000-0000EF560000}"/>
    <cellStyle name="Normal 4 5 5 4 2" xfId="2573" xr:uid="{00000000-0005-0000-0000-0000F0560000}"/>
    <cellStyle name="Normal 4 5 5 4 2 2" xfId="5649" xr:uid="{00000000-0005-0000-0000-0000F1560000}"/>
    <cellStyle name="Normal 4 5 5 4 2 2 2" xfId="11793" xr:uid="{00000000-0005-0000-0000-0000F2560000}"/>
    <cellStyle name="Normal 4 5 5 4 2 2 2 2" xfId="24081" xr:uid="{00000000-0005-0000-0000-0000F3560000}"/>
    <cellStyle name="Normal 4 5 5 4 2 2 2 2 2" xfId="48657" xr:uid="{00000000-0005-0000-0000-0000F4560000}"/>
    <cellStyle name="Normal 4 5 5 4 2 2 2 3" xfId="36369" xr:uid="{00000000-0005-0000-0000-0000F5560000}"/>
    <cellStyle name="Normal 4 5 5 4 2 2 3" xfId="17937" xr:uid="{00000000-0005-0000-0000-0000F6560000}"/>
    <cellStyle name="Normal 4 5 5 4 2 2 3 2" xfId="42513" xr:uid="{00000000-0005-0000-0000-0000F7560000}"/>
    <cellStyle name="Normal 4 5 5 4 2 2 4" xfId="30225" xr:uid="{00000000-0005-0000-0000-0000F8560000}"/>
    <cellStyle name="Normal 4 5 5 4 2 3" xfId="8721" xr:uid="{00000000-0005-0000-0000-0000F9560000}"/>
    <cellStyle name="Normal 4 5 5 4 2 3 2" xfId="21009" xr:uid="{00000000-0005-0000-0000-0000FA560000}"/>
    <cellStyle name="Normal 4 5 5 4 2 3 2 2" xfId="45585" xr:uid="{00000000-0005-0000-0000-0000FB560000}"/>
    <cellStyle name="Normal 4 5 5 4 2 3 3" xfId="33297" xr:uid="{00000000-0005-0000-0000-0000FC560000}"/>
    <cellStyle name="Normal 4 5 5 4 2 4" xfId="14865" xr:uid="{00000000-0005-0000-0000-0000FD560000}"/>
    <cellStyle name="Normal 4 5 5 4 2 4 2" xfId="39441" xr:uid="{00000000-0005-0000-0000-0000FE560000}"/>
    <cellStyle name="Normal 4 5 5 4 2 5" xfId="27153" xr:uid="{00000000-0005-0000-0000-0000FF560000}"/>
    <cellStyle name="Normal 4 5 5 4 3" xfId="4113" xr:uid="{00000000-0005-0000-0000-000000570000}"/>
    <cellStyle name="Normal 4 5 5 4 3 2" xfId="10257" xr:uid="{00000000-0005-0000-0000-000001570000}"/>
    <cellStyle name="Normal 4 5 5 4 3 2 2" xfId="22545" xr:uid="{00000000-0005-0000-0000-000002570000}"/>
    <cellStyle name="Normal 4 5 5 4 3 2 2 2" xfId="47121" xr:uid="{00000000-0005-0000-0000-000003570000}"/>
    <cellStyle name="Normal 4 5 5 4 3 2 3" xfId="34833" xr:uid="{00000000-0005-0000-0000-000004570000}"/>
    <cellStyle name="Normal 4 5 5 4 3 3" xfId="16401" xr:uid="{00000000-0005-0000-0000-000005570000}"/>
    <cellStyle name="Normal 4 5 5 4 3 3 2" xfId="40977" xr:uid="{00000000-0005-0000-0000-000006570000}"/>
    <cellStyle name="Normal 4 5 5 4 3 4" xfId="28689" xr:uid="{00000000-0005-0000-0000-000007570000}"/>
    <cellStyle name="Normal 4 5 5 4 4" xfId="7185" xr:uid="{00000000-0005-0000-0000-000008570000}"/>
    <cellStyle name="Normal 4 5 5 4 4 2" xfId="19473" xr:uid="{00000000-0005-0000-0000-000009570000}"/>
    <cellStyle name="Normal 4 5 5 4 4 2 2" xfId="44049" xr:uid="{00000000-0005-0000-0000-00000A570000}"/>
    <cellStyle name="Normal 4 5 5 4 4 3" xfId="31761" xr:uid="{00000000-0005-0000-0000-00000B570000}"/>
    <cellStyle name="Normal 4 5 5 4 5" xfId="13329" xr:uid="{00000000-0005-0000-0000-00000C570000}"/>
    <cellStyle name="Normal 4 5 5 4 5 2" xfId="37905" xr:uid="{00000000-0005-0000-0000-00000D570000}"/>
    <cellStyle name="Normal 4 5 5 4 6" xfId="25617" xr:uid="{00000000-0005-0000-0000-00000E570000}"/>
    <cellStyle name="Normal 4 5 5 5" xfId="1805" xr:uid="{00000000-0005-0000-0000-00000F570000}"/>
    <cellStyle name="Normal 4 5 5 5 2" xfId="4881" xr:uid="{00000000-0005-0000-0000-000010570000}"/>
    <cellStyle name="Normal 4 5 5 5 2 2" xfId="11025" xr:uid="{00000000-0005-0000-0000-000011570000}"/>
    <cellStyle name="Normal 4 5 5 5 2 2 2" xfId="23313" xr:uid="{00000000-0005-0000-0000-000012570000}"/>
    <cellStyle name="Normal 4 5 5 5 2 2 2 2" xfId="47889" xr:uid="{00000000-0005-0000-0000-000013570000}"/>
    <cellStyle name="Normal 4 5 5 5 2 2 3" xfId="35601" xr:uid="{00000000-0005-0000-0000-000014570000}"/>
    <cellStyle name="Normal 4 5 5 5 2 3" xfId="17169" xr:uid="{00000000-0005-0000-0000-000015570000}"/>
    <cellStyle name="Normal 4 5 5 5 2 3 2" xfId="41745" xr:uid="{00000000-0005-0000-0000-000016570000}"/>
    <cellStyle name="Normal 4 5 5 5 2 4" xfId="29457" xr:uid="{00000000-0005-0000-0000-000017570000}"/>
    <cellStyle name="Normal 4 5 5 5 3" xfId="7953" xr:uid="{00000000-0005-0000-0000-000018570000}"/>
    <cellStyle name="Normal 4 5 5 5 3 2" xfId="20241" xr:uid="{00000000-0005-0000-0000-000019570000}"/>
    <cellStyle name="Normal 4 5 5 5 3 2 2" xfId="44817" xr:uid="{00000000-0005-0000-0000-00001A570000}"/>
    <cellStyle name="Normal 4 5 5 5 3 3" xfId="32529" xr:uid="{00000000-0005-0000-0000-00001B570000}"/>
    <cellStyle name="Normal 4 5 5 5 4" xfId="14097" xr:uid="{00000000-0005-0000-0000-00001C570000}"/>
    <cellStyle name="Normal 4 5 5 5 4 2" xfId="38673" xr:uid="{00000000-0005-0000-0000-00001D570000}"/>
    <cellStyle name="Normal 4 5 5 5 5" xfId="26385" xr:uid="{00000000-0005-0000-0000-00001E570000}"/>
    <cellStyle name="Normal 4 5 5 6" xfId="3345" xr:uid="{00000000-0005-0000-0000-00001F570000}"/>
    <cellStyle name="Normal 4 5 5 6 2" xfId="9489" xr:uid="{00000000-0005-0000-0000-000020570000}"/>
    <cellStyle name="Normal 4 5 5 6 2 2" xfId="21777" xr:uid="{00000000-0005-0000-0000-000021570000}"/>
    <cellStyle name="Normal 4 5 5 6 2 2 2" xfId="46353" xr:uid="{00000000-0005-0000-0000-000022570000}"/>
    <cellStyle name="Normal 4 5 5 6 2 3" xfId="34065" xr:uid="{00000000-0005-0000-0000-000023570000}"/>
    <cellStyle name="Normal 4 5 5 6 3" xfId="15633" xr:uid="{00000000-0005-0000-0000-000024570000}"/>
    <cellStyle name="Normal 4 5 5 6 3 2" xfId="40209" xr:uid="{00000000-0005-0000-0000-000025570000}"/>
    <cellStyle name="Normal 4 5 5 6 4" xfId="27921" xr:uid="{00000000-0005-0000-0000-000026570000}"/>
    <cellStyle name="Normal 4 5 5 7" xfId="6417" xr:uid="{00000000-0005-0000-0000-000027570000}"/>
    <cellStyle name="Normal 4 5 5 7 2" xfId="18705" xr:uid="{00000000-0005-0000-0000-000028570000}"/>
    <cellStyle name="Normal 4 5 5 7 2 2" xfId="43281" xr:uid="{00000000-0005-0000-0000-000029570000}"/>
    <cellStyle name="Normal 4 5 5 7 3" xfId="30993" xr:uid="{00000000-0005-0000-0000-00002A570000}"/>
    <cellStyle name="Normal 4 5 5 8" xfId="12561" xr:uid="{00000000-0005-0000-0000-00002B570000}"/>
    <cellStyle name="Normal 4 5 5 8 2" xfId="37137" xr:uid="{00000000-0005-0000-0000-00002C570000}"/>
    <cellStyle name="Normal 4 5 5 9" xfId="24849" xr:uid="{00000000-0005-0000-0000-00002D570000}"/>
    <cellStyle name="Normal 4 5 6" xfId="333" xr:uid="{00000000-0005-0000-0000-00002E570000}"/>
    <cellStyle name="Normal 4 5 6 2" xfId="717" xr:uid="{00000000-0005-0000-0000-00002F570000}"/>
    <cellStyle name="Normal 4 5 6 2 2" xfId="1485" xr:uid="{00000000-0005-0000-0000-000030570000}"/>
    <cellStyle name="Normal 4 5 6 2 2 2" xfId="3021" xr:uid="{00000000-0005-0000-0000-000031570000}"/>
    <cellStyle name="Normal 4 5 6 2 2 2 2" xfId="6097" xr:uid="{00000000-0005-0000-0000-000032570000}"/>
    <cellStyle name="Normal 4 5 6 2 2 2 2 2" xfId="12241" xr:uid="{00000000-0005-0000-0000-000033570000}"/>
    <cellStyle name="Normal 4 5 6 2 2 2 2 2 2" xfId="24529" xr:uid="{00000000-0005-0000-0000-000034570000}"/>
    <cellStyle name="Normal 4 5 6 2 2 2 2 2 2 2" xfId="49105" xr:uid="{00000000-0005-0000-0000-000035570000}"/>
    <cellStyle name="Normal 4 5 6 2 2 2 2 2 3" xfId="36817" xr:uid="{00000000-0005-0000-0000-000036570000}"/>
    <cellStyle name="Normal 4 5 6 2 2 2 2 3" xfId="18385" xr:uid="{00000000-0005-0000-0000-000037570000}"/>
    <cellStyle name="Normal 4 5 6 2 2 2 2 3 2" xfId="42961" xr:uid="{00000000-0005-0000-0000-000038570000}"/>
    <cellStyle name="Normal 4 5 6 2 2 2 2 4" xfId="30673" xr:uid="{00000000-0005-0000-0000-000039570000}"/>
    <cellStyle name="Normal 4 5 6 2 2 2 3" xfId="9169" xr:uid="{00000000-0005-0000-0000-00003A570000}"/>
    <cellStyle name="Normal 4 5 6 2 2 2 3 2" xfId="21457" xr:uid="{00000000-0005-0000-0000-00003B570000}"/>
    <cellStyle name="Normal 4 5 6 2 2 2 3 2 2" xfId="46033" xr:uid="{00000000-0005-0000-0000-00003C570000}"/>
    <cellStyle name="Normal 4 5 6 2 2 2 3 3" xfId="33745" xr:uid="{00000000-0005-0000-0000-00003D570000}"/>
    <cellStyle name="Normal 4 5 6 2 2 2 4" xfId="15313" xr:uid="{00000000-0005-0000-0000-00003E570000}"/>
    <cellStyle name="Normal 4 5 6 2 2 2 4 2" xfId="39889" xr:uid="{00000000-0005-0000-0000-00003F570000}"/>
    <cellStyle name="Normal 4 5 6 2 2 2 5" xfId="27601" xr:uid="{00000000-0005-0000-0000-000040570000}"/>
    <cellStyle name="Normal 4 5 6 2 2 3" xfId="4561" xr:uid="{00000000-0005-0000-0000-000041570000}"/>
    <cellStyle name="Normal 4 5 6 2 2 3 2" xfId="10705" xr:uid="{00000000-0005-0000-0000-000042570000}"/>
    <cellStyle name="Normal 4 5 6 2 2 3 2 2" xfId="22993" xr:uid="{00000000-0005-0000-0000-000043570000}"/>
    <cellStyle name="Normal 4 5 6 2 2 3 2 2 2" xfId="47569" xr:uid="{00000000-0005-0000-0000-000044570000}"/>
    <cellStyle name="Normal 4 5 6 2 2 3 2 3" xfId="35281" xr:uid="{00000000-0005-0000-0000-000045570000}"/>
    <cellStyle name="Normal 4 5 6 2 2 3 3" xfId="16849" xr:uid="{00000000-0005-0000-0000-000046570000}"/>
    <cellStyle name="Normal 4 5 6 2 2 3 3 2" xfId="41425" xr:uid="{00000000-0005-0000-0000-000047570000}"/>
    <cellStyle name="Normal 4 5 6 2 2 3 4" xfId="29137" xr:uid="{00000000-0005-0000-0000-000048570000}"/>
    <cellStyle name="Normal 4 5 6 2 2 4" xfId="7633" xr:uid="{00000000-0005-0000-0000-000049570000}"/>
    <cellStyle name="Normal 4 5 6 2 2 4 2" xfId="19921" xr:uid="{00000000-0005-0000-0000-00004A570000}"/>
    <cellStyle name="Normal 4 5 6 2 2 4 2 2" xfId="44497" xr:uid="{00000000-0005-0000-0000-00004B570000}"/>
    <cellStyle name="Normal 4 5 6 2 2 4 3" xfId="32209" xr:uid="{00000000-0005-0000-0000-00004C570000}"/>
    <cellStyle name="Normal 4 5 6 2 2 5" xfId="13777" xr:uid="{00000000-0005-0000-0000-00004D570000}"/>
    <cellStyle name="Normal 4 5 6 2 2 5 2" xfId="38353" xr:uid="{00000000-0005-0000-0000-00004E570000}"/>
    <cellStyle name="Normal 4 5 6 2 2 6" xfId="26065" xr:uid="{00000000-0005-0000-0000-00004F570000}"/>
    <cellStyle name="Normal 4 5 6 2 3" xfId="2253" xr:uid="{00000000-0005-0000-0000-000050570000}"/>
    <cellStyle name="Normal 4 5 6 2 3 2" xfId="5329" xr:uid="{00000000-0005-0000-0000-000051570000}"/>
    <cellStyle name="Normal 4 5 6 2 3 2 2" xfId="11473" xr:uid="{00000000-0005-0000-0000-000052570000}"/>
    <cellStyle name="Normal 4 5 6 2 3 2 2 2" xfId="23761" xr:uid="{00000000-0005-0000-0000-000053570000}"/>
    <cellStyle name="Normal 4 5 6 2 3 2 2 2 2" xfId="48337" xr:uid="{00000000-0005-0000-0000-000054570000}"/>
    <cellStyle name="Normal 4 5 6 2 3 2 2 3" xfId="36049" xr:uid="{00000000-0005-0000-0000-000055570000}"/>
    <cellStyle name="Normal 4 5 6 2 3 2 3" xfId="17617" xr:uid="{00000000-0005-0000-0000-000056570000}"/>
    <cellStyle name="Normal 4 5 6 2 3 2 3 2" xfId="42193" xr:uid="{00000000-0005-0000-0000-000057570000}"/>
    <cellStyle name="Normal 4 5 6 2 3 2 4" xfId="29905" xr:uid="{00000000-0005-0000-0000-000058570000}"/>
    <cellStyle name="Normal 4 5 6 2 3 3" xfId="8401" xr:uid="{00000000-0005-0000-0000-000059570000}"/>
    <cellStyle name="Normal 4 5 6 2 3 3 2" xfId="20689" xr:uid="{00000000-0005-0000-0000-00005A570000}"/>
    <cellStyle name="Normal 4 5 6 2 3 3 2 2" xfId="45265" xr:uid="{00000000-0005-0000-0000-00005B570000}"/>
    <cellStyle name="Normal 4 5 6 2 3 3 3" xfId="32977" xr:uid="{00000000-0005-0000-0000-00005C570000}"/>
    <cellStyle name="Normal 4 5 6 2 3 4" xfId="14545" xr:uid="{00000000-0005-0000-0000-00005D570000}"/>
    <cellStyle name="Normal 4 5 6 2 3 4 2" xfId="39121" xr:uid="{00000000-0005-0000-0000-00005E570000}"/>
    <cellStyle name="Normal 4 5 6 2 3 5" xfId="26833" xr:uid="{00000000-0005-0000-0000-00005F570000}"/>
    <cellStyle name="Normal 4 5 6 2 4" xfId="3793" xr:uid="{00000000-0005-0000-0000-000060570000}"/>
    <cellStyle name="Normal 4 5 6 2 4 2" xfId="9937" xr:uid="{00000000-0005-0000-0000-000061570000}"/>
    <cellStyle name="Normal 4 5 6 2 4 2 2" xfId="22225" xr:uid="{00000000-0005-0000-0000-000062570000}"/>
    <cellStyle name="Normal 4 5 6 2 4 2 2 2" xfId="46801" xr:uid="{00000000-0005-0000-0000-000063570000}"/>
    <cellStyle name="Normal 4 5 6 2 4 2 3" xfId="34513" xr:uid="{00000000-0005-0000-0000-000064570000}"/>
    <cellStyle name="Normal 4 5 6 2 4 3" xfId="16081" xr:uid="{00000000-0005-0000-0000-000065570000}"/>
    <cellStyle name="Normal 4 5 6 2 4 3 2" xfId="40657" xr:uid="{00000000-0005-0000-0000-000066570000}"/>
    <cellStyle name="Normal 4 5 6 2 4 4" xfId="28369" xr:uid="{00000000-0005-0000-0000-000067570000}"/>
    <cellStyle name="Normal 4 5 6 2 5" xfId="6865" xr:uid="{00000000-0005-0000-0000-000068570000}"/>
    <cellStyle name="Normal 4 5 6 2 5 2" xfId="19153" xr:uid="{00000000-0005-0000-0000-000069570000}"/>
    <cellStyle name="Normal 4 5 6 2 5 2 2" xfId="43729" xr:uid="{00000000-0005-0000-0000-00006A570000}"/>
    <cellStyle name="Normal 4 5 6 2 5 3" xfId="31441" xr:uid="{00000000-0005-0000-0000-00006B570000}"/>
    <cellStyle name="Normal 4 5 6 2 6" xfId="13009" xr:uid="{00000000-0005-0000-0000-00006C570000}"/>
    <cellStyle name="Normal 4 5 6 2 6 2" xfId="37585" xr:uid="{00000000-0005-0000-0000-00006D570000}"/>
    <cellStyle name="Normal 4 5 6 2 7" xfId="25297" xr:uid="{00000000-0005-0000-0000-00006E570000}"/>
    <cellStyle name="Normal 4 5 6 3" xfId="1101" xr:uid="{00000000-0005-0000-0000-00006F570000}"/>
    <cellStyle name="Normal 4 5 6 3 2" xfId="2637" xr:uid="{00000000-0005-0000-0000-000070570000}"/>
    <cellStyle name="Normal 4 5 6 3 2 2" xfId="5713" xr:uid="{00000000-0005-0000-0000-000071570000}"/>
    <cellStyle name="Normal 4 5 6 3 2 2 2" xfId="11857" xr:uid="{00000000-0005-0000-0000-000072570000}"/>
    <cellStyle name="Normal 4 5 6 3 2 2 2 2" xfId="24145" xr:uid="{00000000-0005-0000-0000-000073570000}"/>
    <cellStyle name="Normal 4 5 6 3 2 2 2 2 2" xfId="48721" xr:uid="{00000000-0005-0000-0000-000074570000}"/>
    <cellStyle name="Normal 4 5 6 3 2 2 2 3" xfId="36433" xr:uid="{00000000-0005-0000-0000-000075570000}"/>
    <cellStyle name="Normal 4 5 6 3 2 2 3" xfId="18001" xr:uid="{00000000-0005-0000-0000-000076570000}"/>
    <cellStyle name="Normal 4 5 6 3 2 2 3 2" xfId="42577" xr:uid="{00000000-0005-0000-0000-000077570000}"/>
    <cellStyle name="Normal 4 5 6 3 2 2 4" xfId="30289" xr:uid="{00000000-0005-0000-0000-000078570000}"/>
    <cellStyle name="Normal 4 5 6 3 2 3" xfId="8785" xr:uid="{00000000-0005-0000-0000-000079570000}"/>
    <cellStyle name="Normal 4 5 6 3 2 3 2" xfId="21073" xr:uid="{00000000-0005-0000-0000-00007A570000}"/>
    <cellStyle name="Normal 4 5 6 3 2 3 2 2" xfId="45649" xr:uid="{00000000-0005-0000-0000-00007B570000}"/>
    <cellStyle name="Normal 4 5 6 3 2 3 3" xfId="33361" xr:uid="{00000000-0005-0000-0000-00007C570000}"/>
    <cellStyle name="Normal 4 5 6 3 2 4" xfId="14929" xr:uid="{00000000-0005-0000-0000-00007D570000}"/>
    <cellStyle name="Normal 4 5 6 3 2 4 2" xfId="39505" xr:uid="{00000000-0005-0000-0000-00007E570000}"/>
    <cellStyle name="Normal 4 5 6 3 2 5" xfId="27217" xr:uid="{00000000-0005-0000-0000-00007F570000}"/>
    <cellStyle name="Normal 4 5 6 3 3" xfId="4177" xr:uid="{00000000-0005-0000-0000-000080570000}"/>
    <cellStyle name="Normal 4 5 6 3 3 2" xfId="10321" xr:uid="{00000000-0005-0000-0000-000081570000}"/>
    <cellStyle name="Normal 4 5 6 3 3 2 2" xfId="22609" xr:uid="{00000000-0005-0000-0000-000082570000}"/>
    <cellStyle name="Normal 4 5 6 3 3 2 2 2" xfId="47185" xr:uid="{00000000-0005-0000-0000-000083570000}"/>
    <cellStyle name="Normal 4 5 6 3 3 2 3" xfId="34897" xr:uid="{00000000-0005-0000-0000-000084570000}"/>
    <cellStyle name="Normal 4 5 6 3 3 3" xfId="16465" xr:uid="{00000000-0005-0000-0000-000085570000}"/>
    <cellStyle name="Normal 4 5 6 3 3 3 2" xfId="41041" xr:uid="{00000000-0005-0000-0000-000086570000}"/>
    <cellStyle name="Normal 4 5 6 3 3 4" xfId="28753" xr:uid="{00000000-0005-0000-0000-000087570000}"/>
    <cellStyle name="Normal 4 5 6 3 4" xfId="7249" xr:uid="{00000000-0005-0000-0000-000088570000}"/>
    <cellStyle name="Normal 4 5 6 3 4 2" xfId="19537" xr:uid="{00000000-0005-0000-0000-000089570000}"/>
    <cellStyle name="Normal 4 5 6 3 4 2 2" xfId="44113" xr:uid="{00000000-0005-0000-0000-00008A570000}"/>
    <cellStyle name="Normal 4 5 6 3 4 3" xfId="31825" xr:uid="{00000000-0005-0000-0000-00008B570000}"/>
    <cellStyle name="Normal 4 5 6 3 5" xfId="13393" xr:uid="{00000000-0005-0000-0000-00008C570000}"/>
    <cellStyle name="Normal 4 5 6 3 5 2" xfId="37969" xr:uid="{00000000-0005-0000-0000-00008D570000}"/>
    <cellStyle name="Normal 4 5 6 3 6" xfId="25681" xr:uid="{00000000-0005-0000-0000-00008E570000}"/>
    <cellStyle name="Normal 4 5 6 4" xfId="1869" xr:uid="{00000000-0005-0000-0000-00008F570000}"/>
    <cellStyle name="Normal 4 5 6 4 2" xfId="4945" xr:uid="{00000000-0005-0000-0000-000090570000}"/>
    <cellStyle name="Normal 4 5 6 4 2 2" xfId="11089" xr:uid="{00000000-0005-0000-0000-000091570000}"/>
    <cellStyle name="Normal 4 5 6 4 2 2 2" xfId="23377" xr:uid="{00000000-0005-0000-0000-000092570000}"/>
    <cellStyle name="Normal 4 5 6 4 2 2 2 2" xfId="47953" xr:uid="{00000000-0005-0000-0000-000093570000}"/>
    <cellStyle name="Normal 4 5 6 4 2 2 3" xfId="35665" xr:uid="{00000000-0005-0000-0000-000094570000}"/>
    <cellStyle name="Normal 4 5 6 4 2 3" xfId="17233" xr:uid="{00000000-0005-0000-0000-000095570000}"/>
    <cellStyle name="Normal 4 5 6 4 2 3 2" xfId="41809" xr:uid="{00000000-0005-0000-0000-000096570000}"/>
    <cellStyle name="Normal 4 5 6 4 2 4" xfId="29521" xr:uid="{00000000-0005-0000-0000-000097570000}"/>
    <cellStyle name="Normal 4 5 6 4 3" xfId="8017" xr:uid="{00000000-0005-0000-0000-000098570000}"/>
    <cellStyle name="Normal 4 5 6 4 3 2" xfId="20305" xr:uid="{00000000-0005-0000-0000-000099570000}"/>
    <cellStyle name="Normal 4 5 6 4 3 2 2" xfId="44881" xr:uid="{00000000-0005-0000-0000-00009A570000}"/>
    <cellStyle name="Normal 4 5 6 4 3 3" xfId="32593" xr:uid="{00000000-0005-0000-0000-00009B570000}"/>
    <cellStyle name="Normal 4 5 6 4 4" xfId="14161" xr:uid="{00000000-0005-0000-0000-00009C570000}"/>
    <cellStyle name="Normal 4 5 6 4 4 2" xfId="38737" xr:uid="{00000000-0005-0000-0000-00009D570000}"/>
    <cellStyle name="Normal 4 5 6 4 5" xfId="26449" xr:uid="{00000000-0005-0000-0000-00009E570000}"/>
    <cellStyle name="Normal 4 5 6 5" xfId="3409" xr:uid="{00000000-0005-0000-0000-00009F570000}"/>
    <cellStyle name="Normal 4 5 6 5 2" xfId="9553" xr:uid="{00000000-0005-0000-0000-0000A0570000}"/>
    <cellStyle name="Normal 4 5 6 5 2 2" xfId="21841" xr:uid="{00000000-0005-0000-0000-0000A1570000}"/>
    <cellStyle name="Normal 4 5 6 5 2 2 2" xfId="46417" xr:uid="{00000000-0005-0000-0000-0000A2570000}"/>
    <cellStyle name="Normal 4 5 6 5 2 3" xfId="34129" xr:uid="{00000000-0005-0000-0000-0000A3570000}"/>
    <cellStyle name="Normal 4 5 6 5 3" xfId="15697" xr:uid="{00000000-0005-0000-0000-0000A4570000}"/>
    <cellStyle name="Normal 4 5 6 5 3 2" xfId="40273" xr:uid="{00000000-0005-0000-0000-0000A5570000}"/>
    <cellStyle name="Normal 4 5 6 5 4" xfId="27985" xr:uid="{00000000-0005-0000-0000-0000A6570000}"/>
    <cellStyle name="Normal 4 5 6 6" xfId="6481" xr:uid="{00000000-0005-0000-0000-0000A7570000}"/>
    <cellStyle name="Normal 4 5 6 6 2" xfId="18769" xr:uid="{00000000-0005-0000-0000-0000A8570000}"/>
    <cellStyle name="Normal 4 5 6 6 2 2" xfId="43345" xr:uid="{00000000-0005-0000-0000-0000A9570000}"/>
    <cellStyle name="Normal 4 5 6 6 3" xfId="31057" xr:uid="{00000000-0005-0000-0000-0000AA570000}"/>
    <cellStyle name="Normal 4 5 6 7" xfId="12625" xr:uid="{00000000-0005-0000-0000-0000AB570000}"/>
    <cellStyle name="Normal 4 5 6 7 2" xfId="37201" xr:uid="{00000000-0005-0000-0000-0000AC570000}"/>
    <cellStyle name="Normal 4 5 6 8" xfId="24913" xr:uid="{00000000-0005-0000-0000-0000AD570000}"/>
    <cellStyle name="Normal 4 5 7" xfId="525" xr:uid="{00000000-0005-0000-0000-0000AE570000}"/>
    <cellStyle name="Normal 4 5 7 2" xfId="1293" xr:uid="{00000000-0005-0000-0000-0000AF570000}"/>
    <cellStyle name="Normal 4 5 7 2 2" xfId="2829" xr:uid="{00000000-0005-0000-0000-0000B0570000}"/>
    <cellStyle name="Normal 4 5 7 2 2 2" xfId="5905" xr:uid="{00000000-0005-0000-0000-0000B1570000}"/>
    <cellStyle name="Normal 4 5 7 2 2 2 2" xfId="12049" xr:uid="{00000000-0005-0000-0000-0000B2570000}"/>
    <cellStyle name="Normal 4 5 7 2 2 2 2 2" xfId="24337" xr:uid="{00000000-0005-0000-0000-0000B3570000}"/>
    <cellStyle name="Normal 4 5 7 2 2 2 2 2 2" xfId="48913" xr:uid="{00000000-0005-0000-0000-0000B4570000}"/>
    <cellStyle name="Normal 4 5 7 2 2 2 2 3" xfId="36625" xr:uid="{00000000-0005-0000-0000-0000B5570000}"/>
    <cellStyle name="Normal 4 5 7 2 2 2 3" xfId="18193" xr:uid="{00000000-0005-0000-0000-0000B6570000}"/>
    <cellStyle name="Normal 4 5 7 2 2 2 3 2" xfId="42769" xr:uid="{00000000-0005-0000-0000-0000B7570000}"/>
    <cellStyle name="Normal 4 5 7 2 2 2 4" xfId="30481" xr:uid="{00000000-0005-0000-0000-0000B8570000}"/>
    <cellStyle name="Normal 4 5 7 2 2 3" xfId="8977" xr:uid="{00000000-0005-0000-0000-0000B9570000}"/>
    <cellStyle name="Normal 4 5 7 2 2 3 2" xfId="21265" xr:uid="{00000000-0005-0000-0000-0000BA570000}"/>
    <cellStyle name="Normal 4 5 7 2 2 3 2 2" xfId="45841" xr:uid="{00000000-0005-0000-0000-0000BB570000}"/>
    <cellStyle name="Normal 4 5 7 2 2 3 3" xfId="33553" xr:uid="{00000000-0005-0000-0000-0000BC570000}"/>
    <cellStyle name="Normal 4 5 7 2 2 4" xfId="15121" xr:uid="{00000000-0005-0000-0000-0000BD570000}"/>
    <cellStyle name="Normal 4 5 7 2 2 4 2" xfId="39697" xr:uid="{00000000-0005-0000-0000-0000BE570000}"/>
    <cellStyle name="Normal 4 5 7 2 2 5" xfId="27409" xr:uid="{00000000-0005-0000-0000-0000BF570000}"/>
    <cellStyle name="Normal 4 5 7 2 3" xfId="4369" xr:uid="{00000000-0005-0000-0000-0000C0570000}"/>
    <cellStyle name="Normal 4 5 7 2 3 2" xfId="10513" xr:uid="{00000000-0005-0000-0000-0000C1570000}"/>
    <cellStyle name="Normal 4 5 7 2 3 2 2" xfId="22801" xr:uid="{00000000-0005-0000-0000-0000C2570000}"/>
    <cellStyle name="Normal 4 5 7 2 3 2 2 2" xfId="47377" xr:uid="{00000000-0005-0000-0000-0000C3570000}"/>
    <cellStyle name="Normal 4 5 7 2 3 2 3" xfId="35089" xr:uid="{00000000-0005-0000-0000-0000C4570000}"/>
    <cellStyle name="Normal 4 5 7 2 3 3" xfId="16657" xr:uid="{00000000-0005-0000-0000-0000C5570000}"/>
    <cellStyle name="Normal 4 5 7 2 3 3 2" xfId="41233" xr:uid="{00000000-0005-0000-0000-0000C6570000}"/>
    <cellStyle name="Normal 4 5 7 2 3 4" xfId="28945" xr:uid="{00000000-0005-0000-0000-0000C7570000}"/>
    <cellStyle name="Normal 4 5 7 2 4" xfId="7441" xr:uid="{00000000-0005-0000-0000-0000C8570000}"/>
    <cellStyle name="Normal 4 5 7 2 4 2" xfId="19729" xr:uid="{00000000-0005-0000-0000-0000C9570000}"/>
    <cellStyle name="Normal 4 5 7 2 4 2 2" xfId="44305" xr:uid="{00000000-0005-0000-0000-0000CA570000}"/>
    <cellStyle name="Normal 4 5 7 2 4 3" xfId="32017" xr:uid="{00000000-0005-0000-0000-0000CB570000}"/>
    <cellStyle name="Normal 4 5 7 2 5" xfId="13585" xr:uid="{00000000-0005-0000-0000-0000CC570000}"/>
    <cellStyle name="Normal 4 5 7 2 5 2" xfId="38161" xr:uid="{00000000-0005-0000-0000-0000CD570000}"/>
    <cellStyle name="Normal 4 5 7 2 6" xfId="25873" xr:uid="{00000000-0005-0000-0000-0000CE570000}"/>
    <cellStyle name="Normal 4 5 7 3" xfId="2061" xr:uid="{00000000-0005-0000-0000-0000CF570000}"/>
    <cellStyle name="Normal 4 5 7 3 2" xfId="5137" xr:uid="{00000000-0005-0000-0000-0000D0570000}"/>
    <cellStyle name="Normal 4 5 7 3 2 2" xfId="11281" xr:uid="{00000000-0005-0000-0000-0000D1570000}"/>
    <cellStyle name="Normal 4 5 7 3 2 2 2" xfId="23569" xr:uid="{00000000-0005-0000-0000-0000D2570000}"/>
    <cellStyle name="Normal 4 5 7 3 2 2 2 2" xfId="48145" xr:uid="{00000000-0005-0000-0000-0000D3570000}"/>
    <cellStyle name="Normal 4 5 7 3 2 2 3" xfId="35857" xr:uid="{00000000-0005-0000-0000-0000D4570000}"/>
    <cellStyle name="Normal 4 5 7 3 2 3" xfId="17425" xr:uid="{00000000-0005-0000-0000-0000D5570000}"/>
    <cellStyle name="Normal 4 5 7 3 2 3 2" xfId="42001" xr:uid="{00000000-0005-0000-0000-0000D6570000}"/>
    <cellStyle name="Normal 4 5 7 3 2 4" xfId="29713" xr:uid="{00000000-0005-0000-0000-0000D7570000}"/>
    <cellStyle name="Normal 4 5 7 3 3" xfId="8209" xr:uid="{00000000-0005-0000-0000-0000D8570000}"/>
    <cellStyle name="Normal 4 5 7 3 3 2" xfId="20497" xr:uid="{00000000-0005-0000-0000-0000D9570000}"/>
    <cellStyle name="Normal 4 5 7 3 3 2 2" xfId="45073" xr:uid="{00000000-0005-0000-0000-0000DA570000}"/>
    <cellStyle name="Normal 4 5 7 3 3 3" xfId="32785" xr:uid="{00000000-0005-0000-0000-0000DB570000}"/>
    <cellStyle name="Normal 4 5 7 3 4" xfId="14353" xr:uid="{00000000-0005-0000-0000-0000DC570000}"/>
    <cellStyle name="Normal 4 5 7 3 4 2" xfId="38929" xr:uid="{00000000-0005-0000-0000-0000DD570000}"/>
    <cellStyle name="Normal 4 5 7 3 5" xfId="26641" xr:uid="{00000000-0005-0000-0000-0000DE570000}"/>
    <cellStyle name="Normal 4 5 7 4" xfId="3601" xr:uid="{00000000-0005-0000-0000-0000DF570000}"/>
    <cellStyle name="Normal 4 5 7 4 2" xfId="9745" xr:uid="{00000000-0005-0000-0000-0000E0570000}"/>
    <cellStyle name="Normal 4 5 7 4 2 2" xfId="22033" xr:uid="{00000000-0005-0000-0000-0000E1570000}"/>
    <cellStyle name="Normal 4 5 7 4 2 2 2" xfId="46609" xr:uid="{00000000-0005-0000-0000-0000E2570000}"/>
    <cellStyle name="Normal 4 5 7 4 2 3" xfId="34321" xr:uid="{00000000-0005-0000-0000-0000E3570000}"/>
    <cellStyle name="Normal 4 5 7 4 3" xfId="15889" xr:uid="{00000000-0005-0000-0000-0000E4570000}"/>
    <cellStyle name="Normal 4 5 7 4 3 2" xfId="40465" xr:uid="{00000000-0005-0000-0000-0000E5570000}"/>
    <cellStyle name="Normal 4 5 7 4 4" xfId="28177" xr:uid="{00000000-0005-0000-0000-0000E6570000}"/>
    <cellStyle name="Normal 4 5 7 5" xfId="6673" xr:uid="{00000000-0005-0000-0000-0000E7570000}"/>
    <cellStyle name="Normal 4 5 7 5 2" xfId="18961" xr:uid="{00000000-0005-0000-0000-0000E8570000}"/>
    <cellStyle name="Normal 4 5 7 5 2 2" xfId="43537" xr:uid="{00000000-0005-0000-0000-0000E9570000}"/>
    <cellStyle name="Normal 4 5 7 5 3" xfId="31249" xr:uid="{00000000-0005-0000-0000-0000EA570000}"/>
    <cellStyle name="Normal 4 5 7 6" xfId="12817" xr:uid="{00000000-0005-0000-0000-0000EB570000}"/>
    <cellStyle name="Normal 4 5 7 6 2" xfId="37393" xr:uid="{00000000-0005-0000-0000-0000EC570000}"/>
    <cellStyle name="Normal 4 5 7 7" xfId="25105" xr:uid="{00000000-0005-0000-0000-0000ED570000}"/>
    <cellStyle name="Normal 4 5 8" xfId="909" xr:uid="{00000000-0005-0000-0000-0000EE570000}"/>
    <cellStyle name="Normal 4 5 8 2" xfId="2445" xr:uid="{00000000-0005-0000-0000-0000EF570000}"/>
    <cellStyle name="Normal 4 5 8 2 2" xfId="5521" xr:uid="{00000000-0005-0000-0000-0000F0570000}"/>
    <cellStyle name="Normal 4 5 8 2 2 2" xfId="11665" xr:uid="{00000000-0005-0000-0000-0000F1570000}"/>
    <cellStyle name="Normal 4 5 8 2 2 2 2" xfId="23953" xr:uid="{00000000-0005-0000-0000-0000F2570000}"/>
    <cellStyle name="Normal 4 5 8 2 2 2 2 2" xfId="48529" xr:uid="{00000000-0005-0000-0000-0000F3570000}"/>
    <cellStyle name="Normal 4 5 8 2 2 2 3" xfId="36241" xr:uid="{00000000-0005-0000-0000-0000F4570000}"/>
    <cellStyle name="Normal 4 5 8 2 2 3" xfId="17809" xr:uid="{00000000-0005-0000-0000-0000F5570000}"/>
    <cellStyle name="Normal 4 5 8 2 2 3 2" xfId="42385" xr:uid="{00000000-0005-0000-0000-0000F6570000}"/>
    <cellStyle name="Normal 4 5 8 2 2 4" xfId="30097" xr:uid="{00000000-0005-0000-0000-0000F7570000}"/>
    <cellStyle name="Normal 4 5 8 2 3" xfId="8593" xr:uid="{00000000-0005-0000-0000-0000F8570000}"/>
    <cellStyle name="Normal 4 5 8 2 3 2" xfId="20881" xr:uid="{00000000-0005-0000-0000-0000F9570000}"/>
    <cellStyle name="Normal 4 5 8 2 3 2 2" xfId="45457" xr:uid="{00000000-0005-0000-0000-0000FA570000}"/>
    <cellStyle name="Normal 4 5 8 2 3 3" xfId="33169" xr:uid="{00000000-0005-0000-0000-0000FB570000}"/>
    <cellStyle name="Normal 4 5 8 2 4" xfId="14737" xr:uid="{00000000-0005-0000-0000-0000FC570000}"/>
    <cellStyle name="Normal 4 5 8 2 4 2" xfId="39313" xr:uid="{00000000-0005-0000-0000-0000FD570000}"/>
    <cellStyle name="Normal 4 5 8 2 5" xfId="27025" xr:uid="{00000000-0005-0000-0000-0000FE570000}"/>
    <cellStyle name="Normal 4 5 8 3" xfId="3985" xr:uid="{00000000-0005-0000-0000-0000FF570000}"/>
    <cellStyle name="Normal 4 5 8 3 2" xfId="10129" xr:uid="{00000000-0005-0000-0000-000000580000}"/>
    <cellStyle name="Normal 4 5 8 3 2 2" xfId="22417" xr:uid="{00000000-0005-0000-0000-000001580000}"/>
    <cellStyle name="Normal 4 5 8 3 2 2 2" xfId="46993" xr:uid="{00000000-0005-0000-0000-000002580000}"/>
    <cellStyle name="Normal 4 5 8 3 2 3" xfId="34705" xr:uid="{00000000-0005-0000-0000-000003580000}"/>
    <cellStyle name="Normal 4 5 8 3 3" xfId="16273" xr:uid="{00000000-0005-0000-0000-000004580000}"/>
    <cellStyle name="Normal 4 5 8 3 3 2" xfId="40849" xr:uid="{00000000-0005-0000-0000-000005580000}"/>
    <cellStyle name="Normal 4 5 8 3 4" xfId="28561" xr:uid="{00000000-0005-0000-0000-000006580000}"/>
    <cellStyle name="Normal 4 5 8 4" xfId="7057" xr:uid="{00000000-0005-0000-0000-000007580000}"/>
    <cellStyle name="Normal 4 5 8 4 2" xfId="19345" xr:uid="{00000000-0005-0000-0000-000008580000}"/>
    <cellStyle name="Normal 4 5 8 4 2 2" xfId="43921" xr:uid="{00000000-0005-0000-0000-000009580000}"/>
    <cellStyle name="Normal 4 5 8 4 3" xfId="31633" xr:uid="{00000000-0005-0000-0000-00000A580000}"/>
    <cellStyle name="Normal 4 5 8 5" xfId="13201" xr:uid="{00000000-0005-0000-0000-00000B580000}"/>
    <cellStyle name="Normal 4 5 8 5 2" xfId="37777" xr:uid="{00000000-0005-0000-0000-00000C580000}"/>
    <cellStyle name="Normal 4 5 8 6" xfId="25489" xr:uid="{00000000-0005-0000-0000-00000D580000}"/>
    <cellStyle name="Normal 4 5 9" xfId="1677" xr:uid="{00000000-0005-0000-0000-00000E580000}"/>
    <cellStyle name="Normal 4 5 9 2" xfId="4753" xr:uid="{00000000-0005-0000-0000-00000F580000}"/>
    <cellStyle name="Normal 4 5 9 2 2" xfId="10897" xr:uid="{00000000-0005-0000-0000-000010580000}"/>
    <cellStyle name="Normal 4 5 9 2 2 2" xfId="23185" xr:uid="{00000000-0005-0000-0000-000011580000}"/>
    <cellStyle name="Normal 4 5 9 2 2 2 2" xfId="47761" xr:uid="{00000000-0005-0000-0000-000012580000}"/>
    <cellStyle name="Normal 4 5 9 2 2 3" xfId="35473" xr:uid="{00000000-0005-0000-0000-000013580000}"/>
    <cellStyle name="Normal 4 5 9 2 3" xfId="17041" xr:uid="{00000000-0005-0000-0000-000014580000}"/>
    <cellStyle name="Normal 4 5 9 2 3 2" xfId="41617" xr:uid="{00000000-0005-0000-0000-000015580000}"/>
    <cellStyle name="Normal 4 5 9 2 4" xfId="29329" xr:uid="{00000000-0005-0000-0000-000016580000}"/>
    <cellStyle name="Normal 4 5 9 3" xfId="7825" xr:uid="{00000000-0005-0000-0000-000017580000}"/>
    <cellStyle name="Normal 4 5 9 3 2" xfId="20113" xr:uid="{00000000-0005-0000-0000-000018580000}"/>
    <cellStyle name="Normal 4 5 9 3 2 2" xfId="44689" xr:uid="{00000000-0005-0000-0000-000019580000}"/>
    <cellStyle name="Normal 4 5 9 3 3" xfId="32401" xr:uid="{00000000-0005-0000-0000-00001A580000}"/>
    <cellStyle name="Normal 4 5 9 4" xfId="13969" xr:uid="{00000000-0005-0000-0000-00001B580000}"/>
    <cellStyle name="Normal 4 5 9 4 2" xfId="38545" xr:uid="{00000000-0005-0000-0000-00001C580000}"/>
    <cellStyle name="Normal 4 5 9 5" xfId="26257" xr:uid="{00000000-0005-0000-0000-00001D580000}"/>
    <cellStyle name="Normal 4 6" xfId="108" xr:uid="{00000000-0005-0000-0000-00001E580000}"/>
    <cellStyle name="Normal 4 6 10" xfId="6297" xr:uid="{00000000-0005-0000-0000-00001F580000}"/>
    <cellStyle name="Normal 4 6 10 2" xfId="18585" xr:uid="{00000000-0005-0000-0000-000020580000}"/>
    <cellStyle name="Normal 4 6 10 2 2" xfId="43161" xr:uid="{00000000-0005-0000-0000-000021580000}"/>
    <cellStyle name="Normal 4 6 10 3" xfId="30873" xr:uid="{00000000-0005-0000-0000-000022580000}"/>
    <cellStyle name="Normal 4 6 11" xfId="12441" xr:uid="{00000000-0005-0000-0000-000023580000}"/>
    <cellStyle name="Normal 4 6 11 2" xfId="37017" xr:uid="{00000000-0005-0000-0000-000024580000}"/>
    <cellStyle name="Normal 4 6 12" xfId="24729" xr:uid="{00000000-0005-0000-0000-000025580000}"/>
    <cellStyle name="Normal 4 6 2" xfId="180" xr:uid="{00000000-0005-0000-0000-000026580000}"/>
    <cellStyle name="Normal 4 6 2 10" xfId="12473" xr:uid="{00000000-0005-0000-0000-000027580000}"/>
    <cellStyle name="Normal 4 6 2 10 2" xfId="37049" xr:uid="{00000000-0005-0000-0000-000028580000}"/>
    <cellStyle name="Normal 4 6 2 11" xfId="24761" xr:uid="{00000000-0005-0000-0000-000029580000}"/>
    <cellStyle name="Normal 4 6 2 2" xfId="245" xr:uid="{00000000-0005-0000-0000-00002A580000}"/>
    <cellStyle name="Normal 4 6 2 2 2" xfId="437" xr:uid="{00000000-0005-0000-0000-00002B580000}"/>
    <cellStyle name="Normal 4 6 2 2 2 2" xfId="821" xr:uid="{00000000-0005-0000-0000-00002C580000}"/>
    <cellStyle name="Normal 4 6 2 2 2 2 2" xfId="1589" xr:uid="{00000000-0005-0000-0000-00002D580000}"/>
    <cellStyle name="Normal 4 6 2 2 2 2 2 2" xfId="3125" xr:uid="{00000000-0005-0000-0000-00002E580000}"/>
    <cellStyle name="Normal 4 6 2 2 2 2 2 2 2" xfId="6201" xr:uid="{00000000-0005-0000-0000-00002F580000}"/>
    <cellStyle name="Normal 4 6 2 2 2 2 2 2 2 2" xfId="12345" xr:uid="{00000000-0005-0000-0000-000030580000}"/>
    <cellStyle name="Normal 4 6 2 2 2 2 2 2 2 2 2" xfId="24633" xr:uid="{00000000-0005-0000-0000-000031580000}"/>
    <cellStyle name="Normal 4 6 2 2 2 2 2 2 2 2 2 2" xfId="49209" xr:uid="{00000000-0005-0000-0000-000032580000}"/>
    <cellStyle name="Normal 4 6 2 2 2 2 2 2 2 2 3" xfId="36921" xr:uid="{00000000-0005-0000-0000-000033580000}"/>
    <cellStyle name="Normal 4 6 2 2 2 2 2 2 2 3" xfId="18489" xr:uid="{00000000-0005-0000-0000-000034580000}"/>
    <cellStyle name="Normal 4 6 2 2 2 2 2 2 2 3 2" xfId="43065" xr:uid="{00000000-0005-0000-0000-000035580000}"/>
    <cellStyle name="Normal 4 6 2 2 2 2 2 2 2 4" xfId="30777" xr:uid="{00000000-0005-0000-0000-000036580000}"/>
    <cellStyle name="Normal 4 6 2 2 2 2 2 2 3" xfId="9273" xr:uid="{00000000-0005-0000-0000-000037580000}"/>
    <cellStyle name="Normal 4 6 2 2 2 2 2 2 3 2" xfId="21561" xr:uid="{00000000-0005-0000-0000-000038580000}"/>
    <cellStyle name="Normal 4 6 2 2 2 2 2 2 3 2 2" xfId="46137" xr:uid="{00000000-0005-0000-0000-000039580000}"/>
    <cellStyle name="Normal 4 6 2 2 2 2 2 2 3 3" xfId="33849" xr:uid="{00000000-0005-0000-0000-00003A580000}"/>
    <cellStyle name="Normal 4 6 2 2 2 2 2 2 4" xfId="15417" xr:uid="{00000000-0005-0000-0000-00003B580000}"/>
    <cellStyle name="Normal 4 6 2 2 2 2 2 2 4 2" xfId="39993" xr:uid="{00000000-0005-0000-0000-00003C580000}"/>
    <cellStyle name="Normal 4 6 2 2 2 2 2 2 5" xfId="27705" xr:uid="{00000000-0005-0000-0000-00003D580000}"/>
    <cellStyle name="Normal 4 6 2 2 2 2 2 3" xfId="4665" xr:uid="{00000000-0005-0000-0000-00003E580000}"/>
    <cellStyle name="Normal 4 6 2 2 2 2 2 3 2" xfId="10809" xr:uid="{00000000-0005-0000-0000-00003F580000}"/>
    <cellStyle name="Normal 4 6 2 2 2 2 2 3 2 2" xfId="23097" xr:uid="{00000000-0005-0000-0000-000040580000}"/>
    <cellStyle name="Normal 4 6 2 2 2 2 2 3 2 2 2" xfId="47673" xr:uid="{00000000-0005-0000-0000-000041580000}"/>
    <cellStyle name="Normal 4 6 2 2 2 2 2 3 2 3" xfId="35385" xr:uid="{00000000-0005-0000-0000-000042580000}"/>
    <cellStyle name="Normal 4 6 2 2 2 2 2 3 3" xfId="16953" xr:uid="{00000000-0005-0000-0000-000043580000}"/>
    <cellStyle name="Normal 4 6 2 2 2 2 2 3 3 2" xfId="41529" xr:uid="{00000000-0005-0000-0000-000044580000}"/>
    <cellStyle name="Normal 4 6 2 2 2 2 2 3 4" xfId="29241" xr:uid="{00000000-0005-0000-0000-000045580000}"/>
    <cellStyle name="Normal 4 6 2 2 2 2 2 4" xfId="7737" xr:uid="{00000000-0005-0000-0000-000046580000}"/>
    <cellStyle name="Normal 4 6 2 2 2 2 2 4 2" xfId="20025" xr:uid="{00000000-0005-0000-0000-000047580000}"/>
    <cellStyle name="Normal 4 6 2 2 2 2 2 4 2 2" xfId="44601" xr:uid="{00000000-0005-0000-0000-000048580000}"/>
    <cellStyle name="Normal 4 6 2 2 2 2 2 4 3" xfId="32313" xr:uid="{00000000-0005-0000-0000-000049580000}"/>
    <cellStyle name="Normal 4 6 2 2 2 2 2 5" xfId="13881" xr:uid="{00000000-0005-0000-0000-00004A580000}"/>
    <cellStyle name="Normal 4 6 2 2 2 2 2 5 2" xfId="38457" xr:uid="{00000000-0005-0000-0000-00004B580000}"/>
    <cellStyle name="Normal 4 6 2 2 2 2 2 6" xfId="26169" xr:uid="{00000000-0005-0000-0000-00004C580000}"/>
    <cellStyle name="Normal 4 6 2 2 2 2 3" xfId="2357" xr:uid="{00000000-0005-0000-0000-00004D580000}"/>
    <cellStyle name="Normal 4 6 2 2 2 2 3 2" xfId="5433" xr:uid="{00000000-0005-0000-0000-00004E580000}"/>
    <cellStyle name="Normal 4 6 2 2 2 2 3 2 2" xfId="11577" xr:uid="{00000000-0005-0000-0000-00004F580000}"/>
    <cellStyle name="Normal 4 6 2 2 2 2 3 2 2 2" xfId="23865" xr:uid="{00000000-0005-0000-0000-000050580000}"/>
    <cellStyle name="Normal 4 6 2 2 2 2 3 2 2 2 2" xfId="48441" xr:uid="{00000000-0005-0000-0000-000051580000}"/>
    <cellStyle name="Normal 4 6 2 2 2 2 3 2 2 3" xfId="36153" xr:uid="{00000000-0005-0000-0000-000052580000}"/>
    <cellStyle name="Normal 4 6 2 2 2 2 3 2 3" xfId="17721" xr:uid="{00000000-0005-0000-0000-000053580000}"/>
    <cellStyle name="Normal 4 6 2 2 2 2 3 2 3 2" xfId="42297" xr:uid="{00000000-0005-0000-0000-000054580000}"/>
    <cellStyle name="Normal 4 6 2 2 2 2 3 2 4" xfId="30009" xr:uid="{00000000-0005-0000-0000-000055580000}"/>
    <cellStyle name="Normal 4 6 2 2 2 2 3 3" xfId="8505" xr:uid="{00000000-0005-0000-0000-000056580000}"/>
    <cellStyle name="Normal 4 6 2 2 2 2 3 3 2" xfId="20793" xr:uid="{00000000-0005-0000-0000-000057580000}"/>
    <cellStyle name="Normal 4 6 2 2 2 2 3 3 2 2" xfId="45369" xr:uid="{00000000-0005-0000-0000-000058580000}"/>
    <cellStyle name="Normal 4 6 2 2 2 2 3 3 3" xfId="33081" xr:uid="{00000000-0005-0000-0000-000059580000}"/>
    <cellStyle name="Normal 4 6 2 2 2 2 3 4" xfId="14649" xr:uid="{00000000-0005-0000-0000-00005A580000}"/>
    <cellStyle name="Normal 4 6 2 2 2 2 3 4 2" xfId="39225" xr:uid="{00000000-0005-0000-0000-00005B580000}"/>
    <cellStyle name="Normal 4 6 2 2 2 2 3 5" xfId="26937" xr:uid="{00000000-0005-0000-0000-00005C580000}"/>
    <cellStyle name="Normal 4 6 2 2 2 2 4" xfId="3897" xr:uid="{00000000-0005-0000-0000-00005D580000}"/>
    <cellStyle name="Normal 4 6 2 2 2 2 4 2" xfId="10041" xr:uid="{00000000-0005-0000-0000-00005E580000}"/>
    <cellStyle name="Normal 4 6 2 2 2 2 4 2 2" xfId="22329" xr:uid="{00000000-0005-0000-0000-00005F580000}"/>
    <cellStyle name="Normal 4 6 2 2 2 2 4 2 2 2" xfId="46905" xr:uid="{00000000-0005-0000-0000-000060580000}"/>
    <cellStyle name="Normal 4 6 2 2 2 2 4 2 3" xfId="34617" xr:uid="{00000000-0005-0000-0000-000061580000}"/>
    <cellStyle name="Normal 4 6 2 2 2 2 4 3" xfId="16185" xr:uid="{00000000-0005-0000-0000-000062580000}"/>
    <cellStyle name="Normal 4 6 2 2 2 2 4 3 2" xfId="40761" xr:uid="{00000000-0005-0000-0000-000063580000}"/>
    <cellStyle name="Normal 4 6 2 2 2 2 4 4" xfId="28473" xr:uid="{00000000-0005-0000-0000-000064580000}"/>
    <cellStyle name="Normal 4 6 2 2 2 2 5" xfId="6969" xr:uid="{00000000-0005-0000-0000-000065580000}"/>
    <cellStyle name="Normal 4 6 2 2 2 2 5 2" xfId="19257" xr:uid="{00000000-0005-0000-0000-000066580000}"/>
    <cellStyle name="Normal 4 6 2 2 2 2 5 2 2" xfId="43833" xr:uid="{00000000-0005-0000-0000-000067580000}"/>
    <cellStyle name="Normal 4 6 2 2 2 2 5 3" xfId="31545" xr:uid="{00000000-0005-0000-0000-000068580000}"/>
    <cellStyle name="Normal 4 6 2 2 2 2 6" xfId="13113" xr:uid="{00000000-0005-0000-0000-000069580000}"/>
    <cellStyle name="Normal 4 6 2 2 2 2 6 2" xfId="37689" xr:uid="{00000000-0005-0000-0000-00006A580000}"/>
    <cellStyle name="Normal 4 6 2 2 2 2 7" xfId="25401" xr:uid="{00000000-0005-0000-0000-00006B580000}"/>
    <cellStyle name="Normal 4 6 2 2 2 3" xfId="1205" xr:uid="{00000000-0005-0000-0000-00006C580000}"/>
    <cellStyle name="Normal 4 6 2 2 2 3 2" xfId="2741" xr:uid="{00000000-0005-0000-0000-00006D580000}"/>
    <cellStyle name="Normal 4 6 2 2 2 3 2 2" xfId="5817" xr:uid="{00000000-0005-0000-0000-00006E580000}"/>
    <cellStyle name="Normal 4 6 2 2 2 3 2 2 2" xfId="11961" xr:uid="{00000000-0005-0000-0000-00006F580000}"/>
    <cellStyle name="Normal 4 6 2 2 2 3 2 2 2 2" xfId="24249" xr:uid="{00000000-0005-0000-0000-000070580000}"/>
    <cellStyle name="Normal 4 6 2 2 2 3 2 2 2 2 2" xfId="48825" xr:uid="{00000000-0005-0000-0000-000071580000}"/>
    <cellStyle name="Normal 4 6 2 2 2 3 2 2 2 3" xfId="36537" xr:uid="{00000000-0005-0000-0000-000072580000}"/>
    <cellStyle name="Normal 4 6 2 2 2 3 2 2 3" xfId="18105" xr:uid="{00000000-0005-0000-0000-000073580000}"/>
    <cellStyle name="Normal 4 6 2 2 2 3 2 2 3 2" xfId="42681" xr:uid="{00000000-0005-0000-0000-000074580000}"/>
    <cellStyle name="Normal 4 6 2 2 2 3 2 2 4" xfId="30393" xr:uid="{00000000-0005-0000-0000-000075580000}"/>
    <cellStyle name="Normal 4 6 2 2 2 3 2 3" xfId="8889" xr:uid="{00000000-0005-0000-0000-000076580000}"/>
    <cellStyle name="Normal 4 6 2 2 2 3 2 3 2" xfId="21177" xr:uid="{00000000-0005-0000-0000-000077580000}"/>
    <cellStyle name="Normal 4 6 2 2 2 3 2 3 2 2" xfId="45753" xr:uid="{00000000-0005-0000-0000-000078580000}"/>
    <cellStyle name="Normal 4 6 2 2 2 3 2 3 3" xfId="33465" xr:uid="{00000000-0005-0000-0000-000079580000}"/>
    <cellStyle name="Normal 4 6 2 2 2 3 2 4" xfId="15033" xr:uid="{00000000-0005-0000-0000-00007A580000}"/>
    <cellStyle name="Normal 4 6 2 2 2 3 2 4 2" xfId="39609" xr:uid="{00000000-0005-0000-0000-00007B580000}"/>
    <cellStyle name="Normal 4 6 2 2 2 3 2 5" xfId="27321" xr:uid="{00000000-0005-0000-0000-00007C580000}"/>
    <cellStyle name="Normal 4 6 2 2 2 3 3" xfId="4281" xr:uid="{00000000-0005-0000-0000-00007D580000}"/>
    <cellStyle name="Normal 4 6 2 2 2 3 3 2" xfId="10425" xr:uid="{00000000-0005-0000-0000-00007E580000}"/>
    <cellStyle name="Normal 4 6 2 2 2 3 3 2 2" xfId="22713" xr:uid="{00000000-0005-0000-0000-00007F580000}"/>
    <cellStyle name="Normal 4 6 2 2 2 3 3 2 2 2" xfId="47289" xr:uid="{00000000-0005-0000-0000-000080580000}"/>
    <cellStyle name="Normal 4 6 2 2 2 3 3 2 3" xfId="35001" xr:uid="{00000000-0005-0000-0000-000081580000}"/>
    <cellStyle name="Normal 4 6 2 2 2 3 3 3" xfId="16569" xr:uid="{00000000-0005-0000-0000-000082580000}"/>
    <cellStyle name="Normal 4 6 2 2 2 3 3 3 2" xfId="41145" xr:uid="{00000000-0005-0000-0000-000083580000}"/>
    <cellStyle name="Normal 4 6 2 2 2 3 3 4" xfId="28857" xr:uid="{00000000-0005-0000-0000-000084580000}"/>
    <cellStyle name="Normal 4 6 2 2 2 3 4" xfId="7353" xr:uid="{00000000-0005-0000-0000-000085580000}"/>
    <cellStyle name="Normal 4 6 2 2 2 3 4 2" xfId="19641" xr:uid="{00000000-0005-0000-0000-000086580000}"/>
    <cellStyle name="Normal 4 6 2 2 2 3 4 2 2" xfId="44217" xr:uid="{00000000-0005-0000-0000-000087580000}"/>
    <cellStyle name="Normal 4 6 2 2 2 3 4 3" xfId="31929" xr:uid="{00000000-0005-0000-0000-000088580000}"/>
    <cellStyle name="Normal 4 6 2 2 2 3 5" xfId="13497" xr:uid="{00000000-0005-0000-0000-000089580000}"/>
    <cellStyle name="Normal 4 6 2 2 2 3 5 2" xfId="38073" xr:uid="{00000000-0005-0000-0000-00008A580000}"/>
    <cellStyle name="Normal 4 6 2 2 2 3 6" xfId="25785" xr:uid="{00000000-0005-0000-0000-00008B580000}"/>
    <cellStyle name="Normal 4 6 2 2 2 4" xfId="1973" xr:uid="{00000000-0005-0000-0000-00008C580000}"/>
    <cellStyle name="Normal 4 6 2 2 2 4 2" xfId="5049" xr:uid="{00000000-0005-0000-0000-00008D580000}"/>
    <cellStyle name="Normal 4 6 2 2 2 4 2 2" xfId="11193" xr:uid="{00000000-0005-0000-0000-00008E580000}"/>
    <cellStyle name="Normal 4 6 2 2 2 4 2 2 2" xfId="23481" xr:uid="{00000000-0005-0000-0000-00008F580000}"/>
    <cellStyle name="Normal 4 6 2 2 2 4 2 2 2 2" xfId="48057" xr:uid="{00000000-0005-0000-0000-000090580000}"/>
    <cellStyle name="Normal 4 6 2 2 2 4 2 2 3" xfId="35769" xr:uid="{00000000-0005-0000-0000-000091580000}"/>
    <cellStyle name="Normal 4 6 2 2 2 4 2 3" xfId="17337" xr:uid="{00000000-0005-0000-0000-000092580000}"/>
    <cellStyle name="Normal 4 6 2 2 2 4 2 3 2" xfId="41913" xr:uid="{00000000-0005-0000-0000-000093580000}"/>
    <cellStyle name="Normal 4 6 2 2 2 4 2 4" xfId="29625" xr:uid="{00000000-0005-0000-0000-000094580000}"/>
    <cellStyle name="Normal 4 6 2 2 2 4 3" xfId="8121" xr:uid="{00000000-0005-0000-0000-000095580000}"/>
    <cellStyle name="Normal 4 6 2 2 2 4 3 2" xfId="20409" xr:uid="{00000000-0005-0000-0000-000096580000}"/>
    <cellStyle name="Normal 4 6 2 2 2 4 3 2 2" xfId="44985" xr:uid="{00000000-0005-0000-0000-000097580000}"/>
    <cellStyle name="Normal 4 6 2 2 2 4 3 3" xfId="32697" xr:uid="{00000000-0005-0000-0000-000098580000}"/>
    <cellStyle name="Normal 4 6 2 2 2 4 4" xfId="14265" xr:uid="{00000000-0005-0000-0000-000099580000}"/>
    <cellStyle name="Normal 4 6 2 2 2 4 4 2" xfId="38841" xr:uid="{00000000-0005-0000-0000-00009A580000}"/>
    <cellStyle name="Normal 4 6 2 2 2 4 5" xfId="26553" xr:uid="{00000000-0005-0000-0000-00009B580000}"/>
    <cellStyle name="Normal 4 6 2 2 2 5" xfId="3513" xr:uid="{00000000-0005-0000-0000-00009C580000}"/>
    <cellStyle name="Normal 4 6 2 2 2 5 2" xfId="9657" xr:uid="{00000000-0005-0000-0000-00009D580000}"/>
    <cellStyle name="Normal 4 6 2 2 2 5 2 2" xfId="21945" xr:uid="{00000000-0005-0000-0000-00009E580000}"/>
    <cellStyle name="Normal 4 6 2 2 2 5 2 2 2" xfId="46521" xr:uid="{00000000-0005-0000-0000-00009F580000}"/>
    <cellStyle name="Normal 4 6 2 2 2 5 2 3" xfId="34233" xr:uid="{00000000-0005-0000-0000-0000A0580000}"/>
    <cellStyle name="Normal 4 6 2 2 2 5 3" xfId="15801" xr:uid="{00000000-0005-0000-0000-0000A1580000}"/>
    <cellStyle name="Normal 4 6 2 2 2 5 3 2" xfId="40377" xr:uid="{00000000-0005-0000-0000-0000A2580000}"/>
    <cellStyle name="Normal 4 6 2 2 2 5 4" xfId="28089" xr:uid="{00000000-0005-0000-0000-0000A3580000}"/>
    <cellStyle name="Normal 4 6 2 2 2 6" xfId="6585" xr:uid="{00000000-0005-0000-0000-0000A4580000}"/>
    <cellStyle name="Normal 4 6 2 2 2 6 2" xfId="18873" xr:uid="{00000000-0005-0000-0000-0000A5580000}"/>
    <cellStyle name="Normal 4 6 2 2 2 6 2 2" xfId="43449" xr:uid="{00000000-0005-0000-0000-0000A6580000}"/>
    <cellStyle name="Normal 4 6 2 2 2 6 3" xfId="31161" xr:uid="{00000000-0005-0000-0000-0000A7580000}"/>
    <cellStyle name="Normal 4 6 2 2 2 7" xfId="12729" xr:uid="{00000000-0005-0000-0000-0000A8580000}"/>
    <cellStyle name="Normal 4 6 2 2 2 7 2" xfId="37305" xr:uid="{00000000-0005-0000-0000-0000A9580000}"/>
    <cellStyle name="Normal 4 6 2 2 2 8" xfId="25017" xr:uid="{00000000-0005-0000-0000-0000AA580000}"/>
    <cellStyle name="Normal 4 6 2 2 3" xfId="629" xr:uid="{00000000-0005-0000-0000-0000AB580000}"/>
    <cellStyle name="Normal 4 6 2 2 3 2" xfId="1397" xr:uid="{00000000-0005-0000-0000-0000AC580000}"/>
    <cellStyle name="Normal 4 6 2 2 3 2 2" xfId="2933" xr:uid="{00000000-0005-0000-0000-0000AD580000}"/>
    <cellStyle name="Normal 4 6 2 2 3 2 2 2" xfId="6009" xr:uid="{00000000-0005-0000-0000-0000AE580000}"/>
    <cellStyle name="Normal 4 6 2 2 3 2 2 2 2" xfId="12153" xr:uid="{00000000-0005-0000-0000-0000AF580000}"/>
    <cellStyle name="Normal 4 6 2 2 3 2 2 2 2 2" xfId="24441" xr:uid="{00000000-0005-0000-0000-0000B0580000}"/>
    <cellStyle name="Normal 4 6 2 2 3 2 2 2 2 2 2" xfId="49017" xr:uid="{00000000-0005-0000-0000-0000B1580000}"/>
    <cellStyle name="Normal 4 6 2 2 3 2 2 2 2 3" xfId="36729" xr:uid="{00000000-0005-0000-0000-0000B2580000}"/>
    <cellStyle name="Normal 4 6 2 2 3 2 2 2 3" xfId="18297" xr:uid="{00000000-0005-0000-0000-0000B3580000}"/>
    <cellStyle name="Normal 4 6 2 2 3 2 2 2 3 2" xfId="42873" xr:uid="{00000000-0005-0000-0000-0000B4580000}"/>
    <cellStyle name="Normal 4 6 2 2 3 2 2 2 4" xfId="30585" xr:uid="{00000000-0005-0000-0000-0000B5580000}"/>
    <cellStyle name="Normal 4 6 2 2 3 2 2 3" xfId="9081" xr:uid="{00000000-0005-0000-0000-0000B6580000}"/>
    <cellStyle name="Normal 4 6 2 2 3 2 2 3 2" xfId="21369" xr:uid="{00000000-0005-0000-0000-0000B7580000}"/>
    <cellStyle name="Normal 4 6 2 2 3 2 2 3 2 2" xfId="45945" xr:uid="{00000000-0005-0000-0000-0000B8580000}"/>
    <cellStyle name="Normal 4 6 2 2 3 2 2 3 3" xfId="33657" xr:uid="{00000000-0005-0000-0000-0000B9580000}"/>
    <cellStyle name="Normal 4 6 2 2 3 2 2 4" xfId="15225" xr:uid="{00000000-0005-0000-0000-0000BA580000}"/>
    <cellStyle name="Normal 4 6 2 2 3 2 2 4 2" xfId="39801" xr:uid="{00000000-0005-0000-0000-0000BB580000}"/>
    <cellStyle name="Normal 4 6 2 2 3 2 2 5" xfId="27513" xr:uid="{00000000-0005-0000-0000-0000BC580000}"/>
    <cellStyle name="Normal 4 6 2 2 3 2 3" xfId="4473" xr:uid="{00000000-0005-0000-0000-0000BD580000}"/>
    <cellStyle name="Normal 4 6 2 2 3 2 3 2" xfId="10617" xr:uid="{00000000-0005-0000-0000-0000BE580000}"/>
    <cellStyle name="Normal 4 6 2 2 3 2 3 2 2" xfId="22905" xr:uid="{00000000-0005-0000-0000-0000BF580000}"/>
    <cellStyle name="Normal 4 6 2 2 3 2 3 2 2 2" xfId="47481" xr:uid="{00000000-0005-0000-0000-0000C0580000}"/>
    <cellStyle name="Normal 4 6 2 2 3 2 3 2 3" xfId="35193" xr:uid="{00000000-0005-0000-0000-0000C1580000}"/>
    <cellStyle name="Normal 4 6 2 2 3 2 3 3" xfId="16761" xr:uid="{00000000-0005-0000-0000-0000C2580000}"/>
    <cellStyle name="Normal 4 6 2 2 3 2 3 3 2" xfId="41337" xr:uid="{00000000-0005-0000-0000-0000C3580000}"/>
    <cellStyle name="Normal 4 6 2 2 3 2 3 4" xfId="29049" xr:uid="{00000000-0005-0000-0000-0000C4580000}"/>
    <cellStyle name="Normal 4 6 2 2 3 2 4" xfId="7545" xr:uid="{00000000-0005-0000-0000-0000C5580000}"/>
    <cellStyle name="Normal 4 6 2 2 3 2 4 2" xfId="19833" xr:uid="{00000000-0005-0000-0000-0000C6580000}"/>
    <cellStyle name="Normal 4 6 2 2 3 2 4 2 2" xfId="44409" xr:uid="{00000000-0005-0000-0000-0000C7580000}"/>
    <cellStyle name="Normal 4 6 2 2 3 2 4 3" xfId="32121" xr:uid="{00000000-0005-0000-0000-0000C8580000}"/>
    <cellStyle name="Normal 4 6 2 2 3 2 5" xfId="13689" xr:uid="{00000000-0005-0000-0000-0000C9580000}"/>
    <cellStyle name="Normal 4 6 2 2 3 2 5 2" xfId="38265" xr:uid="{00000000-0005-0000-0000-0000CA580000}"/>
    <cellStyle name="Normal 4 6 2 2 3 2 6" xfId="25977" xr:uid="{00000000-0005-0000-0000-0000CB580000}"/>
    <cellStyle name="Normal 4 6 2 2 3 3" xfId="2165" xr:uid="{00000000-0005-0000-0000-0000CC580000}"/>
    <cellStyle name="Normal 4 6 2 2 3 3 2" xfId="5241" xr:uid="{00000000-0005-0000-0000-0000CD580000}"/>
    <cellStyle name="Normal 4 6 2 2 3 3 2 2" xfId="11385" xr:uid="{00000000-0005-0000-0000-0000CE580000}"/>
    <cellStyle name="Normal 4 6 2 2 3 3 2 2 2" xfId="23673" xr:uid="{00000000-0005-0000-0000-0000CF580000}"/>
    <cellStyle name="Normal 4 6 2 2 3 3 2 2 2 2" xfId="48249" xr:uid="{00000000-0005-0000-0000-0000D0580000}"/>
    <cellStyle name="Normal 4 6 2 2 3 3 2 2 3" xfId="35961" xr:uid="{00000000-0005-0000-0000-0000D1580000}"/>
    <cellStyle name="Normal 4 6 2 2 3 3 2 3" xfId="17529" xr:uid="{00000000-0005-0000-0000-0000D2580000}"/>
    <cellStyle name="Normal 4 6 2 2 3 3 2 3 2" xfId="42105" xr:uid="{00000000-0005-0000-0000-0000D3580000}"/>
    <cellStyle name="Normal 4 6 2 2 3 3 2 4" xfId="29817" xr:uid="{00000000-0005-0000-0000-0000D4580000}"/>
    <cellStyle name="Normal 4 6 2 2 3 3 3" xfId="8313" xr:uid="{00000000-0005-0000-0000-0000D5580000}"/>
    <cellStyle name="Normal 4 6 2 2 3 3 3 2" xfId="20601" xr:uid="{00000000-0005-0000-0000-0000D6580000}"/>
    <cellStyle name="Normal 4 6 2 2 3 3 3 2 2" xfId="45177" xr:uid="{00000000-0005-0000-0000-0000D7580000}"/>
    <cellStyle name="Normal 4 6 2 2 3 3 3 3" xfId="32889" xr:uid="{00000000-0005-0000-0000-0000D8580000}"/>
    <cellStyle name="Normal 4 6 2 2 3 3 4" xfId="14457" xr:uid="{00000000-0005-0000-0000-0000D9580000}"/>
    <cellStyle name="Normal 4 6 2 2 3 3 4 2" xfId="39033" xr:uid="{00000000-0005-0000-0000-0000DA580000}"/>
    <cellStyle name="Normal 4 6 2 2 3 3 5" xfId="26745" xr:uid="{00000000-0005-0000-0000-0000DB580000}"/>
    <cellStyle name="Normal 4 6 2 2 3 4" xfId="3705" xr:uid="{00000000-0005-0000-0000-0000DC580000}"/>
    <cellStyle name="Normal 4 6 2 2 3 4 2" xfId="9849" xr:uid="{00000000-0005-0000-0000-0000DD580000}"/>
    <cellStyle name="Normal 4 6 2 2 3 4 2 2" xfId="22137" xr:uid="{00000000-0005-0000-0000-0000DE580000}"/>
    <cellStyle name="Normal 4 6 2 2 3 4 2 2 2" xfId="46713" xr:uid="{00000000-0005-0000-0000-0000DF580000}"/>
    <cellStyle name="Normal 4 6 2 2 3 4 2 3" xfId="34425" xr:uid="{00000000-0005-0000-0000-0000E0580000}"/>
    <cellStyle name="Normal 4 6 2 2 3 4 3" xfId="15993" xr:uid="{00000000-0005-0000-0000-0000E1580000}"/>
    <cellStyle name="Normal 4 6 2 2 3 4 3 2" xfId="40569" xr:uid="{00000000-0005-0000-0000-0000E2580000}"/>
    <cellStyle name="Normal 4 6 2 2 3 4 4" xfId="28281" xr:uid="{00000000-0005-0000-0000-0000E3580000}"/>
    <cellStyle name="Normal 4 6 2 2 3 5" xfId="6777" xr:uid="{00000000-0005-0000-0000-0000E4580000}"/>
    <cellStyle name="Normal 4 6 2 2 3 5 2" xfId="19065" xr:uid="{00000000-0005-0000-0000-0000E5580000}"/>
    <cellStyle name="Normal 4 6 2 2 3 5 2 2" xfId="43641" xr:uid="{00000000-0005-0000-0000-0000E6580000}"/>
    <cellStyle name="Normal 4 6 2 2 3 5 3" xfId="31353" xr:uid="{00000000-0005-0000-0000-0000E7580000}"/>
    <cellStyle name="Normal 4 6 2 2 3 6" xfId="12921" xr:uid="{00000000-0005-0000-0000-0000E8580000}"/>
    <cellStyle name="Normal 4 6 2 2 3 6 2" xfId="37497" xr:uid="{00000000-0005-0000-0000-0000E9580000}"/>
    <cellStyle name="Normal 4 6 2 2 3 7" xfId="25209" xr:uid="{00000000-0005-0000-0000-0000EA580000}"/>
    <cellStyle name="Normal 4 6 2 2 4" xfId="1013" xr:uid="{00000000-0005-0000-0000-0000EB580000}"/>
    <cellStyle name="Normal 4 6 2 2 4 2" xfId="2549" xr:uid="{00000000-0005-0000-0000-0000EC580000}"/>
    <cellStyle name="Normal 4 6 2 2 4 2 2" xfId="5625" xr:uid="{00000000-0005-0000-0000-0000ED580000}"/>
    <cellStyle name="Normal 4 6 2 2 4 2 2 2" xfId="11769" xr:uid="{00000000-0005-0000-0000-0000EE580000}"/>
    <cellStyle name="Normal 4 6 2 2 4 2 2 2 2" xfId="24057" xr:uid="{00000000-0005-0000-0000-0000EF580000}"/>
    <cellStyle name="Normal 4 6 2 2 4 2 2 2 2 2" xfId="48633" xr:uid="{00000000-0005-0000-0000-0000F0580000}"/>
    <cellStyle name="Normal 4 6 2 2 4 2 2 2 3" xfId="36345" xr:uid="{00000000-0005-0000-0000-0000F1580000}"/>
    <cellStyle name="Normal 4 6 2 2 4 2 2 3" xfId="17913" xr:uid="{00000000-0005-0000-0000-0000F2580000}"/>
    <cellStyle name="Normal 4 6 2 2 4 2 2 3 2" xfId="42489" xr:uid="{00000000-0005-0000-0000-0000F3580000}"/>
    <cellStyle name="Normal 4 6 2 2 4 2 2 4" xfId="30201" xr:uid="{00000000-0005-0000-0000-0000F4580000}"/>
    <cellStyle name="Normal 4 6 2 2 4 2 3" xfId="8697" xr:uid="{00000000-0005-0000-0000-0000F5580000}"/>
    <cellStyle name="Normal 4 6 2 2 4 2 3 2" xfId="20985" xr:uid="{00000000-0005-0000-0000-0000F6580000}"/>
    <cellStyle name="Normal 4 6 2 2 4 2 3 2 2" xfId="45561" xr:uid="{00000000-0005-0000-0000-0000F7580000}"/>
    <cellStyle name="Normal 4 6 2 2 4 2 3 3" xfId="33273" xr:uid="{00000000-0005-0000-0000-0000F8580000}"/>
    <cellStyle name="Normal 4 6 2 2 4 2 4" xfId="14841" xr:uid="{00000000-0005-0000-0000-0000F9580000}"/>
    <cellStyle name="Normal 4 6 2 2 4 2 4 2" xfId="39417" xr:uid="{00000000-0005-0000-0000-0000FA580000}"/>
    <cellStyle name="Normal 4 6 2 2 4 2 5" xfId="27129" xr:uid="{00000000-0005-0000-0000-0000FB580000}"/>
    <cellStyle name="Normal 4 6 2 2 4 3" xfId="4089" xr:uid="{00000000-0005-0000-0000-0000FC580000}"/>
    <cellStyle name="Normal 4 6 2 2 4 3 2" xfId="10233" xr:uid="{00000000-0005-0000-0000-0000FD580000}"/>
    <cellStyle name="Normal 4 6 2 2 4 3 2 2" xfId="22521" xr:uid="{00000000-0005-0000-0000-0000FE580000}"/>
    <cellStyle name="Normal 4 6 2 2 4 3 2 2 2" xfId="47097" xr:uid="{00000000-0005-0000-0000-0000FF580000}"/>
    <cellStyle name="Normal 4 6 2 2 4 3 2 3" xfId="34809" xr:uid="{00000000-0005-0000-0000-000000590000}"/>
    <cellStyle name="Normal 4 6 2 2 4 3 3" xfId="16377" xr:uid="{00000000-0005-0000-0000-000001590000}"/>
    <cellStyle name="Normal 4 6 2 2 4 3 3 2" xfId="40953" xr:uid="{00000000-0005-0000-0000-000002590000}"/>
    <cellStyle name="Normal 4 6 2 2 4 3 4" xfId="28665" xr:uid="{00000000-0005-0000-0000-000003590000}"/>
    <cellStyle name="Normal 4 6 2 2 4 4" xfId="7161" xr:uid="{00000000-0005-0000-0000-000004590000}"/>
    <cellStyle name="Normal 4 6 2 2 4 4 2" xfId="19449" xr:uid="{00000000-0005-0000-0000-000005590000}"/>
    <cellStyle name="Normal 4 6 2 2 4 4 2 2" xfId="44025" xr:uid="{00000000-0005-0000-0000-000006590000}"/>
    <cellStyle name="Normal 4 6 2 2 4 4 3" xfId="31737" xr:uid="{00000000-0005-0000-0000-000007590000}"/>
    <cellStyle name="Normal 4 6 2 2 4 5" xfId="13305" xr:uid="{00000000-0005-0000-0000-000008590000}"/>
    <cellStyle name="Normal 4 6 2 2 4 5 2" xfId="37881" xr:uid="{00000000-0005-0000-0000-000009590000}"/>
    <cellStyle name="Normal 4 6 2 2 4 6" xfId="25593" xr:uid="{00000000-0005-0000-0000-00000A590000}"/>
    <cellStyle name="Normal 4 6 2 2 5" xfId="1781" xr:uid="{00000000-0005-0000-0000-00000B590000}"/>
    <cellStyle name="Normal 4 6 2 2 5 2" xfId="4857" xr:uid="{00000000-0005-0000-0000-00000C590000}"/>
    <cellStyle name="Normal 4 6 2 2 5 2 2" xfId="11001" xr:uid="{00000000-0005-0000-0000-00000D590000}"/>
    <cellStyle name="Normal 4 6 2 2 5 2 2 2" xfId="23289" xr:uid="{00000000-0005-0000-0000-00000E590000}"/>
    <cellStyle name="Normal 4 6 2 2 5 2 2 2 2" xfId="47865" xr:uid="{00000000-0005-0000-0000-00000F590000}"/>
    <cellStyle name="Normal 4 6 2 2 5 2 2 3" xfId="35577" xr:uid="{00000000-0005-0000-0000-000010590000}"/>
    <cellStyle name="Normal 4 6 2 2 5 2 3" xfId="17145" xr:uid="{00000000-0005-0000-0000-000011590000}"/>
    <cellStyle name="Normal 4 6 2 2 5 2 3 2" xfId="41721" xr:uid="{00000000-0005-0000-0000-000012590000}"/>
    <cellStyle name="Normal 4 6 2 2 5 2 4" xfId="29433" xr:uid="{00000000-0005-0000-0000-000013590000}"/>
    <cellStyle name="Normal 4 6 2 2 5 3" xfId="7929" xr:uid="{00000000-0005-0000-0000-000014590000}"/>
    <cellStyle name="Normal 4 6 2 2 5 3 2" xfId="20217" xr:uid="{00000000-0005-0000-0000-000015590000}"/>
    <cellStyle name="Normal 4 6 2 2 5 3 2 2" xfId="44793" xr:uid="{00000000-0005-0000-0000-000016590000}"/>
    <cellStyle name="Normal 4 6 2 2 5 3 3" xfId="32505" xr:uid="{00000000-0005-0000-0000-000017590000}"/>
    <cellStyle name="Normal 4 6 2 2 5 4" xfId="14073" xr:uid="{00000000-0005-0000-0000-000018590000}"/>
    <cellStyle name="Normal 4 6 2 2 5 4 2" xfId="38649" xr:uid="{00000000-0005-0000-0000-000019590000}"/>
    <cellStyle name="Normal 4 6 2 2 5 5" xfId="26361" xr:uid="{00000000-0005-0000-0000-00001A590000}"/>
    <cellStyle name="Normal 4 6 2 2 6" xfId="3321" xr:uid="{00000000-0005-0000-0000-00001B590000}"/>
    <cellStyle name="Normal 4 6 2 2 6 2" xfId="9465" xr:uid="{00000000-0005-0000-0000-00001C590000}"/>
    <cellStyle name="Normal 4 6 2 2 6 2 2" xfId="21753" xr:uid="{00000000-0005-0000-0000-00001D590000}"/>
    <cellStyle name="Normal 4 6 2 2 6 2 2 2" xfId="46329" xr:uid="{00000000-0005-0000-0000-00001E590000}"/>
    <cellStyle name="Normal 4 6 2 2 6 2 3" xfId="34041" xr:uid="{00000000-0005-0000-0000-00001F590000}"/>
    <cellStyle name="Normal 4 6 2 2 6 3" xfId="15609" xr:uid="{00000000-0005-0000-0000-000020590000}"/>
    <cellStyle name="Normal 4 6 2 2 6 3 2" xfId="40185" xr:uid="{00000000-0005-0000-0000-000021590000}"/>
    <cellStyle name="Normal 4 6 2 2 6 4" xfId="27897" xr:uid="{00000000-0005-0000-0000-000022590000}"/>
    <cellStyle name="Normal 4 6 2 2 7" xfId="6393" xr:uid="{00000000-0005-0000-0000-000023590000}"/>
    <cellStyle name="Normal 4 6 2 2 7 2" xfId="18681" xr:uid="{00000000-0005-0000-0000-000024590000}"/>
    <cellStyle name="Normal 4 6 2 2 7 2 2" xfId="43257" xr:uid="{00000000-0005-0000-0000-000025590000}"/>
    <cellStyle name="Normal 4 6 2 2 7 3" xfId="30969" xr:uid="{00000000-0005-0000-0000-000026590000}"/>
    <cellStyle name="Normal 4 6 2 2 8" xfId="12537" xr:uid="{00000000-0005-0000-0000-000027590000}"/>
    <cellStyle name="Normal 4 6 2 2 8 2" xfId="37113" xr:uid="{00000000-0005-0000-0000-000028590000}"/>
    <cellStyle name="Normal 4 6 2 2 9" xfId="24825" xr:uid="{00000000-0005-0000-0000-000029590000}"/>
    <cellStyle name="Normal 4 6 2 3" xfId="309" xr:uid="{00000000-0005-0000-0000-00002A590000}"/>
    <cellStyle name="Normal 4 6 2 3 2" xfId="501" xr:uid="{00000000-0005-0000-0000-00002B590000}"/>
    <cellStyle name="Normal 4 6 2 3 2 2" xfId="885" xr:uid="{00000000-0005-0000-0000-00002C590000}"/>
    <cellStyle name="Normal 4 6 2 3 2 2 2" xfId="1653" xr:uid="{00000000-0005-0000-0000-00002D590000}"/>
    <cellStyle name="Normal 4 6 2 3 2 2 2 2" xfId="3189" xr:uid="{00000000-0005-0000-0000-00002E590000}"/>
    <cellStyle name="Normal 4 6 2 3 2 2 2 2 2" xfId="6265" xr:uid="{00000000-0005-0000-0000-00002F590000}"/>
    <cellStyle name="Normal 4 6 2 3 2 2 2 2 2 2" xfId="12409" xr:uid="{00000000-0005-0000-0000-000030590000}"/>
    <cellStyle name="Normal 4 6 2 3 2 2 2 2 2 2 2" xfId="24697" xr:uid="{00000000-0005-0000-0000-000031590000}"/>
    <cellStyle name="Normal 4 6 2 3 2 2 2 2 2 2 2 2" xfId="49273" xr:uid="{00000000-0005-0000-0000-000032590000}"/>
    <cellStyle name="Normal 4 6 2 3 2 2 2 2 2 2 3" xfId="36985" xr:uid="{00000000-0005-0000-0000-000033590000}"/>
    <cellStyle name="Normal 4 6 2 3 2 2 2 2 2 3" xfId="18553" xr:uid="{00000000-0005-0000-0000-000034590000}"/>
    <cellStyle name="Normal 4 6 2 3 2 2 2 2 2 3 2" xfId="43129" xr:uid="{00000000-0005-0000-0000-000035590000}"/>
    <cellStyle name="Normal 4 6 2 3 2 2 2 2 2 4" xfId="30841" xr:uid="{00000000-0005-0000-0000-000036590000}"/>
    <cellStyle name="Normal 4 6 2 3 2 2 2 2 3" xfId="9337" xr:uid="{00000000-0005-0000-0000-000037590000}"/>
    <cellStyle name="Normal 4 6 2 3 2 2 2 2 3 2" xfId="21625" xr:uid="{00000000-0005-0000-0000-000038590000}"/>
    <cellStyle name="Normal 4 6 2 3 2 2 2 2 3 2 2" xfId="46201" xr:uid="{00000000-0005-0000-0000-000039590000}"/>
    <cellStyle name="Normal 4 6 2 3 2 2 2 2 3 3" xfId="33913" xr:uid="{00000000-0005-0000-0000-00003A590000}"/>
    <cellStyle name="Normal 4 6 2 3 2 2 2 2 4" xfId="15481" xr:uid="{00000000-0005-0000-0000-00003B590000}"/>
    <cellStyle name="Normal 4 6 2 3 2 2 2 2 4 2" xfId="40057" xr:uid="{00000000-0005-0000-0000-00003C590000}"/>
    <cellStyle name="Normal 4 6 2 3 2 2 2 2 5" xfId="27769" xr:uid="{00000000-0005-0000-0000-00003D590000}"/>
    <cellStyle name="Normal 4 6 2 3 2 2 2 3" xfId="4729" xr:uid="{00000000-0005-0000-0000-00003E590000}"/>
    <cellStyle name="Normal 4 6 2 3 2 2 2 3 2" xfId="10873" xr:uid="{00000000-0005-0000-0000-00003F590000}"/>
    <cellStyle name="Normal 4 6 2 3 2 2 2 3 2 2" xfId="23161" xr:uid="{00000000-0005-0000-0000-000040590000}"/>
    <cellStyle name="Normal 4 6 2 3 2 2 2 3 2 2 2" xfId="47737" xr:uid="{00000000-0005-0000-0000-000041590000}"/>
    <cellStyle name="Normal 4 6 2 3 2 2 2 3 2 3" xfId="35449" xr:uid="{00000000-0005-0000-0000-000042590000}"/>
    <cellStyle name="Normal 4 6 2 3 2 2 2 3 3" xfId="17017" xr:uid="{00000000-0005-0000-0000-000043590000}"/>
    <cellStyle name="Normal 4 6 2 3 2 2 2 3 3 2" xfId="41593" xr:uid="{00000000-0005-0000-0000-000044590000}"/>
    <cellStyle name="Normal 4 6 2 3 2 2 2 3 4" xfId="29305" xr:uid="{00000000-0005-0000-0000-000045590000}"/>
    <cellStyle name="Normal 4 6 2 3 2 2 2 4" xfId="7801" xr:uid="{00000000-0005-0000-0000-000046590000}"/>
    <cellStyle name="Normal 4 6 2 3 2 2 2 4 2" xfId="20089" xr:uid="{00000000-0005-0000-0000-000047590000}"/>
    <cellStyle name="Normal 4 6 2 3 2 2 2 4 2 2" xfId="44665" xr:uid="{00000000-0005-0000-0000-000048590000}"/>
    <cellStyle name="Normal 4 6 2 3 2 2 2 4 3" xfId="32377" xr:uid="{00000000-0005-0000-0000-000049590000}"/>
    <cellStyle name="Normal 4 6 2 3 2 2 2 5" xfId="13945" xr:uid="{00000000-0005-0000-0000-00004A590000}"/>
    <cellStyle name="Normal 4 6 2 3 2 2 2 5 2" xfId="38521" xr:uid="{00000000-0005-0000-0000-00004B590000}"/>
    <cellStyle name="Normal 4 6 2 3 2 2 2 6" xfId="26233" xr:uid="{00000000-0005-0000-0000-00004C590000}"/>
    <cellStyle name="Normal 4 6 2 3 2 2 3" xfId="2421" xr:uid="{00000000-0005-0000-0000-00004D590000}"/>
    <cellStyle name="Normal 4 6 2 3 2 2 3 2" xfId="5497" xr:uid="{00000000-0005-0000-0000-00004E590000}"/>
    <cellStyle name="Normal 4 6 2 3 2 2 3 2 2" xfId="11641" xr:uid="{00000000-0005-0000-0000-00004F590000}"/>
    <cellStyle name="Normal 4 6 2 3 2 2 3 2 2 2" xfId="23929" xr:uid="{00000000-0005-0000-0000-000050590000}"/>
    <cellStyle name="Normal 4 6 2 3 2 2 3 2 2 2 2" xfId="48505" xr:uid="{00000000-0005-0000-0000-000051590000}"/>
    <cellStyle name="Normal 4 6 2 3 2 2 3 2 2 3" xfId="36217" xr:uid="{00000000-0005-0000-0000-000052590000}"/>
    <cellStyle name="Normal 4 6 2 3 2 2 3 2 3" xfId="17785" xr:uid="{00000000-0005-0000-0000-000053590000}"/>
    <cellStyle name="Normal 4 6 2 3 2 2 3 2 3 2" xfId="42361" xr:uid="{00000000-0005-0000-0000-000054590000}"/>
    <cellStyle name="Normal 4 6 2 3 2 2 3 2 4" xfId="30073" xr:uid="{00000000-0005-0000-0000-000055590000}"/>
    <cellStyle name="Normal 4 6 2 3 2 2 3 3" xfId="8569" xr:uid="{00000000-0005-0000-0000-000056590000}"/>
    <cellStyle name="Normal 4 6 2 3 2 2 3 3 2" xfId="20857" xr:uid="{00000000-0005-0000-0000-000057590000}"/>
    <cellStyle name="Normal 4 6 2 3 2 2 3 3 2 2" xfId="45433" xr:uid="{00000000-0005-0000-0000-000058590000}"/>
    <cellStyle name="Normal 4 6 2 3 2 2 3 3 3" xfId="33145" xr:uid="{00000000-0005-0000-0000-000059590000}"/>
    <cellStyle name="Normal 4 6 2 3 2 2 3 4" xfId="14713" xr:uid="{00000000-0005-0000-0000-00005A590000}"/>
    <cellStyle name="Normal 4 6 2 3 2 2 3 4 2" xfId="39289" xr:uid="{00000000-0005-0000-0000-00005B590000}"/>
    <cellStyle name="Normal 4 6 2 3 2 2 3 5" xfId="27001" xr:uid="{00000000-0005-0000-0000-00005C590000}"/>
    <cellStyle name="Normal 4 6 2 3 2 2 4" xfId="3961" xr:uid="{00000000-0005-0000-0000-00005D590000}"/>
    <cellStyle name="Normal 4 6 2 3 2 2 4 2" xfId="10105" xr:uid="{00000000-0005-0000-0000-00005E590000}"/>
    <cellStyle name="Normal 4 6 2 3 2 2 4 2 2" xfId="22393" xr:uid="{00000000-0005-0000-0000-00005F590000}"/>
    <cellStyle name="Normal 4 6 2 3 2 2 4 2 2 2" xfId="46969" xr:uid="{00000000-0005-0000-0000-000060590000}"/>
    <cellStyle name="Normal 4 6 2 3 2 2 4 2 3" xfId="34681" xr:uid="{00000000-0005-0000-0000-000061590000}"/>
    <cellStyle name="Normal 4 6 2 3 2 2 4 3" xfId="16249" xr:uid="{00000000-0005-0000-0000-000062590000}"/>
    <cellStyle name="Normal 4 6 2 3 2 2 4 3 2" xfId="40825" xr:uid="{00000000-0005-0000-0000-000063590000}"/>
    <cellStyle name="Normal 4 6 2 3 2 2 4 4" xfId="28537" xr:uid="{00000000-0005-0000-0000-000064590000}"/>
    <cellStyle name="Normal 4 6 2 3 2 2 5" xfId="7033" xr:uid="{00000000-0005-0000-0000-000065590000}"/>
    <cellStyle name="Normal 4 6 2 3 2 2 5 2" xfId="19321" xr:uid="{00000000-0005-0000-0000-000066590000}"/>
    <cellStyle name="Normal 4 6 2 3 2 2 5 2 2" xfId="43897" xr:uid="{00000000-0005-0000-0000-000067590000}"/>
    <cellStyle name="Normal 4 6 2 3 2 2 5 3" xfId="31609" xr:uid="{00000000-0005-0000-0000-000068590000}"/>
    <cellStyle name="Normal 4 6 2 3 2 2 6" xfId="13177" xr:uid="{00000000-0005-0000-0000-000069590000}"/>
    <cellStyle name="Normal 4 6 2 3 2 2 6 2" xfId="37753" xr:uid="{00000000-0005-0000-0000-00006A590000}"/>
    <cellStyle name="Normal 4 6 2 3 2 2 7" xfId="25465" xr:uid="{00000000-0005-0000-0000-00006B590000}"/>
    <cellStyle name="Normal 4 6 2 3 2 3" xfId="1269" xr:uid="{00000000-0005-0000-0000-00006C590000}"/>
    <cellStyle name="Normal 4 6 2 3 2 3 2" xfId="2805" xr:uid="{00000000-0005-0000-0000-00006D590000}"/>
    <cellStyle name="Normal 4 6 2 3 2 3 2 2" xfId="5881" xr:uid="{00000000-0005-0000-0000-00006E590000}"/>
    <cellStyle name="Normal 4 6 2 3 2 3 2 2 2" xfId="12025" xr:uid="{00000000-0005-0000-0000-00006F590000}"/>
    <cellStyle name="Normal 4 6 2 3 2 3 2 2 2 2" xfId="24313" xr:uid="{00000000-0005-0000-0000-000070590000}"/>
    <cellStyle name="Normal 4 6 2 3 2 3 2 2 2 2 2" xfId="48889" xr:uid="{00000000-0005-0000-0000-000071590000}"/>
    <cellStyle name="Normal 4 6 2 3 2 3 2 2 2 3" xfId="36601" xr:uid="{00000000-0005-0000-0000-000072590000}"/>
    <cellStyle name="Normal 4 6 2 3 2 3 2 2 3" xfId="18169" xr:uid="{00000000-0005-0000-0000-000073590000}"/>
    <cellStyle name="Normal 4 6 2 3 2 3 2 2 3 2" xfId="42745" xr:uid="{00000000-0005-0000-0000-000074590000}"/>
    <cellStyle name="Normal 4 6 2 3 2 3 2 2 4" xfId="30457" xr:uid="{00000000-0005-0000-0000-000075590000}"/>
    <cellStyle name="Normal 4 6 2 3 2 3 2 3" xfId="8953" xr:uid="{00000000-0005-0000-0000-000076590000}"/>
    <cellStyle name="Normal 4 6 2 3 2 3 2 3 2" xfId="21241" xr:uid="{00000000-0005-0000-0000-000077590000}"/>
    <cellStyle name="Normal 4 6 2 3 2 3 2 3 2 2" xfId="45817" xr:uid="{00000000-0005-0000-0000-000078590000}"/>
    <cellStyle name="Normal 4 6 2 3 2 3 2 3 3" xfId="33529" xr:uid="{00000000-0005-0000-0000-000079590000}"/>
    <cellStyle name="Normal 4 6 2 3 2 3 2 4" xfId="15097" xr:uid="{00000000-0005-0000-0000-00007A590000}"/>
    <cellStyle name="Normal 4 6 2 3 2 3 2 4 2" xfId="39673" xr:uid="{00000000-0005-0000-0000-00007B590000}"/>
    <cellStyle name="Normal 4 6 2 3 2 3 2 5" xfId="27385" xr:uid="{00000000-0005-0000-0000-00007C590000}"/>
    <cellStyle name="Normal 4 6 2 3 2 3 3" xfId="4345" xr:uid="{00000000-0005-0000-0000-00007D590000}"/>
    <cellStyle name="Normal 4 6 2 3 2 3 3 2" xfId="10489" xr:uid="{00000000-0005-0000-0000-00007E590000}"/>
    <cellStyle name="Normal 4 6 2 3 2 3 3 2 2" xfId="22777" xr:uid="{00000000-0005-0000-0000-00007F590000}"/>
    <cellStyle name="Normal 4 6 2 3 2 3 3 2 2 2" xfId="47353" xr:uid="{00000000-0005-0000-0000-000080590000}"/>
    <cellStyle name="Normal 4 6 2 3 2 3 3 2 3" xfId="35065" xr:uid="{00000000-0005-0000-0000-000081590000}"/>
    <cellStyle name="Normal 4 6 2 3 2 3 3 3" xfId="16633" xr:uid="{00000000-0005-0000-0000-000082590000}"/>
    <cellStyle name="Normal 4 6 2 3 2 3 3 3 2" xfId="41209" xr:uid="{00000000-0005-0000-0000-000083590000}"/>
    <cellStyle name="Normal 4 6 2 3 2 3 3 4" xfId="28921" xr:uid="{00000000-0005-0000-0000-000084590000}"/>
    <cellStyle name="Normal 4 6 2 3 2 3 4" xfId="7417" xr:uid="{00000000-0005-0000-0000-000085590000}"/>
    <cellStyle name="Normal 4 6 2 3 2 3 4 2" xfId="19705" xr:uid="{00000000-0005-0000-0000-000086590000}"/>
    <cellStyle name="Normal 4 6 2 3 2 3 4 2 2" xfId="44281" xr:uid="{00000000-0005-0000-0000-000087590000}"/>
    <cellStyle name="Normal 4 6 2 3 2 3 4 3" xfId="31993" xr:uid="{00000000-0005-0000-0000-000088590000}"/>
    <cellStyle name="Normal 4 6 2 3 2 3 5" xfId="13561" xr:uid="{00000000-0005-0000-0000-000089590000}"/>
    <cellStyle name="Normal 4 6 2 3 2 3 5 2" xfId="38137" xr:uid="{00000000-0005-0000-0000-00008A590000}"/>
    <cellStyle name="Normal 4 6 2 3 2 3 6" xfId="25849" xr:uid="{00000000-0005-0000-0000-00008B590000}"/>
    <cellStyle name="Normal 4 6 2 3 2 4" xfId="2037" xr:uid="{00000000-0005-0000-0000-00008C590000}"/>
    <cellStyle name="Normal 4 6 2 3 2 4 2" xfId="5113" xr:uid="{00000000-0005-0000-0000-00008D590000}"/>
    <cellStyle name="Normal 4 6 2 3 2 4 2 2" xfId="11257" xr:uid="{00000000-0005-0000-0000-00008E590000}"/>
    <cellStyle name="Normal 4 6 2 3 2 4 2 2 2" xfId="23545" xr:uid="{00000000-0005-0000-0000-00008F590000}"/>
    <cellStyle name="Normal 4 6 2 3 2 4 2 2 2 2" xfId="48121" xr:uid="{00000000-0005-0000-0000-000090590000}"/>
    <cellStyle name="Normal 4 6 2 3 2 4 2 2 3" xfId="35833" xr:uid="{00000000-0005-0000-0000-000091590000}"/>
    <cellStyle name="Normal 4 6 2 3 2 4 2 3" xfId="17401" xr:uid="{00000000-0005-0000-0000-000092590000}"/>
    <cellStyle name="Normal 4 6 2 3 2 4 2 3 2" xfId="41977" xr:uid="{00000000-0005-0000-0000-000093590000}"/>
    <cellStyle name="Normal 4 6 2 3 2 4 2 4" xfId="29689" xr:uid="{00000000-0005-0000-0000-000094590000}"/>
    <cellStyle name="Normal 4 6 2 3 2 4 3" xfId="8185" xr:uid="{00000000-0005-0000-0000-000095590000}"/>
    <cellStyle name="Normal 4 6 2 3 2 4 3 2" xfId="20473" xr:uid="{00000000-0005-0000-0000-000096590000}"/>
    <cellStyle name="Normal 4 6 2 3 2 4 3 2 2" xfId="45049" xr:uid="{00000000-0005-0000-0000-000097590000}"/>
    <cellStyle name="Normal 4 6 2 3 2 4 3 3" xfId="32761" xr:uid="{00000000-0005-0000-0000-000098590000}"/>
    <cellStyle name="Normal 4 6 2 3 2 4 4" xfId="14329" xr:uid="{00000000-0005-0000-0000-000099590000}"/>
    <cellStyle name="Normal 4 6 2 3 2 4 4 2" xfId="38905" xr:uid="{00000000-0005-0000-0000-00009A590000}"/>
    <cellStyle name="Normal 4 6 2 3 2 4 5" xfId="26617" xr:uid="{00000000-0005-0000-0000-00009B590000}"/>
    <cellStyle name="Normal 4 6 2 3 2 5" xfId="3577" xr:uid="{00000000-0005-0000-0000-00009C590000}"/>
    <cellStyle name="Normal 4 6 2 3 2 5 2" xfId="9721" xr:uid="{00000000-0005-0000-0000-00009D590000}"/>
    <cellStyle name="Normal 4 6 2 3 2 5 2 2" xfId="22009" xr:uid="{00000000-0005-0000-0000-00009E590000}"/>
    <cellStyle name="Normal 4 6 2 3 2 5 2 2 2" xfId="46585" xr:uid="{00000000-0005-0000-0000-00009F590000}"/>
    <cellStyle name="Normal 4 6 2 3 2 5 2 3" xfId="34297" xr:uid="{00000000-0005-0000-0000-0000A0590000}"/>
    <cellStyle name="Normal 4 6 2 3 2 5 3" xfId="15865" xr:uid="{00000000-0005-0000-0000-0000A1590000}"/>
    <cellStyle name="Normal 4 6 2 3 2 5 3 2" xfId="40441" xr:uid="{00000000-0005-0000-0000-0000A2590000}"/>
    <cellStyle name="Normal 4 6 2 3 2 5 4" xfId="28153" xr:uid="{00000000-0005-0000-0000-0000A3590000}"/>
    <cellStyle name="Normal 4 6 2 3 2 6" xfId="6649" xr:uid="{00000000-0005-0000-0000-0000A4590000}"/>
    <cellStyle name="Normal 4 6 2 3 2 6 2" xfId="18937" xr:uid="{00000000-0005-0000-0000-0000A5590000}"/>
    <cellStyle name="Normal 4 6 2 3 2 6 2 2" xfId="43513" xr:uid="{00000000-0005-0000-0000-0000A6590000}"/>
    <cellStyle name="Normal 4 6 2 3 2 6 3" xfId="31225" xr:uid="{00000000-0005-0000-0000-0000A7590000}"/>
    <cellStyle name="Normal 4 6 2 3 2 7" xfId="12793" xr:uid="{00000000-0005-0000-0000-0000A8590000}"/>
    <cellStyle name="Normal 4 6 2 3 2 7 2" xfId="37369" xr:uid="{00000000-0005-0000-0000-0000A9590000}"/>
    <cellStyle name="Normal 4 6 2 3 2 8" xfId="25081" xr:uid="{00000000-0005-0000-0000-0000AA590000}"/>
    <cellStyle name="Normal 4 6 2 3 3" xfId="693" xr:uid="{00000000-0005-0000-0000-0000AB590000}"/>
    <cellStyle name="Normal 4 6 2 3 3 2" xfId="1461" xr:uid="{00000000-0005-0000-0000-0000AC590000}"/>
    <cellStyle name="Normal 4 6 2 3 3 2 2" xfId="2997" xr:uid="{00000000-0005-0000-0000-0000AD590000}"/>
    <cellStyle name="Normal 4 6 2 3 3 2 2 2" xfId="6073" xr:uid="{00000000-0005-0000-0000-0000AE590000}"/>
    <cellStyle name="Normal 4 6 2 3 3 2 2 2 2" xfId="12217" xr:uid="{00000000-0005-0000-0000-0000AF590000}"/>
    <cellStyle name="Normal 4 6 2 3 3 2 2 2 2 2" xfId="24505" xr:uid="{00000000-0005-0000-0000-0000B0590000}"/>
    <cellStyle name="Normal 4 6 2 3 3 2 2 2 2 2 2" xfId="49081" xr:uid="{00000000-0005-0000-0000-0000B1590000}"/>
    <cellStyle name="Normal 4 6 2 3 3 2 2 2 2 3" xfId="36793" xr:uid="{00000000-0005-0000-0000-0000B2590000}"/>
    <cellStyle name="Normal 4 6 2 3 3 2 2 2 3" xfId="18361" xr:uid="{00000000-0005-0000-0000-0000B3590000}"/>
    <cellStyle name="Normal 4 6 2 3 3 2 2 2 3 2" xfId="42937" xr:uid="{00000000-0005-0000-0000-0000B4590000}"/>
    <cellStyle name="Normal 4 6 2 3 3 2 2 2 4" xfId="30649" xr:uid="{00000000-0005-0000-0000-0000B5590000}"/>
    <cellStyle name="Normal 4 6 2 3 3 2 2 3" xfId="9145" xr:uid="{00000000-0005-0000-0000-0000B6590000}"/>
    <cellStyle name="Normal 4 6 2 3 3 2 2 3 2" xfId="21433" xr:uid="{00000000-0005-0000-0000-0000B7590000}"/>
    <cellStyle name="Normal 4 6 2 3 3 2 2 3 2 2" xfId="46009" xr:uid="{00000000-0005-0000-0000-0000B8590000}"/>
    <cellStyle name="Normal 4 6 2 3 3 2 2 3 3" xfId="33721" xr:uid="{00000000-0005-0000-0000-0000B9590000}"/>
    <cellStyle name="Normal 4 6 2 3 3 2 2 4" xfId="15289" xr:uid="{00000000-0005-0000-0000-0000BA590000}"/>
    <cellStyle name="Normal 4 6 2 3 3 2 2 4 2" xfId="39865" xr:uid="{00000000-0005-0000-0000-0000BB590000}"/>
    <cellStyle name="Normal 4 6 2 3 3 2 2 5" xfId="27577" xr:uid="{00000000-0005-0000-0000-0000BC590000}"/>
    <cellStyle name="Normal 4 6 2 3 3 2 3" xfId="4537" xr:uid="{00000000-0005-0000-0000-0000BD590000}"/>
    <cellStyle name="Normal 4 6 2 3 3 2 3 2" xfId="10681" xr:uid="{00000000-0005-0000-0000-0000BE590000}"/>
    <cellStyle name="Normal 4 6 2 3 3 2 3 2 2" xfId="22969" xr:uid="{00000000-0005-0000-0000-0000BF590000}"/>
    <cellStyle name="Normal 4 6 2 3 3 2 3 2 2 2" xfId="47545" xr:uid="{00000000-0005-0000-0000-0000C0590000}"/>
    <cellStyle name="Normal 4 6 2 3 3 2 3 2 3" xfId="35257" xr:uid="{00000000-0005-0000-0000-0000C1590000}"/>
    <cellStyle name="Normal 4 6 2 3 3 2 3 3" xfId="16825" xr:uid="{00000000-0005-0000-0000-0000C2590000}"/>
    <cellStyle name="Normal 4 6 2 3 3 2 3 3 2" xfId="41401" xr:uid="{00000000-0005-0000-0000-0000C3590000}"/>
    <cellStyle name="Normal 4 6 2 3 3 2 3 4" xfId="29113" xr:uid="{00000000-0005-0000-0000-0000C4590000}"/>
    <cellStyle name="Normal 4 6 2 3 3 2 4" xfId="7609" xr:uid="{00000000-0005-0000-0000-0000C5590000}"/>
    <cellStyle name="Normal 4 6 2 3 3 2 4 2" xfId="19897" xr:uid="{00000000-0005-0000-0000-0000C6590000}"/>
    <cellStyle name="Normal 4 6 2 3 3 2 4 2 2" xfId="44473" xr:uid="{00000000-0005-0000-0000-0000C7590000}"/>
    <cellStyle name="Normal 4 6 2 3 3 2 4 3" xfId="32185" xr:uid="{00000000-0005-0000-0000-0000C8590000}"/>
    <cellStyle name="Normal 4 6 2 3 3 2 5" xfId="13753" xr:uid="{00000000-0005-0000-0000-0000C9590000}"/>
    <cellStyle name="Normal 4 6 2 3 3 2 5 2" xfId="38329" xr:uid="{00000000-0005-0000-0000-0000CA590000}"/>
    <cellStyle name="Normal 4 6 2 3 3 2 6" xfId="26041" xr:uid="{00000000-0005-0000-0000-0000CB590000}"/>
    <cellStyle name="Normal 4 6 2 3 3 3" xfId="2229" xr:uid="{00000000-0005-0000-0000-0000CC590000}"/>
    <cellStyle name="Normal 4 6 2 3 3 3 2" xfId="5305" xr:uid="{00000000-0005-0000-0000-0000CD590000}"/>
    <cellStyle name="Normal 4 6 2 3 3 3 2 2" xfId="11449" xr:uid="{00000000-0005-0000-0000-0000CE590000}"/>
    <cellStyle name="Normal 4 6 2 3 3 3 2 2 2" xfId="23737" xr:uid="{00000000-0005-0000-0000-0000CF590000}"/>
    <cellStyle name="Normal 4 6 2 3 3 3 2 2 2 2" xfId="48313" xr:uid="{00000000-0005-0000-0000-0000D0590000}"/>
    <cellStyle name="Normal 4 6 2 3 3 3 2 2 3" xfId="36025" xr:uid="{00000000-0005-0000-0000-0000D1590000}"/>
    <cellStyle name="Normal 4 6 2 3 3 3 2 3" xfId="17593" xr:uid="{00000000-0005-0000-0000-0000D2590000}"/>
    <cellStyle name="Normal 4 6 2 3 3 3 2 3 2" xfId="42169" xr:uid="{00000000-0005-0000-0000-0000D3590000}"/>
    <cellStyle name="Normal 4 6 2 3 3 3 2 4" xfId="29881" xr:uid="{00000000-0005-0000-0000-0000D4590000}"/>
    <cellStyle name="Normal 4 6 2 3 3 3 3" xfId="8377" xr:uid="{00000000-0005-0000-0000-0000D5590000}"/>
    <cellStyle name="Normal 4 6 2 3 3 3 3 2" xfId="20665" xr:uid="{00000000-0005-0000-0000-0000D6590000}"/>
    <cellStyle name="Normal 4 6 2 3 3 3 3 2 2" xfId="45241" xr:uid="{00000000-0005-0000-0000-0000D7590000}"/>
    <cellStyle name="Normal 4 6 2 3 3 3 3 3" xfId="32953" xr:uid="{00000000-0005-0000-0000-0000D8590000}"/>
    <cellStyle name="Normal 4 6 2 3 3 3 4" xfId="14521" xr:uid="{00000000-0005-0000-0000-0000D9590000}"/>
    <cellStyle name="Normal 4 6 2 3 3 3 4 2" xfId="39097" xr:uid="{00000000-0005-0000-0000-0000DA590000}"/>
    <cellStyle name="Normal 4 6 2 3 3 3 5" xfId="26809" xr:uid="{00000000-0005-0000-0000-0000DB590000}"/>
    <cellStyle name="Normal 4 6 2 3 3 4" xfId="3769" xr:uid="{00000000-0005-0000-0000-0000DC590000}"/>
    <cellStyle name="Normal 4 6 2 3 3 4 2" xfId="9913" xr:uid="{00000000-0005-0000-0000-0000DD590000}"/>
    <cellStyle name="Normal 4 6 2 3 3 4 2 2" xfId="22201" xr:uid="{00000000-0005-0000-0000-0000DE590000}"/>
    <cellStyle name="Normal 4 6 2 3 3 4 2 2 2" xfId="46777" xr:uid="{00000000-0005-0000-0000-0000DF590000}"/>
    <cellStyle name="Normal 4 6 2 3 3 4 2 3" xfId="34489" xr:uid="{00000000-0005-0000-0000-0000E0590000}"/>
    <cellStyle name="Normal 4 6 2 3 3 4 3" xfId="16057" xr:uid="{00000000-0005-0000-0000-0000E1590000}"/>
    <cellStyle name="Normal 4 6 2 3 3 4 3 2" xfId="40633" xr:uid="{00000000-0005-0000-0000-0000E2590000}"/>
    <cellStyle name="Normal 4 6 2 3 3 4 4" xfId="28345" xr:uid="{00000000-0005-0000-0000-0000E3590000}"/>
    <cellStyle name="Normal 4 6 2 3 3 5" xfId="6841" xr:uid="{00000000-0005-0000-0000-0000E4590000}"/>
    <cellStyle name="Normal 4 6 2 3 3 5 2" xfId="19129" xr:uid="{00000000-0005-0000-0000-0000E5590000}"/>
    <cellStyle name="Normal 4 6 2 3 3 5 2 2" xfId="43705" xr:uid="{00000000-0005-0000-0000-0000E6590000}"/>
    <cellStyle name="Normal 4 6 2 3 3 5 3" xfId="31417" xr:uid="{00000000-0005-0000-0000-0000E7590000}"/>
    <cellStyle name="Normal 4 6 2 3 3 6" xfId="12985" xr:uid="{00000000-0005-0000-0000-0000E8590000}"/>
    <cellStyle name="Normal 4 6 2 3 3 6 2" xfId="37561" xr:uid="{00000000-0005-0000-0000-0000E9590000}"/>
    <cellStyle name="Normal 4 6 2 3 3 7" xfId="25273" xr:uid="{00000000-0005-0000-0000-0000EA590000}"/>
    <cellStyle name="Normal 4 6 2 3 4" xfId="1077" xr:uid="{00000000-0005-0000-0000-0000EB590000}"/>
    <cellStyle name="Normal 4 6 2 3 4 2" xfId="2613" xr:uid="{00000000-0005-0000-0000-0000EC590000}"/>
    <cellStyle name="Normal 4 6 2 3 4 2 2" xfId="5689" xr:uid="{00000000-0005-0000-0000-0000ED590000}"/>
    <cellStyle name="Normal 4 6 2 3 4 2 2 2" xfId="11833" xr:uid="{00000000-0005-0000-0000-0000EE590000}"/>
    <cellStyle name="Normal 4 6 2 3 4 2 2 2 2" xfId="24121" xr:uid="{00000000-0005-0000-0000-0000EF590000}"/>
    <cellStyle name="Normal 4 6 2 3 4 2 2 2 2 2" xfId="48697" xr:uid="{00000000-0005-0000-0000-0000F0590000}"/>
    <cellStyle name="Normal 4 6 2 3 4 2 2 2 3" xfId="36409" xr:uid="{00000000-0005-0000-0000-0000F1590000}"/>
    <cellStyle name="Normal 4 6 2 3 4 2 2 3" xfId="17977" xr:uid="{00000000-0005-0000-0000-0000F2590000}"/>
    <cellStyle name="Normal 4 6 2 3 4 2 2 3 2" xfId="42553" xr:uid="{00000000-0005-0000-0000-0000F3590000}"/>
    <cellStyle name="Normal 4 6 2 3 4 2 2 4" xfId="30265" xr:uid="{00000000-0005-0000-0000-0000F4590000}"/>
    <cellStyle name="Normal 4 6 2 3 4 2 3" xfId="8761" xr:uid="{00000000-0005-0000-0000-0000F5590000}"/>
    <cellStyle name="Normal 4 6 2 3 4 2 3 2" xfId="21049" xr:uid="{00000000-0005-0000-0000-0000F6590000}"/>
    <cellStyle name="Normal 4 6 2 3 4 2 3 2 2" xfId="45625" xr:uid="{00000000-0005-0000-0000-0000F7590000}"/>
    <cellStyle name="Normal 4 6 2 3 4 2 3 3" xfId="33337" xr:uid="{00000000-0005-0000-0000-0000F8590000}"/>
    <cellStyle name="Normal 4 6 2 3 4 2 4" xfId="14905" xr:uid="{00000000-0005-0000-0000-0000F9590000}"/>
    <cellStyle name="Normal 4 6 2 3 4 2 4 2" xfId="39481" xr:uid="{00000000-0005-0000-0000-0000FA590000}"/>
    <cellStyle name="Normal 4 6 2 3 4 2 5" xfId="27193" xr:uid="{00000000-0005-0000-0000-0000FB590000}"/>
    <cellStyle name="Normal 4 6 2 3 4 3" xfId="4153" xr:uid="{00000000-0005-0000-0000-0000FC590000}"/>
    <cellStyle name="Normal 4 6 2 3 4 3 2" xfId="10297" xr:uid="{00000000-0005-0000-0000-0000FD590000}"/>
    <cellStyle name="Normal 4 6 2 3 4 3 2 2" xfId="22585" xr:uid="{00000000-0005-0000-0000-0000FE590000}"/>
    <cellStyle name="Normal 4 6 2 3 4 3 2 2 2" xfId="47161" xr:uid="{00000000-0005-0000-0000-0000FF590000}"/>
    <cellStyle name="Normal 4 6 2 3 4 3 2 3" xfId="34873" xr:uid="{00000000-0005-0000-0000-0000005A0000}"/>
    <cellStyle name="Normal 4 6 2 3 4 3 3" xfId="16441" xr:uid="{00000000-0005-0000-0000-0000015A0000}"/>
    <cellStyle name="Normal 4 6 2 3 4 3 3 2" xfId="41017" xr:uid="{00000000-0005-0000-0000-0000025A0000}"/>
    <cellStyle name="Normal 4 6 2 3 4 3 4" xfId="28729" xr:uid="{00000000-0005-0000-0000-0000035A0000}"/>
    <cellStyle name="Normal 4 6 2 3 4 4" xfId="7225" xr:uid="{00000000-0005-0000-0000-0000045A0000}"/>
    <cellStyle name="Normal 4 6 2 3 4 4 2" xfId="19513" xr:uid="{00000000-0005-0000-0000-0000055A0000}"/>
    <cellStyle name="Normal 4 6 2 3 4 4 2 2" xfId="44089" xr:uid="{00000000-0005-0000-0000-0000065A0000}"/>
    <cellStyle name="Normal 4 6 2 3 4 4 3" xfId="31801" xr:uid="{00000000-0005-0000-0000-0000075A0000}"/>
    <cellStyle name="Normal 4 6 2 3 4 5" xfId="13369" xr:uid="{00000000-0005-0000-0000-0000085A0000}"/>
    <cellStyle name="Normal 4 6 2 3 4 5 2" xfId="37945" xr:uid="{00000000-0005-0000-0000-0000095A0000}"/>
    <cellStyle name="Normal 4 6 2 3 4 6" xfId="25657" xr:uid="{00000000-0005-0000-0000-00000A5A0000}"/>
    <cellStyle name="Normal 4 6 2 3 5" xfId="1845" xr:uid="{00000000-0005-0000-0000-00000B5A0000}"/>
    <cellStyle name="Normal 4 6 2 3 5 2" xfId="4921" xr:uid="{00000000-0005-0000-0000-00000C5A0000}"/>
    <cellStyle name="Normal 4 6 2 3 5 2 2" xfId="11065" xr:uid="{00000000-0005-0000-0000-00000D5A0000}"/>
    <cellStyle name="Normal 4 6 2 3 5 2 2 2" xfId="23353" xr:uid="{00000000-0005-0000-0000-00000E5A0000}"/>
    <cellStyle name="Normal 4 6 2 3 5 2 2 2 2" xfId="47929" xr:uid="{00000000-0005-0000-0000-00000F5A0000}"/>
    <cellStyle name="Normal 4 6 2 3 5 2 2 3" xfId="35641" xr:uid="{00000000-0005-0000-0000-0000105A0000}"/>
    <cellStyle name="Normal 4 6 2 3 5 2 3" xfId="17209" xr:uid="{00000000-0005-0000-0000-0000115A0000}"/>
    <cellStyle name="Normal 4 6 2 3 5 2 3 2" xfId="41785" xr:uid="{00000000-0005-0000-0000-0000125A0000}"/>
    <cellStyle name="Normal 4 6 2 3 5 2 4" xfId="29497" xr:uid="{00000000-0005-0000-0000-0000135A0000}"/>
    <cellStyle name="Normal 4 6 2 3 5 3" xfId="7993" xr:uid="{00000000-0005-0000-0000-0000145A0000}"/>
    <cellStyle name="Normal 4 6 2 3 5 3 2" xfId="20281" xr:uid="{00000000-0005-0000-0000-0000155A0000}"/>
    <cellStyle name="Normal 4 6 2 3 5 3 2 2" xfId="44857" xr:uid="{00000000-0005-0000-0000-0000165A0000}"/>
    <cellStyle name="Normal 4 6 2 3 5 3 3" xfId="32569" xr:uid="{00000000-0005-0000-0000-0000175A0000}"/>
    <cellStyle name="Normal 4 6 2 3 5 4" xfId="14137" xr:uid="{00000000-0005-0000-0000-0000185A0000}"/>
    <cellStyle name="Normal 4 6 2 3 5 4 2" xfId="38713" xr:uid="{00000000-0005-0000-0000-0000195A0000}"/>
    <cellStyle name="Normal 4 6 2 3 5 5" xfId="26425" xr:uid="{00000000-0005-0000-0000-00001A5A0000}"/>
    <cellStyle name="Normal 4 6 2 3 6" xfId="3385" xr:uid="{00000000-0005-0000-0000-00001B5A0000}"/>
    <cellStyle name="Normal 4 6 2 3 6 2" xfId="9529" xr:uid="{00000000-0005-0000-0000-00001C5A0000}"/>
    <cellStyle name="Normal 4 6 2 3 6 2 2" xfId="21817" xr:uid="{00000000-0005-0000-0000-00001D5A0000}"/>
    <cellStyle name="Normal 4 6 2 3 6 2 2 2" xfId="46393" xr:uid="{00000000-0005-0000-0000-00001E5A0000}"/>
    <cellStyle name="Normal 4 6 2 3 6 2 3" xfId="34105" xr:uid="{00000000-0005-0000-0000-00001F5A0000}"/>
    <cellStyle name="Normal 4 6 2 3 6 3" xfId="15673" xr:uid="{00000000-0005-0000-0000-0000205A0000}"/>
    <cellStyle name="Normal 4 6 2 3 6 3 2" xfId="40249" xr:uid="{00000000-0005-0000-0000-0000215A0000}"/>
    <cellStyle name="Normal 4 6 2 3 6 4" xfId="27961" xr:uid="{00000000-0005-0000-0000-0000225A0000}"/>
    <cellStyle name="Normal 4 6 2 3 7" xfId="6457" xr:uid="{00000000-0005-0000-0000-0000235A0000}"/>
    <cellStyle name="Normal 4 6 2 3 7 2" xfId="18745" xr:uid="{00000000-0005-0000-0000-0000245A0000}"/>
    <cellStyle name="Normal 4 6 2 3 7 2 2" xfId="43321" xr:uid="{00000000-0005-0000-0000-0000255A0000}"/>
    <cellStyle name="Normal 4 6 2 3 7 3" xfId="31033" xr:uid="{00000000-0005-0000-0000-0000265A0000}"/>
    <cellStyle name="Normal 4 6 2 3 8" xfId="12601" xr:uid="{00000000-0005-0000-0000-0000275A0000}"/>
    <cellStyle name="Normal 4 6 2 3 8 2" xfId="37177" xr:uid="{00000000-0005-0000-0000-0000285A0000}"/>
    <cellStyle name="Normal 4 6 2 3 9" xfId="24889" xr:uid="{00000000-0005-0000-0000-0000295A0000}"/>
    <cellStyle name="Normal 4 6 2 4" xfId="373" xr:uid="{00000000-0005-0000-0000-00002A5A0000}"/>
    <cellStyle name="Normal 4 6 2 4 2" xfId="757" xr:uid="{00000000-0005-0000-0000-00002B5A0000}"/>
    <cellStyle name="Normal 4 6 2 4 2 2" xfId="1525" xr:uid="{00000000-0005-0000-0000-00002C5A0000}"/>
    <cellStyle name="Normal 4 6 2 4 2 2 2" xfId="3061" xr:uid="{00000000-0005-0000-0000-00002D5A0000}"/>
    <cellStyle name="Normal 4 6 2 4 2 2 2 2" xfId="6137" xr:uid="{00000000-0005-0000-0000-00002E5A0000}"/>
    <cellStyle name="Normal 4 6 2 4 2 2 2 2 2" xfId="12281" xr:uid="{00000000-0005-0000-0000-00002F5A0000}"/>
    <cellStyle name="Normal 4 6 2 4 2 2 2 2 2 2" xfId="24569" xr:uid="{00000000-0005-0000-0000-0000305A0000}"/>
    <cellStyle name="Normal 4 6 2 4 2 2 2 2 2 2 2" xfId="49145" xr:uid="{00000000-0005-0000-0000-0000315A0000}"/>
    <cellStyle name="Normal 4 6 2 4 2 2 2 2 2 3" xfId="36857" xr:uid="{00000000-0005-0000-0000-0000325A0000}"/>
    <cellStyle name="Normal 4 6 2 4 2 2 2 2 3" xfId="18425" xr:uid="{00000000-0005-0000-0000-0000335A0000}"/>
    <cellStyle name="Normal 4 6 2 4 2 2 2 2 3 2" xfId="43001" xr:uid="{00000000-0005-0000-0000-0000345A0000}"/>
    <cellStyle name="Normal 4 6 2 4 2 2 2 2 4" xfId="30713" xr:uid="{00000000-0005-0000-0000-0000355A0000}"/>
    <cellStyle name="Normal 4 6 2 4 2 2 2 3" xfId="9209" xr:uid="{00000000-0005-0000-0000-0000365A0000}"/>
    <cellStyle name="Normal 4 6 2 4 2 2 2 3 2" xfId="21497" xr:uid="{00000000-0005-0000-0000-0000375A0000}"/>
    <cellStyle name="Normal 4 6 2 4 2 2 2 3 2 2" xfId="46073" xr:uid="{00000000-0005-0000-0000-0000385A0000}"/>
    <cellStyle name="Normal 4 6 2 4 2 2 2 3 3" xfId="33785" xr:uid="{00000000-0005-0000-0000-0000395A0000}"/>
    <cellStyle name="Normal 4 6 2 4 2 2 2 4" xfId="15353" xr:uid="{00000000-0005-0000-0000-00003A5A0000}"/>
    <cellStyle name="Normal 4 6 2 4 2 2 2 4 2" xfId="39929" xr:uid="{00000000-0005-0000-0000-00003B5A0000}"/>
    <cellStyle name="Normal 4 6 2 4 2 2 2 5" xfId="27641" xr:uid="{00000000-0005-0000-0000-00003C5A0000}"/>
    <cellStyle name="Normal 4 6 2 4 2 2 3" xfId="4601" xr:uid="{00000000-0005-0000-0000-00003D5A0000}"/>
    <cellStyle name="Normal 4 6 2 4 2 2 3 2" xfId="10745" xr:uid="{00000000-0005-0000-0000-00003E5A0000}"/>
    <cellStyle name="Normal 4 6 2 4 2 2 3 2 2" xfId="23033" xr:uid="{00000000-0005-0000-0000-00003F5A0000}"/>
    <cellStyle name="Normal 4 6 2 4 2 2 3 2 2 2" xfId="47609" xr:uid="{00000000-0005-0000-0000-0000405A0000}"/>
    <cellStyle name="Normal 4 6 2 4 2 2 3 2 3" xfId="35321" xr:uid="{00000000-0005-0000-0000-0000415A0000}"/>
    <cellStyle name="Normal 4 6 2 4 2 2 3 3" xfId="16889" xr:uid="{00000000-0005-0000-0000-0000425A0000}"/>
    <cellStyle name="Normal 4 6 2 4 2 2 3 3 2" xfId="41465" xr:uid="{00000000-0005-0000-0000-0000435A0000}"/>
    <cellStyle name="Normal 4 6 2 4 2 2 3 4" xfId="29177" xr:uid="{00000000-0005-0000-0000-0000445A0000}"/>
    <cellStyle name="Normal 4 6 2 4 2 2 4" xfId="7673" xr:uid="{00000000-0005-0000-0000-0000455A0000}"/>
    <cellStyle name="Normal 4 6 2 4 2 2 4 2" xfId="19961" xr:uid="{00000000-0005-0000-0000-0000465A0000}"/>
    <cellStyle name="Normal 4 6 2 4 2 2 4 2 2" xfId="44537" xr:uid="{00000000-0005-0000-0000-0000475A0000}"/>
    <cellStyle name="Normal 4 6 2 4 2 2 4 3" xfId="32249" xr:uid="{00000000-0005-0000-0000-0000485A0000}"/>
    <cellStyle name="Normal 4 6 2 4 2 2 5" xfId="13817" xr:uid="{00000000-0005-0000-0000-0000495A0000}"/>
    <cellStyle name="Normal 4 6 2 4 2 2 5 2" xfId="38393" xr:uid="{00000000-0005-0000-0000-00004A5A0000}"/>
    <cellStyle name="Normal 4 6 2 4 2 2 6" xfId="26105" xr:uid="{00000000-0005-0000-0000-00004B5A0000}"/>
    <cellStyle name="Normal 4 6 2 4 2 3" xfId="2293" xr:uid="{00000000-0005-0000-0000-00004C5A0000}"/>
    <cellStyle name="Normal 4 6 2 4 2 3 2" xfId="5369" xr:uid="{00000000-0005-0000-0000-00004D5A0000}"/>
    <cellStyle name="Normal 4 6 2 4 2 3 2 2" xfId="11513" xr:uid="{00000000-0005-0000-0000-00004E5A0000}"/>
    <cellStyle name="Normal 4 6 2 4 2 3 2 2 2" xfId="23801" xr:uid="{00000000-0005-0000-0000-00004F5A0000}"/>
    <cellStyle name="Normal 4 6 2 4 2 3 2 2 2 2" xfId="48377" xr:uid="{00000000-0005-0000-0000-0000505A0000}"/>
    <cellStyle name="Normal 4 6 2 4 2 3 2 2 3" xfId="36089" xr:uid="{00000000-0005-0000-0000-0000515A0000}"/>
    <cellStyle name="Normal 4 6 2 4 2 3 2 3" xfId="17657" xr:uid="{00000000-0005-0000-0000-0000525A0000}"/>
    <cellStyle name="Normal 4 6 2 4 2 3 2 3 2" xfId="42233" xr:uid="{00000000-0005-0000-0000-0000535A0000}"/>
    <cellStyle name="Normal 4 6 2 4 2 3 2 4" xfId="29945" xr:uid="{00000000-0005-0000-0000-0000545A0000}"/>
    <cellStyle name="Normal 4 6 2 4 2 3 3" xfId="8441" xr:uid="{00000000-0005-0000-0000-0000555A0000}"/>
    <cellStyle name="Normal 4 6 2 4 2 3 3 2" xfId="20729" xr:uid="{00000000-0005-0000-0000-0000565A0000}"/>
    <cellStyle name="Normal 4 6 2 4 2 3 3 2 2" xfId="45305" xr:uid="{00000000-0005-0000-0000-0000575A0000}"/>
    <cellStyle name="Normal 4 6 2 4 2 3 3 3" xfId="33017" xr:uid="{00000000-0005-0000-0000-0000585A0000}"/>
    <cellStyle name="Normal 4 6 2 4 2 3 4" xfId="14585" xr:uid="{00000000-0005-0000-0000-0000595A0000}"/>
    <cellStyle name="Normal 4 6 2 4 2 3 4 2" xfId="39161" xr:uid="{00000000-0005-0000-0000-00005A5A0000}"/>
    <cellStyle name="Normal 4 6 2 4 2 3 5" xfId="26873" xr:uid="{00000000-0005-0000-0000-00005B5A0000}"/>
    <cellStyle name="Normal 4 6 2 4 2 4" xfId="3833" xr:uid="{00000000-0005-0000-0000-00005C5A0000}"/>
    <cellStyle name="Normal 4 6 2 4 2 4 2" xfId="9977" xr:uid="{00000000-0005-0000-0000-00005D5A0000}"/>
    <cellStyle name="Normal 4 6 2 4 2 4 2 2" xfId="22265" xr:uid="{00000000-0005-0000-0000-00005E5A0000}"/>
    <cellStyle name="Normal 4 6 2 4 2 4 2 2 2" xfId="46841" xr:uid="{00000000-0005-0000-0000-00005F5A0000}"/>
    <cellStyle name="Normal 4 6 2 4 2 4 2 3" xfId="34553" xr:uid="{00000000-0005-0000-0000-0000605A0000}"/>
    <cellStyle name="Normal 4 6 2 4 2 4 3" xfId="16121" xr:uid="{00000000-0005-0000-0000-0000615A0000}"/>
    <cellStyle name="Normal 4 6 2 4 2 4 3 2" xfId="40697" xr:uid="{00000000-0005-0000-0000-0000625A0000}"/>
    <cellStyle name="Normal 4 6 2 4 2 4 4" xfId="28409" xr:uid="{00000000-0005-0000-0000-0000635A0000}"/>
    <cellStyle name="Normal 4 6 2 4 2 5" xfId="6905" xr:uid="{00000000-0005-0000-0000-0000645A0000}"/>
    <cellStyle name="Normal 4 6 2 4 2 5 2" xfId="19193" xr:uid="{00000000-0005-0000-0000-0000655A0000}"/>
    <cellStyle name="Normal 4 6 2 4 2 5 2 2" xfId="43769" xr:uid="{00000000-0005-0000-0000-0000665A0000}"/>
    <cellStyle name="Normal 4 6 2 4 2 5 3" xfId="31481" xr:uid="{00000000-0005-0000-0000-0000675A0000}"/>
    <cellStyle name="Normal 4 6 2 4 2 6" xfId="13049" xr:uid="{00000000-0005-0000-0000-0000685A0000}"/>
    <cellStyle name="Normal 4 6 2 4 2 6 2" xfId="37625" xr:uid="{00000000-0005-0000-0000-0000695A0000}"/>
    <cellStyle name="Normal 4 6 2 4 2 7" xfId="25337" xr:uid="{00000000-0005-0000-0000-00006A5A0000}"/>
    <cellStyle name="Normal 4 6 2 4 3" xfId="1141" xr:uid="{00000000-0005-0000-0000-00006B5A0000}"/>
    <cellStyle name="Normal 4 6 2 4 3 2" xfId="2677" xr:uid="{00000000-0005-0000-0000-00006C5A0000}"/>
    <cellStyle name="Normal 4 6 2 4 3 2 2" xfId="5753" xr:uid="{00000000-0005-0000-0000-00006D5A0000}"/>
    <cellStyle name="Normal 4 6 2 4 3 2 2 2" xfId="11897" xr:uid="{00000000-0005-0000-0000-00006E5A0000}"/>
    <cellStyle name="Normal 4 6 2 4 3 2 2 2 2" xfId="24185" xr:uid="{00000000-0005-0000-0000-00006F5A0000}"/>
    <cellStyle name="Normal 4 6 2 4 3 2 2 2 2 2" xfId="48761" xr:uid="{00000000-0005-0000-0000-0000705A0000}"/>
    <cellStyle name="Normal 4 6 2 4 3 2 2 2 3" xfId="36473" xr:uid="{00000000-0005-0000-0000-0000715A0000}"/>
    <cellStyle name="Normal 4 6 2 4 3 2 2 3" xfId="18041" xr:uid="{00000000-0005-0000-0000-0000725A0000}"/>
    <cellStyle name="Normal 4 6 2 4 3 2 2 3 2" xfId="42617" xr:uid="{00000000-0005-0000-0000-0000735A0000}"/>
    <cellStyle name="Normal 4 6 2 4 3 2 2 4" xfId="30329" xr:uid="{00000000-0005-0000-0000-0000745A0000}"/>
    <cellStyle name="Normal 4 6 2 4 3 2 3" xfId="8825" xr:uid="{00000000-0005-0000-0000-0000755A0000}"/>
    <cellStyle name="Normal 4 6 2 4 3 2 3 2" xfId="21113" xr:uid="{00000000-0005-0000-0000-0000765A0000}"/>
    <cellStyle name="Normal 4 6 2 4 3 2 3 2 2" xfId="45689" xr:uid="{00000000-0005-0000-0000-0000775A0000}"/>
    <cellStyle name="Normal 4 6 2 4 3 2 3 3" xfId="33401" xr:uid="{00000000-0005-0000-0000-0000785A0000}"/>
    <cellStyle name="Normal 4 6 2 4 3 2 4" xfId="14969" xr:uid="{00000000-0005-0000-0000-0000795A0000}"/>
    <cellStyle name="Normal 4 6 2 4 3 2 4 2" xfId="39545" xr:uid="{00000000-0005-0000-0000-00007A5A0000}"/>
    <cellStyle name="Normal 4 6 2 4 3 2 5" xfId="27257" xr:uid="{00000000-0005-0000-0000-00007B5A0000}"/>
    <cellStyle name="Normal 4 6 2 4 3 3" xfId="4217" xr:uid="{00000000-0005-0000-0000-00007C5A0000}"/>
    <cellStyle name="Normal 4 6 2 4 3 3 2" xfId="10361" xr:uid="{00000000-0005-0000-0000-00007D5A0000}"/>
    <cellStyle name="Normal 4 6 2 4 3 3 2 2" xfId="22649" xr:uid="{00000000-0005-0000-0000-00007E5A0000}"/>
    <cellStyle name="Normal 4 6 2 4 3 3 2 2 2" xfId="47225" xr:uid="{00000000-0005-0000-0000-00007F5A0000}"/>
    <cellStyle name="Normal 4 6 2 4 3 3 2 3" xfId="34937" xr:uid="{00000000-0005-0000-0000-0000805A0000}"/>
    <cellStyle name="Normal 4 6 2 4 3 3 3" xfId="16505" xr:uid="{00000000-0005-0000-0000-0000815A0000}"/>
    <cellStyle name="Normal 4 6 2 4 3 3 3 2" xfId="41081" xr:uid="{00000000-0005-0000-0000-0000825A0000}"/>
    <cellStyle name="Normal 4 6 2 4 3 3 4" xfId="28793" xr:uid="{00000000-0005-0000-0000-0000835A0000}"/>
    <cellStyle name="Normal 4 6 2 4 3 4" xfId="7289" xr:uid="{00000000-0005-0000-0000-0000845A0000}"/>
    <cellStyle name="Normal 4 6 2 4 3 4 2" xfId="19577" xr:uid="{00000000-0005-0000-0000-0000855A0000}"/>
    <cellStyle name="Normal 4 6 2 4 3 4 2 2" xfId="44153" xr:uid="{00000000-0005-0000-0000-0000865A0000}"/>
    <cellStyle name="Normal 4 6 2 4 3 4 3" xfId="31865" xr:uid="{00000000-0005-0000-0000-0000875A0000}"/>
    <cellStyle name="Normal 4 6 2 4 3 5" xfId="13433" xr:uid="{00000000-0005-0000-0000-0000885A0000}"/>
    <cellStyle name="Normal 4 6 2 4 3 5 2" xfId="38009" xr:uid="{00000000-0005-0000-0000-0000895A0000}"/>
    <cellStyle name="Normal 4 6 2 4 3 6" xfId="25721" xr:uid="{00000000-0005-0000-0000-00008A5A0000}"/>
    <cellStyle name="Normal 4 6 2 4 4" xfId="1909" xr:uid="{00000000-0005-0000-0000-00008B5A0000}"/>
    <cellStyle name="Normal 4 6 2 4 4 2" xfId="4985" xr:uid="{00000000-0005-0000-0000-00008C5A0000}"/>
    <cellStyle name="Normal 4 6 2 4 4 2 2" xfId="11129" xr:uid="{00000000-0005-0000-0000-00008D5A0000}"/>
    <cellStyle name="Normal 4 6 2 4 4 2 2 2" xfId="23417" xr:uid="{00000000-0005-0000-0000-00008E5A0000}"/>
    <cellStyle name="Normal 4 6 2 4 4 2 2 2 2" xfId="47993" xr:uid="{00000000-0005-0000-0000-00008F5A0000}"/>
    <cellStyle name="Normal 4 6 2 4 4 2 2 3" xfId="35705" xr:uid="{00000000-0005-0000-0000-0000905A0000}"/>
    <cellStyle name="Normal 4 6 2 4 4 2 3" xfId="17273" xr:uid="{00000000-0005-0000-0000-0000915A0000}"/>
    <cellStyle name="Normal 4 6 2 4 4 2 3 2" xfId="41849" xr:uid="{00000000-0005-0000-0000-0000925A0000}"/>
    <cellStyle name="Normal 4 6 2 4 4 2 4" xfId="29561" xr:uid="{00000000-0005-0000-0000-0000935A0000}"/>
    <cellStyle name="Normal 4 6 2 4 4 3" xfId="8057" xr:uid="{00000000-0005-0000-0000-0000945A0000}"/>
    <cellStyle name="Normal 4 6 2 4 4 3 2" xfId="20345" xr:uid="{00000000-0005-0000-0000-0000955A0000}"/>
    <cellStyle name="Normal 4 6 2 4 4 3 2 2" xfId="44921" xr:uid="{00000000-0005-0000-0000-0000965A0000}"/>
    <cellStyle name="Normal 4 6 2 4 4 3 3" xfId="32633" xr:uid="{00000000-0005-0000-0000-0000975A0000}"/>
    <cellStyle name="Normal 4 6 2 4 4 4" xfId="14201" xr:uid="{00000000-0005-0000-0000-0000985A0000}"/>
    <cellStyle name="Normal 4 6 2 4 4 4 2" xfId="38777" xr:uid="{00000000-0005-0000-0000-0000995A0000}"/>
    <cellStyle name="Normal 4 6 2 4 4 5" xfId="26489" xr:uid="{00000000-0005-0000-0000-00009A5A0000}"/>
    <cellStyle name="Normal 4 6 2 4 5" xfId="3449" xr:uid="{00000000-0005-0000-0000-00009B5A0000}"/>
    <cellStyle name="Normal 4 6 2 4 5 2" xfId="9593" xr:uid="{00000000-0005-0000-0000-00009C5A0000}"/>
    <cellStyle name="Normal 4 6 2 4 5 2 2" xfId="21881" xr:uid="{00000000-0005-0000-0000-00009D5A0000}"/>
    <cellStyle name="Normal 4 6 2 4 5 2 2 2" xfId="46457" xr:uid="{00000000-0005-0000-0000-00009E5A0000}"/>
    <cellStyle name="Normal 4 6 2 4 5 2 3" xfId="34169" xr:uid="{00000000-0005-0000-0000-00009F5A0000}"/>
    <cellStyle name="Normal 4 6 2 4 5 3" xfId="15737" xr:uid="{00000000-0005-0000-0000-0000A05A0000}"/>
    <cellStyle name="Normal 4 6 2 4 5 3 2" xfId="40313" xr:uid="{00000000-0005-0000-0000-0000A15A0000}"/>
    <cellStyle name="Normal 4 6 2 4 5 4" xfId="28025" xr:uid="{00000000-0005-0000-0000-0000A25A0000}"/>
    <cellStyle name="Normal 4 6 2 4 6" xfId="6521" xr:uid="{00000000-0005-0000-0000-0000A35A0000}"/>
    <cellStyle name="Normal 4 6 2 4 6 2" xfId="18809" xr:uid="{00000000-0005-0000-0000-0000A45A0000}"/>
    <cellStyle name="Normal 4 6 2 4 6 2 2" xfId="43385" xr:uid="{00000000-0005-0000-0000-0000A55A0000}"/>
    <cellStyle name="Normal 4 6 2 4 6 3" xfId="31097" xr:uid="{00000000-0005-0000-0000-0000A65A0000}"/>
    <cellStyle name="Normal 4 6 2 4 7" xfId="12665" xr:uid="{00000000-0005-0000-0000-0000A75A0000}"/>
    <cellStyle name="Normal 4 6 2 4 7 2" xfId="37241" xr:uid="{00000000-0005-0000-0000-0000A85A0000}"/>
    <cellStyle name="Normal 4 6 2 4 8" xfId="24953" xr:uid="{00000000-0005-0000-0000-0000A95A0000}"/>
    <cellStyle name="Normal 4 6 2 5" xfId="565" xr:uid="{00000000-0005-0000-0000-0000AA5A0000}"/>
    <cellStyle name="Normal 4 6 2 5 2" xfId="1333" xr:uid="{00000000-0005-0000-0000-0000AB5A0000}"/>
    <cellStyle name="Normal 4 6 2 5 2 2" xfId="2869" xr:uid="{00000000-0005-0000-0000-0000AC5A0000}"/>
    <cellStyle name="Normal 4 6 2 5 2 2 2" xfId="5945" xr:uid="{00000000-0005-0000-0000-0000AD5A0000}"/>
    <cellStyle name="Normal 4 6 2 5 2 2 2 2" xfId="12089" xr:uid="{00000000-0005-0000-0000-0000AE5A0000}"/>
    <cellStyle name="Normal 4 6 2 5 2 2 2 2 2" xfId="24377" xr:uid="{00000000-0005-0000-0000-0000AF5A0000}"/>
    <cellStyle name="Normal 4 6 2 5 2 2 2 2 2 2" xfId="48953" xr:uid="{00000000-0005-0000-0000-0000B05A0000}"/>
    <cellStyle name="Normal 4 6 2 5 2 2 2 2 3" xfId="36665" xr:uid="{00000000-0005-0000-0000-0000B15A0000}"/>
    <cellStyle name="Normal 4 6 2 5 2 2 2 3" xfId="18233" xr:uid="{00000000-0005-0000-0000-0000B25A0000}"/>
    <cellStyle name="Normal 4 6 2 5 2 2 2 3 2" xfId="42809" xr:uid="{00000000-0005-0000-0000-0000B35A0000}"/>
    <cellStyle name="Normal 4 6 2 5 2 2 2 4" xfId="30521" xr:uid="{00000000-0005-0000-0000-0000B45A0000}"/>
    <cellStyle name="Normal 4 6 2 5 2 2 3" xfId="9017" xr:uid="{00000000-0005-0000-0000-0000B55A0000}"/>
    <cellStyle name="Normal 4 6 2 5 2 2 3 2" xfId="21305" xr:uid="{00000000-0005-0000-0000-0000B65A0000}"/>
    <cellStyle name="Normal 4 6 2 5 2 2 3 2 2" xfId="45881" xr:uid="{00000000-0005-0000-0000-0000B75A0000}"/>
    <cellStyle name="Normal 4 6 2 5 2 2 3 3" xfId="33593" xr:uid="{00000000-0005-0000-0000-0000B85A0000}"/>
    <cellStyle name="Normal 4 6 2 5 2 2 4" xfId="15161" xr:uid="{00000000-0005-0000-0000-0000B95A0000}"/>
    <cellStyle name="Normal 4 6 2 5 2 2 4 2" xfId="39737" xr:uid="{00000000-0005-0000-0000-0000BA5A0000}"/>
    <cellStyle name="Normal 4 6 2 5 2 2 5" xfId="27449" xr:uid="{00000000-0005-0000-0000-0000BB5A0000}"/>
    <cellStyle name="Normal 4 6 2 5 2 3" xfId="4409" xr:uid="{00000000-0005-0000-0000-0000BC5A0000}"/>
    <cellStyle name="Normal 4 6 2 5 2 3 2" xfId="10553" xr:uid="{00000000-0005-0000-0000-0000BD5A0000}"/>
    <cellStyle name="Normal 4 6 2 5 2 3 2 2" xfId="22841" xr:uid="{00000000-0005-0000-0000-0000BE5A0000}"/>
    <cellStyle name="Normal 4 6 2 5 2 3 2 2 2" xfId="47417" xr:uid="{00000000-0005-0000-0000-0000BF5A0000}"/>
    <cellStyle name="Normal 4 6 2 5 2 3 2 3" xfId="35129" xr:uid="{00000000-0005-0000-0000-0000C05A0000}"/>
    <cellStyle name="Normal 4 6 2 5 2 3 3" xfId="16697" xr:uid="{00000000-0005-0000-0000-0000C15A0000}"/>
    <cellStyle name="Normal 4 6 2 5 2 3 3 2" xfId="41273" xr:uid="{00000000-0005-0000-0000-0000C25A0000}"/>
    <cellStyle name="Normal 4 6 2 5 2 3 4" xfId="28985" xr:uid="{00000000-0005-0000-0000-0000C35A0000}"/>
    <cellStyle name="Normal 4 6 2 5 2 4" xfId="7481" xr:uid="{00000000-0005-0000-0000-0000C45A0000}"/>
    <cellStyle name="Normal 4 6 2 5 2 4 2" xfId="19769" xr:uid="{00000000-0005-0000-0000-0000C55A0000}"/>
    <cellStyle name="Normal 4 6 2 5 2 4 2 2" xfId="44345" xr:uid="{00000000-0005-0000-0000-0000C65A0000}"/>
    <cellStyle name="Normal 4 6 2 5 2 4 3" xfId="32057" xr:uid="{00000000-0005-0000-0000-0000C75A0000}"/>
    <cellStyle name="Normal 4 6 2 5 2 5" xfId="13625" xr:uid="{00000000-0005-0000-0000-0000C85A0000}"/>
    <cellStyle name="Normal 4 6 2 5 2 5 2" xfId="38201" xr:uid="{00000000-0005-0000-0000-0000C95A0000}"/>
    <cellStyle name="Normal 4 6 2 5 2 6" xfId="25913" xr:uid="{00000000-0005-0000-0000-0000CA5A0000}"/>
    <cellStyle name="Normal 4 6 2 5 3" xfId="2101" xr:uid="{00000000-0005-0000-0000-0000CB5A0000}"/>
    <cellStyle name="Normal 4 6 2 5 3 2" xfId="5177" xr:uid="{00000000-0005-0000-0000-0000CC5A0000}"/>
    <cellStyle name="Normal 4 6 2 5 3 2 2" xfId="11321" xr:uid="{00000000-0005-0000-0000-0000CD5A0000}"/>
    <cellStyle name="Normal 4 6 2 5 3 2 2 2" xfId="23609" xr:uid="{00000000-0005-0000-0000-0000CE5A0000}"/>
    <cellStyle name="Normal 4 6 2 5 3 2 2 2 2" xfId="48185" xr:uid="{00000000-0005-0000-0000-0000CF5A0000}"/>
    <cellStyle name="Normal 4 6 2 5 3 2 2 3" xfId="35897" xr:uid="{00000000-0005-0000-0000-0000D05A0000}"/>
    <cellStyle name="Normal 4 6 2 5 3 2 3" xfId="17465" xr:uid="{00000000-0005-0000-0000-0000D15A0000}"/>
    <cellStyle name="Normal 4 6 2 5 3 2 3 2" xfId="42041" xr:uid="{00000000-0005-0000-0000-0000D25A0000}"/>
    <cellStyle name="Normal 4 6 2 5 3 2 4" xfId="29753" xr:uid="{00000000-0005-0000-0000-0000D35A0000}"/>
    <cellStyle name="Normal 4 6 2 5 3 3" xfId="8249" xr:uid="{00000000-0005-0000-0000-0000D45A0000}"/>
    <cellStyle name="Normal 4 6 2 5 3 3 2" xfId="20537" xr:uid="{00000000-0005-0000-0000-0000D55A0000}"/>
    <cellStyle name="Normal 4 6 2 5 3 3 2 2" xfId="45113" xr:uid="{00000000-0005-0000-0000-0000D65A0000}"/>
    <cellStyle name="Normal 4 6 2 5 3 3 3" xfId="32825" xr:uid="{00000000-0005-0000-0000-0000D75A0000}"/>
    <cellStyle name="Normal 4 6 2 5 3 4" xfId="14393" xr:uid="{00000000-0005-0000-0000-0000D85A0000}"/>
    <cellStyle name="Normal 4 6 2 5 3 4 2" xfId="38969" xr:uid="{00000000-0005-0000-0000-0000D95A0000}"/>
    <cellStyle name="Normal 4 6 2 5 3 5" xfId="26681" xr:uid="{00000000-0005-0000-0000-0000DA5A0000}"/>
    <cellStyle name="Normal 4 6 2 5 4" xfId="3641" xr:uid="{00000000-0005-0000-0000-0000DB5A0000}"/>
    <cellStyle name="Normal 4 6 2 5 4 2" xfId="9785" xr:uid="{00000000-0005-0000-0000-0000DC5A0000}"/>
    <cellStyle name="Normal 4 6 2 5 4 2 2" xfId="22073" xr:uid="{00000000-0005-0000-0000-0000DD5A0000}"/>
    <cellStyle name="Normal 4 6 2 5 4 2 2 2" xfId="46649" xr:uid="{00000000-0005-0000-0000-0000DE5A0000}"/>
    <cellStyle name="Normal 4 6 2 5 4 2 3" xfId="34361" xr:uid="{00000000-0005-0000-0000-0000DF5A0000}"/>
    <cellStyle name="Normal 4 6 2 5 4 3" xfId="15929" xr:uid="{00000000-0005-0000-0000-0000E05A0000}"/>
    <cellStyle name="Normal 4 6 2 5 4 3 2" xfId="40505" xr:uid="{00000000-0005-0000-0000-0000E15A0000}"/>
    <cellStyle name="Normal 4 6 2 5 4 4" xfId="28217" xr:uid="{00000000-0005-0000-0000-0000E25A0000}"/>
    <cellStyle name="Normal 4 6 2 5 5" xfId="6713" xr:uid="{00000000-0005-0000-0000-0000E35A0000}"/>
    <cellStyle name="Normal 4 6 2 5 5 2" xfId="19001" xr:uid="{00000000-0005-0000-0000-0000E45A0000}"/>
    <cellStyle name="Normal 4 6 2 5 5 2 2" xfId="43577" xr:uid="{00000000-0005-0000-0000-0000E55A0000}"/>
    <cellStyle name="Normal 4 6 2 5 5 3" xfId="31289" xr:uid="{00000000-0005-0000-0000-0000E65A0000}"/>
    <cellStyle name="Normal 4 6 2 5 6" xfId="12857" xr:uid="{00000000-0005-0000-0000-0000E75A0000}"/>
    <cellStyle name="Normal 4 6 2 5 6 2" xfId="37433" xr:uid="{00000000-0005-0000-0000-0000E85A0000}"/>
    <cellStyle name="Normal 4 6 2 5 7" xfId="25145" xr:uid="{00000000-0005-0000-0000-0000E95A0000}"/>
    <cellStyle name="Normal 4 6 2 6" xfId="949" xr:uid="{00000000-0005-0000-0000-0000EA5A0000}"/>
    <cellStyle name="Normal 4 6 2 6 2" xfId="2485" xr:uid="{00000000-0005-0000-0000-0000EB5A0000}"/>
    <cellStyle name="Normal 4 6 2 6 2 2" xfId="5561" xr:uid="{00000000-0005-0000-0000-0000EC5A0000}"/>
    <cellStyle name="Normal 4 6 2 6 2 2 2" xfId="11705" xr:uid="{00000000-0005-0000-0000-0000ED5A0000}"/>
    <cellStyle name="Normal 4 6 2 6 2 2 2 2" xfId="23993" xr:uid="{00000000-0005-0000-0000-0000EE5A0000}"/>
    <cellStyle name="Normal 4 6 2 6 2 2 2 2 2" xfId="48569" xr:uid="{00000000-0005-0000-0000-0000EF5A0000}"/>
    <cellStyle name="Normal 4 6 2 6 2 2 2 3" xfId="36281" xr:uid="{00000000-0005-0000-0000-0000F05A0000}"/>
    <cellStyle name="Normal 4 6 2 6 2 2 3" xfId="17849" xr:uid="{00000000-0005-0000-0000-0000F15A0000}"/>
    <cellStyle name="Normal 4 6 2 6 2 2 3 2" xfId="42425" xr:uid="{00000000-0005-0000-0000-0000F25A0000}"/>
    <cellStyle name="Normal 4 6 2 6 2 2 4" xfId="30137" xr:uid="{00000000-0005-0000-0000-0000F35A0000}"/>
    <cellStyle name="Normal 4 6 2 6 2 3" xfId="8633" xr:uid="{00000000-0005-0000-0000-0000F45A0000}"/>
    <cellStyle name="Normal 4 6 2 6 2 3 2" xfId="20921" xr:uid="{00000000-0005-0000-0000-0000F55A0000}"/>
    <cellStyle name="Normal 4 6 2 6 2 3 2 2" xfId="45497" xr:uid="{00000000-0005-0000-0000-0000F65A0000}"/>
    <cellStyle name="Normal 4 6 2 6 2 3 3" xfId="33209" xr:uid="{00000000-0005-0000-0000-0000F75A0000}"/>
    <cellStyle name="Normal 4 6 2 6 2 4" xfId="14777" xr:uid="{00000000-0005-0000-0000-0000F85A0000}"/>
    <cellStyle name="Normal 4 6 2 6 2 4 2" xfId="39353" xr:uid="{00000000-0005-0000-0000-0000F95A0000}"/>
    <cellStyle name="Normal 4 6 2 6 2 5" xfId="27065" xr:uid="{00000000-0005-0000-0000-0000FA5A0000}"/>
    <cellStyle name="Normal 4 6 2 6 3" xfId="4025" xr:uid="{00000000-0005-0000-0000-0000FB5A0000}"/>
    <cellStyle name="Normal 4 6 2 6 3 2" xfId="10169" xr:uid="{00000000-0005-0000-0000-0000FC5A0000}"/>
    <cellStyle name="Normal 4 6 2 6 3 2 2" xfId="22457" xr:uid="{00000000-0005-0000-0000-0000FD5A0000}"/>
    <cellStyle name="Normal 4 6 2 6 3 2 2 2" xfId="47033" xr:uid="{00000000-0005-0000-0000-0000FE5A0000}"/>
    <cellStyle name="Normal 4 6 2 6 3 2 3" xfId="34745" xr:uid="{00000000-0005-0000-0000-0000FF5A0000}"/>
    <cellStyle name="Normal 4 6 2 6 3 3" xfId="16313" xr:uid="{00000000-0005-0000-0000-0000005B0000}"/>
    <cellStyle name="Normal 4 6 2 6 3 3 2" xfId="40889" xr:uid="{00000000-0005-0000-0000-0000015B0000}"/>
    <cellStyle name="Normal 4 6 2 6 3 4" xfId="28601" xr:uid="{00000000-0005-0000-0000-0000025B0000}"/>
    <cellStyle name="Normal 4 6 2 6 4" xfId="7097" xr:uid="{00000000-0005-0000-0000-0000035B0000}"/>
    <cellStyle name="Normal 4 6 2 6 4 2" xfId="19385" xr:uid="{00000000-0005-0000-0000-0000045B0000}"/>
    <cellStyle name="Normal 4 6 2 6 4 2 2" xfId="43961" xr:uid="{00000000-0005-0000-0000-0000055B0000}"/>
    <cellStyle name="Normal 4 6 2 6 4 3" xfId="31673" xr:uid="{00000000-0005-0000-0000-0000065B0000}"/>
    <cellStyle name="Normal 4 6 2 6 5" xfId="13241" xr:uid="{00000000-0005-0000-0000-0000075B0000}"/>
    <cellStyle name="Normal 4 6 2 6 5 2" xfId="37817" xr:uid="{00000000-0005-0000-0000-0000085B0000}"/>
    <cellStyle name="Normal 4 6 2 6 6" xfId="25529" xr:uid="{00000000-0005-0000-0000-0000095B0000}"/>
    <cellStyle name="Normal 4 6 2 7" xfId="1717" xr:uid="{00000000-0005-0000-0000-00000A5B0000}"/>
    <cellStyle name="Normal 4 6 2 7 2" xfId="4793" xr:uid="{00000000-0005-0000-0000-00000B5B0000}"/>
    <cellStyle name="Normal 4 6 2 7 2 2" xfId="10937" xr:uid="{00000000-0005-0000-0000-00000C5B0000}"/>
    <cellStyle name="Normal 4 6 2 7 2 2 2" xfId="23225" xr:uid="{00000000-0005-0000-0000-00000D5B0000}"/>
    <cellStyle name="Normal 4 6 2 7 2 2 2 2" xfId="47801" xr:uid="{00000000-0005-0000-0000-00000E5B0000}"/>
    <cellStyle name="Normal 4 6 2 7 2 2 3" xfId="35513" xr:uid="{00000000-0005-0000-0000-00000F5B0000}"/>
    <cellStyle name="Normal 4 6 2 7 2 3" xfId="17081" xr:uid="{00000000-0005-0000-0000-0000105B0000}"/>
    <cellStyle name="Normal 4 6 2 7 2 3 2" xfId="41657" xr:uid="{00000000-0005-0000-0000-0000115B0000}"/>
    <cellStyle name="Normal 4 6 2 7 2 4" xfId="29369" xr:uid="{00000000-0005-0000-0000-0000125B0000}"/>
    <cellStyle name="Normal 4 6 2 7 3" xfId="7865" xr:uid="{00000000-0005-0000-0000-0000135B0000}"/>
    <cellStyle name="Normal 4 6 2 7 3 2" xfId="20153" xr:uid="{00000000-0005-0000-0000-0000145B0000}"/>
    <cellStyle name="Normal 4 6 2 7 3 2 2" xfId="44729" xr:uid="{00000000-0005-0000-0000-0000155B0000}"/>
    <cellStyle name="Normal 4 6 2 7 3 3" xfId="32441" xr:uid="{00000000-0005-0000-0000-0000165B0000}"/>
    <cellStyle name="Normal 4 6 2 7 4" xfId="14009" xr:uid="{00000000-0005-0000-0000-0000175B0000}"/>
    <cellStyle name="Normal 4 6 2 7 4 2" xfId="38585" xr:uid="{00000000-0005-0000-0000-0000185B0000}"/>
    <cellStyle name="Normal 4 6 2 7 5" xfId="26297" xr:uid="{00000000-0005-0000-0000-0000195B0000}"/>
    <cellStyle name="Normal 4 6 2 8" xfId="3257" xr:uid="{00000000-0005-0000-0000-00001A5B0000}"/>
    <cellStyle name="Normal 4 6 2 8 2" xfId="9401" xr:uid="{00000000-0005-0000-0000-00001B5B0000}"/>
    <cellStyle name="Normal 4 6 2 8 2 2" xfId="21689" xr:uid="{00000000-0005-0000-0000-00001C5B0000}"/>
    <cellStyle name="Normal 4 6 2 8 2 2 2" xfId="46265" xr:uid="{00000000-0005-0000-0000-00001D5B0000}"/>
    <cellStyle name="Normal 4 6 2 8 2 3" xfId="33977" xr:uid="{00000000-0005-0000-0000-00001E5B0000}"/>
    <cellStyle name="Normal 4 6 2 8 3" xfId="15545" xr:uid="{00000000-0005-0000-0000-00001F5B0000}"/>
    <cellStyle name="Normal 4 6 2 8 3 2" xfId="40121" xr:uid="{00000000-0005-0000-0000-0000205B0000}"/>
    <cellStyle name="Normal 4 6 2 8 4" xfId="27833" xr:uid="{00000000-0005-0000-0000-0000215B0000}"/>
    <cellStyle name="Normal 4 6 2 9" xfId="6329" xr:uid="{00000000-0005-0000-0000-0000225B0000}"/>
    <cellStyle name="Normal 4 6 2 9 2" xfId="18617" xr:uid="{00000000-0005-0000-0000-0000235B0000}"/>
    <cellStyle name="Normal 4 6 2 9 2 2" xfId="43193" xr:uid="{00000000-0005-0000-0000-0000245B0000}"/>
    <cellStyle name="Normal 4 6 2 9 3" xfId="30905" xr:uid="{00000000-0005-0000-0000-0000255B0000}"/>
    <cellStyle name="Normal 4 6 3" xfId="213" xr:uid="{00000000-0005-0000-0000-0000265B0000}"/>
    <cellStyle name="Normal 4 6 3 2" xfId="405" xr:uid="{00000000-0005-0000-0000-0000275B0000}"/>
    <cellStyle name="Normal 4 6 3 2 2" xfId="789" xr:uid="{00000000-0005-0000-0000-0000285B0000}"/>
    <cellStyle name="Normal 4 6 3 2 2 2" xfId="1557" xr:uid="{00000000-0005-0000-0000-0000295B0000}"/>
    <cellStyle name="Normal 4 6 3 2 2 2 2" xfId="3093" xr:uid="{00000000-0005-0000-0000-00002A5B0000}"/>
    <cellStyle name="Normal 4 6 3 2 2 2 2 2" xfId="6169" xr:uid="{00000000-0005-0000-0000-00002B5B0000}"/>
    <cellStyle name="Normal 4 6 3 2 2 2 2 2 2" xfId="12313" xr:uid="{00000000-0005-0000-0000-00002C5B0000}"/>
    <cellStyle name="Normal 4 6 3 2 2 2 2 2 2 2" xfId="24601" xr:uid="{00000000-0005-0000-0000-00002D5B0000}"/>
    <cellStyle name="Normal 4 6 3 2 2 2 2 2 2 2 2" xfId="49177" xr:uid="{00000000-0005-0000-0000-00002E5B0000}"/>
    <cellStyle name="Normal 4 6 3 2 2 2 2 2 2 3" xfId="36889" xr:uid="{00000000-0005-0000-0000-00002F5B0000}"/>
    <cellStyle name="Normal 4 6 3 2 2 2 2 2 3" xfId="18457" xr:uid="{00000000-0005-0000-0000-0000305B0000}"/>
    <cellStyle name="Normal 4 6 3 2 2 2 2 2 3 2" xfId="43033" xr:uid="{00000000-0005-0000-0000-0000315B0000}"/>
    <cellStyle name="Normal 4 6 3 2 2 2 2 2 4" xfId="30745" xr:uid="{00000000-0005-0000-0000-0000325B0000}"/>
    <cellStyle name="Normal 4 6 3 2 2 2 2 3" xfId="9241" xr:uid="{00000000-0005-0000-0000-0000335B0000}"/>
    <cellStyle name="Normal 4 6 3 2 2 2 2 3 2" xfId="21529" xr:uid="{00000000-0005-0000-0000-0000345B0000}"/>
    <cellStyle name="Normal 4 6 3 2 2 2 2 3 2 2" xfId="46105" xr:uid="{00000000-0005-0000-0000-0000355B0000}"/>
    <cellStyle name="Normal 4 6 3 2 2 2 2 3 3" xfId="33817" xr:uid="{00000000-0005-0000-0000-0000365B0000}"/>
    <cellStyle name="Normal 4 6 3 2 2 2 2 4" xfId="15385" xr:uid="{00000000-0005-0000-0000-0000375B0000}"/>
    <cellStyle name="Normal 4 6 3 2 2 2 2 4 2" xfId="39961" xr:uid="{00000000-0005-0000-0000-0000385B0000}"/>
    <cellStyle name="Normal 4 6 3 2 2 2 2 5" xfId="27673" xr:uid="{00000000-0005-0000-0000-0000395B0000}"/>
    <cellStyle name="Normal 4 6 3 2 2 2 3" xfId="4633" xr:uid="{00000000-0005-0000-0000-00003A5B0000}"/>
    <cellStyle name="Normal 4 6 3 2 2 2 3 2" xfId="10777" xr:uid="{00000000-0005-0000-0000-00003B5B0000}"/>
    <cellStyle name="Normal 4 6 3 2 2 2 3 2 2" xfId="23065" xr:uid="{00000000-0005-0000-0000-00003C5B0000}"/>
    <cellStyle name="Normal 4 6 3 2 2 2 3 2 2 2" xfId="47641" xr:uid="{00000000-0005-0000-0000-00003D5B0000}"/>
    <cellStyle name="Normal 4 6 3 2 2 2 3 2 3" xfId="35353" xr:uid="{00000000-0005-0000-0000-00003E5B0000}"/>
    <cellStyle name="Normal 4 6 3 2 2 2 3 3" xfId="16921" xr:uid="{00000000-0005-0000-0000-00003F5B0000}"/>
    <cellStyle name="Normal 4 6 3 2 2 2 3 3 2" xfId="41497" xr:uid="{00000000-0005-0000-0000-0000405B0000}"/>
    <cellStyle name="Normal 4 6 3 2 2 2 3 4" xfId="29209" xr:uid="{00000000-0005-0000-0000-0000415B0000}"/>
    <cellStyle name="Normal 4 6 3 2 2 2 4" xfId="7705" xr:uid="{00000000-0005-0000-0000-0000425B0000}"/>
    <cellStyle name="Normal 4 6 3 2 2 2 4 2" xfId="19993" xr:uid="{00000000-0005-0000-0000-0000435B0000}"/>
    <cellStyle name="Normal 4 6 3 2 2 2 4 2 2" xfId="44569" xr:uid="{00000000-0005-0000-0000-0000445B0000}"/>
    <cellStyle name="Normal 4 6 3 2 2 2 4 3" xfId="32281" xr:uid="{00000000-0005-0000-0000-0000455B0000}"/>
    <cellStyle name="Normal 4 6 3 2 2 2 5" xfId="13849" xr:uid="{00000000-0005-0000-0000-0000465B0000}"/>
    <cellStyle name="Normal 4 6 3 2 2 2 5 2" xfId="38425" xr:uid="{00000000-0005-0000-0000-0000475B0000}"/>
    <cellStyle name="Normal 4 6 3 2 2 2 6" xfId="26137" xr:uid="{00000000-0005-0000-0000-0000485B0000}"/>
    <cellStyle name="Normal 4 6 3 2 2 3" xfId="2325" xr:uid="{00000000-0005-0000-0000-0000495B0000}"/>
    <cellStyle name="Normal 4 6 3 2 2 3 2" xfId="5401" xr:uid="{00000000-0005-0000-0000-00004A5B0000}"/>
    <cellStyle name="Normal 4 6 3 2 2 3 2 2" xfId="11545" xr:uid="{00000000-0005-0000-0000-00004B5B0000}"/>
    <cellStyle name="Normal 4 6 3 2 2 3 2 2 2" xfId="23833" xr:uid="{00000000-0005-0000-0000-00004C5B0000}"/>
    <cellStyle name="Normal 4 6 3 2 2 3 2 2 2 2" xfId="48409" xr:uid="{00000000-0005-0000-0000-00004D5B0000}"/>
    <cellStyle name="Normal 4 6 3 2 2 3 2 2 3" xfId="36121" xr:uid="{00000000-0005-0000-0000-00004E5B0000}"/>
    <cellStyle name="Normal 4 6 3 2 2 3 2 3" xfId="17689" xr:uid="{00000000-0005-0000-0000-00004F5B0000}"/>
    <cellStyle name="Normal 4 6 3 2 2 3 2 3 2" xfId="42265" xr:uid="{00000000-0005-0000-0000-0000505B0000}"/>
    <cellStyle name="Normal 4 6 3 2 2 3 2 4" xfId="29977" xr:uid="{00000000-0005-0000-0000-0000515B0000}"/>
    <cellStyle name="Normal 4 6 3 2 2 3 3" xfId="8473" xr:uid="{00000000-0005-0000-0000-0000525B0000}"/>
    <cellStyle name="Normal 4 6 3 2 2 3 3 2" xfId="20761" xr:uid="{00000000-0005-0000-0000-0000535B0000}"/>
    <cellStyle name="Normal 4 6 3 2 2 3 3 2 2" xfId="45337" xr:uid="{00000000-0005-0000-0000-0000545B0000}"/>
    <cellStyle name="Normal 4 6 3 2 2 3 3 3" xfId="33049" xr:uid="{00000000-0005-0000-0000-0000555B0000}"/>
    <cellStyle name="Normal 4 6 3 2 2 3 4" xfId="14617" xr:uid="{00000000-0005-0000-0000-0000565B0000}"/>
    <cellStyle name="Normal 4 6 3 2 2 3 4 2" xfId="39193" xr:uid="{00000000-0005-0000-0000-0000575B0000}"/>
    <cellStyle name="Normal 4 6 3 2 2 3 5" xfId="26905" xr:uid="{00000000-0005-0000-0000-0000585B0000}"/>
    <cellStyle name="Normal 4 6 3 2 2 4" xfId="3865" xr:uid="{00000000-0005-0000-0000-0000595B0000}"/>
    <cellStyle name="Normal 4 6 3 2 2 4 2" xfId="10009" xr:uid="{00000000-0005-0000-0000-00005A5B0000}"/>
    <cellStyle name="Normal 4 6 3 2 2 4 2 2" xfId="22297" xr:uid="{00000000-0005-0000-0000-00005B5B0000}"/>
    <cellStyle name="Normal 4 6 3 2 2 4 2 2 2" xfId="46873" xr:uid="{00000000-0005-0000-0000-00005C5B0000}"/>
    <cellStyle name="Normal 4 6 3 2 2 4 2 3" xfId="34585" xr:uid="{00000000-0005-0000-0000-00005D5B0000}"/>
    <cellStyle name="Normal 4 6 3 2 2 4 3" xfId="16153" xr:uid="{00000000-0005-0000-0000-00005E5B0000}"/>
    <cellStyle name="Normal 4 6 3 2 2 4 3 2" xfId="40729" xr:uid="{00000000-0005-0000-0000-00005F5B0000}"/>
    <cellStyle name="Normal 4 6 3 2 2 4 4" xfId="28441" xr:uid="{00000000-0005-0000-0000-0000605B0000}"/>
    <cellStyle name="Normal 4 6 3 2 2 5" xfId="6937" xr:uid="{00000000-0005-0000-0000-0000615B0000}"/>
    <cellStyle name="Normal 4 6 3 2 2 5 2" xfId="19225" xr:uid="{00000000-0005-0000-0000-0000625B0000}"/>
    <cellStyle name="Normal 4 6 3 2 2 5 2 2" xfId="43801" xr:uid="{00000000-0005-0000-0000-0000635B0000}"/>
    <cellStyle name="Normal 4 6 3 2 2 5 3" xfId="31513" xr:uid="{00000000-0005-0000-0000-0000645B0000}"/>
    <cellStyle name="Normal 4 6 3 2 2 6" xfId="13081" xr:uid="{00000000-0005-0000-0000-0000655B0000}"/>
    <cellStyle name="Normal 4 6 3 2 2 6 2" xfId="37657" xr:uid="{00000000-0005-0000-0000-0000665B0000}"/>
    <cellStyle name="Normal 4 6 3 2 2 7" xfId="25369" xr:uid="{00000000-0005-0000-0000-0000675B0000}"/>
    <cellStyle name="Normal 4 6 3 2 3" xfId="1173" xr:uid="{00000000-0005-0000-0000-0000685B0000}"/>
    <cellStyle name="Normal 4 6 3 2 3 2" xfId="2709" xr:uid="{00000000-0005-0000-0000-0000695B0000}"/>
    <cellStyle name="Normal 4 6 3 2 3 2 2" xfId="5785" xr:uid="{00000000-0005-0000-0000-00006A5B0000}"/>
    <cellStyle name="Normal 4 6 3 2 3 2 2 2" xfId="11929" xr:uid="{00000000-0005-0000-0000-00006B5B0000}"/>
    <cellStyle name="Normal 4 6 3 2 3 2 2 2 2" xfId="24217" xr:uid="{00000000-0005-0000-0000-00006C5B0000}"/>
    <cellStyle name="Normal 4 6 3 2 3 2 2 2 2 2" xfId="48793" xr:uid="{00000000-0005-0000-0000-00006D5B0000}"/>
    <cellStyle name="Normal 4 6 3 2 3 2 2 2 3" xfId="36505" xr:uid="{00000000-0005-0000-0000-00006E5B0000}"/>
    <cellStyle name="Normal 4 6 3 2 3 2 2 3" xfId="18073" xr:uid="{00000000-0005-0000-0000-00006F5B0000}"/>
    <cellStyle name="Normal 4 6 3 2 3 2 2 3 2" xfId="42649" xr:uid="{00000000-0005-0000-0000-0000705B0000}"/>
    <cellStyle name="Normal 4 6 3 2 3 2 2 4" xfId="30361" xr:uid="{00000000-0005-0000-0000-0000715B0000}"/>
    <cellStyle name="Normal 4 6 3 2 3 2 3" xfId="8857" xr:uid="{00000000-0005-0000-0000-0000725B0000}"/>
    <cellStyle name="Normal 4 6 3 2 3 2 3 2" xfId="21145" xr:uid="{00000000-0005-0000-0000-0000735B0000}"/>
    <cellStyle name="Normal 4 6 3 2 3 2 3 2 2" xfId="45721" xr:uid="{00000000-0005-0000-0000-0000745B0000}"/>
    <cellStyle name="Normal 4 6 3 2 3 2 3 3" xfId="33433" xr:uid="{00000000-0005-0000-0000-0000755B0000}"/>
    <cellStyle name="Normal 4 6 3 2 3 2 4" xfId="15001" xr:uid="{00000000-0005-0000-0000-0000765B0000}"/>
    <cellStyle name="Normal 4 6 3 2 3 2 4 2" xfId="39577" xr:uid="{00000000-0005-0000-0000-0000775B0000}"/>
    <cellStyle name="Normal 4 6 3 2 3 2 5" xfId="27289" xr:uid="{00000000-0005-0000-0000-0000785B0000}"/>
    <cellStyle name="Normal 4 6 3 2 3 3" xfId="4249" xr:uid="{00000000-0005-0000-0000-0000795B0000}"/>
    <cellStyle name="Normal 4 6 3 2 3 3 2" xfId="10393" xr:uid="{00000000-0005-0000-0000-00007A5B0000}"/>
    <cellStyle name="Normal 4 6 3 2 3 3 2 2" xfId="22681" xr:uid="{00000000-0005-0000-0000-00007B5B0000}"/>
    <cellStyle name="Normal 4 6 3 2 3 3 2 2 2" xfId="47257" xr:uid="{00000000-0005-0000-0000-00007C5B0000}"/>
    <cellStyle name="Normal 4 6 3 2 3 3 2 3" xfId="34969" xr:uid="{00000000-0005-0000-0000-00007D5B0000}"/>
    <cellStyle name="Normal 4 6 3 2 3 3 3" xfId="16537" xr:uid="{00000000-0005-0000-0000-00007E5B0000}"/>
    <cellStyle name="Normal 4 6 3 2 3 3 3 2" xfId="41113" xr:uid="{00000000-0005-0000-0000-00007F5B0000}"/>
    <cellStyle name="Normal 4 6 3 2 3 3 4" xfId="28825" xr:uid="{00000000-0005-0000-0000-0000805B0000}"/>
    <cellStyle name="Normal 4 6 3 2 3 4" xfId="7321" xr:uid="{00000000-0005-0000-0000-0000815B0000}"/>
    <cellStyle name="Normal 4 6 3 2 3 4 2" xfId="19609" xr:uid="{00000000-0005-0000-0000-0000825B0000}"/>
    <cellStyle name="Normal 4 6 3 2 3 4 2 2" xfId="44185" xr:uid="{00000000-0005-0000-0000-0000835B0000}"/>
    <cellStyle name="Normal 4 6 3 2 3 4 3" xfId="31897" xr:uid="{00000000-0005-0000-0000-0000845B0000}"/>
    <cellStyle name="Normal 4 6 3 2 3 5" xfId="13465" xr:uid="{00000000-0005-0000-0000-0000855B0000}"/>
    <cellStyle name="Normal 4 6 3 2 3 5 2" xfId="38041" xr:uid="{00000000-0005-0000-0000-0000865B0000}"/>
    <cellStyle name="Normal 4 6 3 2 3 6" xfId="25753" xr:uid="{00000000-0005-0000-0000-0000875B0000}"/>
    <cellStyle name="Normal 4 6 3 2 4" xfId="1941" xr:uid="{00000000-0005-0000-0000-0000885B0000}"/>
    <cellStyle name="Normal 4 6 3 2 4 2" xfId="5017" xr:uid="{00000000-0005-0000-0000-0000895B0000}"/>
    <cellStyle name="Normal 4 6 3 2 4 2 2" xfId="11161" xr:uid="{00000000-0005-0000-0000-00008A5B0000}"/>
    <cellStyle name="Normal 4 6 3 2 4 2 2 2" xfId="23449" xr:uid="{00000000-0005-0000-0000-00008B5B0000}"/>
    <cellStyle name="Normal 4 6 3 2 4 2 2 2 2" xfId="48025" xr:uid="{00000000-0005-0000-0000-00008C5B0000}"/>
    <cellStyle name="Normal 4 6 3 2 4 2 2 3" xfId="35737" xr:uid="{00000000-0005-0000-0000-00008D5B0000}"/>
    <cellStyle name="Normal 4 6 3 2 4 2 3" xfId="17305" xr:uid="{00000000-0005-0000-0000-00008E5B0000}"/>
    <cellStyle name="Normal 4 6 3 2 4 2 3 2" xfId="41881" xr:uid="{00000000-0005-0000-0000-00008F5B0000}"/>
    <cellStyle name="Normal 4 6 3 2 4 2 4" xfId="29593" xr:uid="{00000000-0005-0000-0000-0000905B0000}"/>
    <cellStyle name="Normal 4 6 3 2 4 3" xfId="8089" xr:uid="{00000000-0005-0000-0000-0000915B0000}"/>
    <cellStyle name="Normal 4 6 3 2 4 3 2" xfId="20377" xr:uid="{00000000-0005-0000-0000-0000925B0000}"/>
    <cellStyle name="Normal 4 6 3 2 4 3 2 2" xfId="44953" xr:uid="{00000000-0005-0000-0000-0000935B0000}"/>
    <cellStyle name="Normal 4 6 3 2 4 3 3" xfId="32665" xr:uid="{00000000-0005-0000-0000-0000945B0000}"/>
    <cellStyle name="Normal 4 6 3 2 4 4" xfId="14233" xr:uid="{00000000-0005-0000-0000-0000955B0000}"/>
    <cellStyle name="Normal 4 6 3 2 4 4 2" xfId="38809" xr:uid="{00000000-0005-0000-0000-0000965B0000}"/>
    <cellStyle name="Normal 4 6 3 2 4 5" xfId="26521" xr:uid="{00000000-0005-0000-0000-0000975B0000}"/>
    <cellStyle name="Normal 4 6 3 2 5" xfId="3481" xr:uid="{00000000-0005-0000-0000-0000985B0000}"/>
    <cellStyle name="Normal 4 6 3 2 5 2" xfId="9625" xr:uid="{00000000-0005-0000-0000-0000995B0000}"/>
    <cellStyle name="Normal 4 6 3 2 5 2 2" xfId="21913" xr:uid="{00000000-0005-0000-0000-00009A5B0000}"/>
    <cellStyle name="Normal 4 6 3 2 5 2 2 2" xfId="46489" xr:uid="{00000000-0005-0000-0000-00009B5B0000}"/>
    <cellStyle name="Normal 4 6 3 2 5 2 3" xfId="34201" xr:uid="{00000000-0005-0000-0000-00009C5B0000}"/>
    <cellStyle name="Normal 4 6 3 2 5 3" xfId="15769" xr:uid="{00000000-0005-0000-0000-00009D5B0000}"/>
    <cellStyle name="Normal 4 6 3 2 5 3 2" xfId="40345" xr:uid="{00000000-0005-0000-0000-00009E5B0000}"/>
    <cellStyle name="Normal 4 6 3 2 5 4" xfId="28057" xr:uid="{00000000-0005-0000-0000-00009F5B0000}"/>
    <cellStyle name="Normal 4 6 3 2 6" xfId="6553" xr:uid="{00000000-0005-0000-0000-0000A05B0000}"/>
    <cellStyle name="Normal 4 6 3 2 6 2" xfId="18841" xr:uid="{00000000-0005-0000-0000-0000A15B0000}"/>
    <cellStyle name="Normal 4 6 3 2 6 2 2" xfId="43417" xr:uid="{00000000-0005-0000-0000-0000A25B0000}"/>
    <cellStyle name="Normal 4 6 3 2 6 3" xfId="31129" xr:uid="{00000000-0005-0000-0000-0000A35B0000}"/>
    <cellStyle name="Normal 4 6 3 2 7" xfId="12697" xr:uid="{00000000-0005-0000-0000-0000A45B0000}"/>
    <cellStyle name="Normal 4 6 3 2 7 2" xfId="37273" xr:uid="{00000000-0005-0000-0000-0000A55B0000}"/>
    <cellStyle name="Normal 4 6 3 2 8" xfId="24985" xr:uid="{00000000-0005-0000-0000-0000A65B0000}"/>
    <cellStyle name="Normal 4 6 3 3" xfId="597" xr:uid="{00000000-0005-0000-0000-0000A75B0000}"/>
    <cellStyle name="Normal 4 6 3 3 2" xfId="1365" xr:uid="{00000000-0005-0000-0000-0000A85B0000}"/>
    <cellStyle name="Normal 4 6 3 3 2 2" xfId="2901" xr:uid="{00000000-0005-0000-0000-0000A95B0000}"/>
    <cellStyle name="Normal 4 6 3 3 2 2 2" xfId="5977" xr:uid="{00000000-0005-0000-0000-0000AA5B0000}"/>
    <cellStyle name="Normal 4 6 3 3 2 2 2 2" xfId="12121" xr:uid="{00000000-0005-0000-0000-0000AB5B0000}"/>
    <cellStyle name="Normal 4 6 3 3 2 2 2 2 2" xfId="24409" xr:uid="{00000000-0005-0000-0000-0000AC5B0000}"/>
    <cellStyle name="Normal 4 6 3 3 2 2 2 2 2 2" xfId="48985" xr:uid="{00000000-0005-0000-0000-0000AD5B0000}"/>
    <cellStyle name="Normal 4 6 3 3 2 2 2 2 3" xfId="36697" xr:uid="{00000000-0005-0000-0000-0000AE5B0000}"/>
    <cellStyle name="Normal 4 6 3 3 2 2 2 3" xfId="18265" xr:uid="{00000000-0005-0000-0000-0000AF5B0000}"/>
    <cellStyle name="Normal 4 6 3 3 2 2 2 3 2" xfId="42841" xr:uid="{00000000-0005-0000-0000-0000B05B0000}"/>
    <cellStyle name="Normal 4 6 3 3 2 2 2 4" xfId="30553" xr:uid="{00000000-0005-0000-0000-0000B15B0000}"/>
    <cellStyle name="Normal 4 6 3 3 2 2 3" xfId="9049" xr:uid="{00000000-0005-0000-0000-0000B25B0000}"/>
    <cellStyle name="Normal 4 6 3 3 2 2 3 2" xfId="21337" xr:uid="{00000000-0005-0000-0000-0000B35B0000}"/>
    <cellStyle name="Normal 4 6 3 3 2 2 3 2 2" xfId="45913" xr:uid="{00000000-0005-0000-0000-0000B45B0000}"/>
    <cellStyle name="Normal 4 6 3 3 2 2 3 3" xfId="33625" xr:uid="{00000000-0005-0000-0000-0000B55B0000}"/>
    <cellStyle name="Normal 4 6 3 3 2 2 4" xfId="15193" xr:uid="{00000000-0005-0000-0000-0000B65B0000}"/>
    <cellStyle name="Normal 4 6 3 3 2 2 4 2" xfId="39769" xr:uid="{00000000-0005-0000-0000-0000B75B0000}"/>
    <cellStyle name="Normal 4 6 3 3 2 2 5" xfId="27481" xr:uid="{00000000-0005-0000-0000-0000B85B0000}"/>
    <cellStyle name="Normal 4 6 3 3 2 3" xfId="4441" xr:uid="{00000000-0005-0000-0000-0000B95B0000}"/>
    <cellStyle name="Normal 4 6 3 3 2 3 2" xfId="10585" xr:uid="{00000000-0005-0000-0000-0000BA5B0000}"/>
    <cellStyle name="Normal 4 6 3 3 2 3 2 2" xfId="22873" xr:uid="{00000000-0005-0000-0000-0000BB5B0000}"/>
    <cellStyle name="Normal 4 6 3 3 2 3 2 2 2" xfId="47449" xr:uid="{00000000-0005-0000-0000-0000BC5B0000}"/>
    <cellStyle name="Normal 4 6 3 3 2 3 2 3" xfId="35161" xr:uid="{00000000-0005-0000-0000-0000BD5B0000}"/>
    <cellStyle name="Normal 4 6 3 3 2 3 3" xfId="16729" xr:uid="{00000000-0005-0000-0000-0000BE5B0000}"/>
    <cellStyle name="Normal 4 6 3 3 2 3 3 2" xfId="41305" xr:uid="{00000000-0005-0000-0000-0000BF5B0000}"/>
    <cellStyle name="Normal 4 6 3 3 2 3 4" xfId="29017" xr:uid="{00000000-0005-0000-0000-0000C05B0000}"/>
    <cellStyle name="Normal 4 6 3 3 2 4" xfId="7513" xr:uid="{00000000-0005-0000-0000-0000C15B0000}"/>
    <cellStyle name="Normal 4 6 3 3 2 4 2" xfId="19801" xr:uid="{00000000-0005-0000-0000-0000C25B0000}"/>
    <cellStyle name="Normal 4 6 3 3 2 4 2 2" xfId="44377" xr:uid="{00000000-0005-0000-0000-0000C35B0000}"/>
    <cellStyle name="Normal 4 6 3 3 2 4 3" xfId="32089" xr:uid="{00000000-0005-0000-0000-0000C45B0000}"/>
    <cellStyle name="Normal 4 6 3 3 2 5" xfId="13657" xr:uid="{00000000-0005-0000-0000-0000C55B0000}"/>
    <cellStyle name="Normal 4 6 3 3 2 5 2" xfId="38233" xr:uid="{00000000-0005-0000-0000-0000C65B0000}"/>
    <cellStyle name="Normal 4 6 3 3 2 6" xfId="25945" xr:uid="{00000000-0005-0000-0000-0000C75B0000}"/>
    <cellStyle name="Normal 4 6 3 3 3" xfId="2133" xr:uid="{00000000-0005-0000-0000-0000C85B0000}"/>
    <cellStyle name="Normal 4 6 3 3 3 2" xfId="5209" xr:uid="{00000000-0005-0000-0000-0000C95B0000}"/>
    <cellStyle name="Normal 4 6 3 3 3 2 2" xfId="11353" xr:uid="{00000000-0005-0000-0000-0000CA5B0000}"/>
    <cellStyle name="Normal 4 6 3 3 3 2 2 2" xfId="23641" xr:uid="{00000000-0005-0000-0000-0000CB5B0000}"/>
    <cellStyle name="Normal 4 6 3 3 3 2 2 2 2" xfId="48217" xr:uid="{00000000-0005-0000-0000-0000CC5B0000}"/>
    <cellStyle name="Normal 4 6 3 3 3 2 2 3" xfId="35929" xr:uid="{00000000-0005-0000-0000-0000CD5B0000}"/>
    <cellStyle name="Normal 4 6 3 3 3 2 3" xfId="17497" xr:uid="{00000000-0005-0000-0000-0000CE5B0000}"/>
    <cellStyle name="Normal 4 6 3 3 3 2 3 2" xfId="42073" xr:uid="{00000000-0005-0000-0000-0000CF5B0000}"/>
    <cellStyle name="Normal 4 6 3 3 3 2 4" xfId="29785" xr:uid="{00000000-0005-0000-0000-0000D05B0000}"/>
    <cellStyle name="Normal 4 6 3 3 3 3" xfId="8281" xr:uid="{00000000-0005-0000-0000-0000D15B0000}"/>
    <cellStyle name="Normal 4 6 3 3 3 3 2" xfId="20569" xr:uid="{00000000-0005-0000-0000-0000D25B0000}"/>
    <cellStyle name="Normal 4 6 3 3 3 3 2 2" xfId="45145" xr:uid="{00000000-0005-0000-0000-0000D35B0000}"/>
    <cellStyle name="Normal 4 6 3 3 3 3 3" xfId="32857" xr:uid="{00000000-0005-0000-0000-0000D45B0000}"/>
    <cellStyle name="Normal 4 6 3 3 3 4" xfId="14425" xr:uid="{00000000-0005-0000-0000-0000D55B0000}"/>
    <cellStyle name="Normal 4 6 3 3 3 4 2" xfId="39001" xr:uid="{00000000-0005-0000-0000-0000D65B0000}"/>
    <cellStyle name="Normal 4 6 3 3 3 5" xfId="26713" xr:uid="{00000000-0005-0000-0000-0000D75B0000}"/>
    <cellStyle name="Normal 4 6 3 3 4" xfId="3673" xr:uid="{00000000-0005-0000-0000-0000D85B0000}"/>
    <cellStyle name="Normal 4 6 3 3 4 2" xfId="9817" xr:uid="{00000000-0005-0000-0000-0000D95B0000}"/>
    <cellStyle name="Normal 4 6 3 3 4 2 2" xfId="22105" xr:uid="{00000000-0005-0000-0000-0000DA5B0000}"/>
    <cellStyle name="Normal 4 6 3 3 4 2 2 2" xfId="46681" xr:uid="{00000000-0005-0000-0000-0000DB5B0000}"/>
    <cellStyle name="Normal 4 6 3 3 4 2 3" xfId="34393" xr:uid="{00000000-0005-0000-0000-0000DC5B0000}"/>
    <cellStyle name="Normal 4 6 3 3 4 3" xfId="15961" xr:uid="{00000000-0005-0000-0000-0000DD5B0000}"/>
    <cellStyle name="Normal 4 6 3 3 4 3 2" xfId="40537" xr:uid="{00000000-0005-0000-0000-0000DE5B0000}"/>
    <cellStyle name="Normal 4 6 3 3 4 4" xfId="28249" xr:uid="{00000000-0005-0000-0000-0000DF5B0000}"/>
    <cellStyle name="Normal 4 6 3 3 5" xfId="6745" xr:uid="{00000000-0005-0000-0000-0000E05B0000}"/>
    <cellStyle name="Normal 4 6 3 3 5 2" xfId="19033" xr:uid="{00000000-0005-0000-0000-0000E15B0000}"/>
    <cellStyle name="Normal 4 6 3 3 5 2 2" xfId="43609" xr:uid="{00000000-0005-0000-0000-0000E25B0000}"/>
    <cellStyle name="Normal 4 6 3 3 5 3" xfId="31321" xr:uid="{00000000-0005-0000-0000-0000E35B0000}"/>
    <cellStyle name="Normal 4 6 3 3 6" xfId="12889" xr:uid="{00000000-0005-0000-0000-0000E45B0000}"/>
    <cellStyle name="Normal 4 6 3 3 6 2" xfId="37465" xr:uid="{00000000-0005-0000-0000-0000E55B0000}"/>
    <cellStyle name="Normal 4 6 3 3 7" xfId="25177" xr:uid="{00000000-0005-0000-0000-0000E65B0000}"/>
    <cellStyle name="Normal 4 6 3 4" xfId="981" xr:uid="{00000000-0005-0000-0000-0000E75B0000}"/>
    <cellStyle name="Normal 4 6 3 4 2" xfId="2517" xr:uid="{00000000-0005-0000-0000-0000E85B0000}"/>
    <cellStyle name="Normal 4 6 3 4 2 2" xfId="5593" xr:uid="{00000000-0005-0000-0000-0000E95B0000}"/>
    <cellStyle name="Normal 4 6 3 4 2 2 2" xfId="11737" xr:uid="{00000000-0005-0000-0000-0000EA5B0000}"/>
    <cellStyle name="Normal 4 6 3 4 2 2 2 2" xfId="24025" xr:uid="{00000000-0005-0000-0000-0000EB5B0000}"/>
    <cellStyle name="Normal 4 6 3 4 2 2 2 2 2" xfId="48601" xr:uid="{00000000-0005-0000-0000-0000EC5B0000}"/>
    <cellStyle name="Normal 4 6 3 4 2 2 2 3" xfId="36313" xr:uid="{00000000-0005-0000-0000-0000ED5B0000}"/>
    <cellStyle name="Normal 4 6 3 4 2 2 3" xfId="17881" xr:uid="{00000000-0005-0000-0000-0000EE5B0000}"/>
    <cellStyle name="Normal 4 6 3 4 2 2 3 2" xfId="42457" xr:uid="{00000000-0005-0000-0000-0000EF5B0000}"/>
    <cellStyle name="Normal 4 6 3 4 2 2 4" xfId="30169" xr:uid="{00000000-0005-0000-0000-0000F05B0000}"/>
    <cellStyle name="Normal 4 6 3 4 2 3" xfId="8665" xr:uid="{00000000-0005-0000-0000-0000F15B0000}"/>
    <cellStyle name="Normal 4 6 3 4 2 3 2" xfId="20953" xr:uid="{00000000-0005-0000-0000-0000F25B0000}"/>
    <cellStyle name="Normal 4 6 3 4 2 3 2 2" xfId="45529" xr:uid="{00000000-0005-0000-0000-0000F35B0000}"/>
    <cellStyle name="Normal 4 6 3 4 2 3 3" xfId="33241" xr:uid="{00000000-0005-0000-0000-0000F45B0000}"/>
    <cellStyle name="Normal 4 6 3 4 2 4" xfId="14809" xr:uid="{00000000-0005-0000-0000-0000F55B0000}"/>
    <cellStyle name="Normal 4 6 3 4 2 4 2" xfId="39385" xr:uid="{00000000-0005-0000-0000-0000F65B0000}"/>
    <cellStyle name="Normal 4 6 3 4 2 5" xfId="27097" xr:uid="{00000000-0005-0000-0000-0000F75B0000}"/>
    <cellStyle name="Normal 4 6 3 4 3" xfId="4057" xr:uid="{00000000-0005-0000-0000-0000F85B0000}"/>
    <cellStyle name="Normal 4 6 3 4 3 2" xfId="10201" xr:uid="{00000000-0005-0000-0000-0000F95B0000}"/>
    <cellStyle name="Normal 4 6 3 4 3 2 2" xfId="22489" xr:uid="{00000000-0005-0000-0000-0000FA5B0000}"/>
    <cellStyle name="Normal 4 6 3 4 3 2 2 2" xfId="47065" xr:uid="{00000000-0005-0000-0000-0000FB5B0000}"/>
    <cellStyle name="Normal 4 6 3 4 3 2 3" xfId="34777" xr:uid="{00000000-0005-0000-0000-0000FC5B0000}"/>
    <cellStyle name="Normal 4 6 3 4 3 3" xfId="16345" xr:uid="{00000000-0005-0000-0000-0000FD5B0000}"/>
    <cellStyle name="Normal 4 6 3 4 3 3 2" xfId="40921" xr:uid="{00000000-0005-0000-0000-0000FE5B0000}"/>
    <cellStyle name="Normal 4 6 3 4 3 4" xfId="28633" xr:uid="{00000000-0005-0000-0000-0000FF5B0000}"/>
    <cellStyle name="Normal 4 6 3 4 4" xfId="7129" xr:uid="{00000000-0005-0000-0000-0000005C0000}"/>
    <cellStyle name="Normal 4 6 3 4 4 2" xfId="19417" xr:uid="{00000000-0005-0000-0000-0000015C0000}"/>
    <cellStyle name="Normal 4 6 3 4 4 2 2" xfId="43993" xr:uid="{00000000-0005-0000-0000-0000025C0000}"/>
    <cellStyle name="Normal 4 6 3 4 4 3" xfId="31705" xr:uid="{00000000-0005-0000-0000-0000035C0000}"/>
    <cellStyle name="Normal 4 6 3 4 5" xfId="13273" xr:uid="{00000000-0005-0000-0000-0000045C0000}"/>
    <cellStyle name="Normal 4 6 3 4 5 2" xfId="37849" xr:uid="{00000000-0005-0000-0000-0000055C0000}"/>
    <cellStyle name="Normal 4 6 3 4 6" xfId="25561" xr:uid="{00000000-0005-0000-0000-0000065C0000}"/>
    <cellStyle name="Normal 4 6 3 5" xfId="1749" xr:uid="{00000000-0005-0000-0000-0000075C0000}"/>
    <cellStyle name="Normal 4 6 3 5 2" xfId="4825" xr:uid="{00000000-0005-0000-0000-0000085C0000}"/>
    <cellStyle name="Normal 4 6 3 5 2 2" xfId="10969" xr:uid="{00000000-0005-0000-0000-0000095C0000}"/>
    <cellStyle name="Normal 4 6 3 5 2 2 2" xfId="23257" xr:uid="{00000000-0005-0000-0000-00000A5C0000}"/>
    <cellStyle name="Normal 4 6 3 5 2 2 2 2" xfId="47833" xr:uid="{00000000-0005-0000-0000-00000B5C0000}"/>
    <cellStyle name="Normal 4 6 3 5 2 2 3" xfId="35545" xr:uid="{00000000-0005-0000-0000-00000C5C0000}"/>
    <cellStyle name="Normal 4 6 3 5 2 3" xfId="17113" xr:uid="{00000000-0005-0000-0000-00000D5C0000}"/>
    <cellStyle name="Normal 4 6 3 5 2 3 2" xfId="41689" xr:uid="{00000000-0005-0000-0000-00000E5C0000}"/>
    <cellStyle name="Normal 4 6 3 5 2 4" xfId="29401" xr:uid="{00000000-0005-0000-0000-00000F5C0000}"/>
    <cellStyle name="Normal 4 6 3 5 3" xfId="7897" xr:uid="{00000000-0005-0000-0000-0000105C0000}"/>
    <cellStyle name="Normal 4 6 3 5 3 2" xfId="20185" xr:uid="{00000000-0005-0000-0000-0000115C0000}"/>
    <cellStyle name="Normal 4 6 3 5 3 2 2" xfId="44761" xr:uid="{00000000-0005-0000-0000-0000125C0000}"/>
    <cellStyle name="Normal 4 6 3 5 3 3" xfId="32473" xr:uid="{00000000-0005-0000-0000-0000135C0000}"/>
    <cellStyle name="Normal 4 6 3 5 4" xfId="14041" xr:uid="{00000000-0005-0000-0000-0000145C0000}"/>
    <cellStyle name="Normal 4 6 3 5 4 2" xfId="38617" xr:uid="{00000000-0005-0000-0000-0000155C0000}"/>
    <cellStyle name="Normal 4 6 3 5 5" xfId="26329" xr:uid="{00000000-0005-0000-0000-0000165C0000}"/>
    <cellStyle name="Normal 4 6 3 6" xfId="3289" xr:uid="{00000000-0005-0000-0000-0000175C0000}"/>
    <cellStyle name="Normal 4 6 3 6 2" xfId="9433" xr:uid="{00000000-0005-0000-0000-0000185C0000}"/>
    <cellStyle name="Normal 4 6 3 6 2 2" xfId="21721" xr:uid="{00000000-0005-0000-0000-0000195C0000}"/>
    <cellStyle name="Normal 4 6 3 6 2 2 2" xfId="46297" xr:uid="{00000000-0005-0000-0000-00001A5C0000}"/>
    <cellStyle name="Normal 4 6 3 6 2 3" xfId="34009" xr:uid="{00000000-0005-0000-0000-00001B5C0000}"/>
    <cellStyle name="Normal 4 6 3 6 3" xfId="15577" xr:uid="{00000000-0005-0000-0000-00001C5C0000}"/>
    <cellStyle name="Normal 4 6 3 6 3 2" xfId="40153" xr:uid="{00000000-0005-0000-0000-00001D5C0000}"/>
    <cellStyle name="Normal 4 6 3 6 4" xfId="27865" xr:uid="{00000000-0005-0000-0000-00001E5C0000}"/>
    <cellStyle name="Normal 4 6 3 7" xfId="6361" xr:uid="{00000000-0005-0000-0000-00001F5C0000}"/>
    <cellStyle name="Normal 4 6 3 7 2" xfId="18649" xr:uid="{00000000-0005-0000-0000-0000205C0000}"/>
    <cellStyle name="Normal 4 6 3 7 2 2" xfId="43225" xr:uid="{00000000-0005-0000-0000-0000215C0000}"/>
    <cellStyle name="Normal 4 6 3 7 3" xfId="30937" xr:uid="{00000000-0005-0000-0000-0000225C0000}"/>
    <cellStyle name="Normal 4 6 3 8" xfId="12505" xr:uid="{00000000-0005-0000-0000-0000235C0000}"/>
    <cellStyle name="Normal 4 6 3 8 2" xfId="37081" xr:uid="{00000000-0005-0000-0000-0000245C0000}"/>
    <cellStyle name="Normal 4 6 3 9" xfId="24793" xr:uid="{00000000-0005-0000-0000-0000255C0000}"/>
    <cellStyle name="Normal 4 6 4" xfId="277" xr:uid="{00000000-0005-0000-0000-0000265C0000}"/>
    <cellStyle name="Normal 4 6 4 2" xfId="469" xr:uid="{00000000-0005-0000-0000-0000275C0000}"/>
    <cellStyle name="Normal 4 6 4 2 2" xfId="853" xr:uid="{00000000-0005-0000-0000-0000285C0000}"/>
    <cellStyle name="Normal 4 6 4 2 2 2" xfId="1621" xr:uid="{00000000-0005-0000-0000-0000295C0000}"/>
    <cellStyle name="Normal 4 6 4 2 2 2 2" xfId="3157" xr:uid="{00000000-0005-0000-0000-00002A5C0000}"/>
    <cellStyle name="Normal 4 6 4 2 2 2 2 2" xfId="6233" xr:uid="{00000000-0005-0000-0000-00002B5C0000}"/>
    <cellStyle name="Normal 4 6 4 2 2 2 2 2 2" xfId="12377" xr:uid="{00000000-0005-0000-0000-00002C5C0000}"/>
    <cellStyle name="Normal 4 6 4 2 2 2 2 2 2 2" xfId="24665" xr:uid="{00000000-0005-0000-0000-00002D5C0000}"/>
    <cellStyle name="Normal 4 6 4 2 2 2 2 2 2 2 2" xfId="49241" xr:uid="{00000000-0005-0000-0000-00002E5C0000}"/>
    <cellStyle name="Normal 4 6 4 2 2 2 2 2 2 3" xfId="36953" xr:uid="{00000000-0005-0000-0000-00002F5C0000}"/>
    <cellStyle name="Normal 4 6 4 2 2 2 2 2 3" xfId="18521" xr:uid="{00000000-0005-0000-0000-0000305C0000}"/>
    <cellStyle name="Normal 4 6 4 2 2 2 2 2 3 2" xfId="43097" xr:uid="{00000000-0005-0000-0000-0000315C0000}"/>
    <cellStyle name="Normal 4 6 4 2 2 2 2 2 4" xfId="30809" xr:uid="{00000000-0005-0000-0000-0000325C0000}"/>
    <cellStyle name="Normal 4 6 4 2 2 2 2 3" xfId="9305" xr:uid="{00000000-0005-0000-0000-0000335C0000}"/>
    <cellStyle name="Normal 4 6 4 2 2 2 2 3 2" xfId="21593" xr:uid="{00000000-0005-0000-0000-0000345C0000}"/>
    <cellStyle name="Normal 4 6 4 2 2 2 2 3 2 2" xfId="46169" xr:uid="{00000000-0005-0000-0000-0000355C0000}"/>
    <cellStyle name="Normal 4 6 4 2 2 2 2 3 3" xfId="33881" xr:uid="{00000000-0005-0000-0000-0000365C0000}"/>
    <cellStyle name="Normal 4 6 4 2 2 2 2 4" xfId="15449" xr:uid="{00000000-0005-0000-0000-0000375C0000}"/>
    <cellStyle name="Normal 4 6 4 2 2 2 2 4 2" xfId="40025" xr:uid="{00000000-0005-0000-0000-0000385C0000}"/>
    <cellStyle name="Normal 4 6 4 2 2 2 2 5" xfId="27737" xr:uid="{00000000-0005-0000-0000-0000395C0000}"/>
    <cellStyle name="Normal 4 6 4 2 2 2 3" xfId="4697" xr:uid="{00000000-0005-0000-0000-00003A5C0000}"/>
    <cellStyle name="Normal 4 6 4 2 2 2 3 2" xfId="10841" xr:uid="{00000000-0005-0000-0000-00003B5C0000}"/>
    <cellStyle name="Normal 4 6 4 2 2 2 3 2 2" xfId="23129" xr:uid="{00000000-0005-0000-0000-00003C5C0000}"/>
    <cellStyle name="Normal 4 6 4 2 2 2 3 2 2 2" xfId="47705" xr:uid="{00000000-0005-0000-0000-00003D5C0000}"/>
    <cellStyle name="Normal 4 6 4 2 2 2 3 2 3" xfId="35417" xr:uid="{00000000-0005-0000-0000-00003E5C0000}"/>
    <cellStyle name="Normal 4 6 4 2 2 2 3 3" xfId="16985" xr:uid="{00000000-0005-0000-0000-00003F5C0000}"/>
    <cellStyle name="Normal 4 6 4 2 2 2 3 3 2" xfId="41561" xr:uid="{00000000-0005-0000-0000-0000405C0000}"/>
    <cellStyle name="Normal 4 6 4 2 2 2 3 4" xfId="29273" xr:uid="{00000000-0005-0000-0000-0000415C0000}"/>
    <cellStyle name="Normal 4 6 4 2 2 2 4" xfId="7769" xr:uid="{00000000-0005-0000-0000-0000425C0000}"/>
    <cellStyle name="Normal 4 6 4 2 2 2 4 2" xfId="20057" xr:uid="{00000000-0005-0000-0000-0000435C0000}"/>
    <cellStyle name="Normal 4 6 4 2 2 2 4 2 2" xfId="44633" xr:uid="{00000000-0005-0000-0000-0000445C0000}"/>
    <cellStyle name="Normal 4 6 4 2 2 2 4 3" xfId="32345" xr:uid="{00000000-0005-0000-0000-0000455C0000}"/>
    <cellStyle name="Normal 4 6 4 2 2 2 5" xfId="13913" xr:uid="{00000000-0005-0000-0000-0000465C0000}"/>
    <cellStyle name="Normal 4 6 4 2 2 2 5 2" xfId="38489" xr:uid="{00000000-0005-0000-0000-0000475C0000}"/>
    <cellStyle name="Normal 4 6 4 2 2 2 6" xfId="26201" xr:uid="{00000000-0005-0000-0000-0000485C0000}"/>
    <cellStyle name="Normal 4 6 4 2 2 3" xfId="2389" xr:uid="{00000000-0005-0000-0000-0000495C0000}"/>
    <cellStyle name="Normal 4 6 4 2 2 3 2" xfId="5465" xr:uid="{00000000-0005-0000-0000-00004A5C0000}"/>
    <cellStyle name="Normal 4 6 4 2 2 3 2 2" xfId="11609" xr:uid="{00000000-0005-0000-0000-00004B5C0000}"/>
    <cellStyle name="Normal 4 6 4 2 2 3 2 2 2" xfId="23897" xr:uid="{00000000-0005-0000-0000-00004C5C0000}"/>
    <cellStyle name="Normal 4 6 4 2 2 3 2 2 2 2" xfId="48473" xr:uid="{00000000-0005-0000-0000-00004D5C0000}"/>
    <cellStyle name="Normal 4 6 4 2 2 3 2 2 3" xfId="36185" xr:uid="{00000000-0005-0000-0000-00004E5C0000}"/>
    <cellStyle name="Normal 4 6 4 2 2 3 2 3" xfId="17753" xr:uid="{00000000-0005-0000-0000-00004F5C0000}"/>
    <cellStyle name="Normal 4 6 4 2 2 3 2 3 2" xfId="42329" xr:uid="{00000000-0005-0000-0000-0000505C0000}"/>
    <cellStyle name="Normal 4 6 4 2 2 3 2 4" xfId="30041" xr:uid="{00000000-0005-0000-0000-0000515C0000}"/>
    <cellStyle name="Normal 4 6 4 2 2 3 3" xfId="8537" xr:uid="{00000000-0005-0000-0000-0000525C0000}"/>
    <cellStyle name="Normal 4 6 4 2 2 3 3 2" xfId="20825" xr:uid="{00000000-0005-0000-0000-0000535C0000}"/>
    <cellStyle name="Normal 4 6 4 2 2 3 3 2 2" xfId="45401" xr:uid="{00000000-0005-0000-0000-0000545C0000}"/>
    <cellStyle name="Normal 4 6 4 2 2 3 3 3" xfId="33113" xr:uid="{00000000-0005-0000-0000-0000555C0000}"/>
    <cellStyle name="Normal 4 6 4 2 2 3 4" xfId="14681" xr:uid="{00000000-0005-0000-0000-0000565C0000}"/>
    <cellStyle name="Normal 4 6 4 2 2 3 4 2" xfId="39257" xr:uid="{00000000-0005-0000-0000-0000575C0000}"/>
    <cellStyle name="Normal 4 6 4 2 2 3 5" xfId="26969" xr:uid="{00000000-0005-0000-0000-0000585C0000}"/>
    <cellStyle name="Normal 4 6 4 2 2 4" xfId="3929" xr:uid="{00000000-0005-0000-0000-0000595C0000}"/>
    <cellStyle name="Normal 4 6 4 2 2 4 2" xfId="10073" xr:uid="{00000000-0005-0000-0000-00005A5C0000}"/>
    <cellStyle name="Normal 4 6 4 2 2 4 2 2" xfId="22361" xr:uid="{00000000-0005-0000-0000-00005B5C0000}"/>
    <cellStyle name="Normal 4 6 4 2 2 4 2 2 2" xfId="46937" xr:uid="{00000000-0005-0000-0000-00005C5C0000}"/>
    <cellStyle name="Normal 4 6 4 2 2 4 2 3" xfId="34649" xr:uid="{00000000-0005-0000-0000-00005D5C0000}"/>
    <cellStyle name="Normal 4 6 4 2 2 4 3" xfId="16217" xr:uid="{00000000-0005-0000-0000-00005E5C0000}"/>
    <cellStyle name="Normal 4 6 4 2 2 4 3 2" xfId="40793" xr:uid="{00000000-0005-0000-0000-00005F5C0000}"/>
    <cellStyle name="Normal 4 6 4 2 2 4 4" xfId="28505" xr:uid="{00000000-0005-0000-0000-0000605C0000}"/>
    <cellStyle name="Normal 4 6 4 2 2 5" xfId="7001" xr:uid="{00000000-0005-0000-0000-0000615C0000}"/>
    <cellStyle name="Normal 4 6 4 2 2 5 2" xfId="19289" xr:uid="{00000000-0005-0000-0000-0000625C0000}"/>
    <cellStyle name="Normal 4 6 4 2 2 5 2 2" xfId="43865" xr:uid="{00000000-0005-0000-0000-0000635C0000}"/>
    <cellStyle name="Normal 4 6 4 2 2 5 3" xfId="31577" xr:uid="{00000000-0005-0000-0000-0000645C0000}"/>
    <cellStyle name="Normal 4 6 4 2 2 6" xfId="13145" xr:uid="{00000000-0005-0000-0000-0000655C0000}"/>
    <cellStyle name="Normal 4 6 4 2 2 6 2" xfId="37721" xr:uid="{00000000-0005-0000-0000-0000665C0000}"/>
    <cellStyle name="Normal 4 6 4 2 2 7" xfId="25433" xr:uid="{00000000-0005-0000-0000-0000675C0000}"/>
    <cellStyle name="Normal 4 6 4 2 3" xfId="1237" xr:uid="{00000000-0005-0000-0000-0000685C0000}"/>
    <cellStyle name="Normal 4 6 4 2 3 2" xfId="2773" xr:uid="{00000000-0005-0000-0000-0000695C0000}"/>
    <cellStyle name="Normal 4 6 4 2 3 2 2" xfId="5849" xr:uid="{00000000-0005-0000-0000-00006A5C0000}"/>
    <cellStyle name="Normal 4 6 4 2 3 2 2 2" xfId="11993" xr:uid="{00000000-0005-0000-0000-00006B5C0000}"/>
    <cellStyle name="Normal 4 6 4 2 3 2 2 2 2" xfId="24281" xr:uid="{00000000-0005-0000-0000-00006C5C0000}"/>
    <cellStyle name="Normal 4 6 4 2 3 2 2 2 2 2" xfId="48857" xr:uid="{00000000-0005-0000-0000-00006D5C0000}"/>
    <cellStyle name="Normal 4 6 4 2 3 2 2 2 3" xfId="36569" xr:uid="{00000000-0005-0000-0000-00006E5C0000}"/>
    <cellStyle name="Normal 4 6 4 2 3 2 2 3" xfId="18137" xr:uid="{00000000-0005-0000-0000-00006F5C0000}"/>
    <cellStyle name="Normal 4 6 4 2 3 2 2 3 2" xfId="42713" xr:uid="{00000000-0005-0000-0000-0000705C0000}"/>
    <cellStyle name="Normal 4 6 4 2 3 2 2 4" xfId="30425" xr:uid="{00000000-0005-0000-0000-0000715C0000}"/>
    <cellStyle name="Normal 4 6 4 2 3 2 3" xfId="8921" xr:uid="{00000000-0005-0000-0000-0000725C0000}"/>
    <cellStyle name="Normal 4 6 4 2 3 2 3 2" xfId="21209" xr:uid="{00000000-0005-0000-0000-0000735C0000}"/>
    <cellStyle name="Normal 4 6 4 2 3 2 3 2 2" xfId="45785" xr:uid="{00000000-0005-0000-0000-0000745C0000}"/>
    <cellStyle name="Normal 4 6 4 2 3 2 3 3" xfId="33497" xr:uid="{00000000-0005-0000-0000-0000755C0000}"/>
    <cellStyle name="Normal 4 6 4 2 3 2 4" xfId="15065" xr:uid="{00000000-0005-0000-0000-0000765C0000}"/>
    <cellStyle name="Normal 4 6 4 2 3 2 4 2" xfId="39641" xr:uid="{00000000-0005-0000-0000-0000775C0000}"/>
    <cellStyle name="Normal 4 6 4 2 3 2 5" xfId="27353" xr:uid="{00000000-0005-0000-0000-0000785C0000}"/>
    <cellStyle name="Normal 4 6 4 2 3 3" xfId="4313" xr:uid="{00000000-0005-0000-0000-0000795C0000}"/>
    <cellStyle name="Normal 4 6 4 2 3 3 2" xfId="10457" xr:uid="{00000000-0005-0000-0000-00007A5C0000}"/>
    <cellStyle name="Normal 4 6 4 2 3 3 2 2" xfId="22745" xr:uid="{00000000-0005-0000-0000-00007B5C0000}"/>
    <cellStyle name="Normal 4 6 4 2 3 3 2 2 2" xfId="47321" xr:uid="{00000000-0005-0000-0000-00007C5C0000}"/>
    <cellStyle name="Normal 4 6 4 2 3 3 2 3" xfId="35033" xr:uid="{00000000-0005-0000-0000-00007D5C0000}"/>
    <cellStyle name="Normal 4 6 4 2 3 3 3" xfId="16601" xr:uid="{00000000-0005-0000-0000-00007E5C0000}"/>
    <cellStyle name="Normal 4 6 4 2 3 3 3 2" xfId="41177" xr:uid="{00000000-0005-0000-0000-00007F5C0000}"/>
    <cellStyle name="Normal 4 6 4 2 3 3 4" xfId="28889" xr:uid="{00000000-0005-0000-0000-0000805C0000}"/>
    <cellStyle name="Normal 4 6 4 2 3 4" xfId="7385" xr:uid="{00000000-0005-0000-0000-0000815C0000}"/>
    <cellStyle name="Normal 4 6 4 2 3 4 2" xfId="19673" xr:uid="{00000000-0005-0000-0000-0000825C0000}"/>
    <cellStyle name="Normal 4 6 4 2 3 4 2 2" xfId="44249" xr:uid="{00000000-0005-0000-0000-0000835C0000}"/>
    <cellStyle name="Normal 4 6 4 2 3 4 3" xfId="31961" xr:uid="{00000000-0005-0000-0000-0000845C0000}"/>
    <cellStyle name="Normal 4 6 4 2 3 5" xfId="13529" xr:uid="{00000000-0005-0000-0000-0000855C0000}"/>
    <cellStyle name="Normal 4 6 4 2 3 5 2" xfId="38105" xr:uid="{00000000-0005-0000-0000-0000865C0000}"/>
    <cellStyle name="Normal 4 6 4 2 3 6" xfId="25817" xr:uid="{00000000-0005-0000-0000-0000875C0000}"/>
    <cellStyle name="Normal 4 6 4 2 4" xfId="2005" xr:uid="{00000000-0005-0000-0000-0000885C0000}"/>
    <cellStyle name="Normal 4 6 4 2 4 2" xfId="5081" xr:uid="{00000000-0005-0000-0000-0000895C0000}"/>
    <cellStyle name="Normal 4 6 4 2 4 2 2" xfId="11225" xr:uid="{00000000-0005-0000-0000-00008A5C0000}"/>
    <cellStyle name="Normal 4 6 4 2 4 2 2 2" xfId="23513" xr:uid="{00000000-0005-0000-0000-00008B5C0000}"/>
    <cellStyle name="Normal 4 6 4 2 4 2 2 2 2" xfId="48089" xr:uid="{00000000-0005-0000-0000-00008C5C0000}"/>
    <cellStyle name="Normal 4 6 4 2 4 2 2 3" xfId="35801" xr:uid="{00000000-0005-0000-0000-00008D5C0000}"/>
    <cellStyle name="Normal 4 6 4 2 4 2 3" xfId="17369" xr:uid="{00000000-0005-0000-0000-00008E5C0000}"/>
    <cellStyle name="Normal 4 6 4 2 4 2 3 2" xfId="41945" xr:uid="{00000000-0005-0000-0000-00008F5C0000}"/>
    <cellStyle name="Normal 4 6 4 2 4 2 4" xfId="29657" xr:uid="{00000000-0005-0000-0000-0000905C0000}"/>
    <cellStyle name="Normal 4 6 4 2 4 3" xfId="8153" xr:uid="{00000000-0005-0000-0000-0000915C0000}"/>
    <cellStyle name="Normal 4 6 4 2 4 3 2" xfId="20441" xr:uid="{00000000-0005-0000-0000-0000925C0000}"/>
    <cellStyle name="Normal 4 6 4 2 4 3 2 2" xfId="45017" xr:uid="{00000000-0005-0000-0000-0000935C0000}"/>
    <cellStyle name="Normal 4 6 4 2 4 3 3" xfId="32729" xr:uid="{00000000-0005-0000-0000-0000945C0000}"/>
    <cellStyle name="Normal 4 6 4 2 4 4" xfId="14297" xr:uid="{00000000-0005-0000-0000-0000955C0000}"/>
    <cellStyle name="Normal 4 6 4 2 4 4 2" xfId="38873" xr:uid="{00000000-0005-0000-0000-0000965C0000}"/>
    <cellStyle name="Normal 4 6 4 2 4 5" xfId="26585" xr:uid="{00000000-0005-0000-0000-0000975C0000}"/>
    <cellStyle name="Normal 4 6 4 2 5" xfId="3545" xr:uid="{00000000-0005-0000-0000-0000985C0000}"/>
    <cellStyle name="Normal 4 6 4 2 5 2" xfId="9689" xr:uid="{00000000-0005-0000-0000-0000995C0000}"/>
    <cellStyle name="Normal 4 6 4 2 5 2 2" xfId="21977" xr:uid="{00000000-0005-0000-0000-00009A5C0000}"/>
    <cellStyle name="Normal 4 6 4 2 5 2 2 2" xfId="46553" xr:uid="{00000000-0005-0000-0000-00009B5C0000}"/>
    <cellStyle name="Normal 4 6 4 2 5 2 3" xfId="34265" xr:uid="{00000000-0005-0000-0000-00009C5C0000}"/>
    <cellStyle name="Normal 4 6 4 2 5 3" xfId="15833" xr:uid="{00000000-0005-0000-0000-00009D5C0000}"/>
    <cellStyle name="Normal 4 6 4 2 5 3 2" xfId="40409" xr:uid="{00000000-0005-0000-0000-00009E5C0000}"/>
    <cellStyle name="Normal 4 6 4 2 5 4" xfId="28121" xr:uid="{00000000-0005-0000-0000-00009F5C0000}"/>
    <cellStyle name="Normal 4 6 4 2 6" xfId="6617" xr:uid="{00000000-0005-0000-0000-0000A05C0000}"/>
    <cellStyle name="Normal 4 6 4 2 6 2" xfId="18905" xr:uid="{00000000-0005-0000-0000-0000A15C0000}"/>
    <cellStyle name="Normal 4 6 4 2 6 2 2" xfId="43481" xr:uid="{00000000-0005-0000-0000-0000A25C0000}"/>
    <cellStyle name="Normal 4 6 4 2 6 3" xfId="31193" xr:uid="{00000000-0005-0000-0000-0000A35C0000}"/>
    <cellStyle name="Normal 4 6 4 2 7" xfId="12761" xr:uid="{00000000-0005-0000-0000-0000A45C0000}"/>
    <cellStyle name="Normal 4 6 4 2 7 2" xfId="37337" xr:uid="{00000000-0005-0000-0000-0000A55C0000}"/>
    <cellStyle name="Normal 4 6 4 2 8" xfId="25049" xr:uid="{00000000-0005-0000-0000-0000A65C0000}"/>
    <cellStyle name="Normal 4 6 4 3" xfId="661" xr:uid="{00000000-0005-0000-0000-0000A75C0000}"/>
    <cellStyle name="Normal 4 6 4 3 2" xfId="1429" xr:uid="{00000000-0005-0000-0000-0000A85C0000}"/>
    <cellStyle name="Normal 4 6 4 3 2 2" xfId="2965" xr:uid="{00000000-0005-0000-0000-0000A95C0000}"/>
    <cellStyle name="Normal 4 6 4 3 2 2 2" xfId="6041" xr:uid="{00000000-0005-0000-0000-0000AA5C0000}"/>
    <cellStyle name="Normal 4 6 4 3 2 2 2 2" xfId="12185" xr:uid="{00000000-0005-0000-0000-0000AB5C0000}"/>
    <cellStyle name="Normal 4 6 4 3 2 2 2 2 2" xfId="24473" xr:uid="{00000000-0005-0000-0000-0000AC5C0000}"/>
    <cellStyle name="Normal 4 6 4 3 2 2 2 2 2 2" xfId="49049" xr:uid="{00000000-0005-0000-0000-0000AD5C0000}"/>
    <cellStyle name="Normal 4 6 4 3 2 2 2 2 3" xfId="36761" xr:uid="{00000000-0005-0000-0000-0000AE5C0000}"/>
    <cellStyle name="Normal 4 6 4 3 2 2 2 3" xfId="18329" xr:uid="{00000000-0005-0000-0000-0000AF5C0000}"/>
    <cellStyle name="Normal 4 6 4 3 2 2 2 3 2" xfId="42905" xr:uid="{00000000-0005-0000-0000-0000B05C0000}"/>
    <cellStyle name="Normal 4 6 4 3 2 2 2 4" xfId="30617" xr:uid="{00000000-0005-0000-0000-0000B15C0000}"/>
    <cellStyle name="Normal 4 6 4 3 2 2 3" xfId="9113" xr:uid="{00000000-0005-0000-0000-0000B25C0000}"/>
    <cellStyle name="Normal 4 6 4 3 2 2 3 2" xfId="21401" xr:uid="{00000000-0005-0000-0000-0000B35C0000}"/>
    <cellStyle name="Normal 4 6 4 3 2 2 3 2 2" xfId="45977" xr:uid="{00000000-0005-0000-0000-0000B45C0000}"/>
    <cellStyle name="Normal 4 6 4 3 2 2 3 3" xfId="33689" xr:uid="{00000000-0005-0000-0000-0000B55C0000}"/>
    <cellStyle name="Normal 4 6 4 3 2 2 4" xfId="15257" xr:uid="{00000000-0005-0000-0000-0000B65C0000}"/>
    <cellStyle name="Normal 4 6 4 3 2 2 4 2" xfId="39833" xr:uid="{00000000-0005-0000-0000-0000B75C0000}"/>
    <cellStyle name="Normal 4 6 4 3 2 2 5" xfId="27545" xr:uid="{00000000-0005-0000-0000-0000B85C0000}"/>
    <cellStyle name="Normal 4 6 4 3 2 3" xfId="4505" xr:uid="{00000000-0005-0000-0000-0000B95C0000}"/>
    <cellStyle name="Normal 4 6 4 3 2 3 2" xfId="10649" xr:uid="{00000000-0005-0000-0000-0000BA5C0000}"/>
    <cellStyle name="Normal 4 6 4 3 2 3 2 2" xfId="22937" xr:uid="{00000000-0005-0000-0000-0000BB5C0000}"/>
    <cellStyle name="Normal 4 6 4 3 2 3 2 2 2" xfId="47513" xr:uid="{00000000-0005-0000-0000-0000BC5C0000}"/>
    <cellStyle name="Normal 4 6 4 3 2 3 2 3" xfId="35225" xr:uid="{00000000-0005-0000-0000-0000BD5C0000}"/>
    <cellStyle name="Normal 4 6 4 3 2 3 3" xfId="16793" xr:uid="{00000000-0005-0000-0000-0000BE5C0000}"/>
    <cellStyle name="Normal 4 6 4 3 2 3 3 2" xfId="41369" xr:uid="{00000000-0005-0000-0000-0000BF5C0000}"/>
    <cellStyle name="Normal 4 6 4 3 2 3 4" xfId="29081" xr:uid="{00000000-0005-0000-0000-0000C05C0000}"/>
    <cellStyle name="Normal 4 6 4 3 2 4" xfId="7577" xr:uid="{00000000-0005-0000-0000-0000C15C0000}"/>
    <cellStyle name="Normal 4 6 4 3 2 4 2" xfId="19865" xr:uid="{00000000-0005-0000-0000-0000C25C0000}"/>
    <cellStyle name="Normal 4 6 4 3 2 4 2 2" xfId="44441" xr:uid="{00000000-0005-0000-0000-0000C35C0000}"/>
    <cellStyle name="Normal 4 6 4 3 2 4 3" xfId="32153" xr:uid="{00000000-0005-0000-0000-0000C45C0000}"/>
    <cellStyle name="Normal 4 6 4 3 2 5" xfId="13721" xr:uid="{00000000-0005-0000-0000-0000C55C0000}"/>
    <cellStyle name="Normal 4 6 4 3 2 5 2" xfId="38297" xr:uid="{00000000-0005-0000-0000-0000C65C0000}"/>
    <cellStyle name="Normal 4 6 4 3 2 6" xfId="26009" xr:uid="{00000000-0005-0000-0000-0000C75C0000}"/>
    <cellStyle name="Normal 4 6 4 3 3" xfId="2197" xr:uid="{00000000-0005-0000-0000-0000C85C0000}"/>
    <cellStyle name="Normal 4 6 4 3 3 2" xfId="5273" xr:uid="{00000000-0005-0000-0000-0000C95C0000}"/>
    <cellStyle name="Normal 4 6 4 3 3 2 2" xfId="11417" xr:uid="{00000000-0005-0000-0000-0000CA5C0000}"/>
    <cellStyle name="Normal 4 6 4 3 3 2 2 2" xfId="23705" xr:uid="{00000000-0005-0000-0000-0000CB5C0000}"/>
    <cellStyle name="Normal 4 6 4 3 3 2 2 2 2" xfId="48281" xr:uid="{00000000-0005-0000-0000-0000CC5C0000}"/>
    <cellStyle name="Normal 4 6 4 3 3 2 2 3" xfId="35993" xr:uid="{00000000-0005-0000-0000-0000CD5C0000}"/>
    <cellStyle name="Normal 4 6 4 3 3 2 3" xfId="17561" xr:uid="{00000000-0005-0000-0000-0000CE5C0000}"/>
    <cellStyle name="Normal 4 6 4 3 3 2 3 2" xfId="42137" xr:uid="{00000000-0005-0000-0000-0000CF5C0000}"/>
    <cellStyle name="Normal 4 6 4 3 3 2 4" xfId="29849" xr:uid="{00000000-0005-0000-0000-0000D05C0000}"/>
    <cellStyle name="Normal 4 6 4 3 3 3" xfId="8345" xr:uid="{00000000-0005-0000-0000-0000D15C0000}"/>
    <cellStyle name="Normal 4 6 4 3 3 3 2" xfId="20633" xr:uid="{00000000-0005-0000-0000-0000D25C0000}"/>
    <cellStyle name="Normal 4 6 4 3 3 3 2 2" xfId="45209" xr:uid="{00000000-0005-0000-0000-0000D35C0000}"/>
    <cellStyle name="Normal 4 6 4 3 3 3 3" xfId="32921" xr:uid="{00000000-0005-0000-0000-0000D45C0000}"/>
    <cellStyle name="Normal 4 6 4 3 3 4" xfId="14489" xr:uid="{00000000-0005-0000-0000-0000D55C0000}"/>
    <cellStyle name="Normal 4 6 4 3 3 4 2" xfId="39065" xr:uid="{00000000-0005-0000-0000-0000D65C0000}"/>
    <cellStyle name="Normal 4 6 4 3 3 5" xfId="26777" xr:uid="{00000000-0005-0000-0000-0000D75C0000}"/>
    <cellStyle name="Normal 4 6 4 3 4" xfId="3737" xr:uid="{00000000-0005-0000-0000-0000D85C0000}"/>
    <cellStyle name="Normal 4 6 4 3 4 2" xfId="9881" xr:uid="{00000000-0005-0000-0000-0000D95C0000}"/>
    <cellStyle name="Normal 4 6 4 3 4 2 2" xfId="22169" xr:uid="{00000000-0005-0000-0000-0000DA5C0000}"/>
    <cellStyle name="Normal 4 6 4 3 4 2 2 2" xfId="46745" xr:uid="{00000000-0005-0000-0000-0000DB5C0000}"/>
    <cellStyle name="Normal 4 6 4 3 4 2 3" xfId="34457" xr:uid="{00000000-0005-0000-0000-0000DC5C0000}"/>
    <cellStyle name="Normal 4 6 4 3 4 3" xfId="16025" xr:uid="{00000000-0005-0000-0000-0000DD5C0000}"/>
    <cellStyle name="Normal 4 6 4 3 4 3 2" xfId="40601" xr:uid="{00000000-0005-0000-0000-0000DE5C0000}"/>
    <cellStyle name="Normal 4 6 4 3 4 4" xfId="28313" xr:uid="{00000000-0005-0000-0000-0000DF5C0000}"/>
    <cellStyle name="Normal 4 6 4 3 5" xfId="6809" xr:uid="{00000000-0005-0000-0000-0000E05C0000}"/>
    <cellStyle name="Normal 4 6 4 3 5 2" xfId="19097" xr:uid="{00000000-0005-0000-0000-0000E15C0000}"/>
    <cellStyle name="Normal 4 6 4 3 5 2 2" xfId="43673" xr:uid="{00000000-0005-0000-0000-0000E25C0000}"/>
    <cellStyle name="Normal 4 6 4 3 5 3" xfId="31385" xr:uid="{00000000-0005-0000-0000-0000E35C0000}"/>
    <cellStyle name="Normal 4 6 4 3 6" xfId="12953" xr:uid="{00000000-0005-0000-0000-0000E45C0000}"/>
    <cellStyle name="Normal 4 6 4 3 6 2" xfId="37529" xr:uid="{00000000-0005-0000-0000-0000E55C0000}"/>
    <cellStyle name="Normal 4 6 4 3 7" xfId="25241" xr:uid="{00000000-0005-0000-0000-0000E65C0000}"/>
    <cellStyle name="Normal 4 6 4 4" xfId="1045" xr:uid="{00000000-0005-0000-0000-0000E75C0000}"/>
    <cellStyle name="Normal 4 6 4 4 2" xfId="2581" xr:uid="{00000000-0005-0000-0000-0000E85C0000}"/>
    <cellStyle name="Normal 4 6 4 4 2 2" xfId="5657" xr:uid="{00000000-0005-0000-0000-0000E95C0000}"/>
    <cellStyle name="Normal 4 6 4 4 2 2 2" xfId="11801" xr:uid="{00000000-0005-0000-0000-0000EA5C0000}"/>
    <cellStyle name="Normal 4 6 4 4 2 2 2 2" xfId="24089" xr:uid="{00000000-0005-0000-0000-0000EB5C0000}"/>
    <cellStyle name="Normal 4 6 4 4 2 2 2 2 2" xfId="48665" xr:uid="{00000000-0005-0000-0000-0000EC5C0000}"/>
    <cellStyle name="Normal 4 6 4 4 2 2 2 3" xfId="36377" xr:uid="{00000000-0005-0000-0000-0000ED5C0000}"/>
    <cellStyle name="Normal 4 6 4 4 2 2 3" xfId="17945" xr:uid="{00000000-0005-0000-0000-0000EE5C0000}"/>
    <cellStyle name="Normal 4 6 4 4 2 2 3 2" xfId="42521" xr:uid="{00000000-0005-0000-0000-0000EF5C0000}"/>
    <cellStyle name="Normal 4 6 4 4 2 2 4" xfId="30233" xr:uid="{00000000-0005-0000-0000-0000F05C0000}"/>
    <cellStyle name="Normal 4 6 4 4 2 3" xfId="8729" xr:uid="{00000000-0005-0000-0000-0000F15C0000}"/>
    <cellStyle name="Normal 4 6 4 4 2 3 2" xfId="21017" xr:uid="{00000000-0005-0000-0000-0000F25C0000}"/>
    <cellStyle name="Normal 4 6 4 4 2 3 2 2" xfId="45593" xr:uid="{00000000-0005-0000-0000-0000F35C0000}"/>
    <cellStyle name="Normal 4 6 4 4 2 3 3" xfId="33305" xr:uid="{00000000-0005-0000-0000-0000F45C0000}"/>
    <cellStyle name="Normal 4 6 4 4 2 4" xfId="14873" xr:uid="{00000000-0005-0000-0000-0000F55C0000}"/>
    <cellStyle name="Normal 4 6 4 4 2 4 2" xfId="39449" xr:uid="{00000000-0005-0000-0000-0000F65C0000}"/>
    <cellStyle name="Normal 4 6 4 4 2 5" xfId="27161" xr:uid="{00000000-0005-0000-0000-0000F75C0000}"/>
    <cellStyle name="Normal 4 6 4 4 3" xfId="4121" xr:uid="{00000000-0005-0000-0000-0000F85C0000}"/>
    <cellStyle name="Normal 4 6 4 4 3 2" xfId="10265" xr:uid="{00000000-0005-0000-0000-0000F95C0000}"/>
    <cellStyle name="Normal 4 6 4 4 3 2 2" xfId="22553" xr:uid="{00000000-0005-0000-0000-0000FA5C0000}"/>
    <cellStyle name="Normal 4 6 4 4 3 2 2 2" xfId="47129" xr:uid="{00000000-0005-0000-0000-0000FB5C0000}"/>
    <cellStyle name="Normal 4 6 4 4 3 2 3" xfId="34841" xr:uid="{00000000-0005-0000-0000-0000FC5C0000}"/>
    <cellStyle name="Normal 4 6 4 4 3 3" xfId="16409" xr:uid="{00000000-0005-0000-0000-0000FD5C0000}"/>
    <cellStyle name="Normal 4 6 4 4 3 3 2" xfId="40985" xr:uid="{00000000-0005-0000-0000-0000FE5C0000}"/>
    <cellStyle name="Normal 4 6 4 4 3 4" xfId="28697" xr:uid="{00000000-0005-0000-0000-0000FF5C0000}"/>
    <cellStyle name="Normal 4 6 4 4 4" xfId="7193" xr:uid="{00000000-0005-0000-0000-0000005D0000}"/>
    <cellStyle name="Normal 4 6 4 4 4 2" xfId="19481" xr:uid="{00000000-0005-0000-0000-0000015D0000}"/>
    <cellStyle name="Normal 4 6 4 4 4 2 2" xfId="44057" xr:uid="{00000000-0005-0000-0000-0000025D0000}"/>
    <cellStyle name="Normal 4 6 4 4 4 3" xfId="31769" xr:uid="{00000000-0005-0000-0000-0000035D0000}"/>
    <cellStyle name="Normal 4 6 4 4 5" xfId="13337" xr:uid="{00000000-0005-0000-0000-0000045D0000}"/>
    <cellStyle name="Normal 4 6 4 4 5 2" xfId="37913" xr:uid="{00000000-0005-0000-0000-0000055D0000}"/>
    <cellStyle name="Normal 4 6 4 4 6" xfId="25625" xr:uid="{00000000-0005-0000-0000-0000065D0000}"/>
    <cellStyle name="Normal 4 6 4 5" xfId="1813" xr:uid="{00000000-0005-0000-0000-0000075D0000}"/>
    <cellStyle name="Normal 4 6 4 5 2" xfId="4889" xr:uid="{00000000-0005-0000-0000-0000085D0000}"/>
    <cellStyle name="Normal 4 6 4 5 2 2" xfId="11033" xr:uid="{00000000-0005-0000-0000-0000095D0000}"/>
    <cellStyle name="Normal 4 6 4 5 2 2 2" xfId="23321" xr:uid="{00000000-0005-0000-0000-00000A5D0000}"/>
    <cellStyle name="Normal 4 6 4 5 2 2 2 2" xfId="47897" xr:uid="{00000000-0005-0000-0000-00000B5D0000}"/>
    <cellStyle name="Normal 4 6 4 5 2 2 3" xfId="35609" xr:uid="{00000000-0005-0000-0000-00000C5D0000}"/>
    <cellStyle name="Normal 4 6 4 5 2 3" xfId="17177" xr:uid="{00000000-0005-0000-0000-00000D5D0000}"/>
    <cellStyle name="Normal 4 6 4 5 2 3 2" xfId="41753" xr:uid="{00000000-0005-0000-0000-00000E5D0000}"/>
    <cellStyle name="Normal 4 6 4 5 2 4" xfId="29465" xr:uid="{00000000-0005-0000-0000-00000F5D0000}"/>
    <cellStyle name="Normal 4 6 4 5 3" xfId="7961" xr:uid="{00000000-0005-0000-0000-0000105D0000}"/>
    <cellStyle name="Normal 4 6 4 5 3 2" xfId="20249" xr:uid="{00000000-0005-0000-0000-0000115D0000}"/>
    <cellStyle name="Normal 4 6 4 5 3 2 2" xfId="44825" xr:uid="{00000000-0005-0000-0000-0000125D0000}"/>
    <cellStyle name="Normal 4 6 4 5 3 3" xfId="32537" xr:uid="{00000000-0005-0000-0000-0000135D0000}"/>
    <cellStyle name="Normal 4 6 4 5 4" xfId="14105" xr:uid="{00000000-0005-0000-0000-0000145D0000}"/>
    <cellStyle name="Normal 4 6 4 5 4 2" xfId="38681" xr:uid="{00000000-0005-0000-0000-0000155D0000}"/>
    <cellStyle name="Normal 4 6 4 5 5" xfId="26393" xr:uid="{00000000-0005-0000-0000-0000165D0000}"/>
    <cellStyle name="Normal 4 6 4 6" xfId="3353" xr:uid="{00000000-0005-0000-0000-0000175D0000}"/>
    <cellStyle name="Normal 4 6 4 6 2" xfId="9497" xr:uid="{00000000-0005-0000-0000-0000185D0000}"/>
    <cellStyle name="Normal 4 6 4 6 2 2" xfId="21785" xr:uid="{00000000-0005-0000-0000-0000195D0000}"/>
    <cellStyle name="Normal 4 6 4 6 2 2 2" xfId="46361" xr:uid="{00000000-0005-0000-0000-00001A5D0000}"/>
    <cellStyle name="Normal 4 6 4 6 2 3" xfId="34073" xr:uid="{00000000-0005-0000-0000-00001B5D0000}"/>
    <cellStyle name="Normal 4 6 4 6 3" xfId="15641" xr:uid="{00000000-0005-0000-0000-00001C5D0000}"/>
    <cellStyle name="Normal 4 6 4 6 3 2" xfId="40217" xr:uid="{00000000-0005-0000-0000-00001D5D0000}"/>
    <cellStyle name="Normal 4 6 4 6 4" xfId="27929" xr:uid="{00000000-0005-0000-0000-00001E5D0000}"/>
    <cellStyle name="Normal 4 6 4 7" xfId="6425" xr:uid="{00000000-0005-0000-0000-00001F5D0000}"/>
    <cellStyle name="Normal 4 6 4 7 2" xfId="18713" xr:uid="{00000000-0005-0000-0000-0000205D0000}"/>
    <cellStyle name="Normal 4 6 4 7 2 2" xfId="43289" xr:uid="{00000000-0005-0000-0000-0000215D0000}"/>
    <cellStyle name="Normal 4 6 4 7 3" xfId="31001" xr:uid="{00000000-0005-0000-0000-0000225D0000}"/>
    <cellStyle name="Normal 4 6 4 8" xfId="12569" xr:uid="{00000000-0005-0000-0000-0000235D0000}"/>
    <cellStyle name="Normal 4 6 4 8 2" xfId="37145" xr:uid="{00000000-0005-0000-0000-0000245D0000}"/>
    <cellStyle name="Normal 4 6 4 9" xfId="24857" xr:uid="{00000000-0005-0000-0000-0000255D0000}"/>
    <cellStyle name="Normal 4 6 5" xfId="341" xr:uid="{00000000-0005-0000-0000-0000265D0000}"/>
    <cellStyle name="Normal 4 6 5 2" xfId="725" xr:uid="{00000000-0005-0000-0000-0000275D0000}"/>
    <cellStyle name="Normal 4 6 5 2 2" xfId="1493" xr:uid="{00000000-0005-0000-0000-0000285D0000}"/>
    <cellStyle name="Normal 4 6 5 2 2 2" xfId="3029" xr:uid="{00000000-0005-0000-0000-0000295D0000}"/>
    <cellStyle name="Normal 4 6 5 2 2 2 2" xfId="6105" xr:uid="{00000000-0005-0000-0000-00002A5D0000}"/>
    <cellStyle name="Normal 4 6 5 2 2 2 2 2" xfId="12249" xr:uid="{00000000-0005-0000-0000-00002B5D0000}"/>
    <cellStyle name="Normal 4 6 5 2 2 2 2 2 2" xfId="24537" xr:uid="{00000000-0005-0000-0000-00002C5D0000}"/>
    <cellStyle name="Normal 4 6 5 2 2 2 2 2 2 2" xfId="49113" xr:uid="{00000000-0005-0000-0000-00002D5D0000}"/>
    <cellStyle name="Normal 4 6 5 2 2 2 2 2 3" xfId="36825" xr:uid="{00000000-0005-0000-0000-00002E5D0000}"/>
    <cellStyle name="Normal 4 6 5 2 2 2 2 3" xfId="18393" xr:uid="{00000000-0005-0000-0000-00002F5D0000}"/>
    <cellStyle name="Normal 4 6 5 2 2 2 2 3 2" xfId="42969" xr:uid="{00000000-0005-0000-0000-0000305D0000}"/>
    <cellStyle name="Normal 4 6 5 2 2 2 2 4" xfId="30681" xr:uid="{00000000-0005-0000-0000-0000315D0000}"/>
    <cellStyle name="Normal 4 6 5 2 2 2 3" xfId="9177" xr:uid="{00000000-0005-0000-0000-0000325D0000}"/>
    <cellStyle name="Normal 4 6 5 2 2 2 3 2" xfId="21465" xr:uid="{00000000-0005-0000-0000-0000335D0000}"/>
    <cellStyle name="Normal 4 6 5 2 2 2 3 2 2" xfId="46041" xr:uid="{00000000-0005-0000-0000-0000345D0000}"/>
    <cellStyle name="Normal 4 6 5 2 2 2 3 3" xfId="33753" xr:uid="{00000000-0005-0000-0000-0000355D0000}"/>
    <cellStyle name="Normal 4 6 5 2 2 2 4" xfId="15321" xr:uid="{00000000-0005-0000-0000-0000365D0000}"/>
    <cellStyle name="Normal 4 6 5 2 2 2 4 2" xfId="39897" xr:uid="{00000000-0005-0000-0000-0000375D0000}"/>
    <cellStyle name="Normal 4 6 5 2 2 2 5" xfId="27609" xr:uid="{00000000-0005-0000-0000-0000385D0000}"/>
    <cellStyle name="Normal 4 6 5 2 2 3" xfId="4569" xr:uid="{00000000-0005-0000-0000-0000395D0000}"/>
    <cellStyle name="Normal 4 6 5 2 2 3 2" xfId="10713" xr:uid="{00000000-0005-0000-0000-00003A5D0000}"/>
    <cellStyle name="Normal 4 6 5 2 2 3 2 2" xfId="23001" xr:uid="{00000000-0005-0000-0000-00003B5D0000}"/>
    <cellStyle name="Normal 4 6 5 2 2 3 2 2 2" xfId="47577" xr:uid="{00000000-0005-0000-0000-00003C5D0000}"/>
    <cellStyle name="Normal 4 6 5 2 2 3 2 3" xfId="35289" xr:uid="{00000000-0005-0000-0000-00003D5D0000}"/>
    <cellStyle name="Normal 4 6 5 2 2 3 3" xfId="16857" xr:uid="{00000000-0005-0000-0000-00003E5D0000}"/>
    <cellStyle name="Normal 4 6 5 2 2 3 3 2" xfId="41433" xr:uid="{00000000-0005-0000-0000-00003F5D0000}"/>
    <cellStyle name="Normal 4 6 5 2 2 3 4" xfId="29145" xr:uid="{00000000-0005-0000-0000-0000405D0000}"/>
    <cellStyle name="Normal 4 6 5 2 2 4" xfId="7641" xr:uid="{00000000-0005-0000-0000-0000415D0000}"/>
    <cellStyle name="Normal 4 6 5 2 2 4 2" xfId="19929" xr:uid="{00000000-0005-0000-0000-0000425D0000}"/>
    <cellStyle name="Normal 4 6 5 2 2 4 2 2" xfId="44505" xr:uid="{00000000-0005-0000-0000-0000435D0000}"/>
    <cellStyle name="Normal 4 6 5 2 2 4 3" xfId="32217" xr:uid="{00000000-0005-0000-0000-0000445D0000}"/>
    <cellStyle name="Normal 4 6 5 2 2 5" xfId="13785" xr:uid="{00000000-0005-0000-0000-0000455D0000}"/>
    <cellStyle name="Normal 4 6 5 2 2 5 2" xfId="38361" xr:uid="{00000000-0005-0000-0000-0000465D0000}"/>
    <cellStyle name="Normal 4 6 5 2 2 6" xfId="26073" xr:uid="{00000000-0005-0000-0000-0000475D0000}"/>
    <cellStyle name="Normal 4 6 5 2 3" xfId="2261" xr:uid="{00000000-0005-0000-0000-0000485D0000}"/>
    <cellStyle name="Normal 4 6 5 2 3 2" xfId="5337" xr:uid="{00000000-0005-0000-0000-0000495D0000}"/>
    <cellStyle name="Normal 4 6 5 2 3 2 2" xfId="11481" xr:uid="{00000000-0005-0000-0000-00004A5D0000}"/>
    <cellStyle name="Normal 4 6 5 2 3 2 2 2" xfId="23769" xr:uid="{00000000-0005-0000-0000-00004B5D0000}"/>
    <cellStyle name="Normal 4 6 5 2 3 2 2 2 2" xfId="48345" xr:uid="{00000000-0005-0000-0000-00004C5D0000}"/>
    <cellStyle name="Normal 4 6 5 2 3 2 2 3" xfId="36057" xr:uid="{00000000-0005-0000-0000-00004D5D0000}"/>
    <cellStyle name="Normal 4 6 5 2 3 2 3" xfId="17625" xr:uid="{00000000-0005-0000-0000-00004E5D0000}"/>
    <cellStyle name="Normal 4 6 5 2 3 2 3 2" xfId="42201" xr:uid="{00000000-0005-0000-0000-00004F5D0000}"/>
    <cellStyle name="Normal 4 6 5 2 3 2 4" xfId="29913" xr:uid="{00000000-0005-0000-0000-0000505D0000}"/>
    <cellStyle name="Normal 4 6 5 2 3 3" xfId="8409" xr:uid="{00000000-0005-0000-0000-0000515D0000}"/>
    <cellStyle name="Normal 4 6 5 2 3 3 2" xfId="20697" xr:uid="{00000000-0005-0000-0000-0000525D0000}"/>
    <cellStyle name="Normal 4 6 5 2 3 3 2 2" xfId="45273" xr:uid="{00000000-0005-0000-0000-0000535D0000}"/>
    <cellStyle name="Normal 4 6 5 2 3 3 3" xfId="32985" xr:uid="{00000000-0005-0000-0000-0000545D0000}"/>
    <cellStyle name="Normal 4 6 5 2 3 4" xfId="14553" xr:uid="{00000000-0005-0000-0000-0000555D0000}"/>
    <cellStyle name="Normal 4 6 5 2 3 4 2" xfId="39129" xr:uid="{00000000-0005-0000-0000-0000565D0000}"/>
    <cellStyle name="Normal 4 6 5 2 3 5" xfId="26841" xr:uid="{00000000-0005-0000-0000-0000575D0000}"/>
    <cellStyle name="Normal 4 6 5 2 4" xfId="3801" xr:uid="{00000000-0005-0000-0000-0000585D0000}"/>
    <cellStyle name="Normal 4 6 5 2 4 2" xfId="9945" xr:uid="{00000000-0005-0000-0000-0000595D0000}"/>
    <cellStyle name="Normal 4 6 5 2 4 2 2" xfId="22233" xr:uid="{00000000-0005-0000-0000-00005A5D0000}"/>
    <cellStyle name="Normal 4 6 5 2 4 2 2 2" xfId="46809" xr:uid="{00000000-0005-0000-0000-00005B5D0000}"/>
    <cellStyle name="Normal 4 6 5 2 4 2 3" xfId="34521" xr:uid="{00000000-0005-0000-0000-00005C5D0000}"/>
    <cellStyle name="Normal 4 6 5 2 4 3" xfId="16089" xr:uid="{00000000-0005-0000-0000-00005D5D0000}"/>
    <cellStyle name="Normal 4 6 5 2 4 3 2" xfId="40665" xr:uid="{00000000-0005-0000-0000-00005E5D0000}"/>
    <cellStyle name="Normal 4 6 5 2 4 4" xfId="28377" xr:uid="{00000000-0005-0000-0000-00005F5D0000}"/>
    <cellStyle name="Normal 4 6 5 2 5" xfId="6873" xr:uid="{00000000-0005-0000-0000-0000605D0000}"/>
    <cellStyle name="Normal 4 6 5 2 5 2" xfId="19161" xr:uid="{00000000-0005-0000-0000-0000615D0000}"/>
    <cellStyle name="Normal 4 6 5 2 5 2 2" xfId="43737" xr:uid="{00000000-0005-0000-0000-0000625D0000}"/>
    <cellStyle name="Normal 4 6 5 2 5 3" xfId="31449" xr:uid="{00000000-0005-0000-0000-0000635D0000}"/>
    <cellStyle name="Normal 4 6 5 2 6" xfId="13017" xr:uid="{00000000-0005-0000-0000-0000645D0000}"/>
    <cellStyle name="Normal 4 6 5 2 6 2" xfId="37593" xr:uid="{00000000-0005-0000-0000-0000655D0000}"/>
    <cellStyle name="Normal 4 6 5 2 7" xfId="25305" xr:uid="{00000000-0005-0000-0000-0000665D0000}"/>
    <cellStyle name="Normal 4 6 5 3" xfId="1109" xr:uid="{00000000-0005-0000-0000-0000675D0000}"/>
    <cellStyle name="Normal 4 6 5 3 2" xfId="2645" xr:uid="{00000000-0005-0000-0000-0000685D0000}"/>
    <cellStyle name="Normal 4 6 5 3 2 2" xfId="5721" xr:uid="{00000000-0005-0000-0000-0000695D0000}"/>
    <cellStyle name="Normal 4 6 5 3 2 2 2" xfId="11865" xr:uid="{00000000-0005-0000-0000-00006A5D0000}"/>
    <cellStyle name="Normal 4 6 5 3 2 2 2 2" xfId="24153" xr:uid="{00000000-0005-0000-0000-00006B5D0000}"/>
    <cellStyle name="Normal 4 6 5 3 2 2 2 2 2" xfId="48729" xr:uid="{00000000-0005-0000-0000-00006C5D0000}"/>
    <cellStyle name="Normal 4 6 5 3 2 2 2 3" xfId="36441" xr:uid="{00000000-0005-0000-0000-00006D5D0000}"/>
    <cellStyle name="Normal 4 6 5 3 2 2 3" xfId="18009" xr:uid="{00000000-0005-0000-0000-00006E5D0000}"/>
    <cellStyle name="Normal 4 6 5 3 2 2 3 2" xfId="42585" xr:uid="{00000000-0005-0000-0000-00006F5D0000}"/>
    <cellStyle name="Normal 4 6 5 3 2 2 4" xfId="30297" xr:uid="{00000000-0005-0000-0000-0000705D0000}"/>
    <cellStyle name="Normal 4 6 5 3 2 3" xfId="8793" xr:uid="{00000000-0005-0000-0000-0000715D0000}"/>
    <cellStyle name="Normal 4 6 5 3 2 3 2" xfId="21081" xr:uid="{00000000-0005-0000-0000-0000725D0000}"/>
    <cellStyle name="Normal 4 6 5 3 2 3 2 2" xfId="45657" xr:uid="{00000000-0005-0000-0000-0000735D0000}"/>
    <cellStyle name="Normal 4 6 5 3 2 3 3" xfId="33369" xr:uid="{00000000-0005-0000-0000-0000745D0000}"/>
    <cellStyle name="Normal 4 6 5 3 2 4" xfId="14937" xr:uid="{00000000-0005-0000-0000-0000755D0000}"/>
    <cellStyle name="Normal 4 6 5 3 2 4 2" xfId="39513" xr:uid="{00000000-0005-0000-0000-0000765D0000}"/>
    <cellStyle name="Normal 4 6 5 3 2 5" xfId="27225" xr:uid="{00000000-0005-0000-0000-0000775D0000}"/>
    <cellStyle name="Normal 4 6 5 3 3" xfId="4185" xr:uid="{00000000-0005-0000-0000-0000785D0000}"/>
    <cellStyle name="Normal 4 6 5 3 3 2" xfId="10329" xr:uid="{00000000-0005-0000-0000-0000795D0000}"/>
    <cellStyle name="Normal 4 6 5 3 3 2 2" xfId="22617" xr:uid="{00000000-0005-0000-0000-00007A5D0000}"/>
    <cellStyle name="Normal 4 6 5 3 3 2 2 2" xfId="47193" xr:uid="{00000000-0005-0000-0000-00007B5D0000}"/>
    <cellStyle name="Normal 4 6 5 3 3 2 3" xfId="34905" xr:uid="{00000000-0005-0000-0000-00007C5D0000}"/>
    <cellStyle name="Normal 4 6 5 3 3 3" xfId="16473" xr:uid="{00000000-0005-0000-0000-00007D5D0000}"/>
    <cellStyle name="Normal 4 6 5 3 3 3 2" xfId="41049" xr:uid="{00000000-0005-0000-0000-00007E5D0000}"/>
    <cellStyle name="Normal 4 6 5 3 3 4" xfId="28761" xr:uid="{00000000-0005-0000-0000-00007F5D0000}"/>
    <cellStyle name="Normal 4 6 5 3 4" xfId="7257" xr:uid="{00000000-0005-0000-0000-0000805D0000}"/>
    <cellStyle name="Normal 4 6 5 3 4 2" xfId="19545" xr:uid="{00000000-0005-0000-0000-0000815D0000}"/>
    <cellStyle name="Normal 4 6 5 3 4 2 2" xfId="44121" xr:uid="{00000000-0005-0000-0000-0000825D0000}"/>
    <cellStyle name="Normal 4 6 5 3 4 3" xfId="31833" xr:uid="{00000000-0005-0000-0000-0000835D0000}"/>
    <cellStyle name="Normal 4 6 5 3 5" xfId="13401" xr:uid="{00000000-0005-0000-0000-0000845D0000}"/>
    <cellStyle name="Normal 4 6 5 3 5 2" xfId="37977" xr:uid="{00000000-0005-0000-0000-0000855D0000}"/>
    <cellStyle name="Normal 4 6 5 3 6" xfId="25689" xr:uid="{00000000-0005-0000-0000-0000865D0000}"/>
    <cellStyle name="Normal 4 6 5 4" xfId="1877" xr:uid="{00000000-0005-0000-0000-0000875D0000}"/>
    <cellStyle name="Normal 4 6 5 4 2" xfId="4953" xr:uid="{00000000-0005-0000-0000-0000885D0000}"/>
    <cellStyle name="Normal 4 6 5 4 2 2" xfId="11097" xr:uid="{00000000-0005-0000-0000-0000895D0000}"/>
    <cellStyle name="Normal 4 6 5 4 2 2 2" xfId="23385" xr:uid="{00000000-0005-0000-0000-00008A5D0000}"/>
    <cellStyle name="Normal 4 6 5 4 2 2 2 2" xfId="47961" xr:uid="{00000000-0005-0000-0000-00008B5D0000}"/>
    <cellStyle name="Normal 4 6 5 4 2 2 3" xfId="35673" xr:uid="{00000000-0005-0000-0000-00008C5D0000}"/>
    <cellStyle name="Normal 4 6 5 4 2 3" xfId="17241" xr:uid="{00000000-0005-0000-0000-00008D5D0000}"/>
    <cellStyle name="Normal 4 6 5 4 2 3 2" xfId="41817" xr:uid="{00000000-0005-0000-0000-00008E5D0000}"/>
    <cellStyle name="Normal 4 6 5 4 2 4" xfId="29529" xr:uid="{00000000-0005-0000-0000-00008F5D0000}"/>
    <cellStyle name="Normal 4 6 5 4 3" xfId="8025" xr:uid="{00000000-0005-0000-0000-0000905D0000}"/>
    <cellStyle name="Normal 4 6 5 4 3 2" xfId="20313" xr:uid="{00000000-0005-0000-0000-0000915D0000}"/>
    <cellStyle name="Normal 4 6 5 4 3 2 2" xfId="44889" xr:uid="{00000000-0005-0000-0000-0000925D0000}"/>
    <cellStyle name="Normal 4 6 5 4 3 3" xfId="32601" xr:uid="{00000000-0005-0000-0000-0000935D0000}"/>
    <cellStyle name="Normal 4 6 5 4 4" xfId="14169" xr:uid="{00000000-0005-0000-0000-0000945D0000}"/>
    <cellStyle name="Normal 4 6 5 4 4 2" xfId="38745" xr:uid="{00000000-0005-0000-0000-0000955D0000}"/>
    <cellStyle name="Normal 4 6 5 4 5" xfId="26457" xr:uid="{00000000-0005-0000-0000-0000965D0000}"/>
    <cellStyle name="Normal 4 6 5 5" xfId="3417" xr:uid="{00000000-0005-0000-0000-0000975D0000}"/>
    <cellStyle name="Normal 4 6 5 5 2" xfId="9561" xr:uid="{00000000-0005-0000-0000-0000985D0000}"/>
    <cellStyle name="Normal 4 6 5 5 2 2" xfId="21849" xr:uid="{00000000-0005-0000-0000-0000995D0000}"/>
    <cellStyle name="Normal 4 6 5 5 2 2 2" xfId="46425" xr:uid="{00000000-0005-0000-0000-00009A5D0000}"/>
    <cellStyle name="Normal 4 6 5 5 2 3" xfId="34137" xr:uid="{00000000-0005-0000-0000-00009B5D0000}"/>
    <cellStyle name="Normal 4 6 5 5 3" xfId="15705" xr:uid="{00000000-0005-0000-0000-00009C5D0000}"/>
    <cellStyle name="Normal 4 6 5 5 3 2" xfId="40281" xr:uid="{00000000-0005-0000-0000-00009D5D0000}"/>
    <cellStyle name="Normal 4 6 5 5 4" xfId="27993" xr:uid="{00000000-0005-0000-0000-00009E5D0000}"/>
    <cellStyle name="Normal 4 6 5 6" xfId="6489" xr:uid="{00000000-0005-0000-0000-00009F5D0000}"/>
    <cellStyle name="Normal 4 6 5 6 2" xfId="18777" xr:uid="{00000000-0005-0000-0000-0000A05D0000}"/>
    <cellStyle name="Normal 4 6 5 6 2 2" xfId="43353" xr:uid="{00000000-0005-0000-0000-0000A15D0000}"/>
    <cellStyle name="Normal 4 6 5 6 3" xfId="31065" xr:uid="{00000000-0005-0000-0000-0000A25D0000}"/>
    <cellStyle name="Normal 4 6 5 7" xfId="12633" xr:uid="{00000000-0005-0000-0000-0000A35D0000}"/>
    <cellStyle name="Normal 4 6 5 7 2" xfId="37209" xr:uid="{00000000-0005-0000-0000-0000A45D0000}"/>
    <cellStyle name="Normal 4 6 5 8" xfId="24921" xr:uid="{00000000-0005-0000-0000-0000A55D0000}"/>
    <cellStyle name="Normal 4 6 6" xfId="533" xr:uid="{00000000-0005-0000-0000-0000A65D0000}"/>
    <cellStyle name="Normal 4 6 6 2" xfId="1301" xr:uid="{00000000-0005-0000-0000-0000A75D0000}"/>
    <cellStyle name="Normal 4 6 6 2 2" xfId="2837" xr:uid="{00000000-0005-0000-0000-0000A85D0000}"/>
    <cellStyle name="Normal 4 6 6 2 2 2" xfId="5913" xr:uid="{00000000-0005-0000-0000-0000A95D0000}"/>
    <cellStyle name="Normal 4 6 6 2 2 2 2" xfId="12057" xr:uid="{00000000-0005-0000-0000-0000AA5D0000}"/>
    <cellStyle name="Normal 4 6 6 2 2 2 2 2" xfId="24345" xr:uid="{00000000-0005-0000-0000-0000AB5D0000}"/>
    <cellStyle name="Normal 4 6 6 2 2 2 2 2 2" xfId="48921" xr:uid="{00000000-0005-0000-0000-0000AC5D0000}"/>
    <cellStyle name="Normal 4 6 6 2 2 2 2 3" xfId="36633" xr:uid="{00000000-0005-0000-0000-0000AD5D0000}"/>
    <cellStyle name="Normal 4 6 6 2 2 2 3" xfId="18201" xr:uid="{00000000-0005-0000-0000-0000AE5D0000}"/>
    <cellStyle name="Normal 4 6 6 2 2 2 3 2" xfId="42777" xr:uid="{00000000-0005-0000-0000-0000AF5D0000}"/>
    <cellStyle name="Normal 4 6 6 2 2 2 4" xfId="30489" xr:uid="{00000000-0005-0000-0000-0000B05D0000}"/>
    <cellStyle name="Normal 4 6 6 2 2 3" xfId="8985" xr:uid="{00000000-0005-0000-0000-0000B15D0000}"/>
    <cellStyle name="Normal 4 6 6 2 2 3 2" xfId="21273" xr:uid="{00000000-0005-0000-0000-0000B25D0000}"/>
    <cellStyle name="Normal 4 6 6 2 2 3 2 2" xfId="45849" xr:uid="{00000000-0005-0000-0000-0000B35D0000}"/>
    <cellStyle name="Normal 4 6 6 2 2 3 3" xfId="33561" xr:uid="{00000000-0005-0000-0000-0000B45D0000}"/>
    <cellStyle name="Normal 4 6 6 2 2 4" xfId="15129" xr:uid="{00000000-0005-0000-0000-0000B55D0000}"/>
    <cellStyle name="Normal 4 6 6 2 2 4 2" xfId="39705" xr:uid="{00000000-0005-0000-0000-0000B65D0000}"/>
    <cellStyle name="Normal 4 6 6 2 2 5" xfId="27417" xr:uid="{00000000-0005-0000-0000-0000B75D0000}"/>
    <cellStyle name="Normal 4 6 6 2 3" xfId="4377" xr:uid="{00000000-0005-0000-0000-0000B85D0000}"/>
    <cellStyle name="Normal 4 6 6 2 3 2" xfId="10521" xr:uid="{00000000-0005-0000-0000-0000B95D0000}"/>
    <cellStyle name="Normal 4 6 6 2 3 2 2" xfId="22809" xr:uid="{00000000-0005-0000-0000-0000BA5D0000}"/>
    <cellStyle name="Normal 4 6 6 2 3 2 2 2" xfId="47385" xr:uid="{00000000-0005-0000-0000-0000BB5D0000}"/>
    <cellStyle name="Normal 4 6 6 2 3 2 3" xfId="35097" xr:uid="{00000000-0005-0000-0000-0000BC5D0000}"/>
    <cellStyle name="Normal 4 6 6 2 3 3" xfId="16665" xr:uid="{00000000-0005-0000-0000-0000BD5D0000}"/>
    <cellStyle name="Normal 4 6 6 2 3 3 2" xfId="41241" xr:uid="{00000000-0005-0000-0000-0000BE5D0000}"/>
    <cellStyle name="Normal 4 6 6 2 3 4" xfId="28953" xr:uid="{00000000-0005-0000-0000-0000BF5D0000}"/>
    <cellStyle name="Normal 4 6 6 2 4" xfId="7449" xr:uid="{00000000-0005-0000-0000-0000C05D0000}"/>
    <cellStyle name="Normal 4 6 6 2 4 2" xfId="19737" xr:uid="{00000000-0005-0000-0000-0000C15D0000}"/>
    <cellStyle name="Normal 4 6 6 2 4 2 2" xfId="44313" xr:uid="{00000000-0005-0000-0000-0000C25D0000}"/>
    <cellStyle name="Normal 4 6 6 2 4 3" xfId="32025" xr:uid="{00000000-0005-0000-0000-0000C35D0000}"/>
    <cellStyle name="Normal 4 6 6 2 5" xfId="13593" xr:uid="{00000000-0005-0000-0000-0000C45D0000}"/>
    <cellStyle name="Normal 4 6 6 2 5 2" xfId="38169" xr:uid="{00000000-0005-0000-0000-0000C55D0000}"/>
    <cellStyle name="Normal 4 6 6 2 6" xfId="25881" xr:uid="{00000000-0005-0000-0000-0000C65D0000}"/>
    <cellStyle name="Normal 4 6 6 3" xfId="2069" xr:uid="{00000000-0005-0000-0000-0000C75D0000}"/>
    <cellStyle name="Normal 4 6 6 3 2" xfId="5145" xr:uid="{00000000-0005-0000-0000-0000C85D0000}"/>
    <cellStyle name="Normal 4 6 6 3 2 2" xfId="11289" xr:uid="{00000000-0005-0000-0000-0000C95D0000}"/>
    <cellStyle name="Normal 4 6 6 3 2 2 2" xfId="23577" xr:uid="{00000000-0005-0000-0000-0000CA5D0000}"/>
    <cellStyle name="Normal 4 6 6 3 2 2 2 2" xfId="48153" xr:uid="{00000000-0005-0000-0000-0000CB5D0000}"/>
    <cellStyle name="Normal 4 6 6 3 2 2 3" xfId="35865" xr:uid="{00000000-0005-0000-0000-0000CC5D0000}"/>
    <cellStyle name="Normal 4 6 6 3 2 3" xfId="17433" xr:uid="{00000000-0005-0000-0000-0000CD5D0000}"/>
    <cellStyle name="Normal 4 6 6 3 2 3 2" xfId="42009" xr:uid="{00000000-0005-0000-0000-0000CE5D0000}"/>
    <cellStyle name="Normal 4 6 6 3 2 4" xfId="29721" xr:uid="{00000000-0005-0000-0000-0000CF5D0000}"/>
    <cellStyle name="Normal 4 6 6 3 3" xfId="8217" xr:uid="{00000000-0005-0000-0000-0000D05D0000}"/>
    <cellStyle name="Normal 4 6 6 3 3 2" xfId="20505" xr:uid="{00000000-0005-0000-0000-0000D15D0000}"/>
    <cellStyle name="Normal 4 6 6 3 3 2 2" xfId="45081" xr:uid="{00000000-0005-0000-0000-0000D25D0000}"/>
    <cellStyle name="Normal 4 6 6 3 3 3" xfId="32793" xr:uid="{00000000-0005-0000-0000-0000D35D0000}"/>
    <cellStyle name="Normal 4 6 6 3 4" xfId="14361" xr:uid="{00000000-0005-0000-0000-0000D45D0000}"/>
    <cellStyle name="Normal 4 6 6 3 4 2" xfId="38937" xr:uid="{00000000-0005-0000-0000-0000D55D0000}"/>
    <cellStyle name="Normal 4 6 6 3 5" xfId="26649" xr:uid="{00000000-0005-0000-0000-0000D65D0000}"/>
    <cellStyle name="Normal 4 6 6 4" xfId="3609" xr:uid="{00000000-0005-0000-0000-0000D75D0000}"/>
    <cellStyle name="Normal 4 6 6 4 2" xfId="9753" xr:uid="{00000000-0005-0000-0000-0000D85D0000}"/>
    <cellStyle name="Normal 4 6 6 4 2 2" xfId="22041" xr:uid="{00000000-0005-0000-0000-0000D95D0000}"/>
    <cellStyle name="Normal 4 6 6 4 2 2 2" xfId="46617" xr:uid="{00000000-0005-0000-0000-0000DA5D0000}"/>
    <cellStyle name="Normal 4 6 6 4 2 3" xfId="34329" xr:uid="{00000000-0005-0000-0000-0000DB5D0000}"/>
    <cellStyle name="Normal 4 6 6 4 3" xfId="15897" xr:uid="{00000000-0005-0000-0000-0000DC5D0000}"/>
    <cellStyle name="Normal 4 6 6 4 3 2" xfId="40473" xr:uid="{00000000-0005-0000-0000-0000DD5D0000}"/>
    <cellStyle name="Normal 4 6 6 4 4" xfId="28185" xr:uid="{00000000-0005-0000-0000-0000DE5D0000}"/>
    <cellStyle name="Normal 4 6 6 5" xfId="6681" xr:uid="{00000000-0005-0000-0000-0000DF5D0000}"/>
    <cellStyle name="Normal 4 6 6 5 2" xfId="18969" xr:uid="{00000000-0005-0000-0000-0000E05D0000}"/>
    <cellStyle name="Normal 4 6 6 5 2 2" xfId="43545" xr:uid="{00000000-0005-0000-0000-0000E15D0000}"/>
    <cellStyle name="Normal 4 6 6 5 3" xfId="31257" xr:uid="{00000000-0005-0000-0000-0000E25D0000}"/>
    <cellStyle name="Normal 4 6 6 6" xfId="12825" xr:uid="{00000000-0005-0000-0000-0000E35D0000}"/>
    <cellStyle name="Normal 4 6 6 6 2" xfId="37401" xr:uid="{00000000-0005-0000-0000-0000E45D0000}"/>
    <cellStyle name="Normal 4 6 6 7" xfId="25113" xr:uid="{00000000-0005-0000-0000-0000E55D0000}"/>
    <cellStyle name="Normal 4 6 7" xfId="917" xr:uid="{00000000-0005-0000-0000-0000E65D0000}"/>
    <cellStyle name="Normal 4 6 7 2" xfId="2453" xr:uid="{00000000-0005-0000-0000-0000E75D0000}"/>
    <cellStyle name="Normal 4 6 7 2 2" xfId="5529" xr:uid="{00000000-0005-0000-0000-0000E85D0000}"/>
    <cellStyle name="Normal 4 6 7 2 2 2" xfId="11673" xr:uid="{00000000-0005-0000-0000-0000E95D0000}"/>
    <cellStyle name="Normal 4 6 7 2 2 2 2" xfId="23961" xr:uid="{00000000-0005-0000-0000-0000EA5D0000}"/>
    <cellStyle name="Normal 4 6 7 2 2 2 2 2" xfId="48537" xr:uid="{00000000-0005-0000-0000-0000EB5D0000}"/>
    <cellStyle name="Normal 4 6 7 2 2 2 3" xfId="36249" xr:uid="{00000000-0005-0000-0000-0000EC5D0000}"/>
    <cellStyle name="Normal 4 6 7 2 2 3" xfId="17817" xr:uid="{00000000-0005-0000-0000-0000ED5D0000}"/>
    <cellStyle name="Normal 4 6 7 2 2 3 2" xfId="42393" xr:uid="{00000000-0005-0000-0000-0000EE5D0000}"/>
    <cellStyle name="Normal 4 6 7 2 2 4" xfId="30105" xr:uid="{00000000-0005-0000-0000-0000EF5D0000}"/>
    <cellStyle name="Normal 4 6 7 2 3" xfId="8601" xr:uid="{00000000-0005-0000-0000-0000F05D0000}"/>
    <cellStyle name="Normal 4 6 7 2 3 2" xfId="20889" xr:uid="{00000000-0005-0000-0000-0000F15D0000}"/>
    <cellStyle name="Normal 4 6 7 2 3 2 2" xfId="45465" xr:uid="{00000000-0005-0000-0000-0000F25D0000}"/>
    <cellStyle name="Normal 4 6 7 2 3 3" xfId="33177" xr:uid="{00000000-0005-0000-0000-0000F35D0000}"/>
    <cellStyle name="Normal 4 6 7 2 4" xfId="14745" xr:uid="{00000000-0005-0000-0000-0000F45D0000}"/>
    <cellStyle name="Normal 4 6 7 2 4 2" xfId="39321" xr:uid="{00000000-0005-0000-0000-0000F55D0000}"/>
    <cellStyle name="Normal 4 6 7 2 5" xfId="27033" xr:uid="{00000000-0005-0000-0000-0000F65D0000}"/>
    <cellStyle name="Normal 4 6 7 3" xfId="3993" xr:uid="{00000000-0005-0000-0000-0000F75D0000}"/>
    <cellStyle name="Normal 4 6 7 3 2" xfId="10137" xr:uid="{00000000-0005-0000-0000-0000F85D0000}"/>
    <cellStyle name="Normal 4 6 7 3 2 2" xfId="22425" xr:uid="{00000000-0005-0000-0000-0000F95D0000}"/>
    <cellStyle name="Normal 4 6 7 3 2 2 2" xfId="47001" xr:uid="{00000000-0005-0000-0000-0000FA5D0000}"/>
    <cellStyle name="Normal 4 6 7 3 2 3" xfId="34713" xr:uid="{00000000-0005-0000-0000-0000FB5D0000}"/>
    <cellStyle name="Normal 4 6 7 3 3" xfId="16281" xr:uid="{00000000-0005-0000-0000-0000FC5D0000}"/>
    <cellStyle name="Normal 4 6 7 3 3 2" xfId="40857" xr:uid="{00000000-0005-0000-0000-0000FD5D0000}"/>
    <cellStyle name="Normal 4 6 7 3 4" xfId="28569" xr:uid="{00000000-0005-0000-0000-0000FE5D0000}"/>
    <cellStyle name="Normal 4 6 7 4" xfId="7065" xr:uid="{00000000-0005-0000-0000-0000FF5D0000}"/>
    <cellStyle name="Normal 4 6 7 4 2" xfId="19353" xr:uid="{00000000-0005-0000-0000-0000005E0000}"/>
    <cellStyle name="Normal 4 6 7 4 2 2" xfId="43929" xr:uid="{00000000-0005-0000-0000-0000015E0000}"/>
    <cellStyle name="Normal 4 6 7 4 3" xfId="31641" xr:uid="{00000000-0005-0000-0000-0000025E0000}"/>
    <cellStyle name="Normal 4 6 7 5" xfId="13209" xr:uid="{00000000-0005-0000-0000-0000035E0000}"/>
    <cellStyle name="Normal 4 6 7 5 2" xfId="37785" xr:uid="{00000000-0005-0000-0000-0000045E0000}"/>
    <cellStyle name="Normal 4 6 7 6" xfId="25497" xr:uid="{00000000-0005-0000-0000-0000055E0000}"/>
    <cellStyle name="Normal 4 6 8" xfId="1685" xr:uid="{00000000-0005-0000-0000-0000065E0000}"/>
    <cellStyle name="Normal 4 6 8 2" xfId="4761" xr:uid="{00000000-0005-0000-0000-0000075E0000}"/>
    <cellStyle name="Normal 4 6 8 2 2" xfId="10905" xr:uid="{00000000-0005-0000-0000-0000085E0000}"/>
    <cellStyle name="Normal 4 6 8 2 2 2" xfId="23193" xr:uid="{00000000-0005-0000-0000-0000095E0000}"/>
    <cellStyle name="Normal 4 6 8 2 2 2 2" xfId="47769" xr:uid="{00000000-0005-0000-0000-00000A5E0000}"/>
    <cellStyle name="Normal 4 6 8 2 2 3" xfId="35481" xr:uid="{00000000-0005-0000-0000-00000B5E0000}"/>
    <cellStyle name="Normal 4 6 8 2 3" xfId="17049" xr:uid="{00000000-0005-0000-0000-00000C5E0000}"/>
    <cellStyle name="Normal 4 6 8 2 3 2" xfId="41625" xr:uid="{00000000-0005-0000-0000-00000D5E0000}"/>
    <cellStyle name="Normal 4 6 8 2 4" xfId="29337" xr:uid="{00000000-0005-0000-0000-00000E5E0000}"/>
    <cellStyle name="Normal 4 6 8 3" xfId="7833" xr:uid="{00000000-0005-0000-0000-00000F5E0000}"/>
    <cellStyle name="Normal 4 6 8 3 2" xfId="20121" xr:uid="{00000000-0005-0000-0000-0000105E0000}"/>
    <cellStyle name="Normal 4 6 8 3 2 2" xfId="44697" xr:uid="{00000000-0005-0000-0000-0000115E0000}"/>
    <cellStyle name="Normal 4 6 8 3 3" xfId="32409" xr:uid="{00000000-0005-0000-0000-0000125E0000}"/>
    <cellStyle name="Normal 4 6 8 4" xfId="13977" xr:uid="{00000000-0005-0000-0000-0000135E0000}"/>
    <cellStyle name="Normal 4 6 8 4 2" xfId="38553" xr:uid="{00000000-0005-0000-0000-0000145E0000}"/>
    <cellStyle name="Normal 4 6 8 5" xfId="26265" xr:uid="{00000000-0005-0000-0000-0000155E0000}"/>
    <cellStyle name="Normal 4 6 9" xfId="3225" xr:uid="{00000000-0005-0000-0000-0000165E0000}"/>
    <cellStyle name="Normal 4 6 9 2" xfId="9369" xr:uid="{00000000-0005-0000-0000-0000175E0000}"/>
    <cellStyle name="Normal 4 6 9 2 2" xfId="21657" xr:uid="{00000000-0005-0000-0000-0000185E0000}"/>
    <cellStyle name="Normal 4 6 9 2 2 2" xfId="46233" xr:uid="{00000000-0005-0000-0000-0000195E0000}"/>
    <cellStyle name="Normal 4 6 9 2 3" xfId="33945" xr:uid="{00000000-0005-0000-0000-00001A5E0000}"/>
    <cellStyle name="Normal 4 6 9 3" xfId="15513" xr:uid="{00000000-0005-0000-0000-00001B5E0000}"/>
    <cellStyle name="Normal 4 6 9 3 2" xfId="40089" xr:uid="{00000000-0005-0000-0000-00001C5E0000}"/>
    <cellStyle name="Normal 4 6 9 4" xfId="27801" xr:uid="{00000000-0005-0000-0000-00001D5E0000}"/>
    <cellStyle name="Normal 4 7" xfId="143" xr:uid="{00000000-0005-0000-0000-00001E5E0000}"/>
    <cellStyle name="Normal 4 8" xfId="164" xr:uid="{00000000-0005-0000-0000-00001F5E0000}"/>
    <cellStyle name="Normal 4 8 10" xfId="12457" xr:uid="{00000000-0005-0000-0000-0000205E0000}"/>
    <cellStyle name="Normal 4 8 10 2" xfId="37033" xr:uid="{00000000-0005-0000-0000-0000215E0000}"/>
    <cellStyle name="Normal 4 8 11" xfId="24745" xr:uid="{00000000-0005-0000-0000-0000225E0000}"/>
    <cellStyle name="Normal 4 8 2" xfId="229" xr:uid="{00000000-0005-0000-0000-0000235E0000}"/>
    <cellStyle name="Normal 4 8 2 2" xfId="421" xr:uid="{00000000-0005-0000-0000-0000245E0000}"/>
    <cellStyle name="Normal 4 8 2 2 2" xfId="805" xr:uid="{00000000-0005-0000-0000-0000255E0000}"/>
    <cellStyle name="Normal 4 8 2 2 2 2" xfId="1573" xr:uid="{00000000-0005-0000-0000-0000265E0000}"/>
    <cellStyle name="Normal 4 8 2 2 2 2 2" xfId="3109" xr:uid="{00000000-0005-0000-0000-0000275E0000}"/>
    <cellStyle name="Normal 4 8 2 2 2 2 2 2" xfId="6185" xr:uid="{00000000-0005-0000-0000-0000285E0000}"/>
    <cellStyle name="Normal 4 8 2 2 2 2 2 2 2" xfId="12329" xr:uid="{00000000-0005-0000-0000-0000295E0000}"/>
    <cellStyle name="Normal 4 8 2 2 2 2 2 2 2 2" xfId="24617" xr:uid="{00000000-0005-0000-0000-00002A5E0000}"/>
    <cellStyle name="Normal 4 8 2 2 2 2 2 2 2 2 2" xfId="49193" xr:uid="{00000000-0005-0000-0000-00002B5E0000}"/>
    <cellStyle name="Normal 4 8 2 2 2 2 2 2 2 3" xfId="36905" xr:uid="{00000000-0005-0000-0000-00002C5E0000}"/>
    <cellStyle name="Normal 4 8 2 2 2 2 2 2 3" xfId="18473" xr:uid="{00000000-0005-0000-0000-00002D5E0000}"/>
    <cellStyle name="Normal 4 8 2 2 2 2 2 2 3 2" xfId="43049" xr:uid="{00000000-0005-0000-0000-00002E5E0000}"/>
    <cellStyle name="Normal 4 8 2 2 2 2 2 2 4" xfId="30761" xr:uid="{00000000-0005-0000-0000-00002F5E0000}"/>
    <cellStyle name="Normal 4 8 2 2 2 2 2 3" xfId="9257" xr:uid="{00000000-0005-0000-0000-0000305E0000}"/>
    <cellStyle name="Normal 4 8 2 2 2 2 2 3 2" xfId="21545" xr:uid="{00000000-0005-0000-0000-0000315E0000}"/>
    <cellStyle name="Normal 4 8 2 2 2 2 2 3 2 2" xfId="46121" xr:uid="{00000000-0005-0000-0000-0000325E0000}"/>
    <cellStyle name="Normal 4 8 2 2 2 2 2 3 3" xfId="33833" xr:uid="{00000000-0005-0000-0000-0000335E0000}"/>
    <cellStyle name="Normal 4 8 2 2 2 2 2 4" xfId="15401" xr:uid="{00000000-0005-0000-0000-0000345E0000}"/>
    <cellStyle name="Normal 4 8 2 2 2 2 2 4 2" xfId="39977" xr:uid="{00000000-0005-0000-0000-0000355E0000}"/>
    <cellStyle name="Normal 4 8 2 2 2 2 2 5" xfId="27689" xr:uid="{00000000-0005-0000-0000-0000365E0000}"/>
    <cellStyle name="Normal 4 8 2 2 2 2 3" xfId="4649" xr:uid="{00000000-0005-0000-0000-0000375E0000}"/>
    <cellStyle name="Normal 4 8 2 2 2 2 3 2" xfId="10793" xr:uid="{00000000-0005-0000-0000-0000385E0000}"/>
    <cellStyle name="Normal 4 8 2 2 2 2 3 2 2" xfId="23081" xr:uid="{00000000-0005-0000-0000-0000395E0000}"/>
    <cellStyle name="Normal 4 8 2 2 2 2 3 2 2 2" xfId="47657" xr:uid="{00000000-0005-0000-0000-00003A5E0000}"/>
    <cellStyle name="Normal 4 8 2 2 2 2 3 2 3" xfId="35369" xr:uid="{00000000-0005-0000-0000-00003B5E0000}"/>
    <cellStyle name="Normal 4 8 2 2 2 2 3 3" xfId="16937" xr:uid="{00000000-0005-0000-0000-00003C5E0000}"/>
    <cellStyle name="Normal 4 8 2 2 2 2 3 3 2" xfId="41513" xr:uid="{00000000-0005-0000-0000-00003D5E0000}"/>
    <cellStyle name="Normal 4 8 2 2 2 2 3 4" xfId="29225" xr:uid="{00000000-0005-0000-0000-00003E5E0000}"/>
    <cellStyle name="Normal 4 8 2 2 2 2 4" xfId="7721" xr:uid="{00000000-0005-0000-0000-00003F5E0000}"/>
    <cellStyle name="Normal 4 8 2 2 2 2 4 2" xfId="20009" xr:uid="{00000000-0005-0000-0000-0000405E0000}"/>
    <cellStyle name="Normal 4 8 2 2 2 2 4 2 2" xfId="44585" xr:uid="{00000000-0005-0000-0000-0000415E0000}"/>
    <cellStyle name="Normal 4 8 2 2 2 2 4 3" xfId="32297" xr:uid="{00000000-0005-0000-0000-0000425E0000}"/>
    <cellStyle name="Normal 4 8 2 2 2 2 5" xfId="13865" xr:uid="{00000000-0005-0000-0000-0000435E0000}"/>
    <cellStyle name="Normal 4 8 2 2 2 2 5 2" xfId="38441" xr:uid="{00000000-0005-0000-0000-0000445E0000}"/>
    <cellStyle name="Normal 4 8 2 2 2 2 6" xfId="26153" xr:uid="{00000000-0005-0000-0000-0000455E0000}"/>
    <cellStyle name="Normal 4 8 2 2 2 3" xfId="2341" xr:uid="{00000000-0005-0000-0000-0000465E0000}"/>
    <cellStyle name="Normal 4 8 2 2 2 3 2" xfId="5417" xr:uid="{00000000-0005-0000-0000-0000475E0000}"/>
    <cellStyle name="Normal 4 8 2 2 2 3 2 2" xfId="11561" xr:uid="{00000000-0005-0000-0000-0000485E0000}"/>
    <cellStyle name="Normal 4 8 2 2 2 3 2 2 2" xfId="23849" xr:uid="{00000000-0005-0000-0000-0000495E0000}"/>
    <cellStyle name="Normal 4 8 2 2 2 3 2 2 2 2" xfId="48425" xr:uid="{00000000-0005-0000-0000-00004A5E0000}"/>
    <cellStyle name="Normal 4 8 2 2 2 3 2 2 3" xfId="36137" xr:uid="{00000000-0005-0000-0000-00004B5E0000}"/>
    <cellStyle name="Normal 4 8 2 2 2 3 2 3" xfId="17705" xr:uid="{00000000-0005-0000-0000-00004C5E0000}"/>
    <cellStyle name="Normal 4 8 2 2 2 3 2 3 2" xfId="42281" xr:uid="{00000000-0005-0000-0000-00004D5E0000}"/>
    <cellStyle name="Normal 4 8 2 2 2 3 2 4" xfId="29993" xr:uid="{00000000-0005-0000-0000-00004E5E0000}"/>
    <cellStyle name="Normal 4 8 2 2 2 3 3" xfId="8489" xr:uid="{00000000-0005-0000-0000-00004F5E0000}"/>
    <cellStyle name="Normal 4 8 2 2 2 3 3 2" xfId="20777" xr:uid="{00000000-0005-0000-0000-0000505E0000}"/>
    <cellStyle name="Normal 4 8 2 2 2 3 3 2 2" xfId="45353" xr:uid="{00000000-0005-0000-0000-0000515E0000}"/>
    <cellStyle name="Normal 4 8 2 2 2 3 3 3" xfId="33065" xr:uid="{00000000-0005-0000-0000-0000525E0000}"/>
    <cellStyle name="Normal 4 8 2 2 2 3 4" xfId="14633" xr:uid="{00000000-0005-0000-0000-0000535E0000}"/>
    <cellStyle name="Normal 4 8 2 2 2 3 4 2" xfId="39209" xr:uid="{00000000-0005-0000-0000-0000545E0000}"/>
    <cellStyle name="Normal 4 8 2 2 2 3 5" xfId="26921" xr:uid="{00000000-0005-0000-0000-0000555E0000}"/>
    <cellStyle name="Normal 4 8 2 2 2 4" xfId="3881" xr:uid="{00000000-0005-0000-0000-0000565E0000}"/>
    <cellStyle name="Normal 4 8 2 2 2 4 2" xfId="10025" xr:uid="{00000000-0005-0000-0000-0000575E0000}"/>
    <cellStyle name="Normal 4 8 2 2 2 4 2 2" xfId="22313" xr:uid="{00000000-0005-0000-0000-0000585E0000}"/>
    <cellStyle name="Normal 4 8 2 2 2 4 2 2 2" xfId="46889" xr:uid="{00000000-0005-0000-0000-0000595E0000}"/>
    <cellStyle name="Normal 4 8 2 2 2 4 2 3" xfId="34601" xr:uid="{00000000-0005-0000-0000-00005A5E0000}"/>
    <cellStyle name="Normal 4 8 2 2 2 4 3" xfId="16169" xr:uid="{00000000-0005-0000-0000-00005B5E0000}"/>
    <cellStyle name="Normal 4 8 2 2 2 4 3 2" xfId="40745" xr:uid="{00000000-0005-0000-0000-00005C5E0000}"/>
    <cellStyle name="Normal 4 8 2 2 2 4 4" xfId="28457" xr:uid="{00000000-0005-0000-0000-00005D5E0000}"/>
    <cellStyle name="Normal 4 8 2 2 2 5" xfId="6953" xr:uid="{00000000-0005-0000-0000-00005E5E0000}"/>
    <cellStyle name="Normal 4 8 2 2 2 5 2" xfId="19241" xr:uid="{00000000-0005-0000-0000-00005F5E0000}"/>
    <cellStyle name="Normal 4 8 2 2 2 5 2 2" xfId="43817" xr:uid="{00000000-0005-0000-0000-0000605E0000}"/>
    <cellStyle name="Normal 4 8 2 2 2 5 3" xfId="31529" xr:uid="{00000000-0005-0000-0000-0000615E0000}"/>
    <cellStyle name="Normal 4 8 2 2 2 6" xfId="13097" xr:uid="{00000000-0005-0000-0000-0000625E0000}"/>
    <cellStyle name="Normal 4 8 2 2 2 6 2" xfId="37673" xr:uid="{00000000-0005-0000-0000-0000635E0000}"/>
    <cellStyle name="Normal 4 8 2 2 2 7" xfId="25385" xr:uid="{00000000-0005-0000-0000-0000645E0000}"/>
    <cellStyle name="Normal 4 8 2 2 3" xfId="1189" xr:uid="{00000000-0005-0000-0000-0000655E0000}"/>
    <cellStyle name="Normal 4 8 2 2 3 2" xfId="2725" xr:uid="{00000000-0005-0000-0000-0000665E0000}"/>
    <cellStyle name="Normal 4 8 2 2 3 2 2" xfId="5801" xr:uid="{00000000-0005-0000-0000-0000675E0000}"/>
    <cellStyle name="Normal 4 8 2 2 3 2 2 2" xfId="11945" xr:uid="{00000000-0005-0000-0000-0000685E0000}"/>
    <cellStyle name="Normal 4 8 2 2 3 2 2 2 2" xfId="24233" xr:uid="{00000000-0005-0000-0000-0000695E0000}"/>
    <cellStyle name="Normal 4 8 2 2 3 2 2 2 2 2" xfId="48809" xr:uid="{00000000-0005-0000-0000-00006A5E0000}"/>
    <cellStyle name="Normal 4 8 2 2 3 2 2 2 3" xfId="36521" xr:uid="{00000000-0005-0000-0000-00006B5E0000}"/>
    <cellStyle name="Normal 4 8 2 2 3 2 2 3" xfId="18089" xr:uid="{00000000-0005-0000-0000-00006C5E0000}"/>
    <cellStyle name="Normal 4 8 2 2 3 2 2 3 2" xfId="42665" xr:uid="{00000000-0005-0000-0000-00006D5E0000}"/>
    <cellStyle name="Normal 4 8 2 2 3 2 2 4" xfId="30377" xr:uid="{00000000-0005-0000-0000-00006E5E0000}"/>
    <cellStyle name="Normal 4 8 2 2 3 2 3" xfId="8873" xr:uid="{00000000-0005-0000-0000-00006F5E0000}"/>
    <cellStyle name="Normal 4 8 2 2 3 2 3 2" xfId="21161" xr:uid="{00000000-0005-0000-0000-0000705E0000}"/>
    <cellStyle name="Normal 4 8 2 2 3 2 3 2 2" xfId="45737" xr:uid="{00000000-0005-0000-0000-0000715E0000}"/>
    <cellStyle name="Normal 4 8 2 2 3 2 3 3" xfId="33449" xr:uid="{00000000-0005-0000-0000-0000725E0000}"/>
    <cellStyle name="Normal 4 8 2 2 3 2 4" xfId="15017" xr:uid="{00000000-0005-0000-0000-0000735E0000}"/>
    <cellStyle name="Normal 4 8 2 2 3 2 4 2" xfId="39593" xr:uid="{00000000-0005-0000-0000-0000745E0000}"/>
    <cellStyle name="Normal 4 8 2 2 3 2 5" xfId="27305" xr:uid="{00000000-0005-0000-0000-0000755E0000}"/>
    <cellStyle name="Normal 4 8 2 2 3 3" xfId="4265" xr:uid="{00000000-0005-0000-0000-0000765E0000}"/>
    <cellStyle name="Normal 4 8 2 2 3 3 2" xfId="10409" xr:uid="{00000000-0005-0000-0000-0000775E0000}"/>
    <cellStyle name="Normal 4 8 2 2 3 3 2 2" xfId="22697" xr:uid="{00000000-0005-0000-0000-0000785E0000}"/>
    <cellStyle name="Normal 4 8 2 2 3 3 2 2 2" xfId="47273" xr:uid="{00000000-0005-0000-0000-0000795E0000}"/>
    <cellStyle name="Normal 4 8 2 2 3 3 2 3" xfId="34985" xr:uid="{00000000-0005-0000-0000-00007A5E0000}"/>
    <cellStyle name="Normal 4 8 2 2 3 3 3" xfId="16553" xr:uid="{00000000-0005-0000-0000-00007B5E0000}"/>
    <cellStyle name="Normal 4 8 2 2 3 3 3 2" xfId="41129" xr:uid="{00000000-0005-0000-0000-00007C5E0000}"/>
    <cellStyle name="Normal 4 8 2 2 3 3 4" xfId="28841" xr:uid="{00000000-0005-0000-0000-00007D5E0000}"/>
    <cellStyle name="Normal 4 8 2 2 3 4" xfId="7337" xr:uid="{00000000-0005-0000-0000-00007E5E0000}"/>
    <cellStyle name="Normal 4 8 2 2 3 4 2" xfId="19625" xr:uid="{00000000-0005-0000-0000-00007F5E0000}"/>
    <cellStyle name="Normal 4 8 2 2 3 4 2 2" xfId="44201" xr:uid="{00000000-0005-0000-0000-0000805E0000}"/>
    <cellStyle name="Normal 4 8 2 2 3 4 3" xfId="31913" xr:uid="{00000000-0005-0000-0000-0000815E0000}"/>
    <cellStyle name="Normal 4 8 2 2 3 5" xfId="13481" xr:uid="{00000000-0005-0000-0000-0000825E0000}"/>
    <cellStyle name="Normal 4 8 2 2 3 5 2" xfId="38057" xr:uid="{00000000-0005-0000-0000-0000835E0000}"/>
    <cellStyle name="Normal 4 8 2 2 3 6" xfId="25769" xr:uid="{00000000-0005-0000-0000-0000845E0000}"/>
    <cellStyle name="Normal 4 8 2 2 4" xfId="1957" xr:uid="{00000000-0005-0000-0000-0000855E0000}"/>
    <cellStyle name="Normal 4 8 2 2 4 2" xfId="5033" xr:uid="{00000000-0005-0000-0000-0000865E0000}"/>
    <cellStyle name="Normal 4 8 2 2 4 2 2" xfId="11177" xr:uid="{00000000-0005-0000-0000-0000875E0000}"/>
    <cellStyle name="Normal 4 8 2 2 4 2 2 2" xfId="23465" xr:uid="{00000000-0005-0000-0000-0000885E0000}"/>
    <cellStyle name="Normal 4 8 2 2 4 2 2 2 2" xfId="48041" xr:uid="{00000000-0005-0000-0000-0000895E0000}"/>
    <cellStyle name="Normal 4 8 2 2 4 2 2 3" xfId="35753" xr:uid="{00000000-0005-0000-0000-00008A5E0000}"/>
    <cellStyle name="Normal 4 8 2 2 4 2 3" xfId="17321" xr:uid="{00000000-0005-0000-0000-00008B5E0000}"/>
    <cellStyle name="Normal 4 8 2 2 4 2 3 2" xfId="41897" xr:uid="{00000000-0005-0000-0000-00008C5E0000}"/>
    <cellStyle name="Normal 4 8 2 2 4 2 4" xfId="29609" xr:uid="{00000000-0005-0000-0000-00008D5E0000}"/>
    <cellStyle name="Normal 4 8 2 2 4 3" xfId="8105" xr:uid="{00000000-0005-0000-0000-00008E5E0000}"/>
    <cellStyle name="Normal 4 8 2 2 4 3 2" xfId="20393" xr:uid="{00000000-0005-0000-0000-00008F5E0000}"/>
    <cellStyle name="Normal 4 8 2 2 4 3 2 2" xfId="44969" xr:uid="{00000000-0005-0000-0000-0000905E0000}"/>
    <cellStyle name="Normal 4 8 2 2 4 3 3" xfId="32681" xr:uid="{00000000-0005-0000-0000-0000915E0000}"/>
    <cellStyle name="Normal 4 8 2 2 4 4" xfId="14249" xr:uid="{00000000-0005-0000-0000-0000925E0000}"/>
    <cellStyle name="Normal 4 8 2 2 4 4 2" xfId="38825" xr:uid="{00000000-0005-0000-0000-0000935E0000}"/>
    <cellStyle name="Normal 4 8 2 2 4 5" xfId="26537" xr:uid="{00000000-0005-0000-0000-0000945E0000}"/>
    <cellStyle name="Normal 4 8 2 2 5" xfId="3497" xr:uid="{00000000-0005-0000-0000-0000955E0000}"/>
    <cellStyle name="Normal 4 8 2 2 5 2" xfId="9641" xr:uid="{00000000-0005-0000-0000-0000965E0000}"/>
    <cellStyle name="Normal 4 8 2 2 5 2 2" xfId="21929" xr:uid="{00000000-0005-0000-0000-0000975E0000}"/>
    <cellStyle name="Normal 4 8 2 2 5 2 2 2" xfId="46505" xr:uid="{00000000-0005-0000-0000-0000985E0000}"/>
    <cellStyle name="Normal 4 8 2 2 5 2 3" xfId="34217" xr:uid="{00000000-0005-0000-0000-0000995E0000}"/>
    <cellStyle name="Normal 4 8 2 2 5 3" xfId="15785" xr:uid="{00000000-0005-0000-0000-00009A5E0000}"/>
    <cellStyle name="Normal 4 8 2 2 5 3 2" xfId="40361" xr:uid="{00000000-0005-0000-0000-00009B5E0000}"/>
    <cellStyle name="Normal 4 8 2 2 5 4" xfId="28073" xr:uid="{00000000-0005-0000-0000-00009C5E0000}"/>
    <cellStyle name="Normal 4 8 2 2 6" xfId="6569" xr:uid="{00000000-0005-0000-0000-00009D5E0000}"/>
    <cellStyle name="Normal 4 8 2 2 6 2" xfId="18857" xr:uid="{00000000-0005-0000-0000-00009E5E0000}"/>
    <cellStyle name="Normal 4 8 2 2 6 2 2" xfId="43433" xr:uid="{00000000-0005-0000-0000-00009F5E0000}"/>
    <cellStyle name="Normal 4 8 2 2 6 3" xfId="31145" xr:uid="{00000000-0005-0000-0000-0000A05E0000}"/>
    <cellStyle name="Normal 4 8 2 2 7" xfId="12713" xr:uid="{00000000-0005-0000-0000-0000A15E0000}"/>
    <cellStyle name="Normal 4 8 2 2 7 2" xfId="37289" xr:uid="{00000000-0005-0000-0000-0000A25E0000}"/>
    <cellStyle name="Normal 4 8 2 2 8" xfId="25001" xr:uid="{00000000-0005-0000-0000-0000A35E0000}"/>
    <cellStyle name="Normal 4 8 2 3" xfId="613" xr:uid="{00000000-0005-0000-0000-0000A45E0000}"/>
    <cellStyle name="Normal 4 8 2 3 2" xfId="1381" xr:uid="{00000000-0005-0000-0000-0000A55E0000}"/>
    <cellStyle name="Normal 4 8 2 3 2 2" xfId="2917" xr:uid="{00000000-0005-0000-0000-0000A65E0000}"/>
    <cellStyle name="Normal 4 8 2 3 2 2 2" xfId="5993" xr:uid="{00000000-0005-0000-0000-0000A75E0000}"/>
    <cellStyle name="Normal 4 8 2 3 2 2 2 2" xfId="12137" xr:uid="{00000000-0005-0000-0000-0000A85E0000}"/>
    <cellStyle name="Normal 4 8 2 3 2 2 2 2 2" xfId="24425" xr:uid="{00000000-0005-0000-0000-0000A95E0000}"/>
    <cellStyle name="Normal 4 8 2 3 2 2 2 2 2 2" xfId="49001" xr:uid="{00000000-0005-0000-0000-0000AA5E0000}"/>
    <cellStyle name="Normal 4 8 2 3 2 2 2 2 3" xfId="36713" xr:uid="{00000000-0005-0000-0000-0000AB5E0000}"/>
    <cellStyle name="Normal 4 8 2 3 2 2 2 3" xfId="18281" xr:uid="{00000000-0005-0000-0000-0000AC5E0000}"/>
    <cellStyle name="Normal 4 8 2 3 2 2 2 3 2" xfId="42857" xr:uid="{00000000-0005-0000-0000-0000AD5E0000}"/>
    <cellStyle name="Normal 4 8 2 3 2 2 2 4" xfId="30569" xr:uid="{00000000-0005-0000-0000-0000AE5E0000}"/>
    <cellStyle name="Normal 4 8 2 3 2 2 3" xfId="9065" xr:uid="{00000000-0005-0000-0000-0000AF5E0000}"/>
    <cellStyle name="Normal 4 8 2 3 2 2 3 2" xfId="21353" xr:uid="{00000000-0005-0000-0000-0000B05E0000}"/>
    <cellStyle name="Normal 4 8 2 3 2 2 3 2 2" xfId="45929" xr:uid="{00000000-0005-0000-0000-0000B15E0000}"/>
    <cellStyle name="Normal 4 8 2 3 2 2 3 3" xfId="33641" xr:uid="{00000000-0005-0000-0000-0000B25E0000}"/>
    <cellStyle name="Normal 4 8 2 3 2 2 4" xfId="15209" xr:uid="{00000000-0005-0000-0000-0000B35E0000}"/>
    <cellStyle name="Normal 4 8 2 3 2 2 4 2" xfId="39785" xr:uid="{00000000-0005-0000-0000-0000B45E0000}"/>
    <cellStyle name="Normal 4 8 2 3 2 2 5" xfId="27497" xr:uid="{00000000-0005-0000-0000-0000B55E0000}"/>
    <cellStyle name="Normal 4 8 2 3 2 3" xfId="4457" xr:uid="{00000000-0005-0000-0000-0000B65E0000}"/>
    <cellStyle name="Normal 4 8 2 3 2 3 2" xfId="10601" xr:uid="{00000000-0005-0000-0000-0000B75E0000}"/>
    <cellStyle name="Normal 4 8 2 3 2 3 2 2" xfId="22889" xr:uid="{00000000-0005-0000-0000-0000B85E0000}"/>
    <cellStyle name="Normal 4 8 2 3 2 3 2 2 2" xfId="47465" xr:uid="{00000000-0005-0000-0000-0000B95E0000}"/>
    <cellStyle name="Normal 4 8 2 3 2 3 2 3" xfId="35177" xr:uid="{00000000-0005-0000-0000-0000BA5E0000}"/>
    <cellStyle name="Normal 4 8 2 3 2 3 3" xfId="16745" xr:uid="{00000000-0005-0000-0000-0000BB5E0000}"/>
    <cellStyle name="Normal 4 8 2 3 2 3 3 2" xfId="41321" xr:uid="{00000000-0005-0000-0000-0000BC5E0000}"/>
    <cellStyle name="Normal 4 8 2 3 2 3 4" xfId="29033" xr:uid="{00000000-0005-0000-0000-0000BD5E0000}"/>
    <cellStyle name="Normal 4 8 2 3 2 4" xfId="7529" xr:uid="{00000000-0005-0000-0000-0000BE5E0000}"/>
    <cellStyle name="Normal 4 8 2 3 2 4 2" xfId="19817" xr:uid="{00000000-0005-0000-0000-0000BF5E0000}"/>
    <cellStyle name="Normal 4 8 2 3 2 4 2 2" xfId="44393" xr:uid="{00000000-0005-0000-0000-0000C05E0000}"/>
    <cellStyle name="Normal 4 8 2 3 2 4 3" xfId="32105" xr:uid="{00000000-0005-0000-0000-0000C15E0000}"/>
    <cellStyle name="Normal 4 8 2 3 2 5" xfId="13673" xr:uid="{00000000-0005-0000-0000-0000C25E0000}"/>
    <cellStyle name="Normal 4 8 2 3 2 5 2" xfId="38249" xr:uid="{00000000-0005-0000-0000-0000C35E0000}"/>
    <cellStyle name="Normal 4 8 2 3 2 6" xfId="25961" xr:uid="{00000000-0005-0000-0000-0000C45E0000}"/>
    <cellStyle name="Normal 4 8 2 3 3" xfId="2149" xr:uid="{00000000-0005-0000-0000-0000C55E0000}"/>
    <cellStyle name="Normal 4 8 2 3 3 2" xfId="5225" xr:uid="{00000000-0005-0000-0000-0000C65E0000}"/>
    <cellStyle name="Normal 4 8 2 3 3 2 2" xfId="11369" xr:uid="{00000000-0005-0000-0000-0000C75E0000}"/>
    <cellStyle name="Normal 4 8 2 3 3 2 2 2" xfId="23657" xr:uid="{00000000-0005-0000-0000-0000C85E0000}"/>
    <cellStyle name="Normal 4 8 2 3 3 2 2 2 2" xfId="48233" xr:uid="{00000000-0005-0000-0000-0000C95E0000}"/>
    <cellStyle name="Normal 4 8 2 3 3 2 2 3" xfId="35945" xr:uid="{00000000-0005-0000-0000-0000CA5E0000}"/>
    <cellStyle name="Normal 4 8 2 3 3 2 3" xfId="17513" xr:uid="{00000000-0005-0000-0000-0000CB5E0000}"/>
    <cellStyle name="Normal 4 8 2 3 3 2 3 2" xfId="42089" xr:uid="{00000000-0005-0000-0000-0000CC5E0000}"/>
    <cellStyle name="Normal 4 8 2 3 3 2 4" xfId="29801" xr:uid="{00000000-0005-0000-0000-0000CD5E0000}"/>
    <cellStyle name="Normal 4 8 2 3 3 3" xfId="8297" xr:uid="{00000000-0005-0000-0000-0000CE5E0000}"/>
    <cellStyle name="Normal 4 8 2 3 3 3 2" xfId="20585" xr:uid="{00000000-0005-0000-0000-0000CF5E0000}"/>
    <cellStyle name="Normal 4 8 2 3 3 3 2 2" xfId="45161" xr:uid="{00000000-0005-0000-0000-0000D05E0000}"/>
    <cellStyle name="Normal 4 8 2 3 3 3 3" xfId="32873" xr:uid="{00000000-0005-0000-0000-0000D15E0000}"/>
    <cellStyle name="Normal 4 8 2 3 3 4" xfId="14441" xr:uid="{00000000-0005-0000-0000-0000D25E0000}"/>
    <cellStyle name="Normal 4 8 2 3 3 4 2" xfId="39017" xr:uid="{00000000-0005-0000-0000-0000D35E0000}"/>
    <cellStyle name="Normal 4 8 2 3 3 5" xfId="26729" xr:uid="{00000000-0005-0000-0000-0000D45E0000}"/>
    <cellStyle name="Normal 4 8 2 3 4" xfId="3689" xr:uid="{00000000-0005-0000-0000-0000D55E0000}"/>
    <cellStyle name="Normal 4 8 2 3 4 2" xfId="9833" xr:uid="{00000000-0005-0000-0000-0000D65E0000}"/>
    <cellStyle name="Normal 4 8 2 3 4 2 2" xfId="22121" xr:uid="{00000000-0005-0000-0000-0000D75E0000}"/>
    <cellStyle name="Normal 4 8 2 3 4 2 2 2" xfId="46697" xr:uid="{00000000-0005-0000-0000-0000D85E0000}"/>
    <cellStyle name="Normal 4 8 2 3 4 2 3" xfId="34409" xr:uid="{00000000-0005-0000-0000-0000D95E0000}"/>
    <cellStyle name="Normal 4 8 2 3 4 3" xfId="15977" xr:uid="{00000000-0005-0000-0000-0000DA5E0000}"/>
    <cellStyle name="Normal 4 8 2 3 4 3 2" xfId="40553" xr:uid="{00000000-0005-0000-0000-0000DB5E0000}"/>
    <cellStyle name="Normal 4 8 2 3 4 4" xfId="28265" xr:uid="{00000000-0005-0000-0000-0000DC5E0000}"/>
    <cellStyle name="Normal 4 8 2 3 5" xfId="6761" xr:uid="{00000000-0005-0000-0000-0000DD5E0000}"/>
    <cellStyle name="Normal 4 8 2 3 5 2" xfId="19049" xr:uid="{00000000-0005-0000-0000-0000DE5E0000}"/>
    <cellStyle name="Normal 4 8 2 3 5 2 2" xfId="43625" xr:uid="{00000000-0005-0000-0000-0000DF5E0000}"/>
    <cellStyle name="Normal 4 8 2 3 5 3" xfId="31337" xr:uid="{00000000-0005-0000-0000-0000E05E0000}"/>
    <cellStyle name="Normal 4 8 2 3 6" xfId="12905" xr:uid="{00000000-0005-0000-0000-0000E15E0000}"/>
    <cellStyle name="Normal 4 8 2 3 6 2" xfId="37481" xr:uid="{00000000-0005-0000-0000-0000E25E0000}"/>
    <cellStyle name="Normal 4 8 2 3 7" xfId="25193" xr:uid="{00000000-0005-0000-0000-0000E35E0000}"/>
    <cellStyle name="Normal 4 8 2 4" xfId="997" xr:uid="{00000000-0005-0000-0000-0000E45E0000}"/>
    <cellStyle name="Normal 4 8 2 4 2" xfId="2533" xr:uid="{00000000-0005-0000-0000-0000E55E0000}"/>
    <cellStyle name="Normal 4 8 2 4 2 2" xfId="5609" xr:uid="{00000000-0005-0000-0000-0000E65E0000}"/>
    <cellStyle name="Normal 4 8 2 4 2 2 2" xfId="11753" xr:uid="{00000000-0005-0000-0000-0000E75E0000}"/>
    <cellStyle name="Normal 4 8 2 4 2 2 2 2" xfId="24041" xr:uid="{00000000-0005-0000-0000-0000E85E0000}"/>
    <cellStyle name="Normal 4 8 2 4 2 2 2 2 2" xfId="48617" xr:uid="{00000000-0005-0000-0000-0000E95E0000}"/>
    <cellStyle name="Normal 4 8 2 4 2 2 2 3" xfId="36329" xr:uid="{00000000-0005-0000-0000-0000EA5E0000}"/>
    <cellStyle name="Normal 4 8 2 4 2 2 3" xfId="17897" xr:uid="{00000000-0005-0000-0000-0000EB5E0000}"/>
    <cellStyle name="Normal 4 8 2 4 2 2 3 2" xfId="42473" xr:uid="{00000000-0005-0000-0000-0000EC5E0000}"/>
    <cellStyle name="Normal 4 8 2 4 2 2 4" xfId="30185" xr:uid="{00000000-0005-0000-0000-0000ED5E0000}"/>
    <cellStyle name="Normal 4 8 2 4 2 3" xfId="8681" xr:uid="{00000000-0005-0000-0000-0000EE5E0000}"/>
    <cellStyle name="Normal 4 8 2 4 2 3 2" xfId="20969" xr:uid="{00000000-0005-0000-0000-0000EF5E0000}"/>
    <cellStyle name="Normal 4 8 2 4 2 3 2 2" xfId="45545" xr:uid="{00000000-0005-0000-0000-0000F05E0000}"/>
    <cellStyle name="Normal 4 8 2 4 2 3 3" xfId="33257" xr:uid="{00000000-0005-0000-0000-0000F15E0000}"/>
    <cellStyle name="Normal 4 8 2 4 2 4" xfId="14825" xr:uid="{00000000-0005-0000-0000-0000F25E0000}"/>
    <cellStyle name="Normal 4 8 2 4 2 4 2" xfId="39401" xr:uid="{00000000-0005-0000-0000-0000F35E0000}"/>
    <cellStyle name="Normal 4 8 2 4 2 5" xfId="27113" xr:uid="{00000000-0005-0000-0000-0000F45E0000}"/>
    <cellStyle name="Normal 4 8 2 4 3" xfId="4073" xr:uid="{00000000-0005-0000-0000-0000F55E0000}"/>
    <cellStyle name="Normal 4 8 2 4 3 2" xfId="10217" xr:uid="{00000000-0005-0000-0000-0000F65E0000}"/>
    <cellStyle name="Normal 4 8 2 4 3 2 2" xfId="22505" xr:uid="{00000000-0005-0000-0000-0000F75E0000}"/>
    <cellStyle name="Normal 4 8 2 4 3 2 2 2" xfId="47081" xr:uid="{00000000-0005-0000-0000-0000F85E0000}"/>
    <cellStyle name="Normal 4 8 2 4 3 2 3" xfId="34793" xr:uid="{00000000-0005-0000-0000-0000F95E0000}"/>
    <cellStyle name="Normal 4 8 2 4 3 3" xfId="16361" xr:uid="{00000000-0005-0000-0000-0000FA5E0000}"/>
    <cellStyle name="Normal 4 8 2 4 3 3 2" xfId="40937" xr:uid="{00000000-0005-0000-0000-0000FB5E0000}"/>
    <cellStyle name="Normal 4 8 2 4 3 4" xfId="28649" xr:uid="{00000000-0005-0000-0000-0000FC5E0000}"/>
    <cellStyle name="Normal 4 8 2 4 4" xfId="7145" xr:uid="{00000000-0005-0000-0000-0000FD5E0000}"/>
    <cellStyle name="Normal 4 8 2 4 4 2" xfId="19433" xr:uid="{00000000-0005-0000-0000-0000FE5E0000}"/>
    <cellStyle name="Normal 4 8 2 4 4 2 2" xfId="44009" xr:uid="{00000000-0005-0000-0000-0000FF5E0000}"/>
    <cellStyle name="Normal 4 8 2 4 4 3" xfId="31721" xr:uid="{00000000-0005-0000-0000-0000005F0000}"/>
    <cellStyle name="Normal 4 8 2 4 5" xfId="13289" xr:uid="{00000000-0005-0000-0000-0000015F0000}"/>
    <cellStyle name="Normal 4 8 2 4 5 2" xfId="37865" xr:uid="{00000000-0005-0000-0000-0000025F0000}"/>
    <cellStyle name="Normal 4 8 2 4 6" xfId="25577" xr:uid="{00000000-0005-0000-0000-0000035F0000}"/>
    <cellStyle name="Normal 4 8 2 5" xfId="1765" xr:uid="{00000000-0005-0000-0000-0000045F0000}"/>
    <cellStyle name="Normal 4 8 2 5 2" xfId="4841" xr:uid="{00000000-0005-0000-0000-0000055F0000}"/>
    <cellStyle name="Normal 4 8 2 5 2 2" xfId="10985" xr:uid="{00000000-0005-0000-0000-0000065F0000}"/>
    <cellStyle name="Normal 4 8 2 5 2 2 2" xfId="23273" xr:uid="{00000000-0005-0000-0000-0000075F0000}"/>
    <cellStyle name="Normal 4 8 2 5 2 2 2 2" xfId="47849" xr:uid="{00000000-0005-0000-0000-0000085F0000}"/>
    <cellStyle name="Normal 4 8 2 5 2 2 3" xfId="35561" xr:uid="{00000000-0005-0000-0000-0000095F0000}"/>
    <cellStyle name="Normal 4 8 2 5 2 3" xfId="17129" xr:uid="{00000000-0005-0000-0000-00000A5F0000}"/>
    <cellStyle name="Normal 4 8 2 5 2 3 2" xfId="41705" xr:uid="{00000000-0005-0000-0000-00000B5F0000}"/>
    <cellStyle name="Normal 4 8 2 5 2 4" xfId="29417" xr:uid="{00000000-0005-0000-0000-00000C5F0000}"/>
    <cellStyle name="Normal 4 8 2 5 3" xfId="7913" xr:uid="{00000000-0005-0000-0000-00000D5F0000}"/>
    <cellStyle name="Normal 4 8 2 5 3 2" xfId="20201" xr:uid="{00000000-0005-0000-0000-00000E5F0000}"/>
    <cellStyle name="Normal 4 8 2 5 3 2 2" xfId="44777" xr:uid="{00000000-0005-0000-0000-00000F5F0000}"/>
    <cellStyle name="Normal 4 8 2 5 3 3" xfId="32489" xr:uid="{00000000-0005-0000-0000-0000105F0000}"/>
    <cellStyle name="Normal 4 8 2 5 4" xfId="14057" xr:uid="{00000000-0005-0000-0000-0000115F0000}"/>
    <cellStyle name="Normal 4 8 2 5 4 2" xfId="38633" xr:uid="{00000000-0005-0000-0000-0000125F0000}"/>
    <cellStyle name="Normal 4 8 2 5 5" xfId="26345" xr:uid="{00000000-0005-0000-0000-0000135F0000}"/>
    <cellStyle name="Normal 4 8 2 6" xfId="3305" xr:uid="{00000000-0005-0000-0000-0000145F0000}"/>
    <cellStyle name="Normal 4 8 2 6 2" xfId="9449" xr:uid="{00000000-0005-0000-0000-0000155F0000}"/>
    <cellStyle name="Normal 4 8 2 6 2 2" xfId="21737" xr:uid="{00000000-0005-0000-0000-0000165F0000}"/>
    <cellStyle name="Normal 4 8 2 6 2 2 2" xfId="46313" xr:uid="{00000000-0005-0000-0000-0000175F0000}"/>
    <cellStyle name="Normal 4 8 2 6 2 3" xfId="34025" xr:uid="{00000000-0005-0000-0000-0000185F0000}"/>
    <cellStyle name="Normal 4 8 2 6 3" xfId="15593" xr:uid="{00000000-0005-0000-0000-0000195F0000}"/>
    <cellStyle name="Normal 4 8 2 6 3 2" xfId="40169" xr:uid="{00000000-0005-0000-0000-00001A5F0000}"/>
    <cellStyle name="Normal 4 8 2 6 4" xfId="27881" xr:uid="{00000000-0005-0000-0000-00001B5F0000}"/>
    <cellStyle name="Normal 4 8 2 7" xfId="6377" xr:uid="{00000000-0005-0000-0000-00001C5F0000}"/>
    <cellStyle name="Normal 4 8 2 7 2" xfId="18665" xr:uid="{00000000-0005-0000-0000-00001D5F0000}"/>
    <cellStyle name="Normal 4 8 2 7 2 2" xfId="43241" xr:uid="{00000000-0005-0000-0000-00001E5F0000}"/>
    <cellStyle name="Normal 4 8 2 7 3" xfId="30953" xr:uid="{00000000-0005-0000-0000-00001F5F0000}"/>
    <cellStyle name="Normal 4 8 2 8" xfId="12521" xr:uid="{00000000-0005-0000-0000-0000205F0000}"/>
    <cellStyle name="Normal 4 8 2 8 2" xfId="37097" xr:uid="{00000000-0005-0000-0000-0000215F0000}"/>
    <cellStyle name="Normal 4 8 2 9" xfId="24809" xr:uid="{00000000-0005-0000-0000-0000225F0000}"/>
    <cellStyle name="Normal 4 8 3" xfId="293" xr:uid="{00000000-0005-0000-0000-0000235F0000}"/>
    <cellStyle name="Normal 4 8 3 2" xfId="485" xr:uid="{00000000-0005-0000-0000-0000245F0000}"/>
    <cellStyle name="Normal 4 8 3 2 2" xfId="869" xr:uid="{00000000-0005-0000-0000-0000255F0000}"/>
    <cellStyle name="Normal 4 8 3 2 2 2" xfId="1637" xr:uid="{00000000-0005-0000-0000-0000265F0000}"/>
    <cellStyle name="Normal 4 8 3 2 2 2 2" xfId="3173" xr:uid="{00000000-0005-0000-0000-0000275F0000}"/>
    <cellStyle name="Normal 4 8 3 2 2 2 2 2" xfId="6249" xr:uid="{00000000-0005-0000-0000-0000285F0000}"/>
    <cellStyle name="Normal 4 8 3 2 2 2 2 2 2" xfId="12393" xr:uid="{00000000-0005-0000-0000-0000295F0000}"/>
    <cellStyle name="Normal 4 8 3 2 2 2 2 2 2 2" xfId="24681" xr:uid="{00000000-0005-0000-0000-00002A5F0000}"/>
    <cellStyle name="Normal 4 8 3 2 2 2 2 2 2 2 2" xfId="49257" xr:uid="{00000000-0005-0000-0000-00002B5F0000}"/>
    <cellStyle name="Normal 4 8 3 2 2 2 2 2 2 3" xfId="36969" xr:uid="{00000000-0005-0000-0000-00002C5F0000}"/>
    <cellStyle name="Normal 4 8 3 2 2 2 2 2 3" xfId="18537" xr:uid="{00000000-0005-0000-0000-00002D5F0000}"/>
    <cellStyle name="Normal 4 8 3 2 2 2 2 2 3 2" xfId="43113" xr:uid="{00000000-0005-0000-0000-00002E5F0000}"/>
    <cellStyle name="Normal 4 8 3 2 2 2 2 2 4" xfId="30825" xr:uid="{00000000-0005-0000-0000-00002F5F0000}"/>
    <cellStyle name="Normal 4 8 3 2 2 2 2 3" xfId="9321" xr:uid="{00000000-0005-0000-0000-0000305F0000}"/>
    <cellStyle name="Normal 4 8 3 2 2 2 2 3 2" xfId="21609" xr:uid="{00000000-0005-0000-0000-0000315F0000}"/>
    <cellStyle name="Normal 4 8 3 2 2 2 2 3 2 2" xfId="46185" xr:uid="{00000000-0005-0000-0000-0000325F0000}"/>
    <cellStyle name="Normal 4 8 3 2 2 2 2 3 3" xfId="33897" xr:uid="{00000000-0005-0000-0000-0000335F0000}"/>
    <cellStyle name="Normal 4 8 3 2 2 2 2 4" xfId="15465" xr:uid="{00000000-0005-0000-0000-0000345F0000}"/>
    <cellStyle name="Normal 4 8 3 2 2 2 2 4 2" xfId="40041" xr:uid="{00000000-0005-0000-0000-0000355F0000}"/>
    <cellStyle name="Normal 4 8 3 2 2 2 2 5" xfId="27753" xr:uid="{00000000-0005-0000-0000-0000365F0000}"/>
    <cellStyle name="Normal 4 8 3 2 2 2 3" xfId="4713" xr:uid="{00000000-0005-0000-0000-0000375F0000}"/>
    <cellStyle name="Normal 4 8 3 2 2 2 3 2" xfId="10857" xr:uid="{00000000-0005-0000-0000-0000385F0000}"/>
    <cellStyle name="Normal 4 8 3 2 2 2 3 2 2" xfId="23145" xr:uid="{00000000-0005-0000-0000-0000395F0000}"/>
    <cellStyle name="Normal 4 8 3 2 2 2 3 2 2 2" xfId="47721" xr:uid="{00000000-0005-0000-0000-00003A5F0000}"/>
    <cellStyle name="Normal 4 8 3 2 2 2 3 2 3" xfId="35433" xr:uid="{00000000-0005-0000-0000-00003B5F0000}"/>
    <cellStyle name="Normal 4 8 3 2 2 2 3 3" xfId="17001" xr:uid="{00000000-0005-0000-0000-00003C5F0000}"/>
    <cellStyle name="Normal 4 8 3 2 2 2 3 3 2" xfId="41577" xr:uid="{00000000-0005-0000-0000-00003D5F0000}"/>
    <cellStyle name="Normal 4 8 3 2 2 2 3 4" xfId="29289" xr:uid="{00000000-0005-0000-0000-00003E5F0000}"/>
    <cellStyle name="Normal 4 8 3 2 2 2 4" xfId="7785" xr:uid="{00000000-0005-0000-0000-00003F5F0000}"/>
    <cellStyle name="Normal 4 8 3 2 2 2 4 2" xfId="20073" xr:uid="{00000000-0005-0000-0000-0000405F0000}"/>
    <cellStyle name="Normal 4 8 3 2 2 2 4 2 2" xfId="44649" xr:uid="{00000000-0005-0000-0000-0000415F0000}"/>
    <cellStyle name="Normal 4 8 3 2 2 2 4 3" xfId="32361" xr:uid="{00000000-0005-0000-0000-0000425F0000}"/>
    <cellStyle name="Normal 4 8 3 2 2 2 5" xfId="13929" xr:uid="{00000000-0005-0000-0000-0000435F0000}"/>
    <cellStyle name="Normal 4 8 3 2 2 2 5 2" xfId="38505" xr:uid="{00000000-0005-0000-0000-0000445F0000}"/>
    <cellStyle name="Normal 4 8 3 2 2 2 6" xfId="26217" xr:uid="{00000000-0005-0000-0000-0000455F0000}"/>
    <cellStyle name="Normal 4 8 3 2 2 3" xfId="2405" xr:uid="{00000000-0005-0000-0000-0000465F0000}"/>
    <cellStyle name="Normal 4 8 3 2 2 3 2" xfId="5481" xr:uid="{00000000-0005-0000-0000-0000475F0000}"/>
    <cellStyle name="Normal 4 8 3 2 2 3 2 2" xfId="11625" xr:uid="{00000000-0005-0000-0000-0000485F0000}"/>
    <cellStyle name="Normal 4 8 3 2 2 3 2 2 2" xfId="23913" xr:uid="{00000000-0005-0000-0000-0000495F0000}"/>
    <cellStyle name="Normal 4 8 3 2 2 3 2 2 2 2" xfId="48489" xr:uid="{00000000-0005-0000-0000-00004A5F0000}"/>
    <cellStyle name="Normal 4 8 3 2 2 3 2 2 3" xfId="36201" xr:uid="{00000000-0005-0000-0000-00004B5F0000}"/>
    <cellStyle name="Normal 4 8 3 2 2 3 2 3" xfId="17769" xr:uid="{00000000-0005-0000-0000-00004C5F0000}"/>
    <cellStyle name="Normal 4 8 3 2 2 3 2 3 2" xfId="42345" xr:uid="{00000000-0005-0000-0000-00004D5F0000}"/>
    <cellStyle name="Normal 4 8 3 2 2 3 2 4" xfId="30057" xr:uid="{00000000-0005-0000-0000-00004E5F0000}"/>
    <cellStyle name="Normal 4 8 3 2 2 3 3" xfId="8553" xr:uid="{00000000-0005-0000-0000-00004F5F0000}"/>
    <cellStyle name="Normal 4 8 3 2 2 3 3 2" xfId="20841" xr:uid="{00000000-0005-0000-0000-0000505F0000}"/>
    <cellStyle name="Normal 4 8 3 2 2 3 3 2 2" xfId="45417" xr:uid="{00000000-0005-0000-0000-0000515F0000}"/>
    <cellStyle name="Normal 4 8 3 2 2 3 3 3" xfId="33129" xr:uid="{00000000-0005-0000-0000-0000525F0000}"/>
    <cellStyle name="Normal 4 8 3 2 2 3 4" xfId="14697" xr:uid="{00000000-0005-0000-0000-0000535F0000}"/>
    <cellStyle name="Normal 4 8 3 2 2 3 4 2" xfId="39273" xr:uid="{00000000-0005-0000-0000-0000545F0000}"/>
    <cellStyle name="Normal 4 8 3 2 2 3 5" xfId="26985" xr:uid="{00000000-0005-0000-0000-0000555F0000}"/>
    <cellStyle name="Normal 4 8 3 2 2 4" xfId="3945" xr:uid="{00000000-0005-0000-0000-0000565F0000}"/>
    <cellStyle name="Normal 4 8 3 2 2 4 2" xfId="10089" xr:uid="{00000000-0005-0000-0000-0000575F0000}"/>
    <cellStyle name="Normal 4 8 3 2 2 4 2 2" xfId="22377" xr:uid="{00000000-0005-0000-0000-0000585F0000}"/>
    <cellStyle name="Normal 4 8 3 2 2 4 2 2 2" xfId="46953" xr:uid="{00000000-0005-0000-0000-0000595F0000}"/>
    <cellStyle name="Normal 4 8 3 2 2 4 2 3" xfId="34665" xr:uid="{00000000-0005-0000-0000-00005A5F0000}"/>
    <cellStyle name="Normal 4 8 3 2 2 4 3" xfId="16233" xr:uid="{00000000-0005-0000-0000-00005B5F0000}"/>
    <cellStyle name="Normal 4 8 3 2 2 4 3 2" xfId="40809" xr:uid="{00000000-0005-0000-0000-00005C5F0000}"/>
    <cellStyle name="Normal 4 8 3 2 2 4 4" xfId="28521" xr:uid="{00000000-0005-0000-0000-00005D5F0000}"/>
    <cellStyle name="Normal 4 8 3 2 2 5" xfId="7017" xr:uid="{00000000-0005-0000-0000-00005E5F0000}"/>
    <cellStyle name="Normal 4 8 3 2 2 5 2" xfId="19305" xr:uid="{00000000-0005-0000-0000-00005F5F0000}"/>
    <cellStyle name="Normal 4 8 3 2 2 5 2 2" xfId="43881" xr:uid="{00000000-0005-0000-0000-0000605F0000}"/>
    <cellStyle name="Normal 4 8 3 2 2 5 3" xfId="31593" xr:uid="{00000000-0005-0000-0000-0000615F0000}"/>
    <cellStyle name="Normal 4 8 3 2 2 6" xfId="13161" xr:uid="{00000000-0005-0000-0000-0000625F0000}"/>
    <cellStyle name="Normal 4 8 3 2 2 6 2" xfId="37737" xr:uid="{00000000-0005-0000-0000-0000635F0000}"/>
    <cellStyle name="Normal 4 8 3 2 2 7" xfId="25449" xr:uid="{00000000-0005-0000-0000-0000645F0000}"/>
    <cellStyle name="Normal 4 8 3 2 3" xfId="1253" xr:uid="{00000000-0005-0000-0000-0000655F0000}"/>
    <cellStyle name="Normal 4 8 3 2 3 2" xfId="2789" xr:uid="{00000000-0005-0000-0000-0000665F0000}"/>
    <cellStyle name="Normal 4 8 3 2 3 2 2" xfId="5865" xr:uid="{00000000-0005-0000-0000-0000675F0000}"/>
    <cellStyle name="Normal 4 8 3 2 3 2 2 2" xfId="12009" xr:uid="{00000000-0005-0000-0000-0000685F0000}"/>
    <cellStyle name="Normal 4 8 3 2 3 2 2 2 2" xfId="24297" xr:uid="{00000000-0005-0000-0000-0000695F0000}"/>
    <cellStyle name="Normal 4 8 3 2 3 2 2 2 2 2" xfId="48873" xr:uid="{00000000-0005-0000-0000-00006A5F0000}"/>
    <cellStyle name="Normal 4 8 3 2 3 2 2 2 3" xfId="36585" xr:uid="{00000000-0005-0000-0000-00006B5F0000}"/>
    <cellStyle name="Normal 4 8 3 2 3 2 2 3" xfId="18153" xr:uid="{00000000-0005-0000-0000-00006C5F0000}"/>
    <cellStyle name="Normal 4 8 3 2 3 2 2 3 2" xfId="42729" xr:uid="{00000000-0005-0000-0000-00006D5F0000}"/>
    <cellStyle name="Normal 4 8 3 2 3 2 2 4" xfId="30441" xr:uid="{00000000-0005-0000-0000-00006E5F0000}"/>
    <cellStyle name="Normal 4 8 3 2 3 2 3" xfId="8937" xr:uid="{00000000-0005-0000-0000-00006F5F0000}"/>
    <cellStyle name="Normal 4 8 3 2 3 2 3 2" xfId="21225" xr:uid="{00000000-0005-0000-0000-0000705F0000}"/>
    <cellStyle name="Normal 4 8 3 2 3 2 3 2 2" xfId="45801" xr:uid="{00000000-0005-0000-0000-0000715F0000}"/>
    <cellStyle name="Normal 4 8 3 2 3 2 3 3" xfId="33513" xr:uid="{00000000-0005-0000-0000-0000725F0000}"/>
    <cellStyle name="Normal 4 8 3 2 3 2 4" xfId="15081" xr:uid="{00000000-0005-0000-0000-0000735F0000}"/>
    <cellStyle name="Normal 4 8 3 2 3 2 4 2" xfId="39657" xr:uid="{00000000-0005-0000-0000-0000745F0000}"/>
    <cellStyle name="Normal 4 8 3 2 3 2 5" xfId="27369" xr:uid="{00000000-0005-0000-0000-0000755F0000}"/>
    <cellStyle name="Normal 4 8 3 2 3 3" xfId="4329" xr:uid="{00000000-0005-0000-0000-0000765F0000}"/>
    <cellStyle name="Normal 4 8 3 2 3 3 2" xfId="10473" xr:uid="{00000000-0005-0000-0000-0000775F0000}"/>
    <cellStyle name="Normal 4 8 3 2 3 3 2 2" xfId="22761" xr:uid="{00000000-0005-0000-0000-0000785F0000}"/>
    <cellStyle name="Normal 4 8 3 2 3 3 2 2 2" xfId="47337" xr:uid="{00000000-0005-0000-0000-0000795F0000}"/>
    <cellStyle name="Normal 4 8 3 2 3 3 2 3" xfId="35049" xr:uid="{00000000-0005-0000-0000-00007A5F0000}"/>
    <cellStyle name="Normal 4 8 3 2 3 3 3" xfId="16617" xr:uid="{00000000-0005-0000-0000-00007B5F0000}"/>
    <cellStyle name="Normal 4 8 3 2 3 3 3 2" xfId="41193" xr:uid="{00000000-0005-0000-0000-00007C5F0000}"/>
    <cellStyle name="Normal 4 8 3 2 3 3 4" xfId="28905" xr:uid="{00000000-0005-0000-0000-00007D5F0000}"/>
    <cellStyle name="Normal 4 8 3 2 3 4" xfId="7401" xr:uid="{00000000-0005-0000-0000-00007E5F0000}"/>
    <cellStyle name="Normal 4 8 3 2 3 4 2" xfId="19689" xr:uid="{00000000-0005-0000-0000-00007F5F0000}"/>
    <cellStyle name="Normal 4 8 3 2 3 4 2 2" xfId="44265" xr:uid="{00000000-0005-0000-0000-0000805F0000}"/>
    <cellStyle name="Normal 4 8 3 2 3 4 3" xfId="31977" xr:uid="{00000000-0005-0000-0000-0000815F0000}"/>
    <cellStyle name="Normal 4 8 3 2 3 5" xfId="13545" xr:uid="{00000000-0005-0000-0000-0000825F0000}"/>
    <cellStyle name="Normal 4 8 3 2 3 5 2" xfId="38121" xr:uid="{00000000-0005-0000-0000-0000835F0000}"/>
    <cellStyle name="Normal 4 8 3 2 3 6" xfId="25833" xr:uid="{00000000-0005-0000-0000-0000845F0000}"/>
    <cellStyle name="Normal 4 8 3 2 4" xfId="2021" xr:uid="{00000000-0005-0000-0000-0000855F0000}"/>
    <cellStyle name="Normal 4 8 3 2 4 2" xfId="5097" xr:uid="{00000000-0005-0000-0000-0000865F0000}"/>
    <cellStyle name="Normal 4 8 3 2 4 2 2" xfId="11241" xr:uid="{00000000-0005-0000-0000-0000875F0000}"/>
    <cellStyle name="Normal 4 8 3 2 4 2 2 2" xfId="23529" xr:uid="{00000000-0005-0000-0000-0000885F0000}"/>
    <cellStyle name="Normal 4 8 3 2 4 2 2 2 2" xfId="48105" xr:uid="{00000000-0005-0000-0000-0000895F0000}"/>
    <cellStyle name="Normal 4 8 3 2 4 2 2 3" xfId="35817" xr:uid="{00000000-0005-0000-0000-00008A5F0000}"/>
    <cellStyle name="Normal 4 8 3 2 4 2 3" xfId="17385" xr:uid="{00000000-0005-0000-0000-00008B5F0000}"/>
    <cellStyle name="Normal 4 8 3 2 4 2 3 2" xfId="41961" xr:uid="{00000000-0005-0000-0000-00008C5F0000}"/>
    <cellStyle name="Normal 4 8 3 2 4 2 4" xfId="29673" xr:uid="{00000000-0005-0000-0000-00008D5F0000}"/>
    <cellStyle name="Normal 4 8 3 2 4 3" xfId="8169" xr:uid="{00000000-0005-0000-0000-00008E5F0000}"/>
    <cellStyle name="Normal 4 8 3 2 4 3 2" xfId="20457" xr:uid="{00000000-0005-0000-0000-00008F5F0000}"/>
    <cellStyle name="Normal 4 8 3 2 4 3 2 2" xfId="45033" xr:uid="{00000000-0005-0000-0000-0000905F0000}"/>
    <cellStyle name="Normal 4 8 3 2 4 3 3" xfId="32745" xr:uid="{00000000-0005-0000-0000-0000915F0000}"/>
    <cellStyle name="Normal 4 8 3 2 4 4" xfId="14313" xr:uid="{00000000-0005-0000-0000-0000925F0000}"/>
    <cellStyle name="Normal 4 8 3 2 4 4 2" xfId="38889" xr:uid="{00000000-0005-0000-0000-0000935F0000}"/>
    <cellStyle name="Normal 4 8 3 2 4 5" xfId="26601" xr:uid="{00000000-0005-0000-0000-0000945F0000}"/>
    <cellStyle name="Normal 4 8 3 2 5" xfId="3561" xr:uid="{00000000-0005-0000-0000-0000955F0000}"/>
    <cellStyle name="Normal 4 8 3 2 5 2" xfId="9705" xr:uid="{00000000-0005-0000-0000-0000965F0000}"/>
    <cellStyle name="Normal 4 8 3 2 5 2 2" xfId="21993" xr:uid="{00000000-0005-0000-0000-0000975F0000}"/>
    <cellStyle name="Normal 4 8 3 2 5 2 2 2" xfId="46569" xr:uid="{00000000-0005-0000-0000-0000985F0000}"/>
    <cellStyle name="Normal 4 8 3 2 5 2 3" xfId="34281" xr:uid="{00000000-0005-0000-0000-0000995F0000}"/>
    <cellStyle name="Normal 4 8 3 2 5 3" xfId="15849" xr:uid="{00000000-0005-0000-0000-00009A5F0000}"/>
    <cellStyle name="Normal 4 8 3 2 5 3 2" xfId="40425" xr:uid="{00000000-0005-0000-0000-00009B5F0000}"/>
    <cellStyle name="Normal 4 8 3 2 5 4" xfId="28137" xr:uid="{00000000-0005-0000-0000-00009C5F0000}"/>
    <cellStyle name="Normal 4 8 3 2 6" xfId="6633" xr:uid="{00000000-0005-0000-0000-00009D5F0000}"/>
    <cellStyle name="Normal 4 8 3 2 6 2" xfId="18921" xr:uid="{00000000-0005-0000-0000-00009E5F0000}"/>
    <cellStyle name="Normal 4 8 3 2 6 2 2" xfId="43497" xr:uid="{00000000-0005-0000-0000-00009F5F0000}"/>
    <cellStyle name="Normal 4 8 3 2 6 3" xfId="31209" xr:uid="{00000000-0005-0000-0000-0000A05F0000}"/>
    <cellStyle name="Normal 4 8 3 2 7" xfId="12777" xr:uid="{00000000-0005-0000-0000-0000A15F0000}"/>
    <cellStyle name="Normal 4 8 3 2 7 2" xfId="37353" xr:uid="{00000000-0005-0000-0000-0000A25F0000}"/>
    <cellStyle name="Normal 4 8 3 2 8" xfId="25065" xr:uid="{00000000-0005-0000-0000-0000A35F0000}"/>
    <cellStyle name="Normal 4 8 3 3" xfId="677" xr:uid="{00000000-0005-0000-0000-0000A45F0000}"/>
    <cellStyle name="Normal 4 8 3 3 2" xfId="1445" xr:uid="{00000000-0005-0000-0000-0000A55F0000}"/>
    <cellStyle name="Normal 4 8 3 3 2 2" xfId="2981" xr:uid="{00000000-0005-0000-0000-0000A65F0000}"/>
    <cellStyle name="Normal 4 8 3 3 2 2 2" xfId="6057" xr:uid="{00000000-0005-0000-0000-0000A75F0000}"/>
    <cellStyle name="Normal 4 8 3 3 2 2 2 2" xfId="12201" xr:uid="{00000000-0005-0000-0000-0000A85F0000}"/>
    <cellStyle name="Normal 4 8 3 3 2 2 2 2 2" xfId="24489" xr:uid="{00000000-0005-0000-0000-0000A95F0000}"/>
    <cellStyle name="Normal 4 8 3 3 2 2 2 2 2 2" xfId="49065" xr:uid="{00000000-0005-0000-0000-0000AA5F0000}"/>
    <cellStyle name="Normal 4 8 3 3 2 2 2 2 3" xfId="36777" xr:uid="{00000000-0005-0000-0000-0000AB5F0000}"/>
    <cellStyle name="Normal 4 8 3 3 2 2 2 3" xfId="18345" xr:uid="{00000000-0005-0000-0000-0000AC5F0000}"/>
    <cellStyle name="Normal 4 8 3 3 2 2 2 3 2" xfId="42921" xr:uid="{00000000-0005-0000-0000-0000AD5F0000}"/>
    <cellStyle name="Normal 4 8 3 3 2 2 2 4" xfId="30633" xr:uid="{00000000-0005-0000-0000-0000AE5F0000}"/>
    <cellStyle name="Normal 4 8 3 3 2 2 3" xfId="9129" xr:uid="{00000000-0005-0000-0000-0000AF5F0000}"/>
    <cellStyle name="Normal 4 8 3 3 2 2 3 2" xfId="21417" xr:uid="{00000000-0005-0000-0000-0000B05F0000}"/>
    <cellStyle name="Normal 4 8 3 3 2 2 3 2 2" xfId="45993" xr:uid="{00000000-0005-0000-0000-0000B15F0000}"/>
    <cellStyle name="Normal 4 8 3 3 2 2 3 3" xfId="33705" xr:uid="{00000000-0005-0000-0000-0000B25F0000}"/>
    <cellStyle name="Normal 4 8 3 3 2 2 4" xfId="15273" xr:uid="{00000000-0005-0000-0000-0000B35F0000}"/>
    <cellStyle name="Normal 4 8 3 3 2 2 4 2" xfId="39849" xr:uid="{00000000-0005-0000-0000-0000B45F0000}"/>
    <cellStyle name="Normal 4 8 3 3 2 2 5" xfId="27561" xr:uid="{00000000-0005-0000-0000-0000B55F0000}"/>
    <cellStyle name="Normal 4 8 3 3 2 3" xfId="4521" xr:uid="{00000000-0005-0000-0000-0000B65F0000}"/>
    <cellStyle name="Normal 4 8 3 3 2 3 2" xfId="10665" xr:uid="{00000000-0005-0000-0000-0000B75F0000}"/>
    <cellStyle name="Normal 4 8 3 3 2 3 2 2" xfId="22953" xr:uid="{00000000-0005-0000-0000-0000B85F0000}"/>
    <cellStyle name="Normal 4 8 3 3 2 3 2 2 2" xfId="47529" xr:uid="{00000000-0005-0000-0000-0000B95F0000}"/>
    <cellStyle name="Normal 4 8 3 3 2 3 2 3" xfId="35241" xr:uid="{00000000-0005-0000-0000-0000BA5F0000}"/>
    <cellStyle name="Normal 4 8 3 3 2 3 3" xfId="16809" xr:uid="{00000000-0005-0000-0000-0000BB5F0000}"/>
    <cellStyle name="Normal 4 8 3 3 2 3 3 2" xfId="41385" xr:uid="{00000000-0005-0000-0000-0000BC5F0000}"/>
    <cellStyle name="Normal 4 8 3 3 2 3 4" xfId="29097" xr:uid="{00000000-0005-0000-0000-0000BD5F0000}"/>
    <cellStyle name="Normal 4 8 3 3 2 4" xfId="7593" xr:uid="{00000000-0005-0000-0000-0000BE5F0000}"/>
    <cellStyle name="Normal 4 8 3 3 2 4 2" xfId="19881" xr:uid="{00000000-0005-0000-0000-0000BF5F0000}"/>
    <cellStyle name="Normal 4 8 3 3 2 4 2 2" xfId="44457" xr:uid="{00000000-0005-0000-0000-0000C05F0000}"/>
    <cellStyle name="Normal 4 8 3 3 2 4 3" xfId="32169" xr:uid="{00000000-0005-0000-0000-0000C15F0000}"/>
    <cellStyle name="Normal 4 8 3 3 2 5" xfId="13737" xr:uid="{00000000-0005-0000-0000-0000C25F0000}"/>
    <cellStyle name="Normal 4 8 3 3 2 5 2" xfId="38313" xr:uid="{00000000-0005-0000-0000-0000C35F0000}"/>
    <cellStyle name="Normal 4 8 3 3 2 6" xfId="26025" xr:uid="{00000000-0005-0000-0000-0000C45F0000}"/>
    <cellStyle name="Normal 4 8 3 3 3" xfId="2213" xr:uid="{00000000-0005-0000-0000-0000C55F0000}"/>
    <cellStyle name="Normal 4 8 3 3 3 2" xfId="5289" xr:uid="{00000000-0005-0000-0000-0000C65F0000}"/>
    <cellStyle name="Normal 4 8 3 3 3 2 2" xfId="11433" xr:uid="{00000000-0005-0000-0000-0000C75F0000}"/>
    <cellStyle name="Normal 4 8 3 3 3 2 2 2" xfId="23721" xr:uid="{00000000-0005-0000-0000-0000C85F0000}"/>
    <cellStyle name="Normal 4 8 3 3 3 2 2 2 2" xfId="48297" xr:uid="{00000000-0005-0000-0000-0000C95F0000}"/>
    <cellStyle name="Normal 4 8 3 3 3 2 2 3" xfId="36009" xr:uid="{00000000-0005-0000-0000-0000CA5F0000}"/>
    <cellStyle name="Normal 4 8 3 3 3 2 3" xfId="17577" xr:uid="{00000000-0005-0000-0000-0000CB5F0000}"/>
    <cellStyle name="Normal 4 8 3 3 3 2 3 2" xfId="42153" xr:uid="{00000000-0005-0000-0000-0000CC5F0000}"/>
    <cellStyle name="Normal 4 8 3 3 3 2 4" xfId="29865" xr:uid="{00000000-0005-0000-0000-0000CD5F0000}"/>
    <cellStyle name="Normal 4 8 3 3 3 3" xfId="8361" xr:uid="{00000000-0005-0000-0000-0000CE5F0000}"/>
    <cellStyle name="Normal 4 8 3 3 3 3 2" xfId="20649" xr:uid="{00000000-0005-0000-0000-0000CF5F0000}"/>
    <cellStyle name="Normal 4 8 3 3 3 3 2 2" xfId="45225" xr:uid="{00000000-0005-0000-0000-0000D05F0000}"/>
    <cellStyle name="Normal 4 8 3 3 3 3 3" xfId="32937" xr:uid="{00000000-0005-0000-0000-0000D15F0000}"/>
    <cellStyle name="Normal 4 8 3 3 3 4" xfId="14505" xr:uid="{00000000-0005-0000-0000-0000D25F0000}"/>
    <cellStyle name="Normal 4 8 3 3 3 4 2" xfId="39081" xr:uid="{00000000-0005-0000-0000-0000D35F0000}"/>
    <cellStyle name="Normal 4 8 3 3 3 5" xfId="26793" xr:uid="{00000000-0005-0000-0000-0000D45F0000}"/>
    <cellStyle name="Normal 4 8 3 3 4" xfId="3753" xr:uid="{00000000-0005-0000-0000-0000D55F0000}"/>
    <cellStyle name="Normal 4 8 3 3 4 2" xfId="9897" xr:uid="{00000000-0005-0000-0000-0000D65F0000}"/>
    <cellStyle name="Normal 4 8 3 3 4 2 2" xfId="22185" xr:uid="{00000000-0005-0000-0000-0000D75F0000}"/>
    <cellStyle name="Normal 4 8 3 3 4 2 2 2" xfId="46761" xr:uid="{00000000-0005-0000-0000-0000D85F0000}"/>
    <cellStyle name="Normal 4 8 3 3 4 2 3" xfId="34473" xr:uid="{00000000-0005-0000-0000-0000D95F0000}"/>
    <cellStyle name="Normal 4 8 3 3 4 3" xfId="16041" xr:uid="{00000000-0005-0000-0000-0000DA5F0000}"/>
    <cellStyle name="Normal 4 8 3 3 4 3 2" xfId="40617" xr:uid="{00000000-0005-0000-0000-0000DB5F0000}"/>
    <cellStyle name="Normal 4 8 3 3 4 4" xfId="28329" xr:uid="{00000000-0005-0000-0000-0000DC5F0000}"/>
    <cellStyle name="Normal 4 8 3 3 5" xfId="6825" xr:uid="{00000000-0005-0000-0000-0000DD5F0000}"/>
    <cellStyle name="Normal 4 8 3 3 5 2" xfId="19113" xr:uid="{00000000-0005-0000-0000-0000DE5F0000}"/>
    <cellStyle name="Normal 4 8 3 3 5 2 2" xfId="43689" xr:uid="{00000000-0005-0000-0000-0000DF5F0000}"/>
    <cellStyle name="Normal 4 8 3 3 5 3" xfId="31401" xr:uid="{00000000-0005-0000-0000-0000E05F0000}"/>
    <cellStyle name="Normal 4 8 3 3 6" xfId="12969" xr:uid="{00000000-0005-0000-0000-0000E15F0000}"/>
    <cellStyle name="Normal 4 8 3 3 6 2" xfId="37545" xr:uid="{00000000-0005-0000-0000-0000E25F0000}"/>
    <cellStyle name="Normal 4 8 3 3 7" xfId="25257" xr:uid="{00000000-0005-0000-0000-0000E35F0000}"/>
    <cellStyle name="Normal 4 8 3 4" xfId="1061" xr:uid="{00000000-0005-0000-0000-0000E45F0000}"/>
    <cellStyle name="Normal 4 8 3 4 2" xfId="2597" xr:uid="{00000000-0005-0000-0000-0000E55F0000}"/>
    <cellStyle name="Normal 4 8 3 4 2 2" xfId="5673" xr:uid="{00000000-0005-0000-0000-0000E65F0000}"/>
    <cellStyle name="Normal 4 8 3 4 2 2 2" xfId="11817" xr:uid="{00000000-0005-0000-0000-0000E75F0000}"/>
    <cellStyle name="Normal 4 8 3 4 2 2 2 2" xfId="24105" xr:uid="{00000000-0005-0000-0000-0000E85F0000}"/>
    <cellStyle name="Normal 4 8 3 4 2 2 2 2 2" xfId="48681" xr:uid="{00000000-0005-0000-0000-0000E95F0000}"/>
    <cellStyle name="Normal 4 8 3 4 2 2 2 3" xfId="36393" xr:uid="{00000000-0005-0000-0000-0000EA5F0000}"/>
    <cellStyle name="Normal 4 8 3 4 2 2 3" xfId="17961" xr:uid="{00000000-0005-0000-0000-0000EB5F0000}"/>
    <cellStyle name="Normal 4 8 3 4 2 2 3 2" xfId="42537" xr:uid="{00000000-0005-0000-0000-0000EC5F0000}"/>
    <cellStyle name="Normal 4 8 3 4 2 2 4" xfId="30249" xr:uid="{00000000-0005-0000-0000-0000ED5F0000}"/>
    <cellStyle name="Normal 4 8 3 4 2 3" xfId="8745" xr:uid="{00000000-0005-0000-0000-0000EE5F0000}"/>
    <cellStyle name="Normal 4 8 3 4 2 3 2" xfId="21033" xr:uid="{00000000-0005-0000-0000-0000EF5F0000}"/>
    <cellStyle name="Normal 4 8 3 4 2 3 2 2" xfId="45609" xr:uid="{00000000-0005-0000-0000-0000F05F0000}"/>
    <cellStyle name="Normal 4 8 3 4 2 3 3" xfId="33321" xr:uid="{00000000-0005-0000-0000-0000F15F0000}"/>
    <cellStyle name="Normal 4 8 3 4 2 4" xfId="14889" xr:uid="{00000000-0005-0000-0000-0000F25F0000}"/>
    <cellStyle name="Normal 4 8 3 4 2 4 2" xfId="39465" xr:uid="{00000000-0005-0000-0000-0000F35F0000}"/>
    <cellStyle name="Normal 4 8 3 4 2 5" xfId="27177" xr:uid="{00000000-0005-0000-0000-0000F45F0000}"/>
    <cellStyle name="Normal 4 8 3 4 3" xfId="4137" xr:uid="{00000000-0005-0000-0000-0000F55F0000}"/>
    <cellStyle name="Normal 4 8 3 4 3 2" xfId="10281" xr:uid="{00000000-0005-0000-0000-0000F65F0000}"/>
    <cellStyle name="Normal 4 8 3 4 3 2 2" xfId="22569" xr:uid="{00000000-0005-0000-0000-0000F75F0000}"/>
    <cellStyle name="Normal 4 8 3 4 3 2 2 2" xfId="47145" xr:uid="{00000000-0005-0000-0000-0000F85F0000}"/>
    <cellStyle name="Normal 4 8 3 4 3 2 3" xfId="34857" xr:uid="{00000000-0005-0000-0000-0000F95F0000}"/>
    <cellStyle name="Normal 4 8 3 4 3 3" xfId="16425" xr:uid="{00000000-0005-0000-0000-0000FA5F0000}"/>
    <cellStyle name="Normal 4 8 3 4 3 3 2" xfId="41001" xr:uid="{00000000-0005-0000-0000-0000FB5F0000}"/>
    <cellStyle name="Normal 4 8 3 4 3 4" xfId="28713" xr:uid="{00000000-0005-0000-0000-0000FC5F0000}"/>
    <cellStyle name="Normal 4 8 3 4 4" xfId="7209" xr:uid="{00000000-0005-0000-0000-0000FD5F0000}"/>
    <cellStyle name="Normal 4 8 3 4 4 2" xfId="19497" xr:uid="{00000000-0005-0000-0000-0000FE5F0000}"/>
    <cellStyle name="Normal 4 8 3 4 4 2 2" xfId="44073" xr:uid="{00000000-0005-0000-0000-0000FF5F0000}"/>
    <cellStyle name="Normal 4 8 3 4 4 3" xfId="31785" xr:uid="{00000000-0005-0000-0000-000000600000}"/>
    <cellStyle name="Normal 4 8 3 4 5" xfId="13353" xr:uid="{00000000-0005-0000-0000-000001600000}"/>
    <cellStyle name="Normal 4 8 3 4 5 2" xfId="37929" xr:uid="{00000000-0005-0000-0000-000002600000}"/>
    <cellStyle name="Normal 4 8 3 4 6" xfId="25641" xr:uid="{00000000-0005-0000-0000-000003600000}"/>
    <cellStyle name="Normal 4 8 3 5" xfId="1829" xr:uid="{00000000-0005-0000-0000-000004600000}"/>
    <cellStyle name="Normal 4 8 3 5 2" xfId="4905" xr:uid="{00000000-0005-0000-0000-000005600000}"/>
    <cellStyle name="Normal 4 8 3 5 2 2" xfId="11049" xr:uid="{00000000-0005-0000-0000-000006600000}"/>
    <cellStyle name="Normal 4 8 3 5 2 2 2" xfId="23337" xr:uid="{00000000-0005-0000-0000-000007600000}"/>
    <cellStyle name="Normal 4 8 3 5 2 2 2 2" xfId="47913" xr:uid="{00000000-0005-0000-0000-000008600000}"/>
    <cellStyle name="Normal 4 8 3 5 2 2 3" xfId="35625" xr:uid="{00000000-0005-0000-0000-000009600000}"/>
    <cellStyle name="Normal 4 8 3 5 2 3" xfId="17193" xr:uid="{00000000-0005-0000-0000-00000A600000}"/>
    <cellStyle name="Normal 4 8 3 5 2 3 2" xfId="41769" xr:uid="{00000000-0005-0000-0000-00000B600000}"/>
    <cellStyle name="Normal 4 8 3 5 2 4" xfId="29481" xr:uid="{00000000-0005-0000-0000-00000C600000}"/>
    <cellStyle name="Normal 4 8 3 5 3" xfId="7977" xr:uid="{00000000-0005-0000-0000-00000D600000}"/>
    <cellStyle name="Normal 4 8 3 5 3 2" xfId="20265" xr:uid="{00000000-0005-0000-0000-00000E600000}"/>
    <cellStyle name="Normal 4 8 3 5 3 2 2" xfId="44841" xr:uid="{00000000-0005-0000-0000-00000F600000}"/>
    <cellStyle name="Normal 4 8 3 5 3 3" xfId="32553" xr:uid="{00000000-0005-0000-0000-000010600000}"/>
    <cellStyle name="Normal 4 8 3 5 4" xfId="14121" xr:uid="{00000000-0005-0000-0000-000011600000}"/>
    <cellStyle name="Normal 4 8 3 5 4 2" xfId="38697" xr:uid="{00000000-0005-0000-0000-000012600000}"/>
    <cellStyle name="Normal 4 8 3 5 5" xfId="26409" xr:uid="{00000000-0005-0000-0000-000013600000}"/>
    <cellStyle name="Normal 4 8 3 6" xfId="3369" xr:uid="{00000000-0005-0000-0000-000014600000}"/>
    <cellStyle name="Normal 4 8 3 6 2" xfId="9513" xr:uid="{00000000-0005-0000-0000-000015600000}"/>
    <cellStyle name="Normal 4 8 3 6 2 2" xfId="21801" xr:uid="{00000000-0005-0000-0000-000016600000}"/>
    <cellStyle name="Normal 4 8 3 6 2 2 2" xfId="46377" xr:uid="{00000000-0005-0000-0000-000017600000}"/>
    <cellStyle name="Normal 4 8 3 6 2 3" xfId="34089" xr:uid="{00000000-0005-0000-0000-000018600000}"/>
    <cellStyle name="Normal 4 8 3 6 3" xfId="15657" xr:uid="{00000000-0005-0000-0000-000019600000}"/>
    <cellStyle name="Normal 4 8 3 6 3 2" xfId="40233" xr:uid="{00000000-0005-0000-0000-00001A600000}"/>
    <cellStyle name="Normal 4 8 3 6 4" xfId="27945" xr:uid="{00000000-0005-0000-0000-00001B600000}"/>
    <cellStyle name="Normal 4 8 3 7" xfId="6441" xr:uid="{00000000-0005-0000-0000-00001C600000}"/>
    <cellStyle name="Normal 4 8 3 7 2" xfId="18729" xr:uid="{00000000-0005-0000-0000-00001D600000}"/>
    <cellStyle name="Normal 4 8 3 7 2 2" xfId="43305" xr:uid="{00000000-0005-0000-0000-00001E600000}"/>
    <cellStyle name="Normal 4 8 3 7 3" xfId="31017" xr:uid="{00000000-0005-0000-0000-00001F600000}"/>
    <cellStyle name="Normal 4 8 3 8" xfId="12585" xr:uid="{00000000-0005-0000-0000-000020600000}"/>
    <cellStyle name="Normal 4 8 3 8 2" xfId="37161" xr:uid="{00000000-0005-0000-0000-000021600000}"/>
    <cellStyle name="Normal 4 8 3 9" xfId="24873" xr:uid="{00000000-0005-0000-0000-000022600000}"/>
    <cellStyle name="Normal 4 8 4" xfId="357" xr:uid="{00000000-0005-0000-0000-000023600000}"/>
    <cellStyle name="Normal 4 8 4 2" xfId="741" xr:uid="{00000000-0005-0000-0000-000024600000}"/>
    <cellStyle name="Normal 4 8 4 2 2" xfId="1509" xr:uid="{00000000-0005-0000-0000-000025600000}"/>
    <cellStyle name="Normal 4 8 4 2 2 2" xfId="3045" xr:uid="{00000000-0005-0000-0000-000026600000}"/>
    <cellStyle name="Normal 4 8 4 2 2 2 2" xfId="6121" xr:uid="{00000000-0005-0000-0000-000027600000}"/>
    <cellStyle name="Normal 4 8 4 2 2 2 2 2" xfId="12265" xr:uid="{00000000-0005-0000-0000-000028600000}"/>
    <cellStyle name="Normal 4 8 4 2 2 2 2 2 2" xfId="24553" xr:uid="{00000000-0005-0000-0000-000029600000}"/>
    <cellStyle name="Normal 4 8 4 2 2 2 2 2 2 2" xfId="49129" xr:uid="{00000000-0005-0000-0000-00002A600000}"/>
    <cellStyle name="Normal 4 8 4 2 2 2 2 2 3" xfId="36841" xr:uid="{00000000-0005-0000-0000-00002B600000}"/>
    <cellStyle name="Normal 4 8 4 2 2 2 2 3" xfId="18409" xr:uid="{00000000-0005-0000-0000-00002C600000}"/>
    <cellStyle name="Normal 4 8 4 2 2 2 2 3 2" xfId="42985" xr:uid="{00000000-0005-0000-0000-00002D600000}"/>
    <cellStyle name="Normal 4 8 4 2 2 2 2 4" xfId="30697" xr:uid="{00000000-0005-0000-0000-00002E600000}"/>
    <cellStyle name="Normal 4 8 4 2 2 2 3" xfId="9193" xr:uid="{00000000-0005-0000-0000-00002F600000}"/>
    <cellStyle name="Normal 4 8 4 2 2 2 3 2" xfId="21481" xr:uid="{00000000-0005-0000-0000-000030600000}"/>
    <cellStyle name="Normal 4 8 4 2 2 2 3 2 2" xfId="46057" xr:uid="{00000000-0005-0000-0000-000031600000}"/>
    <cellStyle name="Normal 4 8 4 2 2 2 3 3" xfId="33769" xr:uid="{00000000-0005-0000-0000-000032600000}"/>
    <cellStyle name="Normal 4 8 4 2 2 2 4" xfId="15337" xr:uid="{00000000-0005-0000-0000-000033600000}"/>
    <cellStyle name="Normal 4 8 4 2 2 2 4 2" xfId="39913" xr:uid="{00000000-0005-0000-0000-000034600000}"/>
    <cellStyle name="Normal 4 8 4 2 2 2 5" xfId="27625" xr:uid="{00000000-0005-0000-0000-000035600000}"/>
    <cellStyle name="Normal 4 8 4 2 2 3" xfId="4585" xr:uid="{00000000-0005-0000-0000-000036600000}"/>
    <cellStyle name="Normal 4 8 4 2 2 3 2" xfId="10729" xr:uid="{00000000-0005-0000-0000-000037600000}"/>
    <cellStyle name="Normal 4 8 4 2 2 3 2 2" xfId="23017" xr:uid="{00000000-0005-0000-0000-000038600000}"/>
    <cellStyle name="Normal 4 8 4 2 2 3 2 2 2" xfId="47593" xr:uid="{00000000-0005-0000-0000-000039600000}"/>
    <cellStyle name="Normal 4 8 4 2 2 3 2 3" xfId="35305" xr:uid="{00000000-0005-0000-0000-00003A600000}"/>
    <cellStyle name="Normal 4 8 4 2 2 3 3" xfId="16873" xr:uid="{00000000-0005-0000-0000-00003B600000}"/>
    <cellStyle name="Normal 4 8 4 2 2 3 3 2" xfId="41449" xr:uid="{00000000-0005-0000-0000-00003C600000}"/>
    <cellStyle name="Normal 4 8 4 2 2 3 4" xfId="29161" xr:uid="{00000000-0005-0000-0000-00003D600000}"/>
    <cellStyle name="Normal 4 8 4 2 2 4" xfId="7657" xr:uid="{00000000-0005-0000-0000-00003E600000}"/>
    <cellStyle name="Normal 4 8 4 2 2 4 2" xfId="19945" xr:uid="{00000000-0005-0000-0000-00003F600000}"/>
    <cellStyle name="Normal 4 8 4 2 2 4 2 2" xfId="44521" xr:uid="{00000000-0005-0000-0000-000040600000}"/>
    <cellStyle name="Normal 4 8 4 2 2 4 3" xfId="32233" xr:uid="{00000000-0005-0000-0000-000041600000}"/>
    <cellStyle name="Normal 4 8 4 2 2 5" xfId="13801" xr:uid="{00000000-0005-0000-0000-000042600000}"/>
    <cellStyle name="Normal 4 8 4 2 2 5 2" xfId="38377" xr:uid="{00000000-0005-0000-0000-000043600000}"/>
    <cellStyle name="Normal 4 8 4 2 2 6" xfId="26089" xr:uid="{00000000-0005-0000-0000-000044600000}"/>
    <cellStyle name="Normal 4 8 4 2 3" xfId="2277" xr:uid="{00000000-0005-0000-0000-000045600000}"/>
    <cellStyle name="Normal 4 8 4 2 3 2" xfId="5353" xr:uid="{00000000-0005-0000-0000-000046600000}"/>
    <cellStyle name="Normal 4 8 4 2 3 2 2" xfId="11497" xr:uid="{00000000-0005-0000-0000-000047600000}"/>
    <cellStyle name="Normal 4 8 4 2 3 2 2 2" xfId="23785" xr:uid="{00000000-0005-0000-0000-000048600000}"/>
    <cellStyle name="Normal 4 8 4 2 3 2 2 2 2" xfId="48361" xr:uid="{00000000-0005-0000-0000-000049600000}"/>
    <cellStyle name="Normal 4 8 4 2 3 2 2 3" xfId="36073" xr:uid="{00000000-0005-0000-0000-00004A600000}"/>
    <cellStyle name="Normal 4 8 4 2 3 2 3" xfId="17641" xr:uid="{00000000-0005-0000-0000-00004B600000}"/>
    <cellStyle name="Normal 4 8 4 2 3 2 3 2" xfId="42217" xr:uid="{00000000-0005-0000-0000-00004C600000}"/>
    <cellStyle name="Normal 4 8 4 2 3 2 4" xfId="29929" xr:uid="{00000000-0005-0000-0000-00004D600000}"/>
    <cellStyle name="Normal 4 8 4 2 3 3" xfId="8425" xr:uid="{00000000-0005-0000-0000-00004E600000}"/>
    <cellStyle name="Normal 4 8 4 2 3 3 2" xfId="20713" xr:uid="{00000000-0005-0000-0000-00004F600000}"/>
    <cellStyle name="Normal 4 8 4 2 3 3 2 2" xfId="45289" xr:uid="{00000000-0005-0000-0000-000050600000}"/>
    <cellStyle name="Normal 4 8 4 2 3 3 3" xfId="33001" xr:uid="{00000000-0005-0000-0000-000051600000}"/>
    <cellStyle name="Normal 4 8 4 2 3 4" xfId="14569" xr:uid="{00000000-0005-0000-0000-000052600000}"/>
    <cellStyle name="Normal 4 8 4 2 3 4 2" xfId="39145" xr:uid="{00000000-0005-0000-0000-000053600000}"/>
    <cellStyle name="Normal 4 8 4 2 3 5" xfId="26857" xr:uid="{00000000-0005-0000-0000-000054600000}"/>
    <cellStyle name="Normal 4 8 4 2 4" xfId="3817" xr:uid="{00000000-0005-0000-0000-000055600000}"/>
    <cellStyle name="Normal 4 8 4 2 4 2" xfId="9961" xr:uid="{00000000-0005-0000-0000-000056600000}"/>
    <cellStyle name="Normal 4 8 4 2 4 2 2" xfId="22249" xr:uid="{00000000-0005-0000-0000-000057600000}"/>
    <cellStyle name="Normal 4 8 4 2 4 2 2 2" xfId="46825" xr:uid="{00000000-0005-0000-0000-000058600000}"/>
    <cellStyle name="Normal 4 8 4 2 4 2 3" xfId="34537" xr:uid="{00000000-0005-0000-0000-000059600000}"/>
    <cellStyle name="Normal 4 8 4 2 4 3" xfId="16105" xr:uid="{00000000-0005-0000-0000-00005A600000}"/>
    <cellStyle name="Normal 4 8 4 2 4 3 2" xfId="40681" xr:uid="{00000000-0005-0000-0000-00005B600000}"/>
    <cellStyle name="Normal 4 8 4 2 4 4" xfId="28393" xr:uid="{00000000-0005-0000-0000-00005C600000}"/>
    <cellStyle name="Normal 4 8 4 2 5" xfId="6889" xr:uid="{00000000-0005-0000-0000-00005D600000}"/>
    <cellStyle name="Normal 4 8 4 2 5 2" xfId="19177" xr:uid="{00000000-0005-0000-0000-00005E600000}"/>
    <cellStyle name="Normal 4 8 4 2 5 2 2" xfId="43753" xr:uid="{00000000-0005-0000-0000-00005F600000}"/>
    <cellStyle name="Normal 4 8 4 2 5 3" xfId="31465" xr:uid="{00000000-0005-0000-0000-000060600000}"/>
    <cellStyle name="Normal 4 8 4 2 6" xfId="13033" xr:uid="{00000000-0005-0000-0000-000061600000}"/>
    <cellStyle name="Normal 4 8 4 2 6 2" xfId="37609" xr:uid="{00000000-0005-0000-0000-000062600000}"/>
    <cellStyle name="Normal 4 8 4 2 7" xfId="25321" xr:uid="{00000000-0005-0000-0000-000063600000}"/>
    <cellStyle name="Normal 4 8 4 3" xfId="1125" xr:uid="{00000000-0005-0000-0000-000064600000}"/>
    <cellStyle name="Normal 4 8 4 3 2" xfId="2661" xr:uid="{00000000-0005-0000-0000-000065600000}"/>
    <cellStyle name="Normal 4 8 4 3 2 2" xfId="5737" xr:uid="{00000000-0005-0000-0000-000066600000}"/>
    <cellStyle name="Normal 4 8 4 3 2 2 2" xfId="11881" xr:uid="{00000000-0005-0000-0000-000067600000}"/>
    <cellStyle name="Normal 4 8 4 3 2 2 2 2" xfId="24169" xr:uid="{00000000-0005-0000-0000-000068600000}"/>
    <cellStyle name="Normal 4 8 4 3 2 2 2 2 2" xfId="48745" xr:uid="{00000000-0005-0000-0000-000069600000}"/>
    <cellStyle name="Normal 4 8 4 3 2 2 2 3" xfId="36457" xr:uid="{00000000-0005-0000-0000-00006A600000}"/>
    <cellStyle name="Normal 4 8 4 3 2 2 3" xfId="18025" xr:uid="{00000000-0005-0000-0000-00006B600000}"/>
    <cellStyle name="Normal 4 8 4 3 2 2 3 2" xfId="42601" xr:uid="{00000000-0005-0000-0000-00006C600000}"/>
    <cellStyle name="Normal 4 8 4 3 2 2 4" xfId="30313" xr:uid="{00000000-0005-0000-0000-00006D600000}"/>
    <cellStyle name="Normal 4 8 4 3 2 3" xfId="8809" xr:uid="{00000000-0005-0000-0000-00006E600000}"/>
    <cellStyle name="Normal 4 8 4 3 2 3 2" xfId="21097" xr:uid="{00000000-0005-0000-0000-00006F600000}"/>
    <cellStyle name="Normal 4 8 4 3 2 3 2 2" xfId="45673" xr:uid="{00000000-0005-0000-0000-000070600000}"/>
    <cellStyle name="Normal 4 8 4 3 2 3 3" xfId="33385" xr:uid="{00000000-0005-0000-0000-000071600000}"/>
    <cellStyle name="Normal 4 8 4 3 2 4" xfId="14953" xr:uid="{00000000-0005-0000-0000-000072600000}"/>
    <cellStyle name="Normal 4 8 4 3 2 4 2" xfId="39529" xr:uid="{00000000-0005-0000-0000-000073600000}"/>
    <cellStyle name="Normal 4 8 4 3 2 5" xfId="27241" xr:uid="{00000000-0005-0000-0000-000074600000}"/>
    <cellStyle name="Normal 4 8 4 3 3" xfId="4201" xr:uid="{00000000-0005-0000-0000-000075600000}"/>
    <cellStyle name="Normal 4 8 4 3 3 2" xfId="10345" xr:uid="{00000000-0005-0000-0000-000076600000}"/>
    <cellStyle name="Normal 4 8 4 3 3 2 2" xfId="22633" xr:uid="{00000000-0005-0000-0000-000077600000}"/>
    <cellStyle name="Normal 4 8 4 3 3 2 2 2" xfId="47209" xr:uid="{00000000-0005-0000-0000-000078600000}"/>
    <cellStyle name="Normal 4 8 4 3 3 2 3" xfId="34921" xr:uid="{00000000-0005-0000-0000-000079600000}"/>
    <cellStyle name="Normal 4 8 4 3 3 3" xfId="16489" xr:uid="{00000000-0005-0000-0000-00007A600000}"/>
    <cellStyle name="Normal 4 8 4 3 3 3 2" xfId="41065" xr:uid="{00000000-0005-0000-0000-00007B600000}"/>
    <cellStyle name="Normal 4 8 4 3 3 4" xfId="28777" xr:uid="{00000000-0005-0000-0000-00007C600000}"/>
    <cellStyle name="Normal 4 8 4 3 4" xfId="7273" xr:uid="{00000000-0005-0000-0000-00007D600000}"/>
    <cellStyle name="Normal 4 8 4 3 4 2" xfId="19561" xr:uid="{00000000-0005-0000-0000-00007E600000}"/>
    <cellStyle name="Normal 4 8 4 3 4 2 2" xfId="44137" xr:uid="{00000000-0005-0000-0000-00007F600000}"/>
    <cellStyle name="Normal 4 8 4 3 4 3" xfId="31849" xr:uid="{00000000-0005-0000-0000-000080600000}"/>
    <cellStyle name="Normal 4 8 4 3 5" xfId="13417" xr:uid="{00000000-0005-0000-0000-000081600000}"/>
    <cellStyle name="Normal 4 8 4 3 5 2" xfId="37993" xr:uid="{00000000-0005-0000-0000-000082600000}"/>
    <cellStyle name="Normal 4 8 4 3 6" xfId="25705" xr:uid="{00000000-0005-0000-0000-000083600000}"/>
    <cellStyle name="Normal 4 8 4 4" xfId="1893" xr:uid="{00000000-0005-0000-0000-000084600000}"/>
    <cellStyle name="Normal 4 8 4 4 2" xfId="4969" xr:uid="{00000000-0005-0000-0000-000085600000}"/>
    <cellStyle name="Normal 4 8 4 4 2 2" xfId="11113" xr:uid="{00000000-0005-0000-0000-000086600000}"/>
    <cellStyle name="Normal 4 8 4 4 2 2 2" xfId="23401" xr:uid="{00000000-0005-0000-0000-000087600000}"/>
    <cellStyle name="Normal 4 8 4 4 2 2 2 2" xfId="47977" xr:uid="{00000000-0005-0000-0000-000088600000}"/>
    <cellStyle name="Normal 4 8 4 4 2 2 3" xfId="35689" xr:uid="{00000000-0005-0000-0000-000089600000}"/>
    <cellStyle name="Normal 4 8 4 4 2 3" xfId="17257" xr:uid="{00000000-0005-0000-0000-00008A600000}"/>
    <cellStyle name="Normal 4 8 4 4 2 3 2" xfId="41833" xr:uid="{00000000-0005-0000-0000-00008B600000}"/>
    <cellStyle name="Normal 4 8 4 4 2 4" xfId="29545" xr:uid="{00000000-0005-0000-0000-00008C600000}"/>
    <cellStyle name="Normal 4 8 4 4 3" xfId="8041" xr:uid="{00000000-0005-0000-0000-00008D600000}"/>
    <cellStyle name="Normal 4 8 4 4 3 2" xfId="20329" xr:uid="{00000000-0005-0000-0000-00008E600000}"/>
    <cellStyle name="Normal 4 8 4 4 3 2 2" xfId="44905" xr:uid="{00000000-0005-0000-0000-00008F600000}"/>
    <cellStyle name="Normal 4 8 4 4 3 3" xfId="32617" xr:uid="{00000000-0005-0000-0000-000090600000}"/>
    <cellStyle name="Normal 4 8 4 4 4" xfId="14185" xr:uid="{00000000-0005-0000-0000-000091600000}"/>
    <cellStyle name="Normal 4 8 4 4 4 2" xfId="38761" xr:uid="{00000000-0005-0000-0000-000092600000}"/>
    <cellStyle name="Normal 4 8 4 4 5" xfId="26473" xr:uid="{00000000-0005-0000-0000-000093600000}"/>
    <cellStyle name="Normal 4 8 4 5" xfId="3433" xr:uid="{00000000-0005-0000-0000-000094600000}"/>
    <cellStyle name="Normal 4 8 4 5 2" xfId="9577" xr:uid="{00000000-0005-0000-0000-000095600000}"/>
    <cellStyle name="Normal 4 8 4 5 2 2" xfId="21865" xr:uid="{00000000-0005-0000-0000-000096600000}"/>
    <cellStyle name="Normal 4 8 4 5 2 2 2" xfId="46441" xr:uid="{00000000-0005-0000-0000-000097600000}"/>
    <cellStyle name="Normal 4 8 4 5 2 3" xfId="34153" xr:uid="{00000000-0005-0000-0000-000098600000}"/>
    <cellStyle name="Normal 4 8 4 5 3" xfId="15721" xr:uid="{00000000-0005-0000-0000-000099600000}"/>
    <cellStyle name="Normal 4 8 4 5 3 2" xfId="40297" xr:uid="{00000000-0005-0000-0000-00009A600000}"/>
    <cellStyle name="Normal 4 8 4 5 4" xfId="28009" xr:uid="{00000000-0005-0000-0000-00009B600000}"/>
    <cellStyle name="Normal 4 8 4 6" xfId="6505" xr:uid="{00000000-0005-0000-0000-00009C600000}"/>
    <cellStyle name="Normal 4 8 4 6 2" xfId="18793" xr:uid="{00000000-0005-0000-0000-00009D600000}"/>
    <cellStyle name="Normal 4 8 4 6 2 2" xfId="43369" xr:uid="{00000000-0005-0000-0000-00009E600000}"/>
    <cellStyle name="Normal 4 8 4 6 3" xfId="31081" xr:uid="{00000000-0005-0000-0000-00009F600000}"/>
    <cellStyle name="Normal 4 8 4 7" xfId="12649" xr:uid="{00000000-0005-0000-0000-0000A0600000}"/>
    <cellStyle name="Normal 4 8 4 7 2" xfId="37225" xr:uid="{00000000-0005-0000-0000-0000A1600000}"/>
    <cellStyle name="Normal 4 8 4 8" xfId="24937" xr:uid="{00000000-0005-0000-0000-0000A2600000}"/>
    <cellStyle name="Normal 4 8 5" xfId="549" xr:uid="{00000000-0005-0000-0000-0000A3600000}"/>
    <cellStyle name="Normal 4 8 5 2" xfId="1317" xr:uid="{00000000-0005-0000-0000-0000A4600000}"/>
    <cellStyle name="Normal 4 8 5 2 2" xfId="2853" xr:uid="{00000000-0005-0000-0000-0000A5600000}"/>
    <cellStyle name="Normal 4 8 5 2 2 2" xfId="5929" xr:uid="{00000000-0005-0000-0000-0000A6600000}"/>
    <cellStyle name="Normal 4 8 5 2 2 2 2" xfId="12073" xr:uid="{00000000-0005-0000-0000-0000A7600000}"/>
    <cellStyle name="Normal 4 8 5 2 2 2 2 2" xfId="24361" xr:uid="{00000000-0005-0000-0000-0000A8600000}"/>
    <cellStyle name="Normal 4 8 5 2 2 2 2 2 2" xfId="48937" xr:uid="{00000000-0005-0000-0000-0000A9600000}"/>
    <cellStyle name="Normal 4 8 5 2 2 2 2 3" xfId="36649" xr:uid="{00000000-0005-0000-0000-0000AA600000}"/>
    <cellStyle name="Normal 4 8 5 2 2 2 3" xfId="18217" xr:uid="{00000000-0005-0000-0000-0000AB600000}"/>
    <cellStyle name="Normal 4 8 5 2 2 2 3 2" xfId="42793" xr:uid="{00000000-0005-0000-0000-0000AC600000}"/>
    <cellStyle name="Normal 4 8 5 2 2 2 4" xfId="30505" xr:uid="{00000000-0005-0000-0000-0000AD600000}"/>
    <cellStyle name="Normal 4 8 5 2 2 3" xfId="9001" xr:uid="{00000000-0005-0000-0000-0000AE600000}"/>
    <cellStyle name="Normal 4 8 5 2 2 3 2" xfId="21289" xr:uid="{00000000-0005-0000-0000-0000AF600000}"/>
    <cellStyle name="Normal 4 8 5 2 2 3 2 2" xfId="45865" xr:uid="{00000000-0005-0000-0000-0000B0600000}"/>
    <cellStyle name="Normal 4 8 5 2 2 3 3" xfId="33577" xr:uid="{00000000-0005-0000-0000-0000B1600000}"/>
    <cellStyle name="Normal 4 8 5 2 2 4" xfId="15145" xr:uid="{00000000-0005-0000-0000-0000B2600000}"/>
    <cellStyle name="Normal 4 8 5 2 2 4 2" xfId="39721" xr:uid="{00000000-0005-0000-0000-0000B3600000}"/>
    <cellStyle name="Normal 4 8 5 2 2 5" xfId="27433" xr:uid="{00000000-0005-0000-0000-0000B4600000}"/>
    <cellStyle name="Normal 4 8 5 2 3" xfId="4393" xr:uid="{00000000-0005-0000-0000-0000B5600000}"/>
    <cellStyle name="Normal 4 8 5 2 3 2" xfId="10537" xr:uid="{00000000-0005-0000-0000-0000B6600000}"/>
    <cellStyle name="Normal 4 8 5 2 3 2 2" xfId="22825" xr:uid="{00000000-0005-0000-0000-0000B7600000}"/>
    <cellStyle name="Normal 4 8 5 2 3 2 2 2" xfId="47401" xr:uid="{00000000-0005-0000-0000-0000B8600000}"/>
    <cellStyle name="Normal 4 8 5 2 3 2 3" xfId="35113" xr:uid="{00000000-0005-0000-0000-0000B9600000}"/>
    <cellStyle name="Normal 4 8 5 2 3 3" xfId="16681" xr:uid="{00000000-0005-0000-0000-0000BA600000}"/>
    <cellStyle name="Normal 4 8 5 2 3 3 2" xfId="41257" xr:uid="{00000000-0005-0000-0000-0000BB600000}"/>
    <cellStyle name="Normal 4 8 5 2 3 4" xfId="28969" xr:uid="{00000000-0005-0000-0000-0000BC600000}"/>
    <cellStyle name="Normal 4 8 5 2 4" xfId="7465" xr:uid="{00000000-0005-0000-0000-0000BD600000}"/>
    <cellStyle name="Normal 4 8 5 2 4 2" xfId="19753" xr:uid="{00000000-0005-0000-0000-0000BE600000}"/>
    <cellStyle name="Normal 4 8 5 2 4 2 2" xfId="44329" xr:uid="{00000000-0005-0000-0000-0000BF600000}"/>
    <cellStyle name="Normal 4 8 5 2 4 3" xfId="32041" xr:uid="{00000000-0005-0000-0000-0000C0600000}"/>
    <cellStyle name="Normal 4 8 5 2 5" xfId="13609" xr:uid="{00000000-0005-0000-0000-0000C1600000}"/>
    <cellStyle name="Normal 4 8 5 2 5 2" xfId="38185" xr:uid="{00000000-0005-0000-0000-0000C2600000}"/>
    <cellStyle name="Normal 4 8 5 2 6" xfId="25897" xr:uid="{00000000-0005-0000-0000-0000C3600000}"/>
    <cellStyle name="Normal 4 8 5 3" xfId="2085" xr:uid="{00000000-0005-0000-0000-0000C4600000}"/>
    <cellStyle name="Normal 4 8 5 3 2" xfId="5161" xr:uid="{00000000-0005-0000-0000-0000C5600000}"/>
    <cellStyle name="Normal 4 8 5 3 2 2" xfId="11305" xr:uid="{00000000-0005-0000-0000-0000C6600000}"/>
    <cellStyle name="Normal 4 8 5 3 2 2 2" xfId="23593" xr:uid="{00000000-0005-0000-0000-0000C7600000}"/>
    <cellStyle name="Normal 4 8 5 3 2 2 2 2" xfId="48169" xr:uid="{00000000-0005-0000-0000-0000C8600000}"/>
    <cellStyle name="Normal 4 8 5 3 2 2 3" xfId="35881" xr:uid="{00000000-0005-0000-0000-0000C9600000}"/>
    <cellStyle name="Normal 4 8 5 3 2 3" xfId="17449" xr:uid="{00000000-0005-0000-0000-0000CA600000}"/>
    <cellStyle name="Normal 4 8 5 3 2 3 2" xfId="42025" xr:uid="{00000000-0005-0000-0000-0000CB600000}"/>
    <cellStyle name="Normal 4 8 5 3 2 4" xfId="29737" xr:uid="{00000000-0005-0000-0000-0000CC600000}"/>
    <cellStyle name="Normal 4 8 5 3 3" xfId="8233" xr:uid="{00000000-0005-0000-0000-0000CD600000}"/>
    <cellStyle name="Normal 4 8 5 3 3 2" xfId="20521" xr:uid="{00000000-0005-0000-0000-0000CE600000}"/>
    <cellStyle name="Normal 4 8 5 3 3 2 2" xfId="45097" xr:uid="{00000000-0005-0000-0000-0000CF600000}"/>
    <cellStyle name="Normal 4 8 5 3 3 3" xfId="32809" xr:uid="{00000000-0005-0000-0000-0000D0600000}"/>
    <cellStyle name="Normal 4 8 5 3 4" xfId="14377" xr:uid="{00000000-0005-0000-0000-0000D1600000}"/>
    <cellStyle name="Normal 4 8 5 3 4 2" xfId="38953" xr:uid="{00000000-0005-0000-0000-0000D2600000}"/>
    <cellStyle name="Normal 4 8 5 3 5" xfId="26665" xr:uid="{00000000-0005-0000-0000-0000D3600000}"/>
    <cellStyle name="Normal 4 8 5 4" xfId="3625" xr:uid="{00000000-0005-0000-0000-0000D4600000}"/>
    <cellStyle name="Normal 4 8 5 4 2" xfId="9769" xr:uid="{00000000-0005-0000-0000-0000D5600000}"/>
    <cellStyle name="Normal 4 8 5 4 2 2" xfId="22057" xr:uid="{00000000-0005-0000-0000-0000D6600000}"/>
    <cellStyle name="Normal 4 8 5 4 2 2 2" xfId="46633" xr:uid="{00000000-0005-0000-0000-0000D7600000}"/>
    <cellStyle name="Normal 4 8 5 4 2 3" xfId="34345" xr:uid="{00000000-0005-0000-0000-0000D8600000}"/>
    <cellStyle name="Normal 4 8 5 4 3" xfId="15913" xr:uid="{00000000-0005-0000-0000-0000D9600000}"/>
    <cellStyle name="Normal 4 8 5 4 3 2" xfId="40489" xr:uid="{00000000-0005-0000-0000-0000DA600000}"/>
    <cellStyle name="Normal 4 8 5 4 4" xfId="28201" xr:uid="{00000000-0005-0000-0000-0000DB600000}"/>
    <cellStyle name="Normal 4 8 5 5" xfId="6697" xr:uid="{00000000-0005-0000-0000-0000DC600000}"/>
    <cellStyle name="Normal 4 8 5 5 2" xfId="18985" xr:uid="{00000000-0005-0000-0000-0000DD600000}"/>
    <cellStyle name="Normal 4 8 5 5 2 2" xfId="43561" xr:uid="{00000000-0005-0000-0000-0000DE600000}"/>
    <cellStyle name="Normal 4 8 5 5 3" xfId="31273" xr:uid="{00000000-0005-0000-0000-0000DF600000}"/>
    <cellStyle name="Normal 4 8 5 6" xfId="12841" xr:uid="{00000000-0005-0000-0000-0000E0600000}"/>
    <cellStyle name="Normal 4 8 5 6 2" xfId="37417" xr:uid="{00000000-0005-0000-0000-0000E1600000}"/>
    <cellStyle name="Normal 4 8 5 7" xfId="25129" xr:uid="{00000000-0005-0000-0000-0000E2600000}"/>
    <cellStyle name="Normal 4 8 6" xfId="933" xr:uid="{00000000-0005-0000-0000-0000E3600000}"/>
    <cellStyle name="Normal 4 8 6 2" xfId="2469" xr:uid="{00000000-0005-0000-0000-0000E4600000}"/>
    <cellStyle name="Normal 4 8 6 2 2" xfId="5545" xr:uid="{00000000-0005-0000-0000-0000E5600000}"/>
    <cellStyle name="Normal 4 8 6 2 2 2" xfId="11689" xr:uid="{00000000-0005-0000-0000-0000E6600000}"/>
    <cellStyle name="Normal 4 8 6 2 2 2 2" xfId="23977" xr:uid="{00000000-0005-0000-0000-0000E7600000}"/>
    <cellStyle name="Normal 4 8 6 2 2 2 2 2" xfId="48553" xr:uid="{00000000-0005-0000-0000-0000E8600000}"/>
    <cellStyle name="Normal 4 8 6 2 2 2 3" xfId="36265" xr:uid="{00000000-0005-0000-0000-0000E9600000}"/>
    <cellStyle name="Normal 4 8 6 2 2 3" xfId="17833" xr:uid="{00000000-0005-0000-0000-0000EA600000}"/>
    <cellStyle name="Normal 4 8 6 2 2 3 2" xfId="42409" xr:uid="{00000000-0005-0000-0000-0000EB600000}"/>
    <cellStyle name="Normal 4 8 6 2 2 4" xfId="30121" xr:uid="{00000000-0005-0000-0000-0000EC600000}"/>
    <cellStyle name="Normal 4 8 6 2 3" xfId="8617" xr:uid="{00000000-0005-0000-0000-0000ED600000}"/>
    <cellStyle name="Normal 4 8 6 2 3 2" xfId="20905" xr:uid="{00000000-0005-0000-0000-0000EE600000}"/>
    <cellStyle name="Normal 4 8 6 2 3 2 2" xfId="45481" xr:uid="{00000000-0005-0000-0000-0000EF600000}"/>
    <cellStyle name="Normal 4 8 6 2 3 3" xfId="33193" xr:uid="{00000000-0005-0000-0000-0000F0600000}"/>
    <cellStyle name="Normal 4 8 6 2 4" xfId="14761" xr:uid="{00000000-0005-0000-0000-0000F1600000}"/>
    <cellStyle name="Normal 4 8 6 2 4 2" xfId="39337" xr:uid="{00000000-0005-0000-0000-0000F2600000}"/>
    <cellStyle name="Normal 4 8 6 2 5" xfId="27049" xr:uid="{00000000-0005-0000-0000-0000F3600000}"/>
    <cellStyle name="Normal 4 8 6 3" xfId="4009" xr:uid="{00000000-0005-0000-0000-0000F4600000}"/>
    <cellStyle name="Normal 4 8 6 3 2" xfId="10153" xr:uid="{00000000-0005-0000-0000-0000F5600000}"/>
    <cellStyle name="Normal 4 8 6 3 2 2" xfId="22441" xr:uid="{00000000-0005-0000-0000-0000F6600000}"/>
    <cellStyle name="Normal 4 8 6 3 2 2 2" xfId="47017" xr:uid="{00000000-0005-0000-0000-0000F7600000}"/>
    <cellStyle name="Normal 4 8 6 3 2 3" xfId="34729" xr:uid="{00000000-0005-0000-0000-0000F8600000}"/>
    <cellStyle name="Normal 4 8 6 3 3" xfId="16297" xr:uid="{00000000-0005-0000-0000-0000F9600000}"/>
    <cellStyle name="Normal 4 8 6 3 3 2" xfId="40873" xr:uid="{00000000-0005-0000-0000-0000FA600000}"/>
    <cellStyle name="Normal 4 8 6 3 4" xfId="28585" xr:uid="{00000000-0005-0000-0000-0000FB600000}"/>
    <cellStyle name="Normal 4 8 6 4" xfId="7081" xr:uid="{00000000-0005-0000-0000-0000FC600000}"/>
    <cellStyle name="Normal 4 8 6 4 2" xfId="19369" xr:uid="{00000000-0005-0000-0000-0000FD600000}"/>
    <cellStyle name="Normal 4 8 6 4 2 2" xfId="43945" xr:uid="{00000000-0005-0000-0000-0000FE600000}"/>
    <cellStyle name="Normal 4 8 6 4 3" xfId="31657" xr:uid="{00000000-0005-0000-0000-0000FF600000}"/>
    <cellStyle name="Normal 4 8 6 5" xfId="13225" xr:uid="{00000000-0005-0000-0000-000000610000}"/>
    <cellStyle name="Normal 4 8 6 5 2" xfId="37801" xr:uid="{00000000-0005-0000-0000-000001610000}"/>
    <cellStyle name="Normal 4 8 6 6" xfId="25513" xr:uid="{00000000-0005-0000-0000-000002610000}"/>
    <cellStyle name="Normal 4 8 7" xfId="1701" xr:uid="{00000000-0005-0000-0000-000003610000}"/>
    <cellStyle name="Normal 4 8 7 2" xfId="4777" xr:uid="{00000000-0005-0000-0000-000004610000}"/>
    <cellStyle name="Normal 4 8 7 2 2" xfId="10921" xr:uid="{00000000-0005-0000-0000-000005610000}"/>
    <cellStyle name="Normal 4 8 7 2 2 2" xfId="23209" xr:uid="{00000000-0005-0000-0000-000006610000}"/>
    <cellStyle name="Normal 4 8 7 2 2 2 2" xfId="47785" xr:uid="{00000000-0005-0000-0000-000007610000}"/>
    <cellStyle name="Normal 4 8 7 2 2 3" xfId="35497" xr:uid="{00000000-0005-0000-0000-000008610000}"/>
    <cellStyle name="Normal 4 8 7 2 3" xfId="17065" xr:uid="{00000000-0005-0000-0000-000009610000}"/>
    <cellStyle name="Normal 4 8 7 2 3 2" xfId="41641" xr:uid="{00000000-0005-0000-0000-00000A610000}"/>
    <cellStyle name="Normal 4 8 7 2 4" xfId="29353" xr:uid="{00000000-0005-0000-0000-00000B610000}"/>
    <cellStyle name="Normal 4 8 7 3" xfId="7849" xr:uid="{00000000-0005-0000-0000-00000C610000}"/>
    <cellStyle name="Normal 4 8 7 3 2" xfId="20137" xr:uid="{00000000-0005-0000-0000-00000D610000}"/>
    <cellStyle name="Normal 4 8 7 3 2 2" xfId="44713" xr:uid="{00000000-0005-0000-0000-00000E610000}"/>
    <cellStyle name="Normal 4 8 7 3 3" xfId="32425" xr:uid="{00000000-0005-0000-0000-00000F610000}"/>
    <cellStyle name="Normal 4 8 7 4" xfId="13993" xr:uid="{00000000-0005-0000-0000-000010610000}"/>
    <cellStyle name="Normal 4 8 7 4 2" xfId="38569" xr:uid="{00000000-0005-0000-0000-000011610000}"/>
    <cellStyle name="Normal 4 8 7 5" xfId="26281" xr:uid="{00000000-0005-0000-0000-000012610000}"/>
    <cellStyle name="Normal 4 8 8" xfId="3241" xr:uid="{00000000-0005-0000-0000-000013610000}"/>
    <cellStyle name="Normal 4 8 8 2" xfId="9385" xr:uid="{00000000-0005-0000-0000-000014610000}"/>
    <cellStyle name="Normal 4 8 8 2 2" xfId="21673" xr:uid="{00000000-0005-0000-0000-000015610000}"/>
    <cellStyle name="Normal 4 8 8 2 2 2" xfId="46249" xr:uid="{00000000-0005-0000-0000-000016610000}"/>
    <cellStyle name="Normal 4 8 8 2 3" xfId="33961" xr:uid="{00000000-0005-0000-0000-000017610000}"/>
    <cellStyle name="Normal 4 8 8 3" xfId="15529" xr:uid="{00000000-0005-0000-0000-000018610000}"/>
    <cellStyle name="Normal 4 8 8 3 2" xfId="40105" xr:uid="{00000000-0005-0000-0000-000019610000}"/>
    <cellStyle name="Normal 4 8 8 4" xfId="27817" xr:uid="{00000000-0005-0000-0000-00001A610000}"/>
    <cellStyle name="Normal 4 8 9" xfId="6313" xr:uid="{00000000-0005-0000-0000-00001B610000}"/>
    <cellStyle name="Normal 4 8 9 2" xfId="18601" xr:uid="{00000000-0005-0000-0000-00001C610000}"/>
    <cellStyle name="Normal 4 8 9 2 2" xfId="43177" xr:uid="{00000000-0005-0000-0000-00001D610000}"/>
    <cellStyle name="Normal 4 8 9 3" xfId="30889" xr:uid="{00000000-0005-0000-0000-00001E610000}"/>
    <cellStyle name="Normal 4 9" xfId="197" xr:uid="{00000000-0005-0000-0000-00001F610000}"/>
    <cellStyle name="Normal 4 9 2" xfId="389" xr:uid="{00000000-0005-0000-0000-000020610000}"/>
    <cellStyle name="Normal 4 9 2 2" xfId="773" xr:uid="{00000000-0005-0000-0000-000021610000}"/>
    <cellStyle name="Normal 4 9 2 2 2" xfId="1541" xr:uid="{00000000-0005-0000-0000-000022610000}"/>
    <cellStyle name="Normal 4 9 2 2 2 2" xfId="3077" xr:uid="{00000000-0005-0000-0000-000023610000}"/>
    <cellStyle name="Normal 4 9 2 2 2 2 2" xfId="6153" xr:uid="{00000000-0005-0000-0000-000024610000}"/>
    <cellStyle name="Normal 4 9 2 2 2 2 2 2" xfId="12297" xr:uid="{00000000-0005-0000-0000-000025610000}"/>
    <cellStyle name="Normal 4 9 2 2 2 2 2 2 2" xfId="24585" xr:uid="{00000000-0005-0000-0000-000026610000}"/>
    <cellStyle name="Normal 4 9 2 2 2 2 2 2 2 2" xfId="49161" xr:uid="{00000000-0005-0000-0000-000027610000}"/>
    <cellStyle name="Normal 4 9 2 2 2 2 2 2 3" xfId="36873" xr:uid="{00000000-0005-0000-0000-000028610000}"/>
    <cellStyle name="Normal 4 9 2 2 2 2 2 3" xfId="18441" xr:uid="{00000000-0005-0000-0000-000029610000}"/>
    <cellStyle name="Normal 4 9 2 2 2 2 2 3 2" xfId="43017" xr:uid="{00000000-0005-0000-0000-00002A610000}"/>
    <cellStyle name="Normal 4 9 2 2 2 2 2 4" xfId="30729" xr:uid="{00000000-0005-0000-0000-00002B610000}"/>
    <cellStyle name="Normal 4 9 2 2 2 2 3" xfId="9225" xr:uid="{00000000-0005-0000-0000-00002C610000}"/>
    <cellStyle name="Normal 4 9 2 2 2 2 3 2" xfId="21513" xr:uid="{00000000-0005-0000-0000-00002D610000}"/>
    <cellStyle name="Normal 4 9 2 2 2 2 3 2 2" xfId="46089" xr:uid="{00000000-0005-0000-0000-00002E610000}"/>
    <cellStyle name="Normal 4 9 2 2 2 2 3 3" xfId="33801" xr:uid="{00000000-0005-0000-0000-00002F610000}"/>
    <cellStyle name="Normal 4 9 2 2 2 2 4" xfId="15369" xr:uid="{00000000-0005-0000-0000-000030610000}"/>
    <cellStyle name="Normal 4 9 2 2 2 2 4 2" xfId="39945" xr:uid="{00000000-0005-0000-0000-000031610000}"/>
    <cellStyle name="Normal 4 9 2 2 2 2 5" xfId="27657" xr:uid="{00000000-0005-0000-0000-000032610000}"/>
    <cellStyle name="Normal 4 9 2 2 2 3" xfId="4617" xr:uid="{00000000-0005-0000-0000-000033610000}"/>
    <cellStyle name="Normal 4 9 2 2 2 3 2" xfId="10761" xr:uid="{00000000-0005-0000-0000-000034610000}"/>
    <cellStyle name="Normal 4 9 2 2 2 3 2 2" xfId="23049" xr:uid="{00000000-0005-0000-0000-000035610000}"/>
    <cellStyle name="Normal 4 9 2 2 2 3 2 2 2" xfId="47625" xr:uid="{00000000-0005-0000-0000-000036610000}"/>
    <cellStyle name="Normal 4 9 2 2 2 3 2 3" xfId="35337" xr:uid="{00000000-0005-0000-0000-000037610000}"/>
    <cellStyle name="Normal 4 9 2 2 2 3 3" xfId="16905" xr:uid="{00000000-0005-0000-0000-000038610000}"/>
    <cellStyle name="Normal 4 9 2 2 2 3 3 2" xfId="41481" xr:uid="{00000000-0005-0000-0000-000039610000}"/>
    <cellStyle name="Normal 4 9 2 2 2 3 4" xfId="29193" xr:uid="{00000000-0005-0000-0000-00003A610000}"/>
    <cellStyle name="Normal 4 9 2 2 2 4" xfId="7689" xr:uid="{00000000-0005-0000-0000-00003B610000}"/>
    <cellStyle name="Normal 4 9 2 2 2 4 2" xfId="19977" xr:uid="{00000000-0005-0000-0000-00003C610000}"/>
    <cellStyle name="Normal 4 9 2 2 2 4 2 2" xfId="44553" xr:uid="{00000000-0005-0000-0000-00003D610000}"/>
    <cellStyle name="Normal 4 9 2 2 2 4 3" xfId="32265" xr:uid="{00000000-0005-0000-0000-00003E610000}"/>
    <cellStyle name="Normal 4 9 2 2 2 5" xfId="13833" xr:uid="{00000000-0005-0000-0000-00003F610000}"/>
    <cellStyle name="Normal 4 9 2 2 2 5 2" xfId="38409" xr:uid="{00000000-0005-0000-0000-000040610000}"/>
    <cellStyle name="Normal 4 9 2 2 2 6" xfId="26121" xr:uid="{00000000-0005-0000-0000-000041610000}"/>
    <cellStyle name="Normal 4 9 2 2 3" xfId="2309" xr:uid="{00000000-0005-0000-0000-000042610000}"/>
    <cellStyle name="Normal 4 9 2 2 3 2" xfId="5385" xr:uid="{00000000-0005-0000-0000-000043610000}"/>
    <cellStyle name="Normal 4 9 2 2 3 2 2" xfId="11529" xr:uid="{00000000-0005-0000-0000-000044610000}"/>
    <cellStyle name="Normal 4 9 2 2 3 2 2 2" xfId="23817" xr:uid="{00000000-0005-0000-0000-000045610000}"/>
    <cellStyle name="Normal 4 9 2 2 3 2 2 2 2" xfId="48393" xr:uid="{00000000-0005-0000-0000-000046610000}"/>
    <cellStyle name="Normal 4 9 2 2 3 2 2 3" xfId="36105" xr:uid="{00000000-0005-0000-0000-000047610000}"/>
    <cellStyle name="Normal 4 9 2 2 3 2 3" xfId="17673" xr:uid="{00000000-0005-0000-0000-000048610000}"/>
    <cellStyle name="Normal 4 9 2 2 3 2 3 2" xfId="42249" xr:uid="{00000000-0005-0000-0000-000049610000}"/>
    <cellStyle name="Normal 4 9 2 2 3 2 4" xfId="29961" xr:uid="{00000000-0005-0000-0000-00004A610000}"/>
    <cellStyle name="Normal 4 9 2 2 3 3" xfId="8457" xr:uid="{00000000-0005-0000-0000-00004B610000}"/>
    <cellStyle name="Normal 4 9 2 2 3 3 2" xfId="20745" xr:uid="{00000000-0005-0000-0000-00004C610000}"/>
    <cellStyle name="Normal 4 9 2 2 3 3 2 2" xfId="45321" xr:uid="{00000000-0005-0000-0000-00004D610000}"/>
    <cellStyle name="Normal 4 9 2 2 3 3 3" xfId="33033" xr:uid="{00000000-0005-0000-0000-00004E610000}"/>
    <cellStyle name="Normal 4 9 2 2 3 4" xfId="14601" xr:uid="{00000000-0005-0000-0000-00004F610000}"/>
    <cellStyle name="Normal 4 9 2 2 3 4 2" xfId="39177" xr:uid="{00000000-0005-0000-0000-000050610000}"/>
    <cellStyle name="Normal 4 9 2 2 3 5" xfId="26889" xr:uid="{00000000-0005-0000-0000-000051610000}"/>
    <cellStyle name="Normal 4 9 2 2 4" xfId="3849" xr:uid="{00000000-0005-0000-0000-000052610000}"/>
    <cellStyle name="Normal 4 9 2 2 4 2" xfId="9993" xr:uid="{00000000-0005-0000-0000-000053610000}"/>
    <cellStyle name="Normal 4 9 2 2 4 2 2" xfId="22281" xr:uid="{00000000-0005-0000-0000-000054610000}"/>
    <cellStyle name="Normal 4 9 2 2 4 2 2 2" xfId="46857" xr:uid="{00000000-0005-0000-0000-000055610000}"/>
    <cellStyle name="Normal 4 9 2 2 4 2 3" xfId="34569" xr:uid="{00000000-0005-0000-0000-000056610000}"/>
    <cellStyle name="Normal 4 9 2 2 4 3" xfId="16137" xr:uid="{00000000-0005-0000-0000-000057610000}"/>
    <cellStyle name="Normal 4 9 2 2 4 3 2" xfId="40713" xr:uid="{00000000-0005-0000-0000-000058610000}"/>
    <cellStyle name="Normal 4 9 2 2 4 4" xfId="28425" xr:uid="{00000000-0005-0000-0000-000059610000}"/>
    <cellStyle name="Normal 4 9 2 2 5" xfId="6921" xr:uid="{00000000-0005-0000-0000-00005A610000}"/>
    <cellStyle name="Normal 4 9 2 2 5 2" xfId="19209" xr:uid="{00000000-0005-0000-0000-00005B610000}"/>
    <cellStyle name="Normal 4 9 2 2 5 2 2" xfId="43785" xr:uid="{00000000-0005-0000-0000-00005C610000}"/>
    <cellStyle name="Normal 4 9 2 2 5 3" xfId="31497" xr:uid="{00000000-0005-0000-0000-00005D610000}"/>
    <cellStyle name="Normal 4 9 2 2 6" xfId="13065" xr:uid="{00000000-0005-0000-0000-00005E610000}"/>
    <cellStyle name="Normal 4 9 2 2 6 2" xfId="37641" xr:uid="{00000000-0005-0000-0000-00005F610000}"/>
    <cellStyle name="Normal 4 9 2 2 7" xfId="25353" xr:uid="{00000000-0005-0000-0000-000060610000}"/>
    <cellStyle name="Normal 4 9 2 3" xfId="1157" xr:uid="{00000000-0005-0000-0000-000061610000}"/>
    <cellStyle name="Normal 4 9 2 3 2" xfId="2693" xr:uid="{00000000-0005-0000-0000-000062610000}"/>
    <cellStyle name="Normal 4 9 2 3 2 2" xfId="5769" xr:uid="{00000000-0005-0000-0000-000063610000}"/>
    <cellStyle name="Normal 4 9 2 3 2 2 2" xfId="11913" xr:uid="{00000000-0005-0000-0000-000064610000}"/>
    <cellStyle name="Normal 4 9 2 3 2 2 2 2" xfId="24201" xr:uid="{00000000-0005-0000-0000-000065610000}"/>
    <cellStyle name="Normal 4 9 2 3 2 2 2 2 2" xfId="48777" xr:uid="{00000000-0005-0000-0000-000066610000}"/>
    <cellStyle name="Normal 4 9 2 3 2 2 2 3" xfId="36489" xr:uid="{00000000-0005-0000-0000-000067610000}"/>
    <cellStyle name="Normal 4 9 2 3 2 2 3" xfId="18057" xr:uid="{00000000-0005-0000-0000-000068610000}"/>
    <cellStyle name="Normal 4 9 2 3 2 2 3 2" xfId="42633" xr:uid="{00000000-0005-0000-0000-000069610000}"/>
    <cellStyle name="Normal 4 9 2 3 2 2 4" xfId="30345" xr:uid="{00000000-0005-0000-0000-00006A610000}"/>
    <cellStyle name="Normal 4 9 2 3 2 3" xfId="8841" xr:uid="{00000000-0005-0000-0000-00006B610000}"/>
    <cellStyle name="Normal 4 9 2 3 2 3 2" xfId="21129" xr:uid="{00000000-0005-0000-0000-00006C610000}"/>
    <cellStyle name="Normal 4 9 2 3 2 3 2 2" xfId="45705" xr:uid="{00000000-0005-0000-0000-00006D610000}"/>
    <cellStyle name="Normal 4 9 2 3 2 3 3" xfId="33417" xr:uid="{00000000-0005-0000-0000-00006E610000}"/>
    <cellStyle name="Normal 4 9 2 3 2 4" xfId="14985" xr:uid="{00000000-0005-0000-0000-00006F610000}"/>
    <cellStyle name="Normal 4 9 2 3 2 4 2" xfId="39561" xr:uid="{00000000-0005-0000-0000-000070610000}"/>
    <cellStyle name="Normal 4 9 2 3 2 5" xfId="27273" xr:uid="{00000000-0005-0000-0000-000071610000}"/>
    <cellStyle name="Normal 4 9 2 3 3" xfId="4233" xr:uid="{00000000-0005-0000-0000-000072610000}"/>
    <cellStyle name="Normal 4 9 2 3 3 2" xfId="10377" xr:uid="{00000000-0005-0000-0000-000073610000}"/>
    <cellStyle name="Normal 4 9 2 3 3 2 2" xfId="22665" xr:uid="{00000000-0005-0000-0000-000074610000}"/>
    <cellStyle name="Normal 4 9 2 3 3 2 2 2" xfId="47241" xr:uid="{00000000-0005-0000-0000-000075610000}"/>
    <cellStyle name="Normal 4 9 2 3 3 2 3" xfId="34953" xr:uid="{00000000-0005-0000-0000-000076610000}"/>
    <cellStyle name="Normal 4 9 2 3 3 3" xfId="16521" xr:uid="{00000000-0005-0000-0000-000077610000}"/>
    <cellStyle name="Normal 4 9 2 3 3 3 2" xfId="41097" xr:uid="{00000000-0005-0000-0000-000078610000}"/>
    <cellStyle name="Normal 4 9 2 3 3 4" xfId="28809" xr:uid="{00000000-0005-0000-0000-000079610000}"/>
    <cellStyle name="Normal 4 9 2 3 4" xfId="7305" xr:uid="{00000000-0005-0000-0000-00007A610000}"/>
    <cellStyle name="Normal 4 9 2 3 4 2" xfId="19593" xr:uid="{00000000-0005-0000-0000-00007B610000}"/>
    <cellStyle name="Normal 4 9 2 3 4 2 2" xfId="44169" xr:uid="{00000000-0005-0000-0000-00007C610000}"/>
    <cellStyle name="Normal 4 9 2 3 4 3" xfId="31881" xr:uid="{00000000-0005-0000-0000-00007D610000}"/>
    <cellStyle name="Normal 4 9 2 3 5" xfId="13449" xr:uid="{00000000-0005-0000-0000-00007E610000}"/>
    <cellStyle name="Normal 4 9 2 3 5 2" xfId="38025" xr:uid="{00000000-0005-0000-0000-00007F610000}"/>
    <cellStyle name="Normal 4 9 2 3 6" xfId="25737" xr:uid="{00000000-0005-0000-0000-000080610000}"/>
    <cellStyle name="Normal 4 9 2 4" xfId="1925" xr:uid="{00000000-0005-0000-0000-000081610000}"/>
    <cellStyle name="Normal 4 9 2 4 2" xfId="5001" xr:uid="{00000000-0005-0000-0000-000082610000}"/>
    <cellStyle name="Normal 4 9 2 4 2 2" xfId="11145" xr:uid="{00000000-0005-0000-0000-000083610000}"/>
    <cellStyle name="Normal 4 9 2 4 2 2 2" xfId="23433" xr:uid="{00000000-0005-0000-0000-000084610000}"/>
    <cellStyle name="Normal 4 9 2 4 2 2 2 2" xfId="48009" xr:uid="{00000000-0005-0000-0000-000085610000}"/>
    <cellStyle name="Normal 4 9 2 4 2 2 3" xfId="35721" xr:uid="{00000000-0005-0000-0000-000086610000}"/>
    <cellStyle name="Normal 4 9 2 4 2 3" xfId="17289" xr:uid="{00000000-0005-0000-0000-000087610000}"/>
    <cellStyle name="Normal 4 9 2 4 2 3 2" xfId="41865" xr:uid="{00000000-0005-0000-0000-000088610000}"/>
    <cellStyle name="Normal 4 9 2 4 2 4" xfId="29577" xr:uid="{00000000-0005-0000-0000-000089610000}"/>
    <cellStyle name="Normal 4 9 2 4 3" xfId="8073" xr:uid="{00000000-0005-0000-0000-00008A610000}"/>
    <cellStyle name="Normal 4 9 2 4 3 2" xfId="20361" xr:uid="{00000000-0005-0000-0000-00008B610000}"/>
    <cellStyle name="Normal 4 9 2 4 3 2 2" xfId="44937" xr:uid="{00000000-0005-0000-0000-00008C610000}"/>
    <cellStyle name="Normal 4 9 2 4 3 3" xfId="32649" xr:uid="{00000000-0005-0000-0000-00008D610000}"/>
    <cellStyle name="Normal 4 9 2 4 4" xfId="14217" xr:uid="{00000000-0005-0000-0000-00008E610000}"/>
    <cellStyle name="Normal 4 9 2 4 4 2" xfId="38793" xr:uid="{00000000-0005-0000-0000-00008F610000}"/>
    <cellStyle name="Normal 4 9 2 4 5" xfId="26505" xr:uid="{00000000-0005-0000-0000-000090610000}"/>
    <cellStyle name="Normal 4 9 2 5" xfId="3465" xr:uid="{00000000-0005-0000-0000-000091610000}"/>
    <cellStyle name="Normal 4 9 2 5 2" xfId="9609" xr:uid="{00000000-0005-0000-0000-000092610000}"/>
    <cellStyle name="Normal 4 9 2 5 2 2" xfId="21897" xr:uid="{00000000-0005-0000-0000-000093610000}"/>
    <cellStyle name="Normal 4 9 2 5 2 2 2" xfId="46473" xr:uid="{00000000-0005-0000-0000-000094610000}"/>
    <cellStyle name="Normal 4 9 2 5 2 3" xfId="34185" xr:uid="{00000000-0005-0000-0000-000095610000}"/>
    <cellStyle name="Normal 4 9 2 5 3" xfId="15753" xr:uid="{00000000-0005-0000-0000-000096610000}"/>
    <cellStyle name="Normal 4 9 2 5 3 2" xfId="40329" xr:uid="{00000000-0005-0000-0000-000097610000}"/>
    <cellStyle name="Normal 4 9 2 5 4" xfId="28041" xr:uid="{00000000-0005-0000-0000-000098610000}"/>
    <cellStyle name="Normal 4 9 2 6" xfId="6537" xr:uid="{00000000-0005-0000-0000-000099610000}"/>
    <cellStyle name="Normal 4 9 2 6 2" xfId="18825" xr:uid="{00000000-0005-0000-0000-00009A610000}"/>
    <cellStyle name="Normal 4 9 2 6 2 2" xfId="43401" xr:uid="{00000000-0005-0000-0000-00009B610000}"/>
    <cellStyle name="Normal 4 9 2 6 3" xfId="31113" xr:uid="{00000000-0005-0000-0000-00009C610000}"/>
    <cellStyle name="Normal 4 9 2 7" xfId="12681" xr:uid="{00000000-0005-0000-0000-00009D610000}"/>
    <cellStyle name="Normal 4 9 2 7 2" xfId="37257" xr:uid="{00000000-0005-0000-0000-00009E610000}"/>
    <cellStyle name="Normal 4 9 2 8" xfId="24969" xr:uid="{00000000-0005-0000-0000-00009F610000}"/>
    <cellStyle name="Normal 4 9 3" xfId="581" xr:uid="{00000000-0005-0000-0000-0000A0610000}"/>
    <cellStyle name="Normal 4 9 3 2" xfId="1349" xr:uid="{00000000-0005-0000-0000-0000A1610000}"/>
    <cellStyle name="Normal 4 9 3 2 2" xfId="2885" xr:uid="{00000000-0005-0000-0000-0000A2610000}"/>
    <cellStyle name="Normal 4 9 3 2 2 2" xfId="5961" xr:uid="{00000000-0005-0000-0000-0000A3610000}"/>
    <cellStyle name="Normal 4 9 3 2 2 2 2" xfId="12105" xr:uid="{00000000-0005-0000-0000-0000A4610000}"/>
    <cellStyle name="Normal 4 9 3 2 2 2 2 2" xfId="24393" xr:uid="{00000000-0005-0000-0000-0000A5610000}"/>
    <cellStyle name="Normal 4 9 3 2 2 2 2 2 2" xfId="48969" xr:uid="{00000000-0005-0000-0000-0000A6610000}"/>
    <cellStyle name="Normal 4 9 3 2 2 2 2 3" xfId="36681" xr:uid="{00000000-0005-0000-0000-0000A7610000}"/>
    <cellStyle name="Normal 4 9 3 2 2 2 3" xfId="18249" xr:uid="{00000000-0005-0000-0000-0000A8610000}"/>
    <cellStyle name="Normal 4 9 3 2 2 2 3 2" xfId="42825" xr:uid="{00000000-0005-0000-0000-0000A9610000}"/>
    <cellStyle name="Normal 4 9 3 2 2 2 4" xfId="30537" xr:uid="{00000000-0005-0000-0000-0000AA610000}"/>
    <cellStyle name="Normal 4 9 3 2 2 3" xfId="9033" xr:uid="{00000000-0005-0000-0000-0000AB610000}"/>
    <cellStyle name="Normal 4 9 3 2 2 3 2" xfId="21321" xr:uid="{00000000-0005-0000-0000-0000AC610000}"/>
    <cellStyle name="Normal 4 9 3 2 2 3 2 2" xfId="45897" xr:uid="{00000000-0005-0000-0000-0000AD610000}"/>
    <cellStyle name="Normal 4 9 3 2 2 3 3" xfId="33609" xr:uid="{00000000-0005-0000-0000-0000AE610000}"/>
    <cellStyle name="Normal 4 9 3 2 2 4" xfId="15177" xr:uid="{00000000-0005-0000-0000-0000AF610000}"/>
    <cellStyle name="Normal 4 9 3 2 2 4 2" xfId="39753" xr:uid="{00000000-0005-0000-0000-0000B0610000}"/>
    <cellStyle name="Normal 4 9 3 2 2 5" xfId="27465" xr:uid="{00000000-0005-0000-0000-0000B1610000}"/>
    <cellStyle name="Normal 4 9 3 2 3" xfId="4425" xr:uid="{00000000-0005-0000-0000-0000B2610000}"/>
    <cellStyle name="Normal 4 9 3 2 3 2" xfId="10569" xr:uid="{00000000-0005-0000-0000-0000B3610000}"/>
    <cellStyle name="Normal 4 9 3 2 3 2 2" xfId="22857" xr:uid="{00000000-0005-0000-0000-0000B4610000}"/>
    <cellStyle name="Normal 4 9 3 2 3 2 2 2" xfId="47433" xr:uid="{00000000-0005-0000-0000-0000B5610000}"/>
    <cellStyle name="Normal 4 9 3 2 3 2 3" xfId="35145" xr:uid="{00000000-0005-0000-0000-0000B6610000}"/>
    <cellStyle name="Normal 4 9 3 2 3 3" xfId="16713" xr:uid="{00000000-0005-0000-0000-0000B7610000}"/>
    <cellStyle name="Normal 4 9 3 2 3 3 2" xfId="41289" xr:uid="{00000000-0005-0000-0000-0000B8610000}"/>
    <cellStyle name="Normal 4 9 3 2 3 4" xfId="29001" xr:uid="{00000000-0005-0000-0000-0000B9610000}"/>
    <cellStyle name="Normal 4 9 3 2 4" xfId="7497" xr:uid="{00000000-0005-0000-0000-0000BA610000}"/>
    <cellStyle name="Normal 4 9 3 2 4 2" xfId="19785" xr:uid="{00000000-0005-0000-0000-0000BB610000}"/>
    <cellStyle name="Normal 4 9 3 2 4 2 2" xfId="44361" xr:uid="{00000000-0005-0000-0000-0000BC610000}"/>
    <cellStyle name="Normal 4 9 3 2 4 3" xfId="32073" xr:uid="{00000000-0005-0000-0000-0000BD610000}"/>
    <cellStyle name="Normal 4 9 3 2 5" xfId="13641" xr:uid="{00000000-0005-0000-0000-0000BE610000}"/>
    <cellStyle name="Normal 4 9 3 2 5 2" xfId="38217" xr:uid="{00000000-0005-0000-0000-0000BF610000}"/>
    <cellStyle name="Normal 4 9 3 2 6" xfId="25929" xr:uid="{00000000-0005-0000-0000-0000C0610000}"/>
    <cellStyle name="Normal 4 9 3 3" xfId="2117" xr:uid="{00000000-0005-0000-0000-0000C1610000}"/>
    <cellStyle name="Normal 4 9 3 3 2" xfId="5193" xr:uid="{00000000-0005-0000-0000-0000C2610000}"/>
    <cellStyle name="Normal 4 9 3 3 2 2" xfId="11337" xr:uid="{00000000-0005-0000-0000-0000C3610000}"/>
    <cellStyle name="Normal 4 9 3 3 2 2 2" xfId="23625" xr:uid="{00000000-0005-0000-0000-0000C4610000}"/>
    <cellStyle name="Normal 4 9 3 3 2 2 2 2" xfId="48201" xr:uid="{00000000-0005-0000-0000-0000C5610000}"/>
    <cellStyle name="Normal 4 9 3 3 2 2 3" xfId="35913" xr:uid="{00000000-0005-0000-0000-0000C6610000}"/>
    <cellStyle name="Normal 4 9 3 3 2 3" xfId="17481" xr:uid="{00000000-0005-0000-0000-0000C7610000}"/>
    <cellStyle name="Normal 4 9 3 3 2 3 2" xfId="42057" xr:uid="{00000000-0005-0000-0000-0000C8610000}"/>
    <cellStyle name="Normal 4 9 3 3 2 4" xfId="29769" xr:uid="{00000000-0005-0000-0000-0000C9610000}"/>
    <cellStyle name="Normal 4 9 3 3 3" xfId="8265" xr:uid="{00000000-0005-0000-0000-0000CA610000}"/>
    <cellStyle name="Normal 4 9 3 3 3 2" xfId="20553" xr:uid="{00000000-0005-0000-0000-0000CB610000}"/>
    <cellStyle name="Normal 4 9 3 3 3 2 2" xfId="45129" xr:uid="{00000000-0005-0000-0000-0000CC610000}"/>
    <cellStyle name="Normal 4 9 3 3 3 3" xfId="32841" xr:uid="{00000000-0005-0000-0000-0000CD610000}"/>
    <cellStyle name="Normal 4 9 3 3 4" xfId="14409" xr:uid="{00000000-0005-0000-0000-0000CE610000}"/>
    <cellStyle name="Normal 4 9 3 3 4 2" xfId="38985" xr:uid="{00000000-0005-0000-0000-0000CF610000}"/>
    <cellStyle name="Normal 4 9 3 3 5" xfId="26697" xr:uid="{00000000-0005-0000-0000-0000D0610000}"/>
    <cellStyle name="Normal 4 9 3 4" xfId="3657" xr:uid="{00000000-0005-0000-0000-0000D1610000}"/>
    <cellStyle name="Normal 4 9 3 4 2" xfId="9801" xr:uid="{00000000-0005-0000-0000-0000D2610000}"/>
    <cellStyle name="Normal 4 9 3 4 2 2" xfId="22089" xr:uid="{00000000-0005-0000-0000-0000D3610000}"/>
    <cellStyle name="Normal 4 9 3 4 2 2 2" xfId="46665" xr:uid="{00000000-0005-0000-0000-0000D4610000}"/>
    <cellStyle name="Normal 4 9 3 4 2 3" xfId="34377" xr:uid="{00000000-0005-0000-0000-0000D5610000}"/>
    <cellStyle name="Normal 4 9 3 4 3" xfId="15945" xr:uid="{00000000-0005-0000-0000-0000D6610000}"/>
    <cellStyle name="Normal 4 9 3 4 3 2" xfId="40521" xr:uid="{00000000-0005-0000-0000-0000D7610000}"/>
    <cellStyle name="Normal 4 9 3 4 4" xfId="28233" xr:uid="{00000000-0005-0000-0000-0000D8610000}"/>
    <cellStyle name="Normal 4 9 3 5" xfId="6729" xr:uid="{00000000-0005-0000-0000-0000D9610000}"/>
    <cellStyle name="Normal 4 9 3 5 2" xfId="19017" xr:uid="{00000000-0005-0000-0000-0000DA610000}"/>
    <cellStyle name="Normal 4 9 3 5 2 2" xfId="43593" xr:uid="{00000000-0005-0000-0000-0000DB610000}"/>
    <cellStyle name="Normal 4 9 3 5 3" xfId="31305" xr:uid="{00000000-0005-0000-0000-0000DC610000}"/>
    <cellStyle name="Normal 4 9 3 6" xfId="12873" xr:uid="{00000000-0005-0000-0000-0000DD610000}"/>
    <cellStyle name="Normal 4 9 3 6 2" xfId="37449" xr:uid="{00000000-0005-0000-0000-0000DE610000}"/>
    <cellStyle name="Normal 4 9 3 7" xfId="25161" xr:uid="{00000000-0005-0000-0000-0000DF610000}"/>
    <cellStyle name="Normal 4 9 4" xfId="965" xr:uid="{00000000-0005-0000-0000-0000E0610000}"/>
    <cellStyle name="Normal 4 9 4 2" xfId="2501" xr:uid="{00000000-0005-0000-0000-0000E1610000}"/>
    <cellStyle name="Normal 4 9 4 2 2" xfId="5577" xr:uid="{00000000-0005-0000-0000-0000E2610000}"/>
    <cellStyle name="Normal 4 9 4 2 2 2" xfId="11721" xr:uid="{00000000-0005-0000-0000-0000E3610000}"/>
    <cellStyle name="Normal 4 9 4 2 2 2 2" xfId="24009" xr:uid="{00000000-0005-0000-0000-0000E4610000}"/>
    <cellStyle name="Normal 4 9 4 2 2 2 2 2" xfId="48585" xr:uid="{00000000-0005-0000-0000-0000E5610000}"/>
    <cellStyle name="Normal 4 9 4 2 2 2 3" xfId="36297" xr:uid="{00000000-0005-0000-0000-0000E6610000}"/>
    <cellStyle name="Normal 4 9 4 2 2 3" xfId="17865" xr:uid="{00000000-0005-0000-0000-0000E7610000}"/>
    <cellStyle name="Normal 4 9 4 2 2 3 2" xfId="42441" xr:uid="{00000000-0005-0000-0000-0000E8610000}"/>
    <cellStyle name="Normal 4 9 4 2 2 4" xfId="30153" xr:uid="{00000000-0005-0000-0000-0000E9610000}"/>
    <cellStyle name="Normal 4 9 4 2 3" xfId="8649" xr:uid="{00000000-0005-0000-0000-0000EA610000}"/>
    <cellStyle name="Normal 4 9 4 2 3 2" xfId="20937" xr:uid="{00000000-0005-0000-0000-0000EB610000}"/>
    <cellStyle name="Normal 4 9 4 2 3 2 2" xfId="45513" xr:uid="{00000000-0005-0000-0000-0000EC610000}"/>
    <cellStyle name="Normal 4 9 4 2 3 3" xfId="33225" xr:uid="{00000000-0005-0000-0000-0000ED610000}"/>
    <cellStyle name="Normal 4 9 4 2 4" xfId="14793" xr:uid="{00000000-0005-0000-0000-0000EE610000}"/>
    <cellStyle name="Normal 4 9 4 2 4 2" xfId="39369" xr:uid="{00000000-0005-0000-0000-0000EF610000}"/>
    <cellStyle name="Normal 4 9 4 2 5" xfId="27081" xr:uid="{00000000-0005-0000-0000-0000F0610000}"/>
    <cellStyle name="Normal 4 9 4 3" xfId="4041" xr:uid="{00000000-0005-0000-0000-0000F1610000}"/>
    <cellStyle name="Normal 4 9 4 3 2" xfId="10185" xr:uid="{00000000-0005-0000-0000-0000F2610000}"/>
    <cellStyle name="Normal 4 9 4 3 2 2" xfId="22473" xr:uid="{00000000-0005-0000-0000-0000F3610000}"/>
    <cellStyle name="Normal 4 9 4 3 2 2 2" xfId="47049" xr:uid="{00000000-0005-0000-0000-0000F4610000}"/>
    <cellStyle name="Normal 4 9 4 3 2 3" xfId="34761" xr:uid="{00000000-0005-0000-0000-0000F5610000}"/>
    <cellStyle name="Normal 4 9 4 3 3" xfId="16329" xr:uid="{00000000-0005-0000-0000-0000F6610000}"/>
    <cellStyle name="Normal 4 9 4 3 3 2" xfId="40905" xr:uid="{00000000-0005-0000-0000-0000F7610000}"/>
    <cellStyle name="Normal 4 9 4 3 4" xfId="28617" xr:uid="{00000000-0005-0000-0000-0000F8610000}"/>
    <cellStyle name="Normal 4 9 4 4" xfId="7113" xr:uid="{00000000-0005-0000-0000-0000F9610000}"/>
    <cellStyle name="Normal 4 9 4 4 2" xfId="19401" xr:uid="{00000000-0005-0000-0000-0000FA610000}"/>
    <cellStyle name="Normal 4 9 4 4 2 2" xfId="43977" xr:uid="{00000000-0005-0000-0000-0000FB610000}"/>
    <cellStyle name="Normal 4 9 4 4 3" xfId="31689" xr:uid="{00000000-0005-0000-0000-0000FC610000}"/>
    <cellStyle name="Normal 4 9 4 5" xfId="13257" xr:uid="{00000000-0005-0000-0000-0000FD610000}"/>
    <cellStyle name="Normal 4 9 4 5 2" xfId="37833" xr:uid="{00000000-0005-0000-0000-0000FE610000}"/>
    <cellStyle name="Normal 4 9 4 6" xfId="25545" xr:uid="{00000000-0005-0000-0000-0000FF610000}"/>
    <cellStyle name="Normal 4 9 5" xfId="1733" xr:uid="{00000000-0005-0000-0000-000000620000}"/>
    <cellStyle name="Normal 4 9 5 2" xfId="4809" xr:uid="{00000000-0005-0000-0000-000001620000}"/>
    <cellStyle name="Normal 4 9 5 2 2" xfId="10953" xr:uid="{00000000-0005-0000-0000-000002620000}"/>
    <cellStyle name="Normal 4 9 5 2 2 2" xfId="23241" xr:uid="{00000000-0005-0000-0000-000003620000}"/>
    <cellStyle name="Normal 4 9 5 2 2 2 2" xfId="47817" xr:uid="{00000000-0005-0000-0000-000004620000}"/>
    <cellStyle name="Normal 4 9 5 2 2 3" xfId="35529" xr:uid="{00000000-0005-0000-0000-000005620000}"/>
    <cellStyle name="Normal 4 9 5 2 3" xfId="17097" xr:uid="{00000000-0005-0000-0000-000006620000}"/>
    <cellStyle name="Normal 4 9 5 2 3 2" xfId="41673" xr:uid="{00000000-0005-0000-0000-000007620000}"/>
    <cellStyle name="Normal 4 9 5 2 4" xfId="29385" xr:uid="{00000000-0005-0000-0000-000008620000}"/>
    <cellStyle name="Normal 4 9 5 3" xfId="7881" xr:uid="{00000000-0005-0000-0000-000009620000}"/>
    <cellStyle name="Normal 4 9 5 3 2" xfId="20169" xr:uid="{00000000-0005-0000-0000-00000A620000}"/>
    <cellStyle name="Normal 4 9 5 3 2 2" xfId="44745" xr:uid="{00000000-0005-0000-0000-00000B620000}"/>
    <cellStyle name="Normal 4 9 5 3 3" xfId="32457" xr:uid="{00000000-0005-0000-0000-00000C620000}"/>
    <cellStyle name="Normal 4 9 5 4" xfId="14025" xr:uid="{00000000-0005-0000-0000-00000D620000}"/>
    <cellStyle name="Normal 4 9 5 4 2" xfId="38601" xr:uid="{00000000-0005-0000-0000-00000E620000}"/>
    <cellStyle name="Normal 4 9 5 5" xfId="26313" xr:uid="{00000000-0005-0000-0000-00000F620000}"/>
    <cellStyle name="Normal 4 9 6" xfId="3273" xr:uid="{00000000-0005-0000-0000-000010620000}"/>
    <cellStyle name="Normal 4 9 6 2" xfId="9417" xr:uid="{00000000-0005-0000-0000-000011620000}"/>
    <cellStyle name="Normal 4 9 6 2 2" xfId="21705" xr:uid="{00000000-0005-0000-0000-000012620000}"/>
    <cellStyle name="Normal 4 9 6 2 2 2" xfId="46281" xr:uid="{00000000-0005-0000-0000-000013620000}"/>
    <cellStyle name="Normal 4 9 6 2 3" xfId="33993" xr:uid="{00000000-0005-0000-0000-000014620000}"/>
    <cellStyle name="Normal 4 9 6 3" xfId="15561" xr:uid="{00000000-0005-0000-0000-000015620000}"/>
    <cellStyle name="Normal 4 9 6 3 2" xfId="40137" xr:uid="{00000000-0005-0000-0000-000016620000}"/>
    <cellStyle name="Normal 4 9 6 4" xfId="27849" xr:uid="{00000000-0005-0000-0000-000017620000}"/>
    <cellStyle name="Normal 4 9 7" xfId="6345" xr:uid="{00000000-0005-0000-0000-000018620000}"/>
    <cellStyle name="Normal 4 9 7 2" xfId="18633" xr:uid="{00000000-0005-0000-0000-000019620000}"/>
    <cellStyle name="Normal 4 9 7 2 2" xfId="43209" xr:uid="{00000000-0005-0000-0000-00001A620000}"/>
    <cellStyle name="Normal 4 9 7 3" xfId="30921" xr:uid="{00000000-0005-0000-0000-00001B620000}"/>
    <cellStyle name="Normal 4 9 8" xfId="12489" xr:uid="{00000000-0005-0000-0000-00001C620000}"/>
    <cellStyle name="Normal 4 9 8 2" xfId="37065" xr:uid="{00000000-0005-0000-0000-00001D620000}"/>
    <cellStyle name="Normal 4 9 9" xfId="24777" xr:uid="{00000000-0005-0000-0000-00001E620000}"/>
    <cellStyle name="Normal 40" xfId="49596" xr:uid="{00000000-0005-0000-0000-00001F620000}"/>
    <cellStyle name="Normal 40 2" xfId="49597" xr:uid="{00000000-0005-0000-0000-000020620000}"/>
    <cellStyle name="Normal 41" xfId="49598" xr:uid="{00000000-0005-0000-0000-000021620000}"/>
    <cellStyle name="Normal 41 2" xfId="49599" xr:uid="{00000000-0005-0000-0000-000022620000}"/>
    <cellStyle name="Normal 42" xfId="49600" xr:uid="{00000000-0005-0000-0000-000023620000}"/>
    <cellStyle name="Normal 42 2" xfId="49601" xr:uid="{00000000-0005-0000-0000-000024620000}"/>
    <cellStyle name="Normal 43" xfId="49602" xr:uid="{00000000-0005-0000-0000-000025620000}"/>
    <cellStyle name="Normal 43 2" xfId="49603" xr:uid="{00000000-0005-0000-0000-000026620000}"/>
    <cellStyle name="Normal 44" xfId="49604" xr:uid="{00000000-0005-0000-0000-000027620000}"/>
    <cellStyle name="Normal 44 2" xfId="49605" xr:uid="{00000000-0005-0000-0000-000028620000}"/>
    <cellStyle name="Normal 45" xfId="49606" xr:uid="{00000000-0005-0000-0000-000029620000}"/>
    <cellStyle name="Normal 45 2" xfId="49607" xr:uid="{00000000-0005-0000-0000-00002A620000}"/>
    <cellStyle name="Normal 46" xfId="49608" xr:uid="{00000000-0005-0000-0000-00002B620000}"/>
    <cellStyle name="Normal 46 2" xfId="49609" xr:uid="{00000000-0005-0000-0000-00002C620000}"/>
    <cellStyle name="Normal 47" xfId="49610" xr:uid="{00000000-0005-0000-0000-00002D620000}"/>
    <cellStyle name="Normal 47 2" xfId="49611" xr:uid="{00000000-0005-0000-0000-00002E620000}"/>
    <cellStyle name="Normal 48" xfId="49612" xr:uid="{00000000-0005-0000-0000-00002F620000}"/>
    <cellStyle name="Normal 48 2" xfId="49613" xr:uid="{00000000-0005-0000-0000-000030620000}"/>
    <cellStyle name="Normal 49" xfId="49614" xr:uid="{00000000-0005-0000-0000-000031620000}"/>
    <cellStyle name="Normal 49 2" xfId="49615" xr:uid="{00000000-0005-0000-0000-000032620000}"/>
    <cellStyle name="Normal 5" xfId="124" xr:uid="{00000000-0005-0000-0000-000033620000}"/>
    <cellStyle name="Normal 5 2" xfId="49617" xr:uid="{00000000-0005-0000-0000-000034620000}"/>
    <cellStyle name="Normal 5 3" xfId="49618" xr:uid="{00000000-0005-0000-0000-000035620000}"/>
    <cellStyle name="Normal 5 4" xfId="49619" xr:uid="{00000000-0005-0000-0000-000036620000}"/>
    <cellStyle name="Normal 5 5" xfId="49620" xr:uid="{00000000-0005-0000-0000-000037620000}"/>
    <cellStyle name="Normal 5 6" xfId="49616" xr:uid="{00000000-0005-0000-0000-000038620000}"/>
    <cellStyle name="Normal 50" xfId="49621" xr:uid="{00000000-0005-0000-0000-000039620000}"/>
    <cellStyle name="Normal 50 2" xfId="49622" xr:uid="{00000000-0005-0000-0000-00003A620000}"/>
    <cellStyle name="Normal 51" xfId="49623" xr:uid="{00000000-0005-0000-0000-00003B620000}"/>
    <cellStyle name="Normal 51 2" xfId="49624" xr:uid="{00000000-0005-0000-0000-00003C620000}"/>
    <cellStyle name="Normal 52" xfId="49625" xr:uid="{00000000-0005-0000-0000-00003D620000}"/>
    <cellStyle name="Normal 52 2" xfId="49626" xr:uid="{00000000-0005-0000-0000-00003E620000}"/>
    <cellStyle name="Normal 53" xfId="49627" xr:uid="{00000000-0005-0000-0000-00003F620000}"/>
    <cellStyle name="Normal 53 2" xfId="49628" xr:uid="{00000000-0005-0000-0000-000040620000}"/>
    <cellStyle name="Normal 53 3" xfId="49629" xr:uid="{00000000-0005-0000-0000-000041620000}"/>
    <cellStyle name="Normal 54" xfId="49630" xr:uid="{00000000-0005-0000-0000-000042620000}"/>
    <cellStyle name="Normal 54 2" xfId="49631" xr:uid="{00000000-0005-0000-0000-000043620000}"/>
    <cellStyle name="Normal 54 3" xfId="49632" xr:uid="{00000000-0005-0000-0000-000044620000}"/>
    <cellStyle name="Normal 55" xfId="49633" xr:uid="{00000000-0005-0000-0000-000045620000}"/>
    <cellStyle name="Normal 55 2" xfId="49634" xr:uid="{00000000-0005-0000-0000-000046620000}"/>
    <cellStyle name="Normal 55 3" xfId="49635" xr:uid="{00000000-0005-0000-0000-000047620000}"/>
    <cellStyle name="Normal 56" xfId="49636" xr:uid="{00000000-0005-0000-0000-000048620000}"/>
    <cellStyle name="Normal 56 2" xfId="49637" xr:uid="{00000000-0005-0000-0000-000049620000}"/>
    <cellStyle name="Normal 56 3" xfId="49638" xr:uid="{00000000-0005-0000-0000-00004A620000}"/>
    <cellStyle name="Normal 57" xfId="49639" xr:uid="{00000000-0005-0000-0000-00004B620000}"/>
    <cellStyle name="Normal 57 2" xfId="49640" xr:uid="{00000000-0005-0000-0000-00004C620000}"/>
    <cellStyle name="Normal 57 3" xfId="49641" xr:uid="{00000000-0005-0000-0000-00004D620000}"/>
    <cellStyle name="Normal 58" xfId="49642" xr:uid="{00000000-0005-0000-0000-00004E620000}"/>
    <cellStyle name="Normal 58 2" xfId="49643" xr:uid="{00000000-0005-0000-0000-00004F620000}"/>
    <cellStyle name="Normal 58 3" xfId="49644" xr:uid="{00000000-0005-0000-0000-000050620000}"/>
    <cellStyle name="Normal 59" xfId="49645" xr:uid="{00000000-0005-0000-0000-000051620000}"/>
    <cellStyle name="Normal 59 2" xfId="49646" xr:uid="{00000000-0005-0000-0000-000052620000}"/>
    <cellStyle name="Normal 59 3" xfId="49647" xr:uid="{00000000-0005-0000-0000-000053620000}"/>
    <cellStyle name="Normal 6" xfId="138" xr:uid="{00000000-0005-0000-0000-000054620000}"/>
    <cellStyle name="Normal 6 2" xfId="49649" xr:uid="{00000000-0005-0000-0000-000055620000}"/>
    <cellStyle name="Normal 6 3" xfId="49650" xr:uid="{00000000-0005-0000-0000-000056620000}"/>
    <cellStyle name="Normal 6 4" xfId="49648" xr:uid="{00000000-0005-0000-0000-000057620000}"/>
    <cellStyle name="Normal 60" xfId="49651" xr:uid="{00000000-0005-0000-0000-000058620000}"/>
    <cellStyle name="Normal 60 2" xfId="49652" xr:uid="{00000000-0005-0000-0000-000059620000}"/>
    <cellStyle name="Normal 61" xfId="49653" xr:uid="{00000000-0005-0000-0000-00005A620000}"/>
    <cellStyle name="Normal 61 2" xfId="49654" xr:uid="{00000000-0005-0000-0000-00005B620000}"/>
    <cellStyle name="Normal 62" xfId="49655" xr:uid="{00000000-0005-0000-0000-00005C620000}"/>
    <cellStyle name="Normal 62 2" xfId="49656" xr:uid="{00000000-0005-0000-0000-00005D620000}"/>
    <cellStyle name="Normal 63" xfId="49657" xr:uid="{00000000-0005-0000-0000-00005E620000}"/>
    <cellStyle name="Normal 64" xfId="49658" xr:uid="{00000000-0005-0000-0000-00005F620000}"/>
    <cellStyle name="Normal 65" xfId="49659" xr:uid="{00000000-0005-0000-0000-000060620000}"/>
    <cellStyle name="Normal 65 2" xfId="49660" xr:uid="{00000000-0005-0000-0000-000061620000}"/>
    <cellStyle name="Normal 65 3" xfId="49661" xr:uid="{00000000-0005-0000-0000-000062620000}"/>
    <cellStyle name="Normal 65 4" xfId="49662" xr:uid="{00000000-0005-0000-0000-000063620000}"/>
    <cellStyle name="Normal 66" xfId="49663" xr:uid="{00000000-0005-0000-0000-000064620000}"/>
    <cellStyle name="Normal 66 2" xfId="49664" xr:uid="{00000000-0005-0000-0000-000065620000}"/>
    <cellStyle name="Normal 66 3" xfId="49665" xr:uid="{00000000-0005-0000-0000-000066620000}"/>
    <cellStyle name="Normal 66 4" xfId="49666" xr:uid="{00000000-0005-0000-0000-000067620000}"/>
    <cellStyle name="Normal 67" xfId="49667" xr:uid="{00000000-0005-0000-0000-000068620000}"/>
    <cellStyle name="Normal 67 2" xfId="49668" xr:uid="{00000000-0005-0000-0000-000069620000}"/>
    <cellStyle name="Normal 67 3" xfId="49669" xr:uid="{00000000-0005-0000-0000-00006A620000}"/>
    <cellStyle name="Normal 67 4" xfId="49670" xr:uid="{00000000-0005-0000-0000-00006B620000}"/>
    <cellStyle name="Normal 68" xfId="49671" xr:uid="{00000000-0005-0000-0000-00006C620000}"/>
    <cellStyle name="Normal 68 2" xfId="49672" xr:uid="{00000000-0005-0000-0000-00006D620000}"/>
    <cellStyle name="Normal 69" xfId="49673" xr:uid="{00000000-0005-0000-0000-00006E620000}"/>
    <cellStyle name="Normal 69 2" xfId="49674" xr:uid="{00000000-0005-0000-0000-00006F620000}"/>
    <cellStyle name="Normal 7" xfId="145" xr:uid="{00000000-0005-0000-0000-000070620000}"/>
    <cellStyle name="Normal 7 2" xfId="49676" xr:uid="{00000000-0005-0000-0000-000071620000}"/>
    <cellStyle name="Normal 7 3" xfId="49677" xr:uid="{00000000-0005-0000-0000-000072620000}"/>
    <cellStyle name="Normal 7 4" xfId="49675" xr:uid="{00000000-0005-0000-0000-000073620000}"/>
    <cellStyle name="Normal 70" xfId="49678" xr:uid="{00000000-0005-0000-0000-000074620000}"/>
    <cellStyle name="Normal 70 2" xfId="49679" xr:uid="{00000000-0005-0000-0000-000075620000}"/>
    <cellStyle name="Normal 71" xfId="49680" xr:uid="{00000000-0005-0000-0000-000076620000}"/>
    <cellStyle name="Normal 71 2" xfId="49681" xr:uid="{00000000-0005-0000-0000-000077620000}"/>
    <cellStyle name="Normal 72" xfId="49682" xr:uid="{00000000-0005-0000-0000-000078620000}"/>
    <cellStyle name="Normal 73" xfId="49683" xr:uid="{00000000-0005-0000-0000-000079620000}"/>
    <cellStyle name="Normal 74" xfId="49684" xr:uid="{00000000-0005-0000-0000-00007A620000}"/>
    <cellStyle name="Normal 75" xfId="49685" xr:uid="{00000000-0005-0000-0000-00007B620000}"/>
    <cellStyle name="Normal 76" xfId="49686" xr:uid="{00000000-0005-0000-0000-00007C620000}"/>
    <cellStyle name="Normal 77" xfId="49687" xr:uid="{00000000-0005-0000-0000-00007D620000}"/>
    <cellStyle name="Normal 78" xfId="49688" xr:uid="{00000000-0005-0000-0000-00007E620000}"/>
    <cellStyle name="Normal 79" xfId="49689" xr:uid="{00000000-0005-0000-0000-00007F620000}"/>
    <cellStyle name="Normal 8" xfId="159" xr:uid="{00000000-0005-0000-0000-000080620000}"/>
    <cellStyle name="Normal 8 2" xfId="49691" xr:uid="{00000000-0005-0000-0000-000081620000}"/>
    <cellStyle name="Normal 8 3" xfId="49692" xr:uid="{00000000-0005-0000-0000-000082620000}"/>
    <cellStyle name="Normal 8 4" xfId="49690" xr:uid="{00000000-0005-0000-0000-000083620000}"/>
    <cellStyle name="Normal 80" xfId="49693" xr:uid="{00000000-0005-0000-0000-000084620000}"/>
    <cellStyle name="Normal 81" xfId="49694" xr:uid="{00000000-0005-0000-0000-000085620000}"/>
    <cellStyle name="Normal 82" xfId="49695" xr:uid="{00000000-0005-0000-0000-000086620000}"/>
    <cellStyle name="Normal 83" xfId="49696" xr:uid="{00000000-0005-0000-0000-000087620000}"/>
    <cellStyle name="Normal 84" xfId="49697" xr:uid="{00000000-0005-0000-0000-000088620000}"/>
    <cellStyle name="Normal 85" xfId="49698" xr:uid="{00000000-0005-0000-0000-000089620000}"/>
    <cellStyle name="Normal 86" xfId="49699" xr:uid="{00000000-0005-0000-0000-00008A620000}"/>
    <cellStyle name="Normal 87" xfId="49700" xr:uid="{00000000-0005-0000-0000-00008B620000}"/>
    <cellStyle name="Normal 88" xfId="49701" xr:uid="{00000000-0005-0000-0000-00008C620000}"/>
    <cellStyle name="Normal 89" xfId="49702" xr:uid="{00000000-0005-0000-0000-00008D620000}"/>
    <cellStyle name="Normal 9" xfId="144" xr:uid="{00000000-0005-0000-0000-00008E620000}"/>
    <cellStyle name="Normal 9 2" xfId="49704" xr:uid="{00000000-0005-0000-0000-00008F620000}"/>
    <cellStyle name="Normal 9 3" xfId="49705" xr:uid="{00000000-0005-0000-0000-000090620000}"/>
    <cellStyle name="Normal 9 4" xfId="49703" xr:uid="{00000000-0005-0000-0000-000091620000}"/>
    <cellStyle name="Normal 90" xfId="49706" xr:uid="{00000000-0005-0000-0000-000092620000}"/>
    <cellStyle name="Normal 91" xfId="49707" xr:uid="{00000000-0005-0000-0000-000093620000}"/>
    <cellStyle name="Normal 92" xfId="49708" xr:uid="{00000000-0005-0000-0000-000094620000}"/>
    <cellStyle name="Normal 93" xfId="49709" xr:uid="{00000000-0005-0000-0000-000095620000}"/>
    <cellStyle name="Normal 94" xfId="49710" xr:uid="{00000000-0005-0000-0000-000096620000}"/>
    <cellStyle name="Normal 95" xfId="49711" xr:uid="{00000000-0005-0000-0000-000097620000}"/>
    <cellStyle name="Normal 96" xfId="49712" xr:uid="{00000000-0005-0000-0000-000098620000}"/>
    <cellStyle name="Normal 97" xfId="49713" xr:uid="{00000000-0005-0000-0000-000099620000}"/>
    <cellStyle name="Normal 98" xfId="49714" xr:uid="{00000000-0005-0000-0000-00009A620000}"/>
    <cellStyle name="Normal 99" xfId="49715" xr:uid="{00000000-0005-0000-0000-00009B620000}"/>
    <cellStyle name="per.style" xfId="49716" xr:uid="{00000000-0005-0000-0000-00009C620000}"/>
    <cellStyle name="Percent [0]" xfId="49947" xr:uid="{00000000-0005-0000-0000-00009E620000}"/>
    <cellStyle name="Percent [00]" xfId="49948" xr:uid="{00000000-0005-0000-0000-00009F620000}"/>
    <cellStyle name="Percent [2]" xfId="70" xr:uid="{00000000-0005-0000-0000-0000A0620000}"/>
    <cellStyle name="Percent 10" xfId="29" xr:uid="{00000000-0005-0000-0000-0000A1620000}"/>
    <cellStyle name="Percent 2" xfId="5" xr:uid="{00000000-0005-0000-0000-0000A2620000}"/>
    <cellStyle name="Percent 2 2" xfId="49719" xr:uid="{00000000-0005-0000-0000-0000A3620000}"/>
    <cellStyle name="Percent 2 3" xfId="49720" xr:uid="{00000000-0005-0000-0000-0000A4620000}"/>
    <cellStyle name="Percent 2 4" xfId="49718" xr:uid="{00000000-0005-0000-0000-0000A5620000}"/>
    <cellStyle name="Percent 2 5" xfId="49949" xr:uid="{00000000-0005-0000-0000-0000A6620000}"/>
    <cellStyle name="Percent 2 6" xfId="49298" xr:uid="{00000000-0005-0000-0000-0000A7620000}"/>
    <cellStyle name="Percent 2 7" xfId="30" xr:uid="{00000000-0005-0000-0000-0000A8620000}"/>
    <cellStyle name="Percent 3" xfId="31" xr:uid="{00000000-0005-0000-0000-0000A9620000}"/>
    <cellStyle name="Percent 3 2" xfId="49776" xr:uid="{00000000-0005-0000-0000-0000AA620000}"/>
    <cellStyle name="Percent 4" xfId="3205" xr:uid="{00000000-0005-0000-0000-0000AB620000}"/>
    <cellStyle name="Percent 4 2" xfId="49777" xr:uid="{00000000-0005-0000-0000-0000AC620000}"/>
    <cellStyle name="Percent 5" xfId="49979" xr:uid="{00000000-0005-0000-0000-0000AD620000}"/>
    <cellStyle name="Percent 6" xfId="49983" xr:uid="{00000000-0005-0000-0000-0000AE620000}"/>
    <cellStyle name="Percent 7" xfId="49985" xr:uid="{00000000-0005-0000-0000-0000AF620000}"/>
    <cellStyle name="Percent 8" xfId="49292" xr:uid="{00000000-0005-0000-0000-0000B0620000}"/>
    <cellStyle name="Percent 9" xfId="49293" xr:uid="{00000000-0005-0000-0000-0000B1620000}"/>
    <cellStyle name="Pourcentage_VA" xfId="49950" xr:uid="{00000000-0005-0000-0000-0000B2620000}"/>
    <cellStyle name="PrePop Currency (0)" xfId="49951" xr:uid="{00000000-0005-0000-0000-0000B3620000}"/>
    <cellStyle name="PrePop Currency (2)" xfId="49952" xr:uid="{00000000-0005-0000-0000-0000B4620000}"/>
    <cellStyle name="PrePop Units (0)" xfId="49953" xr:uid="{00000000-0005-0000-0000-0000B5620000}"/>
    <cellStyle name="PrePop Units (1)" xfId="49954" xr:uid="{00000000-0005-0000-0000-0000B6620000}"/>
    <cellStyle name="PrePop Units (2)" xfId="49955" xr:uid="{00000000-0005-0000-0000-0000B7620000}"/>
    <cellStyle name="print-area" xfId="49956" xr:uid="{00000000-0005-0000-0000-0000B8620000}"/>
    <cellStyle name="regstoresfromspecstores" xfId="49721" xr:uid="{00000000-0005-0000-0000-0000B9620000}"/>
    <cellStyle name="RevList" xfId="49722" xr:uid="{00000000-0005-0000-0000-0000BA620000}"/>
    <cellStyle name="RevList 2" xfId="49723" xr:uid="{00000000-0005-0000-0000-0000BB620000}"/>
    <cellStyle name="RevList 3" xfId="49724" xr:uid="{00000000-0005-0000-0000-0000BC620000}"/>
    <cellStyle name="SAPBEXstdData" xfId="49301" xr:uid="{00000000-0005-0000-0000-0000BD620000}"/>
    <cellStyle name="SAPBEXstdData 2" xfId="49779" xr:uid="{00000000-0005-0000-0000-0000BE620000}"/>
    <cellStyle name="SAPBEXstdData 2 2" xfId="50019" xr:uid="{00000000-0005-0000-0000-0000BF620000}"/>
    <cellStyle name="SAPBEXstdData 3" xfId="50013" xr:uid="{00000000-0005-0000-0000-0000C0620000}"/>
    <cellStyle name="SAPBEXstdItem" xfId="49297" xr:uid="{00000000-0005-0000-0000-0000C1620000}"/>
    <cellStyle name="SAPBEXstdItem 2" xfId="49778" xr:uid="{00000000-0005-0000-0000-0000C2620000}"/>
    <cellStyle name="SAPBEXstdItem 2 2" xfId="50018" xr:uid="{00000000-0005-0000-0000-0000C3620000}"/>
    <cellStyle name="SAPBEXstdItem 3" xfId="50000" xr:uid="{00000000-0005-0000-0000-0000C4620000}"/>
    <cellStyle name="Separador de milhares [0]_Person" xfId="49725" xr:uid="{00000000-0005-0000-0000-0000C5620000}"/>
    <cellStyle name="Separador de milhares_Person" xfId="49726" xr:uid="{00000000-0005-0000-0000-0000C6620000}"/>
    <cellStyle name="SHADEDSTORES" xfId="49727" xr:uid="{00000000-0005-0000-0000-0000C7620000}"/>
    <cellStyle name="SHADEDSTORES 2" xfId="50014" xr:uid="{00000000-0005-0000-0000-0000C8620000}"/>
    <cellStyle name="specstores" xfId="49728" xr:uid="{00000000-0005-0000-0000-0000C9620000}"/>
    <cellStyle name="Standard" xfId="49957" xr:uid="{00000000-0005-0000-0000-0000CA620000}"/>
    <cellStyle name="Style 1" xfId="32" xr:uid="{00000000-0005-0000-0000-0000CB620000}"/>
    <cellStyle name="Style 1 2" xfId="134" xr:uid="{00000000-0005-0000-0000-0000CC620000}"/>
    <cellStyle name="Style 1 3" xfId="155" xr:uid="{00000000-0005-0000-0000-0000CD620000}"/>
    <cellStyle name="Style 1 4" xfId="49729" xr:uid="{00000000-0005-0000-0000-0000CE620000}"/>
    <cellStyle name="subhead" xfId="45" xr:uid="{00000000-0005-0000-0000-0000CF620000}"/>
    <cellStyle name="Subtotal" xfId="49730" xr:uid="{00000000-0005-0000-0000-0000D0620000}"/>
    <cellStyle name="Text Indent A" xfId="49958" xr:uid="{00000000-0005-0000-0000-0000D1620000}"/>
    <cellStyle name="Text Indent B" xfId="49959" xr:uid="{00000000-0005-0000-0000-0000D2620000}"/>
    <cellStyle name="Text Indent C" xfId="49960" xr:uid="{00000000-0005-0000-0000-0000D3620000}"/>
    <cellStyle name="Total 2" xfId="49961" xr:uid="{00000000-0005-0000-0000-0000D4620000}"/>
    <cellStyle name="Viet Nam" xfId="49731" xr:uid="{00000000-0005-0000-0000-0000D5620000}"/>
    <cellStyle name="wrap" xfId="49732" xr:uid="{00000000-0005-0000-0000-0000D6620000}"/>
    <cellStyle name="wrap 2" xfId="49733" xr:uid="{00000000-0005-0000-0000-0000D7620000}"/>
    <cellStyle name="wrap 3" xfId="49734" xr:uid="{00000000-0005-0000-0000-0000D8620000}"/>
    <cellStyle name="Wไhrung [0]_35ERI8T2gbIEMixb4v26icuOo" xfId="49735" xr:uid="{00000000-0005-0000-0000-0000D9620000}"/>
    <cellStyle name="Wไhrung_35ERI8T2gbIEMixb4v26icuOo" xfId="49736" xr:uid="{00000000-0005-0000-0000-0000DA620000}"/>
    <cellStyle name="W鋒rung [0]_laroux" xfId="49962" xr:uid="{00000000-0005-0000-0000-0000DB620000}"/>
    <cellStyle name="W鋒rung_laroux" xfId="49963" xr:uid="{00000000-0005-0000-0000-0000DC620000}"/>
    <cellStyle name="เครื่องหมายจุลภาค [0]_Book2" xfId="49737" xr:uid="{00000000-0005-0000-0000-0000DD620000}"/>
    <cellStyle name="เครื่องหมายจุลภาค_Book2" xfId="49738" xr:uid="{00000000-0005-0000-0000-0000DE620000}"/>
    <cellStyle name="เครื่องหมายสกุลเงิน [0]_Book2" xfId="49739" xr:uid="{00000000-0005-0000-0000-0000DF620000}"/>
    <cellStyle name="เครื่องหมายสกุลเงิน_Book2" xfId="49740" xr:uid="{00000000-0005-0000-0000-0000E0620000}"/>
    <cellStyle name="ปกติ_Book2" xfId="49741" xr:uid="{00000000-0005-0000-0000-0000E1620000}"/>
    <cellStyle name=" [0.00]_ Att. 1- Cover" xfId="49742" xr:uid="{00000000-0005-0000-0000-0000E2620000}"/>
    <cellStyle name="_ Att. 1- Cover" xfId="49743" xr:uid="{00000000-0005-0000-0000-0000E3620000}"/>
    <cellStyle name="?_ Att. 1- Cover" xfId="49744" xr:uid="{00000000-0005-0000-0000-0000E4620000}"/>
    <cellStyle name="强调文字颜色 1 2" xfId="49829" xr:uid="{00000000-0005-0000-0000-00002EC30000}"/>
    <cellStyle name="强调文字颜色 2 2" xfId="49830" xr:uid="{00000000-0005-0000-0000-00002FC30000}"/>
    <cellStyle name="强调文字颜色 3 2" xfId="49831" xr:uid="{00000000-0005-0000-0000-000030C30000}"/>
    <cellStyle name="强调文字颜色 4 2" xfId="49832" xr:uid="{00000000-0005-0000-0000-000031C30000}"/>
    <cellStyle name="强调文字颜色 5 2" xfId="49833" xr:uid="{00000000-0005-0000-0000-000032C30000}"/>
    <cellStyle name="强调文字颜色 6 2" xfId="49834" xr:uid="{00000000-0005-0000-0000-000033C30000}"/>
    <cellStyle name="检查单元格 2" xfId="49823" xr:uid="{00000000-0005-0000-0000-00003EC30000}"/>
    <cellStyle name="警告文本 2" xfId="49825" xr:uid="{00000000-0005-0000-0000-000054C30000}"/>
    <cellStyle name="计算 2" xfId="49822" xr:uid="{00000000-0005-0000-0000-000055C30000}"/>
    <cellStyle name="计算 2 2" xfId="49988" xr:uid="{00000000-0005-0000-0000-000056C30000}"/>
    <cellStyle name="计算 2 2 2" xfId="49996" xr:uid="{00000000-0005-0000-0000-000057C30000}"/>
    <cellStyle name="计算 2 3" xfId="50005" xr:uid="{00000000-0005-0000-0000-000058C30000}"/>
    <cellStyle name="适中 2" xfId="49835" xr:uid="{00000000-0005-0000-0000-000067C30000}"/>
    <cellStyle name="기본 2" xfId="33" xr:uid="{00000000-0005-0000-0000-0000E5620000}"/>
    <cellStyle name="기본 2 2" xfId="135" xr:uid="{00000000-0005-0000-0000-0000E6620000}"/>
    <cellStyle name="기본 2 3" xfId="156" xr:uid="{00000000-0005-0000-0000-0000E7620000}"/>
    <cellStyle name="똿뗦먛귟 [0.00]_PRODUCT DETAIL Q1" xfId="49745" xr:uid="{00000000-0005-0000-0000-0000E8620000}"/>
    <cellStyle name="똿뗦먛귟_PRODUCT DETAIL Q1" xfId="49746" xr:uid="{00000000-0005-0000-0000-0000E9620000}"/>
    <cellStyle name="链接单元格 2" xfId="49826" xr:uid="{00000000-0005-0000-0000-00006AC30000}"/>
    <cellStyle name="믅됞 [0.00]_PRODUCT DETAIL Q1" xfId="49747" xr:uid="{00000000-0005-0000-0000-0000EA620000}"/>
    <cellStyle name="믅됞_PRODUCT DETAIL Q1" xfId="49748" xr:uid="{00000000-0005-0000-0000-0000EB620000}"/>
    <cellStyle name="百分比 2" xfId="49802" xr:uid="{00000000-0005-0000-0000-00004FC30000}"/>
    <cellStyle name="百分比 2 2" xfId="49803" xr:uid="{00000000-0005-0000-0000-000050C30000}"/>
    <cellStyle name="百分比 2 3" xfId="49804" xr:uid="{00000000-0005-0000-0000-000051C30000}"/>
    <cellStyle name="百分比 3" xfId="49805" xr:uid="{00000000-0005-0000-0000-000052C30000}"/>
    <cellStyle name="백분율" xfId="8" builtinId="5"/>
    <cellStyle name="普通_ 白土" xfId="49965" xr:uid="{00000000-0005-0000-0000-000034C30000}"/>
    <cellStyle name="뷭?_BOOKSHIP" xfId="75" xr:uid="{00000000-0005-0000-0000-0000EC620000}"/>
    <cellStyle name="常规 10" xfId="49972" xr:uid="{00000000-0005-0000-0000-00000E630000}"/>
    <cellStyle name="常规 10 2" xfId="49976" xr:uid="{00000000-0005-0000-0000-00000F630000}"/>
    <cellStyle name="常规 11" xfId="49973" xr:uid="{00000000-0005-0000-0000-000010630000}"/>
    <cellStyle name="常规 2" xfId="71" xr:uid="{00000000-0005-0000-0000-000011630000}"/>
    <cellStyle name="常规 2 2" xfId="38" xr:uid="{00000000-0005-0000-0000-000012630000}"/>
    <cellStyle name="常规 2 2 2" xfId="50" xr:uid="{00000000-0005-0000-0000-000013630000}"/>
    <cellStyle name="常规 2 2 2 2" xfId="49813" xr:uid="{00000000-0005-0000-0000-000014630000}"/>
    <cellStyle name="常规 2 2 3" xfId="49" xr:uid="{00000000-0005-0000-0000-000015630000}"/>
    <cellStyle name="常规 2 2 4" xfId="139" xr:uid="{00000000-0005-0000-0000-000016630000}"/>
    <cellStyle name="常规 2 2 5" xfId="160" xr:uid="{00000000-0005-0000-0000-000017630000}"/>
    <cellStyle name="常规 2 2 6" xfId="49812" xr:uid="{00000000-0005-0000-0000-000018630000}"/>
    <cellStyle name="常规 2 3" xfId="53" xr:uid="{00000000-0005-0000-0000-000019630000}"/>
    <cellStyle name="常规 2 3 2" xfId="81" xr:uid="{00000000-0005-0000-0000-00001A630000}"/>
    <cellStyle name="常规 2 3 3" xfId="49814" xr:uid="{00000000-0005-0000-0000-00001B630000}"/>
    <cellStyle name="常规 2 4" xfId="47" xr:uid="{00000000-0005-0000-0000-00001C630000}"/>
    <cellStyle name="常规 2 4 2" xfId="85" xr:uid="{00000000-0005-0000-0000-00001D630000}"/>
    <cellStyle name="常规 2 5" xfId="69" xr:uid="{00000000-0005-0000-0000-00001E630000}"/>
    <cellStyle name="常规 2 5 2" xfId="72" xr:uid="{00000000-0005-0000-0000-00001F630000}"/>
    <cellStyle name="常规 2 6" xfId="48" xr:uid="{00000000-0005-0000-0000-000020630000}"/>
    <cellStyle name="常规 2 7" xfId="49300" xr:uid="{00000000-0005-0000-0000-000021630000}"/>
    <cellStyle name="常规 3" xfId="39" xr:uid="{00000000-0005-0000-0000-000022630000}"/>
    <cellStyle name="常规 3 2" xfId="140" xr:uid="{00000000-0005-0000-0000-000023630000}"/>
    <cellStyle name="常规 3 2 2" xfId="49299" xr:uid="{00000000-0005-0000-0000-000024630000}"/>
    <cellStyle name="常规 3 3" xfId="161" xr:uid="{00000000-0005-0000-0000-000025630000}"/>
    <cellStyle name="常规 3 4" xfId="49291" xr:uid="{00000000-0005-0000-0000-000026630000}"/>
    <cellStyle name="常规 4" xfId="49815" xr:uid="{00000000-0005-0000-0000-000027630000}"/>
    <cellStyle name="常规 5" xfId="49816" xr:uid="{00000000-0005-0000-0000-000028630000}"/>
    <cellStyle name="常规 6" xfId="49817" xr:uid="{00000000-0005-0000-0000-000029630000}"/>
    <cellStyle name="常规 7" xfId="49818" xr:uid="{00000000-0005-0000-0000-00002A630000}"/>
    <cellStyle name="常规 8" xfId="49839" xr:uid="{00000000-0005-0000-0000-00002B630000}"/>
    <cellStyle name="常规 9" xfId="83" xr:uid="{00000000-0005-0000-0000-00002C630000}"/>
    <cellStyle name="常规 9 10" xfId="518" xr:uid="{00000000-0005-0000-0000-00002D630000}"/>
    <cellStyle name="常规 9 10 2" xfId="1286" xr:uid="{00000000-0005-0000-0000-00002E630000}"/>
    <cellStyle name="常规 9 10 2 2" xfId="2822" xr:uid="{00000000-0005-0000-0000-00002F630000}"/>
    <cellStyle name="常规 9 10 2 2 2" xfId="5898" xr:uid="{00000000-0005-0000-0000-000030630000}"/>
    <cellStyle name="常规 9 10 2 2 2 2" xfId="12042" xr:uid="{00000000-0005-0000-0000-000031630000}"/>
    <cellStyle name="常规 9 10 2 2 2 2 2" xfId="24330" xr:uid="{00000000-0005-0000-0000-000032630000}"/>
    <cellStyle name="常规 9 10 2 2 2 2 2 2" xfId="48906" xr:uid="{00000000-0005-0000-0000-000033630000}"/>
    <cellStyle name="常规 9 10 2 2 2 2 3" xfId="36618" xr:uid="{00000000-0005-0000-0000-000034630000}"/>
    <cellStyle name="常规 9 10 2 2 2 3" xfId="18186" xr:uid="{00000000-0005-0000-0000-000035630000}"/>
    <cellStyle name="常规 9 10 2 2 2 3 2" xfId="42762" xr:uid="{00000000-0005-0000-0000-000036630000}"/>
    <cellStyle name="常规 9 10 2 2 2 4" xfId="30474" xr:uid="{00000000-0005-0000-0000-000037630000}"/>
    <cellStyle name="常规 9 10 2 2 3" xfId="8970" xr:uid="{00000000-0005-0000-0000-000038630000}"/>
    <cellStyle name="常规 9 10 2 2 3 2" xfId="21258" xr:uid="{00000000-0005-0000-0000-000039630000}"/>
    <cellStyle name="常规 9 10 2 2 3 2 2" xfId="45834" xr:uid="{00000000-0005-0000-0000-00003A630000}"/>
    <cellStyle name="常规 9 10 2 2 3 3" xfId="33546" xr:uid="{00000000-0005-0000-0000-00003B630000}"/>
    <cellStyle name="常规 9 10 2 2 4" xfId="15114" xr:uid="{00000000-0005-0000-0000-00003C630000}"/>
    <cellStyle name="常规 9 10 2 2 4 2" xfId="39690" xr:uid="{00000000-0005-0000-0000-00003D630000}"/>
    <cellStyle name="常规 9 10 2 2 5" xfId="27402" xr:uid="{00000000-0005-0000-0000-00003E630000}"/>
    <cellStyle name="常规 9 10 2 3" xfId="4362" xr:uid="{00000000-0005-0000-0000-00003F630000}"/>
    <cellStyle name="常规 9 10 2 3 2" xfId="10506" xr:uid="{00000000-0005-0000-0000-000040630000}"/>
    <cellStyle name="常规 9 10 2 3 2 2" xfId="22794" xr:uid="{00000000-0005-0000-0000-000041630000}"/>
    <cellStyle name="常规 9 10 2 3 2 2 2" xfId="47370" xr:uid="{00000000-0005-0000-0000-000042630000}"/>
    <cellStyle name="常规 9 10 2 3 2 3" xfId="35082" xr:uid="{00000000-0005-0000-0000-000043630000}"/>
    <cellStyle name="常规 9 10 2 3 3" xfId="16650" xr:uid="{00000000-0005-0000-0000-000044630000}"/>
    <cellStyle name="常规 9 10 2 3 3 2" xfId="41226" xr:uid="{00000000-0005-0000-0000-000045630000}"/>
    <cellStyle name="常规 9 10 2 3 4" xfId="28938" xr:uid="{00000000-0005-0000-0000-000046630000}"/>
    <cellStyle name="常规 9 10 2 4" xfId="7434" xr:uid="{00000000-0005-0000-0000-000047630000}"/>
    <cellStyle name="常规 9 10 2 4 2" xfId="19722" xr:uid="{00000000-0005-0000-0000-000048630000}"/>
    <cellStyle name="常规 9 10 2 4 2 2" xfId="44298" xr:uid="{00000000-0005-0000-0000-000049630000}"/>
    <cellStyle name="常规 9 10 2 4 3" xfId="32010" xr:uid="{00000000-0005-0000-0000-00004A630000}"/>
    <cellStyle name="常规 9 10 2 5" xfId="13578" xr:uid="{00000000-0005-0000-0000-00004B630000}"/>
    <cellStyle name="常规 9 10 2 5 2" xfId="38154" xr:uid="{00000000-0005-0000-0000-00004C630000}"/>
    <cellStyle name="常规 9 10 2 6" xfId="25866" xr:uid="{00000000-0005-0000-0000-00004D630000}"/>
    <cellStyle name="常规 9 10 3" xfId="2054" xr:uid="{00000000-0005-0000-0000-00004E630000}"/>
    <cellStyle name="常规 9 10 3 2" xfId="5130" xr:uid="{00000000-0005-0000-0000-00004F630000}"/>
    <cellStyle name="常规 9 10 3 2 2" xfId="11274" xr:uid="{00000000-0005-0000-0000-000050630000}"/>
    <cellStyle name="常规 9 10 3 2 2 2" xfId="23562" xr:uid="{00000000-0005-0000-0000-000051630000}"/>
    <cellStyle name="常规 9 10 3 2 2 2 2" xfId="48138" xr:uid="{00000000-0005-0000-0000-000052630000}"/>
    <cellStyle name="常规 9 10 3 2 2 3" xfId="35850" xr:uid="{00000000-0005-0000-0000-000053630000}"/>
    <cellStyle name="常规 9 10 3 2 3" xfId="17418" xr:uid="{00000000-0005-0000-0000-000054630000}"/>
    <cellStyle name="常规 9 10 3 2 3 2" xfId="41994" xr:uid="{00000000-0005-0000-0000-000055630000}"/>
    <cellStyle name="常规 9 10 3 2 4" xfId="29706" xr:uid="{00000000-0005-0000-0000-000056630000}"/>
    <cellStyle name="常规 9 10 3 3" xfId="8202" xr:uid="{00000000-0005-0000-0000-000057630000}"/>
    <cellStyle name="常规 9 10 3 3 2" xfId="20490" xr:uid="{00000000-0005-0000-0000-000058630000}"/>
    <cellStyle name="常规 9 10 3 3 2 2" xfId="45066" xr:uid="{00000000-0005-0000-0000-000059630000}"/>
    <cellStyle name="常规 9 10 3 3 3" xfId="32778" xr:uid="{00000000-0005-0000-0000-00005A630000}"/>
    <cellStyle name="常规 9 10 3 4" xfId="14346" xr:uid="{00000000-0005-0000-0000-00005B630000}"/>
    <cellStyle name="常规 9 10 3 4 2" xfId="38922" xr:uid="{00000000-0005-0000-0000-00005C630000}"/>
    <cellStyle name="常规 9 10 3 5" xfId="26634" xr:uid="{00000000-0005-0000-0000-00005D630000}"/>
    <cellStyle name="常规 9 10 4" xfId="3594" xr:uid="{00000000-0005-0000-0000-00005E630000}"/>
    <cellStyle name="常规 9 10 4 2" xfId="9738" xr:uid="{00000000-0005-0000-0000-00005F630000}"/>
    <cellStyle name="常规 9 10 4 2 2" xfId="22026" xr:uid="{00000000-0005-0000-0000-000060630000}"/>
    <cellStyle name="常规 9 10 4 2 2 2" xfId="46602" xr:uid="{00000000-0005-0000-0000-000061630000}"/>
    <cellStyle name="常规 9 10 4 2 3" xfId="34314" xr:uid="{00000000-0005-0000-0000-000062630000}"/>
    <cellStyle name="常规 9 10 4 3" xfId="15882" xr:uid="{00000000-0005-0000-0000-000063630000}"/>
    <cellStyle name="常规 9 10 4 3 2" xfId="40458" xr:uid="{00000000-0005-0000-0000-000064630000}"/>
    <cellStyle name="常规 9 10 4 4" xfId="28170" xr:uid="{00000000-0005-0000-0000-000065630000}"/>
    <cellStyle name="常规 9 10 5" xfId="6666" xr:uid="{00000000-0005-0000-0000-000066630000}"/>
    <cellStyle name="常规 9 10 5 2" xfId="18954" xr:uid="{00000000-0005-0000-0000-000067630000}"/>
    <cellStyle name="常规 9 10 5 2 2" xfId="43530" xr:uid="{00000000-0005-0000-0000-000068630000}"/>
    <cellStyle name="常规 9 10 5 3" xfId="31242" xr:uid="{00000000-0005-0000-0000-000069630000}"/>
    <cellStyle name="常规 9 10 6" xfId="12810" xr:uid="{00000000-0005-0000-0000-00006A630000}"/>
    <cellStyle name="常规 9 10 6 2" xfId="37386" xr:uid="{00000000-0005-0000-0000-00006B630000}"/>
    <cellStyle name="常规 9 10 7" xfId="25098" xr:uid="{00000000-0005-0000-0000-00006C630000}"/>
    <cellStyle name="常规 9 11" xfId="902" xr:uid="{00000000-0005-0000-0000-00006D630000}"/>
    <cellStyle name="常规 9 11 2" xfId="2438" xr:uid="{00000000-0005-0000-0000-00006E630000}"/>
    <cellStyle name="常规 9 11 2 2" xfId="5514" xr:uid="{00000000-0005-0000-0000-00006F630000}"/>
    <cellStyle name="常规 9 11 2 2 2" xfId="11658" xr:uid="{00000000-0005-0000-0000-000070630000}"/>
    <cellStyle name="常规 9 11 2 2 2 2" xfId="23946" xr:uid="{00000000-0005-0000-0000-000071630000}"/>
    <cellStyle name="常规 9 11 2 2 2 2 2" xfId="48522" xr:uid="{00000000-0005-0000-0000-000072630000}"/>
    <cellStyle name="常规 9 11 2 2 2 3" xfId="36234" xr:uid="{00000000-0005-0000-0000-000073630000}"/>
    <cellStyle name="常规 9 11 2 2 3" xfId="17802" xr:uid="{00000000-0005-0000-0000-000074630000}"/>
    <cellStyle name="常规 9 11 2 2 3 2" xfId="42378" xr:uid="{00000000-0005-0000-0000-000075630000}"/>
    <cellStyle name="常规 9 11 2 2 4" xfId="30090" xr:uid="{00000000-0005-0000-0000-000076630000}"/>
    <cellStyle name="常规 9 11 2 3" xfId="8586" xr:uid="{00000000-0005-0000-0000-000077630000}"/>
    <cellStyle name="常规 9 11 2 3 2" xfId="20874" xr:uid="{00000000-0005-0000-0000-000078630000}"/>
    <cellStyle name="常规 9 11 2 3 2 2" xfId="45450" xr:uid="{00000000-0005-0000-0000-000079630000}"/>
    <cellStyle name="常规 9 11 2 3 3" xfId="33162" xr:uid="{00000000-0005-0000-0000-00007A630000}"/>
    <cellStyle name="常规 9 11 2 4" xfId="14730" xr:uid="{00000000-0005-0000-0000-00007B630000}"/>
    <cellStyle name="常规 9 11 2 4 2" xfId="39306" xr:uid="{00000000-0005-0000-0000-00007C630000}"/>
    <cellStyle name="常规 9 11 2 5" xfId="27018" xr:uid="{00000000-0005-0000-0000-00007D630000}"/>
    <cellStyle name="常规 9 11 3" xfId="3978" xr:uid="{00000000-0005-0000-0000-00007E630000}"/>
    <cellStyle name="常规 9 11 3 2" xfId="10122" xr:uid="{00000000-0005-0000-0000-00007F630000}"/>
    <cellStyle name="常规 9 11 3 2 2" xfId="22410" xr:uid="{00000000-0005-0000-0000-000080630000}"/>
    <cellStyle name="常规 9 11 3 2 2 2" xfId="46986" xr:uid="{00000000-0005-0000-0000-000081630000}"/>
    <cellStyle name="常规 9 11 3 2 3" xfId="34698" xr:uid="{00000000-0005-0000-0000-000082630000}"/>
    <cellStyle name="常规 9 11 3 3" xfId="16266" xr:uid="{00000000-0005-0000-0000-000083630000}"/>
    <cellStyle name="常规 9 11 3 3 2" xfId="40842" xr:uid="{00000000-0005-0000-0000-000084630000}"/>
    <cellStyle name="常规 9 11 3 4" xfId="28554" xr:uid="{00000000-0005-0000-0000-000085630000}"/>
    <cellStyle name="常规 9 11 4" xfId="7050" xr:uid="{00000000-0005-0000-0000-000086630000}"/>
    <cellStyle name="常规 9 11 4 2" xfId="19338" xr:uid="{00000000-0005-0000-0000-000087630000}"/>
    <cellStyle name="常规 9 11 4 2 2" xfId="43914" xr:uid="{00000000-0005-0000-0000-000088630000}"/>
    <cellStyle name="常规 9 11 4 3" xfId="31626" xr:uid="{00000000-0005-0000-0000-000089630000}"/>
    <cellStyle name="常规 9 11 5" xfId="13194" xr:uid="{00000000-0005-0000-0000-00008A630000}"/>
    <cellStyle name="常规 9 11 5 2" xfId="37770" xr:uid="{00000000-0005-0000-0000-00008B630000}"/>
    <cellStyle name="常规 9 11 6" xfId="25482" xr:uid="{00000000-0005-0000-0000-00008C630000}"/>
    <cellStyle name="常规 9 12" xfId="1670" xr:uid="{00000000-0005-0000-0000-00008D630000}"/>
    <cellStyle name="常规 9 12 2" xfId="4746" xr:uid="{00000000-0005-0000-0000-00008E630000}"/>
    <cellStyle name="常规 9 12 2 2" xfId="10890" xr:uid="{00000000-0005-0000-0000-00008F630000}"/>
    <cellStyle name="常规 9 12 2 2 2" xfId="23178" xr:uid="{00000000-0005-0000-0000-000090630000}"/>
    <cellStyle name="常规 9 12 2 2 2 2" xfId="47754" xr:uid="{00000000-0005-0000-0000-000091630000}"/>
    <cellStyle name="常规 9 12 2 2 3" xfId="35466" xr:uid="{00000000-0005-0000-0000-000092630000}"/>
    <cellStyle name="常规 9 12 2 3" xfId="17034" xr:uid="{00000000-0005-0000-0000-000093630000}"/>
    <cellStyle name="常规 9 12 2 3 2" xfId="41610" xr:uid="{00000000-0005-0000-0000-000094630000}"/>
    <cellStyle name="常规 9 12 2 4" xfId="29322" xr:uid="{00000000-0005-0000-0000-000095630000}"/>
    <cellStyle name="常规 9 12 3" xfId="7818" xr:uid="{00000000-0005-0000-0000-000096630000}"/>
    <cellStyle name="常规 9 12 3 2" xfId="20106" xr:uid="{00000000-0005-0000-0000-000097630000}"/>
    <cellStyle name="常规 9 12 3 2 2" xfId="44682" xr:uid="{00000000-0005-0000-0000-000098630000}"/>
    <cellStyle name="常规 9 12 3 3" xfId="32394" xr:uid="{00000000-0005-0000-0000-000099630000}"/>
    <cellStyle name="常规 9 12 4" xfId="13962" xr:uid="{00000000-0005-0000-0000-00009A630000}"/>
    <cellStyle name="常规 9 12 4 2" xfId="38538" xr:uid="{00000000-0005-0000-0000-00009B630000}"/>
    <cellStyle name="常规 9 12 5" xfId="26250" xr:uid="{00000000-0005-0000-0000-00009C630000}"/>
    <cellStyle name="常规 9 13" xfId="3210" xr:uid="{00000000-0005-0000-0000-00009D630000}"/>
    <cellStyle name="常规 9 13 2" xfId="9354" xr:uid="{00000000-0005-0000-0000-00009E630000}"/>
    <cellStyle name="常规 9 13 2 2" xfId="21642" xr:uid="{00000000-0005-0000-0000-00009F630000}"/>
    <cellStyle name="常规 9 13 2 2 2" xfId="46218" xr:uid="{00000000-0005-0000-0000-0000A0630000}"/>
    <cellStyle name="常规 9 13 2 3" xfId="33930" xr:uid="{00000000-0005-0000-0000-0000A1630000}"/>
    <cellStyle name="常规 9 13 3" xfId="15498" xr:uid="{00000000-0005-0000-0000-0000A2630000}"/>
    <cellStyle name="常规 9 13 3 2" xfId="40074" xr:uid="{00000000-0005-0000-0000-0000A3630000}"/>
    <cellStyle name="常规 9 13 4" xfId="27786" xr:uid="{00000000-0005-0000-0000-0000A4630000}"/>
    <cellStyle name="常规 9 14" xfId="6282" xr:uid="{00000000-0005-0000-0000-0000A5630000}"/>
    <cellStyle name="常规 9 14 2" xfId="18570" xr:uid="{00000000-0005-0000-0000-0000A6630000}"/>
    <cellStyle name="常规 9 14 2 2" xfId="43146" xr:uid="{00000000-0005-0000-0000-0000A7630000}"/>
    <cellStyle name="常规 9 14 3" xfId="30858" xr:uid="{00000000-0005-0000-0000-0000A8630000}"/>
    <cellStyle name="常规 9 15" xfId="12426" xr:uid="{00000000-0005-0000-0000-0000A9630000}"/>
    <cellStyle name="常规 9 15 2" xfId="37002" xr:uid="{00000000-0005-0000-0000-0000AA630000}"/>
    <cellStyle name="常规 9 16" xfId="24714" xr:uid="{00000000-0005-0000-0000-0000AB630000}"/>
    <cellStyle name="常规 9 17" xfId="49840" xr:uid="{00000000-0005-0000-0000-0000AC630000}"/>
    <cellStyle name="常规 9 2" xfId="95" xr:uid="{00000000-0005-0000-0000-0000AD630000}"/>
    <cellStyle name="常规 9 2 10" xfId="904" xr:uid="{00000000-0005-0000-0000-0000AE630000}"/>
    <cellStyle name="常规 9 2 10 2" xfId="2440" xr:uid="{00000000-0005-0000-0000-0000AF630000}"/>
    <cellStyle name="常规 9 2 10 2 2" xfId="5516" xr:uid="{00000000-0005-0000-0000-0000B0630000}"/>
    <cellStyle name="常规 9 2 10 2 2 2" xfId="11660" xr:uid="{00000000-0005-0000-0000-0000B1630000}"/>
    <cellStyle name="常规 9 2 10 2 2 2 2" xfId="23948" xr:uid="{00000000-0005-0000-0000-0000B2630000}"/>
    <cellStyle name="常规 9 2 10 2 2 2 2 2" xfId="48524" xr:uid="{00000000-0005-0000-0000-0000B3630000}"/>
    <cellStyle name="常规 9 2 10 2 2 2 3" xfId="36236" xr:uid="{00000000-0005-0000-0000-0000B4630000}"/>
    <cellStyle name="常规 9 2 10 2 2 3" xfId="17804" xr:uid="{00000000-0005-0000-0000-0000B5630000}"/>
    <cellStyle name="常规 9 2 10 2 2 3 2" xfId="42380" xr:uid="{00000000-0005-0000-0000-0000B6630000}"/>
    <cellStyle name="常规 9 2 10 2 2 4" xfId="30092" xr:uid="{00000000-0005-0000-0000-0000B7630000}"/>
    <cellStyle name="常规 9 2 10 2 3" xfId="8588" xr:uid="{00000000-0005-0000-0000-0000B8630000}"/>
    <cellStyle name="常规 9 2 10 2 3 2" xfId="20876" xr:uid="{00000000-0005-0000-0000-0000B9630000}"/>
    <cellStyle name="常规 9 2 10 2 3 2 2" xfId="45452" xr:uid="{00000000-0005-0000-0000-0000BA630000}"/>
    <cellStyle name="常规 9 2 10 2 3 3" xfId="33164" xr:uid="{00000000-0005-0000-0000-0000BB630000}"/>
    <cellStyle name="常规 9 2 10 2 4" xfId="14732" xr:uid="{00000000-0005-0000-0000-0000BC630000}"/>
    <cellStyle name="常规 9 2 10 2 4 2" xfId="39308" xr:uid="{00000000-0005-0000-0000-0000BD630000}"/>
    <cellStyle name="常规 9 2 10 2 5" xfId="27020" xr:uid="{00000000-0005-0000-0000-0000BE630000}"/>
    <cellStyle name="常规 9 2 10 3" xfId="3980" xr:uid="{00000000-0005-0000-0000-0000BF630000}"/>
    <cellStyle name="常规 9 2 10 3 2" xfId="10124" xr:uid="{00000000-0005-0000-0000-0000C0630000}"/>
    <cellStyle name="常规 9 2 10 3 2 2" xfId="22412" xr:uid="{00000000-0005-0000-0000-0000C1630000}"/>
    <cellStyle name="常规 9 2 10 3 2 2 2" xfId="46988" xr:uid="{00000000-0005-0000-0000-0000C2630000}"/>
    <cellStyle name="常规 9 2 10 3 2 3" xfId="34700" xr:uid="{00000000-0005-0000-0000-0000C3630000}"/>
    <cellStyle name="常规 9 2 10 3 3" xfId="16268" xr:uid="{00000000-0005-0000-0000-0000C4630000}"/>
    <cellStyle name="常规 9 2 10 3 3 2" xfId="40844" xr:uid="{00000000-0005-0000-0000-0000C5630000}"/>
    <cellStyle name="常规 9 2 10 3 4" xfId="28556" xr:uid="{00000000-0005-0000-0000-0000C6630000}"/>
    <cellStyle name="常规 9 2 10 4" xfId="7052" xr:uid="{00000000-0005-0000-0000-0000C7630000}"/>
    <cellStyle name="常规 9 2 10 4 2" xfId="19340" xr:uid="{00000000-0005-0000-0000-0000C8630000}"/>
    <cellStyle name="常规 9 2 10 4 2 2" xfId="43916" xr:uid="{00000000-0005-0000-0000-0000C9630000}"/>
    <cellStyle name="常规 9 2 10 4 3" xfId="31628" xr:uid="{00000000-0005-0000-0000-0000CA630000}"/>
    <cellStyle name="常规 9 2 10 5" xfId="13196" xr:uid="{00000000-0005-0000-0000-0000CB630000}"/>
    <cellStyle name="常规 9 2 10 5 2" xfId="37772" xr:uid="{00000000-0005-0000-0000-0000CC630000}"/>
    <cellStyle name="常规 9 2 10 6" xfId="25484" xr:uid="{00000000-0005-0000-0000-0000CD630000}"/>
    <cellStyle name="常规 9 2 11" xfId="1672" xr:uid="{00000000-0005-0000-0000-0000CE630000}"/>
    <cellStyle name="常规 9 2 11 2" xfId="4748" xr:uid="{00000000-0005-0000-0000-0000CF630000}"/>
    <cellStyle name="常规 9 2 11 2 2" xfId="10892" xr:uid="{00000000-0005-0000-0000-0000D0630000}"/>
    <cellStyle name="常规 9 2 11 2 2 2" xfId="23180" xr:uid="{00000000-0005-0000-0000-0000D1630000}"/>
    <cellStyle name="常规 9 2 11 2 2 2 2" xfId="47756" xr:uid="{00000000-0005-0000-0000-0000D2630000}"/>
    <cellStyle name="常规 9 2 11 2 2 3" xfId="35468" xr:uid="{00000000-0005-0000-0000-0000D3630000}"/>
    <cellStyle name="常规 9 2 11 2 3" xfId="17036" xr:uid="{00000000-0005-0000-0000-0000D4630000}"/>
    <cellStyle name="常规 9 2 11 2 3 2" xfId="41612" xr:uid="{00000000-0005-0000-0000-0000D5630000}"/>
    <cellStyle name="常规 9 2 11 2 4" xfId="29324" xr:uid="{00000000-0005-0000-0000-0000D6630000}"/>
    <cellStyle name="常规 9 2 11 3" xfId="7820" xr:uid="{00000000-0005-0000-0000-0000D7630000}"/>
    <cellStyle name="常规 9 2 11 3 2" xfId="20108" xr:uid="{00000000-0005-0000-0000-0000D8630000}"/>
    <cellStyle name="常规 9 2 11 3 2 2" xfId="44684" xr:uid="{00000000-0005-0000-0000-0000D9630000}"/>
    <cellStyle name="常规 9 2 11 3 3" xfId="32396" xr:uid="{00000000-0005-0000-0000-0000DA630000}"/>
    <cellStyle name="常规 9 2 11 4" xfId="13964" xr:uid="{00000000-0005-0000-0000-0000DB630000}"/>
    <cellStyle name="常规 9 2 11 4 2" xfId="38540" xr:uid="{00000000-0005-0000-0000-0000DC630000}"/>
    <cellStyle name="常规 9 2 11 5" xfId="26252" xr:uid="{00000000-0005-0000-0000-0000DD630000}"/>
    <cellStyle name="常规 9 2 12" xfId="3212" xr:uid="{00000000-0005-0000-0000-0000DE630000}"/>
    <cellStyle name="常规 9 2 12 2" xfId="9356" xr:uid="{00000000-0005-0000-0000-0000DF630000}"/>
    <cellStyle name="常规 9 2 12 2 2" xfId="21644" xr:uid="{00000000-0005-0000-0000-0000E0630000}"/>
    <cellStyle name="常规 9 2 12 2 2 2" xfId="46220" xr:uid="{00000000-0005-0000-0000-0000E1630000}"/>
    <cellStyle name="常规 9 2 12 2 3" xfId="33932" xr:uid="{00000000-0005-0000-0000-0000E2630000}"/>
    <cellStyle name="常规 9 2 12 3" xfId="15500" xr:uid="{00000000-0005-0000-0000-0000E3630000}"/>
    <cellStyle name="常规 9 2 12 3 2" xfId="40076" xr:uid="{00000000-0005-0000-0000-0000E4630000}"/>
    <cellStyle name="常规 9 2 12 4" xfId="27788" xr:uid="{00000000-0005-0000-0000-0000E5630000}"/>
    <cellStyle name="常规 9 2 13" xfId="6284" xr:uid="{00000000-0005-0000-0000-0000E6630000}"/>
    <cellStyle name="常规 9 2 13 2" xfId="18572" xr:uid="{00000000-0005-0000-0000-0000E7630000}"/>
    <cellStyle name="常规 9 2 13 2 2" xfId="43148" xr:uid="{00000000-0005-0000-0000-0000E8630000}"/>
    <cellStyle name="常规 9 2 13 3" xfId="30860" xr:uid="{00000000-0005-0000-0000-0000E9630000}"/>
    <cellStyle name="常规 9 2 14" xfId="12428" xr:uid="{00000000-0005-0000-0000-0000EA630000}"/>
    <cellStyle name="常规 9 2 14 2" xfId="37004" xr:uid="{00000000-0005-0000-0000-0000EB630000}"/>
    <cellStyle name="常规 9 2 15" xfId="24716" xr:uid="{00000000-0005-0000-0000-0000EC630000}"/>
    <cellStyle name="常规 9 2 16" xfId="49971" xr:uid="{00000000-0005-0000-0000-0000ED630000}"/>
    <cellStyle name="常规 9 2 2" xfId="99" xr:uid="{00000000-0005-0000-0000-0000EE630000}"/>
    <cellStyle name="常规 9 2 2 10" xfId="1676" xr:uid="{00000000-0005-0000-0000-0000EF630000}"/>
    <cellStyle name="常规 9 2 2 10 2" xfId="4752" xr:uid="{00000000-0005-0000-0000-0000F0630000}"/>
    <cellStyle name="常规 9 2 2 10 2 2" xfId="10896" xr:uid="{00000000-0005-0000-0000-0000F1630000}"/>
    <cellStyle name="常规 9 2 2 10 2 2 2" xfId="23184" xr:uid="{00000000-0005-0000-0000-0000F2630000}"/>
    <cellStyle name="常规 9 2 2 10 2 2 2 2" xfId="47760" xr:uid="{00000000-0005-0000-0000-0000F3630000}"/>
    <cellStyle name="常规 9 2 2 10 2 2 3" xfId="35472" xr:uid="{00000000-0005-0000-0000-0000F4630000}"/>
    <cellStyle name="常规 9 2 2 10 2 3" xfId="17040" xr:uid="{00000000-0005-0000-0000-0000F5630000}"/>
    <cellStyle name="常规 9 2 2 10 2 3 2" xfId="41616" xr:uid="{00000000-0005-0000-0000-0000F6630000}"/>
    <cellStyle name="常规 9 2 2 10 2 4" xfId="29328" xr:uid="{00000000-0005-0000-0000-0000F7630000}"/>
    <cellStyle name="常规 9 2 2 10 3" xfId="7824" xr:uid="{00000000-0005-0000-0000-0000F8630000}"/>
    <cellStyle name="常规 9 2 2 10 3 2" xfId="20112" xr:uid="{00000000-0005-0000-0000-0000F9630000}"/>
    <cellStyle name="常规 9 2 2 10 3 2 2" xfId="44688" xr:uid="{00000000-0005-0000-0000-0000FA630000}"/>
    <cellStyle name="常规 9 2 2 10 3 3" xfId="32400" xr:uid="{00000000-0005-0000-0000-0000FB630000}"/>
    <cellStyle name="常规 9 2 2 10 4" xfId="13968" xr:uid="{00000000-0005-0000-0000-0000FC630000}"/>
    <cellStyle name="常规 9 2 2 10 4 2" xfId="38544" xr:uid="{00000000-0005-0000-0000-0000FD630000}"/>
    <cellStyle name="常规 9 2 2 10 5" xfId="26256" xr:uid="{00000000-0005-0000-0000-0000FE630000}"/>
    <cellStyle name="常规 9 2 2 11" xfId="3216" xr:uid="{00000000-0005-0000-0000-0000FF630000}"/>
    <cellStyle name="常规 9 2 2 11 2" xfId="9360" xr:uid="{00000000-0005-0000-0000-000000640000}"/>
    <cellStyle name="常规 9 2 2 11 2 2" xfId="21648" xr:uid="{00000000-0005-0000-0000-000001640000}"/>
    <cellStyle name="常规 9 2 2 11 2 2 2" xfId="46224" xr:uid="{00000000-0005-0000-0000-000002640000}"/>
    <cellStyle name="常规 9 2 2 11 2 3" xfId="33936" xr:uid="{00000000-0005-0000-0000-000003640000}"/>
    <cellStyle name="常规 9 2 2 11 3" xfId="15504" xr:uid="{00000000-0005-0000-0000-000004640000}"/>
    <cellStyle name="常规 9 2 2 11 3 2" xfId="40080" xr:uid="{00000000-0005-0000-0000-000005640000}"/>
    <cellStyle name="常规 9 2 2 11 4" xfId="27792" xr:uid="{00000000-0005-0000-0000-000006640000}"/>
    <cellStyle name="常规 9 2 2 12" xfId="6288" xr:uid="{00000000-0005-0000-0000-000007640000}"/>
    <cellStyle name="常规 9 2 2 12 2" xfId="18576" xr:uid="{00000000-0005-0000-0000-000008640000}"/>
    <cellStyle name="常规 9 2 2 12 2 2" xfId="43152" xr:uid="{00000000-0005-0000-0000-000009640000}"/>
    <cellStyle name="常规 9 2 2 12 3" xfId="30864" xr:uid="{00000000-0005-0000-0000-00000A640000}"/>
    <cellStyle name="常规 9 2 2 13" xfId="12432" xr:uid="{00000000-0005-0000-0000-00000B640000}"/>
    <cellStyle name="常规 9 2 2 13 2" xfId="37008" xr:uid="{00000000-0005-0000-0000-00000C640000}"/>
    <cellStyle name="常规 9 2 2 14" xfId="24720" xr:uid="{00000000-0005-0000-0000-00000D640000}"/>
    <cellStyle name="常规 9 2 2 2" xfId="107" xr:uid="{00000000-0005-0000-0000-00000E640000}"/>
    <cellStyle name="常规 9 2 2 2 10" xfId="3224" xr:uid="{00000000-0005-0000-0000-00000F640000}"/>
    <cellStyle name="常规 9 2 2 2 10 2" xfId="9368" xr:uid="{00000000-0005-0000-0000-000010640000}"/>
    <cellStyle name="常规 9 2 2 2 10 2 2" xfId="21656" xr:uid="{00000000-0005-0000-0000-000011640000}"/>
    <cellStyle name="常规 9 2 2 2 10 2 2 2" xfId="46232" xr:uid="{00000000-0005-0000-0000-000012640000}"/>
    <cellStyle name="常规 9 2 2 2 10 2 3" xfId="33944" xr:uid="{00000000-0005-0000-0000-000013640000}"/>
    <cellStyle name="常规 9 2 2 2 10 3" xfId="15512" xr:uid="{00000000-0005-0000-0000-000014640000}"/>
    <cellStyle name="常规 9 2 2 2 10 3 2" xfId="40088" xr:uid="{00000000-0005-0000-0000-000015640000}"/>
    <cellStyle name="常规 9 2 2 2 10 4" xfId="27800" xr:uid="{00000000-0005-0000-0000-000016640000}"/>
    <cellStyle name="常规 9 2 2 2 11" xfId="6296" xr:uid="{00000000-0005-0000-0000-000017640000}"/>
    <cellStyle name="常规 9 2 2 2 11 2" xfId="18584" xr:uid="{00000000-0005-0000-0000-000018640000}"/>
    <cellStyle name="常规 9 2 2 2 11 2 2" xfId="43160" xr:uid="{00000000-0005-0000-0000-000019640000}"/>
    <cellStyle name="常规 9 2 2 2 11 3" xfId="30872" xr:uid="{00000000-0005-0000-0000-00001A640000}"/>
    <cellStyle name="常规 9 2 2 2 12" xfId="12440" xr:uid="{00000000-0005-0000-0000-00001B640000}"/>
    <cellStyle name="常规 9 2 2 2 12 2" xfId="37016" xr:uid="{00000000-0005-0000-0000-00001C640000}"/>
    <cellStyle name="常规 9 2 2 2 13" xfId="24728" xr:uid="{00000000-0005-0000-0000-00001D640000}"/>
    <cellStyle name="常规 9 2 2 2 2" xfId="123" xr:uid="{00000000-0005-0000-0000-00001E640000}"/>
    <cellStyle name="常规 9 2 2 2 2 10" xfId="6312" xr:uid="{00000000-0005-0000-0000-00001F640000}"/>
    <cellStyle name="常规 9 2 2 2 2 10 2" xfId="18600" xr:uid="{00000000-0005-0000-0000-000020640000}"/>
    <cellStyle name="常规 9 2 2 2 2 10 2 2" xfId="43176" xr:uid="{00000000-0005-0000-0000-000021640000}"/>
    <cellStyle name="常规 9 2 2 2 2 10 3" xfId="30888" xr:uid="{00000000-0005-0000-0000-000022640000}"/>
    <cellStyle name="常规 9 2 2 2 2 11" xfId="12456" xr:uid="{00000000-0005-0000-0000-000023640000}"/>
    <cellStyle name="常规 9 2 2 2 2 11 2" xfId="37032" xr:uid="{00000000-0005-0000-0000-000024640000}"/>
    <cellStyle name="常规 9 2 2 2 2 12" xfId="24744" xr:uid="{00000000-0005-0000-0000-000025640000}"/>
    <cellStyle name="常规 9 2 2 2 2 2" xfId="195" xr:uid="{00000000-0005-0000-0000-000026640000}"/>
    <cellStyle name="常规 9 2 2 2 2 2 10" xfId="12488" xr:uid="{00000000-0005-0000-0000-000027640000}"/>
    <cellStyle name="常规 9 2 2 2 2 2 10 2" xfId="37064" xr:uid="{00000000-0005-0000-0000-000028640000}"/>
    <cellStyle name="常规 9 2 2 2 2 2 11" xfId="24776" xr:uid="{00000000-0005-0000-0000-000029640000}"/>
    <cellStyle name="常规 9 2 2 2 2 2 2" xfId="260" xr:uid="{00000000-0005-0000-0000-00002A640000}"/>
    <cellStyle name="常规 9 2 2 2 2 2 2 2" xfId="452" xr:uid="{00000000-0005-0000-0000-00002B640000}"/>
    <cellStyle name="常规 9 2 2 2 2 2 2 2 2" xfId="836" xr:uid="{00000000-0005-0000-0000-00002C640000}"/>
    <cellStyle name="常规 9 2 2 2 2 2 2 2 2 2" xfId="1604" xr:uid="{00000000-0005-0000-0000-00002D640000}"/>
    <cellStyle name="常规 9 2 2 2 2 2 2 2 2 2 2" xfId="3140" xr:uid="{00000000-0005-0000-0000-00002E640000}"/>
    <cellStyle name="常规 9 2 2 2 2 2 2 2 2 2 2 2" xfId="6216" xr:uid="{00000000-0005-0000-0000-00002F640000}"/>
    <cellStyle name="常规 9 2 2 2 2 2 2 2 2 2 2 2 2" xfId="12360" xr:uid="{00000000-0005-0000-0000-000030640000}"/>
    <cellStyle name="常规 9 2 2 2 2 2 2 2 2 2 2 2 2 2" xfId="24648" xr:uid="{00000000-0005-0000-0000-000031640000}"/>
    <cellStyle name="常规 9 2 2 2 2 2 2 2 2 2 2 2 2 2 2" xfId="49224" xr:uid="{00000000-0005-0000-0000-000032640000}"/>
    <cellStyle name="常规 9 2 2 2 2 2 2 2 2 2 2 2 2 3" xfId="36936" xr:uid="{00000000-0005-0000-0000-000033640000}"/>
    <cellStyle name="常规 9 2 2 2 2 2 2 2 2 2 2 2 3" xfId="18504" xr:uid="{00000000-0005-0000-0000-000034640000}"/>
    <cellStyle name="常规 9 2 2 2 2 2 2 2 2 2 2 2 3 2" xfId="43080" xr:uid="{00000000-0005-0000-0000-000035640000}"/>
    <cellStyle name="常规 9 2 2 2 2 2 2 2 2 2 2 2 4" xfId="30792" xr:uid="{00000000-0005-0000-0000-000036640000}"/>
    <cellStyle name="常规 9 2 2 2 2 2 2 2 2 2 2 3" xfId="9288" xr:uid="{00000000-0005-0000-0000-000037640000}"/>
    <cellStyle name="常规 9 2 2 2 2 2 2 2 2 2 2 3 2" xfId="21576" xr:uid="{00000000-0005-0000-0000-000038640000}"/>
    <cellStyle name="常规 9 2 2 2 2 2 2 2 2 2 2 3 2 2" xfId="46152" xr:uid="{00000000-0005-0000-0000-000039640000}"/>
    <cellStyle name="常规 9 2 2 2 2 2 2 2 2 2 2 3 3" xfId="33864" xr:uid="{00000000-0005-0000-0000-00003A640000}"/>
    <cellStyle name="常规 9 2 2 2 2 2 2 2 2 2 2 4" xfId="15432" xr:uid="{00000000-0005-0000-0000-00003B640000}"/>
    <cellStyle name="常规 9 2 2 2 2 2 2 2 2 2 2 4 2" xfId="40008" xr:uid="{00000000-0005-0000-0000-00003C640000}"/>
    <cellStyle name="常规 9 2 2 2 2 2 2 2 2 2 2 5" xfId="27720" xr:uid="{00000000-0005-0000-0000-00003D640000}"/>
    <cellStyle name="常规 9 2 2 2 2 2 2 2 2 2 3" xfId="4680" xr:uid="{00000000-0005-0000-0000-00003E640000}"/>
    <cellStyle name="常规 9 2 2 2 2 2 2 2 2 2 3 2" xfId="10824" xr:uid="{00000000-0005-0000-0000-00003F640000}"/>
    <cellStyle name="常规 9 2 2 2 2 2 2 2 2 2 3 2 2" xfId="23112" xr:uid="{00000000-0005-0000-0000-000040640000}"/>
    <cellStyle name="常规 9 2 2 2 2 2 2 2 2 2 3 2 2 2" xfId="47688" xr:uid="{00000000-0005-0000-0000-000041640000}"/>
    <cellStyle name="常规 9 2 2 2 2 2 2 2 2 2 3 2 3" xfId="35400" xr:uid="{00000000-0005-0000-0000-000042640000}"/>
    <cellStyle name="常规 9 2 2 2 2 2 2 2 2 2 3 3" xfId="16968" xr:uid="{00000000-0005-0000-0000-000043640000}"/>
    <cellStyle name="常规 9 2 2 2 2 2 2 2 2 2 3 3 2" xfId="41544" xr:uid="{00000000-0005-0000-0000-000044640000}"/>
    <cellStyle name="常规 9 2 2 2 2 2 2 2 2 2 3 4" xfId="29256" xr:uid="{00000000-0005-0000-0000-000045640000}"/>
    <cellStyle name="常规 9 2 2 2 2 2 2 2 2 2 4" xfId="7752" xr:uid="{00000000-0005-0000-0000-000046640000}"/>
    <cellStyle name="常规 9 2 2 2 2 2 2 2 2 2 4 2" xfId="20040" xr:uid="{00000000-0005-0000-0000-000047640000}"/>
    <cellStyle name="常规 9 2 2 2 2 2 2 2 2 2 4 2 2" xfId="44616" xr:uid="{00000000-0005-0000-0000-000048640000}"/>
    <cellStyle name="常规 9 2 2 2 2 2 2 2 2 2 4 3" xfId="32328" xr:uid="{00000000-0005-0000-0000-000049640000}"/>
    <cellStyle name="常规 9 2 2 2 2 2 2 2 2 2 5" xfId="13896" xr:uid="{00000000-0005-0000-0000-00004A640000}"/>
    <cellStyle name="常规 9 2 2 2 2 2 2 2 2 2 5 2" xfId="38472" xr:uid="{00000000-0005-0000-0000-00004B640000}"/>
    <cellStyle name="常规 9 2 2 2 2 2 2 2 2 2 6" xfId="26184" xr:uid="{00000000-0005-0000-0000-00004C640000}"/>
    <cellStyle name="常规 9 2 2 2 2 2 2 2 2 3" xfId="2372" xr:uid="{00000000-0005-0000-0000-00004D640000}"/>
    <cellStyle name="常规 9 2 2 2 2 2 2 2 2 3 2" xfId="5448" xr:uid="{00000000-0005-0000-0000-00004E640000}"/>
    <cellStyle name="常规 9 2 2 2 2 2 2 2 2 3 2 2" xfId="11592" xr:uid="{00000000-0005-0000-0000-00004F640000}"/>
    <cellStyle name="常规 9 2 2 2 2 2 2 2 2 3 2 2 2" xfId="23880" xr:uid="{00000000-0005-0000-0000-000050640000}"/>
    <cellStyle name="常规 9 2 2 2 2 2 2 2 2 3 2 2 2 2" xfId="48456" xr:uid="{00000000-0005-0000-0000-000051640000}"/>
    <cellStyle name="常规 9 2 2 2 2 2 2 2 2 3 2 2 3" xfId="36168" xr:uid="{00000000-0005-0000-0000-000052640000}"/>
    <cellStyle name="常规 9 2 2 2 2 2 2 2 2 3 2 3" xfId="17736" xr:uid="{00000000-0005-0000-0000-000053640000}"/>
    <cellStyle name="常规 9 2 2 2 2 2 2 2 2 3 2 3 2" xfId="42312" xr:uid="{00000000-0005-0000-0000-000054640000}"/>
    <cellStyle name="常规 9 2 2 2 2 2 2 2 2 3 2 4" xfId="30024" xr:uid="{00000000-0005-0000-0000-000055640000}"/>
    <cellStyle name="常规 9 2 2 2 2 2 2 2 2 3 3" xfId="8520" xr:uid="{00000000-0005-0000-0000-000056640000}"/>
    <cellStyle name="常规 9 2 2 2 2 2 2 2 2 3 3 2" xfId="20808" xr:uid="{00000000-0005-0000-0000-000057640000}"/>
    <cellStyle name="常规 9 2 2 2 2 2 2 2 2 3 3 2 2" xfId="45384" xr:uid="{00000000-0005-0000-0000-000058640000}"/>
    <cellStyle name="常规 9 2 2 2 2 2 2 2 2 3 3 3" xfId="33096" xr:uid="{00000000-0005-0000-0000-000059640000}"/>
    <cellStyle name="常规 9 2 2 2 2 2 2 2 2 3 4" xfId="14664" xr:uid="{00000000-0005-0000-0000-00005A640000}"/>
    <cellStyle name="常规 9 2 2 2 2 2 2 2 2 3 4 2" xfId="39240" xr:uid="{00000000-0005-0000-0000-00005B640000}"/>
    <cellStyle name="常规 9 2 2 2 2 2 2 2 2 3 5" xfId="26952" xr:uid="{00000000-0005-0000-0000-00005C640000}"/>
    <cellStyle name="常规 9 2 2 2 2 2 2 2 2 4" xfId="3912" xr:uid="{00000000-0005-0000-0000-00005D640000}"/>
    <cellStyle name="常规 9 2 2 2 2 2 2 2 2 4 2" xfId="10056" xr:uid="{00000000-0005-0000-0000-00005E640000}"/>
    <cellStyle name="常规 9 2 2 2 2 2 2 2 2 4 2 2" xfId="22344" xr:uid="{00000000-0005-0000-0000-00005F640000}"/>
    <cellStyle name="常规 9 2 2 2 2 2 2 2 2 4 2 2 2" xfId="46920" xr:uid="{00000000-0005-0000-0000-000060640000}"/>
    <cellStyle name="常规 9 2 2 2 2 2 2 2 2 4 2 3" xfId="34632" xr:uid="{00000000-0005-0000-0000-000061640000}"/>
    <cellStyle name="常规 9 2 2 2 2 2 2 2 2 4 3" xfId="16200" xr:uid="{00000000-0005-0000-0000-000062640000}"/>
    <cellStyle name="常规 9 2 2 2 2 2 2 2 2 4 3 2" xfId="40776" xr:uid="{00000000-0005-0000-0000-000063640000}"/>
    <cellStyle name="常规 9 2 2 2 2 2 2 2 2 4 4" xfId="28488" xr:uid="{00000000-0005-0000-0000-000064640000}"/>
    <cellStyle name="常规 9 2 2 2 2 2 2 2 2 5" xfId="6984" xr:uid="{00000000-0005-0000-0000-000065640000}"/>
    <cellStyle name="常规 9 2 2 2 2 2 2 2 2 5 2" xfId="19272" xr:uid="{00000000-0005-0000-0000-000066640000}"/>
    <cellStyle name="常规 9 2 2 2 2 2 2 2 2 5 2 2" xfId="43848" xr:uid="{00000000-0005-0000-0000-000067640000}"/>
    <cellStyle name="常规 9 2 2 2 2 2 2 2 2 5 3" xfId="31560" xr:uid="{00000000-0005-0000-0000-000068640000}"/>
    <cellStyle name="常规 9 2 2 2 2 2 2 2 2 6" xfId="13128" xr:uid="{00000000-0005-0000-0000-000069640000}"/>
    <cellStyle name="常规 9 2 2 2 2 2 2 2 2 6 2" xfId="37704" xr:uid="{00000000-0005-0000-0000-00006A640000}"/>
    <cellStyle name="常规 9 2 2 2 2 2 2 2 2 7" xfId="25416" xr:uid="{00000000-0005-0000-0000-00006B640000}"/>
    <cellStyle name="常规 9 2 2 2 2 2 2 2 3" xfId="1220" xr:uid="{00000000-0005-0000-0000-00006C640000}"/>
    <cellStyle name="常规 9 2 2 2 2 2 2 2 3 2" xfId="2756" xr:uid="{00000000-0005-0000-0000-00006D640000}"/>
    <cellStyle name="常规 9 2 2 2 2 2 2 2 3 2 2" xfId="5832" xr:uid="{00000000-0005-0000-0000-00006E640000}"/>
    <cellStyle name="常规 9 2 2 2 2 2 2 2 3 2 2 2" xfId="11976" xr:uid="{00000000-0005-0000-0000-00006F640000}"/>
    <cellStyle name="常规 9 2 2 2 2 2 2 2 3 2 2 2 2" xfId="24264" xr:uid="{00000000-0005-0000-0000-000070640000}"/>
    <cellStyle name="常规 9 2 2 2 2 2 2 2 3 2 2 2 2 2" xfId="48840" xr:uid="{00000000-0005-0000-0000-000071640000}"/>
    <cellStyle name="常规 9 2 2 2 2 2 2 2 3 2 2 2 3" xfId="36552" xr:uid="{00000000-0005-0000-0000-000072640000}"/>
    <cellStyle name="常规 9 2 2 2 2 2 2 2 3 2 2 3" xfId="18120" xr:uid="{00000000-0005-0000-0000-000073640000}"/>
    <cellStyle name="常规 9 2 2 2 2 2 2 2 3 2 2 3 2" xfId="42696" xr:uid="{00000000-0005-0000-0000-000074640000}"/>
    <cellStyle name="常规 9 2 2 2 2 2 2 2 3 2 2 4" xfId="30408" xr:uid="{00000000-0005-0000-0000-000075640000}"/>
    <cellStyle name="常规 9 2 2 2 2 2 2 2 3 2 3" xfId="8904" xr:uid="{00000000-0005-0000-0000-000076640000}"/>
    <cellStyle name="常规 9 2 2 2 2 2 2 2 3 2 3 2" xfId="21192" xr:uid="{00000000-0005-0000-0000-000077640000}"/>
    <cellStyle name="常规 9 2 2 2 2 2 2 2 3 2 3 2 2" xfId="45768" xr:uid="{00000000-0005-0000-0000-000078640000}"/>
    <cellStyle name="常规 9 2 2 2 2 2 2 2 3 2 3 3" xfId="33480" xr:uid="{00000000-0005-0000-0000-000079640000}"/>
    <cellStyle name="常规 9 2 2 2 2 2 2 2 3 2 4" xfId="15048" xr:uid="{00000000-0005-0000-0000-00007A640000}"/>
    <cellStyle name="常规 9 2 2 2 2 2 2 2 3 2 4 2" xfId="39624" xr:uid="{00000000-0005-0000-0000-00007B640000}"/>
    <cellStyle name="常规 9 2 2 2 2 2 2 2 3 2 5" xfId="27336" xr:uid="{00000000-0005-0000-0000-00007C640000}"/>
    <cellStyle name="常规 9 2 2 2 2 2 2 2 3 3" xfId="4296" xr:uid="{00000000-0005-0000-0000-00007D640000}"/>
    <cellStyle name="常规 9 2 2 2 2 2 2 2 3 3 2" xfId="10440" xr:uid="{00000000-0005-0000-0000-00007E640000}"/>
    <cellStyle name="常规 9 2 2 2 2 2 2 2 3 3 2 2" xfId="22728" xr:uid="{00000000-0005-0000-0000-00007F640000}"/>
    <cellStyle name="常规 9 2 2 2 2 2 2 2 3 3 2 2 2" xfId="47304" xr:uid="{00000000-0005-0000-0000-000080640000}"/>
    <cellStyle name="常规 9 2 2 2 2 2 2 2 3 3 2 3" xfId="35016" xr:uid="{00000000-0005-0000-0000-000081640000}"/>
    <cellStyle name="常规 9 2 2 2 2 2 2 2 3 3 3" xfId="16584" xr:uid="{00000000-0005-0000-0000-000082640000}"/>
    <cellStyle name="常规 9 2 2 2 2 2 2 2 3 3 3 2" xfId="41160" xr:uid="{00000000-0005-0000-0000-000083640000}"/>
    <cellStyle name="常规 9 2 2 2 2 2 2 2 3 3 4" xfId="28872" xr:uid="{00000000-0005-0000-0000-000084640000}"/>
    <cellStyle name="常规 9 2 2 2 2 2 2 2 3 4" xfId="7368" xr:uid="{00000000-0005-0000-0000-000085640000}"/>
    <cellStyle name="常规 9 2 2 2 2 2 2 2 3 4 2" xfId="19656" xr:uid="{00000000-0005-0000-0000-000086640000}"/>
    <cellStyle name="常规 9 2 2 2 2 2 2 2 3 4 2 2" xfId="44232" xr:uid="{00000000-0005-0000-0000-000087640000}"/>
    <cellStyle name="常规 9 2 2 2 2 2 2 2 3 4 3" xfId="31944" xr:uid="{00000000-0005-0000-0000-000088640000}"/>
    <cellStyle name="常规 9 2 2 2 2 2 2 2 3 5" xfId="13512" xr:uid="{00000000-0005-0000-0000-000089640000}"/>
    <cellStyle name="常规 9 2 2 2 2 2 2 2 3 5 2" xfId="38088" xr:uid="{00000000-0005-0000-0000-00008A640000}"/>
    <cellStyle name="常规 9 2 2 2 2 2 2 2 3 6" xfId="25800" xr:uid="{00000000-0005-0000-0000-00008B640000}"/>
    <cellStyle name="常规 9 2 2 2 2 2 2 2 4" xfId="1988" xr:uid="{00000000-0005-0000-0000-00008C640000}"/>
    <cellStyle name="常规 9 2 2 2 2 2 2 2 4 2" xfId="5064" xr:uid="{00000000-0005-0000-0000-00008D640000}"/>
    <cellStyle name="常规 9 2 2 2 2 2 2 2 4 2 2" xfId="11208" xr:uid="{00000000-0005-0000-0000-00008E640000}"/>
    <cellStyle name="常规 9 2 2 2 2 2 2 2 4 2 2 2" xfId="23496" xr:uid="{00000000-0005-0000-0000-00008F640000}"/>
    <cellStyle name="常规 9 2 2 2 2 2 2 2 4 2 2 2 2" xfId="48072" xr:uid="{00000000-0005-0000-0000-000090640000}"/>
    <cellStyle name="常规 9 2 2 2 2 2 2 2 4 2 2 3" xfId="35784" xr:uid="{00000000-0005-0000-0000-000091640000}"/>
    <cellStyle name="常规 9 2 2 2 2 2 2 2 4 2 3" xfId="17352" xr:uid="{00000000-0005-0000-0000-000092640000}"/>
    <cellStyle name="常规 9 2 2 2 2 2 2 2 4 2 3 2" xfId="41928" xr:uid="{00000000-0005-0000-0000-000093640000}"/>
    <cellStyle name="常规 9 2 2 2 2 2 2 2 4 2 4" xfId="29640" xr:uid="{00000000-0005-0000-0000-000094640000}"/>
    <cellStyle name="常规 9 2 2 2 2 2 2 2 4 3" xfId="8136" xr:uid="{00000000-0005-0000-0000-000095640000}"/>
    <cellStyle name="常规 9 2 2 2 2 2 2 2 4 3 2" xfId="20424" xr:uid="{00000000-0005-0000-0000-000096640000}"/>
    <cellStyle name="常规 9 2 2 2 2 2 2 2 4 3 2 2" xfId="45000" xr:uid="{00000000-0005-0000-0000-000097640000}"/>
    <cellStyle name="常规 9 2 2 2 2 2 2 2 4 3 3" xfId="32712" xr:uid="{00000000-0005-0000-0000-000098640000}"/>
    <cellStyle name="常规 9 2 2 2 2 2 2 2 4 4" xfId="14280" xr:uid="{00000000-0005-0000-0000-000099640000}"/>
    <cellStyle name="常规 9 2 2 2 2 2 2 2 4 4 2" xfId="38856" xr:uid="{00000000-0005-0000-0000-00009A640000}"/>
    <cellStyle name="常规 9 2 2 2 2 2 2 2 4 5" xfId="26568" xr:uid="{00000000-0005-0000-0000-00009B640000}"/>
    <cellStyle name="常规 9 2 2 2 2 2 2 2 5" xfId="3528" xr:uid="{00000000-0005-0000-0000-00009C640000}"/>
    <cellStyle name="常规 9 2 2 2 2 2 2 2 5 2" xfId="9672" xr:uid="{00000000-0005-0000-0000-00009D640000}"/>
    <cellStyle name="常规 9 2 2 2 2 2 2 2 5 2 2" xfId="21960" xr:uid="{00000000-0005-0000-0000-00009E640000}"/>
    <cellStyle name="常规 9 2 2 2 2 2 2 2 5 2 2 2" xfId="46536" xr:uid="{00000000-0005-0000-0000-00009F640000}"/>
    <cellStyle name="常规 9 2 2 2 2 2 2 2 5 2 3" xfId="34248" xr:uid="{00000000-0005-0000-0000-0000A0640000}"/>
    <cellStyle name="常规 9 2 2 2 2 2 2 2 5 3" xfId="15816" xr:uid="{00000000-0005-0000-0000-0000A1640000}"/>
    <cellStyle name="常规 9 2 2 2 2 2 2 2 5 3 2" xfId="40392" xr:uid="{00000000-0005-0000-0000-0000A2640000}"/>
    <cellStyle name="常规 9 2 2 2 2 2 2 2 5 4" xfId="28104" xr:uid="{00000000-0005-0000-0000-0000A3640000}"/>
    <cellStyle name="常规 9 2 2 2 2 2 2 2 6" xfId="6600" xr:uid="{00000000-0005-0000-0000-0000A4640000}"/>
    <cellStyle name="常规 9 2 2 2 2 2 2 2 6 2" xfId="18888" xr:uid="{00000000-0005-0000-0000-0000A5640000}"/>
    <cellStyle name="常规 9 2 2 2 2 2 2 2 6 2 2" xfId="43464" xr:uid="{00000000-0005-0000-0000-0000A6640000}"/>
    <cellStyle name="常规 9 2 2 2 2 2 2 2 6 3" xfId="31176" xr:uid="{00000000-0005-0000-0000-0000A7640000}"/>
    <cellStyle name="常规 9 2 2 2 2 2 2 2 7" xfId="12744" xr:uid="{00000000-0005-0000-0000-0000A8640000}"/>
    <cellStyle name="常规 9 2 2 2 2 2 2 2 7 2" xfId="37320" xr:uid="{00000000-0005-0000-0000-0000A9640000}"/>
    <cellStyle name="常规 9 2 2 2 2 2 2 2 8" xfId="25032" xr:uid="{00000000-0005-0000-0000-0000AA640000}"/>
    <cellStyle name="常规 9 2 2 2 2 2 2 3" xfId="644" xr:uid="{00000000-0005-0000-0000-0000AB640000}"/>
    <cellStyle name="常规 9 2 2 2 2 2 2 3 2" xfId="1412" xr:uid="{00000000-0005-0000-0000-0000AC640000}"/>
    <cellStyle name="常规 9 2 2 2 2 2 2 3 2 2" xfId="2948" xr:uid="{00000000-0005-0000-0000-0000AD640000}"/>
    <cellStyle name="常规 9 2 2 2 2 2 2 3 2 2 2" xfId="6024" xr:uid="{00000000-0005-0000-0000-0000AE640000}"/>
    <cellStyle name="常规 9 2 2 2 2 2 2 3 2 2 2 2" xfId="12168" xr:uid="{00000000-0005-0000-0000-0000AF640000}"/>
    <cellStyle name="常规 9 2 2 2 2 2 2 3 2 2 2 2 2" xfId="24456" xr:uid="{00000000-0005-0000-0000-0000B0640000}"/>
    <cellStyle name="常规 9 2 2 2 2 2 2 3 2 2 2 2 2 2" xfId="49032" xr:uid="{00000000-0005-0000-0000-0000B1640000}"/>
    <cellStyle name="常规 9 2 2 2 2 2 2 3 2 2 2 2 3" xfId="36744" xr:uid="{00000000-0005-0000-0000-0000B2640000}"/>
    <cellStyle name="常规 9 2 2 2 2 2 2 3 2 2 2 3" xfId="18312" xr:uid="{00000000-0005-0000-0000-0000B3640000}"/>
    <cellStyle name="常规 9 2 2 2 2 2 2 3 2 2 2 3 2" xfId="42888" xr:uid="{00000000-0005-0000-0000-0000B4640000}"/>
    <cellStyle name="常规 9 2 2 2 2 2 2 3 2 2 2 4" xfId="30600" xr:uid="{00000000-0005-0000-0000-0000B5640000}"/>
    <cellStyle name="常规 9 2 2 2 2 2 2 3 2 2 3" xfId="9096" xr:uid="{00000000-0005-0000-0000-0000B6640000}"/>
    <cellStyle name="常规 9 2 2 2 2 2 2 3 2 2 3 2" xfId="21384" xr:uid="{00000000-0005-0000-0000-0000B7640000}"/>
    <cellStyle name="常规 9 2 2 2 2 2 2 3 2 2 3 2 2" xfId="45960" xr:uid="{00000000-0005-0000-0000-0000B8640000}"/>
    <cellStyle name="常规 9 2 2 2 2 2 2 3 2 2 3 3" xfId="33672" xr:uid="{00000000-0005-0000-0000-0000B9640000}"/>
    <cellStyle name="常规 9 2 2 2 2 2 2 3 2 2 4" xfId="15240" xr:uid="{00000000-0005-0000-0000-0000BA640000}"/>
    <cellStyle name="常规 9 2 2 2 2 2 2 3 2 2 4 2" xfId="39816" xr:uid="{00000000-0005-0000-0000-0000BB640000}"/>
    <cellStyle name="常规 9 2 2 2 2 2 2 3 2 2 5" xfId="27528" xr:uid="{00000000-0005-0000-0000-0000BC640000}"/>
    <cellStyle name="常规 9 2 2 2 2 2 2 3 2 3" xfId="4488" xr:uid="{00000000-0005-0000-0000-0000BD640000}"/>
    <cellStyle name="常规 9 2 2 2 2 2 2 3 2 3 2" xfId="10632" xr:uid="{00000000-0005-0000-0000-0000BE640000}"/>
    <cellStyle name="常规 9 2 2 2 2 2 2 3 2 3 2 2" xfId="22920" xr:uid="{00000000-0005-0000-0000-0000BF640000}"/>
    <cellStyle name="常规 9 2 2 2 2 2 2 3 2 3 2 2 2" xfId="47496" xr:uid="{00000000-0005-0000-0000-0000C0640000}"/>
    <cellStyle name="常规 9 2 2 2 2 2 2 3 2 3 2 3" xfId="35208" xr:uid="{00000000-0005-0000-0000-0000C1640000}"/>
    <cellStyle name="常规 9 2 2 2 2 2 2 3 2 3 3" xfId="16776" xr:uid="{00000000-0005-0000-0000-0000C2640000}"/>
    <cellStyle name="常规 9 2 2 2 2 2 2 3 2 3 3 2" xfId="41352" xr:uid="{00000000-0005-0000-0000-0000C3640000}"/>
    <cellStyle name="常规 9 2 2 2 2 2 2 3 2 3 4" xfId="29064" xr:uid="{00000000-0005-0000-0000-0000C4640000}"/>
    <cellStyle name="常规 9 2 2 2 2 2 2 3 2 4" xfId="7560" xr:uid="{00000000-0005-0000-0000-0000C5640000}"/>
    <cellStyle name="常规 9 2 2 2 2 2 2 3 2 4 2" xfId="19848" xr:uid="{00000000-0005-0000-0000-0000C6640000}"/>
    <cellStyle name="常规 9 2 2 2 2 2 2 3 2 4 2 2" xfId="44424" xr:uid="{00000000-0005-0000-0000-0000C7640000}"/>
    <cellStyle name="常规 9 2 2 2 2 2 2 3 2 4 3" xfId="32136" xr:uid="{00000000-0005-0000-0000-0000C8640000}"/>
    <cellStyle name="常规 9 2 2 2 2 2 2 3 2 5" xfId="13704" xr:uid="{00000000-0005-0000-0000-0000C9640000}"/>
    <cellStyle name="常规 9 2 2 2 2 2 2 3 2 5 2" xfId="38280" xr:uid="{00000000-0005-0000-0000-0000CA640000}"/>
    <cellStyle name="常规 9 2 2 2 2 2 2 3 2 6" xfId="25992" xr:uid="{00000000-0005-0000-0000-0000CB640000}"/>
    <cellStyle name="常规 9 2 2 2 2 2 2 3 3" xfId="2180" xr:uid="{00000000-0005-0000-0000-0000CC640000}"/>
    <cellStyle name="常规 9 2 2 2 2 2 2 3 3 2" xfId="5256" xr:uid="{00000000-0005-0000-0000-0000CD640000}"/>
    <cellStyle name="常规 9 2 2 2 2 2 2 3 3 2 2" xfId="11400" xr:uid="{00000000-0005-0000-0000-0000CE640000}"/>
    <cellStyle name="常规 9 2 2 2 2 2 2 3 3 2 2 2" xfId="23688" xr:uid="{00000000-0005-0000-0000-0000CF640000}"/>
    <cellStyle name="常规 9 2 2 2 2 2 2 3 3 2 2 2 2" xfId="48264" xr:uid="{00000000-0005-0000-0000-0000D0640000}"/>
    <cellStyle name="常规 9 2 2 2 2 2 2 3 3 2 2 3" xfId="35976" xr:uid="{00000000-0005-0000-0000-0000D1640000}"/>
    <cellStyle name="常规 9 2 2 2 2 2 2 3 3 2 3" xfId="17544" xr:uid="{00000000-0005-0000-0000-0000D2640000}"/>
    <cellStyle name="常规 9 2 2 2 2 2 2 3 3 2 3 2" xfId="42120" xr:uid="{00000000-0005-0000-0000-0000D3640000}"/>
    <cellStyle name="常规 9 2 2 2 2 2 2 3 3 2 4" xfId="29832" xr:uid="{00000000-0005-0000-0000-0000D4640000}"/>
    <cellStyle name="常规 9 2 2 2 2 2 2 3 3 3" xfId="8328" xr:uid="{00000000-0005-0000-0000-0000D5640000}"/>
    <cellStyle name="常规 9 2 2 2 2 2 2 3 3 3 2" xfId="20616" xr:uid="{00000000-0005-0000-0000-0000D6640000}"/>
    <cellStyle name="常规 9 2 2 2 2 2 2 3 3 3 2 2" xfId="45192" xr:uid="{00000000-0005-0000-0000-0000D7640000}"/>
    <cellStyle name="常规 9 2 2 2 2 2 2 3 3 3 3" xfId="32904" xr:uid="{00000000-0005-0000-0000-0000D8640000}"/>
    <cellStyle name="常规 9 2 2 2 2 2 2 3 3 4" xfId="14472" xr:uid="{00000000-0005-0000-0000-0000D9640000}"/>
    <cellStyle name="常规 9 2 2 2 2 2 2 3 3 4 2" xfId="39048" xr:uid="{00000000-0005-0000-0000-0000DA640000}"/>
    <cellStyle name="常规 9 2 2 2 2 2 2 3 3 5" xfId="26760" xr:uid="{00000000-0005-0000-0000-0000DB640000}"/>
    <cellStyle name="常规 9 2 2 2 2 2 2 3 4" xfId="3720" xr:uid="{00000000-0005-0000-0000-0000DC640000}"/>
    <cellStyle name="常规 9 2 2 2 2 2 2 3 4 2" xfId="9864" xr:uid="{00000000-0005-0000-0000-0000DD640000}"/>
    <cellStyle name="常规 9 2 2 2 2 2 2 3 4 2 2" xfId="22152" xr:uid="{00000000-0005-0000-0000-0000DE640000}"/>
    <cellStyle name="常规 9 2 2 2 2 2 2 3 4 2 2 2" xfId="46728" xr:uid="{00000000-0005-0000-0000-0000DF640000}"/>
    <cellStyle name="常规 9 2 2 2 2 2 2 3 4 2 3" xfId="34440" xr:uid="{00000000-0005-0000-0000-0000E0640000}"/>
    <cellStyle name="常规 9 2 2 2 2 2 2 3 4 3" xfId="16008" xr:uid="{00000000-0005-0000-0000-0000E1640000}"/>
    <cellStyle name="常规 9 2 2 2 2 2 2 3 4 3 2" xfId="40584" xr:uid="{00000000-0005-0000-0000-0000E2640000}"/>
    <cellStyle name="常规 9 2 2 2 2 2 2 3 4 4" xfId="28296" xr:uid="{00000000-0005-0000-0000-0000E3640000}"/>
    <cellStyle name="常规 9 2 2 2 2 2 2 3 5" xfId="6792" xr:uid="{00000000-0005-0000-0000-0000E4640000}"/>
    <cellStyle name="常规 9 2 2 2 2 2 2 3 5 2" xfId="19080" xr:uid="{00000000-0005-0000-0000-0000E5640000}"/>
    <cellStyle name="常规 9 2 2 2 2 2 2 3 5 2 2" xfId="43656" xr:uid="{00000000-0005-0000-0000-0000E6640000}"/>
    <cellStyle name="常规 9 2 2 2 2 2 2 3 5 3" xfId="31368" xr:uid="{00000000-0005-0000-0000-0000E7640000}"/>
    <cellStyle name="常规 9 2 2 2 2 2 2 3 6" xfId="12936" xr:uid="{00000000-0005-0000-0000-0000E8640000}"/>
    <cellStyle name="常规 9 2 2 2 2 2 2 3 6 2" xfId="37512" xr:uid="{00000000-0005-0000-0000-0000E9640000}"/>
    <cellStyle name="常规 9 2 2 2 2 2 2 3 7" xfId="25224" xr:uid="{00000000-0005-0000-0000-0000EA640000}"/>
    <cellStyle name="常规 9 2 2 2 2 2 2 4" xfId="1028" xr:uid="{00000000-0005-0000-0000-0000EB640000}"/>
    <cellStyle name="常规 9 2 2 2 2 2 2 4 2" xfId="2564" xr:uid="{00000000-0005-0000-0000-0000EC640000}"/>
    <cellStyle name="常规 9 2 2 2 2 2 2 4 2 2" xfId="5640" xr:uid="{00000000-0005-0000-0000-0000ED640000}"/>
    <cellStyle name="常规 9 2 2 2 2 2 2 4 2 2 2" xfId="11784" xr:uid="{00000000-0005-0000-0000-0000EE640000}"/>
    <cellStyle name="常规 9 2 2 2 2 2 2 4 2 2 2 2" xfId="24072" xr:uid="{00000000-0005-0000-0000-0000EF640000}"/>
    <cellStyle name="常规 9 2 2 2 2 2 2 4 2 2 2 2 2" xfId="48648" xr:uid="{00000000-0005-0000-0000-0000F0640000}"/>
    <cellStyle name="常规 9 2 2 2 2 2 2 4 2 2 2 3" xfId="36360" xr:uid="{00000000-0005-0000-0000-0000F1640000}"/>
    <cellStyle name="常规 9 2 2 2 2 2 2 4 2 2 3" xfId="17928" xr:uid="{00000000-0005-0000-0000-0000F2640000}"/>
    <cellStyle name="常规 9 2 2 2 2 2 2 4 2 2 3 2" xfId="42504" xr:uid="{00000000-0005-0000-0000-0000F3640000}"/>
    <cellStyle name="常规 9 2 2 2 2 2 2 4 2 2 4" xfId="30216" xr:uid="{00000000-0005-0000-0000-0000F4640000}"/>
    <cellStyle name="常规 9 2 2 2 2 2 2 4 2 3" xfId="8712" xr:uid="{00000000-0005-0000-0000-0000F5640000}"/>
    <cellStyle name="常规 9 2 2 2 2 2 2 4 2 3 2" xfId="21000" xr:uid="{00000000-0005-0000-0000-0000F6640000}"/>
    <cellStyle name="常规 9 2 2 2 2 2 2 4 2 3 2 2" xfId="45576" xr:uid="{00000000-0005-0000-0000-0000F7640000}"/>
    <cellStyle name="常规 9 2 2 2 2 2 2 4 2 3 3" xfId="33288" xr:uid="{00000000-0005-0000-0000-0000F8640000}"/>
    <cellStyle name="常规 9 2 2 2 2 2 2 4 2 4" xfId="14856" xr:uid="{00000000-0005-0000-0000-0000F9640000}"/>
    <cellStyle name="常规 9 2 2 2 2 2 2 4 2 4 2" xfId="39432" xr:uid="{00000000-0005-0000-0000-0000FA640000}"/>
    <cellStyle name="常规 9 2 2 2 2 2 2 4 2 5" xfId="27144" xr:uid="{00000000-0005-0000-0000-0000FB640000}"/>
    <cellStyle name="常规 9 2 2 2 2 2 2 4 3" xfId="4104" xr:uid="{00000000-0005-0000-0000-0000FC640000}"/>
    <cellStyle name="常规 9 2 2 2 2 2 2 4 3 2" xfId="10248" xr:uid="{00000000-0005-0000-0000-0000FD640000}"/>
    <cellStyle name="常规 9 2 2 2 2 2 2 4 3 2 2" xfId="22536" xr:uid="{00000000-0005-0000-0000-0000FE640000}"/>
    <cellStyle name="常规 9 2 2 2 2 2 2 4 3 2 2 2" xfId="47112" xr:uid="{00000000-0005-0000-0000-0000FF640000}"/>
    <cellStyle name="常规 9 2 2 2 2 2 2 4 3 2 3" xfId="34824" xr:uid="{00000000-0005-0000-0000-000000650000}"/>
    <cellStyle name="常规 9 2 2 2 2 2 2 4 3 3" xfId="16392" xr:uid="{00000000-0005-0000-0000-000001650000}"/>
    <cellStyle name="常规 9 2 2 2 2 2 2 4 3 3 2" xfId="40968" xr:uid="{00000000-0005-0000-0000-000002650000}"/>
    <cellStyle name="常规 9 2 2 2 2 2 2 4 3 4" xfId="28680" xr:uid="{00000000-0005-0000-0000-000003650000}"/>
    <cellStyle name="常规 9 2 2 2 2 2 2 4 4" xfId="7176" xr:uid="{00000000-0005-0000-0000-000004650000}"/>
    <cellStyle name="常规 9 2 2 2 2 2 2 4 4 2" xfId="19464" xr:uid="{00000000-0005-0000-0000-000005650000}"/>
    <cellStyle name="常规 9 2 2 2 2 2 2 4 4 2 2" xfId="44040" xr:uid="{00000000-0005-0000-0000-000006650000}"/>
    <cellStyle name="常规 9 2 2 2 2 2 2 4 4 3" xfId="31752" xr:uid="{00000000-0005-0000-0000-000007650000}"/>
    <cellStyle name="常规 9 2 2 2 2 2 2 4 5" xfId="13320" xr:uid="{00000000-0005-0000-0000-000008650000}"/>
    <cellStyle name="常规 9 2 2 2 2 2 2 4 5 2" xfId="37896" xr:uid="{00000000-0005-0000-0000-000009650000}"/>
    <cellStyle name="常规 9 2 2 2 2 2 2 4 6" xfId="25608" xr:uid="{00000000-0005-0000-0000-00000A650000}"/>
    <cellStyle name="常规 9 2 2 2 2 2 2 5" xfId="1796" xr:uid="{00000000-0005-0000-0000-00000B650000}"/>
    <cellStyle name="常规 9 2 2 2 2 2 2 5 2" xfId="4872" xr:uid="{00000000-0005-0000-0000-00000C650000}"/>
    <cellStyle name="常规 9 2 2 2 2 2 2 5 2 2" xfId="11016" xr:uid="{00000000-0005-0000-0000-00000D650000}"/>
    <cellStyle name="常规 9 2 2 2 2 2 2 5 2 2 2" xfId="23304" xr:uid="{00000000-0005-0000-0000-00000E650000}"/>
    <cellStyle name="常规 9 2 2 2 2 2 2 5 2 2 2 2" xfId="47880" xr:uid="{00000000-0005-0000-0000-00000F650000}"/>
    <cellStyle name="常规 9 2 2 2 2 2 2 5 2 2 3" xfId="35592" xr:uid="{00000000-0005-0000-0000-000010650000}"/>
    <cellStyle name="常规 9 2 2 2 2 2 2 5 2 3" xfId="17160" xr:uid="{00000000-0005-0000-0000-000011650000}"/>
    <cellStyle name="常规 9 2 2 2 2 2 2 5 2 3 2" xfId="41736" xr:uid="{00000000-0005-0000-0000-000012650000}"/>
    <cellStyle name="常规 9 2 2 2 2 2 2 5 2 4" xfId="29448" xr:uid="{00000000-0005-0000-0000-000013650000}"/>
    <cellStyle name="常规 9 2 2 2 2 2 2 5 3" xfId="7944" xr:uid="{00000000-0005-0000-0000-000014650000}"/>
    <cellStyle name="常规 9 2 2 2 2 2 2 5 3 2" xfId="20232" xr:uid="{00000000-0005-0000-0000-000015650000}"/>
    <cellStyle name="常规 9 2 2 2 2 2 2 5 3 2 2" xfId="44808" xr:uid="{00000000-0005-0000-0000-000016650000}"/>
    <cellStyle name="常规 9 2 2 2 2 2 2 5 3 3" xfId="32520" xr:uid="{00000000-0005-0000-0000-000017650000}"/>
    <cellStyle name="常规 9 2 2 2 2 2 2 5 4" xfId="14088" xr:uid="{00000000-0005-0000-0000-000018650000}"/>
    <cellStyle name="常规 9 2 2 2 2 2 2 5 4 2" xfId="38664" xr:uid="{00000000-0005-0000-0000-000019650000}"/>
    <cellStyle name="常规 9 2 2 2 2 2 2 5 5" xfId="26376" xr:uid="{00000000-0005-0000-0000-00001A650000}"/>
    <cellStyle name="常规 9 2 2 2 2 2 2 6" xfId="3336" xr:uid="{00000000-0005-0000-0000-00001B650000}"/>
    <cellStyle name="常规 9 2 2 2 2 2 2 6 2" xfId="9480" xr:uid="{00000000-0005-0000-0000-00001C650000}"/>
    <cellStyle name="常规 9 2 2 2 2 2 2 6 2 2" xfId="21768" xr:uid="{00000000-0005-0000-0000-00001D650000}"/>
    <cellStyle name="常规 9 2 2 2 2 2 2 6 2 2 2" xfId="46344" xr:uid="{00000000-0005-0000-0000-00001E650000}"/>
    <cellStyle name="常规 9 2 2 2 2 2 2 6 2 3" xfId="34056" xr:uid="{00000000-0005-0000-0000-00001F650000}"/>
    <cellStyle name="常规 9 2 2 2 2 2 2 6 3" xfId="15624" xr:uid="{00000000-0005-0000-0000-000020650000}"/>
    <cellStyle name="常规 9 2 2 2 2 2 2 6 3 2" xfId="40200" xr:uid="{00000000-0005-0000-0000-000021650000}"/>
    <cellStyle name="常规 9 2 2 2 2 2 2 6 4" xfId="27912" xr:uid="{00000000-0005-0000-0000-000022650000}"/>
    <cellStyle name="常规 9 2 2 2 2 2 2 7" xfId="6408" xr:uid="{00000000-0005-0000-0000-000023650000}"/>
    <cellStyle name="常规 9 2 2 2 2 2 2 7 2" xfId="18696" xr:uid="{00000000-0005-0000-0000-000024650000}"/>
    <cellStyle name="常规 9 2 2 2 2 2 2 7 2 2" xfId="43272" xr:uid="{00000000-0005-0000-0000-000025650000}"/>
    <cellStyle name="常规 9 2 2 2 2 2 2 7 3" xfId="30984" xr:uid="{00000000-0005-0000-0000-000026650000}"/>
    <cellStyle name="常规 9 2 2 2 2 2 2 8" xfId="12552" xr:uid="{00000000-0005-0000-0000-000027650000}"/>
    <cellStyle name="常规 9 2 2 2 2 2 2 8 2" xfId="37128" xr:uid="{00000000-0005-0000-0000-000028650000}"/>
    <cellStyle name="常规 9 2 2 2 2 2 2 9" xfId="24840" xr:uid="{00000000-0005-0000-0000-000029650000}"/>
    <cellStyle name="常规 9 2 2 2 2 2 3" xfId="324" xr:uid="{00000000-0005-0000-0000-00002A650000}"/>
    <cellStyle name="常规 9 2 2 2 2 2 3 2" xfId="516" xr:uid="{00000000-0005-0000-0000-00002B650000}"/>
    <cellStyle name="常规 9 2 2 2 2 2 3 2 2" xfId="900" xr:uid="{00000000-0005-0000-0000-00002C650000}"/>
    <cellStyle name="常规 9 2 2 2 2 2 3 2 2 2" xfId="1668" xr:uid="{00000000-0005-0000-0000-00002D650000}"/>
    <cellStyle name="常规 9 2 2 2 2 2 3 2 2 2 2" xfId="3204" xr:uid="{00000000-0005-0000-0000-00002E650000}"/>
    <cellStyle name="常规 9 2 2 2 2 2 3 2 2 2 2 2" xfId="6280" xr:uid="{00000000-0005-0000-0000-00002F650000}"/>
    <cellStyle name="常规 9 2 2 2 2 2 3 2 2 2 2 2 2" xfId="12424" xr:uid="{00000000-0005-0000-0000-000030650000}"/>
    <cellStyle name="常规 9 2 2 2 2 2 3 2 2 2 2 2 2 2" xfId="24712" xr:uid="{00000000-0005-0000-0000-000031650000}"/>
    <cellStyle name="常规 9 2 2 2 2 2 3 2 2 2 2 2 2 2 2" xfId="49288" xr:uid="{00000000-0005-0000-0000-000032650000}"/>
    <cellStyle name="常规 9 2 2 2 2 2 3 2 2 2 2 2 2 3" xfId="37000" xr:uid="{00000000-0005-0000-0000-000033650000}"/>
    <cellStyle name="常规 9 2 2 2 2 2 3 2 2 2 2 2 3" xfId="18568" xr:uid="{00000000-0005-0000-0000-000034650000}"/>
    <cellStyle name="常规 9 2 2 2 2 2 3 2 2 2 2 2 3 2" xfId="43144" xr:uid="{00000000-0005-0000-0000-000035650000}"/>
    <cellStyle name="常规 9 2 2 2 2 2 3 2 2 2 2 2 4" xfId="30856" xr:uid="{00000000-0005-0000-0000-000036650000}"/>
    <cellStyle name="常规 9 2 2 2 2 2 3 2 2 2 2 3" xfId="9352" xr:uid="{00000000-0005-0000-0000-000037650000}"/>
    <cellStyle name="常规 9 2 2 2 2 2 3 2 2 2 2 3 2" xfId="21640" xr:uid="{00000000-0005-0000-0000-000038650000}"/>
    <cellStyle name="常规 9 2 2 2 2 2 3 2 2 2 2 3 2 2" xfId="46216" xr:uid="{00000000-0005-0000-0000-000039650000}"/>
    <cellStyle name="常规 9 2 2 2 2 2 3 2 2 2 2 3 3" xfId="33928" xr:uid="{00000000-0005-0000-0000-00003A650000}"/>
    <cellStyle name="常规 9 2 2 2 2 2 3 2 2 2 2 4" xfId="15496" xr:uid="{00000000-0005-0000-0000-00003B650000}"/>
    <cellStyle name="常规 9 2 2 2 2 2 3 2 2 2 2 4 2" xfId="40072" xr:uid="{00000000-0005-0000-0000-00003C650000}"/>
    <cellStyle name="常规 9 2 2 2 2 2 3 2 2 2 2 5" xfId="27784" xr:uid="{00000000-0005-0000-0000-00003D650000}"/>
    <cellStyle name="常规 9 2 2 2 2 2 3 2 2 2 3" xfId="4744" xr:uid="{00000000-0005-0000-0000-00003E650000}"/>
    <cellStyle name="常规 9 2 2 2 2 2 3 2 2 2 3 2" xfId="10888" xr:uid="{00000000-0005-0000-0000-00003F650000}"/>
    <cellStyle name="常规 9 2 2 2 2 2 3 2 2 2 3 2 2" xfId="23176" xr:uid="{00000000-0005-0000-0000-000040650000}"/>
    <cellStyle name="常规 9 2 2 2 2 2 3 2 2 2 3 2 2 2" xfId="47752" xr:uid="{00000000-0005-0000-0000-000041650000}"/>
    <cellStyle name="常规 9 2 2 2 2 2 3 2 2 2 3 2 3" xfId="35464" xr:uid="{00000000-0005-0000-0000-000042650000}"/>
    <cellStyle name="常规 9 2 2 2 2 2 3 2 2 2 3 3" xfId="17032" xr:uid="{00000000-0005-0000-0000-000043650000}"/>
    <cellStyle name="常规 9 2 2 2 2 2 3 2 2 2 3 3 2" xfId="41608" xr:uid="{00000000-0005-0000-0000-000044650000}"/>
    <cellStyle name="常规 9 2 2 2 2 2 3 2 2 2 3 4" xfId="29320" xr:uid="{00000000-0005-0000-0000-000045650000}"/>
    <cellStyle name="常规 9 2 2 2 2 2 3 2 2 2 4" xfId="7816" xr:uid="{00000000-0005-0000-0000-000046650000}"/>
    <cellStyle name="常规 9 2 2 2 2 2 3 2 2 2 4 2" xfId="20104" xr:uid="{00000000-0005-0000-0000-000047650000}"/>
    <cellStyle name="常规 9 2 2 2 2 2 3 2 2 2 4 2 2" xfId="44680" xr:uid="{00000000-0005-0000-0000-000048650000}"/>
    <cellStyle name="常规 9 2 2 2 2 2 3 2 2 2 4 3" xfId="32392" xr:uid="{00000000-0005-0000-0000-000049650000}"/>
    <cellStyle name="常规 9 2 2 2 2 2 3 2 2 2 5" xfId="13960" xr:uid="{00000000-0005-0000-0000-00004A650000}"/>
    <cellStyle name="常规 9 2 2 2 2 2 3 2 2 2 5 2" xfId="38536" xr:uid="{00000000-0005-0000-0000-00004B650000}"/>
    <cellStyle name="常规 9 2 2 2 2 2 3 2 2 2 6" xfId="26248" xr:uid="{00000000-0005-0000-0000-00004C650000}"/>
    <cellStyle name="常规 9 2 2 2 2 2 3 2 2 3" xfId="2436" xr:uid="{00000000-0005-0000-0000-00004D650000}"/>
    <cellStyle name="常规 9 2 2 2 2 2 3 2 2 3 2" xfId="5512" xr:uid="{00000000-0005-0000-0000-00004E650000}"/>
    <cellStyle name="常规 9 2 2 2 2 2 3 2 2 3 2 2" xfId="11656" xr:uid="{00000000-0005-0000-0000-00004F650000}"/>
    <cellStyle name="常规 9 2 2 2 2 2 3 2 2 3 2 2 2" xfId="23944" xr:uid="{00000000-0005-0000-0000-000050650000}"/>
    <cellStyle name="常规 9 2 2 2 2 2 3 2 2 3 2 2 2 2" xfId="48520" xr:uid="{00000000-0005-0000-0000-000051650000}"/>
    <cellStyle name="常规 9 2 2 2 2 2 3 2 2 3 2 2 3" xfId="36232" xr:uid="{00000000-0005-0000-0000-000052650000}"/>
    <cellStyle name="常规 9 2 2 2 2 2 3 2 2 3 2 3" xfId="17800" xr:uid="{00000000-0005-0000-0000-000053650000}"/>
    <cellStyle name="常规 9 2 2 2 2 2 3 2 2 3 2 3 2" xfId="42376" xr:uid="{00000000-0005-0000-0000-000054650000}"/>
    <cellStyle name="常规 9 2 2 2 2 2 3 2 2 3 2 4" xfId="30088" xr:uid="{00000000-0005-0000-0000-000055650000}"/>
    <cellStyle name="常规 9 2 2 2 2 2 3 2 2 3 3" xfId="8584" xr:uid="{00000000-0005-0000-0000-000056650000}"/>
    <cellStyle name="常规 9 2 2 2 2 2 3 2 2 3 3 2" xfId="20872" xr:uid="{00000000-0005-0000-0000-000057650000}"/>
    <cellStyle name="常规 9 2 2 2 2 2 3 2 2 3 3 2 2" xfId="45448" xr:uid="{00000000-0005-0000-0000-000058650000}"/>
    <cellStyle name="常规 9 2 2 2 2 2 3 2 2 3 3 3" xfId="33160" xr:uid="{00000000-0005-0000-0000-000059650000}"/>
    <cellStyle name="常规 9 2 2 2 2 2 3 2 2 3 4" xfId="14728" xr:uid="{00000000-0005-0000-0000-00005A650000}"/>
    <cellStyle name="常规 9 2 2 2 2 2 3 2 2 3 4 2" xfId="39304" xr:uid="{00000000-0005-0000-0000-00005B650000}"/>
    <cellStyle name="常规 9 2 2 2 2 2 3 2 2 3 5" xfId="27016" xr:uid="{00000000-0005-0000-0000-00005C650000}"/>
    <cellStyle name="常规 9 2 2 2 2 2 3 2 2 4" xfId="3976" xr:uid="{00000000-0005-0000-0000-00005D650000}"/>
    <cellStyle name="常规 9 2 2 2 2 2 3 2 2 4 2" xfId="10120" xr:uid="{00000000-0005-0000-0000-00005E650000}"/>
    <cellStyle name="常规 9 2 2 2 2 2 3 2 2 4 2 2" xfId="22408" xr:uid="{00000000-0005-0000-0000-00005F650000}"/>
    <cellStyle name="常规 9 2 2 2 2 2 3 2 2 4 2 2 2" xfId="46984" xr:uid="{00000000-0005-0000-0000-000060650000}"/>
    <cellStyle name="常规 9 2 2 2 2 2 3 2 2 4 2 3" xfId="34696" xr:uid="{00000000-0005-0000-0000-000061650000}"/>
    <cellStyle name="常规 9 2 2 2 2 2 3 2 2 4 3" xfId="16264" xr:uid="{00000000-0005-0000-0000-000062650000}"/>
    <cellStyle name="常规 9 2 2 2 2 2 3 2 2 4 3 2" xfId="40840" xr:uid="{00000000-0005-0000-0000-000063650000}"/>
    <cellStyle name="常规 9 2 2 2 2 2 3 2 2 4 4" xfId="28552" xr:uid="{00000000-0005-0000-0000-000064650000}"/>
    <cellStyle name="常规 9 2 2 2 2 2 3 2 2 5" xfId="7048" xr:uid="{00000000-0005-0000-0000-000065650000}"/>
    <cellStyle name="常规 9 2 2 2 2 2 3 2 2 5 2" xfId="19336" xr:uid="{00000000-0005-0000-0000-000066650000}"/>
    <cellStyle name="常规 9 2 2 2 2 2 3 2 2 5 2 2" xfId="43912" xr:uid="{00000000-0005-0000-0000-000067650000}"/>
    <cellStyle name="常规 9 2 2 2 2 2 3 2 2 5 3" xfId="31624" xr:uid="{00000000-0005-0000-0000-000068650000}"/>
    <cellStyle name="常规 9 2 2 2 2 2 3 2 2 6" xfId="13192" xr:uid="{00000000-0005-0000-0000-000069650000}"/>
    <cellStyle name="常规 9 2 2 2 2 2 3 2 2 6 2" xfId="37768" xr:uid="{00000000-0005-0000-0000-00006A650000}"/>
    <cellStyle name="常规 9 2 2 2 2 2 3 2 2 7" xfId="25480" xr:uid="{00000000-0005-0000-0000-00006B650000}"/>
    <cellStyle name="常规 9 2 2 2 2 2 3 2 3" xfId="1284" xr:uid="{00000000-0005-0000-0000-00006C650000}"/>
    <cellStyle name="常规 9 2 2 2 2 2 3 2 3 2" xfId="2820" xr:uid="{00000000-0005-0000-0000-00006D650000}"/>
    <cellStyle name="常规 9 2 2 2 2 2 3 2 3 2 2" xfId="5896" xr:uid="{00000000-0005-0000-0000-00006E650000}"/>
    <cellStyle name="常规 9 2 2 2 2 2 3 2 3 2 2 2" xfId="12040" xr:uid="{00000000-0005-0000-0000-00006F650000}"/>
    <cellStyle name="常规 9 2 2 2 2 2 3 2 3 2 2 2 2" xfId="24328" xr:uid="{00000000-0005-0000-0000-000070650000}"/>
    <cellStyle name="常规 9 2 2 2 2 2 3 2 3 2 2 2 2 2" xfId="48904" xr:uid="{00000000-0005-0000-0000-000071650000}"/>
    <cellStyle name="常规 9 2 2 2 2 2 3 2 3 2 2 2 3" xfId="36616" xr:uid="{00000000-0005-0000-0000-000072650000}"/>
    <cellStyle name="常规 9 2 2 2 2 2 3 2 3 2 2 3" xfId="18184" xr:uid="{00000000-0005-0000-0000-000073650000}"/>
    <cellStyle name="常规 9 2 2 2 2 2 3 2 3 2 2 3 2" xfId="42760" xr:uid="{00000000-0005-0000-0000-000074650000}"/>
    <cellStyle name="常规 9 2 2 2 2 2 3 2 3 2 2 4" xfId="30472" xr:uid="{00000000-0005-0000-0000-000075650000}"/>
    <cellStyle name="常规 9 2 2 2 2 2 3 2 3 2 3" xfId="8968" xr:uid="{00000000-0005-0000-0000-000076650000}"/>
    <cellStyle name="常规 9 2 2 2 2 2 3 2 3 2 3 2" xfId="21256" xr:uid="{00000000-0005-0000-0000-000077650000}"/>
    <cellStyle name="常规 9 2 2 2 2 2 3 2 3 2 3 2 2" xfId="45832" xr:uid="{00000000-0005-0000-0000-000078650000}"/>
    <cellStyle name="常规 9 2 2 2 2 2 3 2 3 2 3 3" xfId="33544" xr:uid="{00000000-0005-0000-0000-000079650000}"/>
    <cellStyle name="常规 9 2 2 2 2 2 3 2 3 2 4" xfId="15112" xr:uid="{00000000-0005-0000-0000-00007A650000}"/>
    <cellStyle name="常规 9 2 2 2 2 2 3 2 3 2 4 2" xfId="39688" xr:uid="{00000000-0005-0000-0000-00007B650000}"/>
    <cellStyle name="常规 9 2 2 2 2 2 3 2 3 2 5" xfId="27400" xr:uid="{00000000-0005-0000-0000-00007C650000}"/>
    <cellStyle name="常规 9 2 2 2 2 2 3 2 3 3" xfId="4360" xr:uid="{00000000-0005-0000-0000-00007D650000}"/>
    <cellStyle name="常规 9 2 2 2 2 2 3 2 3 3 2" xfId="10504" xr:uid="{00000000-0005-0000-0000-00007E650000}"/>
    <cellStyle name="常规 9 2 2 2 2 2 3 2 3 3 2 2" xfId="22792" xr:uid="{00000000-0005-0000-0000-00007F650000}"/>
    <cellStyle name="常规 9 2 2 2 2 2 3 2 3 3 2 2 2" xfId="47368" xr:uid="{00000000-0005-0000-0000-000080650000}"/>
    <cellStyle name="常规 9 2 2 2 2 2 3 2 3 3 2 3" xfId="35080" xr:uid="{00000000-0005-0000-0000-000081650000}"/>
    <cellStyle name="常规 9 2 2 2 2 2 3 2 3 3 3" xfId="16648" xr:uid="{00000000-0005-0000-0000-000082650000}"/>
    <cellStyle name="常规 9 2 2 2 2 2 3 2 3 3 3 2" xfId="41224" xr:uid="{00000000-0005-0000-0000-000083650000}"/>
    <cellStyle name="常规 9 2 2 2 2 2 3 2 3 3 4" xfId="28936" xr:uid="{00000000-0005-0000-0000-000084650000}"/>
    <cellStyle name="常规 9 2 2 2 2 2 3 2 3 4" xfId="7432" xr:uid="{00000000-0005-0000-0000-000085650000}"/>
    <cellStyle name="常规 9 2 2 2 2 2 3 2 3 4 2" xfId="19720" xr:uid="{00000000-0005-0000-0000-000086650000}"/>
    <cellStyle name="常规 9 2 2 2 2 2 3 2 3 4 2 2" xfId="44296" xr:uid="{00000000-0005-0000-0000-000087650000}"/>
    <cellStyle name="常规 9 2 2 2 2 2 3 2 3 4 3" xfId="32008" xr:uid="{00000000-0005-0000-0000-000088650000}"/>
    <cellStyle name="常规 9 2 2 2 2 2 3 2 3 5" xfId="13576" xr:uid="{00000000-0005-0000-0000-000089650000}"/>
    <cellStyle name="常规 9 2 2 2 2 2 3 2 3 5 2" xfId="38152" xr:uid="{00000000-0005-0000-0000-00008A650000}"/>
    <cellStyle name="常规 9 2 2 2 2 2 3 2 3 6" xfId="25864" xr:uid="{00000000-0005-0000-0000-00008B650000}"/>
    <cellStyle name="常规 9 2 2 2 2 2 3 2 4" xfId="2052" xr:uid="{00000000-0005-0000-0000-00008C650000}"/>
    <cellStyle name="常规 9 2 2 2 2 2 3 2 4 2" xfId="5128" xr:uid="{00000000-0005-0000-0000-00008D650000}"/>
    <cellStyle name="常规 9 2 2 2 2 2 3 2 4 2 2" xfId="11272" xr:uid="{00000000-0005-0000-0000-00008E650000}"/>
    <cellStyle name="常规 9 2 2 2 2 2 3 2 4 2 2 2" xfId="23560" xr:uid="{00000000-0005-0000-0000-00008F650000}"/>
    <cellStyle name="常规 9 2 2 2 2 2 3 2 4 2 2 2 2" xfId="48136" xr:uid="{00000000-0005-0000-0000-000090650000}"/>
    <cellStyle name="常规 9 2 2 2 2 2 3 2 4 2 2 3" xfId="35848" xr:uid="{00000000-0005-0000-0000-000091650000}"/>
    <cellStyle name="常规 9 2 2 2 2 2 3 2 4 2 3" xfId="17416" xr:uid="{00000000-0005-0000-0000-000092650000}"/>
    <cellStyle name="常规 9 2 2 2 2 2 3 2 4 2 3 2" xfId="41992" xr:uid="{00000000-0005-0000-0000-000093650000}"/>
    <cellStyle name="常规 9 2 2 2 2 2 3 2 4 2 4" xfId="29704" xr:uid="{00000000-0005-0000-0000-000094650000}"/>
    <cellStyle name="常规 9 2 2 2 2 2 3 2 4 3" xfId="8200" xr:uid="{00000000-0005-0000-0000-000095650000}"/>
    <cellStyle name="常规 9 2 2 2 2 2 3 2 4 3 2" xfId="20488" xr:uid="{00000000-0005-0000-0000-000096650000}"/>
    <cellStyle name="常规 9 2 2 2 2 2 3 2 4 3 2 2" xfId="45064" xr:uid="{00000000-0005-0000-0000-000097650000}"/>
    <cellStyle name="常规 9 2 2 2 2 2 3 2 4 3 3" xfId="32776" xr:uid="{00000000-0005-0000-0000-000098650000}"/>
    <cellStyle name="常规 9 2 2 2 2 2 3 2 4 4" xfId="14344" xr:uid="{00000000-0005-0000-0000-000099650000}"/>
    <cellStyle name="常规 9 2 2 2 2 2 3 2 4 4 2" xfId="38920" xr:uid="{00000000-0005-0000-0000-00009A650000}"/>
    <cellStyle name="常规 9 2 2 2 2 2 3 2 4 5" xfId="26632" xr:uid="{00000000-0005-0000-0000-00009B650000}"/>
    <cellStyle name="常规 9 2 2 2 2 2 3 2 5" xfId="3592" xr:uid="{00000000-0005-0000-0000-00009C650000}"/>
    <cellStyle name="常规 9 2 2 2 2 2 3 2 5 2" xfId="9736" xr:uid="{00000000-0005-0000-0000-00009D650000}"/>
    <cellStyle name="常规 9 2 2 2 2 2 3 2 5 2 2" xfId="22024" xr:uid="{00000000-0005-0000-0000-00009E650000}"/>
    <cellStyle name="常规 9 2 2 2 2 2 3 2 5 2 2 2" xfId="46600" xr:uid="{00000000-0005-0000-0000-00009F650000}"/>
    <cellStyle name="常规 9 2 2 2 2 2 3 2 5 2 3" xfId="34312" xr:uid="{00000000-0005-0000-0000-0000A0650000}"/>
    <cellStyle name="常规 9 2 2 2 2 2 3 2 5 3" xfId="15880" xr:uid="{00000000-0005-0000-0000-0000A1650000}"/>
    <cellStyle name="常规 9 2 2 2 2 2 3 2 5 3 2" xfId="40456" xr:uid="{00000000-0005-0000-0000-0000A2650000}"/>
    <cellStyle name="常规 9 2 2 2 2 2 3 2 5 4" xfId="28168" xr:uid="{00000000-0005-0000-0000-0000A3650000}"/>
    <cellStyle name="常规 9 2 2 2 2 2 3 2 6" xfId="6664" xr:uid="{00000000-0005-0000-0000-0000A4650000}"/>
    <cellStyle name="常规 9 2 2 2 2 2 3 2 6 2" xfId="18952" xr:uid="{00000000-0005-0000-0000-0000A5650000}"/>
    <cellStyle name="常规 9 2 2 2 2 2 3 2 6 2 2" xfId="43528" xr:uid="{00000000-0005-0000-0000-0000A6650000}"/>
    <cellStyle name="常规 9 2 2 2 2 2 3 2 6 3" xfId="31240" xr:uid="{00000000-0005-0000-0000-0000A7650000}"/>
    <cellStyle name="常规 9 2 2 2 2 2 3 2 7" xfId="12808" xr:uid="{00000000-0005-0000-0000-0000A8650000}"/>
    <cellStyle name="常规 9 2 2 2 2 2 3 2 7 2" xfId="37384" xr:uid="{00000000-0005-0000-0000-0000A9650000}"/>
    <cellStyle name="常规 9 2 2 2 2 2 3 2 8" xfId="25096" xr:uid="{00000000-0005-0000-0000-0000AA650000}"/>
    <cellStyle name="常规 9 2 2 2 2 2 3 3" xfId="708" xr:uid="{00000000-0005-0000-0000-0000AB650000}"/>
    <cellStyle name="常规 9 2 2 2 2 2 3 3 2" xfId="1476" xr:uid="{00000000-0005-0000-0000-0000AC650000}"/>
    <cellStyle name="常规 9 2 2 2 2 2 3 3 2 2" xfId="3012" xr:uid="{00000000-0005-0000-0000-0000AD650000}"/>
    <cellStyle name="常规 9 2 2 2 2 2 3 3 2 2 2" xfId="6088" xr:uid="{00000000-0005-0000-0000-0000AE650000}"/>
    <cellStyle name="常规 9 2 2 2 2 2 3 3 2 2 2 2" xfId="12232" xr:uid="{00000000-0005-0000-0000-0000AF650000}"/>
    <cellStyle name="常规 9 2 2 2 2 2 3 3 2 2 2 2 2" xfId="24520" xr:uid="{00000000-0005-0000-0000-0000B0650000}"/>
    <cellStyle name="常规 9 2 2 2 2 2 3 3 2 2 2 2 2 2" xfId="49096" xr:uid="{00000000-0005-0000-0000-0000B1650000}"/>
    <cellStyle name="常规 9 2 2 2 2 2 3 3 2 2 2 2 3" xfId="36808" xr:uid="{00000000-0005-0000-0000-0000B2650000}"/>
    <cellStyle name="常规 9 2 2 2 2 2 3 3 2 2 2 3" xfId="18376" xr:uid="{00000000-0005-0000-0000-0000B3650000}"/>
    <cellStyle name="常规 9 2 2 2 2 2 3 3 2 2 2 3 2" xfId="42952" xr:uid="{00000000-0005-0000-0000-0000B4650000}"/>
    <cellStyle name="常规 9 2 2 2 2 2 3 3 2 2 2 4" xfId="30664" xr:uid="{00000000-0005-0000-0000-0000B5650000}"/>
    <cellStyle name="常规 9 2 2 2 2 2 3 3 2 2 3" xfId="9160" xr:uid="{00000000-0005-0000-0000-0000B6650000}"/>
    <cellStyle name="常规 9 2 2 2 2 2 3 3 2 2 3 2" xfId="21448" xr:uid="{00000000-0005-0000-0000-0000B7650000}"/>
    <cellStyle name="常规 9 2 2 2 2 2 3 3 2 2 3 2 2" xfId="46024" xr:uid="{00000000-0005-0000-0000-0000B8650000}"/>
    <cellStyle name="常规 9 2 2 2 2 2 3 3 2 2 3 3" xfId="33736" xr:uid="{00000000-0005-0000-0000-0000B9650000}"/>
    <cellStyle name="常规 9 2 2 2 2 2 3 3 2 2 4" xfId="15304" xr:uid="{00000000-0005-0000-0000-0000BA650000}"/>
    <cellStyle name="常规 9 2 2 2 2 2 3 3 2 2 4 2" xfId="39880" xr:uid="{00000000-0005-0000-0000-0000BB650000}"/>
    <cellStyle name="常规 9 2 2 2 2 2 3 3 2 2 5" xfId="27592" xr:uid="{00000000-0005-0000-0000-0000BC650000}"/>
    <cellStyle name="常规 9 2 2 2 2 2 3 3 2 3" xfId="4552" xr:uid="{00000000-0005-0000-0000-0000BD650000}"/>
    <cellStyle name="常规 9 2 2 2 2 2 3 3 2 3 2" xfId="10696" xr:uid="{00000000-0005-0000-0000-0000BE650000}"/>
    <cellStyle name="常规 9 2 2 2 2 2 3 3 2 3 2 2" xfId="22984" xr:uid="{00000000-0005-0000-0000-0000BF650000}"/>
    <cellStyle name="常规 9 2 2 2 2 2 3 3 2 3 2 2 2" xfId="47560" xr:uid="{00000000-0005-0000-0000-0000C0650000}"/>
    <cellStyle name="常规 9 2 2 2 2 2 3 3 2 3 2 3" xfId="35272" xr:uid="{00000000-0005-0000-0000-0000C1650000}"/>
    <cellStyle name="常规 9 2 2 2 2 2 3 3 2 3 3" xfId="16840" xr:uid="{00000000-0005-0000-0000-0000C2650000}"/>
    <cellStyle name="常规 9 2 2 2 2 2 3 3 2 3 3 2" xfId="41416" xr:uid="{00000000-0005-0000-0000-0000C3650000}"/>
    <cellStyle name="常规 9 2 2 2 2 2 3 3 2 3 4" xfId="29128" xr:uid="{00000000-0005-0000-0000-0000C4650000}"/>
    <cellStyle name="常规 9 2 2 2 2 2 3 3 2 4" xfId="7624" xr:uid="{00000000-0005-0000-0000-0000C5650000}"/>
    <cellStyle name="常规 9 2 2 2 2 2 3 3 2 4 2" xfId="19912" xr:uid="{00000000-0005-0000-0000-0000C6650000}"/>
    <cellStyle name="常规 9 2 2 2 2 2 3 3 2 4 2 2" xfId="44488" xr:uid="{00000000-0005-0000-0000-0000C7650000}"/>
    <cellStyle name="常规 9 2 2 2 2 2 3 3 2 4 3" xfId="32200" xr:uid="{00000000-0005-0000-0000-0000C8650000}"/>
    <cellStyle name="常规 9 2 2 2 2 2 3 3 2 5" xfId="13768" xr:uid="{00000000-0005-0000-0000-0000C9650000}"/>
    <cellStyle name="常规 9 2 2 2 2 2 3 3 2 5 2" xfId="38344" xr:uid="{00000000-0005-0000-0000-0000CA650000}"/>
    <cellStyle name="常规 9 2 2 2 2 2 3 3 2 6" xfId="26056" xr:uid="{00000000-0005-0000-0000-0000CB650000}"/>
    <cellStyle name="常规 9 2 2 2 2 2 3 3 3" xfId="2244" xr:uid="{00000000-0005-0000-0000-0000CC650000}"/>
    <cellStyle name="常规 9 2 2 2 2 2 3 3 3 2" xfId="5320" xr:uid="{00000000-0005-0000-0000-0000CD650000}"/>
    <cellStyle name="常规 9 2 2 2 2 2 3 3 3 2 2" xfId="11464" xr:uid="{00000000-0005-0000-0000-0000CE650000}"/>
    <cellStyle name="常规 9 2 2 2 2 2 3 3 3 2 2 2" xfId="23752" xr:uid="{00000000-0005-0000-0000-0000CF650000}"/>
    <cellStyle name="常规 9 2 2 2 2 2 3 3 3 2 2 2 2" xfId="48328" xr:uid="{00000000-0005-0000-0000-0000D0650000}"/>
    <cellStyle name="常规 9 2 2 2 2 2 3 3 3 2 2 3" xfId="36040" xr:uid="{00000000-0005-0000-0000-0000D1650000}"/>
    <cellStyle name="常规 9 2 2 2 2 2 3 3 3 2 3" xfId="17608" xr:uid="{00000000-0005-0000-0000-0000D2650000}"/>
    <cellStyle name="常规 9 2 2 2 2 2 3 3 3 2 3 2" xfId="42184" xr:uid="{00000000-0005-0000-0000-0000D3650000}"/>
    <cellStyle name="常规 9 2 2 2 2 2 3 3 3 2 4" xfId="29896" xr:uid="{00000000-0005-0000-0000-0000D4650000}"/>
    <cellStyle name="常规 9 2 2 2 2 2 3 3 3 3" xfId="8392" xr:uid="{00000000-0005-0000-0000-0000D5650000}"/>
    <cellStyle name="常规 9 2 2 2 2 2 3 3 3 3 2" xfId="20680" xr:uid="{00000000-0005-0000-0000-0000D6650000}"/>
    <cellStyle name="常规 9 2 2 2 2 2 3 3 3 3 2 2" xfId="45256" xr:uid="{00000000-0005-0000-0000-0000D7650000}"/>
    <cellStyle name="常规 9 2 2 2 2 2 3 3 3 3 3" xfId="32968" xr:uid="{00000000-0005-0000-0000-0000D8650000}"/>
    <cellStyle name="常规 9 2 2 2 2 2 3 3 3 4" xfId="14536" xr:uid="{00000000-0005-0000-0000-0000D9650000}"/>
    <cellStyle name="常规 9 2 2 2 2 2 3 3 3 4 2" xfId="39112" xr:uid="{00000000-0005-0000-0000-0000DA650000}"/>
    <cellStyle name="常规 9 2 2 2 2 2 3 3 3 5" xfId="26824" xr:uid="{00000000-0005-0000-0000-0000DB650000}"/>
    <cellStyle name="常规 9 2 2 2 2 2 3 3 4" xfId="3784" xr:uid="{00000000-0005-0000-0000-0000DC650000}"/>
    <cellStyle name="常规 9 2 2 2 2 2 3 3 4 2" xfId="9928" xr:uid="{00000000-0005-0000-0000-0000DD650000}"/>
    <cellStyle name="常规 9 2 2 2 2 2 3 3 4 2 2" xfId="22216" xr:uid="{00000000-0005-0000-0000-0000DE650000}"/>
    <cellStyle name="常规 9 2 2 2 2 2 3 3 4 2 2 2" xfId="46792" xr:uid="{00000000-0005-0000-0000-0000DF650000}"/>
    <cellStyle name="常规 9 2 2 2 2 2 3 3 4 2 3" xfId="34504" xr:uid="{00000000-0005-0000-0000-0000E0650000}"/>
    <cellStyle name="常规 9 2 2 2 2 2 3 3 4 3" xfId="16072" xr:uid="{00000000-0005-0000-0000-0000E1650000}"/>
    <cellStyle name="常规 9 2 2 2 2 2 3 3 4 3 2" xfId="40648" xr:uid="{00000000-0005-0000-0000-0000E2650000}"/>
    <cellStyle name="常规 9 2 2 2 2 2 3 3 4 4" xfId="28360" xr:uid="{00000000-0005-0000-0000-0000E3650000}"/>
    <cellStyle name="常规 9 2 2 2 2 2 3 3 5" xfId="6856" xr:uid="{00000000-0005-0000-0000-0000E4650000}"/>
    <cellStyle name="常规 9 2 2 2 2 2 3 3 5 2" xfId="19144" xr:uid="{00000000-0005-0000-0000-0000E5650000}"/>
    <cellStyle name="常规 9 2 2 2 2 2 3 3 5 2 2" xfId="43720" xr:uid="{00000000-0005-0000-0000-0000E6650000}"/>
    <cellStyle name="常规 9 2 2 2 2 2 3 3 5 3" xfId="31432" xr:uid="{00000000-0005-0000-0000-0000E7650000}"/>
    <cellStyle name="常规 9 2 2 2 2 2 3 3 6" xfId="13000" xr:uid="{00000000-0005-0000-0000-0000E8650000}"/>
    <cellStyle name="常规 9 2 2 2 2 2 3 3 6 2" xfId="37576" xr:uid="{00000000-0005-0000-0000-0000E9650000}"/>
    <cellStyle name="常规 9 2 2 2 2 2 3 3 7" xfId="25288" xr:uid="{00000000-0005-0000-0000-0000EA650000}"/>
    <cellStyle name="常规 9 2 2 2 2 2 3 4" xfId="1092" xr:uid="{00000000-0005-0000-0000-0000EB650000}"/>
    <cellStyle name="常规 9 2 2 2 2 2 3 4 2" xfId="2628" xr:uid="{00000000-0005-0000-0000-0000EC650000}"/>
    <cellStyle name="常规 9 2 2 2 2 2 3 4 2 2" xfId="5704" xr:uid="{00000000-0005-0000-0000-0000ED650000}"/>
    <cellStyle name="常规 9 2 2 2 2 2 3 4 2 2 2" xfId="11848" xr:uid="{00000000-0005-0000-0000-0000EE650000}"/>
    <cellStyle name="常规 9 2 2 2 2 2 3 4 2 2 2 2" xfId="24136" xr:uid="{00000000-0005-0000-0000-0000EF650000}"/>
    <cellStyle name="常规 9 2 2 2 2 2 3 4 2 2 2 2 2" xfId="48712" xr:uid="{00000000-0005-0000-0000-0000F0650000}"/>
    <cellStyle name="常规 9 2 2 2 2 2 3 4 2 2 2 3" xfId="36424" xr:uid="{00000000-0005-0000-0000-0000F1650000}"/>
    <cellStyle name="常规 9 2 2 2 2 2 3 4 2 2 3" xfId="17992" xr:uid="{00000000-0005-0000-0000-0000F2650000}"/>
    <cellStyle name="常规 9 2 2 2 2 2 3 4 2 2 3 2" xfId="42568" xr:uid="{00000000-0005-0000-0000-0000F3650000}"/>
    <cellStyle name="常规 9 2 2 2 2 2 3 4 2 2 4" xfId="30280" xr:uid="{00000000-0005-0000-0000-0000F4650000}"/>
    <cellStyle name="常规 9 2 2 2 2 2 3 4 2 3" xfId="8776" xr:uid="{00000000-0005-0000-0000-0000F5650000}"/>
    <cellStyle name="常规 9 2 2 2 2 2 3 4 2 3 2" xfId="21064" xr:uid="{00000000-0005-0000-0000-0000F6650000}"/>
    <cellStyle name="常规 9 2 2 2 2 2 3 4 2 3 2 2" xfId="45640" xr:uid="{00000000-0005-0000-0000-0000F7650000}"/>
    <cellStyle name="常规 9 2 2 2 2 2 3 4 2 3 3" xfId="33352" xr:uid="{00000000-0005-0000-0000-0000F8650000}"/>
    <cellStyle name="常规 9 2 2 2 2 2 3 4 2 4" xfId="14920" xr:uid="{00000000-0005-0000-0000-0000F9650000}"/>
    <cellStyle name="常规 9 2 2 2 2 2 3 4 2 4 2" xfId="39496" xr:uid="{00000000-0005-0000-0000-0000FA650000}"/>
    <cellStyle name="常规 9 2 2 2 2 2 3 4 2 5" xfId="27208" xr:uid="{00000000-0005-0000-0000-0000FB650000}"/>
    <cellStyle name="常规 9 2 2 2 2 2 3 4 3" xfId="4168" xr:uid="{00000000-0005-0000-0000-0000FC650000}"/>
    <cellStyle name="常规 9 2 2 2 2 2 3 4 3 2" xfId="10312" xr:uid="{00000000-0005-0000-0000-0000FD650000}"/>
    <cellStyle name="常规 9 2 2 2 2 2 3 4 3 2 2" xfId="22600" xr:uid="{00000000-0005-0000-0000-0000FE650000}"/>
    <cellStyle name="常规 9 2 2 2 2 2 3 4 3 2 2 2" xfId="47176" xr:uid="{00000000-0005-0000-0000-0000FF650000}"/>
    <cellStyle name="常规 9 2 2 2 2 2 3 4 3 2 3" xfId="34888" xr:uid="{00000000-0005-0000-0000-000000660000}"/>
    <cellStyle name="常规 9 2 2 2 2 2 3 4 3 3" xfId="16456" xr:uid="{00000000-0005-0000-0000-000001660000}"/>
    <cellStyle name="常规 9 2 2 2 2 2 3 4 3 3 2" xfId="41032" xr:uid="{00000000-0005-0000-0000-000002660000}"/>
    <cellStyle name="常规 9 2 2 2 2 2 3 4 3 4" xfId="28744" xr:uid="{00000000-0005-0000-0000-000003660000}"/>
    <cellStyle name="常规 9 2 2 2 2 2 3 4 4" xfId="7240" xr:uid="{00000000-0005-0000-0000-000004660000}"/>
    <cellStyle name="常规 9 2 2 2 2 2 3 4 4 2" xfId="19528" xr:uid="{00000000-0005-0000-0000-000005660000}"/>
    <cellStyle name="常规 9 2 2 2 2 2 3 4 4 2 2" xfId="44104" xr:uid="{00000000-0005-0000-0000-000006660000}"/>
    <cellStyle name="常规 9 2 2 2 2 2 3 4 4 3" xfId="31816" xr:uid="{00000000-0005-0000-0000-000007660000}"/>
    <cellStyle name="常规 9 2 2 2 2 2 3 4 5" xfId="13384" xr:uid="{00000000-0005-0000-0000-000008660000}"/>
    <cellStyle name="常规 9 2 2 2 2 2 3 4 5 2" xfId="37960" xr:uid="{00000000-0005-0000-0000-000009660000}"/>
    <cellStyle name="常规 9 2 2 2 2 2 3 4 6" xfId="25672" xr:uid="{00000000-0005-0000-0000-00000A660000}"/>
    <cellStyle name="常规 9 2 2 2 2 2 3 5" xfId="1860" xr:uid="{00000000-0005-0000-0000-00000B660000}"/>
    <cellStyle name="常规 9 2 2 2 2 2 3 5 2" xfId="4936" xr:uid="{00000000-0005-0000-0000-00000C660000}"/>
    <cellStyle name="常规 9 2 2 2 2 2 3 5 2 2" xfId="11080" xr:uid="{00000000-0005-0000-0000-00000D660000}"/>
    <cellStyle name="常规 9 2 2 2 2 2 3 5 2 2 2" xfId="23368" xr:uid="{00000000-0005-0000-0000-00000E660000}"/>
    <cellStyle name="常规 9 2 2 2 2 2 3 5 2 2 2 2" xfId="47944" xr:uid="{00000000-0005-0000-0000-00000F660000}"/>
    <cellStyle name="常规 9 2 2 2 2 2 3 5 2 2 3" xfId="35656" xr:uid="{00000000-0005-0000-0000-000010660000}"/>
    <cellStyle name="常规 9 2 2 2 2 2 3 5 2 3" xfId="17224" xr:uid="{00000000-0005-0000-0000-000011660000}"/>
    <cellStyle name="常规 9 2 2 2 2 2 3 5 2 3 2" xfId="41800" xr:uid="{00000000-0005-0000-0000-000012660000}"/>
    <cellStyle name="常规 9 2 2 2 2 2 3 5 2 4" xfId="29512" xr:uid="{00000000-0005-0000-0000-000013660000}"/>
    <cellStyle name="常规 9 2 2 2 2 2 3 5 3" xfId="8008" xr:uid="{00000000-0005-0000-0000-000014660000}"/>
    <cellStyle name="常规 9 2 2 2 2 2 3 5 3 2" xfId="20296" xr:uid="{00000000-0005-0000-0000-000015660000}"/>
    <cellStyle name="常规 9 2 2 2 2 2 3 5 3 2 2" xfId="44872" xr:uid="{00000000-0005-0000-0000-000016660000}"/>
    <cellStyle name="常规 9 2 2 2 2 2 3 5 3 3" xfId="32584" xr:uid="{00000000-0005-0000-0000-000017660000}"/>
    <cellStyle name="常规 9 2 2 2 2 2 3 5 4" xfId="14152" xr:uid="{00000000-0005-0000-0000-000018660000}"/>
    <cellStyle name="常规 9 2 2 2 2 2 3 5 4 2" xfId="38728" xr:uid="{00000000-0005-0000-0000-000019660000}"/>
    <cellStyle name="常规 9 2 2 2 2 2 3 5 5" xfId="26440" xr:uid="{00000000-0005-0000-0000-00001A660000}"/>
    <cellStyle name="常规 9 2 2 2 2 2 3 6" xfId="3400" xr:uid="{00000000-0005-0000-0000-00001B660000}"/>
    <cellStyle name="常规 9 2 2 2 2 2 3 6 2" xfId="9544" xr:uid="{00000000-0005-0000-0000-00001C660000}"/>
    <cellStyle name="常规 9 2 2 2 2 2 3 6 2 2" xfId="21832" xr:uid="{00000000-0005-0000-0000-00001D660000}"/>
    <cellStyle name="常规 9 2 2 2 2 2 3 6 2 2 2" xfId="46408" xr:uid="{00000000-0005-0000-0000-00001E660000}"/>
    <cellStyle name="常规 9 2 2 2 2 2 3 6 2 3" xfId="34120" xr:uid="{00000000-0005-0000-0000-00001F660000}"/>
    <cellStyle name="常规 9 2 2 2 2 2 3 6 3" xfId="15688" xr:uid="{00000000-0005-0000-0000-000020660000}"/>
    <cellStyle name="常规 9 2 2 2 2 2 3 6 3 2" xfId="40264" xr:uid="{00000000-0005-0000-0000-000021660000}"/>
    <cellStyle name="常规 9 2 2 2 2 2 3 6 4" xfId="27976" xr:uid="{00000000-0005-0000-0000-000022660000}"/>
    <cellStyle name="常规 9 2 2 2 2 2 3 7" xfId="6472" xr:uid="{00000000-0005-0000-0000-000023660000}"/>
    <cellStyle name="常规 9 2 2 2 2 2 3 7 2" xfId="18760" xr:uid="{00000000-0005-0000-0000-000024660000}"/>
    <cellStyle name="常规 9 2 2 2 2 2 3 7 2 2" xfId="43336" xr:uid="{00000000-0005-0000-0000-000025660000}"/>
    <cellStyle name="常规 9 2 2 2 2 2 3 7 3" xfId="31048" xr:uid="{00000000-0005-0000-0000-000026660000}"/>
    <cellStyle name="常规 9 2 2 2 2 2 3 8" xfId="12616" xr:uid="{00000000-0005-0000-0000-000027660000}"/>
    <cellStyle name="常规 9 2 2 2 2 2 3 8 2" xfId="37192" xr:uid="{00000000-0005-0000-0000-000028660000}"/>
    <cellStyle name="常规 9 2 2 2 2 2 3 9" xfId="24904" xr:uid="{00000000-0005-0000-0000-000029660000}"/>
    <cellStyle name="常规 9 2 2 2 2 2 4" xfId="388" xr:uid="{00000000-0005-0000-0000-00002A660000}"/>
    <cellStyle name="常规 9 2 2 2 2 2 4 2" xfId="772" xr:uid="{00000000-0005-0000-0000-00002B660000}"/>
    <cellStyle name="常规 9 2 2 2 2 2 4 2 2" xfId="1540" xr:uid="{00000000-0005-0000-0000-00002C660000}"/>
    <cellStyle name="常规 9 2 2 2 2 2 4 2 2 2" xfId="3076" xr:uid="{00000000-0005-0000-0000-00002D660000}"/>
    <cellStyle name="常规 9 2 2 2 2 2 4 2 2 2 2" xfId="6152" xr:uid="{00000000-0005-0000-0000-00002E660000}"/>
    <cellStyle name="常规 9 2 2 2 2 2 4 2 2 2 2 2" xfId="12296" xr:uid="{00000000-0005-0000-0000-00002F660000}"/>
    <cellStyle name="常规 9 2 2 2 2 2 4 2 2 2 2 2 2" xfId="24584" xr:uid="{00000000-0005-0000-0000-000030660000}"/>
    <cellStyle name="常规 9 2 2 2 2 2 4 2 2 2 2 2 2 2" xfId="49160" xr:uid="{00000000-0005-0000-0000-000031660000}"/>
    <cellStyle name="常规 9 2 2 2 2 2 4 2 2 2 2 2 3" xfId="36872" xr:uid="{00000000-0005-0000-0000-000032660000}"/>
    <cellStyle name="常规 9 2 2 2 2 2 4 2 2 2 2 3" xfId="18440" xr:uid="{00000000-0005-0000-0000-000033660000}"/>
    <cellStyle name="常规 9 2 2 2 2 2 4 2 2 2 2 3 2" xfId="43016" xr:uid="{00000000-0005-0000-0000-000034660000}"/>
    <cellStyle name="常规 9 2 2 2 2 2 4 2 2 2 2 4" xfId="30728" xr:uid="{00000000-0005-0000-0000-000035660000}"/>
    <cellStyle name="常规 9 2 2 2 2 2 4 2 2 2 3" xfId="9224" xr:uid="{00000000-0005-0000-0000-000036660000}"/>
    <cellStyle name="常规 9 2 2 2 2 2 4 2 2 2 3 2" xfId="21512" xr:uid="{00000000-0005-0000-0000-000037660000}"/>
    <cellStyle name="常规 9 2 2 2 2 2 4 2 2 2 3 2 2" xfId="46088" xr:uid="{00000000-0005-0000-0000-000038660000}"/>
    <cellStyle name="常规 9 2 2 2 2 2 4 2 2 2 3 3" xfId="33800" xr:uid="{00000000-0005-0000-0000-000039660000}"/>
    <cellStyle name="常规 9 2 2 2 2 2 4 2 2 2 4" xfId="15368" xr:uid="{00000000-0005-0000-0000-00003A660000}"/>
    <cellStyle name="常规 9 2 2 2 2 2 4 2 2 2 4 2" xfId="39944" xr:uid="{00000000-0005-0000-0000-00003B660000}"/>
    <cellStyle name="常规 9 2 2 2 2 2 4 2 2 2 5" xfId="27656" xr:uid="{00000000-0005-0000-0000-00003C660000}"/>
    <cellStyle name="常规 9 2 2 2 2 2 4 2 2 3" xfId="4616" xr:uid="{00000000-0005-0000-0000-00003D660000}"/>
    <cellStyle name="常规 9 2 2 2 2 2 4 2 2 3 2" xfId="10760" xr:uid="{00000000-0005-0000-0000-00003E660000}"/>
    <cellStyle name="常规 9 2 2 2 2 2 4 2 2 3 2 2" xfId="23048" xr:uid="{00000000-0005-0000-0000-00003F660000}"/>
    <cellStyle name="常规 9 2 2 2 2 2 4 2 2 3 2 2 2" xfId="47624" xr:uid="{00000000-0005-0000-0000-000040660000}"/>
    <cellStyle name="常规 9 2 2 2 2 2 4 2 2 3 2 3" xfId="35336" xr:uid="{00000000-0005-0000-0000-000041660000}"/>
    <cellStyle name="常规 9 2 2 2 2 2 4 2 2 3 3" xfId="16904" xr:uid="{00000000-0005-0000-0000-000042660000}"/>
    <cellStyle name="常规 9 2 2 2 2 2 4 2 2 3 3 2" xfId="41480" xr:uid="{00000000-0005-0000-0000-000043660000}"/>
    <cellStyle name="常规 9 2 2 2 2 2 4 2 2 3 4" xfId="29192" xr:uid="{00000000-0005-0000-0000-000044660000}"/>
    <cellStyle name="常规 9 2 2 2 2 2 4 2 2 4" xfId="7688" xr:uid="{00000000-0005-0000-0000-000045660000}"/>
    <cellStyle name="常规 9 2 2 2 2 2 4 2 2 4 2" xfId="19976" xr:uid="{00000000-0005-0000-0000-000046660000}"/>
    <cellStyle name="常规 9 2 2 2 2 2 4 2 2 4 2 2" xfId="44552" xr:uid="{00000000-0005-0000-0000-000047660000}"/>
    <cellStyle name="常规 9 2 2 2 2 2 4 2 2 4 3" xfId="32264" xr:uid="{00000000-0005-0000-0000-000048660000}"/>
    <cellStyle name="常规 9 2 2 2 2 2 4 2 2 5" xfId="13832" xr:uid="{00000000-0005-0000-0000-000049660000}"/>
    <cellStyle name="常规 9 2 2 2 2 2 4 2 2 5 2" xfId="38408" xr:uid="{00000000-0005-0000-0000-00004A660000}"/>
    <cellStyle name="常规 9 2 2 2 2 2 4 2 2 6" xfId="26120" xr:uid="{00000000-0005-0000-0000-00004B660000}"/>
    <cellStyle name="常规 9 2 2 2 2 2 4 2 3" xfId="2308" xr:uid="{00000000-0005-0000-0000-00004C660000}"/>
    <cellStyle name="常规 9 2 2 2 2 2 4 2 3 2" xfId="5384" xr:uid="{00000000-0005-0000-0000-00004D660000}"/>
    <cellStyle name="常规 9 2 2 2 2 2 4 2 3 2 2" xfId="11528" xr:uid="{00000000-0005-0000-0000-00004E660000}"/>
    <cellStyle name="常规 9 2 2 2 2 2 4 2 3 2 2 2" xfId="23816" xr:uid="{00000000-0005-0000-0000-00004F660000}"/>
    <cellStyle name="常规 9 2 2 2 2 2 4 2 3 2 2 2 2" xfId="48392" xr:uid="{00000000-0005-0000-0000-000050660000}"/>
    <cellStyle name="常规 9 2 2 2 2 2 4 2 3 2 2 3" xfId="36104" xr:uid="{00000000-0005-0000-0000-000051660000}"/>
    <cellStyle name="常规 9 2 2 2 2 2 4 2 3 2 3" xfId="17672" xr:uid="{00000000-0005-0000-0000-000052660000}"/>
    <cellStyle name="常规 9 2 2 2 2 2 4 2 3 2 3 2" xfId="42248" xr:uid="{00000000-0005-0000-0000-000053660000}"/>
    <cellStyle name="常规 9 2 2 2 2 2 4 2 3 2 4" xfId="29960" xr:uid="{00000000-0005-0000-0000-000054660000}"/>
    <cellStyle name="常规 9 2 2 2 2 2 4 2 3 3" xfId="8456" xr:uid="{00000000-0005-0000-0000-000055660000}"/>
    <cellStyle name="常规 9 2 2 2 2 2 4 2 3 3 2" xfId="20744" xr:uid="{00000000-0005-0000-0000-000056660000}"/>
    <cellStyle name="常规 9 2 2 2 2 2 4 2 3 3 2 2" xfId="45320" xr:uid="{00000000-0005-0000-0000-000057660000}"/>
    <cellStyle name="常规 9 2 2 2 2 2 4 2 3 3 3" xfId="33032" xr:uid="{00000000-0005-0000-0000-000058660000}"/>
    <cellStyle name="常规 9 2 2 2 2 2 4 2 3 4" xfId="14600" xr:uid="{00000000-0005-0000-0000-000059660000}"/>
    <cellStyle name="常规 9 2 2 2 2 2 4 2 3 4 2" xfId="39176" xr:uid="{00000000-0005-0000-0000-00005A660000}"/>
    <cellStyle name="常规 9 2 2 2 2 2 4 2 3 5" xfId="26888" xr:uid="{00000000-0005-0000-0000-00005B660000}"/>
    <cellStyle name="常规 9 2 2 2 2 2 4 2 4" xfId="3848" xr:uid="{00000000-0005-0000-0000-00005C660000}"/>
    <cellStyle name="常规 9 2 2 2 2 2 4 2 4 2" xfId="9992" xr:uid="{00000000-0005-0000-0000-00005D660000}"/>
    <cellStyle name="常规 9 2 2 2 2 2 4 2 4 2 2" xfId="22280" xr:uid="{00000000-0005-0000-0000-00005E660000}"/>
    <cellStyle name="常规 9 2 2 2 2 2 4 2 4 2 2 2" xfId="46856" xr:uid="{00000000-0005-0000-0000-00005F660000}"/>
    <cellStyle name="常规 9 2 2 2 2 2 4 2 4 2 3" xfId="34568" xr:uid="{00000000-0005-0000-0000-000060660000}"/>
    <cellStyle name="常规 9 2 2 2 2 2 4 2 4 3" xfId="16136" xr:uid="{00000000-0005-0000-0000-000061660000}"/>
    <cellStyle name="常规 9 2 2 2 2 2 4 2 4 3 2" xfId="40712" xr:uid="{00000000-0005-0000-0000-000062660000}"/>
    <cellStyle name="常规 9 2 2 2 2 2 4 2 4 4" xfId="28424" xr:uid="{00000000-0005-0000-0000-000063660000}"/>
    <cellStyle name="常规 9 2 2 2 2 2 4 2 5" xfId="6920" xr:uid="{00000000-0005-0000-0000-000064660000}"/>
    <cellStyle name="常规 9 2 2 2 2 2 4 2 5 2" xfId="19208" xr:uid="{00000000-0005-0000-0000-000065660000}"/>
    <cellStyle name="常规 9 2 2 2 2 2 4 2 5 2 2" xfId="43784" xr:uid="{00000000-0005-0000-0000-000066660000}"/>
    <cellStyle name="常规 9 2 2 2 2 2 4 2 5 3" xfId="31496" xr:uid="{00000000-0005-0000-0000-000067660000}"/>
    <cellStyle name="常规 9 2 2 2 2 2 4 2 6" xfId="13064" xr:uid="{00000000-0005-0000-0000-000068660000}"/>
    <cellStyle name="常规 9 2 2 2 2 2 4 2 6 2" xfId="37640" xr:uid="{00000000-0005-0000-0000-000069660000}"/>
    <cellStyle name="常规 9 2 2 2 2 2 4 2 7" xfId="25352" xr:uid="{00000000-0005-0000-0000-00006A660000}"/>
    <cellStyle name="常规 9 2 2 2 2 2 4 3" xfId="1156" xr:uid="{00000000-0005-0000-0000-00006B660000}"/>
    <cellStyle name="常规 9 2 2 2 2 2 4 3 2" xfId="2692" xr:uid="{00000000-0005-0000-0000-00006C660000}"/>
    <cellStyle name="常规 9 2 2 2 2 2 4 3 2 2" xfId="5768" xr:uid="{00000000-0005-0000-0000-00006D660000}"/>
    <cellStyle name="常规 9 2 2 2 2 2 4 3 2 2 2" xfId="11912" xr:uid="{00000000-0005-0000-0000-00006E660000}"/>
    <cellStyle name="常规 9 2 2 2 2 2 4 3 2 2 2 2" xfId="24200" xr:uid="{00000000-0005-0000-0000-00006F660000}"/>
    <cellStyle name="常规 9 2 2 2 2 2 4 3 2 2 2 2 2" xfId="48776" xr:uid="{00000000-0005-0000-0000-000070660000}"/>
    <cellStyle name="常规 9 2 2 2 2 2 4 3 2 2 2 3" xfId="36488" xr:uid="{00000000-0005-0000-0000-000071660000}"/>
    <cellStyle name="常规 9 2 2 2 2 2 4 3 2 2 3" xfId="18056" xr:uid="{00000000-0005-0000-0000-000072660000}"/>
    <cellStyle name="常规 9 2 2 2 2 2 4 3 2 2 3 2" xfId="42632" xr:uid="{00000000-0005-0000-0000-000073660000}"/>
    <cellStyle name="常规 9 2 2 2 2 2 4 3 2 2 4" xfId="30344" xr:uid="{00000000-0005-0000-0000-000074660000}"/>
    <cellStyle name="常规 9 2 2 2 2 2 4 3 2 3" xfId="8840" xr:uid="{00000000-0005-0000-0000-000075660000}"/>
    <cellStyle name="常规 9 2 2 2 2 2 4 3 2 3 2" xfId="21128" xr:uid="{00000000-0005-0000-0000-000076660000}"/>
    <cellStyle name="常规 9 2 2 2 2 2 4 3 2 3 2 2" xfId="45704" xr:uid="{00000000-0005-0000-0000-000077660000}"/>
    <cellStyle name="常规 9 2 2 2 2 2 4 3 2 3 3" xfId="33416" xr:uid="{00000000-0005-0000-0000-000078660000}"/>
    <cellStyle name="常规 9 2 2 2 2 2 4 3 2 4" xfId="14984" xr:uid="{00000000-0005-0000-0000-000079660000}"/>
    <cellStyle name="常规 9 2 2 2 2 2 4 3 2 4 2" xfId="39560" xr:uid="{00000000-0005-0000-0000-00007A660000}"/>
    <cellStyle name="常规 9 2 2 2 2 2 4 3 2 5" xfId="27272" xr:uid="{00000000-0005-0000-0000-00007B660000}"/>
    <cellStyle name="常规 9 2 2 2 2 2 4 3 3" xfId="4232" xr:uid="{00000000-0005-0000-0000-00007C660000}"/>
    <cellStyle name="常规 9 2 2 2 2 2 4 3 3 2" xfId="10376" xr:uid="{00000000-0005-0000-0000-00007D660000}"/>
    <cellStyle name="常规 9 2 2 2 2 2 4 3 3 2 2" xfId="22664" xr:uid="{00000000-0005-0000-0000-00007E660000}"/>
    <cellStyle name="常规 9 2 2 2 2 2 4 3 3 2 2 2" xfId="47240" xr:uid="{00000000-0005-0000-0000-00007F660000}"/>
    <cellStyle name="常规 9 2 2 2 2 2 4 3 3 2 3" xfId="34952" xr:uid="{00000000-0005-0000-0000-000080660000}"/>
    <cellStyle name="常规 9 2 2 2 2 2 4 3 3 3" xfId="16520" xr:uid="{00000000-0005-0000-0000-000081660000}"/>
    <cellStyle name="常规 9 2 2 2 2 2 4 3 3 3 2" xfId="41096" xr:uid="{00000000-0005-0000-0000-000082660000}"/>
    <cellStyle name="常规 9 2 2 2 2 2 4 3 3 4" xfId="28808" xr:uid="{00000000-0005-0000-0000-000083660000}"/>
    <cellStyle name="常规 9 2 2 2 2 2 4 3 4" xfId="7304" xr:uid="{00000000-0005-0000-0000-000084660000}"/>
    <cellStyle name="常规 9 2 2 2 2 2 4 3 4 2" xfId="19592" xr:uid="{00000000-0005-0000-0000-000085660000}"/>
    <cellStyle name="常规 9 2 2 2 2 2 4 3 4 2 2" xfId="44168" xr:uid="{00000000-0005-0000-0000-000086660000}"/>
    <cellStyle name="常规 9 2 2 2 2 2 4 3 4 3" xfId="31880" xr:uid="{00000000-0005-0000-0000-000087660000}"/>
    <cellStyle name="常规 9 2 2 2 2 2 4 3 5" xfId="13448" xr:uid="{00000000-0005-0000-0000-000088660000}"/>
    <cellStyle name="常规 9 2 2 2 2 2 4 3 5 2" xfId="38024" xr:uid="{00000000-0005-0000-0000-000089660000}"/>
    <cellStyle name="常规 9 2 2 2 2 2 4 3 6" xfId="25736" xr:uid="{00000000-0005-0000-0000-00008A660000}"/>
    <cellStyle name="常规 9 2 2 2 2 2 4 4" xfId="1924" xr:uid="{00000000-0005-0000-0000-00008B660000}"/>
    <cellStyle name="常规 9 2 2 2 2 2 4 4 2" xfId="5000" xr:uid="{00000000-0005-0000-0000-00008C660000}"/>
    <cellStyle name="常规 9 2 2 2 2 2 4 4 2 2" xfId="11144" xr:uid="{00000000-0005-0000-0000-00008D660000}"/>
    <cellStyle name="常规 9 2 2 2 2 2 4 4 2 2 2" xfId="23432" xr:uid="{00000000-0005-0000-0000-00008E660000}"/>
    <cellStyle name="常规 9 2 2 2 2 2 4 4 2 2 2 2" xfId="48008" xr:uid="{00000000-0005-0000-0000-00008F660000}"/>
    <cellStyle name="常规 9 2 2 2 2 2 4 4 2 2 3" xfId="35720" xr:uid="{00000000-0005-0000-0000-000090660000}"/>
    <cellStyle name="常规 9 2 2 2 2 2 4 4 2 3" xfId="17288" xr:uid="{00000000-0005-0000-0000-000091660000}"/>
    <cellStyle name="常规 9 2 2 2 2 2 4 4 2 3 2" xfId="41864" xr:uid="{00000000-0005-0000-0000-000092660000}"/>
    <cellStyle name="常规 9 2 2 2 2 2 4 4 2 4" xfId="29576" xr:uid="{00000000-0005-0000-0000-000093660000}"/>
    <cellStyle name="常规 9 2 2 2 2 2 4 4 3" xfId="8072" xr:uid="{00000000-0005-0000-0000-000094660000}"/>
    <cellStyle name="常规 9 2 2 2 2 2 4 4 3 2" xfId="20360" xr:uid="{00000000-0005-0000-0000-000095660000}"/>
    <cellStyle name="常规 9 2 2 2 2 2 4 4 3 2 2" xfId="44936" xr:uid="{00000000-0005-0000-0000-000096660000}"/>
    <cellStyle name="常规 9 2 2 2 2 2 4 4 3 3" xfId="32648" xr:uid="{00000000-0005-0000-0000-000097660000}"/>
    <cellStyle name="常规 9 2 2 2 2 2 4 4 4" xfId="14216" xr:uid="{00000000-0005-0000-0000-000098660000}"/>
    <cellStyle name="常规 9 2 2 2 2 2 4 4 4 2" xfId="38792" xr:uid="{00000000-0005-0000-0000-000099660000}"/>
    <cellStyle name="常规 9 2 2 2 2 2 4 4 5" xfId="26504" xr:uid="{00000000-0005-0000-0000-00009A660000}"/>
    <cellStyle name="常规 9 2 2 2 2 2 4 5" xfId="3464" xr:uid="{00000000-0005-0000-0000-00009B660000}"/>
    <cellStyle name="常规 9 2 2 2 2 2 4 5 2" xfId="9608" xr:uid="{00000000-0005-0000-0000-00009C660000}"/>
    <cellStyle name="常规 9 2 2 2 2 2 4 5 2 2" xfId="21896" xr:uid="{00000000-0005-0000-0000-00009D660000}"/>
    <cellStyle name="常规 9 2 2 2 2 2 4 5 2 2 2" xfId="46472" xr:uid="{00000000-0005-0000-0000-00009E660000}"/>
    <cellStyle name="常规 9 2 2 2 2 2 4 5 2 3" xfId="34184" xr:uid="{00000000-0005-0000-0000-00009F660000}"/>
    <cellStyle name="常规 9 2 2 2 2 2 4 5 3" xfId="15752" xr:uid="{00000000-0005-0000-0000-0000A0660000}"/>
    <cellStyle name="常规 9 2 2 2 2 2 4 5 3 2" xfId="40328" xr:uid="{00000000-0005-0000-0000-0000A1660000}"/>
    <cellStyle name="常规 9 2 2 2 2 2 4 5 4" xfId="28040" xr:uid="{00000000-0005-0000-0000-0000A2660000}"/>
    <cellStyle name="常规 9 2 2 2 2 2 4 6" xfId="6536" xr:uid="{00000000-0005-0000-0000-0000A3660000}"/>
    <cellStyle name="常规 9 2 2 2 2 2 4 6 2" xfId="18824" xr:uid="{00000000-0005-0000-0000-0000A4660000}"/>
    <cellStyle name="常规 9 2 2 2 2 2 4 6 2 2" xfId="43400" xr:uid="{00000000-0005-0000-0000-0000A5660000}"/>
    <cellStyle name="常规 9 2 2 2 2 2 4 6 3" xfId="31112" xr:uid="{00000000-0005-0000-0000-0000A6660000}"/>
    <cellStyle name="常规 9 2 2 2 2 2 4 7" xfId="12680" xr:uid="{00000000-0005-0000-0000-0000A7660000}"/>
    <cellStyle name="常规 9 2 2 2 2 2 4 7 2" xfId="37256" xr:uid="{00000000-0005-0000-0000-0000A8660000}"/>
    <cellStyle name="常规 9 2 2 2 2 2 4 8" xfId="24968" xr:uid="{00000000-0005-0000-0000-0000A9660000}"/>
    <cellStyle name="常规 9 2 2 2 2 2 5" xfId="580" xr:uid="{00000000-0005-0000-0000-0000AA660000}"/>
    <cellStyle name="常规 9 2 2 2 2 2 5 2" xfId="1348" xr:uid="{00000000-0005-0000-0000-0000AB660000}"/>
    <cellStyle name="常规 9 2 2 2 2 2 5 2 2" xfId="2884" xr:uid="{00000000-0005-0000-0000-0000AC660000}"/>
    <cellStyle name="常规 9 2 2 2 2 2 5 2 2 2" xfId="5960" xr:uid="{00000000-0005-0000-0000-0000AD660000}"/>
    <cellStyle name="常规 9 2 2 2 2 2 5 2 2 2 2" xfId="12104" xr:uid="{00000000-0005-0000-0000-0000AE660000}"/>
    <cellStyle name="常规 9 2 2 2 2 2 5 2 2 2 2 2" xfId="24392" xr:uid="{00000000-0005-0000-0000-0000AF660000}"/>
    <cellStyle name="常规 9 2 2 2 2 2 5 2 2 2 2 2 2" xfId="48968" xr:uid="{00000000-0005-0000-0000-0000B0660000}"/>
    <cellStyle name="常规 9 2 2 2 2 2 5 2 2 2 2 3" xfId="36680" xr:uid="{00000000-0005-0000-0000-0000B1660000}"/>
    <cellStyle name="常规 9 2 2 2 2 2 5 2 2 2 3" xfId="18248" xr:uid="{00000000-0005-0000-0000-0000B2660000}"/>
    <cellStyle name="常规 9 2 2 2 2 2 5 2 2 2 3 2" xfId="42824" xr:uid="{00000000-0005-0000-0000-0000B3660000}"/>
    <cellStyle name="常规 9 2 2 2 2 2 5 2 2 2 4" xfId="30536" xr:uid="{00000000-0005-0000-0000-0000B4660000}"/>
    <cellStyle name="常规 9 2 2 2 2 2 5 2 2 3" xfId="9032" xr:uid="{00000000-0005-0000-0000-0000B5660000}"/>
    <cellStyle name="常规 9 2 2 2 2 2 5 2 2 3 2" xfId="21320" xr:uid="{00000000-0005-0000-0000-0000B6660000}"/>
    <cellStyle name="常规 9 2 2 2 2 2 5 2 2 3 2 2" xfId="45896" xr:uid="{00000000-0005-0000-0000-0000B7660000}"/>
    <cellStyle name="常规 9 2 2 2 2 2 5 2 2 3 3" xfId="33608" xr:uid="{00000000-0005-0000-0000-0000B8660000}"/>
    <cellStyle name="常规 9 2 2 2 2 2 5 2 2 4" xfId="15176" xr:uid="{00000000-0005-0000-0000-0000B9660000}"/>
    <cellStyle name="常规 9 2 2 2 2 2 5 2 2 4 2" xfId="39752" xr:uid="{00000000-0005-0000-0000-0000BA660000}"/>
    <cellStyle name="常规 9 2 2 2 2 2 5 2 2 5" xfId="27464" xr:uid="{00000000-0005-0000-0000-0000BB660000}"/>
    <cellStyle name="常规 9 2 2 2 2 2 5 2 3" xfId="4424" xr:uid="{00000000-0005-0000-0000-0000BC660000}"/>
    <cellStyle name="常规 9 2 2 2 2 2 5 2 3 2" xfId="10568" xr:uid="{00000000-0005-0000-0000-0000BD660000}"/>
    <cellStyle name="常规 9 2 2 2 2 2 5 2 3 2 2" xfId="22856" xr:uid="{00000000-0005-0000-0000-0000BE660000}"/>
    <cellStyle name="常规 9 2 2 2 2 2 5 2 3 2 2 2" xfId="47432" xr:uid="{00000000-0005-0000-0000-0000BF660000}"/>
    <cellStyle name="常规 9 2 2 2 2 2 5 2 3 2 3" xfId="35144" xr:uid="{00000000-0005-0000-0000-0000C0660000}"/>
    <cellStyle name="常规 9 2 2 2 2 2 5 2 3 3" xfId="16712" xr:uid="{00000000-0005-0000-0000-0000C1660000}"/>
    <cellStyle name="常规 9 2 2 2 2 2 5 2 3 3 2" xfId="41288" xr:uid="{00000000-0005-0000-0000-0000C2660000}"/>
    <cellStyle name="常规 9 2 2 2 2 2 5 2 3 4" xfId="29000" xr:uid="{00000000-0005-0000-0000-0000C3660000}"/>
    <cellStyle name="常规 9 2 2 2 2 2 5 2 4" xfId="7496" xr:uid="{00000000-0005-0000-0000-0000C4660000}"/>
    <cellStyle name="常规 9 2 2 2 2 2 5 2 4 2" xfId="19784" xr:uid="{00000000-0005-0000-0000-0000C5660000}"/>
    <cellStyle name="常规 9 2 2 2 2 2 5 2 4 2 2" xfId="44360" xr:uid="{00000000-0005-0000-0000-0000C6660000}"/>
    <cellStyle name="常规 9 2 2 2 2 2 5 2 4 3" xfId="32072" xr:uid="{00000000-0005-0000-0000-0000C7660000}"/>
    <cellStyle name="常规 9 2 2 2 2 2 5 2 5" xfId="13640" xr:uid="{00000000-0005-0000-0000-0000C8660000}"/>
    <cellStyle name="常规 9 2 2 2 2 2 5 2 5 2" xfId="38216" xr:uid="{00000000-0005-0000-0000-0000C9660000}"/>
    <cellStyle name="常规 9 2 2 2 2 2 5 2 6" xfId="25928" xr:uid="{00000000-0005-0000-0000-0000CA660000}"/>
    <cellStyle name="常规 9 2 2 2 2 2 5 3" xfId="2116" xr:uid="{00000000-0005-0000-0000-0000CB660000}"/>
    <cellStyle name="常规 9 2 2 2 2 2 5 3 2" xfId="5192" xr:uid="{00000000-0005-0000-0000-0000CC660000}"/>
    <cellStyle name="常规 9 2 2 2 2 2 5 3 2 2" xfId="11336" xr:uid="{00000000-0005-0000-0000-0000CD660000}"/>
    <cellStyle name="常规 9 2 2 2 2 2 5 3 2 2 2" xfId="23624" xr:uid="{00000000-0005-0000-0000-0000CE660000}"/>
    <cellStyle name="常规 9 2 2 2 2 2 5 3 2 2 2 2" xfId="48200" xr:uid="{00000000-0005-0000-0000-0000CF660000}"/>
    <cellStyle name="常规 9 2 2 2 2 2 5 3 2 2 3" xfId="35912" xr:uid="{00000000-0005-0000-0000-0000D0660000}"/>
    <cellStyle name="常规 9 2 2 2 2 2 5 3 2 3" xfId="17480" xr:uid="{00000000-0005-0000-0000-0000D1660000}"/>
    <cellStyle name="常规 9 2 2 2 2 2 5 3 2 3 2" xfId="42056" xr:uid="{00000000-0005-0000-0000-0000D2660000}"/>
    <cellStyle name="常规 9 2 2 2 2 2 5 3 2 4" xfId="29768" xr:uid="{00000000-0005-0000-0000-0000D3660000}"/>
    <cellStyle name="常规 9 2 2 2 2 2 5 3 3" xfId="8264" xr:uid="{00000000-0005-0000-0000-0000D4660000}"/>
    <cellStyle name="常规 9 2 2 2 2 2 5 3 3 2" xfId="20552" xr:uid="{00000000-0005-0000-0000-0000D5660000}"/>
    <cellStyle name="常规 9 2 2 2 2 2 5 3 3 2 2" xfId="45128" xr:uid="{00000000-0005-0000-0000-0000D6660000}"/>
    <cellStyle name="常规 9 2 2 2 2 2 5 3 3 3" xfId="32840" xr:uid="{00000000-0005-0000-0000-0000D7660000}"/>
    <cellStyle name="常规 9 2 2 2 2 2 5 3 4" xfId="14408" xr:uid="{00000000-0005-0000-0000-0000D8660000}"/>
    <cellStyle name="常规 9 2 2 2 2 2 5 3 4 2" xfId="38984" xr:uid="{00000000-0005-0000-0000-0000D9660000}"/>
    <cellStyle name="常规 9 2 2 2 2 2 5 3 5" xfId="26696" xr:uid="{00000000-0005-0000-0000-0000DA660000}"/>
    <cellStyle name="常规 9 2 2 2 2 2 5 4" xfId="3656" xr:uid="{00000000-0005-0000-0000-0000DB660000}"/>
    <cellStyle name="常规 9 2 2 2 2 2 5 4 2" xfId="9800" xr:uid="{00000000-0005-0000-0000-0000DC660000}"/>
    <cellStyle name="常规 9 2 2 2 2 2 5 4 2 2" xfId="22088" xr:uid="{00000000-0005-0000-0000-0000DD660000}"/>
    <cellStyle name="常规 9 2 2 2 2 2 5 4 2 2 2" xfId="46664" xr:uid="{00000000-0005-0000-0000-0000DE660000}"/>
    <cellStyle name="常规 9 2 2 2 2 2 5 4 2 3" xfId="34376" xr:uid="{00000000-0005-0000-0000-0000DF660000}"/>
    <cellStyle name="常规 9 2 2 2 2 2 5 4 3" xfId="15944" xr:uid="{00000000-0005-0000-0000-0000E0660000}"/>
    <cellStyle name="常规 9 2 2 2 2 2 5 4 3 2" xfId="40520" xr:uid="{00000000-0005-0000-0000-0000E1660000}"/>
    <cellStyle name="常规 9 2 2 2 2 2 5 4 4" xfId="28232" xr:uid="{00000000-0005-0000-0000-0000E2660000}"/>
    <cellStyle name="常规 9 2 2 2 2 2 5 5" xfId="6728" xr:uid="{00000000-0005-0000-0000-0000E3660000}"/>
    <cellStyle name="常规 9 2 2 2 2 2 5 5 2" xfId="19016" xr:uid="{00000000-0005-0000-0000-0000E4660000}"/>
    <cellStyle name="常规 9 2 2 2 2 2 5 5 2 2" xfId="43592" xr:uid="{00000000-0005-0000-0000-0000E5660000}"/>
    <cellStyle name="常规 9 2 2 2 2 2 5 5 3" xfId="31304" xr:uid="{00000000-0005-0000-0000-0000E6660000}"/>
    <cellStyle name="常规 9 2 2 2 2 2 5 6" xfId="12872" xr:uid="{00000000-0005-0000-0000-0000E7660000}"/>
    <cellStyle name="常规 9 2 2 2 2 2 5 6 2" xfId="37448" xr:uid="{00000000-0005-0000-0000-0000E8660000}"/>
    <cellStyle name="常规 9 2 2 2 2 2 5 7" xfId="25160" xr:uid="{00000000-0005-0000-0000-0000E9660000}"/>
    <cellStyle name="常规 9 2 2 2 2 2 6" xfId="964" xr:uid="{00000000-0005-0000-0000-0000EA660000}"/>
    <cellStyle name="常规 9 2 2 2 2 2 6 2" xfId="2500" xr:uid="{00000000-0005-0000-0000-0000EB660000}"/>
    <cellStyle name="常规 9 2 2 2 2 2 6 2 2" xfId="5576" xr:uid="{00000000-0005-0000-0000-0000EC660000}"/>
    <cellStyle name="常规 9 2 2 2 2 2 6 2 2 2" xfId="11720" xr:uid="{00000000-0005-0000-0000-0000ED660000}"/>
    <cellStyle name="常规 9 2 2 2 2 2 6 2 2 2 2" xfId="24008" xr:uid="{00000000-0005-0000-0000-0000EE660000}"/>
    <cellStyle name="常规 9 2 2 2 2 2 6 2 2 2 2 2" xfId="48584" xr:uid="{00000000-0005-0000-0000-0000EF660000}"/>
    <cellStyle name="常规 9 2 2 2 2 2 6 2 2 2 3" xfId="36296" xr:uid="{00000000-0005-0000-0000-0000F0660000}"/>
    <cellStyle name="常规 9 2 2 2 2 2 6 2 2 3" xfId="17864" xr:uid="{00000000-0005-0000-0000-0000F1660000}"/>
    <cellStyle name="常规 9 2 2 2 2 2 6 2 2 3 2" xfId="42440" xr:uid="{00000000-0005-0000-0000-0000F2660000}"/>
    <cellStyle name="常规 9 2 2 2 2 2 6 2 2 4" xfId="30152" xr:uid="{00000000-0005-0000-0000-0000F3660000}"/>
    <cellStyle name="常规 9 2 2 2 2 2 6 2 3" xfId="8648" xr:uid="{00000000-0005-0000-0000-0000F4660000}"/>
    <cellStyle name="常规 9 2 2 2 2 2 6 2 3 2" xfId="20936" xr:uid="{00000000-0005-0000-0000-0000F5660000}"/>
    <cellStyle name="常规 9 2 2 2 2 2 6 2 3 2 2" xfId="45512" xr:uid="{00000000-0005-0000-0000-0000F6660000}"/>
    <cellStyle name="常规 9 2 2 2 2 2 6 2 3 3" xfId="33224" xr:uid="{00000000-0005-0000-0000-0000F7660000}"/>
    <cellStyle name="常规 9 2 2 2 2 2 6 2 4" xfId="14792" xr:uid="{00000000-0005-0000-0000-0000F8660000}"/>
    <cellStyle name="常规 9 2 2 2 2 2 6 2 4 2" xfId="39368" xr:uid="{00000000-0005-0000-0000-0000F9660000}"/>
    <cellStyle name="常规 9 2 2 2 2 2 6 2 5" xfId="27080" xr:uid="{00000000-0005-0000-0000-0000FA660000}"/>
    <cellStyle name="常规 9 2 2 2 2 2 6 3" xfId="4040" xr:uid="{00000000-0005-0000-0000-0000FB660000}"/>
    <cellStyle name="常规 9 2 2 2 2 2 6 3 2" xfId="10184" xr:uid="{00000000-0005-0000-0000-0000FC660000}"/>
    <cellStyle name="常规 9 2 2 2 2 2 6 3 2 2" xfId="22472" xr:uid="{00000000-0005-0000-0000-0000FD660000}"/>
    <cellStyle name="常规 9 2 2 2 2 2 6 3 2 2 2" xfId="47048" xr:uid="{00000000-0005-0000-0000-0000FE660000}"/>
    <cellStyle name="常规 9 2 2 2 2 2 6 3 2 3" xfId="34760" xr:uid="{00000000-0005-0000-0000-0000FF660000}"/>
    <cellStyle name="常规 9 2 2 2 2 2 6 3 3" xfId="16328" xr:uid="{00000000-0005-0000-0000-000000670000}"/>
    <cellStyle name="常规 9 2 2 2 2 2 6 3 3 2" xfId="40904" xr:uid="{00000000-0005-0000-0000-000001670000}"/>
    <cellStyle name="常规 9 2 2 2 2 2 6 3 4" xfId="28616" xr:uid="{00000000-0005-0000-0000-000002670000}"/>
    <cellStyle name="常规 9 2 2 2 2 2 6 4" xfId="7112" xr:uid="{00000000-0005-0000-0000-000003670000}"/>
    <cellStyle name="常规 9 2 2 2 2 2 6 4 2" xfId="19400" xr:uid="{00000000-0005-0000-0000-000004670000}"/>
    <cellStyle name="常规 9 2 2 2 2 2 6 4 2 2" xfId="43976" xr:uid="{00000000-0005-0000-0000-000005670000}"/>
    <cellStyle name="常规 9 2 2 2 2 2 6 4 3" xfId="31688" xr:uid="{00000000-0005-0000-0000-000006670000}"/>
    <cellStyle name="常规 9 2 2 2 2 2 6 5" xfId="13256" xr:uid="{00000000-0005-0000-0000-000007670000}"/>
    <cellStyle name="常规 9 2 2 2 2 2 6 5 2" xfId="37832" xr:uid="{00000000-0005-0000-0000-000008670000}"/>
    <cellStyle name="常规 9 2 2 2 2 2 6 6" xfId="25544" xr:uid="{00000000-0005-0000-0000-000009670000}"/>
    <cellStyle name="常规 9 2 2 2 2 2 7" xfId="1732" xr:uid="{00000000-0005-0000-0000-00000A670000}"/>
    <cellStyle name="常规 9 2 2 2 2 2 7 2" xfId="4808" xr:uid="{00000000-0005-0000-0000-00000B670000}"/>
    <cellStyle name="常规 9 2 2 2 2 2 7 2 2" xfId="10952" xr:uid="{00000000-0005-0000-0000-00000C670000}"/>
    <cellStyle name="常规 9 2 2 2 2 2 7 2 2 2" xfId="23240" xr:uid="{00000000-0005-0000-0000-00000D670000}"/>
    <cellStyle name="常规 9 2 2 2 2 2 7 2 2 2 2" xfId="47816" xr:uid="{00000000-0005-0000-0000-00000E670000}"/>
    <cellStyle name="常规 9 2 2 2 2 2 7 2 2 3" xfId="35528" xr:uid="{00000000-0005-0000-0000-00000F670000}"/>
    <cellStyle name="常规 9 2 2 2 2 2 7 2 3" xfId="17096" xr:uid="{00000000-0005-0000-0000-000010670000}"/>
    <cellStyle name="常规 9 2 2 2 2 2 7 2 3 2" xfId="41672" xr:uid="{00000000-0005-0000-0000-000011670000}"/>
    <cellStyle name="常规 9 2 2 2 2 2 7 2 4" xfId="29384" xr:uid="{00000000-0005-0000-0000-000012670000}"/>
    <cellStyle name="常规 9 2 2 2 2 2 7 3" xfId="7880" xr:uid="{00000000-0005-0000-0000-000013670000}"/>
    <cellStyle name="常规 9 2 2 2 2 2 7 3 2" xfId="20168" xr:uid="{00000000-0005-0000-0000-000014670000}"/>
    <cellStyle name="常规 9 2 2 2 2 2 7 3 2 2" xfId="44744" xr:uid="{00000000-0005-0000-0000-000015670000}"/>
    <cellStyle name="常规 9 2 2 2 2 2 7 3 3" xfId="32456" xr:uid="{00000000-0005-0000-0000-000016670000}"/>
    <cellStyle name="常规 9 2 2 2 2 2 7 4" xfId="14024" xr:uid="{00000000-0005-0000-0000-000017670000}"/>
    <cellStyle name="常规 9 2 2 2 2 2 7 4 2" xfId="38600" xr:uid="{00000000-0005-0000-0000-000018670000}"/>
    <cellStyle name="常规 9 2 2 2 2 2 7 5" xfId="26312" xr:uid="{00000000-0005-0000-0000-000019670000}"/>
    <cellStyle name="常规 9 2 2 2 2 2 8" xfId="3272" xr:uid="{00000000-0005-0000-0000-00001A670000}"/>
    <cellStyle name="常规 9 2 2 2 2 2 8 2" xfId="9416" xr:uid="{00000000-0005-0000-0000-00001B670000}"/>
    <cellStyle name="常规 9 2 2 2 2 2 8 2 2" xfId="21704" xr:uid="{00000000-0005-0000-0000-00001C670000}"/>
    <cellStyle name="常规 9 2 2 2 2 2 8 2 2 2" xfId="46280" xr:uid="{00000000-0005-0000-0000-00001D670000}"/>
    <cellStyle name="常规 9 2 2 2 2 2 8 2 3" xfId="33992" xr:uid="{00000000-0005-0000-0000-00001E670000}"/>
    <cellStyle name="常规 9 2 2 2 2 2 8 3" xfId="15560" xr:uid="{00000000-0005-0000-0000-00001F670000}"/>
    <cellStyle name="常规 9 2 2 2 2 2 8 3 2" xfId="40136" xr:uid="{00000000-0005-0000-0000-000020670000}"/>
    <cellStyle name="常规 9 2 2 2 2 2 8 4" xfId="27848" xr:uid="{00000000-0005-0000-0000-000021670000}"/>
    <cellStyle name="常规 9 2 2 2 2 2 9" xfId="6344" xr:uid="{00000000-0005-0000-0000-000022670000}"/>
    <cellStyle name="常规 9 2 2 2 2 2 9 2" xfId="18632" xr:uid="{00000000-0005-0000-0000-000023670000}"/>
    <cellStyle name="常规 9 2 2 2 2 2 9 2 2" xfId="43208" xr:uid="{00000000-0005-0000-0000-000024670000}"/>
    <cellStyle name="常规 9 2 2 2 2 2 9 3" xfId="30920" xr:uid="{00000000-0005-0000-0000-000025670000}"/>
    <cellStyle name="常规 9 2 2 2 2 3" xfId="228" xr:uid="{00000000-0005-0000-0000-000026670000}"/>
    <cellStyle name="常规 9 2 2 2 2 3 2" xfId="420" xr:uid="{00000000-0005-0000-0000-000027670000}"/>
    <cellStyle name="常规 9 2 2 2 2 3 2 2" xfId="804" xr:uid="{00000000-0005-0000-0000-000028670000}"/>
    <cellStyle name="常规 9 2 2 2 2 3 2 2 2" xfId="1572" xr:uid="{00000000-0005-0000-0000-000029670000}"/>
    <cellStyle name="常规 9 2 2 2 2 3 2 2 2 2" xfId="3108" xr:uid="{00000000-0005-0000-0000-00002A670000}"/>
    <cellStyle name="常规 9 2 2 2 2 3 2 2 2 2 2" xfId="6184" xr:uid="{00000000-0005-0000-0000-00002B670000}"/>
    <cellStyle name="常规 9 2 2 2 2 3 2 2 2 2 2 2" xfId="12328" xr:uid="{00000000-0005-0000-0000-00002C670000}"/>
    <cellStyle name="常规 9 2 2 2 2 3 2 2 2 2 2 2 2" xfId="24616" xr:uid="{00000000-0005-0000-0000-00002D670000}"/>
    <cellStyle name="常规 9 2 2 2 2 3 2 2 2 2 2 2 2 2" xfId="49192" xr:uid="{00000000-0005-0000-0000-00002E670000}"/>
    <cellStyle name="常规 9 2 2 2 2 3 2 2 2 2 2 2 3" xfId="36904" xr:uid="{00000000-0005-0000-0000-00002F670000}"/>
    <cellStyle name="常规 9 2 2 2 2 3 2 2 2 2 2 3" xfId="18472" xr:uid="{00000000-0005-0000-0000-000030670000}"/>
    <cellStyle name="常规 9 2 2 2 2 3 2 2 2 2 2 3 2" xfId="43048" xr:uid="{00000000-0005-0000-0000-000031670000}"/>
    <cellStyle name="常规 9 2 2 2 2 3 2 2 2 2 2 4" xfId="30760" xr:uid="{00000000-0005-0000-0000-000032670000}"/>
    <cellStyle name="常规 9 2 2 2 2 3 2 2 2 2 3" xfId="9256" xr:uid="{00000000-0005-0000-0000-000033670000}"/>
    <cellStyle name="常规 9 2 2 2 2 3 2 2 2 2 3 2" xfId="21544" xr:uid="{00000000-0005-0000-0000-000034670000}"/>
    <cellStyle name="常规 9 2 2 2 2 3 2 2 2 2 3 2 2" xfId="46120" xr:uid="{00000000-0005-0000-0000-000035670000}"/>
    <cellStyle name="常规 9 2 2 2 2 3 2 2 2 2 3 3" xfId="33832" xr:uid="{00000000-0005-0000-0000-000036670000}"/>
    <cellStyle name="常规 9 2 2 2 2 3 2 2 2 2 4" xfId="15400" xr:uid="{00000000-0005-0000-0000-000037670000}"/>
    <cellStyle name="常规 9 2 2 2 2 3 2 2 2 2 4 2" xfId="39976" xr:uid="{00000000-0005-0000-0000-000038670000}"/>
    <cellStyle name="常规 9 2 2 2 2 3 2 2 2 2 5" xfId="27688" xr:uid="{00000000-0005-0000-0000-000039670000}"/>
    <cellStyle name="常规 9 2 2 2 2 3 2 2 2 3" xfId="4648" xr:uid="{00000000-0005-0000-0000-00003A670000}"/>
    <cellStyle name="常规 9 2 2 2 2 3 2 2 2 3 2" xfId="10792" xr:uid="{00000000-0005-0000-0000-00003B670000}"/>
    <cellStyle name="常规 9 2 2 2 2 3 2 2 2 3 2 2" xfId="23080" xr:uid="{00000000-0005-0000-0000-00003C670000}"/>
    <cellStyle name="常规 9 2 2 2 2 3 2 2 2 3 2 2 2" xfId="47656" xr:uid="{00000000-0005-0000-0000-00003D670000}"/>
    <cellStyle name="常规 9 2 2 2 2 3 2 2 2 3 2 3" xfId="35368" xr:uid="{00000000-0005-0000-0000-00003E670000}"/>
    <cellStyle name="常规 9 2 2 2 2 3 2 2 2 3 3" xfId="16936" xr:uid="{00000000-0005-0000-0000-00003F670000}"/>
    <cellStyle name="常规 9 2 2 2 2 3 2 2 2 3 3 2" xfId="41512" xr:uid="{00000000-0005-0000-0000-000040670000}"/>
    <cellStyle name="常规 9 2 2 2 2 3 2 2 2 3 4" xfId="29224" xr:uid="{00000000-0005-0000-0000-000041670000}"/>
    <cellStyle name="常规 9 2 2 2 2 3 2 2 2 4" xfId="7720" xr:uid="{00000000-0005-0000-0000-000042670000}"/>
    <cellStyle name="常规 9 2 2 2 2 3 2 2 2 4 2" xfId="20008" xr:uid="{00000000-0005-0000-0000-000043670000}"/>
    <cellStyle name="常规 9 2 2 2 2 3 2 2 2 4 2 2" xfId="44584" xr:uid="{00000000-0005-0000-0000-000044670000}"/>
    <cellStyle name="常规 9 2 2 2 2 3 2 2 2 4 3" xfId="32296" xr:uid="{00000000-0005-0000-0000-000045670000}"/>
    <cellStyle name="常规 9 2 2 2 2 3 2 2 2 5" xfId="13864" xr:uid="{00000000-0005-0000-0000-000046670000}"/>
    <cellStyle name="常规 9 2 2 2 2 3 2 2 2 5 2" xfId="38440" xr:uid="{00000000-0005-0000-0000-000047670000}"/>
    <cellStyle name="常规 9 2 2 2 2 3 2 2 2 6" xfId="26152" xr:uid="{00000000-0005-0000-0000-000048670000}"/>
    <cellStyle name="常规 9 2 2 2 2 3 2 2 3" xfId="2340" xr:uid="{00000000-0005-0000-0000-000049670000}"/>
    <cellStyle name="常规 9 2 2 2 2 3 2 2 3 2" xfId="5416" xr:uid="{00000000-0005-0000-0000-00004A670000}"/>
    <cellStyle name="常规 9 2 2 2 2 3 2 2 3 2 2" xfId="11560" xr:uid="{00000000-0005-0000-0000-00004B670000}"/>
    <cellStyle name="常规 9 2 2 2 2 3 2 2 3 2 2 2" xfId="23848" xr:uid="{00000000-0005-0000-0000-00004C670000}"/>
    <cellStyle name="常规 9 2 2 2 2 3 2 2 3 2 2 2 2" xfId="48424" xr:uid="{00000000-0005-0000-0000-00004D670000}"/>
    <cellStyle name="常规 9 2 2 2 2 3 2 2 3 2 2 3" xfId="36136" xr:uid="{00000000-0005-0000-0000-00004E670000}"/>
    <cellStyle name="常规 9 2 2 2 2 3 2 2 3 2 3" xfId="17704" xr:uid="{00000000-0005-0000-0000-00004F670000}"/>
    <cellStyle name="常规 9 2 2 2 2 3 2 2 3 2 3 2" xfId="42280" xr:uid="{00000000-0005-0000-0000-000050670000}"/>
    <cellStyle name="常规 9 2 2 2 2 3 2 2 3 2 4" xfId="29992" xr:uid="{00000000-0005-0000-0000-000051670000}"/>
    <cellStyle name="常规 9 2 2 2 2 3 2 2 3 3" xfId="8488" xr:uid="{00000000-0005-0000-0000-000052670000}"/>
    <cellStyle name="常规 9 2 2 2 2 3 2 2 3 3 2" xfId="20776" xr:uid="{00000000-0005-0000-0000-000053670000}"/>
    <cellStyle name="常规 9 2 2 2 2 3 2 2 3 3 2 2" xfId="45352" xr:uid="{00000000-0005-0000-0000-000054670000}"/>
    <cellStyle name="常规 9 2 2 2 2 3 2 2 3 3 3" xfId="33064" xr:uid="{00000000-0005-0000-0000-000055670000}"/>
    <cellStyle name="常规 9 2 2 2 2 3 2 2 3 4" xfId="14632" xr:uid="{00000000-0005-0000-0000-000056670000}"/>
    <cellStyle name="常规 9 2 2 2 2 3 2 2 3 4 2" xfId="39208" xr:uid="{00000000-0005-0000-0000-000057670000}"/>
    <cellStyle name="常规 9 2 2 2 2 3 2 2 3 5" xfId="26920" xr:uid="{00000000-0005-0000-0000-000058670000}"/>
    <cellStyle name="常规 9 2 2 2 2 3 2 2 4" xfId="3880" xr:uid="{00000000-0005-0000-0000-000059670000}"/>
    <cellStyle name="常规 9 2 2 2 2 3 2 2 4 2" xfId="10024" xr:uid="{00000000-0005-0000-0000-00005A670000}"/>
    <cellStyle name="常规 9 2 2 2 2 3 2 2 4 2 2" xfId="22312" xr:uid="{00000000-0005-0000-0000-00005B670000}"/>
    <cellStyle name="常规 9 2 2 2 2 3 2 2 4 2 2 2" xfId="46888" xr:uid="{00000000-0005-0000-0000-00005C670000}"/>
    <cellStyle name="常规 9 2 2 2 2 3 2 2 4 2 3" xfId="34600" xr:uid="{00000000-0005-0000-0000-00005D670000}"/>
    <cellStyle name="常规 9 2 2 2 2 3 2 2 4 3" xfId="16168" xr:uid="{00000000-0005-0000-0000-00005E670000}"/>
    <cellStyle name="常规 9 2 2 2 2 3 2 2 4 3 2" xfId="40744" xr:uid="{00000000-0005-0000-0000-00005F670000}"/>
    <cellStyle name="常规 9 2 2 2 2 3 2 2 4 4" xfId="28456" xr:uid="{00000000-0005-0000-0000-000060670000}"/>
    <cellStyle name="常规 9 2 2 2 2 3 2 2 5" xfId="6952" xr:uid="{00000000-0005-0000-0000-000061670000}"/>
    <cellStyle name="常规 9 2 2 2 2 3 2 2 5 2" xfId="19240" xr:uid="{00000000-0005-0000-0000-000062670000}"/>
    <cellStyle name="常规 9 2 2 2 2 3 2 2 5 2 2" xfId="43816" xr:uid="{00000000-0005-0000-0000-000063670000}"/>
    <cellStyle name="常规 9 2 2 2 2 3 2 2 5 3" xfId="31528" xr:uid="{00000000-0005-0000-0000-000064670000}"/>
    <cellStyle name="常规 9 2 2 2 2 3 2 2 6" xfId="13096" xr:uid="{00000000-0005-0000-0000-000065670000}"/>
    <cellStyle name="常规 9 2 2 2 2 3 2 2 6 2" xfId="37672" xr:uid="{00000000-0005-0000-0000-000066670000}"/>
    <cellStyle name="常规 9 2 2 2 2 3 2 2 7" xfId="25384" xr:uid="{00000000-0005-0000-0000-000067670000}"/>
    <cellStyle name="常规 9 2 2 2 2 3 2 3" xfId="1188" xr:uid="{00000000-0005-0000-0000-000068670000}"/>
    <cellStyle name="常规 9 2 2 2 2 3 2 3 2" xfId="2724" xr:uid="{00000000-0005-0000-0000-000069670000}"/>
    <cellStyle name="常规 9 2 2 2 2 3 2 3 2 2" xfId="5800" xr:uid="{00000000-0005-0000-0000-00006A670000}"/>
    <cellStyle name="常规 9 2 2 2 2 3 2 3 2 2 2" xfId="11944" xr:uid="{00000000-0005-0000-0000-00006B670000}"/>
    <cellStyle name="常规 9 2 2 2 2 3 2 3 2 2 2 2" xfId="24232" xr:uid="{00000000-0005-0000-0000-00006C670000}"/>
    <cellStyle name="常规 9 2 2 2 2 3 2 3 2 2 2 2 2" xfId="48808" xr:uid="{00000000-0005-0000-0000-00006D670000}"/>
    <cellStyle name="常规 9 2 2 2 2 3 2 3 2 2 2 3" xfId="36520" xr:uid="{00000000-0005-0000-0000-00006E670000}"/>
    <cellStyle name="常规 9 2 2 2 2 3 2 3 2 2 3" xfId="18088" xr:uid="{00000000-0005-0000-0000-00006F670000}"/>
    <cellStyle name="常规 9 2 2 2 2 3 2 3 2 2 3 2" xfId="42664" xr:uid="{00000000-0005-0000-0000-000070670000}"/>
    <cellStyle name="常规 9 2 2 2 2 3 2 3 2 2 4" xfId="30376" xr:uid="{00000000-0005-0000-0000-000071670000}"/>
    <cellStyle name="常规 9 2 2 2 2 3 2 3 2 3" xfId="8872" xr:uid="{00000000-0005-0000-0000-000072670000}"/>
    <cellStyle name="常规 9 2 2 2 2 3 2 3 2 3 2" xfId="21160" xr:uid="{00000000-0005-0000-0000-000073670000}"/>
    <cellStyle name="常规 9 2 2 2 2 3 2 3 2 3 2 2" xfId="45736" xr:uid="{00000000-0005-0000-0000-000074670000}"/>
    <cellStyle name="常规 9 2 2 2 2 3 2 3 2 3 3" xfId="33448" xr:uid="{00000000-0005-0000-0000-000075670000}"/>
    <cellStyle name="常规 9 2 2 2 2 3 2 3 2 4" xfId="15016" xr:uid="{00000000-0005-0000-0000-000076670000}"/>
    <cellStyle name="常规 9 2 2 2 2 3 2 3 2 4 2" xfId="39592" xr:uid="{00000000-0005-0000-0000-000077670000}"/>
    <cellStyle name="常规 9 2 2 2 2 3 2 3 2 5" xfId="27304" xr:uid="{00000000-0005-0000-0000-000078670000}"/>
    <cellStyle name="常规 9 2 2 2 2 3 2 3 3" xfId="4264" xr:uid="{00000000-0005-0000-0000-000079670000}"/>
    <cellStyle name="常规 9 2 2 2 2 3 2 3 3 2" xfId="10408" xr:uid="{00000000-0005-0000-0000-00007A670000}"/>
    <cellStyle name="常规 9 2 2 2 2 3 2 3 3 2 2" xfId="22696" xr:uid="{00000000-0005-0000-0000-00007B670000}"/>
    <cellStyle name="常规 9 2 2 2 2 3 2 3 3 2 2 2" xfId="47272" xr:uid="{00000000-0005-0000-0000-00007C670000}"/>
    <cellStyle name="常规 9 2 2 2 2 3 2 3 3 2 3" xfId="34984" xr:uid="{00000000-0005-0000-0000-00007D670000}"/>
    <cellStyle name="常规 9 2 2 2 2 3 2 3 3 3" xfId="16552" xr:uid="{00000000-0005-0000-0000-00007E670000}"/>
    <cellStyle name="常规 9 2 2 2 2 3 2 3 3 3 2" xfId="41128" xr:uid="{00000000-0005-0000-0000-00007F670000}"/>
    <cellStyle name="常规 9 2 2 2 2 3 2 3 3 4" xfId="28840" xr:uid="{00000000-0005-0000-0000-000080670000}"/>
    <cellStyle name="常规 9 2 2 2 2 3 2 3 4" xfId="7336" xr:uid="{00000000-0005-0000-0000-000081670000}"/>
    <cellStyle name="常规 9 2 2 2 2 3 2 3 4 2" xfId="19624" xr:uid="{00000000-0005-0000-0000-000082670000}"/>
    <cellStyle name="常规 9 2 2 2 2 3 2 3 4 2 2" xfId="44200" xr:uid="{00000000-0005-0000-0000-000083670000}"/>
    <cellStyle name="常规 9 2 2 2 2 3 2 3 4 3" xfId="31912" xr:uid="{00000000-0005-0000-0000-000084670000}"/>
    <cellStyle name="常规 9 2 2 2 2 3 2 3 5" xfId="13480" xr:uid="{00000000-0005-0000-0000-000085670000}"/>
    <cellStyle name="常规 9 2 2 2 2 3 2 3 5 2" xfId="38056" xr:uid="{00000000-0005-0000-0000-000086670000}"/>
    <cellStyle name="常规 9 2 2 2 2 3 2 3 6" xfId="25768" xr:uid="{00000000-0005-0000-0000-000087670000}"/>
    <cellStyle name="常规 9 2 2 2 2 3 2 4" xfId="1956" xr:uid="{00000000-0005-0000-0000-000088670000}"/>
    <cellStyle name="常规 9 2 2 2 2 3 2 4 2" xfId="5032" xr:uid="{00000000-0005-0000-0000-000089670000}"/>
    <cellStyle name="常规 9 2 2 2 2 3 2 4 2 2" xfId="11176" xr:uid="{00000000-0005-0000-0000-00008A670000}"/>
    <cellStyle name="常规 9 2 2 2 2 3 2 4 2 2 2" xfId="23464" xr:uid="{00000000-0005-0000-0000-00008B670000}"/>
    <cellStyle name="常规 9 2 2 2 2 3 2 4 2 2 2 2" xfId="48040" xr:uid="{00000000-0005-0000-0000-00008C670000}"/>
    <cellStyle name="常规 9 2 2 2 2 3 2 4 2 2 3" xfId="35752" xr:uid="{00000000-0005-0000-0000-00008D670000}"/>
    <cellStyle name="常规 9 2 2 2 2 3 2 4 2 3" xfId="17320" xr:uid="{00000000-0005-0000-0000-00008E670000}"/>
    <cellStyle name="常规 9 2 2 2 2 3 2 4 2 3 2" xfId="41896" xr:uid="{00000000-0005-0000-0000-00008F670000}"/>
    <cellStyle name="常规 9 2 2 2 2 3 2 4 2 4" xfId="29608" xr:uid="{00000000-0005-0000-0000-000090670000}"/>
    <cellStyle name="常规 9 2 2 2 2 3 2 4 3" xfId="8104" xr:uid="{00000000-0005-0000-0000-000091670000}"/>
    <cellStyle name="常规 9 2 2 2 2 3 2 4 3 2" xfId="20392" xr:uid="{00000000-0005-0000-0000-000092670000}"/>
    <cellStyle name="常规 9 2 2 2 2 3 2 4 3 2 2" xfId="44968" xr:uid="{00000000-0005-0000-0000-000093670000}"/>
    <cellStyle name="常规 9 2 2 2 2 3 2 4 3 3" xfId="32680" xr:uid="{00000000-0005-0000-0000-000094670000}"/>
    <cellStyle name="常规 9 2 2 2 2 3 2 4 4" xfId="14248" xr:uid="{00000000-0005-0000-0000-000095670000}"/>
    <cellStyle name="常规 9 2 2 2 2 3 2 4 4 2" xfId="38824" xr:uid="{00000000-0005-0000-0000-000096670000}"/>
    <cellStyle name="常规 9 2 2 2 2 3 2 4 5" xfId="26536" xr:uid="{00000000-0005-0000-0000-000097670000}"/>
    <cellStyle name="常规 9 2 2 2 2 3 2 5" xfId="3496" xr:uid="{00000000-0005-0000-0000-000098670000}"/>
    <cellStyle name="常规 9 2 2 2 2 3 2 5 2" xfId="9640" xr:uid="{00000000-0005-0000-0000-000099670000}"/>
    <cellStyle name="常规 9 2 2 2 2 3 2 5 2 2" xfId="21928" xr:uid="{00000000-0005-0000-0000-00009A670000}"/>
    <cellStyle name="常规 9 2 2 2 2 3 2 5 2 2 2" xfId="46504" xr:uid="{00000000-0005-0000-0000-00009B670000}"/>
    <cellStyle name="常规 9 2 2 2 2 3 2 5 2 3" xfId="34216" xr:uid="{00000000-0005-0000-0000-00009C670000}"/>
    <cellStyle name="常规 9 2 2 2 2 3 2 5 3" xfId="15784" xr:uid="{00000000-0005-0000-0000-00009D670000}"/>
    <cellStyle name="常规 9 2 2 2 2 3 2 5 3 2" xfId="40360" xr:uid="{00000000-0005-0000-0000-00009E670000}"/>
    <cellStyle name="常规 9 2 2 2 2 3 2 5 4" xfId="28072" xr:uid="{00000000-0005-0000-0000-00009F670000}"/>
    <cellStyle name="常规 9 2 2 2 2 3 2 6" xfId="6568" xr:uid="{00000000-0005-0000-0000-0000A0670000}"/>
    <cellStyle name="常规 9 2 2 2 2 3 2 6 2" xfId="18856" xr:uid="{00000000-0005-0000-0000-0000A1670000}"/>
    <cellStyle name="常规 9 2 2 2 2 3 2 6 2 2" xfId="43432" xr:uid="{00000000-0005-0000-0000-0000A2670000}"/>
    <cellStyle name="常规 9 2 2 2 2 3 2 6 3" xfId="31144" xr:uid="{00000000-0005-0000-0000-0000A3670000}"/>
    <cellStyle name="常规 9 2 2 2 2 3 2 7" xfId="12712" xr:uid="{00000000-0005-0000-0000-0000A4670000}"/>
    <cellStyle name="常规 9 2 2 2 2 3 2 7 2" xfId="37288" xr:uid="{00000000-0005-0000-0000-0000A5670000}"/>
    <cellStyle name="常规 9 2 2 2 2 3 2 8" xfId="25000" xr:uid="{00000000-0005-0000-0000-0000A6670000}"/>
    <cellStyle name="常规 9 2 2 2 2 3 3" xfId="612" xr:uid="{00000000-0005-0000-0000-0000A7670000}"/>
    <cellStyle name="常规 9 2 2 2 2 3 3 2" xfId="1380" xr:uid="{00000000-0005-0000-0000-0000A8670000}"/>
    <cellStyle name="常规 9 2 2 2 2 3 3 2 2" xfId="2916" xr:uid="{00000000-0005-0000-0000-0000A9670000}"/>
    <cellStyle name="常规 9 2 2 2 2 3 3 2 2 2" xfId="5992" xr:uid="{00000000-0005-0000-0000-0000AA670000}"/>
    <cellStyle name="常规 9 2 2 2 2 3 3 2 2 2 2" xfId="12136" xr:uid="{00000000-0005-0000-0000-0000AB670000}"/>
    <cellStyle name="常规 9 2 2 2 2 3 3 2 2 2 2 2" xfId="24424" xr:uid="{00000000-0005-0000-0000-0000AC670000}"/>
    <cellStyle name="常规 9 2 2 2 2 3 3 2 2 2 2 2 2" xfId="49000" xr:uid="{00000000-0005-0000-0000-0000AD670000}"/>
    <cellStyle name="常规 9 2 2 2 2 3 3 2 2 2 2 3" xfId="36712" xr:uid="{00000000-0005-0000-0000-0000AE670000}"/>
    <cellStyle name="常规 9 2 2 2 2 3 3 2 2 2 3" xfId="18280" xr:uid="{00000000-0005-0000-0000-0000AF670000}"/>
    <cellStyle name="常规 9 2 2 2 2 3 3 2 2 2 3 2" xfId="42856" xr:uid="{00000000-0005-0000-0000-0000B0670000}"/>
    <cellStyle name="常规 9 2 2 2 2 3 3 2 2 2 4" xfId="30568" xr:uid="{00000000-0005-0000-0000-0000B1670000}"/>
    <cellStyle name="常规 9 2 2 2 2 3 3 2 2 3" xfId="9064" xr:uid="{00000000-0005-0000-0000-0000B2670000}"/>
    <cellStyle name="常规 9 2 2 2 2 3 3 2 2 3 2" xfId="21352" xr:uid="{00000000-0005-0000-0000-0000B3670000}"/>
    <cellStyle name="常规 9 2 2 2 2 3 3 2 2 3 2 2" xfId="45928" xr:uid="{00000000-0005-0000-0000-0000B4670000}"/>
    <cellStyle name="常规 9 2 2 2 2 3 3 2 2 3 3" xfId="33640" xr:uid="{00000000-0005-0000-0000-0000B5670000}"/>
    <cellStyle name="常规 9 2 2 2 2 3 3 2 2 4" xfId="15208" xr:uid="{00000000-0005-0000-0000-0000B6670000}"/>
    <cellStyle name="常规 9 2 2 2 2 3 3 2 2 4 2" xfId="39784" xr:uid="{00000000-0005-0000-0000-0000B7670000}"/>
    <cellStyle name="常规 9 2 2 2 2 3 3 2 2 5" xfId="27496" xr:uid="{00000000-0005-0000-0000-0000B8670000}"/>
    <cellStyle name="常规 9 2 2 2 2 3 3 2 3" xfId="4456" xr:uid="{00000000-0005-0000-0000-0000B9670000}"/>
    <cellStyle name="常规 9 2 2 2 2 3 3 2 3 2" xfId="10600" xr:uid="{00000000-0005-0000-0000-0000BA670000}"/>
    <cellStyle name="常规 9 2 2 2 2 3 3 2 3 2 2" xfId="22888" xr:uid="{00000000-0005-0000-0000-0000BB670000}"/>
    <cellStyle name="常规 9 2 2 2 2 3 3 2 3 2 2 2" xfId="47464" xr:uid="{00000000-0005-0000-0000-0000BC670000}"/>
    <cellStyle name="常规 9 2 2 2 2 3 3 2 3 2 3" xfId="35176" xr:uid="{00000000-0005-0000-0000-0000BD670000}"/>
    <cellStyle name="常规 9 2 2 2 2 3 3 2 3 3" xfId="16744" xr:uid="{00000000-0005-0000-0000-0000BE670000}"/>
    <cellStyle name="常规 9 2 2 2 2 3 3 2 3 3 2" xfId="41320" xr:uid="{00000000-0005-0000-0000-0000BF670000}"/>
    <cellStyle name="常规 9 2 2 2 2 3 3 2 3 4" xfId="29032" xr:uid="{00000000-0005-0000-0000-0000C0670000}"/>
    <cellStyle name="常规 9 2 2 2 2 3 3 2 4" xfId="7528" xr:uid="{00000000-0005-0000-0000-0000C1670000}"/>
    <cellStyle name="常规 9 2 2 2 2 3 3 2 4 2" xfId="19816" xr:uid="{00000000-0005-0000-0000-0000C2670000}"/>
    <cellStyle name="常规 9 2 2 2 2 3 3 2 4 2 2" xfId="44392" xr:uid="{00000000-0005-0000-0000-0000C3670000}"/>
    <cellStyle name="常规 9 2 2 2 2 3 3 2 4 3" xfId="32104" xr:uid="{00000000-0005-0000-0000-0000C4670000}"/>
    <cellStyle name="常规 9 2 2 2 2 3 3 2 5" xfId="13672" xr:uid="{00000000-0005-0000-0000-0000C5670000}"/>
    <cellStyle name="常规 9 2 2 2 2 3 3 2 5 2" xfId="38248" xr:uid="{00000000-0005-0000-0000-0000C6670000}"/>
    <cellStyle name="常规 9 2 2 2 2 3 3 2 6" xfId="25960" xr:uid="{00000000-0005-0000-0000-0000C7670000}"/>
    <cellStyle name="常规 9 2 2 2 2 3 3 3" xfId="2148" xr:uid="{00000000-0005-0000-0000-0000C8670000}"/>
    <cellStyle name="常规 9 2 2 2 2 3 3 3 2" xfId="5224" xr:uid="{00000000-0005-0000-0000-0000C9670000}"/>
    <cellStyle name="常规 9 2 2 2 2 3 3 3 2 2" xfId="11368" xr:uid="{00000000-0005-0000-0000-0000CA670000}"/>
    <cellStyle name="常规 9 2 2 2 2 3 3 3 2 2 2" xfId="23656" xr:uid="{00000000-0005-0000-0000-0000CB670000}"/>
    <cellStyle name="常规 9 2 2 2 2 3 3 3 2 2 2 2" xfId="48232" xr:uid="{00000000-0005-0000-0000-0000CC670000}"/>
    <cellStyle name="常规 9 2 2 2 2 3 3 3 2 2 3" xfId="35944" xr:uid="{00000000-0005-0000-0000-0000CD670000}"/>
    <cellStyle name="常规 9 2 2 2 2 3 3 3 2 3" xfId="17512" xr:uid="{00000000-0005-0000-0000-0000CE670000}"/>
    <cellStyle name="常规 9 2 2 2 2 3 3 3 2 3 2" xfId="42088" xr:uid="{00000000-0005-0000-0000-0000CF670000}"/>
    <cellStyle name="常规 9 2 2 2 2 3 3 3 2 4" xfId="29800" xr:uid="{00000000-0005-0000-0000-0000D0670000}"/>
    <cellStyle name="常规 9 2 2 2 2 3 3 3 3" xfId="8296" xr:uid="{00000000-0005-0000-0000-0000D1670000}"/>
    <cellStyle name="常规 9 2 2 2 2 3 3 3 3 2" xfId="20584" xr:uid="{00000000-0005-0000-0000-0000D2670000}"/>
    <cellStyle name="常规 9 2 2 2 2 3 3 3 3 2 2" xfId="45160" xr:uid="{00000000-0005-0000-0000-0000D3670000}"/>
    <cellStyle name="常规 9 2 2 2 2 3 3 3 3 3" xfId="32872" xr:uid="{00000000-0005-0000-0000-0000D4670000}"/>
    <cellStyle name="常规 9 2 2 2 2 3 3 3 4" xfId="14440" xr:uid="{00000000-0005-0000-0000-0000D5670000}"/>
    <cellStyle name="常规 9 2 2 2 2 3 3 3 4 2" xfId="39016" xr:uid="{00000000-0005-0000-0000-0000D6670000}"/>
    <cellStyle name="常规 9 2 2 2 2 3 3 3 5" xfId="26728" xr:uid="{00000000-0005-0000-0000-0000D7670000}"/>
    <cellStyle name="常规 9 2 2 2 2 3 3 4" xfId="3688" xr:uid="{00000000-0005-0000-0000-0000D8670000}"/>
    <cellStyle name="常规 9 2 2 2 2 3 3 4 2" xfId="9832" xr:uid="{00000000-0005-0000-0000-0000D9670000}"/>
    <cellStyle name="常规 9 2 2 2 2 3 3 4 2 2" xfId="22120" xr:uid="{00000000-0005-0000-0000-0000DA670000}"/>
    <cellStyle name="常规 9 2 2 2 2 3 3 4 2 2 2" xfId="46696" xr:uid="{00000000-0005-0000-0000-0000DB670000}"/>
    <cellStyle name="常规 9 2 2 2 2 3 3 4 2 3" xfId="34408" xr:uid="{00000000-0005-0000-0000-0000DC670000}"/>
    <cellStyle name="常规 9 2 2 2 2 3 3 4 3" xfId="15976" xr:uid="{00000000-0005-0000-0000-0000DD670000}"/>
    <cellStyle name="常规 9 2 2 2 2 3 3 4 3 2" xfId="40552" xr:uid="{00000000-0005-0000-0000-0000DE670000}"/>
    <cellStyle name="常规 9 2 2 2 2 3 3 4 4" xfId="28264" xr:uid="{00000000-0005-0000-0000-0000DF670000}"/>
    <cellStyle name="常规 9 2 2 2 2 3 3 5" xfId="6760" xr:uid="{00000000-0005-0000-0000-0000E0670000}"/>
    <cellStyle name="常规 9 2 2 2 2 3 3 5 2" xfId="19048" xr:uid="{00000000-0005-0000-0000-0000E1670000}"/>
    <cellStyle name="常规 9 2 2 2 2 3 3 5 2 2" xfId="43624" xr:uid="{00000000-0005-0000-0000-0000E2670000}"/>
    <cellStyle name="常规 9 2 2 2 2 3 3 5 3" xfId="31336" xr:uid="{00000000-0005-0000-0000-0000E3670000}"/>
    <cellStyle name="常规 9 2 2 2 2 3 3 6" xfId="12904" xr:uid="{00000000-0005-0000-0000-0000E4670000}"/>
    <cellStyle name="常规 9 2 2 2 2 3 3 6 2" xfId="37480" xr:uid="{00000000-0005-0000-0000-0000E5670000}"/>
    <cellStyle name="常规 9 2 2 2 2 3 3 7" xfId="25192" xr:uid="{00000000-0005-0000-0000-0000E6670000}"/>
    <cellStyle name="常规 9 2 2 2 2 3 4" xfId="996" xr:uid="{00000000-0005-0000-0000-0000E7670000}"/>
    <cellStyle name="常规 9 2 2 2 2 3 4 2" xfId="2532" xr:uid="{00000000-0005-0000-0000-0000E8670000}"/>
    <cellStyle name="常规 9 2 2 2 2 3 4 2 2" xfId="5608" xr:uid="{00000000-0005-0000-0000-0000E9670000}"/>
    <cellStyle name="常规 9 2 2 2 2 3 4 2 2 2" xfId="11752" xr:uid="{00000000-0005-0000-0000-0000EA670000}"/>
    <cellStyle name="常规 9 2 2 2 2 3 4 2 2 2 2" xfId="24040" xr:uid="{00000000-0005-0000-0000-0000EB670000}"/>
    <cellStyle name="常规 9 2 2 2 2 3 4 2 2 2 2 2" xfId="48616" xr:uid="{00000000-0005-0000-0000-0000EC670000}"/>
    <cellStyle name="常规 9 2 2 2 2 3 4 2 2 2 3" xfId="36328" xr:uid="{00000000-0005-0000-0000-0000ED670000}"/>
    <cellStyle name="常规 9 2 2 2 2 3 4 2 2 3" xfId="17896" xr:uid="{00000000-0005-0000-0000-0000EE670000}"/>
    <cellStyle name="常规 9 2 2 2 2 3 4 2 2 3 2" xfId="42472" xr:uid="{00000000-0005-0000-0000-0000EF670000}"/>
    <cellStyle name="常规 9 2 2 2 2 3 4 2 2 4" xfId="30184" xr:uid="{00000000-0005-0000-0000-0000F0670000}"/>
    <cellStyle name="常规 9 2 2 2 2 3 4 2 3" xfId="8680" xr:uid="{00000000-0005-0000-0000-0000F1670000}"/>
    <cellStyle name="常规 9 2 2 2 2 3 4 2 3 2" xfId="20968" xr:uid="{00000000-0005-0000-0000-0000F2670000}"/>
    <cellStyle name="常规 9 2 2 2 2 3 4 2 3 2 2" xfId="45544" xr:uid="{00000000-0005-0000-0000-0000F3670000}"/>
    <cellStyle name="常规 9 2 2 2 2 3 4 2 3 3" xfId="33256" xr:uid="{00000000-0005-0000-0000-0000F4670000}"/>
    <cellStyle name="常规 9 2 2 2 2 3 4 2 4" xfId="14824" xr:uid="{00000000-0005-0000-0000-0000F5670000}"/>
    <cellStyle name="常规 9 2 2 2 2 3 4 2 4 2" xfId="39400" xr:uid="{00000000-0005-0000-0000-0000F6670000}"/>
    <cellStyle name="常规 9 2 2 2 2 3 4 2 5" xfId="27112" xr:uid="{00000000-0005-0000-0000-0000F7670000}"/>
    <cellStyle name="常规 9 2 2 2 2 3 4 3" xfId="4072" xr:uid="{00000000-0005-0000-0000-0000F8670000}"/>
    <cellStyle name="常规 9 2 2 2 2 3 4 3 2" xfId="10216" xr:uid="{00000000-0005-0000-0000-0000F9670000}"/>
    <cellStyle name="常规 9 2 2 2 2 3 4 3 2 2" xfId="22504" xr:uid="{00000000-0005-0000-0000-0000FA670000}"/>
    <cellStyle name="常规 9 2 2 2 2 3 4 3 2 2 2" xfId="47080" xr:uid="{00000000-0005-0000-0000-0000FB670000}"/>
    <cellStyle name="常规 9 2 2 2 2 3 4 3 2 3" xfId="34792" xr:uid="{00000000-0005-0000-0000-0000FC670000}"/>
    <cellStyle name="常规 9 2 2 2 2 3 4 3 3" xfId="16360" xr:uid="{00000000-0005-0000-0000-0000FD670000}"/>
    <cellStyle name="常规 9 2 2 2 2 3 4 3 3 2" xfId="40936" xr:uid="{00000000-0005-0000-0000-0000FE670000}"/>
    <cellStyle name="常规 9 2 2 2 2 3 4 3 4" xfId="28648" xr:uid="{00000000-0005-0000-0000-0000FF670000}"/>
    <cellStyle name="常规 9 2 2 2 2 3 4 4" xfId="7144" xr:uid="{00000000-0005-0000-0000-000000680000}"/>
    <cellStyle name="常规 9 2 2 2 2 3 4 4 2" xfId="19432" xr:uid="{00000000-0005-0000-0000-000001680000}"/>
    <cellStyle name="常规 9 2 2 2 2 3 4 4 2 2" xfId="44008" xr:uid="{00000000-0005-0000-0000-000002680000}"/>
    <cellStyle name="常规 9 2 2 2 2 3 4 4 3" xfId="31720" xr:uid="{00000000-0005-0000-0000-000003680000}"/>
    <cellStyle name="常规 9 2 2 2 2 3 4 5" xfId="13288" xr:uid="{00000000-0005-0000-0000-000004680000}"/>
    <cellStyle name="常规 9 2 2 2 2 3 4 5 2" xfId="37864" xr:uid="{00000000-0005-0000-0000-000005680000}"/>
    <cellStyle name="常规 9 2 2 2 2 3 4 6" xfId="25576" xr:uid="{00000000-0005-0000-0000-000006680000}"/>
    <cellStyle name="常规 9 2 2 2 2 3 5" xfId="1764" xr:uid="{00000000-0005-0000-0000-000007680000}"/>
    <cellStyle name="常规 9 2 2 2 2 3 5 2" xfId="4840" xr:uid="{00000000-0005-0000-0000-000008680000}"/>
    <cellStyle name="常规 9 2 2 2 2 3 5 2 2" xfId="10984" xr:uid="{00000000-0005-0000-0000-000009680000}"/>
    <cellStyle name="常规 9 2 2 2 2 3 5 2 2 2" xfId="23272" xr:uid="{00000000-0005-0000-0000-00000A680000}"/>
    <cellStyle name="常规 9 2 2 2 2 3 5 2 2 2 2" xfId="47848" xr:uid="{00000000-0005-0000-0000-00000B680000}"/>
    <cellStyle name="常规 9 2 2 2 2 3 5 2 2 3" xfId="35560" xr:uid="{00000000-0005-0000-0000-00000C680000}"/>
    <cellStyle name="常规 9 2 2 2 2 3 5 2 3" xfId="17128" xr:uid="{00000000-0005-0000-0000-00000D680000}"/>
    <cellStyle name="常规 9 2 2 2 2 3 5 2 3 2" xfId="41704" xr:uid="{00000000-0005-0000-0000-00000E680000}"/>
    <cellStyle name="常规 9 2 2 2 2 3 5 2 4" xfId="29416" xr:uid="{00000000-0005-0000-0000-00000F680000}"/>
    <cellStyle name="常规 9 2 2 2 2 3 5 3" xfId="7912" xr:uid="{00000000-0005-0000-0000-000010680000}"/>
    <cellStyle name="常规 9 2 2 2 2 3 5 3 2" xfId="20200" xr:uid="{00000000-0005-0000-0000-000011680000}"/>
    <cellStyle name="常规 9 2 2 2 2 3 5 3 2 2" xfId="44776" xr:uid="{00000000-0005-0000-0000-000012680000}"/>
    <cellStyle name="常规 9 2 2 2 2 3 5 3 3" xfId="32488" xr:uid="{00000000-0005-0000-0000-000013680000}"/>
    <cellStyle name="常规 9 2 2 2 2 3 5 4" xfId="14056" xr:uid="{00000000-0005-0000-0000-000014680000}"/>
    <cellStyle name="常规 9 2 2 2 2 3 5 4 2" xfId="38632" xr:uid="{00000000-0005-0000-0000-000015680000}"/>
    <cellStyle name="常规 9 2 2 2 2 3 5 5" xfId="26344" xr:uid="{00000000-0005-0000-0000-000016680000}"/>
    <cellStyle name="常规 9 2 2 2 2 3 6" xfId="3304" xr:uid="{00000000-0005-0000-0000-000017680000}"/>
    <cellStyle name="常规 9 2 2 2 2 3 6 2" xfId="9448" xr:uid="{00000000-0005-0000-0000-000018680000}"/>
    <cellStyle name="常规 9 2 2 2 2 3 6 2 2" xfId="21736" xr:uid="{00000000-0005-0000-0000-000019680000}"/>
    <cellStyle name="常规 9 2 2 2 2 3 6 2 2 2" xfId="46312" xr:uid="{00000000-0005-0000-0000-00001A680000}"/>
    <cellStyle name="常规 9 2 2 2 2 3 6 2 3" xfId="34024" xr:uid="{00000000-0005-0000-0000-00001B680000}"/>
    <cellStyle name="常规 9 2 2 2 2 3 6 3" xfId="15592" xr:uid="{00000000-0005-0000-0000-00001C680000}"/>
    <cellStyle name="常规 9 2 2 2 2 3 6 3 2" xfId="40168" xr:uid="{00000000-0005-0000-0000-00001D680000}"/>
    <cellStyle name="常规 9 2 2 2 2 3 6 4" xfId="27880" xr:uid="{00000000-0005-0000-0000-00001E680000}"/>
    <cellStyle name="常规 9 2 2 2 2 3 7" xfId="6376" xr:uid="{00000000-0005-0000-0000-00001F680000}"/>
    <cellStyle name="常规 9 2 2 2 2 3 7 2" xfId="18664" xr:uid="{00000000-0005-0000-0000-000020680000}"/>
    <cellStyle name="常规 9 2 2 2 2 3 7 2 2" xfId="43240" xr:uid="{00000000-0005-0000-0000-000021680000}"/>
    <cellStyle name="常规 9 2 2 2 2 3 7 3" xfId="30952" xr:uid="{00000000-0005-0000-0000-000022680000}"/>
    <cellStyle name="常规 9 2 2 2 2 3 8" xfId="12520" xr:uid="{00000000-0005-0000-0000-000023680000}"/>
    <cellStyle name="常规 9 2 2 2 2 3 8 2" xfId="37096" xr:uid="{00000000-0005-0000-0000-000024680000}"/>
    <cellStyle name="常规 9 2 2 2 2 3 9" xfId="24808" xr:uid="{00000000-0005-0000-0000-000025680000}"/>
    <cellStyle name="常规 9 2 2 2 2 4" xfId="292" xr:uid="{00000000-0005-0000-0000-000026680000}"/>
    <cellStyle name="常规 9 2 2 2 2 4 2" xfId="484" xr:uid="{00000000-0005-0000-0000-000027680000}"/>
    <cellStyle name="常规 9 2 2 2 2 4 2 2" xfId="868" xr:uid="{00000000-0005-0000-0000-000028680000}"/>
    <cellStyle name="常规 9 2 2 2 2 4 2 2 2" xfId="1636" xr:uid="{00000000-0005-0000-0000-000029680000}"/>
    <cellStyle name="常规 9 2 2 2 2 4 2 2 2 2" xfId="3172" xr:uid="{00000000-0005-0000-0000-00002A680000}"/>
    <cellStyle name="常规 9 2 2 2 2 4 2 2 2 2 2" xfId="6248" xr:uid="{00000000-0005-0000-0000-00002B680000}"/>
    <cellStyle name="常规 9 2 2 2 2 4 2 2 2 2 2 2" xfId="12392" xr:uid="{00000000-0005-0000-0000-00002C680000}"/>
    <cellStyle name="常规 9 2 2 2 2 4 2 2 2 2 2 2 2" xfId="24680" xr:uid="{00000000-0005-0000-0000-00002D680000}"/>
    <cellStyle name="常规 9 2 2 2 2 4 2 2 2 2 2 2 2 2" xfId="49256" xr:uid="{00000000-0005-0000-0000-00002E680000}"/>
    <cellStyle name="常规 9 2 2 2 2 4 2 2 2 2 2 2 3" xfId="36968" xr:uid="{00000000-0005-0000-0000-00002F680000}"/>
    <cellStyle name="常规 9 2 2 2 2 4 2 2 2 2 2 3" xfId="18536" xr:uid="{00000000-0005-0000-0000-000030680000}"/>
    <cellStyle name="常规 9 2 2 2 2 4 2 2 2 2 2 3 2" xfId="43112" xr:uid="{00000000-0005-0000-0000-000031680000}"/>
    <cellStyle name="常规 9 2 2 2 2 4 2 2 2 2 2 4" xfId="30824" xr:uid="{00000000-0005-0000-0000-000032680000}"/>
    <cellStyle name="常规 9 2 2 2 2 4 2 2 2 2 3" xfId="9320" xr:uid="{00000000-0005-0000-0000-000033680000}"/>
    <cellStyle name="常规 9 2 2 2 2 4 2 2 2 2 3 2" xfId="21608" xr:uid="{00000000-0005-0000-0000-000034680000}"/>
    <cellStyle name="常规 9 2 2 2 2 4 2 2 2 2 3 2 2" xfId="46184" xr:uid="{00000000-0005-0000-0000-000035680000}"/>
    <cellStyle name="常规 9 2 2 2 2 4 2 2 2 2 3 3" xfId="33896" xr:uid="{00000000-0005-0000-0000-000036680000}"/>
    <cellStyle name="常规 9 2 2 2 2 4 2 2 2 2 4" xfId="15464" xr:uid="{00000000-0005-0000-0000-000037680000}"/>
    <cellStyle name="常规 9 2 2 2 2 4 2 2 2 2 4 2" xfId="40040" xr:uid="{00000000-0005-0000-0000-000038680000}"/>
    <cellStyle name="常规 9 2 2 2 2 4 2 2 2 2 5" xfId="27752" xr:uid="{00000000-0005-0000-0000-000039680000}"/>
    <cellStyle name="常规 9 2 2 2 2 4 2 2 2 3" xfId="4712" xr:uid="{00000000-0005-0000-0000-00003A680000}"/>
    <cellStyle name="常规 9 2 2 2 2 4 2 2 2 3 2" xfId="10856" xr:uid="{00000000-0005-0000-0000-00003B680000}"/>
    <cellStyle name="常规 9 2 2 2 2 4 2 2 2 3 2 2" xfId="23144" xr:uid="{00000000-0005-0000-0000-00003C680000}"/>
    <cellStyle name="常规 9 2 2 2 2 4 2 2 2 3 2 2 2" xfId="47720" xr:uid="{00000000-0005-0000-0000-00003D680000}"/>
    <cellStyle name="常规 9 2 2 2 2 4 2 2 2 3 2 3" xfId="35432" xr:uid="{00000000-0005-0000-0000-00003E680000}"/>
    <cellStyle name="常规 9 2 2 2 2 4 2 2 2 3 3" xfId="17000" xr:uid="{00000000-0005-0000-0000-00003F680000}"/>
    <cellStyle name="常规 9 2 2 2 2 4 2 2 2 3 3 2" xfId="41576" xr:uid="{00000000-0005-0000-0000-000040680000}"/>
    <cellStyle name="常规 9 2 2 2 2 4 2 2 2 3 4" xfId="29288" xr:uid="{00000000-0005-0000-0000-000041680000}"/>
    <cellStyle name="常规 9 2 2 2 2 4 2 2 2 4" xfId="7784" xr:uid="{00000000-0005-0000-0000-000042680000}"/>
    <cellStyle name="常规 9 2 2 2 2 4 2 2 2 4 2" xfId="20072" xr:uid="{00000000-0005-0000-0000-000043680000}"/>
    <cellStyle name="常规 9 2 2 2 2 4 2 2 2 4 2 2" xfId="44648" xr:uid="{00000000-0005-0000-0000-000044680000}"/>
    <cellStyle name="常规 9 2 2 2 2 4 2 2 2 4 3" xfId="32360" xr:uid="{00000000-0005-0000-0000-000045680000}"/>
    <cellStyle name="常规 9 2 2 2 2 4 2 2 2 5" xfId="13928" xr:uid="{00000000-0005-0000-0000-000046680000}"/>
    <cellStyle name="常规 9 2 2 2 2 4 2 2 2 5 2" xfId="38504" xr:uid="{00000000-0005-0000-0000-000047680000}"/>
    <cellStyle name="常规 9 2 2 2 2 4 2 2 2 6" xfId="26216" xr:uid="{00000000-0005-0000-0000-000048680000}"/>
    <cellStyle name="常规 9 2 2 2 2 4 2 2 3" xfId="2404" xr:uid="{00000000-0005-0000-0000-000049680000}"/>
    <cellStyle name="常规 9 2 2 2 2 4 2 2 3 2" xfId="5480" xr:uid="{00000000-0005-0000-0000-00004A680000}"/>
    <cellStyle name="常规 9 2 2 2 2 4 2 2 3 2 2" xfId="11624" xr:uid="{00000000-0005-0000-0000-00004B680000}"/>
    <cellStyle name="常规 9 2 2 2 2 4 2 2 3 2 2 2" xfId="23912" xr:uid="{00000000-0005-0000-0000-00004C680000}"/>
    <cellStyle name="常规 9 2 2 2 2 4 2 2 3 2 2 2 2" xfId="48488" xr:uid="{00000000-0005-0000-0000-00004D680000}"/>
    <cellStyle name="常规 9 2 2 2 2 4 2 2 3 2 2 3" xfId="36200" xr:uid="{00000000-0005-0000-0000-00004E680000}"/>
    <cellStyle name="常规 9 2 2 2 2 4 2 2 3 2 3" xfId="17768" xr:uid="{00000000-0005-0000-0000-00004F680000}"/>
    <cellStyle name="常规 9 2 2 2 2 4 2 2 3 2 3 2" xfId="42344" xr:uid="{00000000-0005-0000-0000-000050680000}"/>
    <cellStyle name="常规 9 2 2 2 2 4 2 2 3 2 4" xfId="30056" xr:uid="{00000000-0005-0000-0000-000051680000}"/>
    <cellStyle name="常规 9 2 2 2 2 4 2 2 3 3" xfId="8552" xr:uid="{00000000-0005-0000-0000-000052680000}"/>
    <cellStyle name="常规 9 2 2 2 2 4 2 2 3 3 2" xfId="20840" xr:uid="{00000000-0005-0000-0000-000053680000}"/>
    <cellStyle name="常规 9 2 2 2 2 4 2 2 3 3 2 2" xfId="45416" xr:uid="{00000000-0005-0000-0000-000054680000}"/>
    <cellStyle name="常规 9 2 2 2 2 4 2 2 3 3 3" xfId="33128" xr:uid="{00000000-0005-0000-0000-000055680000}"/>
    <cellStyle name="常规 9 2 2 2 2 4 2 2 3 4" xfId="14696" xr:uid="{00000000-0005-0000-0000-000056680000}"/>
    <cellStyle name="常规 9 2 2 2 2 4 2 2 3 4 2" xfId="39272" xr:uid="{00000000-0005-0000-0000-000057680000}"/>
    <cellStyle name="常规 9 2 2 2 2 4 2 2 3 5" xfId="26984" xr:uid="{00000000-0005-0000-0000-000058680000}"/>
    <cellStyle name="常规 9 2 2 2 2 4 2 2 4" xfId="3944" xr:uid="{00000000-0005-0000-0000-000059680000}"/>
    <cellStyle name="常规 9 2 2 2 2 4 2 2 4 2" xfId="10088" xr:uid="{00000000-0005-0000-0000-00005A680000}"/>
    <cellStyle name="常规 9 2 2 2 2 4 2 2 4 2 2" xfId="22376" xr:uid="{00000000-0005-0000-0000-00005B680000}"/>
    <cellStyle name="常规 9 2 2 2 2 4 2 2 4 2 2 2" xfId="46952" xr:uid="{00000000-0005-0000-0000-00005C680000}"/>
    <cellStyle name="常规 9 2 2 2 2 4 2 2 4 2 3" xfId="34664" xr:uid="{00000000-0005-0000-0000-00005D680000}"/>
    <cellStyle name="常规 9 2 2 2 2 4 2 2 4 3" xfId="16232" xr:uid="{00000000-0005-0000-0000-00005E680000}"/>
    <cellStyle name="常规 9 2 2 2 2 4 2 2 4 3 2" xfId="40808" xr:uid="{00000000-0005-0000-0000-00005F680000}"/>
    <cellStyle name="常规 9 2 2 2 2 4 2 2 4 4" xfId="28520" xr:uid="{00000000-0005-0000-0000-000060680000}"/>
    <cellStyle name="常规 9 2 2 2 2 4 2 2 5" xfId="7016" xr:uid="{00000000-0005-0000-0000-000061680000}"/>
    <cellStyle name="常规 9 2 2 2 2 4 2 2 5 2" xfId="19304" xr:uid="{00000000-0005-0000-0000-000062680000}"/>
    <cellStyle name="常规 9 2 2 2 2 4 2 2 5 2 2" xfId="43880" xr:uid="{00000000-0005-0000-0000-000063680000}"/>
    <cellStyle name="常规 9 2 2 2 2 4 2 2 5 3" xfId="31592" xr:uid="{00000000-0005-0000-0000-000064680000}"/>
    <cellStyle name="常规 9 2 2 2 2 4 2 2 6" xfId="13160" xr:uid="{00000000-0005-0000-0000-000065680000}"/>
    <cellStyle name="常规 9 2 2 2 2 4 2 2 6 2" xfId="37736" xr:uid="{00000000-0005-0000-0000-000066680000}"/>
    <cellStyle name="常规 9 2 2 2 2 4 2 2 7" xfId="25448" xr:uid="{00000000-0005-0000-0000-000067680000}"/>
    <cellStyle name="常规 9 2 2 2 2 4 2 3" xfId="1252" xr:uid="{00000000-0005-0000-0000-000068680000}"/>
    <cellStyle name="常规 9 2 2 2 2 4 2 3 2" xfId="2788" xr:uid="{00000000-0005-0000-0000-000069680000}"/>
    <cellStyle name="常规 9 2 2 2 2 4 2 3 2 2" xfId="5864" xr:uid="{00000000-0005-0000-0000-00006A680000}"/>
    <cellStyle name="常规 9 2 2 2 2 4 2 3 2 2 2" xfId="12008" xr:uid="{00000000-0005-0000-0000-00006B680000}"/>
    <cellStyle name="常规 9 2 2 2 2 4 2 3 2 2 2 2" xfId="24296" xr:uid="{00000000-0005-0000-0000-00006C680000}"/>
    <cellStyle name="常规 9 2 2 2 2 4 2 3 2 2 2 2 2" xfId="48872" xr:uid="{00000000-0005-0000-0000-00006D680000}"/>
    <cellStyle name="常规 9 2 2 2 2 4 2 3 2 2 2 3" xfId="36584" xr:uid="{00000000-0005-0000-0000-00006E680000}"/>
    <cellStyle name="常规 9 2 2 2 2 4 2 3 2 2 3" xfId="18152" xr:uid="{00000000-0005-0000-0000-00006F680000}"/>
    <cellStyle name="常规 9 2 2 2 2 4 2 3 2 2 3 2" xfId="42728" xr:uid="{00000000-0005-0000-0000-000070680000}"/>
    <cellStyle name="常规 9 2 2 2 2 4 2 3 2 2 4" xfId="30440" xr:uid="{00000000-0005-0000-0000-000071680000}"/>
    <cellStyle name="常规 9 2 2 2 2 4 2 3 2 3" xfId="8936" xr:uid="{00000000-0005-0000-0000-000072680000}"/>
    <cellStyle name="常规 9 2 2 2 2 4 2 3 2 3 2" xfId="21224" xr:uid="{00000000-0005-0000-0000-000073680000}"/>
    <cellStyle name="常规 9 2 2 2 2 4 2 3 2 3 2 2" xfId="45800" xr:uid="{00000000-0005-0000-0000-000074680000}"/>
    <cellStyle name="常规 9 2 2 2 2 4 2 3 2 3 3" xfId="33512" xr:uid="{00000000-0005-0000-0000-000075680000}"/>
    <cellStyle name="常规 9 2 2 2 2 4 2 3 2 4" xfId="15080" xr:uid="{00000000-0005-0000-0000-000076680000}"/>
    <cellStyle name="常规 9 2 2 2 2 4 2 3 2 4 2" xfId="39656" xr:uid="{00000000-0005-0000-0000-000077680000}"/>
    <cellStyle name="常规 9 2 2 2 2 4 2 3 2 5" xfId="27368" xr:uid="{00000000-0005-0000-0000-000078680000}"/>
    <cellStyle name="常规 9 2 2 2 2 4 2 3 3" xfId="4328" xr:uid="{00000000-0005-0000-0000-000079680000}"/>
    <cellStyle name="常规 9 2 2 2 2 4 2 3 3 2" xfId="10472" xr:uid="{00000000-0005-0000-0000-00007A680000}"/>
    <cellStyle name="常规 9 2 2 2 2 4 2 3 3 2 2" xfId="22760" xr:uid="{00000000-0005-0000-0000-00007B680000}"/>
    <cellStyle name="常规 9 2 2 2 2 4 2 3 3 2 2 2" xfId="47336" xr:uid="{00000000-0005-0000-0000-00007C680000}"/>
    <cellStyle name="常规 9 2 2 2 2 4 2 3 3 2 3" xfId="35048" xr:uid="{00000000-0005-0000-0000-00007D680000}"/>
    <cellStyle name="常规 9 2 2 2 2 4 2 3 3 3" xfId="16616" xr:uid="{00000000-0005-0000-0000-00007E680000}"/>
    <cellStyle name="常规 9 2 2 2 2 4 2 3 3 3 2" xfId="41192" xr:uid="{00000000-0005-0000-0000-00007F680000}"/>
    <cellStyle name="常规 9 2 2 2 2 4 2 3 3 4" xfId="28904" xr:uid="{00000000-0005-0000-0000-000080680000}"/>
    <cellStyle name="常规 9 2 2 2 2 4 2 3 4" xfId="7400" xr:uid="{00000000-0005-0000-0000-000081680000}"/>
    <cellStyle name="常规 9 2 2 2 2 4 2 3 4 2" xfId="19688" xr:uid="{00000000-0005-0000-0000-000082680000}"/>
    <cellStyle name="常规 9 2 2 2 2 4 2 3 4 2 2" xfId="44264" xr:uid="{00000000-0005-0000-0000-000083680000}"/>
    <cellStyle name="常规 9 2 2 2 2 4 2 3 4 3" xfId="31976" xr:uid="{00000000-0005-0000-0000-000084680000}"/>
    <cellStyle name="常规 9 2 2 2 2 4 2 3 5" xfId="13544" xr:uid="{00000000-0005-0000-0000-000085680000}"/>
    <cellStyle name="常规 9 2 2 2 2 4 2 3 5 2" xfId="38120" xr:uid="{00000000-0005-0000-0000-000086680000}"/>
    <cellStyle name="常规 9 2 2 2 2 4 2 3 6" xfId="25832" xr:uid="{00000000-0005-0000-0000-000087680000}"/>
    <cellStyle name="常规 9 2 2 2 2 4 2 4" xfId="2020" xr:uid="{00000000-0005-0000-0000-000088680000}"/>
    <cellStyle name="常规 9 2 2 2 2 4 2 4 2" xfId="5096" xr:uid="{00000000-0005-0000-0000-000089680000}"/>
    <cellStyle name="常规 9 2 2 2 2 4 2 4 2 2" xfId="11240" xr:uid="{00000000-0005-0000-0000-00008A680000}"/>
    <cellStyle name="常规 9 2 2 2 2 4 2 4 2 2 2" xfId="23528" xr:uid="{00000000-0005-0000-0000-00008B680000}"/>
    <cellStyle name="常规 9 2 2 2 2 4 2 4 2 2 2 2" xfId="48104" xr:uid="{00000000-0005-0000-0000-00008C680000}"/>
    <cellStyle name="常规 9 2 2 2 2 4 2 4 2 2 3" xfId="35816" xr:uid="{00000000-0005-0000-0000-00008D680000}"/>
    <cellStyle name="常规 9 2 2 2 2 4 2 4 2 3" xfId="17384" xr:uid="{00000000-0005-0000-0000-00008E680000}"/>
    <cellStyle name="常规 9 2 2 2 2 4 2 4 2 3 2" xfId="41960" xr:uid="{00000000-0005-0000-0000-00008F680000}"/>
    <cellStyle name="常规 9 2 2 2 2 4 2 4 2 4" xfId="29672" xr:uid="{00000000-0005-0000-0000-000090680000}"/>
    <cellStyle name="常规 9 2 2 2 2 4 2 4 3" xfId="8168" xr:uid="{00000000-0005-0000-0000-000091680000}"/>
    <cellStyle name="常规 9 2 2 2 2 4 2 4 3 2" xfId="20456" xr:uid="{00000000-0005-0000-0000-000092680000}"/>
    <cellStyle name="常规 9 2 2 2 2 4 2 4 3 2 2" xfId="45032" xr:uid="{00000000-0005-0000-0000-000093680000}"/>
    <cellStyle name="常规 9 2 2 2 2 4 2 4 3 3" xfId="32744" xr:uid="{00000000-0005-0000-0000-000094680000}"/>
    <cellStyle name="常规 9 2 2 2 2 4 2 4 4" xfId="14312" xr:uid="{00000000-0005-0000-0000-000095680000}"/>
    <cellStyle name="常规 9 2 2 2 2 4 2 4 4 2" xfId="38888" xr:uid="{00000000-0005-0000-0000-000096680000}"/>
    <cellStyle name="常规 9 2 2 2 2 4 2 4 5" xfId="26600" xr:uid="{00000000-0005-0000-0000-000097680000}"/>
    <cellStyle name="常规 9 2 2 2 2 4 2 5" xfId="3560" xr:uid="{00000000-0005-0000-0000-000098680000}"/>
    <cellStyle name="常规 9 2 2 2 2 4 2 5 2" xfId="9704" xr:uid="{00000000-0005-0000-0000-000099680000}"/>
    <cellStyle name="常规 9 2 2 2 2 4 2 5 2 2" xfId="21992" xr:uid="{00000000-0005-0000-0000-00009A680000}"/>
    <cellStyle name="常规 9 2 2 2 2 4 2 5 2 2 2" xfId="46568" xr:uid="{00000000-0005-0000-0000-00009B680000}"/>
    <cellStyle name="常规 9 2 2 2 2 4 2 5 2 3" xfId="34280" xr:uid="{00000000-0005-0000-0000-00009C680000}"/>
    <cellStyle name="常规 9 2 2 2 2 4 2 5 3" xfId="15848" xr:uid="{00000000-0005-0000-0000-00009D680000}"/>
    <cellStyle name="常规 9 2 2 2 2 4 2 5 3 2" xfId="40424" xr:uid="{00000000-0005-0000-0000-00009E680000}"/>
    <cellStyle name="常规 9 2 2 2 2 4 2 5 4" xfId="28136" xr:uid="{00000000-0005-0000-0000-00009F680000}"/>
    <cellStyle name="常规 9 2 2 2 2 4 2 6" xfId="6632" xr:uid="{00000000-0005-0000-0000-0000A0680000}"/>
    <cellStyle name="常规 9 2 2 2 2 4 2 6 2" xfId="18920" xr:uid="{00000000-0005-0000-0000-0000A1680000}"/>
    <cellStyle name="常规 9 2 2 2 2 4 2 6 2 2" xfId="43496" xr:uid="{00000000-0005-0000-0000-0000A2680000}"/>
    <cellStyle name="常规 9 2 2 2 2 4 2 6 3" xfId="31208" xr:uid="{00000000-0005-0000-0000-0000A3680000}"/>
    <cellStyle name="常规 9 2 2 2 2 4 2 7" xfId="12776" xr:uid="{00000000-0005-0000-0000-0000A4680000}"/>
    <cellStyle name="常规 9 2 2 2 2 4 2 7 2" xfId="37352" xr:uid="{00000000-0005-0000-0000-0000A5680000}"/>
    <cellStyle name="常规 9 2 2 2 2 4 2 8" xfId="25064" xr:uid="{00000000-0005-0000-0000-0000A6680000}"/>
    <cellStyle name="常规 9 2 2 2 2 4 3" xfId="676" xr:uid="{00000000-0005-0000-0000-0000A7680000}"/>
    <cellStyle name="常规 9 2 2 2 2 4 3 2" xfId="1444" xr:uid="{00000000-0005-0000-0000-0000A8680000}"/>
    <cellStyle name="常规 9 2 2 2 2 4 3 2 2" xfId="2980" xr:uid="{00000000-0005-0000-0000-0000A9680000}"/>
    <cellStyle name="常规 9 2 2 2 2 4 3 2 2 2" xfId="6056" xr:uid="{00000000-0005-0000-0000-0000AA680000}"/>
    <cellStyle name="常规 9 2 2 2 2 4 3 2 2 2 2" xfId="12200" xr:uid="{00000000-0005-0000-0000-0000AB680000}"/>
    <cellStyle name="常规 9 2 2 2 2 4 3 2 2 2 2 2" xfId="24488" xr:uid="{00000000-0005-0000-0000-0000AC680000}"/>
    <cellStyle name="常规 9 2 2 2 2 4 3 2 2 2 2 2 2" xfId="49064" xr:uid="{00000000-0005-0000-0000-0000AD680000}"/>
    <cellStyle name="常规 9 2 2 2 2 4 3 2 2 2 2 3" xfId="36776" xr:uid="{00000000-0005-0000-0000-0000AE680000}"/>
    <cellStyle name="常规 9 2 2 2 2 4 3 2 2 2 3" xfId="18344" xr:uid="{00000000-0005-0000-0000-0000AF680000}"/>
    <cellStyle name="常规 9 2 2 2 2 4 3 2 2 2 3 2" xfId="42920" xr:uid="{00000000-0005-0000-0000-0000B0680000}"/>
    <cellStyle name="常规 9 2 2 2 2 4 3 2 2 2 4" xfId="30632" xr:uid="{00000000-0005-0000-0000-0000B1680000}"/>
    <cellStyle name="常规 9 2 2 2 2 4 3 2 2 3" xfId="9128" xr:uid="{00000000-0005-0000-0000-0000B2680000}"/>
    <cellStyle name="常规 9 2 2 2 2 4 3 2 2 3 2" xfId="21416" xr:uid="{00000000-0005-0000-0000-0000B3680000}"/>
    <cellStyle name="常规 9 2 2 2 2 4 3 2 2 3 2 2" xfId="45992" xr:uid="{00000000-0005-0000-0000-0000B4680000}"/>
    <cellStyle name="常规 9 2 2 2 2 4 3 2 2 3 3" xfId="33704" xr:uid="{00000000-0005-0000-0000-0000B5680000}"/>
    <cellStyle name="常规 9 2 2 2 2 4 3 2 2 4" xfId="15272" xr:uid="{00000000-0005-0000-0000-0000B6680000}"/>
    <cellStyle name="常规 9 2 2 2 2 4 3 2 2 4 2" xfId="39848" xr:uid="{00000000-0005-0000-0000-0000B7680000}"/>
    <cellStyle name="常规 9 2 2 2 2 4 3 2 2 5" xfId="27560" xr:uid="{00000000-0005-0000-0000-0000B8680000}"/>
    <cellStyle name="常规 9 2 2 2 2 4 3 2 3" xfId="4520" xr:uid="{00000000-0005-0000-0000-0000B9680000}"/>
    <cellStyle name="常规 9 2 2 2 2 4 3 2 3 2" xfId="10664" xr:uid="{00000000-0005-0000-0000-0000BA680000}"/>
    <cellStyle name="常规 9 2 2 2 2 4 3 2 3 2 2" xfId="22952" xr:uid="{00000000-0005-0000-0000-0000BB680000}"/>
    <cellStyle name="常规 9 2 2 2 2 4 3 2 3 2 2 2" xfId="47528" xr:uid="{00000000-0005-0000-0000-0000BC680000}"/>
    <cellStyle name="常规 9 2 2 2 2 4 3 2 3 2 3" xfId="35240" xr:uid="{00000000-0005-0000-0000-0000BD680000}"/>
    <cellStyle name="常规 9 2 2 2 2 4 3 2 3 3" xfId="16808" xr:uid="{00000000-0005-0000-0000-0000BE680000}"/>
    <cellStyle name="常规 9 2 2 2 2 4 3 2 3 3 2" xfId="41384" xr:uid="{00000000-0005-0000-0000-0000BF680000}"/>
    <cellStyle name="常规 9 2 2 2 2 4 3 2 3 4" xfId="29096" xr:uid="{00000000-0005-0000-0000-0000C0680000}"/>
    <cellStyle name="常规 9 2 2 2 2 4 3 2 4" xfId="7592" xr:uid="{00000000-0005-0000-0000-0000C1680000}"/>
    <cellStyle name="常规 9 2 2 2 2 4 3 2 4 2" xfId="19880" xr:uid="{00000000-0005-0000-0000-0000C2680000}"/>
    <cellStyle name="常规 9 2 2 2 2 4 3 2 4 2 2" xfId="44456" xr:uid="{00000000-0005-0000-0000-0000C3680000}"/>
    <cellStyle name="常规 9 2 2 2 2 4 3 2 4 3" xfId="32168" xr:uid="{00000000-0005-0000-0000-0000C4680000}"/>
    <cellStyle name="常规 9 2 2 2 2 4 3 2 5" xfId="13736" xr:uid="{00000000-0005-0000-0000-0000C5680000}"/>
    <cellStyle name="常规 9 2 2 2 2 4 3 2 5 2" xfId="38312" xr:uid="{00000000-0005-0000-0000-0000C6680000}"/>
    <cellStyle name="常规 9 2 2 2 2 4 3 2 6" xfId="26024" xr:uid="{00000000-0005-0000-0000-0000C7680000}"/>
    <cellStyle name="常规 9 2 2 2 2 4 3 3" xfId="2212" xr:uid="{00000000-0005-0000-0000-0000C8680000}"/>
    <cellStyle name="常规 9 2 2 2 2 4 3 3 2" xfId="5288" xr:uid="{00000000-0005-0000-0000-0000C9680000}"/>
    <cellStyle name="常规 9 2 2 2 2 4 3 3 2 2" xfId="11432" xr:uid="{00000000-0005-0000-0000-0000CA680000}"/>
    <cellStyle name="常规 9 2 2 2 2 4 3 3 2 2 2" xfId="23720" xr:uid="{00000000-0005-0000-0000-0000CB680000}"/>
    <cellStyle name="常规 9 2 2 2 2 4 3 3 2 2 2 2" xfId="48296" xr:uid="{00000000-0005-0000-0000-0000CC680000}"/>
    <cellStyle name="常规 9 2 2 2 2 4 3 3 2 2 3" xfId="36008" xr:uid="{00000000-0005-0000-0000-0000CD680000}"/>
    <cellStyle name="常规 9 2 2 2 2 4 3 3 2 3" xfId="17576" xr:uid="{00000000-0005-0000-0000-0000CE680000}"/>
    <cellStyle name="常规 9 2 2 2 2 4 3 3 2 3 2" xfId="42152" xr:uid="{00000000-0005-0000-0000-0000CF680000}"/>
    <cellStyle name="常规 9 2 2 2 2 4 3 3 2 4" xfId="29864" xr:uid="{00000000-0005-0000-0000-0000D0680000}"/>
    <cellStyle name="常规 9 2 2 2 2 4 3 3 3" xfId="8360" xr:uid="{00000000-0005-0000-0000-0000D1680000}"/>
    <cellStyle name="常规 9 2 2 2 2 4 3 3 3 2" xfId="20648" xr:uid="{00000000-0005-0000-0000-0000D2680000}"/>
    <cellStyle name="常规 9 2 2 2 2 4 3 3 3 2 2" xfId="45224" xr:uid="{00000000-0005-0000-0000-0000D3680000}"/>
    <cellStyle name="常规 9 2 2 2 2 4 3 3 3 3" xfId="32936" xr:uid="{00000000-0005-0000-0000-0000D4680000}"/>
    <cellStyle name="常规 9 2 2 2 2 4 3 3 4" xfId="14504" xr:uid="{00000000-0005-0000-0000-0000D5680000}"/>
    <cellStyle name="常规 9 2 2 2 2 4 3 3 4 2" xfId="39080" xr:uid="{00000000-0005-0000-0000-0000D6680000}"/>
    <cellStyle name="常规 9 2 2 2 2 4 3 3 5" xfId="26792" xr:uid="{00000000-0005-0000-0000-0000D7680000}"/>
    <cellStyle name="常规 9 2 2 2 2 4 3 4" xfId="3752" xr:uid="{00000000-0005-0000-0000-0000D8680000}"/>
    <cellStyle name="常规 9 2 2 2 2 4 3 4 2" xfId="9896" xr:uid="{00000000-0005-0000-0000-0000D9680000}"/>
    <cellStyle name="常规 9 2 2 2 2 4 3 4 2 2" xfId="22184" xr:uid="{00000000-0005-0000-0000-0000DA680000}"/>
    <cellStyle name="常规 9 2 2 2 2 4 3 4 2 2 2" xfId="46760" xr:uid="{00000000-0005-0000-0000-0000DB680000}"/>
    <cellStyle name="常规 9 2 2 2 2 4 3 4 2 3" xfId="34472" xr:uid="{00000000-0005-0000-0000-0000DC680000}"/>
    <cellStyle name="常规 9 2 2 2 2 4 3 4 3" xfId="16040" xr:uid="{00000000-0005-0000-0000-0000DD680000}"/>
    <cellStyle name="常规 9 2 2 2 2 4 3 4 3 2" xfId="40616" xr:uid="{00000000-0005-0000-0000-0000DE680000}"/>
    <cellStyle name="常规 9 2 2 2 2 4 3 4 4" xfId="28328" xr:uid="{00000000-0005-0000-0000-0000DF680000}"/>
    <cellStyle name="常规 9 2 2 2 2 4 3 5" xfId="6824" xr:uid="{00000000-0005-0000-0000-0000E0680000}"/>
    <cellStyle name="常规 9 2 2 2 2 4 3 5 2" xfId="19112" xr:uid="{00000000-0005-0000-0000-0000E1680000}"/>
    <cellStyle name="常规 9 2 2 2 2 4 3 5 2 2" xfId="43688" xr:uid="{00000000-0005-0000-0000-0000E2680000}"/>
    <cellStyle name="常规 9 2 2 2 2 4 3 5 3" xfId="31400" xr:uid="{00000000-0005-0000-0000-0000E3680000}"/>
    <cellStyle name="常规 9 2 2 2 2 4 3 6" xfId="12968" xr:uid="{00000000-0005-0000-0000-0000E4680000}"/>
    <cellStyle name="常规 9 2 2 2 2 4 3 6 2" xfId="37544" xr:uid="{00000000-0005-0000-0000-0000E5680000}"/>
    <cellStyle name="常规 9 2 2 2 2 4 3 7" xfId="25256" xr:uid="{00000000-0005-0000-0000-0000E6680000}"/>
    <cellStyle name="常规 9 2 2 2 2 4 4" xfId="1060" xr:uid="{00000000-0005-0000-0000-0000E7680000}"/>
    <cellStyle name="常规 9 2 2 2 2 4 4 2" xfId="2596" xr:uid="{00000000-0005-0000-0000-0000E8680000}"/>
    <cellStyle name="常规 9 2 2 2 2 4 4 2 2" xfId="5672" xr:uid="{00000000-0005-0000-0000-0000E9680000}"/>
    <cellStyle name="常规 9 2 2 2 2 4 4 2 2 2" xfId="11816" xr:uid="{00000000-0005-0000-0000-0000EA680000}"/>
    <cellStyle name="常规 9 2 2 2 2 4 4 2 2 2 2" xfId="24104" xr:uid="{00000000-0005-0000-0000-0000EB680000}"/>
    <cellStyle name="常规 9 2 2 2 2 4 4 2 2 2 2 2" xfId="48680" xr:uid="{00000000-0005-0000-0000-0000EC680000}"/>
    <cellStyle name="常规 9 2 2 2 2 4 4 2 2 2 3" xfId="36392" xr:uid="{00000000-0005-0000-0000-0000ED680000}"/>
    <cellStyle name="常规 9 2 2 2 2 4 4 2 2 3" xfId="17960" xr:uid="{00000000-0005-0000-0000-0000EE680000}"/>
    <cellStyle name="常规 9 2 2 2 2 4 4 2 2 3 2" xfId="42536" xr:uid="{00000000-0005-0000-0000-0000EF680000}"/>
    <cellStyle name="常规 9 2 2 2 2 4 4 2 2 4" xfId="30248" xr:uid="{00000000-0005-0000-0000-0000F0680000}"/>
    <cellStyle name="常规 9 2 2 2 2 4 4 2 3" xfId="8744" xr:uid="{00000000-0005-0000-0000-0000F1680000}"/>
    <cellStyle name="常规 9 2 2 2 2 4 4 2 3 2" xfId="21032" xr:uid="{00000000-0005-0000-0000-0000F2680000}"/>
    <cellStyle name="常规 9 2 2 2 2 4 4 2 3 2 2" xfId="45608" xr:uid="{00000000-0005-0000-0000-0000F3680000}"/>
    <cellStyle name="常规 9 2 2 2 2 4 4 2 3 3" xfId="33320" xr:uid="{00000000-0005-0000-0000-0000F4680000}"/>
    <cellStyle name="常规 9 2 2 2 2 4 4 2 4" xfId="14888" xr:uid="{00000000-0005-0000-0000-0000F5680000}"/>
    <cellStyle name="常规 9 2 2 2 2 4 4 2 4 2" xfId="39464" xr:uid="{00000000-0005-0000-0000-0000F6680000}"/>
    <cellStyle name="常规 9 2 2 2 2 4 4 2 5" xfId="27176" xr:uid="{00000000-0005-0000-0000-0000F7680000}"/>
    <cellStyle name="常规 9 2 2 2 2 4 4 3" xfId="4136" xr:uid="{00000000-0005-0000-0000-0000F8680000}"/>
    <cellStyle name="常规 9 2 2 2 2 4 4 3 2" xfId="10280" xr:uid="{00000000-0005-0000-0000-0000F9680000}"/>
    <cellStyle name="常规 9 2 2 2 2 4 4 3 2 2" xfId="22568" xr:uid="{00000000-0005-0000-0000-0000FA680000}"/>
    <cellStyle name="常规 9 2 2 2 2 4 4 3 2 2 2" xfId="47144" xr:uid="{00000000-0005-0000-0000-0000FB680000}"/>
    <cellStyle name="常规 9 2 2 2 2 4 4 3 2 3" xfId="34856" xr:uid="{00000000-0005-0000-0000-0000FC680000}"/>
    <cellStyle name="常规 9 2 2 2 2 4 4 3 3" xfId="16424" xr:uid="{00000000-0005-0000-0000-0000FD680000}"/>
    <cellStyle name="常规 9 2 2 2 2 4 4 3 3 2" xfId="41000" xr:uid="{00000000-0005-0000-0000-0000FE680000}"/>
    <cellStyle name="常规 9 2 2 2 2 4 4 3 4" xfId="28712" xr:uid="{00000000-0005-0000-0000-0000FF680000}"/>
    <cellStyle name="常规 9 2 2 2 2 4 4 4" xfId="7208" xr:uid="{00000000-0005-0000-0000-000000690000}"/>
    <cellStyle name="常规 9 2 2 2 2 4 4 4 2" xfId="19496" xr:uid="{00000000-0005-0000-0000-000001690000}"/>
    <cellStyle name="常规 9 2 2 2 2 4 4 4 2 2" xfId="44072" xr:uid="{00000000-0005-0000-0000-000002690000}"/>
    <cellStyle name="常规 9 2 2 2 2 4 4 4 3" xfId="31784" xr:uid="{00000000-0005-0000-0000-000003690000}"/>
    <cellStyle name="常规 9 2 2 2 2 4 4 5" xfId="13352" xr:uid="{00000000-0005-0000-0000-000004690000}"/>
    <cellStyle name="常规 9 2 2 2 2 4 4 5 2" xfId="37928" xr:uid="{00000000-0005-0000-0000-000005690000}"/>
    <cellStyle name="常规 9 2 2 2 2 4 4 6" xfId="25640" xr:uid="{00000000-0005-0000-0000-000006690000}"/>
    <cellStyle name="常规 9 2 2 2 2 4 5" xfId="1828" xr:uid="{00000000-0005-0000-0000-000007690000}"/>
    <cellStyle name="常规 9 2 2 2 2 4 5 2" xfId="4904" xr:uid="{00000000-0005-0000-0000-000008690000}"/>
    <cellStyle name="常规 9 2 2 2 2 4 5 2 2" xfId="11048" xr:uid="{00000000-0005-0000-0000-000009690000}"/>
    <cellStyle name="常规 9 2 2 2 2 4 5 2 2 2" xfId="23336" xr:uid="{00000000-0005-0000-0000-00000A690000}"/>
    <cellStyle name="常规 9 2 2 2 2 4 5 2 2 2 2" xfId="47912" xr:uid="{00000000-0005-0000-0000-00000B690000}"/>
    <cellStyle name="常规 9 2 2 2 2 4 5 2 2 3" xfId="35624" xr:uid="{00000000-0005-0000-0000-00000C690000}"/>
    <cellStyle name="常规 9 2 2 2 2 4 5 2 3" xfId="17192" xr:uid="{00000000-0005-0000-0000-00000D690000}"/>
    <cellStyle name="常规 9 2 2 2 2 4 5 2 3 2" xfId="41768" xr:uid="{00000000-0005-0000-0000-00000E690000}"/>
    <cellStyle name="常规 9 2 2 2 2 4 5 2 4" xfId="29480" xr:uid="{00000000-0005-0000-0000-00000F690000}"/>
    <cellStyle name="常规 9 2 2 2 2 4 5 3" xfId="7976" xr:uid="{00000000-0005-0000-0000-000010690000}"/>
    <cellStyle name="常规 9 2 2 2 2 4 5 3 2" xfId="20264" xr:uid="{00000000-0005-0000-0000-000011690000}"/>
    <cellStyle name="常规 9 2 2 2 2 4 5 3 2 2" xfId="44840" xr:uid="{00000000-0005-0000-0000-000012690000}"/>
    <cellStyle name="常规 9 2 2 2 2 4 5 3 3" xfId="32552" xr:uid="{00000000-0005-0000-0000-000013690000}"/>
    <cellStyle name="常规 9 2 2 2 2 4 5 4" xfId="14120" xr:uid="{00000000-0005-0000-0000-000014690000}"/>
    <cellStyle name="常规 9 2 2 2 2 4 5 4 2" xfId="38696" xr:uid="{00000000-0005-0000-0000-000015690000}"/>
    <cellStyle name="常规 9 2 2 2 2 4 5 5" xfId="26408" xr:uid="{00000000-0005-0000-0000-000016690000}"/>
    <cellStyle name="常规 9 2 2 2 2 4 6" xfId="3368" xr:uid="{00000000-0005-0000-0000-000017690000}"/>
    <cellStyle name="常规 9 2 2 2 2 4 6 2" xfId="9512" xr:uid="{00000000-0005-0000-0000-000018690000}"/>
    <cellStyle name="常规 9 2 2 2 2 4 6 2 2" xfId="21800" xr:uid="{00000000-0005-0000-0000-000019690000}"/>
    <cellStyle name="常规 9 2 2 2 2 4 6 2 2 2" xfId="46376" xr:uid="{00000000-0005-0000-0000-00001A690000}"/>
    <cellStyle name="常规 9 2 2 2 2 4 6 2 3" xfId="34088" xr:uid="{00000000-0005-0000-0000-00001B690000}"/>
    <cellStyle name="常规 9 2 2 2 2 4 6 3" xfId="15656" xr:uid="{00000000-0005-0000-0000-00001C690000}"/>
    <cellStyle name="常规 9 2 2 2 2 4 6 3 2" xfId="40232" xr:uid="{00000000-0005-0000-0000-00001D690000}"/>
    <cellStyle name="常规 9 2 2 2 2 4 6 4" xfId="27944" xr:uid="{00000000-0005-0000-0000-00001E690000}"/>
    <cellStyle name="常规 9 2 2 2 2 4 7" xfId="6440" xr:uid="{00000000-0005-0000-0000-00001F690000}"/>
    <cellStyle name="常规 9 2 2 2 2 4 7 2" xfId="18728" xr:uid="{00000000-0005-0000-0000-000020690000}"/>
    <cellStyle name="常规 9 2 2 2 2 4 7 2 2" xfId="43304" xr:uid="{00000000-0005-0000-0000-000021690000}"/>
    <cellStyle name="常规 9 2 2 2 2 4 7 3" xfId="31016" xr:uid="{00000000-0005-0000-0000-000022690000}"/>
    <cellStyle name="常规 9 2 2 2 2 4 8" xfId="12584" xr:uid="{00000000-0005-0000-0000-000023690000}"/>
    <cellStyle name="常规 9 2 2 2 2 4 8 2" xfId="37160" xr:uid="{00000000-0005-0000-0000-000024690000}"/>
    <cellStyle name="常规 9 2 2 2 2 4 9" xfId="24872" xr:uid="{00000000-0005-0000-0000-000025690000}"/>
    <cellStyle name="常规 9 2 2 2 2 5" xfId="356" xr:uid="{00000000-0005-0000-0000-000026690000}"/>
    <cellStyle name="常规 9 2 2 2 2 5 2" xfId="740" xr:uid="{00000000-0005-0000-0000-000027690000}"/>
    <cellStyle name="常规 9 2 2 2 2 5 2 2" xfId="1508" xr:uid="{00000000-0005-0000-0000-000028690000}"/>
    <cellStyle name="常规 9 2 2 2 2 5 2 2 2" xfId="3044" xr:uid="{00000000-0005-0000-0000-000029690000}"/>
    <cellStyle name="常规 9 2 2 2 2 5 2 2 2 2" xfId="6120" xr:uid="{00000000-0005-0000-0000-00002A690000}"/>
    <cellStyle name="常规 9 2 2 2 2 5 2 2 2 2 2" xfId="12264" xr:uid="{00000000-0005-0000-0000-00002B690000}"/>
    <cellStyle name="常规 9 2 2 2 2 5 2 2 2 2 2 2" xfId="24552" xr:uid="{00000000-0005-0000-0000-00002C690000}"/>
    <cellStyle name="常规 9 2 2 2 2 5 2 2 2 2 2 2 2" xfId="49128" xr:uid="{00000000-0005-0000-0000-00002D690000}"/>
    <cellStyle name="常规 9 2 2 2 2 5 2 2 2 2 2 3" xfId="36840" xr:uid="{00000000-0005-0000-0000-00002E690000}"/>
    <cellStyle name="常规 9 2 2 2 2 5 2 2 2 2 3" xfId="18408" xr:uid="{00000000-0005-0000-0000-00002F690000}"/>
    <cellStyle name="常规 9 2 2 2 2 5 2 2 2 2 3 2" xfId="42984" xr:uid="{00000000-0005-0000-0000-000030690000}"/>
    <cellStyle name="常规 9 2 2 2 2 5 2 2 2 2 4" xfId="30696" xr:uid="{00000000-0005-0000-0000-000031690000}"/>
    <cellStyle name="常规 9 2 2 2 2 5 2 2 2 3" xfId="9192" xr:uid="{00000000-0005-0000-0000-000032690000}"/>
    <cellStyle name="常规 9 2 2 2 2 5 2 2 2 3 2" xfId="21480" xr:uid="{00000000-0005-0000-0000-000033690000}"/>
    <cellStyle name="常规 9 2 2 2 2 5 2 2 2 3 2 2" xfId="46056" xr:uid="{00000000-0005-0000-0000-000034690000}"/>
    <cellStyle name="常规 9 2 2 2 2 5 2 2 2 3 3" xfId="33768" xr:uid="{00000000-0005-0000-0000-000035690000}"/>
    <cellStyle name="常规 9 2 2 2 2 5 2 2 2 4" xfId="15336" xr:uid="{00000000-0005-0000-0000-000036690000}"/>
    <cellStyle name="常规 9 2 2 2 2 5 2 2 2 4 2" xfId="39912" xr:uid="{00000000-0005-0000-0000-000037690000}"/>
    <cellStyle name="常规 9 2 2 2 2 5 2 2 2 5" xfId="27624" xr:uid="{00000000-0005-0000-0000-000038690000}"/>
    <cellStyle name="常规 9 2 2 2 2 5 2 2 3" xfId="4584" xr:uid="{00000000-0005-0000-0000-000039690000}"/>
    <cellStyle name="常规 9 2 2 2 2 5 2 2 3 2" xfId="10728" xr:uid="{00000000-0005-0000-0000-00003A690000}"/>
    <cellStyle name="常规 9 2 2 2 2 5 2 2 3 2 2" xfId="23016" xr:uid="{00000000-0005-0000-0000-00003B690000}"/>
    <cellStyle name="常规 9 2 2 2 2 5 2 2 3 2 2 2" xfId="47592" xr:uid="{00000000-0005-0000-0000-00003C690000}"/>
    <cellStyle name="常规 9 2 2 2 2 5 2 2 3 2 3" xfId="35304" xr:uid="{00000000-0005-0000-0000-00003D690000}"/>
    <cellStyle name="常规 9 2 2 2 2 5 2 2 3 3" xfId="16872" xr:uid="{00000000-0005-0000-0000-00003E690000}"/>
    <cellStyle name="常规 9 2 2 2 2 5 2 2 3 3 2" xfId="41448" xr:uid="{00000000-0005-0000-0000-00003F690000}"/>
    <cellStyle name="常规 9 2 2 2 2 5 2 2 3 4" xfId="29160" xr:uid="{00000000-0005-0000-0000-000040690000}"/>
    <cellStyle name="常规 9 2 2 2 2 5 2 2 4" xfId="7656" xr:uid="{00000000-0005-0000-0000-000041690000}"/>
    <cellStyle name="常规 9 2 2 2 2 5 2 2 4 2" xfId="19944" xr:uid="{00000000-0005-0000-0000-000042690000}"/>
    <cellStyle name="常规 9 2 2 2 2 5 2 2 4 2 2" xfId="44520" xr:uid="{00000000-0005-0000-0000-000043690000}"/>
    <cellStyle name="常规 9 2 2 2 2 5 2 2 4 3" xfId="32232" xr:uid="{00000000-0005-0000-0000-000044690000}"/>
    <cellStyle name="常规 9 2 2 2 2 5 2 2 5" xfId="13800" xr:uid="{00000000-0005-0000-0000-000045690000}"/>
    <cellStyle name="常规 9 2 2 2 2 5 2 2 5 2" xfId="38376" xr:uid="{00000000-0005-0000-0000-000046690000}"/>
    <cellStyle name="常规 9 2 2 2 2 5 2 2 6" xfId="26088" xr:uid="{00000000-0005-0000-0000-000047690000}"/>
    <cellStyle name="常规 9 2 2 2 2 5 2 3" xfId="2276" xr:uid="{00000000-0005-0000-0000-000048690000}"/>
    <cellStyle name="常规 9 2 2 2 2 5 2 3 2" xfId="5352" xr:uid="{00000000-0005-0000-0000-000049690000}"/>
    <cellStyle name="常规 9 2 2 2 2 5 2 3 2 2" xfId="11496" xr:uid="{00000000-0005-0000-0000-00004A690000}"/>
    <cellStyle name="常规 9 2 2 2 2 5 2 3 2 2 2" xfId="23784" xr:uid="{00000000-0005-0000-0000-00004B690000}"/>
    <cellStyle name="常规 9 2 2 2 2 5 2 3 2 2 2 2" xfId="48360" xr:uid="{00000000-0005-0000-0000-00004C690000}"/>
    <cellStyle name="常规 9 2 2 2 2 5 2 3 2 2 3" xfId="36072" xr:uid="{00000000-0005-0000-0000-00004D690000}"/>
    <cellStyle name="常规 9 2 2 2 2 5 2 3 2 3" xfId="17640" xr:uid="{00000000-0005-0000-0000-00004E690000}"/>
    <cellStyle name="常规 9 2 2 2 2 5 2 3 2 3 2" xfId="42216" xr:uid="{00000000-0005-0000-0000-00004F690000}"/>
    <cellStyle name="常规 9 2 2 2 2 5 2 3 2 4" xfId="29928" xr:uid="{00000000-0005-0000-0000-000050690000}"/>
    <cellStyle name="常规 9 2 2 2 2 5 2 3 3" xfId="8424" xr:uid="{00000000-0005-0000-0000-000051690000}"/>
    <cellStyle name="常规 9 2 2 2 2 5 2 3 3 2" xfId="20712" xr:uid="{00000000-0005-0000-0000-000052690000}"/>
    <cellStyle name="常规 9 2 2 2 2 5 2 3 3 2 2" xfId="45288" xr:uid="{00000000-0005-0000-0000-000053690000}"/>
    <cellStyle name="常规 9 2 2 2 2 5 2 3 3 3" xfId="33000" xr:uid="{00000000-0005-0000-0000-000054690000}"/>
    <cellStyle name="常规 9 2 2 2 2 5 2 3 4" xfId="14568" xr:uid="{00000000-0005-0000-0000-000055690000}"/>
    <cellStyle name="常规 9 2 2 2 2 5 2 3 4 2" xfId="39144" xr:uid="{00000000-0005-0000-0000-000056690000}"/>
    <cellStyle name="常规 9 2 2 2 2 5 2 3 5" xfId="26856" xr:uid="{00000000-0005-0000-0000-000057690000}"/>
    <cellStyle name="常规 9 2 2 2 2 5 2 4" xfId="3816" xr:uid="{00000000-0005-0000-0000-000058690000}"/>
    <cellStyle name="常规 9 2 2 2 2 5 2 4 2" xfId="9960" xr:uid="{00000000-0005-0000-0000-000059690000}"/>
    <cellStyle name="常规 9 2 2 2 2 5 2 4 2 2" xfId="22248" xr:uid="{00000000-0005-0000-0000-00005A690000}"/>
    <cellStyle name="常规 9 2 2 2 2 5 2 4 2 2 2" xfId="46824" xr:uid="{00000000-0005-0000-0000-00005B690000}"/>
    <cellStyle name="常规 9 2 2 2 2 5 2 4 2 3" xfId="34536" xr:uid="{00000000-0005-0000-0000-00005C690000}"/>
    <cellStyle name="常规 9 2 2 2 2 5 2 4 3" xfId="16104" xr:uid="{00000000-0005-0000-0000-00005D690000}"/>
    <cellStyle name="常规 9 2 2 2 2 5 2 4 3 2" xfId="40680" xr:uid="{00000000-0005-0000-0000-00005E690000}"/>
    <cellStyle name="常规 9 2 2 2 2 5 2 4 4" xfId="28392" xr:uid="{00000000-0005-0000-0000-00005F690000}"/>
    <cellStyle name="常规 9 2 2 2 2 5 2 5" xfId="6888" xr:uid="{00000000-0005-0000-0000-000060690000}"/>
    <cellStyle name="常规 9 2 2 2 2 5 2 5 2" xfId="19176" xr:uid="{00000000-0005-0000-0000-000061690000}"/>
    <cellStyle name="常规 9 2 2 2 2 5 2 5 2 2" xfId="43752" xr:uid="{00000000-0005-0000-0000-000062690000}"/>
    <cellStyle name="常规 9 2 2 2 2 5 2 5 3" xfId="31464" xr:uid="{00000000-0005-0000-0000-000063690000}"/>
    <cellStyle name="常规 9 2 2 2 2 5 2 6" xfId="13032" xr:uid="{00000000-0005-0000-0000-000064690000}"/>
    <cellStyle name="常规 9 2 2 2 2 5 2 6 2" xfId="37608" xr:uid="{00000000-0005-0000-0000-000065690000}"/>
    <cellStyle name="常规 9 2 2 2 2 5 2 7" xfId="25320" xr:uid="{00000000-0005-0000-0000-000066690000}"/>
    <cellStyle name="常规 9 2 2 2 2 5 3" xfId="1124" xr:uid="{00000000-0005-0000-0000-000067690000}"/>
    <cellStyle name="常规 9 2 2 2 2 5 3 2" xfId="2660" xr:uid="{00000000-0005-0000-0000-000068690000}"/>
    <cellStyle name="常规 9 2 2 2 2 5 3 2 2" xfId="5736" xr:uid="{00000000-0005-0000-0000-000069690000}"/>
    <cellStyle name="常规 9 2 2 2 2 5 3 2 2 2" xfId="11880" xr:uid="{00000000-0005-0000-0000-00006A690000}"/>
    <cellStyle name="常规 9 2 2 2 2 5 3 2 2 2 2" xfId="24168" xr:uid="{00000000-0005-0000-0000-00006B690000}"/>
    <cellStyle name="常规 9 2 2 2 2 5 3 2 2 2 2 2" xfId="48744" xr:uid="{00000000-0005-0000-0000-00006C690000}"/>
    <cellStyle name="常规 9 2 2 2 2 5 3 2 2 2 3" xfId="36456" xr:uid="{00000000-0005-0000-0000-00006D690000}"/>
    <cellStyle name="常规 9 2 2 2 2 5 3 2 2 3" xfId="18024" xr:uid="{00000000-0005-0000-0000-00006E690000}"/>
    <cellStyle name="常规 9 2 2 2 2 5 3 2 2 3 2" xfId="42600" xr:uid="{00000000-0005-0000-0000-00006F690000}"/>
    <cellStyle name="常规 9 2 2 2 2 5 3 2 2 4" xfId="30312" xr:uid="{00000000-0005-0000-0000-000070690000}"/>
    <cellStyle name="常规 9 2 2 2 2 5 3 2 3" xfId="8808" xr:uid="{00000000-0005-0000-0000-000071690000}"/>
    <cellStyle name="常规 9 2 2 2 2 5 3 2 3 2" xfId="21096" xr:uid="{00000000-0005-0000-0000-000072690000}"/>
    <cellStyle name="常规 9 2 2 2 2 5 3 2 3 2 2" xfId="45672" xr:uid="{00000000-0005-0000-0000-000073690000}"/>
    <cellStyle name="常规 9 2 2 2 2 5 3 2 3 3" xfId="33384" xr:uid="{00000000-0005-0000-0000-000074690000}"/>
    <cellStyle name="常规 9 2 2 2 2 5 3 2 4" xfId="14952" xr:uid="{00000000-0005-0000-0000-000075690000}"/>
    <cellStyle name="常规 9 2 2 2 2 5 3 2 4 2" xfId="39528" xr:uid="{00000000-0005-0000-0000-000076690000}"/>
    <cellStyle name="常规 9 2 2 2 2 5 3 2 5" xfId="27240" xr:uid="{00000000-0005-0000-0000-000077690000}"/>
    <cellStyle name="常规 9 2 2 2 2 5 3 3" xfId="4200" xr:uid="{00000000-0005-0000-0000-000078690000}"/>
    <cellStyle name="常规 9 2 2 2 2 5 3 3 2" xfId="10344" xr:uid="{00000000-0005-0000-0000-000079690000}"/>
    <cellStyle name="常规 9 2 2 2 2 5 3 3 2 2" xfId="22632" xr:uid="{00000000-0005-0000-0000-00007A690000}"/>
    <cellStyle name="常规 9 2 2 2 2 5 3 3 2 2 2" xfId="47208" xr:uid="{00000000-0005-0000-0000-00007B690000}"/>
    <cellStyle name="常规 9 2 2 2 2 5 3 3 2 3" xfId="34920" xr:uid="{00000000-0005-0000-0000-00007C690000}"/>
    <cellStyle name="常规 9 2 2 2 2 5 3 3 3" xfId="16488" xr:uid="{00000000-0005-0000-0000-00007D690000}"/>
    <cellStyle name="常规 9 2 2 2 2 5 3 3 3 2" xfId="41064" xr:uid="{00000000-0005-0000-0000-00007E690000}"/>
    <cellStyle name="常规 9 2 2 2 2 5 3 3 4" xfId="28776" xr:uid="{00000000-0005-0000-0000-00007F690000}"/>
    <cellStyle name="常规 9 2 2 2 2 5 3 4" xfId="7272" xr:uid="{00000000-0005-0000-0000-000080690000}"/>
    <cellStyle name="常规 9 2 2 2 2 5 3 4 2" xfId="19560" xr:uid="{00000000-0005-0000-0000-000081690000}"/>
    <cellStyle name="常规 9 2 2 2 2 5 3 4 2 2" xfId="44136" xr:uid="{00000000-0005-0000-0000-000082690000}"/>
    <cellStyle name="常规 9 2 2 2 2 5 3 4 3" xfId="31848" xr:uid="{00000000-0005-0000-0000-000083690000}"/>
    <cellStyle name="常规 9 2 2 2 2 5 3 5" xfId="13416" xr:uid="{00000000-0005-0000-0000-000084690000}"/>
    <cellStyle name="常规 9 2 2 2 2 5 3 5 2" xfId="37992" xr:uid="{00000000-0005-0000-0000-000085690000}"/>
    <cellStyle name="常规 9 2 2 2 2 5 3 6" xfId="25704" xr:uid="{00000000-0005-0000-0000-000086690000}"/>
    <cellStyle name="常规 9 2 2 2 2 5 4" xfId="1892" xr:uid="{00000000-0005-0000-0000-000087690000}"/>
    <cellStyle name="常规 9 2 2 2 2 5 4 2" xfId="4968" xr:uid="{00000000-0005-0000-0000-000088690000}"/>
    <cellStyle name="常规 9 2 2 2 2 5 4 2 2" xfId="11112" xr:uid="{00000000-0005-0000-0000-000089690000}"/>
    <cellStyle name="常规 9 2 2 2 2 5 4 2 2 2" xfId="23400" xr:uid="{00000000-0005-0000-0000-00008A690000}"/>
    <cellStyle name="常规 9 2 2 2 2 5 4 2 2 2 2" xfId="47976" xr:uid="{00000000-0005-0000-0000-00008B690000}"/>
    <cellStyle name="常规 9 2 2 2 2 5 4 2 2 3" xfId="35688" xr:uid="{00000000-0005-0000-0000-00008C690000}"/>
    <cellStyle name="常规 9 2 2 2 2 5 4 2 3" xfId="17256" xr:uid="{00000000-0005-0000-0000-00008D690000}"/>
    <cellStyle name="常规 9 2 2 2 2 5 4 2 3 2" xfId="41832" xr:uid="{00000000-0005-0000-0000-00008E690000}"/>
    <cellStyle name="常规 9 2 2 2 2 5 4 2 4" xfId="29544" xr:uid="{00000000-0005-0000-0000-00008F690000}"/>
    <cellStyle name="常规 9 2 2 2 2 5 4 3" xfId="8040" xr:uid="{00000000-0005-0000-0000-000090690000}"/>
    <cellStyle name="常规 9 2 2 2 2 5 4 3 2" xfId="20328" xr:uid="{00000000-0005-0000-0000-000091690000}"/>
    <cellStyle name="常规 9 2 2 2 2 5 4 3 2 2" xfId="44904" xr:uid="{00000000-0005-0000-0000-000092690000}"/>
    <cellStyle name="常规 9 2 2 2 2 5 4 3 3" xfId="32616" xr:uid="{00000000-0005-0000-0000-000093690000}"/>
    <cellStyle name="常规 9 2 2 2 2 5 4 4" xfId="14184" xr:uid="{00000000-0005-0000-0000-000094690000}"/>
    <cellStyle name="常规 9 2 2 2 2 5 4 4 2" xfId="38760" xr:uid="{00000000-0005-0000-0000-000095690000}"/>
    <cellStyle name="常规 9 2 2 2 2 5 4 5" xfId="26472" xr:uid="{00000000-0005-0000-0000-000096690000}"/>
    <cellStyle name="常规 9 2 2 2 2 5 5" xfId="3432" xr:uid="{00000000-0005-0000-0000-000097690000}"/>
    <cellStyle name="常规 9 2 2 2 2 5 5 2" xfId="9576" xr:uid="{00000000-0005-0000-0000-000098690000}"/>
    <cellStyle name="常规 9 2 2 2 2 5 5 2 2" xfId="21864" xr:uid="{00000000-0005-0000-0000-000099690000}"/>
    <cellStyle name="常规 9 2 2 2 2 5 5 2 2 2" xfId="46440" xr:uid="{00000000-0005-0000-0000-00009A690000}"/>
    <cellStyle name="常规 9 2 2 2 2 5 5 2 3" xfId="34152" xr:uid="{00000000-0005-0000-0000-00009B690000}"/>
    <cellStyle name="常规 9 2 2 2 2 5 5 3" xfId="15720" xr:uid="{00000000-0005-0000-0000-00009C690000}"/>
    <cellStyle name="常规 9 2 2 2 2 5 5 3 2" xfId="40296" xr:uid="{00000000-0005-0000-0000-00009D690000}"/>
    <cellStyle name="常规 9 2 2 2 2 5 5 4" xfId="28008" xr:uid="{00000000-0005-0000-0000-00009E690000}"/>
    <cellStyle name="常规 9 2 2 2 2 5 6" xfId="6504" xr:uid="{00000000-0005-0000-0000-00009F690000}"/>
    <cellStyle name="常规 9 2 2 2 2 5 6 2" xfId="18792" xr:uid="{00000000-0005-0000-0000-0000A0690000}"/>
    <cellStyle name="常规 9 2 2 2 2 5 6 2 2" xfId="43368" xr:uid="{00000000-0005-0000-0000-0000A1690000}"/>
    <cellStyle name="常规 9 2 2 2 2 5 6 3" xfId="31080" xr:uid="{00000000-0005-0000-0000-0000A2690000}"/>
    <cellStyle name="常规 9 2 2 2 2 5 7" xfId="12648" xr:uid="{00000000-0005-0000-0000-0000A3690000}"/>
    <cellStyle name="常规 9 2 2 2 2 5 7 2" xfId="37224" xr:uid="{00000000-0005-0000-0000-0000A4690000}"/>
    <cellStyle name="常规 9 2 2 2 2 5 8" xfId="24936" xr:uid="{00000000-0005-0000-0000-0000A5690000}"/>
    <cellStyle name="常规 9 2 2 2 2 6" xfId="548" xr:uid="{00000000-0005-0000-0000-0000A6690000}"/>
    <cellStyle name="常规 9 2 2 2 2 6 2" xfId="1316" xr:uid="{00000000-0005-0000-0000-0000A7690000}"/>
    <cellStyle name="常规 9 2 2 2 2 6 2 2" xfId="2852" xr:uid="{00000000-0005-0000-0000-0000A8690000}"/>
    <cellStyle name="常规 9 2 2 2 2 6 2 2 2" xfId="5928" xr:uid="{00000000-0005-0000-0000-0000A9690000}"/>
    <cellStyle name="常规 9 2 2 2 2 6 2 2 2 2" xfId="12072" xr:uid="{00000000-0005-0000-0000-0000AA690000}"/>
    <cellStyle name="常规 9 2 2 2 2 6 2 2 2 2 2" xfId="24360" xr:uid="{00000000-0005-0000-0000-0000AB690000}"/>
    <cellStyle name="常规 9 2 2 2 2 6 2 2 2 2 2 2" xfId="48936" xr:uid="{00000000-0005-0000-0000-0000AC690000}"/>
    <cellStyle name="常规 9 2 2 2 2 6 2 2 2 2 3" xfId="36648" xr:uid="{00000000-0005-0000-0000-0000AD690000}"/>
    <cellStyle name="常规 9 2 2 2 2 6 2 2 2 3" xfId="18216" xr:uid="{00000000-0005-0000-0000-0000AE690000}"/>
    <cellStyle name="常规 9 2 2 2 2 6 2 2 2 3 2" xfId="42792" xr:uid="{00000000-0005-0000-0000-0000AF690000}"/>
    <cellStyle name="常规 9 2 2 2 2 6 2 2 2 4" xfId="30504" xr:uid="{00000000-0005-0000-0000-0000B0690000}"/>
    <cellStyle name="常规 9 2 2 2 2 6 2 2 3" xfId="9000" xr:uid="{00000000-0005-0000-0000-0000B1690000}"/>
    <cellStyle name="常规 9 2 2 2 2 6 2 2 3 2" xfId="21288" xr:uid="{00000000-0005-0000-0000-0000B2690000}"/>
    <cellStyle name="常规 9 2 2 2 2 6 2 2 3 2 2" xfId="45864" xr:uid="{00000000-0005-0000-0000-0000B3690000}"/>
    <cellStyle name="常规 9 2 2 2 2 6 2 2 3 3" xfId="33576" xr:uid="{00000000-0005-0000-0000-0000B4690000}"/>
    <cellStyle name="常规 9 2 2 2 2 6 2 2 4" xfId="15144" xr:uid="{00000000-0005-0000-0000-0000B5690000}"/>
    <cellStyle name="常规 9 2 2 2 2 6 2 2 4 2" xfId="39720" xr:uid="{00000000-0005-0000-0000-0000B6690000}"/>
    <cellStyle name="常规 9 2 2 2 2 6 2 2 5" xfId="27432" xr:uid="{00000000-0005-0000-0000-0000B7690000}"/>
    <cellStyle name="常规 9 2 2 2 2 6 2 3" xfId="4392" xr:uid="{00000000-0005-0000-0000-0000B8690000}"/>
    <cellStyle name="常规 9 2 2 2 2 6 2 3 2" xfId="10536" xr:uid="{00000000-0005-0000-0000-0000B9690000}"/>
    <cellStyle name="常规 9 2 2 2 2 6 2 3 2 2" xfId="22824" xr:uid="{00000000-0005-0000-0000-0000BA690000}"/>
    <cellStyle name="常规 9 2 2 2 2 6 2 3 2 2 2" xfId="47400" xr:uid="{00000000-0005-0000-0000-0000BB690000}"/>
    <cellStyle name="常规 9 2 2 2 2 6 2 3 2 3" xfId="35112" xr:uid="{00000000-0005-0000-0000-0000BC690000}"/>
    <cellStyle name="常规 9 2 2 2 2 6 2 3 3" xfId="16680" xr:uid="{00000000-0005-0000-0000-0000BD690000}"/>
    <cellStyle name="常规 9 2 2 2 2 6 2 3 3 2" xfId="41256" xr:uid="{00000000-0005-0000-0000-0000BE690000}"/>
    <cellStyle name="常规 9 2 2 2 2 6 2 3 4" xfId="28968" xr:uid="{00000000-0005-0000-0000-0000BF690000}"/>
    <cellStyle name="常规 9 2 2 2 2 6 2 4" xfId="7464" xr:uid="{00000000-0005-0000-0000-0000C0690000}"/>
    <cellStyle name="常规 9 2 2 2 2 6 2 4 2" xfId="19752" xr:uid="{00000000-0005-0000-0000-0000C1690000}"/>
    <cellStyle name="常规 9 2 2 2 2 6 2 4 2 2" xfId="44328" xr:uid="{00000000-0005-0000-0000-0000C2690000}"/>
    <cellStyle name="常规 9 2 2 2 2 6 2 4 3" xfId="32040" xr:uid="{00000000-0005-0000-0000-0000C3690000}"/>
    <cellStyle name="常规 9 2 2 2 2 6 2 5" xfId="13608" xr:uid="{00000000-0005-0000-0000-0000C4690000}"/>
    <cellStyle name="常规 9 2 2 2 2 6 2 5 2" xfId="38184" xr:uid="{00000000-0005-0000-0000-0000C5690000}"/>
    <cellStyle name="常规 9 2 2 2 2 6 2 6" xfId="25896" xr:uid="{00000000-0005-0000-0000-0000C6690000}"/>
    <cellStyle name="常规 9 2 2 2 2 6 3" xfId="2084" xr:uid="{00000000-0005-0000-0000-0000C7690000}"/>
    <cellStyle name="常规 9 2 2 2 2 6 3 2" xfId="5160" xr:uid="{00000000-0005-0000-0000-0000C8690000}"/>
    <cellStyle name="常规 9 2 2 2 2 6 3 2 2" xfId="11304" xr:uid="{00000000-0005-0000-0000-0000C9690000}"/>
    <cellStyle name="常规 9 2 2 2 2 6 3 2 2 2" xfId="23592" xr:uid="{00000000-0005-0000-0000-0000CA690000}"/>
    <cellStyle name="常规 9 2 2 2 2 6 3 2 2 2 2" xfId="48168" xr:uid="{00000000-0005-0000-0000-0000CB690000}"/>
    <cellStyle name="常规 9 2 2 2 2 6 3 2 2 3" xfId="35880" xr:uid="{00000000-0005-0000-0000-0000CC690000}"/>
    <cellStyle name="常规 9 2 2 2 2 6 3 2 3" xfId="17448" xr:uid="{00000000-0005-0000-0000-0000CD690000}"/>
    <cellStyle name="常规 9 2 2 2 2 6 3 2 3 2" xfId="42024" xr:uid="{00000000-0005-0000-0000-0000CE690000}"/>
    <cellStyle name="常规 9 2 2 2 2 6 3 2 4" xfId="29736" xr:uid="{00000000-0005-0000-0000-0000CF690000}"/>
    <cellStyle name="常规 9 2 2 2 2 6 3 3" xfId="8232" xr:uid="{00000000-0005-0000-0000-0000D0690000}"/>
    <cellStyle name="常规 9 2 2 2 2 6 3 3 2" xfId="20520" xr:uid="{00000000-0005-0000-0000-0000D1690000}"/>
    <cellStyle name="常规 9 2 2 2 2 6 3 3 2 2" xfId="45096" xr:uid="{00000000-0005-0000-0000-0000D2690000}"/>
    <cellStyle name="常规 9 2 2 2 2 6 3 3 3" xfId="32808" xr:uid="{00000000-0005-0000-0000-0000D3690000}"/>
    <cellStyle name="常规 9 2 2 2 2 6 3 4" xfId="14376" xr:uid="{00000000-0005-0000-0000-0000D4690000}"/>
    <cellStyle name="常规 9 2 2 2 2 6 3 4 2" xfId="38952" xr:uid="{00000000-0005-0000-0000-0000D5690000}"/>
    <cellStyle name="常规 9 2 2 2 2 6 3 5" xfId="26664" xr:uid="{00000000-0005-0000-0000-0000D6690000}"/>
    <cellStyle name="常规 9 2 2 2 2 6 4" xfId="3624" xr:uid="{00000000-0005-0000-0000-0000D7690000}"/>
    <cellStyle name="常规 9 2 2 2 2 6 4 2" xfId="9768" xr:uid="{00000000-0005-0000-0000-0000D8690000}"/>
    <cellStyle name="常规 9 2 2 2 2 6 4 2 2" xfId="22056" xr:uid="{00000000-0005-0000-0000-0000D9690000}"/>
    <cellStyle name="常规 9 2 2 2 2 6 4 2 2 2" xfId="46632" xr:uid="{00000000-0005-0000-0000-0000DA690000}"/>
    <cellStyle name="常规 9 2 2 2 2 6 4 2 3" xfId="34344" xr:uid="{00000000-0005-0000-0000-0000DB690000}"/>
    <cellStyle name="常规 9 2 2 2 2 6 4 3" xfId="15912" xr:uid="{00000000-0005-0000-0000-0000DC690000}"/>
    <cellStyle name="常规 9 2 2 2 2 6 4 3 2" xfId="40488" xr:uid="{00000000-0005-0000-0000-0000DD690000}"/>
    <cellStyle name="常规 9 2 2 2 2 6 4 4" xfId="28200" xr:uid="{00000000-0005-0000-0000-0000DE690000}"/>
    <cellStyle name="常规 9 2 2 2 2 6 5" xfId="6696" xr:uid="{00000000-0005-0000-0000-0000DF690000}"/>
    <cellStyle name="常规 9 2 2 2 2 6 5 2" xfId="18984" xr:uid="{00000000-0005-0000-0000-0000E0690000}"/>
    <cellStyle name="常规 9 2 2 2 2 6 5 2 2" xfId="43560" xr:uid="{00000000-0005-0000-0000-0000E1690000}"/>
    <cellStyle name="常规 9 2 2 2 2 6 5 3" xfId="31272" xr:uid="{00000000-0005-0000-0000-0000E2690000}"/>
    <cellStyle name="常规 9 2 2 2 2 6 6" xfId="12840" xr:uid="{00000000-0005-0000-0000-0000E3690000}"/>
    <cellStyle name="常规 9 2 2 2 2 6 6 2" xfId="37416" xr:uid="{00000000-0005-0000-0000-0000E4690000}"/>
    <cellStyle name="常规 9 2 2 2 2 6 7" xfId="25128" xr:uid="{00000000-0005-0000-0000-0000E5690000}"/>
    <cellStyle name="常规 9 2 2 2 2 7" xfId="932" xr:uid="{00000000-0005-0000-0000-0000E6690000}"/>
    <cellStyle name="常规 9 2 2 2 2 7 2" xfId="2468" xr:uid="{00000000-0005-0000-0000-0000E7690000}"/>
    <cellStyle name="常规 9 2 2 2 2 7 2 2" xfId="5544" xr:uid="{00000000-0005-0000-0000-0000E8690000}"/>
    <cellStyle name="常规 9 2 2 2 2 7 2 2 2" xfId="11688" xr:uid="{00000000-0005-0000-0000-0000E9690000}"/>
    <cellStyle name="常规 9 2 2 2 2 7 2 2 2 2" xfId="23976" xr:uid="{00000000-0005-0000-0000-0000EA690000}"/>
    <cellStyle name="常规 9 2 2 2 2 7 2 2 2 2 2" xfId="48552" xr:uid="{00000000-0005-0000-0000-0000EB690000}"/>
    <cellStyle name="常规 9 2 2 2 2 7 2 2 2 3" xfId="36264" xr:uid="{00000000-0005-0000-0000-0000EC690000}"/>
    <cellStyle name="常规 9 2 2 2 2 7 2 2 3" xfId="17832" xr:uid="{00000000-0005-0000-0000-0000ED690000}"/>
    <cellStyle name="常规 9 2 2 2 2 7 2 2 3 2" xfId="42408" xr:uid="{00000000-0005-0000-0000-0000EE690000}"/>
    <cellStyle name="常规 9 2 2 2 2 7 2 2 4" xfId="30120" xr:uid="{00000000-0005-0000-0000-0000EF690000}"/>
    <cellStyle name="常规 9 2 2 2 2 7 2 3" xfId="8616" xr:uid="{00000000-0005-0000-0000-0000F0690000}"/>
    <cellStyle name="常规 9 2 2 2 2 7 2 3 2" xfId="20904" xr:uid="{00000000-0005-0000-0000-0000F1690000}"/>
    <cellStyle name="常规 9 2 2 2 2 7 2 3 2 2" xfId="45480" xr:uid="{00000000-0005-0000-0000-0000F2690000}"/>
    <cellStyle name="常规 9 2 2 2 2 7 2 3 3" xfId="33192" xr:uid="{00000000-0005-0000-0000-0000F3690000}"/>
    <cellStyle name="常规 9 2 2 2 2 7 2 4" xfId="14760" xr:uid="{00000000-0005-0000-0000-0000F4690000}"/>
    <cellStyle name="常规 9 2 2 2 2 7 2 4 2" xfId="39336" xr:uid="{00000000-0005-0000-0000-0000F5690000}"/>
    <cellStyle name="常规 9 2 2 2 2 7 2 5" xfId="27048" xr:uid="{00000000-0005-0000-0000-0000F6690000}"/>
    <cellStyle name="常规 9 2 2 2 2 7 3" xfId="4008" xr:uid="{00000000-0005-0000-0000-0000F7690000}"/>
    <cellStyle name="常规 9 2 2 2 2 7 3 2" xfId="10152" xr:uid="{00000000-0005-0000-0000-0000F8690000}"/>
    <cellStyle name="常规 9 2 2 2 2 7 3 2 2" xfId="22440" xr:uid="{00000000-0005-0000-0000-0000F9690000}"/>
    <cellStyle name="常规 9 2 2 2 2 7 3 2 2 2" xfId="47016" xr:uid="{00000000-0005-0000-0000-0000FA690000}"/>
    <cellStyle name="常规 9 2 2 2 2 7 3 2 3" xfId="34728" xr:uid="{00000000-0005-0000-0000-0000FB690000}"/>
    <cellStyle name="常规 9 2 2 2 2 7 3 3" xfId="16296" xr:uid="{00000000-0005-0000-0000-0000FC690000}"/>
    <cellStyle name="常规 9 2 2 2 2 7 3 3 2" xfId="40872" xr:uid="{00000000-0005-0000-0000-0000FD690000}"/>
    <cellStyle name="常规 9 2 2 2 2 7 3 4" xfId="28584" xr:uid="{00000000-0005-0000-0000-0000FE690000}"/>
    <cellStyle name="常规 9 2 2 2 2 7 4" xfId="7080" xr:uid="{00000000-0005-0000-0000-0000FF690000}"/>
    <cellStyle name="常规 9 2 2 2 2 7 4 2" xfId="19368" xr:uid="{00000000-0005-0000-0000-0000006A0000}"/>
    <cellStyle name="常规 9 2 2 2 2 7 4 2 2" xfId="43944" xr:uid="{00000000-0005-0000-0000-0000016A0000}"/>
    <cellStyle name="常规 9 2 2 2 2 7 4 3" xfId="31656" xr:uid="{00000000-0005-0000-0000-0000026A0000}"/>
    <cellStyle name="常规 9 2 2 2 2 7 5" xfId="13224" xr:uid="{00000000-0005-0000-0000-0000036A0000}"/>
    <cellStyle name="常规 9 2 2 2 2 7 5 2" xfId="37800" xr:uid="{00000000-0005-0000-0000-0000046A0000}"/>
    <cellStyle name="常规 9 2 2 2 2 7 6" xfId="25512" xr:uid="{00000000-0005-0000-0000-0000056A0000}"/>
    <cellStyle name="常规 9 2 2 2 2 8" xfId="1700" xr:uid="{00000000-0005-0000-0000-0000066A0000}"/>
    <cellStyle name="常规 9 2 2 2 2 8 2" xfId="4776" xr:uid="{00000000-0005-0000-0000-0000076A0000}"/>
    <cellStyle name="常规 9 2 2 2 2 8 2 2" xfId="10920" xr:uid="{00000000-0005-0000-0000-0000086A0000}"/>
    <cellStyle name="常规 9 2 2 2 2 8 2 2 2" xfId="23208" xr:uid="{00000000-0005-0000-0000-0000096A0000}"/>
    <cellStyle name="常规 9 2 2 2 2 8 2 2 2 2" xfId="47784" xr:uid="{00000000-0005-0000-0000-00000A6A0000}"/>
    <cellStyle name="常规 9 2 2 2 2 8 2 2 3" xfId="35496" xr:uid="{00000000-0005-0000-0000-00000B6A0000}"/>
    <cellStyle name="常规 9 2 2 2 2 8 2 3" xfId="17064" xr:uid="{00000000-0005-0000-0000-00000C6A0000}"/>
    <cellStyle name="常规 9 2 2 2 2 8 2 3 2" xfId="41640" xr:uid="{00000000-0005-0000-0000-00000D6A0000}"/>
    <cellStyle name="常规 9 2 2 2 2 8 2 4" xfId="29352" xr:uid="{00000000-0005-0000-0000-00000E6A0000}"/>
    <cellStyle name="常规 9 2 2 2 2 8 3" xfId="7848" xr:uid="{00000000-0005-0000-0000-00000F6A0000}"/>
    <cellStyle name="常规 9 2 2 2 2 8 3 2" xfId="20136" xr:uid="{00000000-0005-0000-0000-0000106A0000}"/>
    <cellStyle name="常规 9 2 2 2 2 8 3 2 2" xfId="44712" xr:uid="{00000000-0005-0000-0000-0000116A0000}"/>
    <cellStyle name="常规 9 2 2 2 2 8 3 3" xfId="32424" xr:uid="{00000000-0005-0000-0000-0000126A0000}"/>
    <cellStyle name="常规 9 2 2 2 2 8 4" xfId="13992" xr:uid="{00000000-0005-0000-0000-0000136A0000}"/>
    <cellStyle name="常规 9 2 2 2 2 8 4 2" xfId="38568" xr:uid="{00000000-0005-0000-0000-0000146A0000}"/>
    <cellStyle name="常规 9 2 2 2 2 8 5" xfId="26280" xr:uid="{00000000-0005-0000-0000-0000156A0000}"/>
    <cellStyle name="常规 9 2 2 2 2 9" xfId="3240" xr:uid="{00000000-0005-0000-0000-0000166A0000}"/>
    <cellStyle name="常规 9 2 2 2 2 9 2" xfId="9384" xr:uid="{00000000-0005-0000-0000-0000176A0000}"/>
    <cellStyle name="常规 9 2 2 2 2 9 2 2" xfId="21672" xr:uid="{00000000-0005-0000-0000-0000186A0000}"/>
    <cellStyle name="常规 9 2 2 2 2 9 2 2 2" xfId="46248" xr:uid="{00000000-0005-0000-0000-0000196A0000}"/>
    <cellStyle name="常规 9 2 2 2 2 9 2 3" xfId="33960" xr:uid="{00000000-0005-0000-0000-00001A6A0000}"/>
    <cellStyle name="常规 9 2 2 2 2 9 3" xfId="15528" xr:uid="{00000000-0005-0000-0000-00001B6A0000}"/>
    <cellStyle name="常规 9 2 2 2 2 9 3 2" xfId="40104" xr:uid="{00000000-0005-0000-0000-00001C6A0000}"/>
    <cellStyle name="常规 9 2 2 2 2 9 4" xfId="27816" xr:uid="{00000000-0005-0000-0000-00001D6A0000}"/>
    <cellStyle name="常规 9 2 2 2 3" xfId="179" xr:uid="{00000000-0005-0000-0000-00001E6A0000}"/>
    <cellStyle name="常规 9 2 2 2 3 10" xfId="12472" xr:uid="{00000000-0005-0000-0000-00001F6A0000}"/>
    <cellStyle name="常规 9 2 2 2 3 10 2" xfId="37048" xr:uid="{00000000-0005-0000-0000-0000206A0000}"/>
    <cellStyle name="常规 9 2 2 2 3 11" xfId="24760" xr:uid="{00000000-0005-0000-0000-0000216A0000}"/>
    <cellStyle name="常规 9 2 2 2 3 2" xfId="244" xr:uid="{00000000-0005-0000-0000-0000226A0000}"/>
    <cellStyle name="常规 9 2 2 2 3 2 2" xfId="436" xr:uid="{00000000-0005-0000-0000-0000236A0000}"/>
    <cellStyle name="常规 9 2 2 2 3 2 2 2" xfId="820" xr:uid="{00000000-0005-0000-0000-0000246A0000}"/>
    <cellStyle name="常规 9 2 2 2 3 2 2 2 2" xfId="1588" xr:uid="{00000000-0005-0000-0000-0000256A0000}"/>
    <cellStyle name="常规 9 2 2 2 3 2 2 2 2 2" xfId="3124" xr:uid="{00000000-0005-0000-0000-0000266A0000}"/>
    <cellStyle name="常规 9 2 2 2 3 2 2 2 2 2 2" xfId="6200" xr:uid="{00000000-0005-0000-0000-0000276A0000}"/>
    <cellStyle name="常规 9 2 2 2 3 2 2 2 2 2 2 2" xfId="12344" xr:uid="{00000000-0005-0000-0000-0000286A0000}"/>
    <cellStyle name="常规 9 2 2 2 3 2 2 2 2 2 2 2 2" xfId="24632" xr:uid="{00000000-0005-0000-0000-0000296A0000}"/>
    <cellStyle name="常规 9 2 2 2 3 2 2 2 2 2 2 2 2 2" xfId="49208" xr:uid="{00000000-0005-0000-0000-00002A6A0000}"/>
    <cellStyle name="常规 9 2 2 2 3 2 2 2 2 2 2 2 3" xfId="36920" xr:uid="{00000000-0005-0000-0000-00002B6A0000}"/>
    <cellStyle name="常规 9 2 2 2 3 2 2 2 2 2 2 3" xfId="18488" xr:uid="{00000000-0005-0000-0000-00002C6A0000}"/>
    <cellStyle name="常规 9 2 2 2 3 2 2 2 2 2 2 3 2" xfId="43064" xr:uid="{00000000-0005-0000-0000-00002D6A0000}"/>
    <cellStyle name="常规 9 2 2 2 3 2 2 2 2 2 2 4" xfId="30776" xr:uid="{00000000-0005-0000-0000-00002E6A0000}"/>
    <cellStyle name="常规 9 2 2 2 3 2 2 2 2 2 3" xfId="9272" xr:uid="{00000000-0005-0000-0000-00002F6A0000}"/>
    <cellStyle name="常规 9 2 2 2 3 2 2 2 2 2 3 2" xfId="21560" xr:uid="{00000000-0005-0000-0000-0000306A0000}"/>
    <cellStyle name="常规 9 2 2 2 3 2 2 2 2 2 3 2 2" xfId="46136" xr:uid="{00000000-0005-0000-0000-0000316A0000}"/>
    <cellStyle name="常规 9 2 2 2 3 2 2 2 2 2 3 3" xfId="33848" xr:uid="{00000000-0005-0000-0000-0000326A0000}"/>
    <cellStyle name="常规 9 2 2 2 3 2 2 2 2 2 4" xfId="15416" xr:uid="{00000000-0005-0000-0000-0000336A0000}"/>
    <cellStyle name="常规 9 2 2 2 3 2 2 2 2 2 4 2" xfId="39992" xr:uid="{00000000-0005-0000-0000-0000346A0000}"/>
    <cellStyle name="常规 9 2 2 2 3 2 2 2 2 2 5" xfId="27704" xr:uid="{00000000-0005-0000-0000-0000356A0000}"/>
    <cellStyle name="常规 9 2 2 2 3 2 2 2 2 3" xfId="4664" xr:uid="{00000000-0005-0000-0000-0000366A0000}"/>
    <cellStyle name="常规 9 2 2 2 3 2 2 2 2 3 2" xfId="10808" xr:uid="{00000000-0005-0000-0000-0000376A0000}"/>
    <cellStyle name="常规 9 2 2 2 3 2 2 2 2 3 2 2" xfId="23096" xr:uid="{00000000-0005-0000-0000-0000386A0000}"/>
    <cellStyle name="常规 9 2 2 2 3 2 2 2 2 3 2 2 2" xfId="47672" xr:uid="{00000000-0005-0000-0000-0000396A0000}"/>
    <cellStyle name="常规 9 2 2 2 3 2 2 2 2 3 2 3" xfId="35384" xr:uid="{00000000-0005-0000-0000-00003A6A0000}"/>
    <cellStyle name="常规 9 2 2 2 3 2 2 2 2 3 3" xfId="16952" xr:uid="{00000000-0005-0000-0000-00003B6A0000}"/>
    <cellStyle name="常规 9 2 2 2 3 2 2 2 2 3 3 2" xfId="41528" xr:uid="{00000000-0005-0000-0000-00003C6A0000}"/>
    <cellStyle name="常规 9 2 2 2 3 2 2 2 2 3 4" xfId="29240" xr:uid="{00000000-0005-0000-0000-00003D6A0000}"/>
    <cellStyle name="常规 9 2 2 2 3 2 2 2 2 4" xfId="7736" xr:uid="{00000000-0005-0000-0000-00003E6A0000}"/>
    <cellStyle name="常规 9 2 2 2 3 2 2 2 2 4 2" xfId="20024" xr:uid="{00000000-0005-0000-0000-00003F6A0000}"/>
    <cellStyle name="常规 9 2 2 2 3 2 2 2 2 4 2 2" xfId="44600" xr:uid="{00000000-0005-0000-0000-0000406A0000}"/>
    <cellStyle name="常规 9 2 2 2 3 2 2 2 2 4 3" xfId="32312" xr:uid="{00000000-0005-0000-0000-0000416A0000}"/>
    <cellStyle name="常规 9 2 2 2 3 2 2 2 2 5" xfId="13880" xr:uid="{00000000-0005-0000-0000-0000426A0000}"/>
    <cellStyle name="常规 9 2 2 2 3 2 2 2 2 5 2" xfId="38456" xr:uid="{00000000-0005-0000-0000-0000436A0000}"/>
    <cellStyle name="常规 9 2 2 2 3 2 2 2 2 6" xfId="26168" xr:uid="{00000000-0005-0000-0000-0000446A0000}"/>
    <cellStyle name="常规 9 2 2 2 3 2 2 2 3" xfId="2356" xr:uid="{00000000-0005-0000-0000-0000456A0000}"/>
    <cellStyle name="常规 9 2 2 2 3 2 2 2 3 2" xfId="5432" xr:uid="{00000000-0005-0000-0000-0000466A0000}"/>
    <cellStyle name="常规 9 2 2 2 3 2 2 2 3 2 2" xfId="11576" xr:uid="{00000000-0005-0000-0000-0000476A0000}"/>
    <cellStyle name="常规 9 2 2 2 3 2 2 2 3 2 2 2" xfId="23864" xr:uid="{00000000-0005-0000-0000-0000486A0000}"/>
    <cellStyle name="常规 9 2 2 2 3 2 2 2 3 2 2 2 2" xfId="48440" xr:uid="{00000000-0005-0000-0000-0000496A0000}"/>
    <cellStyle name="常规 9 2 2 2 3 2 2 2 3 2 2 3" xfId="36152" xr:uid="{00000000-0005-0000-0000-00004A6A0000}"/>
    <cellStyle name="常规 9 2 2 2 3 2 2 2 3 2 3" xfId="17720" xr:uid="{00000000-0005-0000-0000-00004B6A0000}"/>
    <cellStyle name="常规 9 2 2 2 3 2 2 2 3 2 3 2" xfId="42296" xr:uid="{00000000-0005-0000-0000-00004C6A0000}"/>
    <cellStyle name="常规 9 2 2 2 3 2 2 2 3 2 4" xfId="30008" xr:uid="{00000000-0005-0000-0000-00004D6A0000}"/>
    <cellStyle name="常规 9 2 2 2 3 2 2 2 3 3" xfId="8504" xr:uid="{00000000-0005-0000-0000-00004E6A0000}"/>
    <cellStyle name="常规 9 2 2 2 3 2 2 2 3 3 2" xfId="20792" xr:uid="{00000000-0005-0000-0000-00004F6A0000}"/>
    <cellStyle name="常规 9 2 2 2 3 2 2 2 3 3 2 2" xfId="45368" xr:uid="{00000000-0005-0000-0000-0000506A0000}"/>
    <cellStyle name="常规 9 2 2 2 3 2 2 2 3 3 3" xfId="33080" xr:uid="{00000000-0005-0000-0000-0000516A0000}"/>
    <cellStyle name="常规 9 2 2 2 3 2 2 2 3 4" xfId="14648" xr:uid="{00000000-0005-0000-0000-0000526A0000}"/>
    <cellStyle name="常规 9 2 2 2 3 2 2 2 3 4 2" xfId="39224" xr:uid="{00000000-0005-0000-0000-0000536A0000}"/>
    <cellStyle name="常规 9 2 2 2 3 2 2 2 3 5" xfId="26936" xr:uid="{00000000-0005-0000-0000-0000546A0000}"/>
    <cellStyle name="常规 9 2 2 2 3 2 2 2 4" xfId="3896" xr:uid="{00000000-0005-0000-0000-0000556A0000}"/>
    <cellStyle name="常规 9 2 2 2 3 2 2 2 4 2" xfId="10040" xr:uid="{00000000-0005-0000-0000-0000566A0000}"/>
    <cellStyle name="常规 9 2 2 2 3 2 2 2 4 2 2" xfId="22328" xr:uid="{00000000-0005-0000-0000-0000576A0000}"/>
    <cellStyle name="常规 9 2 2 2 3 2 2 2 4 2 2 2" xfId="46904" xr:uid="{00000000-0005-0000-0000-0000586A0000}"/>
    <cellStyle name="常规 9 2 2 2 3 2 2 2 4 2 3" xfId="34616" xr:uid="{00000000-0005-0000-0000-0000596A0000}"/>
    <cellStyle name="常规 9 2 2 2 3 2 2 2 4 3" xfId="16184" xr:uid="{00000000-0005-0000-0000-00005A6A0000}"/>
    <cellStyle name="常规 9 2 2 2 3 2 2 2 4 3 2" xfId="40760" xr:uid="{00000000-0005-0000-0000-00005B6A0000}"/>
    <cellStyle name="常规 9 2 2 2 3 2 2 2 4 4" xfId="28472" xr:uid="{00000000-0005-0000-0000-00005C6A0000}"/>
    <cellStyle name="常规 9 2 2 2 3 2 2 2 5" xfId="6968" xr:uid="{00000000-0005-0000-0000-00005D6A0000}"/>
    <cellStyle name="常规 9 2 2 2 3 2 2 2 5 2" xfId="19256" xr:uid="{00000000-0005-0000-0000-00005E6A0000}"/>
    <cellStyle name="常规 9 2 2 2 3 2 2 2 5 2 2" xfId="43832" xr:uid="{00000000-0005-0000-0000-00005F6A0000}"/>
    <cellStyle name="常规 9 2 2 2 3 2 2 2 5 3" xfId="31544" xr:uid="{00000000-0005-0000-0000-0000606A0000}"/>
    <cellStyle name="常规 9 2 2 2 3 2 2 2 6" xfId="13112" xr:uid="{00000000-0005-0000-0000-0000616A0000}"/>
    <cellStyle name="常规 9 2 2 2 3 2 2 2 6 2" xfId="37688" xr:uid="{00000000-0005-0000-0000-0000626A0000}"/>
    <cellStyle name="常规 9 2 2 2 3 2 2 2 7" xfId="25400" xr:uid="{00000000-0005-0000-0000-0000636A0000}"/>
    <cellStyle name="常规 9 2 2 2 3 2 2 3" xfId="1204" xr:uid="{00000000-0005-0000-0000-0000646A0000}"/>
    <cellStyle name="常规 9 2 2 2 3 2 2 3 2" xfId="2740" xr:uid="{00000000-0005-0000-0000-0000656A0000}"/>
    <cellStyle name="常规 9 2 2 2 3 2 2 3 2 2" xfId="5816" xr:uid="{00000000-0005-0000-0000-0000666A0000}"/>
    <cellStyle name="常规 9 2 2 2 3 2 2 3 2 2 2" xfId="11960" xr:uid="{00000000-0005-0000-0000-0000676A0000}"/>
    <cellStyle name="常规 9 2 2 2 3 2 2 3 2 2 2 2" xfId="24248" xr:uid="{00000000-0005-0000-0000-0000686A0000}"/>
    <cellStyle name="常规 9 2 2 2 3 2 2 3 2 2 2 2 2" xfId="48824" xr:uid="{00000000-0005-0000-0000-0000696A0000}"/>
    <cellStyle name="常规 9 2 2 2 3 2 2 3 2 2 2 3" xfId="36536" xr:uid="{00000000-0005-0000-0000-00006A6A0000}"/>
    <cellStyle name="常规 9 2 2 2 3 2 2 3 2 2 3" xfId="18104" xr:uid="{00000000-0005-0000-0000-00006B6A0000}"/>
    <cellStyle name="常规 9 2 2 2 3 2 2 3 2 2 3 2" xfId="42680" xr:uid="{00000000-0005-0000-0000-00006C6A0000}"/>
    <cellStyle name="常规 9 2 2 2 3 2 2 3 2 2 4" xfId="30392" xr:uid="{00000000-0005-0000-0000-00006D6A0000}"/>
    <cellStyle name="常规 9 2 2 2 3 2 2 3 2 3" xfId="8888" xr:uid="{00000000-0005-0000-0000-00006E6A0000}"/>
    <cellStyle name="常规 9 2 2 2 3 2 2 3 2 3 2" xfId="21176" xr:uid="{00000000-0005-0000-0000-00006F6A0000}"/>
    <cellStyle name="常规 9 2 2 2 3 2 2 3 2 3 2 2" xfId="45752" xr:uid="{00000000-0005-0000-0000-0000706A0000}"/>
    <cellStyle name="常规 9 2 2 2 3 2 2 3 2 3 3" xfId="33464" xr:uid="{00000000-0005-0000-0000-0000716A0000}"/>
    <cellStyle name="常规 9 2 2 2 3 2 2 3 2 4" xfId="15032" xr:uid="{00000000-0005-0000-0000-0000726A0000}"/>
    <cellStyle name="常规 9 2 2 2 3 2 2 3 2 4 2" xfId="39608" xr:uid="{00000000-0005-0000-0000-0000736A0000}"/>
    <cellStyle name="常规 9 2 2 2 3 2 2 3 2 5" xfId="27320" xr:uid="{00000000-0005-0000-0000-0000746A0000}"/>
    <cellStyle name="常规 9 2 2 2 3 2 2 3 3" xfId="4280" xr:uid="{00000000-0005-0000-0000-0000756A0000}"/>
    <cellStyle name="常规 9 2 2 2 3 2 2 3 3 2" xfId="10424" xr:uid="{00000000-0005-0000-0000-0000766A0000}"/>
    <cellStyle name="常规 9 2 2 2 3 2 2 3 3 2 2" xfId="22712" xr:uid="{00000000-0005-0000-0000-0000776A0000}"/>
    <cellStyle name="常规 9 2 2 2 3 2 2 3 3 2 2 2" xfId="47288" xr:uid="{00000000-0005-0000-0000-0000786A0000}"/>
    <cellStyle name="常规 9 2 2 2 3 2 2 3 3 2 3" xfId="35000" xr:uid="{00000000-0005-0000-0000-0000796A0000}"/>
    <cellStyle name="常规 9 2 2 2 3 2 2 3 3 3" xfId="16568" xr:uid="{00000000-0005-0000-0000-00007A6A0000}"/>
    <cellStyle name="常规 9 2 2 2 3 2 2 3 3 3 2" xfId="41144" xr:uid="{00000000-0005-0000-0000-00007B6A0000}"/>
    <cellStyle name="常规 9 2 2 2 3 2 2 3 3 4" xfId="28856" xr:uid="{00000000-0005-0000-0000-00007C6A0000}"/>
    <cellStyle name="常规 9 2 2 2 3 2 2 3 4" xfId="7352" xr:uid="{00000000-0005-0000-0000-00007D6A0000}"/>
    <cellStyle name="常规 9 2 2 2 3 2 2 3 4 2" xfId="19640" xr:uid="{00000000-0005-0000-0000-00007E6A0000}"/>
    <cellStyle name="常规 9 2 2 2 3 2 2 3 4 2 2" xfId="44216" xr:uid="{00000000-0005-0000-0000-00007F6A0000}"/>
    <cellStyle name="常规 9 2 2 2 3 2 2 3 4 3" xfId="31928" xr:uid="{00000000-0005-0000-0000-0000806A0000}"/>
    <cellStyle name="常规 9 2 2 2 3 2 2 3 5" xfId="13496" xr:uid="{00000000-0005-0000-0000-0000816A0000}"/>
    <cellStyle name="常规 9 2 2 2 3 2 2 3 5 2" xfId="38072" xr:uid="{00000000-0005-0000-0000-0000826A0000}"/>
    <cellStyle name="常规 9 2 2 2 3 2 2 3 6" xfId="25784" xr:uid="{00000000-0005-0000-0000-0000836A0000}"/>
    <cellStyle name="常规 9 2 2 2 3 2 2 4" xfId="1972" xr:uid="{00000000-0005-0000-0000-0000846A0000}"/>
    <cellStyle name="常规 9 2 2 2 3 2 2 4 2" xfId="5048" xr:uid="{00000000-0005-0000-0000-0000856A0000}"/>
    <cellStyle name="常规 9 2 2 2 3 2 2 4 2 2" xfId="11192" xr:uid="{00000000-0005-0000-0000-0000866A0000}"/>
    <cellStyle name="常规 9 2 2 2 3 2 2 4 2 2 2" xfId="23480" xr:uid="{00000000-0005-0000-0000-0000876A0000}"/>
    <cellStyle name="常规 9 2 2 2 3 2 2 4 2 2 2 2" xfId="48056" xr:uid="{00000000-0005-0000-0000-0000886A0000}"/>
    <cellStyle name="常规 9 2 2 2 3 2 2 4 2 2 3" xfId="35768" xr:uid="{00000000-0005-0000-0000-0000896A0000}"/>
    <cellStyle name="常规 9 2 2 2 3 2 2 4 2 3" xfId="17336" xr:uid="{00000000-0005-0000-0000-00008A6A0000}"/>
    <cellStyle name="常规 9 2 2 2 3 2 2 4 2 3 2" xfId="41912" xr:uid="{00000000-0005-0000-0000-00008B6A0000}"/>
    <cellStyle name="常规 9 2 2 2 3 2 2 4 2 4" xfId="29624" xr:uid="{00000000-0005-0000-0000-00008C6A0000}"/>
    <cellStyle name="常规 9 2 2 2 3 2 2 4 3" xfId="8120" xr:uid="{00000000-0005-0000-0000-00008D6A0000}"/>
    <cellStyle name="常规 9 2 2 2 3 2 2 4 3 2" xfId="20408" xr:uid="{00000000-0005-0000-0000-00008E6A0000}"/>
    <cellStyle name="常规 9 2 2 2 3 2 2 4 3 2 2" xfId="44984" xr:uid="{00000000-0005-0000-0000-00008F6A0000}"/>
    <cellStyle name="常规 9 2 2 2 3 2 2 4 3 3" xfId="32696" xr:uid="{00000000-0005-0000-0000-0000906A0000}"/>
    <cellStyle name="常规 9 2 2 2 3 2 2 4 4" xfId="14264" xr:uid="{00000000-0005-0000-0000-0000916A0000}"/>
    <cellStyle name="常规 9 2 2 2 3 2 2 4 4 2" xfId="38840" xr:uid="{00000000-0005-0000-0000-0000926A0000}"/>
    <cellStyle name="常规 9 2 2 2 3 2 2 4 5" xfId="26552" xr:uid="{00000000-0005-0000-0000-0000936A0000}"/>
    <cellStyle name="常规 9 2 2 2 3 2 2 5" xfId="3512" xr:uid="{00000000-0005-0000-0000-0000946A0000}"/>
    <cellStyle name="常规 9 2 2 2 3 2 2 5 2" xfId="9656" xr:uid="{00000000-0005-0000-0000-0000956A0000}"/>
    <cellStyle name="常规 9 2 2 2 3 2 2 5 2 2" xfId="21944" xr:uid="{00000000-0005-0000-0000-0000966A0000}"/>
    <cellStyle name="常规 9 2 2 2 3 2 2 5 2 2 2" xfId="46520" xr:uid="{00000000-0005-0000-0000-0000976A0000}"/>
    <cellStyle name="常规 9 2 2 2 3 2 2 5 2 3" xfId="34232" xr:uid="{00000000-0005-0000-0000-0000986A0000}"/>
    <cellStyle name="常规 9 2 2 2 3 2 2 5 3" xfId="15800" xr:uid="{00000000-0005-0000-0000-0000996A0000}"/>
    <cellStyle name="常规 9 2 2 2 3 2 2 5 3 2" xfId="40376" xr:uid="{00000000-0005-0000-0000-00009A6A0000}"/>
    <cellStyle name="常规 9 2 2 2 3 2 2 5 4" xfId="28088" xr:uid="{00000000-0005-0000-0000-00009B6A0000}"/>
    <cellStyle name="常规 9 2 2 2 3 2 2 6" xfId="6584" xr:uid="{00000000-0005-0000-0000-00009C6A0000}"/>
    <cellStyle name="常规 9 2 2 2 3 2 2 6 2" xfId="18872" xr:uid="{00000000-0005-0000-0000-00009D6A0000}"/>
    <cellStyle name="常规 9 2 2 2 3 2 2 6 2 2" xfId="43448" xr:uid="{00000000-0005-0000-0000-00009E6A0000}"/>
    <cellStyle name="常规 9 2 2 2 3 2 2 6 3" xfId="31160" xr:uid="{00000000-0005-0000-0000-00009F6A0000}"/>
    <cellStyle name="常规 9 2 2 2 3 2 2 7" xfId="12728" xr:uid="{00000000-0005-0000-0000-0000A06A0000}"/>
    <cellStyle name="常规 9 2 2 2 3 2 2 7 2" xfId="37304" xr:uid="{00000000-0005-0000-0000-0000A16A0000}"/>
    <cellStyle name="常规 9 2 2 2 3 2 2 8" xfId="25016" xr:uid="{00000000-0005-0000-0000-0000A26A0000}"/>
    <cellStyle name="常规 9 2 2 2 3 2 3" xfId="628" xr:uid="{00000000-0005-0000-0000-0000A36A0000}"/>
    <cellStyle name="常规 9 2 2 2 3 2 3 2" xfId="1396" xr:uid="{00000000-0005-0000-0000-0000A46A0000}"/>
    <cellStyle name="常规 9 2 2 2 3 2 3 2 2" xfId="2932" xr:uid="{00000000-0005-0000-0000-0000A56A0000}"/>
    <cellStyle name="常规 9 2 2 2 3 2 3 2 2 2" xfId="6008" xr:uid="{00000000-0005-0000-0000-0000A66A0000}"/>
    <cellStyle name="常规 9 2 2 2 3 2 3 2 2 2 2" xfId="12152" xr:uid="{00000000-0005-0000-0000-0000A76A0000}"/>
    <cellStyle name="常规 9 2 2 2 3 2 3 2 2 2 2 2" xfId="24440" xr:uid="{00000000-0005-0000-0000-0000A86A0000}"/>
    <cellStyle name="常规 9 2 2 2 3 2 3 2 2 2 2 2 2" xfId="49016" xr:uid="{00000000-0005-0000-0000-0000A96A0000}"/>
    <cellStyle name="常规 9 2 2 2 3 2 3 2 2 2 2 3" xfId="36728" xr:uid="{00000000-0005-0000-0000-0000AA6A0000}"/>
    <cellStyle name="常规 9 2 2 2 3 2 3 2 2 2 3" xfId="18296" xr:uid="{00000000-0005-0000-0000-0000AB6A0000}"/>
    <cellStyle name="常规 9 2 2 2 3 2 3 2 2 2 3 2" xfId="42872" xr:uid="{00000000-0005-0000-0000-0000AC6A0000}"/>
    <cellStyle name="常规 9 2 2 2 3 2 3 2 2 2 4" xfId="30584" xr:uid="{00000000-0005-0000-0000-0000AD6A0000}"/>
    <cellStyle name="常规 9 2 2 2 3 2 3 2 2 3" xfId="9080" xr:uid="{00000000-0005-0000-0000-0000AE6A0000}"/>
    <cellStyle name="常规 9 2 2 2 3 2 3 2 2 3 2" xfId="21368" xr:uid="{00000000-0005-0000-0000-0000AF6A0000}"/>
    <cellStyle name="常规 9 2 2 2 3 2 3 2 2 3 2 2" xfId="45944" xr:uid="{00000000-0005-0000-0000-0000B06A0000}"/>
    <cellStyle name="常规 9 2 2 2 3 2 3 2 2 3 3" xfId="33656" xr:uid="{00000000-0005-0000-0000-0000B16A0000}"/>
    <cellStyle name="常规 9 2 2 2 3 2 3 2 2 4" xfId="15224" xr:uid="{00000000-0005-0000-0000-0000B26A0000}"/>
    <cellStyle name="常规 9 2 2 2 3 2 3 2 2 4 2" xfId="39800" xr:uid="{00000000-0005-0000-0000-0000B36A0000}"/>
    <cellStyle name="常规 9 2 2 2 3 2 3 2 2 5" xfId="27512" xr:uid="{00000000-0005-0000-0000-0000B46A0000}"/>
    <cellStyle name="常规 9 2 2 2 3 2 3 2 3" xfId="4472" xr:uid="{00000000-0005-0000-0000-0000B56A0000}"/>
    <cellStyle name="常规 9 2 2 2 3 2 3 2 3 2" xfId="10616" xr:uid="{00000000-0005-0000-0000-0000B66A0000}"/>
    <cellStyle name="常规 9 2 2 2 3 2 3 2 3 2 2" xfId="22904" xr:uid="{00000000-0005-0000-0000-0000B76A0000}"/>
    <cellStyle name="常规 9 2 2 2 3 2 3 2 3 2 2 2" xfId="47480" xr:uid="{00000000-0005-0000-0000-0000B86A0000}"/>
    <cellStyle name="常规 9 2 2 2 3 2 3 2 3 2 3" xfId="35192" xr:uid="{00000000-0005-0000-0000-0000B96A0000}"/>
    <cellStyle name="常规 9 2 2 2 3 2 3 2 3 3" xfId="16760" xr:uid="{00000000-0005-0000-0000-0000BA6A0000}"/>
    <cellStyle name="常规 9 2 2 2 3 2 3 2 3 3 2" xfId="41336" xr:uid="{00000000-0005-0000-0000-0000BB6A0000}"/>
    <cellStyle name="常规 9 2 2 2 3 2 3 2 3 4" xfId="29048" xr:uid="{00000000-0005-0000-0000-0000BC6A0000}"/>
    <cellStyle name="常规 9 2 2 2 3 2 3 2 4" xfId="7544" xr:uid="{00000000-0005-0000-0000-0000BD6A0000}"/>
    <cellStyle name="常规 9 2 2 2 3 2 3 2 4 2" xfId="19832" xr:uid="{00000000-0005-0000-0000-0000BE6A0000}"/>
    <cellStyle name="常规 9 2 2 2 3 2 3 2 4 2 2" xfId="44408" xr:uid="{00000000-0005-0000-0000-0000BF6A0000}"/>
    <cellStyle name="常规 9 2 2 2 3 2 3 2 4 3" xfId="32120" xr:uid="{00000000-0005-0000-0000-0000C06A0000}"/>
    <cellStyle name="常规 9 2 2 2 3 2 3 2 5" xfId="13688" xr:uid="{00000000-0005-0000-0000-0000C16A0000}"/>
    <cellStyle name="常规 9 2 2 2 3 2 3 2 5 2" xfId="38264" xr:uid="{00000000-0005-0000-0000-0000C26A0000}"/>
    <cellStyle name="常规 9 2 2 2 3 2 3 2 6" xfId="25976" xr:uid="{00000000-0005-0000-0000-0000C36A0000}"/>
    <cellStyle name="常规 9 2 2 2 3 2 3 3" xfId="2164" xr:uid="{00000000-0005-0000-0000-0000C46A0000}"/>
    <cellStyle name="常规 9 2 2 2 3 2 3 3 2" xfId="5240" xr:uid="{00000000-0005-0000-0000-0000C56A0000}"/>
    <cellStyle name="常规 9 2 2 2 3 2 3 3 2 2" xfId="11384" xr:uid="{00000000-0005-0000-0000-0000C66A0000}"/>
    <cellStyle name="常规 9 2 2 2 3 2 3 3 2 2 2" xfId="23672" xr:uid="{00000000-0005-0000-0000-0000C76A0000}"/>
    <cellStyle name="常规 9 2 2 2 3 2 3 3 2 2 2 2" xfId="48248" xr:uid="{00000000-0005-0000-0000-0000C86A0000}"/>
    <cellStyle name="常规 9 2 2 2 3 2 3 3 2 2 3" xfId="35960" xr:uid="{00000000-0005-0000-0000-0000C96A0000}"/>
    <cellStyle name="常规 9 2 2 2 3 2 3 3 2 3" xfId="17528" xr:uid="{00000000-0005-0000-0000-0000CA6A0000}"/>
    <cellStyle name="常规 9 2 2 2 3 2 3 3 2 3 2" xfId="42104" xr:uid="{00000000-0005-0000-0000-0000CB6A0000}"/>
    <cellStyle name="常规 9 2 2 2 3 2 3 3 2 4" xfId="29816" xr:uid="{00000000-0005-0000-0000-0000CC6A0000}"/>
    <cellStyle name="常规 9 2 2 2 3 2 3 3 3" xfId="8312" xr:uid="{00000000-0005-0000-0000-0000CD6A0000}"/>
    <cellStyle name="常规 9 2 2 2 3 2 3 3 3 2" xfId="20600" xr:uid="{00000000-0005-0000-0000-0000CE6A0000}"/>
    <cellStyle name="常规 9 2 2 2 3 2 3 3 3 2 2" xfId="45176" xr:uid="{00000000-0005-0000-0000-0000CF6A0000}"/>
    <cellStyle name="常规 9 2 2 2 3 2 3 3 3 3" xfId="32888" xr:uid="{00000000-0005-0000-0000-0000D06A0000}"/>
    <cellStyle name="常规 9 2 2 2 3 2 3 3 4" xfId="14456" xr:uid="{00000000-0005-0000-0000-0000D16A0000}"/>
    <cellStyle name="常规 9 2 2 2 3 2 3 3 4 2" xfId="39032" xr:uid="{00000000-0005-0000-0000-0000D26A0000}"/>
    <cellStyle name="常规 9 2 2 2 3 2 3 3 5" xfId="26744" xr:uid="{00000000-0005-0000-0000-0000D36A0000}"/>
    <cellStyle name="常规 9 2 2 2 3 2 3 4" xfId="3704" xr:uid="{00000000-0005-0000-0000-0000D46A0000}"/>
    <cellStyle name="常规 9 2 2 2 3 2 3 4 2" xfId="9848" xr:uid="{00000000-0005-0000-0000-0000D56A0000}"/>
    <cellStyle name="常规 9 2 2 2 3 2 3 4 2 2" xfId="22136" xr:uid="{00000000-0005-0000-0000-0000D66A0000}"/>
    <cellStyle name="常规 9 2 2 2 3 2 3 4 2 2 2" xfId="46712" xr:uid="{00000000-0005-0000-0000-0000D76A0000}"/>
    <cellStyle name="常规 9 2 2 2 3 2 3 4 2 3" xfId="34424" xr:uid="{00000000-0005-0000-0000-0000D86A0000}"/>
    <cellStyle name="常规 9 2 2 2 3 2 3 4 3" xfId="15992" xr:uid="{00000000-0005-0000-0000-0000D96A0000}"/>
    <cellStyle name="常规 9 2 2 2 3 2 3 4 3 2" xfId="40568" xr:uid="{00000000-0005-0000-0000-0000DA6A0000}"/>
    <cellStyle name="常规 9 2 2 2 3 2 3 4 4" xfId="28280" xr:uid="{00000000-0005-0000-0000-0000DB6A0000}"/>
    <cellStyle name="常规 9 2 2 2 3 2 3 5" xfId="6776" xr:uid="{00000000-0005-0000-0000-0000DC6A0000}"/>
    <cellStyle name="常规 9 2 2 2 3 2 3 5 2" xfId="19064" xr:uid="{00000000-0005-0000-0000-0000DD6A0000}"/>
    <cellStyle name="常规 9 2 2 2 3 2 3 5 2 2" xfId="43640" xr:uid="{00000000-0005-0000-0000-0000DE6A0000}"/>
    <cellStyle name="常规 9 2 2 2 3 2 3 5 3" xfId="31352" xr:uid="{00000000-0005-0000-0000-0000DF6A0000}"/>
    <cellStyle name="常规 9 2 2 2 3 2 3 6" xfId="12920" xr:uid="{00000000-0005-0000-0000-0000E06A0000}"/>
    <cellStyle name="常规 9 2 2 2 3 2 3 6 2" xfId="37496" xr:uid="{00000000-0005-0000-0000-0000E16A0000}"/>
    <cellStyle name="常规 9 2 2 2 3 2 3 7" xfId="25208" xr:uid="{00000000-0005-0000-0000-0000E26A0000}"/>
    <cellStyle name="常规 9 2 2 2 3 2 4" xfId="1012" xr:uid="{00000000-0005-0000-0000-0000E36A0000}"/>
    <cellStyle name="常规 9 2 2 2 3 2 4 2" xfId="2548" xr:uid="{00000000-0005-0000-0000-0000E46A0000}"/>
    <cellStyle name="常规 9 2 2 2 3 2 4 2 2" xfId="5624" xr:uid="{00000000-0005-0000-0000-0000E56A0000}"/>
    <cellStyle name="常规 9 2 2 2 3 2 4 2 2 2" xfId="11768" xr:uid="{00000000-0005-0000-0000-0000E66A0000}"/>
    <cellStyle name="常规 9 2 2 2 3 2 4 2 2 2 2" xfId="24056" xr:uid="{00000000-0005-0000-0000-0000E76A0000}"/>
    <cellStyle name="常规 9 2 2 2 3 2 4 2 2 2 2 2" xfId="48632" xr:uid="{00000000-0005-0000-0000-0000E86A0000}"/>
    <cellStyle name="常规 9 2 2 2 3 2 4 2 2 2 3" xfId="36344" xr:uid="{00000000-0005-0000-0000-0000E96A0000}"/>
    <cellStyle name="常规 9 2 2 2 3 2 4 2 2 3" xfId="17912" xr:uid="{00000000-0005-0000-0000-0000EA6A0000}"/>
    <cellStyle name="常规 9 2 2 2 3 2 4 2 2 3 2" xfId="42488" xr:uid="{00000000-0005-0000-0000-0000EB6A0000}"/>
    <cellStyle name="常规 9 2 2 2 3 2 4 2 2 4" xfId="30200" xr:uid="{00000000-0005-0000-0000-0000EC6A0000}"/>
    <cellStyle name="常规 9 2 2 2 3 2 4 2 3" xfId="8696" xr:uid="{00000000-0005-0000-0000-0000ED6A0000}"/>
    <cellStyle name="常规 9 2 2 2 3 2 4 2 3 2" xfId="20984" xr:uid="{00000000-0005-0000-0000-0000EE6A0000}"/>
    <cellStyle name="常规 9 2 2 2 3 2 4 2 3 2 2" xfId="45560" xr:uid="{00000000-0005-0000-0000-0000EF6A0000}"/>
    <cellStyle name="常规 9 2 2 2 3 2 4 2 3 3" xfId="33272" xr:uid="{00000000-0005-0000-0000-0000F06A0000}"/>
    <cellStyle name="常规 9 2 2 2 3 2 4 2 4" xfId="14840" xr:uid="{00000000-0005-0000-0000-0000F16A0000}"/>
    <cellStyle name="常规 9 2 2 2 3 2 4 2 4 2" xfId="39416" xr:uid="{00000000-0005-0000-0000-0000F26A0000}"/>
    <cellStyle name="常规 9 2 2 2 3 2 4 2 5" xfId="27128" xr:uid="{00000000-0005-0000-0000-0000F36A0000}"/>
    <cellStyle name="常规 9 2 2 2 3 2 4 3" xfId="4088" xr:uid="{00000000-0005-0000-0000-0000F46A0000}"/>
    <cellStyle name="常规 9 2 2 2 3 2 4 3 2" xfId="10232" xr:uid="{00000000-0005-0000-0000-0000F56A0000}"/>
    <cellStyle name="常规 9 2 2 2 3 2 4 3 2 2" xfId="22520" xr:uid="{00000000-0005-0000-0000-0000F66A0000}"/>
    <cellStyle name="常规 9 2 2 2 3 2 4 3 2 2 2" xfId="47096" xr:uid="{00000000-0005-0000-0000-0000F76A0000}"/>
    <cellStyle name="常规 9 2 2 2 3 2 4 3 2 3" xfId="34808" xr:uid="{00000000-0005-0000-0000-0000F86A0000}"/>
    <cellStyle name="常规 9 2 2 2 3 2 4 3 3" xfId="16376" xr:uid="{00000000-0005-0000-0000-0000F96A0000}"/>
    <cellStyle name="常规 9 2 2 2 3 2 4 3 3 2" xfId="40952" xr:uid="{00000000-0005-0000-0000-0000FA6A0000}"/>
    <cellStyle name="常规 9 2 2 2 3 2 4 3 4" xfId="28664" xr:uid="{00000000-0005-0000-0000-0000FB6A0000}"/>
    <cellStyle name="常规 9 2 2 2 3 2 4 4" xfId="7160" xr:uid="{00000000-0005-0000-0000-0000FC6A0000}"/>
    <cellStyle name="常规 9 2 2 2 3 2 4 4 2" xfId="19448" xr:uid="{00000000-0005-0000-0000-0000FD6A0000}"/>
    <cellStyle name="常规 9 2 2 2 3 2 4 4 2 2" xfId="44024" xr:uid="{00000000-0005-0000-0000-0000FE6A0000}"/>
    <cellStyle name="常规 9 2 2 2 3 2 4 4 3" xfId="31736" xr:uid="{00000000-0005-0000-0000-0000FF6A0000}"/>
    <cellStyle name="常规 9 2 2 2 3 2 4 5" xfId="13304" xr:uid="{00000000-0005-0000-0000-0000006B0000}"/>
    <cellStyle name="常规 9 2 2 2 3 2 4 5 2" xfId="37880" xr:uid="{00000000-0005-0000-0000-0000016B0000}"/>
    <cellStyle name="常规 9 2 2 2 3 2 4 6" xfId="25592" xr:uid="{00000000-0005-0000-0000-0000026B0000}"/>
    <cellStyle name="常规 9 2 2 2 3 2 5" xfId="1780" xr:uid="{00000000-0005-0000-0000-0000036B0000}"/>
    <cellStyle name="常规 9 2 2 2 3 2 5 2" xfId="4856" xr:uid="{00000000-0005-0000-0000-0000046B0000}"/>
    <cellStyle name="常规 9 2 2 2 3 2 5 2 2" xfId="11000" xr:uid="{00000000-0005-0000-0000-0000056B0000}"/>
    <cellStyle name="常规 9 2 2 2 3 2 5 2 2 2" xfId="23288" xr:uid="{00000000-0005-0000-0000-0000066B0000}"/>
    <cellStyle name="常规 9 2 2 2 3 2 5 2 2 2 2" xfId="47864" xr:uid="{00000000-0005-0000-0000-0000076B0000}"/>
    <cellStyle name="常规 9 2 2 2 3 2 5 2 2 3" xfId="35576" xr:uid="{00000000-0005-0000-0000-0000086B0000}"/>
    <cellStyle name="常规 9 2 2 2 3 2 5 2 3" xfId="17144" xr:uid="{00000000-0005-0000-0000-0000096B0000}"/>
    <cellStyle name="常规 9 2 2 2 3 2 5 2 3 2" xfId="41720" xr:uid="{00000000-0005-0000-0000-00000A6B0000}"/>
    <cellStyle name="常规 9 2 2 2 3 2 5 2 4" xfId="29432" xr:uid="{00000000-0005-0000-0000-00000B6B0000}"/>
    <cellStyle name="常规 9 2 2 2 3 2 5 3" xfId="7928" xr:uid="{00000000-0005-0000-0000-00000C6B0000}"/>
    <cellStyle name="常规 9 2 2 2 3 2 5 3 2" xfId="20216" xr:uid="{00000000-0005-0000-0000-00000D6B0000}"/>
    <cellStyle name="常规 9 2 2 2 3 2 5 3 2 2" xfId="44792" xr:uid="{00000000-0005-0000-0000-00000E6B0000}"/>
    <cellStyle name="常规 9 2 2 2 3 2 5 3 3" xfId="32504" xr:uid="{00000000-0005-0000-0000-00000F6B0000}"/>
    <cellStyle name="常规 9 2 2 2 3 2 5 4" xfId="14072" xr:uid="{00000000-0005-0000-0000-0000106B0000}"/>
    <cellStyle name="常规 9 2 2 2 3 2 5 4 2" xfId="38648" xr:uid="{00000000-0005-0000-0000-0000116B0000}"/>
    <cellStyle name="常规 9 2 2 2 3 2 5 5" xfId="26360" xr:uid="{00000000-0005-0000-0000-0000126B0000}"/>
    <cellStyle name="常规 9 2 2 2 3 2 6" xfId="3320" xr:uid="{00000000-0005-0000-0000-0000136B0000}"/>
    <cellStyle name="常规 9 2 2 2 3 2 6 2" xfId="9464" xr:uid="{00000000-0005-0000-0000-0000146B0000}"/>
    <cellStyle name="常规 9 2 2 2 3 2 6 2 2" xfId="21752" xr:uid="{00000000-0005-0000-0000-0000156B0000}"/>
    <cellStyle name="常规 9 2 2 2 3 2 6 2 2 2" xfId="46328" xr:uid="{00000000-0005-0000-0000-0000166B0000}"/>
    <cellStyle name="常规 9 2 2 2 3 2 6 2 3" xfId="34040" xr:uid="{00000000-0005-0000-0000-0000176B0000}"/>
    <cellStyle name="常规 9 2 2 2 3 2 6 3" xfId="15608" xr:uid="{00000000-0005-0000-0000-0000186B0000}"/>
    <cellStyle name="常规 9 2 2 2 3 2 6 3 2" xfId="40184" xr:uid="{00000000-0005-0000-0000-0000196B0000}"/>
    <cellStyle name="常规 9 2 2 2 3 2 6 4" xfId="27896" xr:uid="{00000000-0005-0000-0000-00001A6B0000}"/>
    <cellStyle name="常规 9 2 2 2 3 2 7" xfId="6392" xr:uid="{00000000-0005-0000-0000-00001B6B0000}"/>
    <cellStyle name="常规 9 2 2 2 3 2 7 2" xfId="18680" xr:uid="{00000000-0005-0000-0000-00001C6B0000}"/>
    <cellStyle name="常规 9 2 2 2 3 2 7 2 2" xfId="43256" xr:uid="{00000000-0005-0000-0000-00001D6B0000}"/>
    <cellStyle name="常规 9 2 2 2 3 2 7 3" xfId="30968" xr:uid="{00000000-0005-0000-0000-00001E6B0000}"/>
    <cellStyle name="常规 9 2 2 2 3 2 8" xfId="12536" xr:uid="{00000000-0005-0000-0000-00001F6B0000}"/>
    <cellStyle name="常规 9 2 2 2 3 2 8 2" xfId="37112" xr:uid="{00000000-0005-0000-0000-0000206B0000}"/>
    <cellStyle name="常规 9 2 2 2 3 2 9" xfId="24824" xr:uid="{00000000-0005-0000-0000-0000216B0000}"/>
    <cellStyle name="常规 9 2 2 2 3 3" xfId="308" xr:uid="{00000000-0005-0000-0000-0000226B0000}"/>
    <cellStyle name="常规 9 2 2 2 3 3 2" xfId="500" xr:uid="{00000000-0005-0000-0000-0000236B0000}"/>
    <cellStyle name="常规 9 2 2 2 3 3 2 2" xfId="884" xr:uid="{00000000-0005-0000-0000-0000246B0000}"/>
    <cellStyle name="常规 9 2 2 2 3 3 2 2 2" xfId="1652" xr:uid="{00000000-0005-0000-0000-0000256B0000}"/>
    <cellStyle name="常规 9 2 2 2 3 3 2 2 2 2" xfId="3188" xr:uid="{00000000-0005-0000-0000-0000266B0000}"/>
    <cellStyle name="常规 9 2 2 2 3 3 2 2 2 2 2" xfId="6264" xr:uid="{00000000-0005-0000-0000-0000276B0000}"/>
    <cellStyle name="常规 9 2 2 2 3 3 2 2 2 2 2 2" xfId="12408" xr:uid="{00000000-0005-0000-0000-0000286B0000}"/>
    <cellStyle name="常规 9 2 2 2 3 3 2 2 2 2 2 2 2" xfId="24696" xr:uid="{00000000-0005-0000-0000-0000296B0000}"/>
    <cellStyle name="常规 9 2 2 2 3 3 2 2 2 2 2 2 2 2" xfId="49272" xr:uid="{00000000-0005-0000-0000-00002A6B0000}"/>
    <cellStyle name="常规 9 2 2 2 3 3 2 2 2 2 2 2 3" xfId="36984" xr:uid="{00000000-0005-0000-0000-00002B6B0000}"/>
    <cellStyle name="常规 9 2 2 2 3 3 2 2 2 2 2 3" xfId="18552" xr:uid="{00000000-0005-0000-0000-00002C6B0000}"/>
    <cellStyle name="常规 9 2 2 2 3 3 2 2 2 2 2 3 2" xfId="43128" xr:uid="{00000000-0005-0000-0000-00002D6B0000}"/>
    <cellStyle name="常规 9 2 2 2 3 3 2 2 2 2 2 4" xfId="30840" xr:uid="{00000000-0005-0000-0000-00002E6B0000}"/>
    <cellStyle name="常规 9 2 2 2 3 3 2 2 2 2 3" xfId="9336" xr:uid="{00000000-0005-0000-0000-00002F6B0000}"/>
    <cellStyle name="常规 9 2 2 2 3 3 2 2 2 2 3 2" xfId="21624" xr:uid="{00000000-0005-0000-0000-0000306B0000}"/>
    <cellStyle name="常规 9 2 2 2 3 3 2 2 2 2 3 2 2" xfId="46200" xr:uid="{00000000-0005-0000-0000-0000316B0000}"/>
    <cellStyle name="常规 9 2 2 2 3 3 2 2 2 2 3 3" xfId="33912" xr:uid="{00000000-0005-0000-0000-0000326B0000}"/>
    <cellStyle name="常规 9 2 2 2 3 3 2 2 2 2 4" xfId="15480" xr:uid="{00000000-0005-0000-0000-0000336B0000}"/>
    <cellStyle name="常规 9 2 2 2 3 3 2 2 2 2 4 2" xfId="40056" xr:uid="{00000000-0005-0000-0000-0000346B0000}"/>
    <cellStyle name="常规 9 2 2 2 3 3 2 2 2 2 5" xfId="27768" xr:uid="{00000000-0005-0000-0000-0000356B0000}"/>
    <cellStyle name="常规 9 2 2 2 3 3 2 2 2 3" xfId="4728" xr:uid="{00000000-0005-0000-0000-0000366B0000}"/>
    <cellStyle name="常规 9 2 2 2 3 3 2 2 2 3 2" xfId="10872" xr:uid="{00000000-0005-0000-0000-0000376B0000}"/>
    <cellStyle name="常规 9 2 2 2 3 3 2 2 2 3 2 2" xfId="23160" xr:uid="{00000000-0005-0000-0000-0000386B0000}"/>
    <cellStyle name="常规 9 2 2 2 3 3 2 2 2 3 2 2 2" xfId="47736" xr:uid="{00000000-0005-0000-0000-0000396B0000}"/>
    <cellStyle name="常规 9 2 2 2 3 3 2 2 2 3 2 3" xfId="35448" xr:uid="{00000000-0005-0000-0000-00003A6B0000}"/>
    <cellStyle name="常规 9 2 2 2 3 3 2 2 2 3 3" xfId="17016" xr:uid="{00000000-0005-0000-0000-00003B6B0000}"/>
    <cellStyle name="常规 9 2 2 2 3 3 2 2 2 3 3 2" xfId="41592" xr:uid="{00000000-0005-0000-0000-00003C6B0000}"/>
    <cellStyle name="常规 9 2 2 2 3 3 2 2 2 3 4" xfId="29304" xr:uid="{00000000-0005-0000-0000-00003D6B0000}"/>
    <cellStyle name="常规 9 2 2 2 3 3 2 2 2 4" xfId="7800" xr:uid="{00000000-0005-0000-0000-00003E6B0000}"/>
    <cellStyle name="常规 9 2 2 2 3 3 2 2 2 4 2" xfId="20088" xr:uid="{00000000-0005-0000-0000-00003F6B0000}"/>
    <cellStyle name="常规 9 2 2 2 3 3 2 2 2 4 2 2" xfId="44664" xr:uid="{00000000-0005-0000-0000-0000406B0000}"/>
    <cellStyle name="常规 9 2 2 2 3 3 2 2 2 4 3" xfId="32376" xr:uid="{00000000-0005-0000-0000-0000416B0000}"/>
    <cellStyle name="常规 9 2 2 2 3 3 2 2 2 5" xfId="13944" xr:uid="{00000000-0005-0000-0000-0000426B0000}"/>
    <cellStyle name="常规 9 2 2 2 3 3 2 2 2 5 2" xfId="38520" xr:uid="{00000000-0005-0000-0000-0000436B0000}"/>
    <cellStyle name="常规 9 2 2 2 3 3 2 2 2 6" xfId="26232" xr:uid="{00000000-0005-0000-0000-0000446B0000}"/>
    <cellStyle name="常规 9 2 2 2 3 3 2 2 3" xfId="2420" xr:uid="{00000000-0005-0000-0000-0000456B0000}"/>
    <cellStyle name="常规 9 2 2 2 3 3 2 2 3 2" xfId="5496" xr:uid="{00000000-0005-0000-0000-0000466B0000}"/>
    <cellStyle name="常规 9 2 2 2 3 3 2 2 3 2 2" xfId="11640" xr:uid="{00000000-0005-0000-0000-0000476B0000}"/>
    <cellStyle name="常规 9 2 2 2 3 3 2 2 3 2 2 2" xfId="23928" xr:uid="{00000000-0005-0000-0000-0000486B0000}"/>
    <cellStyle name="常规 9 2 2 2 3 3 2 2 3 2 2 2 2" xfId="48504" xr:uid="{00000000-0005-0000-0000-0000496B0000}"/>
    <cellStyle name="常规 9 2 2 2 3 3 2 2 3 2 2 3" xfId="36216" xr:uid="{00000000-0005-0000-0000-00004A6B0000}"/>
    <cellStyle name="常规 9 2 2 2 3 3 2 2 3 2 3" xfId="17784" xr:uid="{00000000-0005-0000-0000-00004B6B0000}"/>
    <cellStyle name="常规 9 2 2 2 3 3 2 2 3 2 3 2" xfId="42360" xr:uid="{00000000-0005-0000-0000-00004C6B0000}"/>
    <cellStyle name="常规 9 2 2 2 3 3 2 2 3 2 4" xfId="30072" xr:uid="{00000000-0005-0000-0000-00004D6B0000}"/>
    <cellStyle name="常规 9 2 2 2 3 3 2 2 3 3" xfId="8568" xr:uid="{00000000-0005-0000-0000-00004E6B0000}"/>
    <cellStyle name="常规 9 2 2 2 3 3 2 2 3 3 2" xfId="20856" xr:uid="{00000000-0005-0000-0000-00004F6B0000}"/>
    <cellStyle name="常规 9 2 2 2 3 3 2 2 3 3 2 2" xfId="45432" xr:uid="{00000000-0005-0000-0000-0000506B0000}"/>
    <cellStyle name="常规 9 2 2 2 3 3 2 2 3 3 3" xfId="33144" xr:uid="{00000000-0005-0000-0000-0000516B0000}"/>
    <cellStyle name="常规 9 2 2 2 3 3 2 2 3 4" xfId="14712" xr:uid="{00000000-0005-0000-0000-0000526B0000}"/>
    <cellStyle name="常规 9 2 2 2 3 3 2 2 3 4 2" xfId="39288" xr:uid="{00000000-0005-0000-0000-0000536B0000}"/>
    <cellStyle name="常规 9 2 2 2 3 3 2 2 3 5" xfId="27000" xr:uid="{00000000-0005-0000-0000-0000546B0000}"/>
    <cellStyle name="常规 9 2 2 2 3 3 2 2 4" xfId="3960" xr:uid="{00000000-0005-0000-0000-0000556B0000}"/>
    <cellStyle name="常规 9 2 2 2 3 3 2 2 4 2" xfId="10104" xr:uid="{00000000-0005-0000-0000-0000566B0000}"/>
    <cellStyle name="常规 9 2 2 2 3 3 2 2 4 2 2" xfId="22392" xr:uid="{00000000-0005-0000-0000-0000576B0000}"/>
    <cellStyle name="常规 9 2 2 2 3 3 2 2 4 2 2 2" xfId="46968" xr:uid="{00000000-0005-0000-0000-0000586B0000}"/>
    <cellStyle name="常规 9 2 2 2 3 3 2 2 4 2 3" xfId="34680" xr:uid="{00000000-0005-0000-0000-0000596B0000}"/>
    <cellStyle name="常规 9 2 2 2 3 3 2 2 4 3" xfId="16248" xr:uid="{00000000-0005-0000-0000-00005A6B0000}"/>
    <cellStyle name="常规 9 2 2 2 3 3 2 2 4 3 2" xfId="40824" xr:uid="{00000000-0005-0000-0000-00005B6B0000}"/>
    <cellStyle name="常规 9 2 2 2 3 3 2 2 4 4" xfId="28536" xr:uid="{00000000-0005-0000-0000-00005C6B0000}"/>
    <cellStyle name="常规 9 2 2 2 3 3 2 2 5" xfId="7032" xr:uid="{00000000-0005-0000-0000-00005D6B0000}"/>
    <cellStyle name="常规 9 2 2 2 3 3 2 2 5 2" xfId="19320" xr:uid="{00000000-0005-0000-0000-00005E6B0000}"/>
    <cellStyle name="常规 9 2 2 2 3 3 2 2 5 2 2" xfId="43896" xr:uid="{00000000-0005-0000-0000-00005F6B0000}"/>
    <cellStyle name="常规 9 2 2 2 3 3 2 2 5 3" xfId="31608" xr:uid="{00000000-0005-0000-0000-0000606B0000}"/>
    <cellStyle name="常规 9 2 2 2 3 3 2 2 6" xfId="13176" xr:uid="{00000000-0005-0000-0000-0000616B0000}"/>
    <cellStyle name="常规 9 2 2 2 3 3 2 2 6 2" xfId="37752" xr:uid="{00000000-0005-0000-0000-0000626B0000}"/>
    <cellStyle name="常规 9 2 2 2 3 3 2 2 7" xfId="25464" xr:uid="{00000000-0005-0000-0000-0000636B0000}"/>
    <cellStyle name="常规 9 2 2 2 3 3 2 3" xfId="1268" xr:uid="{00000000-0005-0000-0000-0000646B0000}"/>
    <cellStyle name="常规 9 2 2 2 3 3 2 3 2" xfId="2804" xr:uid="{00000000-0005-0000-0000-0000656B0000}"/>
    <cellStyle name="常规 9 2 2 2 3 3 2 3 2 2" xfId="5880" xr:uid="{00000000-0005-0000-0000-0000666B0000}"/>
    <cellStyle name="常规 9 2 2 2 3 3 2 3 2 2 2" xfId="12024" xr:uid="{00000000-0005-0000-0000-0000676B0000}"/>
    <cellStyle name="常规 9 2 2 2 3 3 2 3 2 2 2 2" xfId="24312" xr:uid="{00000000-0005-0000-0000-0000686B0000}"/>
    <cellStyle name="常规 9 2 2 2 3 3 2 3 2 2 2 2 2" xfId="48888" xr:uid="{00000000-0005-0000-0000-0000696B0000}"/>
    <cellStyle name="常规 9 2 2 2 3 3 2 3 2 2 2 3" xfId="36600" xr:uid="{00000000-0005-0000-0000-00006A6B0000}"/>
    <cellStyle name="常规 9 2 2 2 3 3 2 3 2 2 3" xfId="18168" xr:uid="{00000000-0005-0000-0000-00006B6B0000}"/>
    <cellStyle name="常规 9 2 2 2 3 3 2 3 2 2 3 2" xfId="42744" xr:uid="{00000000-0005-0000-0000-00006C6B0000}"/>
    <cellStyle name="常规 9 2 2 2 3 3 2 3 2 2 4" xfId="30456" xr:uid="{00000000-0005-0000-0000-00006D6B0000}"/>
    <cellStyle name="常规 9 2 2 2 3 3 2 3 2 3" xfId="8952" xr:uid="{00000000-0005-0000-0000-00006E6B0000}"/>
    <cellStyle name="常规 9 2 2 2 3 3 2 3 2 3 2" xfId="21240" xr:uid="{00000000-0005-0000-0000-00006F6B0000}"/>
    <cellStyle name="常规 9 2 2 2 3 3 2 3 2 3 2 2" xfId="45816" xr:uid="{00000000-0005-0000-0000-0000706B0000}"/>
    <cellStyle name="常规 9 2 2 2 3 3 2 3 2 3 3" xfId="33528" xr:uid="{00000000-0005-0000-0000-0000716B0000}"/>
    <cellStyle name="常规 9 2 2 2 3 3 2 3 2 4" xfId="15096" xr:uid="{00000000-0005-0000-0000-0000726B0000}"/>
    <cellStyle name="常规 9 2 2 2 3 3 2 3 2 4 2" xfId="39672" xr:uid="{00000000-0005-0000-0000-0000736B0000}"/>
    <cellStyle name="常规 9 2 2 2 3 3 2 3 2 5" xfId="27384" xr:uid="{00000000-0005-0000-0000-0000746B0000}"/>
    <cellStyle name="常规 9 2 2 2 3 3 2 3 3" xfId="4344" xr:uid="{00000000-0005-0000-0000-0000756B0000}"/>
    <cellStyle name="常规 9 2 2 2 3 3 2 3 3 2" xfId="10488" xr:uid="{00000000-0005-0000-0000-0000766B0000}"/>
    <cellStyle name="常规 9 2 2 2 3 3 2 3 3 2 2" xfId="22776" xr:uid="{00000000-0005-0000-0000-0000776B0000}"/>
    <cellStyle name="常规 9 2 2 2 3 3 2 3 3 2 2 2" xfId="47352" xr:uid="{00000000-0005-0000-0000-0000786B0000}"/>
    <cellStyle name="常规 9 2 2 2 3 3 2 3 3 2 3" xfId="35064" xr:uid="{00000000-0005-0000-0000-0000796B0000}"/>
    <cellStyle name="常规 9 2 2 2 3 3 2 3 3 3" xfId="16632" xr:uid="{00000000-0005-0000-0000-00007A6B0000}"/>
    <cellStyle name="常规 9 2 2 2 3 3 2 3 3 3 2" xfId="41208" xr:uid="{00000000-0005-0000-0000-00007B6B0000}"/>
    <cellStyle name="常规 9 2 2 2 3 3 2 3 3 4" xfId="28920" xr:uid="{00000000-0005-0000-0000-00007C6B0000}"/>
    <cellStyle name="常规 9 2 2 2 3 3 2 3 4" xfId="7416" xr:uid="{00000000-0005-0000-0000-00007D6B0000}"/>
    <cellStyle name="常规 9 2 2 2 3 3 2 3 4 2" xfId="19704" xr:uid="{00000000-0005-0000-0000-00007E6B0000}"/>
    <cellStyle name="常规 9 2 2 2 3 3 2 3 4 2 2" xfId="44280" xr:uid="{00000000-0005-0000-0000-00007F6B0000}"/>
    <cellStyle name="常规 9 2 2 2 3 3 2 3 4 3" xfId="31992" xr:uid="{00000000-0005-0000-0000-0000806B0000}"/>
    <cellStyle name="常规 9 2 2 2 3 3 2 3 5" xfId="13560" xr:uid="{00000000-0005-0000-0000-0000816B0000}"/>
    <cellStyle name="常规 9 2 2 2 3 3 2 3 5 2" xfId="38136" xr:uid="{00000000-0005-0000-0000-0000826B0000}"/>
    <cellStyle name="常规 9 2 2 2 3 3 2 3 6" xfId="25848" xr:uid="{00000000-0005-0000-0000-0000836B0000}"/>
    <cellStyle name="常规 9 2 2 2 3 3 2 4" xfId="2036" xr:uid="{00000000-0005-0000-0000-0000846B0000}"/>
    <cellStyle name="常规 9 2 2 2 3 3 2 4 2" xfId="5112" xr:uid="{00000000-0005-0000-0000-0000856B0000}"/>
    <cellStyle name="常规 9 2 2 2 3 3 2 4 2 2" xfId="11256" xr:uid="{00000000-0005-0000-0000-0000866B0000}"/>
    <cellStyle name="常规 9 2 2 2 3 3 2 4 2 2 2" xfId="23544" xr:uid="{00000000-0005-0000-0000-0000876B0000}"/>
    <cellStyle name="常规 9 2 2 2 3 3 2 4 2 2 2 2" xfId="48120" xr:uid="{00000000-0005-0000-0000-0000886B0000}"/>
    <cellStyle name="常规 9 2 2 2 3 3 2 4 2 2 3" xfId="35832" xr:uid="{00000000-0005-0000-0000-0000896B0000}"/>
    <cellStyle name="常规 9 2 2 2 3 3 2 4 2 3" xfId="17400" xr:uid="{00000000-0005-0000-0000-00008A6B0000}"/>
    <cellStyle name="常规 9 2 2 2 3 3 2 4 2 3 2" xfId="41976" xr:uid="{00000000-0005-0000-0000-00008B6B0000}"/>
    <cellStyle name="常规 9 2 2 2 3 3 2 4 2 4" xfId="29688" xr:uid="{00000000-0005-0000-0000-00008C6B0000}"/>
    <cellStyle name="常规 9 2 2 2 3 3 2 4 3" xfId="8184" xr:uid="{00000000-0005-0000-0000-00008D6B0000}"/>
    <cellStyle name="常规 9 2 2 2 3 3 2 4 3 2" xfId="20472" xr:uid="{00000000-0005-0000-0000-00008E6B0000}"/>
    <cellStyle name="常规 9 2 2 2 3 3 2 4 3 2 2" xfId="45048" xr:uid="{00000000-0005-0000-0000-00008F6B0000}"/>
    <cellStyle name="常规 9 2 2 2 3 3 2 4 3 3" xfId="32760" xr:uid="{00000000-0005-0000-0000-0000906B0000}"/>
    <cellStyle name="常规 9 2 2 2 3 3 2 4 4" xfId="14328" xr:uid="{00000000-0005-0000-0000-0000916B0000}"/>
    <cellStyle name="常规 9 2 2 2 3 3 2 4 4 2" xfId="38904" xr:uid="{00000000-0005-0000-0000-0000926B0000}"/>
    <cellStyle name="常规 9 2 2 2 3 3 2 4 5" xfId="26616" xr:uid="{00000000-0005-0000-0000-0000936B0000}"/>
    <cellStyle name="常规 9 2 2 2 3 3 2 5" xfId="3576" xr:uid="{00000000-0005-0000-0000-0000946B0000}"/>
    <cellStyle name="常规 9 2 2 2 3 3 2 5 2" xfId="9720" xr:uid="{00000000-0005-0000-0000-0000956B0000}"/>
    <cellStyle name="常规 9 2 2 2 3 3 2 5 2 2" xfId="22008" xr:uid="{00000000-0005-0000-0000-0000966B0000}"/>
    <cellStyle name="常规 9 2 2 2 3 3 2 5 2 2 2" xfId="46584" xr:uid="{00000000-0005-0000-0000-0000976B0000}"/>
    <cellStyle name="常规 9 2 2 2 3 3 2 5 2 3" xfId="34296" xr:uid="{00000000-0005-0000-0000-0000986B0000}"/>
    <cellStyle name="常规 9 2 2 2 3 3 2 5 3" xfId="15864" xr:uid="{00000000-0005-0000-0000-0000996B0000}"/>
    <cellStyle name="常规 9 2 2 2 3 3 2 5 3 2" xfId="40440" xr:uid="{00000000-0005-0000-0000-00009A6B0000}"/>
    <cellStyle name="常规 9 2 2 2 3 3 2 5 4" xfId="28152" xr:uid="{00000000-0005-0000-0000-00009B6B0000}"/>
    <cellStyle name="常规 9 2 2 2 3 3 2 6" xfId="6648" xr:uid="{00000000-0005-0000-0000-00009C6B0000}"/>
    <cellStyle name="常规 9 2 2 2 3 3 2 6 2" xfId="18936" xr:uid="{00000000-0005-0000-0000-00009D6B0000}"/>
    <cellStyle name="常规 9 2 2 2 3 3 2 6 2 2" xfId="43512" xr:uid="{00000000-0005-0000-0000-00009E6B0000}"/>
    <cellStyle name="常规 9 2 2 2 3 3 2 6 3" xfId="31224" xr:uid="{00000000-0005-0000-0000-00009F6B0000}"/>
    <cellStyle name="常规 9 2 2 2 3 3 2 7" xfId="12792" xr:uid="{00000000-0005-0000-0000-0000A06B0000}"/>
    <cellStyle name="常规 9 2 2 2 3 3 2 7 2" xfId="37368" xr:uid="{00000000-0005-0000-0000-0000A16B0000}"/>
    <cellStyle name="常规 9 2 2 2 3 3 2 8" xfId="25080" xr:uid="{00000000-0005-0000-0000-0000A26B0000}"/>
    <cellStyle name="常规 9 2 2 2 3 3 3" xfId="692" xr:uid="{00000000-0005-0000-0000-0000A36B0000}"/>
    <cellStyle name="常规 9 2 2 2 3 3 3 2" xfId="1460" xr:uid="{00000000-0005-0000-0000-0000A46B0000}"/>
    <cellStyle name="常规 9 2 2 2 3 3 3 2 2" xfId="2996" xr:uid="{00000000-0005-0000-0000-0000A56B0000}"/>
    <cellStyle name="常规 9 2 2 2 3 3 3 2 2 2" xfId="6072" xr:uid="{00000000-0005-0000-0000-0000A66B0000}"/>
    <cellStyle name="常规 9 2 2 2 3 3 3 2 2 2 2" xfId="12216" xr:uid="{00000000-0005-0000-0000-0000A76B0000}"/>
    <cellStyle name="常规 9 2 2 2 3 3 3 2 2 2 2 2" xfId="24504" xr:uid="{00000000-0005-0000-0000-0000A86B0000}"/>
    <cellStyle name="常规 9 2 2 2 3 3 3 2 2 2 2 2 2" xfId="49080" xr:uid="{00000000-0005-0000-0000-0000A96B0000}"/>
    <cellStyle name="常规 9 2 2 2 3 3 3 2 2 2 2 3" xfId="36792" xr:uid="{00000000-0005-0000-0000-0000AA6B0000}"/>
    <cellStyle name="常规 9 2 2 2 3 3 3 2 2 2 3" xfId="18360" xr:uid="{00000000-0005-0000-0000-0000AB6B0000}"/>
    <cellStyle name="常规 9 2 2 2 3 3 3 2 2 2 3 2" xfId="42936" xr:uid="{00000000-0005-0000-0000-0000AC6B0000}"/>
    <cellStyle name="常规 9 2 2 2 3 3 3 2 2 2 4" xfId="30648" xr:uid="{00000000-0005-0000-0000-0000AD6B0000}"/>
    <cellStyle name="常规 9 2 2 2 3 3 3 2 2 3" xfId="9144" xr:uid="{00000000-0005-0000-0000-0000AE6B0000}"/>
    <cellStyle name="常规 9 2 2 2 3 3 3 2 2 3 2" xfId="21432" xr:uid="{00000000-0005-0000-0000-0000AF6B0000}"/>
    <cellStyle name="常规 9 2 2 2 3 3 3 2 2 3 2 2" xfId="46008" xr:uid="{00000000-0005-0000-0000-0000B06B0000}"/>
    <cellStyle name="常规 9 2 2 2 3 3 3 2 2 3 3" xfId="33720" xr:uid="{00000000-0005-0000-0000-0000B16B0000}"/>
    <cellStyle name="常规 9 2 2 2 3 3 3 2 2 4" xfId="15288" xr:uid="{00000000-0005-0000-0000-0000B26B0000}"/>
    <cellStyle name="常规 9 2 2 2 3 3 3 2 2 4 2" xfId="39864" xr:uid="{00000000-0005-0000-0000-0000B36B0000}"/>
    <cellStyle name="常规 9 2 2 2 3 3 3 2 2 5" xfId="27576" xr:uid="{00000000-0005-0000-0000-0000B46B0000}"/>
    <cellStyle name="常规 9 2 2 2 3 3 3 2 3" xfId="4536" xr:uid="{00000000-0005-0000-0000-0000B56B0000}"/>
    <cellStyle name="常规 9 2 2 2 3 3 3 2 3 2" xfId="10680" xr:uid="{00000000-0005-0000-0000-0000B66B0000}"/>
    <cellStyle name="常规 9 2 2 2 3 3 3 2 3 2 2" xfId="22968" xr:uid="{00000000-0005-0000-0000-0000B76B0000}"/>
    <cellStyle name="常规 9 2 2 2 3 3 3 2 3 2 2 2" xfId="47544" xr:uid="{00000000-0005-0000-0000-0000B86B0000}"/>
    <cellStyle name="常规 9 2 2 2 3 3 3 2 3 2 3" xfId="35256" xr:uid="{00000000-0005-0000-0000-0000B96B0000}"/>
    <cellStyle name="常规 9 2 2 2 3 3 3 2 3 3" xfId="16824" xr:uid="{00000000-0005-0000-0000-0000BA6B0000}"/>
    <cellStyle name="常规 9 2 2 2 3 3 3 2 3 3 2" xfId="41400" xr:uid="{00000000-0005-0000-0000-0000BB6B0000}"/>
    <cellStyle name="常规 9 2 2 2 3 3 3 2 3 4" xfId="29112" xr:uid="{00000000-0005-0000-0000-0000BC6B0000}"/>
    <cellStyle name="常规 9 2 2 2 3 3 3 2 4" xfId="7608" xr:uid="{00000000-0005-0000-0000-0000BD6B0000}"/>
    <cellStyle name="常规 9 2 2 2 3 3 3 2 4 2" xfId="19896" xr:uid="{00000000-0005-0000-0000-0000BE6B0000}"/>
    <cellStyle name="常规 9 2 2 2 3 3 3 2 4 2 2" xfId="44472" xr:uid="{00000000-0005-0000-0000-0000BF6B0000}"/>
    <cellStyle name="常规 9 2 2 2 3 3 3 2 4 3" xfId="32184" xr:uid="{00000000-0005-0000-0000-0000C06B0000}"/>
    <cellStyle name="常规 9 2 2 2 3 3 3 2 5" xfId="13752" xr:uid="{00000000-0005-0000-0000-0000C16B0000}"/>
    <cellStyle name="常规 9 2 2 2 3 3 3 2 5 2" xfId="38328" xr:uid="{00000000-0005-0000-0000-0000C26B0000}"/>
    <cellStyle name="常规 9 2 2 2 3 3 3 2 6" xfId="26040" xr:uid="{00000000-0005-0000-0000-0000C36B0000}"/>
    <cellStyle name="常规 9 2 2 2 3 3 3 3" xfId="2228" xr:uid="{00000000-0005-0000-0000-0000C46B0000}"/>
    <cellStyle name="常规 9 2 2 2 3 3 3 3 2" xfId="5304" xr:uid="{00000000-0005-0000-0000-0000C56B0000}"/>
    <cellStyle name="常规 9 2 2 2 3 3 3 3 2 2" xfId="11448" xr:uid="{00000000-0005-0000-0000-0000C66B0000}"/>
    <cellStyle name="常规 9 2 2 2 3 3 3 3 2 2 2" xfId="23736" xr:uid="{00000000-0005-0000-0000-0000C76B0000}"/>
    <cellStyle name="常规 9 2 2 2 3 3 3 3 2 2 2 2" xfId="48312" xr:uid="{00000000-0005-0000-0000-0000C86B0000}"/>
    <cellStyle name="常规 9 2 2 2 3 3 3 3 2 2 3" xfId="36024" xr:uid="{00000000-0005-0000-0000-0000C96B0000}"/>
    <cellStyle name="常规 9 2 2 2 3 3 3 3 2 3" xfId="17592" xr:uid="{00000000-0005-0000-0000-0000CA6B0000}"/>
    <cellStyle name="常规 9 2 2 2 3 3 3 3 2 3 2" xfId="42168" xr:uid="{00000000-0005-0000-0000-0000CB6B0000}"/>
    <cellStyle name="常规 9 2 2 2 3 3 3 3 2 4" xfId="29880" xr:uid="{00000000-0005-0000-0000-0000CC6B0000}"/>
    <cellStyle name="常规 9 2 2 2 3 3 3 3 3" xfId="8376" xr:uid="{00000000-0005-0000-0000-0000CD6B0000}"/>
    <cellStyle name="常规 9 2 2 2 3 3 3 3 3 2" xfId="20664" xr:uid="{00000000-0005-0000-0000-0000CE6B0000}"/>
    <cellStyle name="常规 9 2 2 2 3 3 3 3 3 2 2" xfId="45240" xr:uid="{00000000-0005-0000-0000-0000CF6B0000}"/>
    <cellStyle name="常规 9 2 2 2 3 3 3 3 3 3" xfId="32952" xr:uid="{00000000-0005-0000-0000-0000D06B0000}"/>
    <cellStyle name="常规 9 2 2 2 3 3 3 3 4" xfId="14520" xr:uid="{00000000-0005-0000-0000-0000D16B0000}"/>
    <cellStyle name="常规 9 2 2 2 3 3 3 3 4 2" xfId="39096" xr:uid="{00000000-0005-0000-0000-0000D26B0000}"/>
    <cellStyle name="常规 9 2 2 2 3 3 3 3 5" xfId="26808" xr:uid="{00000000-0005-0000-0000-0000D36B0000}"/>
    <cellStyle name="常规 9 2 2 2 3 3 3 4" xfId="3768" xr:uid="{00000000-0005-0000-0000-0000D46B0000}"/>
    <cellStyle name="常规 9 2 2 2 3 3 3 4 2" xfId="9912" xr:uid="{00000000-0005-0000-0000-0000D56B0000}"/>
    <cellStyle name="常规 9 2 2 2 3 3 3 4 2 2" xfId="22200" xr:uid="{00000000-0005-0000-0000-0000D66B0000}"/>
    <cellStyle name="常规 9 2 2 2 3 3 3 4 2 2 2" xfId="46776" xr:uid="{00000000-0005-0000-0000-0000D76B0000}"/>
    <cellStyle name="常规 9 2 2 2 3 3 3 4 2 3" xfId="34488" xr:uid="{00000000-0005-0000-0000-0000D86B0000}"/>
    <cellStyle name="常规 9 2 2 2 3 3 3 4 3" xfId="16056" xr:uid="{00000000-0005-0000-0000-0000D96B0000}"/>
    <cellStyle name="常规 9 2 2 2 3 3 3 4 3 2" xfId="40632" xr:uid="{00000000-0005-0000-0000-0000DA6B0000}"/>
    <cellStyle name="常规 9 2 2 2 3 3 3 4 4" xfId="28344" xr:uid="{00000000-0005-0000-0000-0000DB6B0000}"/>
    <cellStyle name="常规 9 2 2 2 3 3 3 5" xfId="6840" xr:uid="{00000000-0005-0000-0000-0000DC6B0000}"/>
    <cellStyle name="常规 9 2 2 2 3 3 3 5 2" xfId="19128" xr:uid="{00000000-0005-0000-0000-0000DD6B0000}"/>
    <cellStyle name="常规 9 2 2 2 3 3 3 5 2 2" xfId="43704" xr:uid="{00000000-0005-0000-0000-0000DE6B0000}"/>
    <cellStyle name="常规 9 2 2 2 3 3 3 5 3" xfId="31416" xr:uid="{00000000-0005-0000-0000-0000DF6B0000}"/>
    <cellStyle name="常规 9 2 2 2 3 3 3 6" xfId="12984" xr:uid="{00000000-0005-0000-0000-0000E06B0000}"/>
    <cellStyle name="常规 9 2 2 2 3 3 3 6 2" xfId="37560" xr:uid="{00000000-0005-0000-0000-0000E16B0000}"/>
    <cellStyle name="常规 9 2 2 2 3 3 3 7" xfId="25272" xr:uid="{00000000-0005-0000-0000-0000E26B0000}"/>
    <cellStyle name="常规 9 2 2 2 3 3 4" xfId="1076" xr:uid="{00000000-0005-0000-0000-0000E36B0000}"/>
    <cellStyle name="常规 9 2 2 2 3 3 4 2" xfId="2612" xr:uid="{00000000-0005-0000-0000-0000E46B0000}"/>
    <cellStyle name="常规 9 2 2 2 3 3 4 2 2" xfId="5688" xr:uid="{00000000-0005-0000-0000-0000E56B0000}"/>
    <cellStyle name="常规 9 2 2 2 3 3 4 2 2 2" xfId="11832" xr:uid="{00000000-0005-0000-0000-0000E66B0000}"/>
    <cellStyle name="常规 9 2 2 2 3 3 4 2 2 2 2" xfId="24120" xr:uid="{00000000-0005-0000-0000-0000E76B0000}"/>
    <cellStyle name="常规 9 2 2 2 3 3 4 2 2 2 2 2" xfId="48696" xr:uid="{00000000-0005-0000-0000-0000E86B0000}"/>
    <cellStyle name="常规 9 2 2 2 3 3 4 2 2 2 3" xfId="36408" xr:uid="{00000000-0005-0000-0000-0000E96B0000}"/>
    <cellStyle name="常规 9 2 2 2 3 3 4 2 2 3" xfId="17976" xr:uid="{00000000-0005-0000-0000-0000EA6B0000}"/>
    <cellStyle name="常规 9 2 2 2 3 3 4 2 2 3 2" xfId="42552" xr:uid="{00000000-0005-0000-0000-0000EB6B0000}"/>
    <cellStyle name="常规 9 2 2 2 3 3 4 2 2 4" xfId="30264" xr:uid="{00000000-0005-0000-0000-0000EC6B0000}"/>
    <cellStyle name="常规 9 2 2 2 3 3 4 2 3" xfId="8760" xr:uid="{00000000-0005-0000-0000-0000ED6B0000}"/>
    <cellStyle name="常规 9 2 2 2 3 3 4 2 3 2" xfId="21048" xr:uid="{00000000-0005-0000-0000-0000EE6B0000}"/>
    <cellStyle name="常规 9 2 2 2 3 3 4 2 3 2 2" xfId="45624" xr:uid="{00000000-0005-0000-0000-0000EF6B0000}"/>
    <cellStyle name="常规 9 2 2 2 3 3 4 2 3 3" xfId="33336" xr:uid="{00000000-0005-0000-0000-0000F06B0000}"/>
    <cellStyle name="常规 9 2 2 2 3 3 4 2 4" xfId="14904" xr:uid="{00000000-0005-0000-0000-0000F16B0000}"/>
    <cellStyle name="常规 9 2 2 2 3 3 4 2 4 2" xfId="39480" xr:uid="{00000000-0005-0000-0000-0000F26B0000}"/>
    <cellStyle name="常规 9 2 2 2 3 3 4 2 5" xfId="27192" xr:uid="{00000000-0005-0000-0000-0000F36B0000}"/>
    <cellStyle name="常规 9 2 2 2 3 3 4 3" xfId="4152" xr:uid="{00000000-0005-0000-0000-0000F46B0000}"/>
    <cellStyle name="常规 9 2 2 2 3 3 4 3 2" xfId="10296" xr:uid="{00000000-0005-0000-0000-0000F56B0000}"/>
    <cellStyle name="常规 9 2 2 2 3 3 4 3 2 2" xfId="22584" xr:uid="{00000000-0005-0000-0000-0000F66B0000}"/>
    <cellStyle name="常规 9 2 2 2 3 3 4 3 2 2 2" xfId="47160" xr:uid="{00000000-0005-0000-0000-0000F76B0000}"/>
    <cellStyle name="常规 9 2 2 2 3 3 4 3 2 3" xfId="34872" xr:uid="{00000000-0005-0000-0000-0000F86B0000}"/>
    <cellStyle name="常规 9 2 2 2 3 3 4 3 3" xfId="16440" xr:uid="{00000000-0005-0000-0000-0000F96B0000}"/>
    <cellStyle name="常规 9 2 2 2 3 3 4 3 3 2" xfId="41016" xr:uid="{00000000-0005-0000-0000-0000FA6B0000}"/>
    <cellStyle name="常规 9 2 2 2 3 3 4 3 4" xfId="28728" xr:uid="{00000000-0005-0000-0000-0000FB6B0000}"/>
    <cellStyle name="常规 9 2 2 2 3 3 4 4" xfId="7224" xr:uid="{00000000-0005-0000-0000-0000FC6B0000}"/>
    <cellStyle name="常规 9 2 2 2 3 3 4 4 2" xfId="19512" xr:uid="{00000000-0005-0000-0000-0000FD6B0000}"/>
    <cellStyle name="常规 9 2 2 2 3 3 4 4 2 2" xfId="44088" xr:uid="{00000000-0005-0000-0000-0000FE6B0000}"/>
    <cellStyle name="常规 9 2 2 2 3 3 4 4 3" xfId="31800" xr:uid="{00000000-0005-0000-0000-0000FF6B0000}"/>
    <cellStyle name="常规 9 2 2 2 3 3 4 5" xfId="13368" xr:uid="{00000000-0005-0000-0000-0000006C0000}"/>
    <cellStyle name="常规 9 2 2 2 3 3 4 5 2" xfId="37944" xr:uid="{00000000-0005-0000-0000-0000016C0000}"/>
    <cellStyle name="常规 9 2 2 2 3 3 4 6" xfId="25656" xr:uid="{00000000-0005-0000-0000-0000026C0000}"/>
    <cellStyle name="常规 9 2 2 2 3 3 5" xfId="1844" xr:uid="{00000000-0005-0000-0000-0000036C0000}"/>
    <cellStyle name="常规 9 2 2 2 3 3 5 2" xfId="4920" xr:uid="{00000000-0005-0000-0000-0000046C0000}"/>
    <cellStyle name="常规 9 2 2 2 3 3 5 2 2" xfId="11064" xr:uid="{00000000-0005-0000-0000-0000056C0000}"/>
    <cellStyle name="常规 9 2 2 2 3 3 5 2 2 2" xfId="23352" xr:uid="{00000000-0005-0000-0000-0000066C0000}"/>
    <cellStyle name="常规 9 2 2 2 3 3 5 2 2 2 2" xfId="47928" xr:uid="{00000000-0005-0000-0000-0000076C0000}"/>
    <cellStyle name="常规 9 2 2 2 3 3 5 2 2 3" xfId="35640" xr:uid="{00000000-0005-0000-0000-0000086C0000}"/>
    <cellStyle name="常规 9 2 2 2 3 3 5 2 3" xfId="17208" xr:uid="{00000000-0005-0000-0000-0000096C0000}"/>
    <cellStyle name="常规 9 2 2 2 3 3 5 2 3 2" xfId="41784" xr:uid="{00000000-0005-0000-0000-00000A6C0000}"/>
    <cellStyle name="常规 9 2 2 2 3 3 5 2 4" xfId="29496" xr:uid="{00000000-0005-0000-0000-00000B6C0000}"/>
    <cellStyle name="常规 9 2 2 2 3 3 5 3" xfId="7992" xr:uid="{00000000-0005-0000-0000-00000C6C0000}"/>
    <cellStyle name="常规 9 2 2 2 3 3 5 3 2" xfId="20280" xr:uid="{00000000-0005-0000-0000-00000D6C0000}"/>
    <cellStyle name="常规 9 2 2 2 3 3 5 3 2 2" xfId="44856" xr:uid="{00000000-0005-0000-0000-00000E6C0000}"/>
    <cellStyle name="常规 9 2 2 2 3 3 5 3 3" xfId="32568" xr:uid="{00000000-0005-0000-0000-00000F6C0000}"/>
    <cellStyle name="常规 9 2 2 2 3 3 5 4" xfId="14136" xr:uid="{00000000-0005-0000-0000-0000106C0000}"/>
    <cellStyle name="常规 9 2 2 2 3 3 5 4 2" xfId="38712" xr:uid="{00000000-0005-0000-0000-0000116C0000}"/>
    <cellStyle name="常规 9 2 2 2 3 3 5 5" xfId="26424" xr:uid="{00000000-0005-0000-0000-0000126C0000}"/>
    <cellStyle name="常规 9 2 2 2 3 3 6" xfId="3384" xr:uid="{00000000-0005-0000-0000-0000136C0000}"/>
    <cellStyle name="常规 9 2 2 2 3 3 6 2" xfId="9528" xr:uid="{00000000-0005-0000-0000-0000146C0000}"/>
    <cellStyle name="常规 9 2 2 2 3 3 6 2 2" xfId="21816" xr:uid="{00000000-0005-0000-0000-0000156C0000}"/>
    <cellStyle name="常规 9 2 2 2 3 3 6 2 2 2" xfId="46392" xr:uid="{00000000-0005-0000-0000-0000166C0000}"/>
    <cellStyle name="常规 9 2 2 2 3 3 6 2 3" xfId="34104" xr:uid="{00000000-0005-0000-0000-0000176C0000}"/>
    <cellStyle name="常规 9 2 2 2 3 3 6 3" xfId="15672" xr:uid="{00000000-0005-0000-0000-0000186C0000}"/>
    <cellStyle name="常规 9 2 2 2 3 3 6 3 2" xfId="40248" xr:uid="{00000000-0005-0000-0000-0000196C0000}"/>
    <cellStyle name="常规 9 2 2 2 3 3 6 4" xfId="27960" xr:uid="{00000000-0005-0000-0000-00001A6C0000}"/>
    <cellStyle name="常规 9 2 2 2 3 3 7" xfId="6456" xr:uid="{00000000-0005-0000-0000-00001B6C0000}"/>
    <cellStyle name="常规 9 2 2 2 3 3 7 2" xfId="18744" xr:uid="{00000000-0005-0000-0000-00001C6C0000}"/>
    <cellStyle name="常规 9 2 2 2 3 3 7 2 2" xfId="43320" xr:uid="{00000000-0005-0000-0000-00001D6C0000}"/>
    <cellStyle name="常规 9 2 2 2 3 3 7 3" xfId="31032" xr:uid="{00000000-0005-0000-0000-00001E6C0000}"/>
    <cellStyle name="常规 9 2 2 2 3 3 8" xfId="12600" xr:uid="{00000000-0005-0000-0000-00001F6C0000}"/>
    <cellStyle name="常规 9 2 2 2 3 3 8 2" xfId="37176" xr:uid="{00000000-0005-0000-0000-0000206C0000}"/>
    <cellStyle name="常规 9 2 2 2 3 3 9" xfId="24888" xr:uid="{00000000-0005-0000-0000-0000216C0000}"/>
    <cellStyle name="常规 9 2 2 2 3 4" xfId="372" xr:uid="{00000000-0005-0000-0000-0000226C0000}"/>
    <cellStyle name="常规 9 2 2 2 3 4 2" xfId="756" xr:uid="{00000000-0005-0000-0000-0000236C0000}"/>
    <cellStyle name="常规 9 2 2 2 3 4 2 2" xfId="1524" xr:uid="{00000000-0005-0000-0000-0000246C0000}"/>
    <cellStyle name="常规 9 2 2 2 3 4 2 2 2" xfId="3060" xr:uid="{00000000-0005-0000-0000-0000256C0000}"/>
    <cellStyle name="常规 9 2 2 2 3 4 2 2 2 2" xfId="6136" xr:uid="{00000000-0005-0000-0000-0000266C0000}"/>
    <cellStyle name="常规 9 2 2 2 3 4 2 2 2 2 2" xfId="12280" xr:uid="{00000000-0005-0000-0000-0000276C0000}"/>
    <cellStyle name="常规 9 2 2 2 3 4 2 2 2 2 2 2" xfId="24568" xr:uid="{00000000-0005-0000-0000-0000286C0000}"/>
    <cellStyle name="常规 9 2 2 2 3 4 2 2 2 2 2 2 2" xfId="49144" xr:uid="{00000000-0005-0000-0000-0000296C0000}"/>
    <cellStyle name="常规 9 2 2 2 3 4 2 2 2 2 2 3" xfId="36856" xr:uid="{00000000-0005-0000-0000-00002A6C0000}"/>
    <cellStyle name="常规 9 2 2 2 3 4 2 2 2 2 3" xfId="18424" xr:uid="{00000000-0005-0000-0000-00002B6C0000}"/>
    <cellStyle name="常规 9 2 2 2 3 4 2 2 2 2 3 2" xfId="43000" xr:uid="{00000000-0005-0000-0000-00002C6C0000}"/>
    <cellStyle name="常规 9 2 2 2 3 4 2 2 2 2 4" xfId="30712" xr:uid="{00000000-0005-0000-0000-00002D6C0000}"/>
    <cellStyle name="常规 9 2 2 2 3 4 2 2 2 3" xfId="9208" xr:uid="{00000000-0005-0000-0000-00002E6C0000}"/>
    <cellStyle name="常规 9 2 2 2 3 4 2 2 2 3 2" xfId="21496" xr:uid="{00000000-0005-0000-0000-00002F6C0000}"/>
    <cellStyle name="常规 9 2 2 2 3 4 2 2 2 3 2 2" xfId="46072" xr:uid="{00000000-0005-0000-0000-0000306C0000}"/>
    <cellStyle name="常规 9 2 2 2 3 4 2 2 2 3 3" xfId="33784" xr:uid="{00000000-0005-0000-0000-0000316C0000}"/>
    <cellStyle name="常规 9 2 2 2 3 4 2 2 2 4" xfId="15352" xr:uid="{00000000-0005-0000-0000-0000326C0000}"/>
    <cellStyle name="常规 9 2 2 2 3 4 2 2 2 4 2" xfId="39928" xr:uid="{00000000-0005-0000-0000-0000336C0000}"/>
    <cellStyle name="常规 9 2 2 2 3 4 2 2 2 5" xfId="27640" xr:uid="{00000000-0005-0000-0000-0000346C0000}"/>
    <cellStyle name="常规 9 2 2 2 3 4 2 2 3" xfId="4600" xr:uid="{00000000-0005-0000-0000-0000356C0000}"/>
    <cellStyle name="常规 9 2 2 2 3 4 2 2 3 2" xfId="10744" xr:uid="{00000000-0005-0000-0000-0000366C0000}"/>
    <cellStyle name="常规 9 2 2 2 3 4 2 2 3 2 2" xfId="23032" xr:uid="{00000000-0005-0000-0000-0000376C0000}"/>
    <cellStyle name="常规 9 2 2 2 3 4 2 2 3 2 2 2" xfId="47608" xr:uid="{00000000-0005-0000-0000-0000386C0000}"/>
    <cellStyle name="常规 9 2 2 2 3 4 2 2 3 2 3" xfId="35320" xr:uid="{00000000-0005-0000-0000-0000396C0000}"/>
    <cellStyle name="常规 9 2 2 2 3 4 2 2 3 3" xfId="16888" xr:uid="{00000000-0005-0000-0000-00003A6C0000}"/>
    <cellStyle name="常规 9 2 2 2 3 4 2 2 3 3 2" xfId="41464" xr:uid="{00000000-0005-0000-0000-00003B6C0000}"/>
    <cellStyle name="常规 9 2 2 2 3 4 2 2 3 4" xfId="29176" xr:uid="{00000000-0005-0000-0000-00003C6C0000}"/>
    <cellStyle name="常规 9 2 2 2 3 4 2 2 4" xfId="7672" xr:uid="{00000000-0005-0000-0000-00003D6C0000}"/>
    <cellStyle name="常规 9 2 2 2 3 4 2 2 4 2" xfId="19960" xr:uid="{00000000-0005-0000-0000-00003E6C0000}"/>
    <cellStyle name="常规 9 2 2 2 3 4 2 2 4 2 2" xfId="44536" xr:uid="{00000000-0005-0000-0000-00003F6C0000}"/>
    <cellStyle name="常规 9 2 2 2 3 4 2 2 4 3" xfId="32248" xr:uid="{00000000-0005-0000-0000-0000406C0000}"/>
    <cellStyle name="常规 9 2 2 2 3 4 2 2 5" xfId="13816" xr:uid="{00000000-0005-0000-0000-0000416C0000}"/>
    <cellStyle name="常规 9 2 2 2 3 4 2 2 5 2" xfId="38392" xr:uid="{00000000-0005-0000-0000-0000426C0000}"/>
    <cellStyle name="常规 9 2 2 2 3 4 2 2 6" xfId="26104" xr:uid="{00000000-0005-0000-0000-0000436C0000}"/>
    <cellStyle name="常规 9 2 2 2 3 4 2 3" xfId="2292" xr:uid="{00000000-0005-0000-0000-0000446C0000}"/>
    <cellStyle name="常规 9 2 2 2 3 4 2 3 2" xfId="5368" xr:uid="{00000000-0005-0000-0000-0000456C0000}"/>
    <cellStyle name="常规 9 2 2 2 3 4 2 3 2 2" xfId="11512" xr:uid="{00000000-0005-0000-0000-0000466C0000}"/>
    <cellStyle name="常规 9 2 2 2 3 4 2 3 2 2 2" xfId="23800" xr:uid="{00000000-0005-0000-0000-0000476C0000}"/>
    <cellStyle name="常规 9 2 2 2 3 4 2 3 2 2 2 2" xfId="48376" xr:uid="{00000000-0005-0000-0000-0000486C0000}"/>
    <cellStyle name="常规 9 2 2 2 3 4 2 3 2 2 3" xfId="36088" xr:uid="{00000000-0005-0000-0000-0000496C0000}"/>
    <cellStyle name="常规 9 2 2 2 3 4 2 3 2 3" xfId="17656" xr:uid="{00000000-0005-0000-0000-00004A6C0000}"/>
    <cellStyle name="常规 9 2 2 2 3 4 2 3 2 3 2" xfId="42232" xr:uid="{00000000-0005-0000-0000-00004B6C0000}"/>
    <cellStyle name="常规 9 2 2 2 3 4 2 3 2 4" xfId="29944" xr:uid="{00000000-0005-0000-0000-00004C6C0000}"/>
    <cellStyle name="常规 9 2 2 2 3 4 2 3 3" xfId="8440" xr:uid="{00000000-0005-0000-0000-00004D6C0000}"/>
    <cellStyle name="常规 9 2 2 2 3 4 2 3 3 2" xfId="20728" xr:uid="{00000000-0005-0000-0000-00004E6C0000}"/>
    <cellStyle name="常规 9 2 2 2 3 4 2 3 3 2 2" xfId="45304" xr:uid="{00000000-0005-0000-0000-00004F6C0000}"/>
    <cellStyle name="常规 9 2 2 2 3 4 2 3 3 3" xfId="33016" xr:uid="{00000000-0005-0000-0000-0000506C0000}"/>
    <cellStyle name="常规 9 2 2 2 3 4 2 3 4" xfId="14584" xr:uid="{00000000-0005-0000-0000-0000516C0000}"/>
    <cellStyle name="常规 9 2 2 2 3 4 2 3 4 2" xfId="39160" xr:uid="{00000000-0005-0000-0000-0000526C0000}"/>
    <cellStyle name="常规 9 2 2 2 3 4 2 3 5" xfId="26872" xr:uid="{00000000-0005-0000-0000-0000536C0000}"/>
    <cellStyle name="常规 9 2 2 2 3 4 2 4" xfId="3832" xr:uid="{00000000-0005-0000-0000-0000546C0000}"/>
    <cellStyle name="常规 9 2 2 2 3 4 2 4 2" xfId="9976" xr:uid="{00000000-0005-0000-0000-0000556C0000}"/>
    <cellStyle name="常规 9 2 2 2 3 4 2 4 2 2" xfId="22264" xr:uid="{00000000-0005-0000-0000-0000566C0000}"/>
    <cellStyle name="常规 9 2 2 2 3 4 2 4 2 2 2" xfId="46840" xr:uid="{00000000-0005-0000-0000-0000576C0000}"/>
    <cellStyle name="常规 9 2 2 2 3 4 2 4 2 3" xfId="34552" xr:uid="{00000000-0005-0000-0000-0000586C0000}"/>
    <cellStyle name="常规 9 2 2 2 3 4 2 4 3" xfId="16120" xr:uid="{00000000-0005-0000-0000-0000596C0000}"/>
    <cellStyle name="常规 9 2 2 2 3 4 2 4 3 2" xfId="40696" xr:uid="{00000000-0005-0000-0000-00005A6C0000}"/>
    <cellStyle name="常规 9 2 2 2 3 4 2 4 4" xfId="28408" xr:uid="{00000000-0005-0000-0000-00005B6C0000}"/>
    <cellStyle name="常规 9 2 2 2 3 4 2 5" xfId="6904" xr:uid="{00000000-0005-0000-0000-00005C6C0000}"/>
    <cellStyle name="常规 9 2 2 2 3 4 2 5 2" xfId="19192" xr:uid="{00000000-0005-0000-0000-00005D6C0000}"/>
    <cellStyle name="常规 9 2 2 2 3 4 2 5 2 2" xfId="43768" xr:uid="{00000000-0005-0000-0000-00005E6C0000}"/>
    <cellStyle name="常规 9 2 2 2 3 4 2 5 3" xfId="31480" xr:uid="{00000000-0005-0000-0000-00005F6C0000}"/>
    <cellStyle name="常规 9 2 2 2 3 4 2 6" xfId="13048" xr:uid="{00000000-0005-0000-0000-0000606C0000}"/>
    <cellStyle name="常规 9 2 2 2 3 4 2 6 2" xfId="37624" xr:uid="{00000000-0005-0000-0000-0000616C0000}"/>
    <cellStyle name="常规 9 2 2 2 3 4 2 7" xfId="25336" xr:uid="{00000000-0005-0000-0000-0000626C0000}"/>
    <cellStyle name="常规 9 2 2 2 3 4 3" xfId="1140" xr:uid="{00000000-0005-0000-0000-0000636C0000}"/>
    <cellStyle name="常规 9 2 2 2 3 4 3 2" xfId="2676" xr:uid="{00000000-0005-0000-0000-0000646C0000}"/>
    <cellStyle name="常规 9 2 2 2 3 4 3 2 2" xfId="5752" xr:uid="{00000000-0005-0000-0000-0000656C0000}"/>
    <cellStyle name="常规 9 2 2 2 3 4 3 2 2 2" xfId="11896" xr:uid="{00000000-0005-0000-0000-0000666C0000}"/>
    <cellStyle name="常规 9 2 2 2 3 4 3 2 2 2 2" xfId="24184" xr:uid="{00000000-0005-0000-0000-0000676C0000}"/>
    <cellStyle name="常规 9 2 2 2 3 4 3 2 2 2 2 2" xfId="48760" xr:uid="{00000000-0005-0000-0000-0000686C0000}"/>
    <cellStyle name="常规 9 2 2 2 3 4 3 2 2 2 3" xfId="36472" xr:uid="{00000000-0005-0000-0000-0000696C0000}"/>
    <cellStyle name="常规 9 2 2 2 3 4 3 2 2 3" xfId="18040" xr:uid="{00000000-0005-0000-0000-00006A6C0000}"/>
    <cellStyle name="常规 9 2 2 2 3 4 3 2 2 3 2" xfId="42616" xr:uid="{00000000-0005-0000-0000-00006B6C0000}"/>
    <cellStyle name="常规 9 2 2 2 3 4 3 2 2 4" xfId="30328" xr:uid="{00000000-0005-0000-0000-00006C6C0000}"/>
    <cellStyle name="常规 9 2 2 2 3 4 3 2 3" xfId="8824" xr:uid="{00000000-0005-0000-0000-00006D6C0000}"/>
    <cellStyle name="常规 9 2 2 2 3 4 3 2 3 2" xfId="21112" xr:uid="{00000000-0005-0000-0000-00006E6C0000}"/>
    <cellStyle name="常规 9 2 2 2 3 4 3 2 3 2 2" xfId="45688" xr:uid="{00000000-0005-0000-0000-00006F6C0000}"/>
    <cellStyle name="常规 9 2 2 2 3 4 3 2 3 3" xfId="33400" xr:uid="{00000000-0005-0000-0000-0000706C0000}"/>
    <cellStyle name="常规 9 2 2 2 3 4 3 2 4" xfId="14968" xr:uid="{00000000-0005-0000-0000-0000716C0000}"/>
    <cellStyle name="常规 9 2 2 2 3 4 3 2 4 2" xfId="39544" xr:uid="{00000000-0005-0000-0000-0000726C0000}"/>
    <cellStyle name="常规 9 2 2 2 3 4 3 2 5" xfId="27256" xr:uid="{00000000-0005-0000-0000-0000736C0000}"/>
    <cellStyle name="常规 9 2 2 2 3 4 3 3" xfId="4216" xr:uid="{00000000-0005-0000-0000-0000746C0000}"/>
    <cellStyle name="常规 9 2 2 2 3 4 3 3 2" xfId="10360" xr:uid="{00000000-0005-0000-0000-0000756C0000}"/>
    <cellStyle name="常规 9 2 2 2 3 4 3 3 2 2" xfId="22648" xr:uid="{00000000-0005-0000-0000-0000766C0000}"/>
    <cellStyle name="常规 9 2 2 2 3 4 3 3 2 2 2" xfId="47224" xr:uid="{00000000-0005-0000-0000-0000776C0000}"/>
    <cellStyle name="常规 9 2 2 2 3 4 3 3 2 3" xfId="34936" xr:uid="{00000000-0005-0000-0000-0000786C0000}"/>
    <cellStyle name="常规 9 2 2 2 3 4 3 3 3" xfId="16504" xr:uid="{00000000-0005-0000-0000-0000796C0000}"/>
    <cellStyle name="常规 9 2 2 2 3 4 3 3 3 2" xfId="41080" xr:uid="{00000000-0005-0000-0000-00007A6C0000}"/>
    <cellStyle name="常规 9 2 2 2 3 4 3 3 4" xfId="28792" xr:uid="{00000000-0005-0000-0000-00007B6C0000}"/>
    <cellStyle name="常规 9 2 2 2 3 4 3 4" xfId="7288" xr:uid="{00000000-0005-0000-0000-00007C6C0000}"/>
    <cellStyle name="常规 9 2 2 2 3 4 3 4 2" xfId="19576" xr:uid="{00000000-0005-0000-0000-00007D6C0000}"/>
    <cellStyle name="常规 9 2 2 2 3 4 3 4 2 2" xfId="44152" xr:uid="{00000000-0005-0000-0000-00007E6C0000}"/>
    <cellStyle name="常规 9 2 2 2 3 4 3 4 3" xfId="31864" xr:uid="{00000000-0005-0000-0000-00007F6C0000}"/>
    <cellStyle name="常规 9 2 2 2 3 4 3 5" xfId="13432" xr:uid="{00000000-0005-0000-0000-0000806C0000}"/>
    <cellStyle name="常规 9 2 2 2 3 4 3 5 2" xfId="38008" xr:uid="{00000000-0005-0000-0000-0000816C0000}"/>
    <cellStyle name="常规 9 2 2 2 3 4 3 6" xfId="25720" xr:uid="{00000000-0005-0000-0000-0000826C0000}"/>
    <cellStyle name="常规 9 2 2 2 3 4 4" xfId="1908" xr:uid="{00000000-0005-0000-0000-0000836C0000}"/>
    <cellStyle name="常规 9 2 2 2 3 4 4 2" xfId="4984" xr:uid="{00000000-0005-0000-0000-0000846C0000}"/>
    <cellStyle name="常规 9 2 2 2 3 4 4 2 2" xfId="11128" xr:uid="{00000000-0005-0000-0000-0000856C0000}"/>
    <cellStyle name="常规 9 2 2 2 3 4 4 2 2 2" xfId="23416" xr:uid="{00000000-0005-0000-0000-0000866C0000}"/>
    <cellStyle name="常规 9 2 2 2 3 4 4 2 2 2 2" xfId="47992" xr:uid="{00000000-0005-0000-0000-0000876C0000}"/>
    <cellStyle name="常规 9 2 2 2 3 4 4 2 2 3" xfId="35704" xr:uid="{00000000-0005-0000-0000-0000886C0000}"/>
    <cellStyle name="常规 9 2 2 2 3 4 4 2 3" xfId="17272" xr:uid="{00000000-0005-0000-0000-0000896C0000}"/>
    <cellStyle name="常规 9 2 2 2 3 4 4 2 3 2" xfId="41848" xr:uid="{00000000-0005-0000-0000-00008A6C0000}"/>
    <cellStyle name="常规 9 2 2 2 3 4 4 2 4" xfId="29560" xr:uid="{00000000-0005-0000-0000-00008B6C0000}"/>
    <cellStyle name="常规 9 2 2 2 3 4 4 3" xfId="8056" xr:uid="{00000000-0005-0000-0000-00008C6C0000}"/>
    <cellStyle name="常规 9 2 2 2 3 4 4 3 2" xfId="20344" xr:uid="{00000000-0005-0000-0000-00008D6C0000}"/>
    <cellStyle name="常规 9 2 2 2 3 4 4 3 2 2" xfId="44920" xr:uid="{00000000-0005-0000-0000-00008E6C0000}"/>
    <cellStyle name="常规 9 2 2 2 3 4 4 3 3" xfId="32632" xr:uid="{00000000-0005-0000-0000-00008F6C0000}"/>
    <cellStyle name="常规 9 2 2 2 3 4 4 4" xfId="14200" xr:uid="{00000000-0005-0000-0000-0000906C0000}"/>
    <cellStyle name="常规 9 2 2 2 3 4 4 4 2" xfId="38776" xr:uid="{00000000-0005-0000-0000-0000916C0000}"/>
    <cellStyle name="常规 9 2 2 2 3 4 4 5" xfId="26488" xr:uid="{00000000-0005-0000-0000-0000926C0000}"/>
    <cellStyle name="常规 9 2 2 2 3 4 5" xfId="3448" xr:uid="{00000000-0005-0000-0000-0000936C0000}"/>
    <cellStyle name="常规 9 2 2 2 3 4 5 2" xfId="9592" xr:uid="{00000000-0005-0000-0000-0000946C0000}"/>
    <cellStyle name="常规 9 2 2 2 3 4 5 2 2" xfId="21880" xr:uid="{00000000-0005-0000-0000-0000956C0000}"/>
    <cellStyle name="常规 9 2 2 2 3 4 5 2 2 2" xfId="46456" xr:uid="{00000000-0005-0000-0000-0000966C0000}"/>
    <cellStyle name="常规 9 2 2 2 3 4 5 2 3" xfId="34168" xr:uid="{00000000-0005-0000-0000-0000976C0000}"/>
    <cellStyle name="常规 9 2 2 2 3 4 5 3" xfId="15736" xr:uid="{00000000-0005-0000-0000-0000986C0000}"/>
    <cellStyle name="常规 9 2 2 2 3 4 5 3 2" xfId="40312" xr:uid="{00000000-0005-0000-0000-0000996C0000}"/>
    <cellStyle name="常规 9 2 2 2 3 4 5 4" xfId="28024" xr:uid="{00000000-0005-0000-0000-00009A6C0000}"/>
    <cellStyle name="常规 9 2 2 2 3 4 6" xfId="6520" xr:uid="{00000000-0005-0000-0000-00009B6C0000}"/>
    <cellStyle name="常规 9 2 2 2 3 4 6 2" xfId="18808" xr:uid="{00000000-0005-0000-0000-00009C6C0000}"/>
    <cellStyle name="常规 9 2 2 2 3 4 6 2 2" xfId="43384" xr:uid="{00000000-0005-0000-0000-00009D6C0000}"/>
    <cellStyle name="常规 9 2 2 2 3 4 6 3" xfId="31096" xr:uid="{00000000-0005-0000-0000-00009E6C0000}"/>
    <cellStyle name="常规 9 2 2 2 3 4 7" xfId="12664" xr:uid="{00000000-0005-0000-0000-00009F6C0000}"/>
    <cellStyle name="常规 9 2 2 2 3 4 7 2" xfId="37240" xr:uid="{00000000-0005-0000-0000-0000A06C0000}"/>
    <cellStyle name="常规 9 2 2 2 3 4 8" xfId="24952" xr:uid="{00000000-0005-0000-0000-0000A16C0000}"/>
    <cellStyle name="常规 9 2 2 2 3 5" xfId="564" xr:uid="{00000000-0005-0000-0000-0000A26C0000}"/>
    <cellStyle name="常规 9 2 2 2 3 5 2" xfId="1332" xr:uid="{00000000-0005-0000-0000-0000A36C0000}"/>
    <cellStyle name="常规 9 2 2 2 3 5 2 2" xfId="2868" xr:uid="{00000000-0005-0000-0000-0000A46C0000}"/>
    <cellStyle name="常规 9 2 2 2 3 5 2 2 2" xfId="5944" xr:uid="{00000000-0005-0000-0000-0000A56C0000}"/>
    <cellStyle name="常规 9 2 2 2 3 5 2 2 2 2" xfId="12088" xr:uid="{00000000-0005-0000-0000-0000A66C0000}"/>
    <cellStyle name="常规 9 2 2 2 3 5 2 2 2 2 2" xfId="24376" xr:uid="{00000000-0005-0000-0000-0000A76C0000}"/>
    <cellStyle name="常规 9 2 2 2 3 5 2 2 2 2 2 2" xfId="48952" xr:uid="{00000000-0005-0000-0000-0000A86C0000}"/>
    <cellStyle name="常规 9 2 2 2 3 5 2 2 2 2 3" xfId="36664" xr:uid="{00000000-0005-0000-0000-0000A96C0000}"/>
    <cellStyle name="常规 9 2 2 2 3 5 2 2 2 3" xfId="18232" xr:uid="{00000000-0005-0000-0000-0000AA6C0000}"/>
    <cellStyle name="常规 9 2 2 2 3 5 2 2 2 3 2" xfId="42808" xr:uid="{00000000-0005-0000-0000-0000AB6C0000}"/>
    <cellStyle name="常规 9 2 2 2 3 5 2 2 2 4" xfId="30520" xr:uid="{00000000-0005-0000-0000-0000AC6C0000}"/>
    <cellStyle name="常规 9 2 2 2 3 5 2 2 3" xfId="9016" xr:uid="{00000000-0005-0000-0000-0000AD6C0000}"/>
    <cellStyle name="常规 9 2 2 2 3 5 2 2 3 2" xfId="21304" xr:uid="{00000000-0005-0000-0000-0000AE6C0000}"/>
    <cellStyle name="常规 9 2 2 2 3 5 2 2 3 2 2" xfId="45880" xr:uid="{00000000-0005-0000-0000-0000AF6C0000}"/>
    <cellStyle name="常规 9 2 2 2 3 5 2 2 3 3" xfId="33592" xr:uid="{00000000-0005-0000-0000-0000B06C0000}"/>
    <cellStyle name="常规 9 2 2 2 3 5 2 2 4" xfId="15160" xr:uid="{00000000-0005-0000-0000-0000B16C0000}"/>
    <cellStyle name="常规 9 2 2 2 3 5 2 2 4 2" xfId="39736" xr:uid="{00000000-0005-0000-0000-0000B26C0000}"/>
    <cellStyle name="常规 9 2 2 2 3 5 2 2 5" xfId="27448" xr:uid="{00000000-0005-0000-0000-0000B36C0000}"/>
    <cellStyle name="常规 9 2 2 2 3 5 2 3" xfId="4408" xr:uid="{00000000-0005-0000-0000-0000B46C0000}"/>
    <cellStyle name="常规 9 2 2 2 3 5 2 3 2" xfId="10552" xr:uid="{00000000-0005-0000-0000-0000B56C0000}"/>
    <cellStyle name="常规 9 2 2 2 3 5 2 3 2 2" xfId="22840" xr:uid="{00000000-0005-0000-0000-0000B66C0000}"/>
    <cellStyle name="常规 9 2 2 2 3 5 2 3 2 2 2" xfId="47416" xr:uid="{00000000-0005-0000-0000-0000B76C0000}"/>
    <cellStyle name="常规 9 2 2 2 3 5 2 3 2 3" xfId="35128" xr:uid="{00000000-0005-0000-0000-0000B86C0000}"/>
    <cellStyle name="常规 9 2 2 2 3 5 2 3 3" xfId="16696" xr:uid="{00000000-0005-0000-0000-0000B96C0000}"/>
    <cellStyle name="常规 9 2 2 2 3 5 2 3 3 2" xfId="41272" xr:uid="{00000000-0005-0000-0000-0000BA6C0000}"/>
    <cellStyle name="常规 9 2 2 2 3 5 2 3 4" xfId="28984" xr:uid="{00000000-0005-0000-0000-0000BB6C0000}"/>
    <cellStyle name="常规 9 2 2 2 3 5 2 4" xfId="7480" xr:uid="{00000000-0005-0000-0000-0000BC6C0000}"/>
    <cellStyle name="常规 9 2 2 2 3 5 2 4 2" xfId="19768" xr:uid="{00000000-0005-0000-0000-0000BD6C0000}"/>
    <cellStyle name="常规 9 2 2 2 3 5 2 4 2 2" xfId="44344" xr:uid="{00000000-0005-0000-0000-0000BE6C0000}"/>
    <cellStyle name="常规 9 2 2 2 3 5 2 4 3" xfId="32056" xr:uid="{00000000-0005-0000-0000-0000BF6C0000}"/>
    <cellStyle name="常规 9 2 2 2 3 5 2 5" xfId="13624" xr:uid="{00000000-0005-0000-0000-0000C06C0000}"/>
    <cellStyle name="常规 9 2 2 2 3 5 2 5 2" xfId="38200" xr:uid="{00000000-0005-0000-0000-0000C16C0000}"/>
    <cellStyle name="常规 9 2 2 2 3 5 2 6" xfId="25912" xr:uid="{00000000-0005-0000-0000-0000C26C0000}"/>
    <cellStyle name="常规 9 2 2 2 3 5 3" xfId="2100" xr:uid="{00000000-0005-0000-0000-0000C36C0000}"/>
    <cellStyle name="常规 9 2 2 2 3 5 3 2" xfId="5176" xr:uid="{00000000-0005-0000-0000-0000C46C0000}"/>
    <cellStyle name="常规 9 2 2 2 3 5 3 2 2" xfId="11320" xr:uid="{00000000-0005-0000-0000-0000C56C0000}"/>
    <cellStyle name="常规 9 2 2 2 3 5 3 2 2 2" xfId="23608" xr:uid="{00000000-0005-0000-0000-0000C66C0000}"/>
    <cellStyle name="常规 9 2 2 2 3 5 3 2 2 2 2" xfId="48184" xr:uid="{00000000-0005-0000-0000-0000C76C0000}"/>
    <cellStyle name="常规 9 2 2 2 3 5 3 2 2 3" xfId="35896" xr:uid="{00000000-0005-0000-0000-0000C86C0000}"/>
    <cellStyle name="常规 9 2 2 2 3 5 3 2 3" xfId="17464" xr:uid="{00000000-0005-0000-0000-0000C96C0000}"/>
    <cellStyle name="常规 9 2 2 2 3 5 3 2 3 2" xfId="42040" xr:uid="{00000000-0005-0000-0000-0000CA6C0000}"/>
    <cellStyle name="常规 9 2 2 2 3 5 3 2 4" xfId="29752" xr:uid="{00000000-0005-0000-0000-0000CB6C0000}"/>
    <cellStyle name="常规 9 2 2 2 3 5 3 3" xfId="8248" xr:uid="{00000000-0005-0000-0000-0000CC6C0000}"/>
    <cellStyle name="常规 9 2 2 2 3 5 3 3 2" xfId="20536" xr:uid="{00000000-0005-0000-0000-0000CD6C0000}"/>
    <cellStyle name="常规 9 2 2 2 3 5 3 3 2 2" xfId="45112" xr:uid="{00000000-0005-0000-0000-0000CE6C0000}"/>
    <cellStyle name="常规 9 2 2 2 3 5 3 3 3" xfId="32824" xr:uid="{00000000-0005-0000-0000-0000CF6C0000}"/>
    <cellStyle name="常规 9 2 2 2 3 5 3 4" xfId="14392" xr:uid="{00000000-0005-0000-0000-0000D06C0000}"/>
    <cellStyle name="常规 9 2 2 2 3 5 3 4 2" xfId="38968" xr:uid="{00000000-0005-0000-0000-0000D16C0000}"/>
    <cellStyle name="常规 9 2 2 2 3 5 3 5" xfId="26680" xr:uid="{00000000-0005-0000-0000-0000D26C0000}"/>
    <cellStyle name="常规 9 2 2 2 3 5 4" xfId="3640" xr:uid="{00000000-0005-0000-0000-0000D36C0000}"/>
    <cellStyle name="常规 9 2 2 2 3 5 4 2" xfId="9784" xr:uid="{00000000-0005-0000-0000-0000D46C0000}"/>
    <cellStyle name="常规 9 2 2 2 3 5 4 2 2" xfId="22072" xr:uid="{00000000-0005-0000-0000-0000D56C0000}"/>
    <cellStyle name="常规 9 2 2 2 3 5 4 2 2 2" xfId="46648" xr:uid="{00000000-0005-0000-0000-0000D66C0000}"/>
    <cellStyle name="常规 9 2 2 2 3 5 4 2 3" xfId="34360" xr:uid="{00000000-0005-0000-0000-0000D76C0000}"/>
    <cellStyle name="常规 9 2 2 2 3 5 4 3" xfId="15928" xr:uid="{00000000-0005-0000-0000-0000D86C0000}"/>
    <cellStyle name="常规 9 2 2 2 3 5 4 3 2" xfId="40504" xr:uid="{00000000-0005-0000-0000-0000D96C0000}"/>
    <cellStyle name="常规 9 2 2 2 3 5 4 4" xfId="28216" xr:uid="{00000000-0005-0000-0000-0000DA6C0000}"/>
    <cellStyle name="常规 9 2 2 2 3 5 5" xfId="6712" xr:uid="{00000000-0005-0000-0000-0000DB6C0000}"/>
    <cellStyle name="常规 9 2 2 2 3 5 5 2" xfId="19000" xr:uid="{00000000-0005-0000-0000-0000DC6C0000}"/>
    <cellStyle name="常规 9 2 2 2 3 5 5 2 2" xfId="43576" xr:uid="{00000000-0005-0000-0000-0000DD6C0000}"/>
    <cellStyle name="常规 9 2 2 2 3 5 5 3" xfId="31288" xr:uid="{00000000-0005-0000-0000-0000DE6C0000}"/>
    <cellStyle name="常规 9 2 2 2 3 5 6" xfId="12856" xr:uid="{00000000-0005-0000-0000-0000DF6C0000}"/>
    <cellStyle name="常规 9 2 2 2 3 5 6 2" xfId="37432" xr:uid="{00000000-0005-0000-0000-0000E06C0000}"/>
    <cellStyle name="常规 9 2 2 2 3 5 7" xfId="25144" xr:uid="{00000000-0005-0000-0000-0000E16C0000}"/>
    <cellStyle name="常规 9 2 2 2 3 6" xfId="948" xr:uid="{00000000-0005-0000-0000-0000E26C0000}"/>
    <cellStyle name="常规 9 2 2 2 3 6 2" xfId="2484" xr:uid="{00000000-0005-0000-0000-0000E36C0000}"/>
    <cellStyle name="常规 9 2 2 2 3 6 2 2" xfId="5560" xr:uid="{00000000-0005-0000-0000-0000E46C0000}"/>
    <cellStyle name="常规 9 2 2 2 3 6 2 2 2" xfId="11704" xr:uid="{00000000-0005-0000-0000-0000E56C0000}"/>
    <cellStyle name="常规 9 2 2 2 3 6 2 2 2 2" xfId="23992" xr:uid="{00000000-0005-0000-0000-0000E66C0000}"/>
    <cellStyle name="常规 9 2 2 2 3 6 2 2 2 2 2" xfId="48568" xr:uid="{00000000-0005-0000-0000-0000E76C0000}"/>
    <cellStyle name="常规 9 2 2 2 3 6 2 2 2 3" xfId="36280" xr:uid="{00000000-0005-0000-0000-0000E86C0000}"/>
    <cellStyle name="常规 9 2 2 2 3 6 2 2 3" xfId="17848" xr:uid="{00000000-0005-0000-0000-0000E96C0000}"/>
    <cellStyle name="常规 9 2 2 2 3 6 2 2 3 2" xfId="42424" xr:uid="{00000000-0005-0000-0000-0000EA6C0000}"/>
    <cellStyle name="常规 9 2 2 2 3 6 2 2 4" xfId="30136" xr:uid="{00000000-0005-0000-0000-0000EB6C0000}"/>
    <cellStyle name="常规 9 2 2 2 3 6 2 3" xfId="8632" xr:uid="{00000000-0005-0000-0000-0000EC6C0000}"/>
    <cellStyle name="常规 9 2 2 2 3 6 2 3 2" xfId="20920" xr:uid="{00000000-0005-0000-0000-0000ED6C0000}"/>
    <cellStyle name="常规 9 2 2 2 3 6 2 3 2 2" xfId="45496" xr:uid="{00000000-0005-0000-0000-0000EE6C0000}"/>
    <cellStyle name="常规 9 2 2 2 3 6 2 3 3" xfId="33208" xr:uid="{00000000-0005-0000-0000-0000EF6C0000}"/>
    <cellStyle name="常规 9 2 2 2 3 6 2 4" xfId="14776" xr:uid="{00000000-0005-0000-0000-0000F06C0000}"/>
    <cellStyle name="常规 9 2 2 2 3 6 2 4 2" xfId="39352" xr:uid="{00000000-0005-0000-0000-0000F16C0000}"/>
    <cellStyle name="常规 9 2 2 2 3 6 2 5" xfId="27064" xr:uid="{00000000-0005-0000-0000-0000F26C0000}"/>
    <cellStyle name="常规 9 2 2 2 3 6 3" xfId="4024" xr:uid="{00000000-0005-0000-0000-0000F36C0000}"/>
    <cellStyle name="常规 9 2 2 2 3 6 3 2" xfId="10168" xr:uid="{00000000-0005-0000-0000-0000F46C0000}"/>
    <cellStyle name="常规 9 2 2 2 3 6 3 2 2" xfId="22456" xr:uid="{00000000-0005-0000-0000-0000F56C0000}"/>
    <cellStyle name="常规 9 2 2 2 3 6 3 2 2 2" xfId="47032" xr:uid="{00000000-0005-0000-0000-0000F66C0000}"/>
    <cellStyle name="常规 9 2 2 2 3 6 3 2 3" xfId="34744" xr:uid="{00000000-0005-0000-0000-0000F76C0000}"/>
    <cellStyle name="常规 9 2 2 2 3 6 3 3" xfId="16312" xr:uid="{00000000-0005-0000-0000-0000F86C0000}"/>
    <cellStyle name="常规 9 2 2 2 3 6 3 3 2" xfId="40888" xr:uid="{00000000-0005-0000-0000-0000F96C0000}"/>
    <cellStyle name="常规 9 2 2 2 3 6 3 4" xfId="28600" xr:uid="{00000000-0005-0000-0000-0000FA6C0000}"/>
    <cellStyle name="常规 9 2 2 2 3 6 4" xfId="7096" xr:uid="{00000000-0005-0000-0000-0000FB6C0000}"/>
    <cellStyle name="常规 9 2 2 2 3 6 4 2" xfId="19384" xr:uid="{00000000-0005-0000-0000-0000FC6C0000}"/>
    <cellStyle name="常规 9 2 2 2 3 6 4 2 2" xfId="43960" xr:uid="{00000000-0005-0000-0000-0000FD6C0000}"/>
    <cellStyle name="常规 9 2 2 2 3 6 4 3" xfId="31672" xr:uid="{00000000-0005-0000-0000-0000FE6C0000}"/>
    <cellStyle name="常规 9 2 2 2 3 6 5" xfId="13240" xr:uid="{00000000-0005-0000-0000-0000FF6C0000}"/>
    <cellStyle name="常规 9 2 2 2 3 6 5 2" xfId="37816" xr:uid="{00000000-0005-0000-0000-0000006D0000}"/>
    <cellStyle name="常规 9 2 2 2 3 6 6" xfId="25528" xr:uid="{00000000-0005-0000-0000-0000016D0000}"/>
    <cellStyle name="常规 9 2 2 2 3 7" xfId="1716" xr:uid="{00000000-0005-0000-0000-0000026D0000}"/>
    <cellStyle name="常规 9 2 2 2 3 7 2" xfId="4792" xr:uid="{00000000-0005-0000-0000-0000036D0000}"/>
    <cellStyle name="常规 9 2 2 2 3 7 2 2" xfId="10936" xr:uid="{00000000-0005-0000-0000-0000046D0000}"/>
    <cellStyle name="常规 9 2 2 2 3 7 2 2 2" xfId="23224" xr:uid="{00000000-0005-0000-0000-0000056D0000}"/>
    <cellStyle name="常规 9 2 2 2 3 7 2 2 2 2" xfId="47800" xr:uid="{00000000-0005-0000-0000-0000066D0000}"/>
    <cellStyle name="常规 9 2 2 2 3 7 2 2 3" xfId="35512" xr:uid="{00000000-0005-0000-0000-0000076D0000}"/>
    <cellStyle name="常规 9 2 2 2 3 7 2 3" xfId="17080" xr:uid="{00000000-0005-0000-0000-0000086D0000}"/>
    <cellStyle name="常规 9 2 2 2 3 7 2 3 2" xfId="41656" xr:uid="{00000000-0005-0000-0000-0000096D0000}"/>
    <cellStyle name="常规 9 2 2 2 3 7 2 4" xfId="29368" xr:uid="{00000000-0005-0000-0000-00000A6D0000}"/>
    <cellStyle name="常规 9 2 2 2 3 7 3" xfId="7864" xr:uid="{00000000-0005-0000-0000-00000B6D0000}"/>
    <cellStyle name="常规 9 2 2 2 3 7 3 2" xfId="20152" xr:uid="{00000000-0005-0000-0000-00000C6D0000}"/>
    <cellStyle name="常规 9 2 2 2 3 7 3 2 2" xfId="44728" xr:uid="{00000000-0005-0000-0000-00000D6D0000}"/>
    <cellStyle name="常规 9 2 2 2 3 7 3 3" xfId="32440" xr:uid="{00000000-0005-0000-0000-00000E6D0000}"/>
    <cellStyle name="常规 9 2 2 2 3 7 4" xfId="14008" xr:uid="{00000000-0005-0000-0000-00000F6D0000}"/>
    <cellStyle name="常规 9 2 2 2 3 7 4 2" xfId="38584" xr:uid="{00000000-0005-0000-0000-0000106D0000}"/>
    <cellStyle name="常规 9 2 2 2 3 7 5" xfId="26296" xr:uid="{00000000-0005-0000-0000-0000116D0000}"/>
    <cellStyle name="常规 9 2 2 2 3 8" xfId="3256" xr:uid="{00000000-0005-0000-0000-0000126D0000}"/>
    <cellStyle name="常规 9 2 2 2 3 8 2" xfId="9400" xr:uid="{00000000-0005-0000-0000-0000136D0000}"/>
    <cellStyle name="常规 9 2 2 2 3 8 2 2" xfId="21688" xr:uid="{00000000-0005-0000-0000-0000146D0000}"/>
    <cellStyle name="常规 9 2 2 2 3 8 2 2 2" xfId="46264" xr:uid="{00000000-0005-0000-0000-0000156D0000}"/>
    <cellStyle name="常规 9 2 2 2 3 8 2 3" xfId="33976" xr:uid="{00000000-0005-0000-0000-0000166D0000}"/>
    <cellStyle name="常规 9 2 2 2 3 8 3" xfId="15544" xr:uid="{00000000-0005-0000-0000-0000176D0000}"/>
    <cellStyle name="常规 9 2 2 2 3 8 3 2" xfId="40120" xr:uid="{00000000-0005-0000-0000-0000186D0000}"/>
    <cellStyle name="常规 9 2 2 2 3 8 4" xfId="27832" xr:uid="{00000000-0005-0000-0000-0000196D0000}"/>
    <cellStyle name="常规 9 2 2 2 3 9" xfId="6328" xr:uid="{00000000-0005-0000-0000-00001A6D0000}"/>
    <cellStyle name="常规 9 2 2 2 3 9 2" xfId="18616" xr:uid="{00000000-0005-0000-0000-00001B6D0000}"/>
    <cellStyle name="常规 9 2 2 2 3 9 2 2" xfId="43192" xr:uid="{00000000-0005-0000-0000-00001C6D0000}"/>
    <cellStyle name="常规 9 2 2 2 3 9 3" xfId="30904" xr:uid="{00000000-0005-0000-0000-00001D6D0000}"/>
    <cellStyle name="常规 9 2 2 2 4" xfId="212" xr:uid="{00000000-0005-0000-0000-00001E6D0000}"/>
    <cellStyle name="常规 9 2 2 2 4 2" xfId="404" xr:uid="{00000000-0005-0000-0000-00001F6D0000}"/>
    <cellStyle name="常规 9 2 2 2 4 2 2" xfId="788" xr:uid="{00000000-0005-0000-0000-0000206D0000}"/>
    <cellStyle name="常规 9 2 2 2 4 2 2 2" xfId="1556" xr:uid="{00000000-0005-0000-0000-0000216D0000}"/>
    <cellStyle name="常规 9 2 2 2 4 2 2 2 2" xfId="3092" xr:uid="{00000000-0005-0000-0000-0000226D0000}"/>
    <cellStyle name="常规 9 2 2 2 4 2 2 2 2 2" xfId="6168" xr:uid="{00000000-0005-0000-0000-0000236D0000}"/>
    <cellStyle name="常规 9 2 2 2 4 2 2 2 2 2 2" xfId="12312" xr:uid="{00000000-0005-0000-0000-0000246D0000}"/>
    <cellStyle name="常规 9 2 2 2 4 2 2 2 2 2 2 2" xfId="24600" xr:uid="{00000000-0005-0000-0000-0000256D0000}"/>
    <cellStyle name="常规 9 2 2 2 4 2 2 2 2 2 2 2 2" xfId="49176" xr:uid="{00000000-0005-0000-0000-0000266D0000}"/>
    <cellStyle name="常规 9 2 2 2 4 2 2 2 2 2 2 3" xfId="36888" xr:uid="{00000000-0005-0000-0000-0000276D0000}"/>
    <cellStyle name="常规 9 2 2 2 4 2 2 2 2 2 3" xfId="18456" xr:uid="{00000000-0005-0000-0000-0000286D0000}"/>
    <cellStyle name="常规 9 2 2 2 4 2 2 2 2 2 3 2" xfId="43032" xr:uid="{00000000-0005-0000-0000-0000296D0000}"/>
    <cellStyle name="常规 9 2 2 2 4 2 2 2 2 2 4" xfId="30744" xr:uid="{00000000-0005-0000-0000-00002A6D0000}"/>
    <cellStyle name="常规 9 2 2 2 4 2 2 2 2 3" xfId="9240" xr:uid="{00000000-0005-0000-0000-00002B6D0000}"/>
    <cellStyle name="常规 9 2 2 2 4 2 2 2 2 3 2" xfId="21528" xr:uid="{00000000-0005-0000-0000-00002C6D0000}"/>
    <cellStyle name="常规 9 2 2 2 4 2 2 2 2 3 2 2" xfId="46104" xr:uid="{00000000-0005-0000-0000-00002D6D0000}"/>
    <cellStyle name="常规 9 2 2 2 4 2 2 2 2 3 3" xfId="33816" xr:uid="{00000000-0005-0000-0000-00002E6D0000}"/>
    <cellStyle name="常规 9 2 2 2 4 2 2 2 2 4" xfId="15384" xr:uid="{00000000-0005-0000-0000-00002F6D0000}"/>
    <cellStyle name="常规 9 2 2 2 4 2 2 2 2 4 2" xfId="39960" xr:uid="{00000000-0005-0000-0000-0000306D0000}"/>
    <cellStyle name="常规 9 2 2 2 4 2 2 2 2 5" xfId="27672" xr:uid="{00000000-0005-0000-0000-0000316D0000}"/>
    <cellStyle name="常规 9 2 2 2 4 2 2 2 3" xfId="4632" xr:uid="{00000000-0005-0000-0000-0000326D0000}"/>
    <cellStyle name="常规 9 2 2 2 4 2 2 2 3 2" xfId="10776" xr:uid="{00000000-0005-0000-0000-0000336D0000}"/>
    <cellStyle name="常规 9 2 2 2 4 2 2 2 3 2 2" xfId="23064" xr:uid="{00000000-0005-0000-0000-0000346D0000}"/>
    <cellStyle name="常规 9 2 2 2 4 2 2 2 3 2 2 2" xfId="47640" xr:uid="{00000000-0005-0000-0000-0000356D0000}"/>
    <cellStyle name="常规 9 2 2 2 4 2 2 2 3 2 3" xfId="35352" xr:uid="{00000000-0005-0000-0000-0000366D0000}"/>
    <cellStyle name="常规 9 2 2 2 4 2 2 2 3 3" xfId="16920" xr:uid="{00000000-0005-0000-0000-0000376D0000}"/>
    <cellStyle name="常规 9 2 2 2 4 2 2 2 3 3 2" xfId="41496" xr:uid="{00000000-0005-0000-0000-0000386D0000}"/>
    <cellStyle name="常规 9 2 2 2 4 2 2 2 3 4" xfId="29208" xr:uid="{00000000-0005-0000-0000-0000396D0000}"/>
    <cellStyle name="常规 9 2 2 2 4 2 2 2 4" xfId="7704" xr:uid="{00000000-0005-0000-0000-00003A6D0000}"/>
    <cellStyle name="常规 9 2 2 2 4 2 2 2 4 2" xfId="19992" xr:uid="{00000000-0005-0000-0000-00003B6D0000}"/>
    <cellStyle name="常规 9 2 2 2 4 2 2 2 4 2 2" xfId="44568" xr:uid="{00000000-0005-0000-0000-00003C6D0000}"/>
    <cellStyle name="常规 9 2 2 2 4 2 2 2 4 3" xfId="32280" xr:uid="{00000000-0005-0000-0000-00003D6D0000}"/>
    <cellStyle name="常规 9 2 2 2 4 2 2 2 5" xfId="13848" xr:uid="{00000000-0005-0000-0000-00003E6D0000}"/>
    <cellStyle name="常规 9 2 2 2 4 2 2 2 5 2" xfId="38424" xr:uid="{00000000-0005-0000-0000-00003F6D0000}"/>
    <cellStyle name="常规 9 2 2 2 4 2 2 2 6" xfId="26136" xr:uid="{00000000-0005-0000-0000-0000406D0000}"/>
    <cellStyle name="常规 9 2 2 2 4 2 2 3" xfId="2324" xr:uid="{00000000-0005-0000-0000-0000416D0000}"/>
    <cellStyle name="常规 9 2 2 2 4 2 2 3 2" xfId="5400" xr:uid="{00000000-0005-0000-0000-0000426D0000}"/>
    <cellStyle name="常规 9 2 2 2 4 2 2 3 2 2" xfId="11544" xr:uid="{00000000-0005-0000-0000-0000436D0000}"/>
    <cellStyle name="常规 9 2 2 2 4 2 2 3 2 2 2" xfId="23832" xr:uid="{00000000-0005-0000-0000-0000446D0000}"/>
    <cellStyle name="常规 9 2 2 2 4 2 2 3 2 2 2 2" xfId="48408" xr:uid="{00000000-0005-0000-0000-0000456D0000}"/>
    <cellStyle name="常规 9 2 2 2 4 2 2 3 2 2 3" xfId="36120" xr:uid="{00000000-0005-0000-0000-0000466D0000}"/>
    <cellStyle name="常规 9 2 2 2 4 2 2 3 2 3" xfId="17688" xr:uid="{00000000-0005-0000-0000-0000476D0000}"/>
    <cellStyle name="常规 9 2 2 2 4 2 2 3 2 3 2" xfId="42264" xr:uid="{00000000-0005-0000-0000-0000486D0000}"/>
    <cellStyle name="常规 9 2 2 2 4 2 2 3 2 4" xfId="29976" xr:uid="{00000000-0005-0000-0000-0000496D0000}"/>
    <cellStyle name="常规 9 2 2 2 4 2 2 3 3" xfId="8472" xr:uid="{00000000-0005-0000-0000-00004A6D0000}"/>
    <cellStyle name="常规 9 2 2 2 4 2 2 3 3 2" xfId="20760" xr:uid="{00000000-0005-0000-0000-00004B6D0000}"/>
    <cellStyle name="常规 9 2 2 2 4 2 2 3 3 2 2" xfId="45336" xr:uid="{00000000-0005-0000-0000-00004C6D0000}"/>
    <cellStyle name="常规 9 2 2 2 4 2 2 3 3 3" xfId="33048" xr:uid="{00000000-0005-0000-0000-00004D6D0000}"/>
    <cellStyle name="常规 9 2 2 2 4 2 2 3 4" xfId="14616" xr:uid="{00000000-0005-0000-0000-00004E6D0000}"/>
    <cellStyle name="常规 9 2 2 2 4 2 2 3 4 2" xfId="39192" xr:uid="{00000000-0005-0000-0000-00004F6D0000}"/>
    <cellStyle name="常规 9 2 2 2 4 2 2 3 5" xfId="26904" xr:uid="{00000000-0005-0000-0000-0000506D0000}"/>
    <cellStyle name="常规 9 2 2 2 4 2 2 4" xfId="3864" xr:uid="{00000000-0005-0000-0000-0000516D0000}"/>
    <cellStyle name="常规 9 2 2 2 4 2 2 4 2" xfId="10008" xr:uid="{00000000-0005-0000-0000-0000526D0000}"/>
    <cellStyle name="常规 9 2 2 2 4 2 2 4 2 2" xfId="22296" xr:uid="{00000000-0005-0000-0000-0000536D0000}"/>
    <cellStyle name="常规 9 2 2 2 4 2 2 4 2 2 2" xfId="46872" xr:uid="{00000000-0005-0000-0000-0000546D0000}"/>
    <cellStyle name="常规 9 2 2 2 4 2 2 4 2 3" xfId="34584" xr:uid="{00000000-0005-0000-0000-0000556D0000}"/>
    <cellStyle name="常规 9 2 2 2 4 2 2 4 3" xfId="16152" xr:uid="{00000000-0005-0000-0000-0000566D0000}"/>
    <cellStyle name="常规 9 2 2 2 4 2 2 4 3 2" xfId="40728" xr:uid="{00000000-0005-0000-0000-0000576D0000}"/>
    <cellStyle name="常规 9 2 2 2 4 2 2 4 4" xfId="28440" xr:uid="{00000000-0005-0000-0000-0000586D0000}"/>
    <cellStyle name="常规 9 2 2 2 4 2 2 5" xfId="6936" xr:uid="{00000000-0005-0000-0000-0000596D0000}"/>
    <cellStyle name="常规 9 2 2 2 4 2 2 5 2" xfId="19224" xr:uid="{00000000-0005-0000-0000-00005A6D0000}"/>
    <cellStyle name="常规 9 2 2 2 4 2 2 5 2 2" xfId="43800" xr:uid="{00000000-0005-0000-0000-00005B6D0000}"/>
    <cellStyle name="常规 9 2 2 2 4 2 2 5 3" xfId="31512" xr:uid="{00000000-0005-0000-0000-00005C6D0000}"/>
    <cellStyle name="常规 9 2 2 2 4 2 2 6" xfId="13080" xr:uid="{00000000-0005-0000-0000-00005D6D0000}"/>
    <cellStyle name="常规 9 2 2 2 4 2 2 6 2" xfId="37656" xr:uid="{00000000-0005-0000-0000-00005E6D0000}"/>
    <cellStyle name="常规 9 2 2 2 4 2 2 7" xfId="25368" xr:uid="{00000000-0005-0000-0000-00005F6D0000}"/>
    <cellStyle name="常规 9 2 2 2 4 2 3" xfId="1172" xr:uid="{00000000-0005-0000-0000-0000606D0000}"/>
    <cellStyle name="常规 9 2 2 2 4 2 3 2" xfId="2708" xr:uid="{00000000-0005-0000-0000-0000616D0000}"/>
    <cellStyle name="常规 9 2 2 2 4 2 3 2 2" xfId="5784" xr:uid="{00000000-0005-0000-0000-0000626D0000}"/>
    <cellStyle name="常规 9 2 2 2 4 2 3 2 2 2" xfId="11928" xr:uid="{00000000-0005-0000-0000-0000636D0000}"/>
    <cellStyle name="常规 9 2 2 2 4 2 3 2 2 2 2" xfId="24216" xr:uid="{00000000-0005-0000-0000-0000646D0000}"/>
    <cellStyle name="常规 9 2 2 2 4 2 3 2 2 2 2 2" xfId="48792" xr:uid="{00000000-0005-0000-0000-0000656D0000}"/>
    <cellStyle name="常规 9 2 2 2 4 2 3 2 2 2 3" xfId="36504" xr:uid="{00000000-0005-0000-0000-0000666D0000}"/>
    <cellStyle name="常规 9 2 2 2 4 2 3 2 2 3" xfId="18072" xr:uid="{00000000-0005-0000-0000-0000676D0000}"/>
    <cellStyle name="常规 9 2 2 2 4 2 3 2 2 3 2" xfId="42648" xr:uid="{00000000-0005-0000-0000-0000686D0000}"/>
    <cellStyle name="常规 9 2 2 2 4 2 3 2 2 4" xfId="30360" xr:uid="{00000000-0005-0000-0000-0000696D0000}"/>
    <cellStyle name="常规 9 2 2 2 4 2 3 2 3" xfId="8856" xr:uid="{00000000-0005-0000-0000-00006A6D0000}"/>
    <cellStyle name="常规 9 2 2 2 4 2 3 2 3 2" xfId="21144" xr:uid="{00000000-0005-0000-0000-00006B6D0000}"/>
    <cellStyle name="常规 9 2 2 2 4 2 3 2 3 2 2" xfId="45720" xr:uid="{00000000-0005-0000-0000-00006C6D0000}"/>
    <cellStyle name="常规 9 2 2 2 4 2 3 2 3 3" xfId="33432" xr:uid="{00000000-0005-0000-0000-00006D6D0000}"/>
    <cellStyle name="常规 9 2 2 2 4 2 3 2 4" xfId="15000" xr:uid="{00000000-0005-0000-0000-00006E6D0000}"/>
    <cellStyle name="常规 9 2 2 2 4 2 3 2 4 2" xfId="39576" xr:uid="{00000000-0005-0000-0000-00006F6D0000}"/>
    <cellStyle name="常规 9 2 2 2 4 2 3 2 5" xfId="27288" xr:uid="{00000000-0005-0000-0000-0000706D0000}"/>
    <cellStyle name="常规 9 2 2 2 4 2 3 3" xfId="4248" xr:uid="{00000000-0005-0000-0000-0000716D0000}"/>
    <cellStyle name="常规 9 2 2 2 4 2 3 3 2" xfId="10392" xr:uid="{00000000-0005-0000-0000-0000726D0000}"/>
    <cellStyle name="常规 9 2 2 2 4 2 3 3 2 2" xfId="22680" xr:uid="{00000000-0005-0000-0000-0000736D0000}"/>
    <cellStyle name="常规 9 2 2 2 4 2 3 3 2 2 2" xfId="47256" xr:uid="{00000000-0005-0000-0000-0000746D0000}"/>
    <cellStyle name="常规 9 2 2 2 4 2 3 3 2 3" xfId="34968" xr:uid="{00000000-0005-0000-0000-0000756D0000}"/>
    <cellStyle name="常规 9 2 2 2 4 2 3 3 3" xfId="16536" xr:uid="{00000000-0005-0000-0000-0000766D0000}"/>
    <cellStyle name="常规 9 2 2 2 4 2 3 3 3 2" xfId="41112" xr:uid="{00000000-0005-0000-0000-0000776D0000}"/>
    <cellStyle name="常规 9 2 2 2 4 2 3 3 4" xfId="28824" xr:uid="{00000000-0005-0000-0000-0000786D0000}"/>
    <cellStyle name="常规 9 2 2 2 4 2 3 4" xfId="7320" xr:uid="{00000000-0005-0000-0000-0000796D0000}"/>
    <cellStyle name="常规 9 2 2 2 4 2 3 4 2" xfId="19608" xr:uid="{00000000-0005-0000-0000-00007A6D0000}"/>
    <cellStyle name="常规 9 2 2 2 4 2 3 4 2 2" xfId="44184" xr:uid="{00000000-0005-0000-0000-00007B6D0000}"/>
    <cellStyle name="常规 9 2 2 2 4 2 3 4 3" xfId="31896" xr:uid="{00000000-0005-0000-0000-00007C6D0000}"/>
    <cellStyle name="常规 9 2 2 2 4 2 3 5" xfId="13464" xr:uid="{00000000-0005-0000-0000-00007D6D0000}"/>
    <cellStyle name="常规 9 2 2 2 4 2 3 5 2" xfId="38040" xr:uid="{00000000-0005-0000-0000-00007E6D0000}"/>
    <cellStyle name="常规 9 2 2 2 4 2 3 6" xfId="25752" xr:uid="{00000000-0005-0000-0000-00007F6D0000}"/>
    <cellStyle name="常规 9 2 2 2 4 2 4" xfId="1940" xr:uid="{00000000-0005-0000-0000-0000806D0000}"/>
    <cellStyle name="常规 9 2 2 2 4 2 4 2" xfId="5016" xr:uid="{00000000-0005-0000-0000-0000816D0000}"/>
    <cellStyle name="常规 9 2 2 2 4 2 4 2 2" xfId="11160" xr:uid="{00000000-0005-0000-0000-0000826D0000}"/>
    <cellStyle name="常规 9 2 2 2 4 2 4 2 2 2" xfId="23448" xr:uid="{00000000-0005-0000-0000-0000836D0000}"/>
    <cellStyle name="常规 9 2 2 2 4 2 4 2 2 2 2" xfId="48024" xr:uid="{00000000-0005-0000-0000-0000846D0000}"/>
    <cellStyle name="常规 9 2 2 2 4 2 4 2 2 3" xfId="35736" xr:uid="{00000000-0005-0000-0000-0000856D0000}"/>
    <cellStyle name="常规 9 2 2 2 4 2 4 2 3" xfId="17304" xr:uid="{00000000-0005-0000-0000-0000866D0000}"/>
    <cellStyle name="常规 9 2 2 2 4 2 4 2 3 2" xfId="41880" xr:uid="{00000000-0005-0000-0000-0000876D0000}"/>
    <cellStyle name="常规 9 2 2 2 4 2 4 2 4" xfId="29592" xr:uid="{00000000-0005-0000-0000-0000886D0000}"/>
    <cellStyle name="常规 9 2 2 2 4 2 4 3" xfId="8088" xr:uid="{00000000-0005-0000-0000-0000896D0000}"/>
    <cellStyle name="常规 9 2 2 2 4 2 4 3 2" xfId="20376" xr:uid="{00000000-0005-0000-0000-00008A6D0000}"/>
    <cellStyle name="常规 9 2 2 2 4 2 4 3 2 2" xfId="44952" xr:uid="{00000000-0005-0000-0000-00008B6D0000}"/>
    <cellStyle name="常规 9 2 2 2 4 2 4 3 3" xfId="32664" xr:uid="{00000000-0005-0000-0000-00008C6D0000}"/>
    <cellStyle name="常规 9 2 2 2 4 2 4 4" xfId="14232" xr:uid="{00000000-0005-0000-0000-00008D6D0000}"/>
    <cellStyle name="常规 9 2 2 2 4 2 4 4 2" xfId="38808" xr:uid="{00000000-0005-0000-0000-00008E6D0000}"/>
    <cellStyle name="常规 9 2 2 2 4 2 4 5" xfId="26520" xr:uid="{00000000-0005-0000-0000-00008F6D0000}"/>
    <cellStyle name="常规 9 2 2 2 4 2 5" xfId="3480" xr:uid="{00000000-0005-0000-0000-0000906D0000}"/>
    <cellStyle name="常规 9 2 2 2 4 2 5 2" xfId="9624" xr:uid="{00000000-0005-0000-0000-0000916D0000}"/>
    <cellStyle name="常规 9 2 2 2 4 2 5 2 2" xfId="21912" xr:uid="{00000000-0005-0000-0000-0000926D0000}"/>
    <cellStyle name="常规 9 2 2 2 4 2 5 2 2 2" xfId="46488" xr:uid="{00000000-0005-0000-0000-0000936D0000}"/>
    <cellStyle name="常规 9 2 2 2 4 2 5 2 3" xfId="34200" xr:uid="{00000000-0005-0000-0000-0000946D0000}"/>
    <cellStyle name="常规 9 2 2 2 4 2 5 3" xfId="15768" xr:uid="{00000000-0005-0000-0000-0000956D0000}"/>
    <cellStyle name="常规 9 2 2 2 4 2 5 3 2" xfId="40344" xr:uid="{00000000-0005-0000-0000-0000966D0000}"/>
    <cellStyle name="常规 9 2 2 2 4 2 5 4" xfId="28056" xr:uid="{00000000-0005-0000-0000-0000976D0000}"/>
    <cellStyle name="常规 9 2 2 2 4 2 6" xfId="6552" xr:uid="{00000000-0005-0000-0000-0000986D0000}"/>
    <cellStyle name="常规 9 2 2 2 4 2 6 2" xfId="18840" xr:uid="{00000000-0005-0000-0000-0000996D0000}"/>
    <cellStyle name="常规 9 2 2 2 4 2 6 2 2" xfId="43416" xr:uid="{00000000-0005-0000-0000-00009A6D0000}"/>
    <cellStyle name="常规 9 2 2 2 4 2 6 3" xfId="31128" xr:uid="{00000000-0005-0000-0000-00009B6D0000}"/>
    <cellStyle name="常规 9 2 2 2 4 2 7" xfId="12696" xr:uid="{00000000-0005-0000-0000-00009C6D0000}"/>
    <cellStyle name="常规 9 2 2 2 4 2 7 2" xfId="37272" xr:uid="{00000000-0005-0000-0000-00009D6D0000}"/>
    <cellStyle name="常规 9 2 2 2 4 2 8" xfId="24984" xr:uid="{00000000-0005-0000-0000-00009E6D0000}"/>
    <cellStyle name="常规 9 2 2 2 4 3" xfId="596" xr:uid="{00000000-0005-0000-0000-00009F6D0000}"/>
    <cellStyle name="常规 9 2 2 2 4 3 2" xfId="1364" xr:uid="{00000000-0005-0000-0000-0000A06D0000}"/>
    <cellStyle name="常规 9 2 2 2 4 3 2 2" xfId="2900" xr:uid="{00000000-0005-0000-0000-0000A16D0000}"/>
    <cellStyle name="常规 9 2 2 2 4 3 2 2 2" xfId="5976" xr:uid="{00000000-0005-0000-0000-0000A26D0000}"/>
    <cellStyle name="常规 9 2 2 2 4 3 2 2 2 2" xfId="12120" xr:uid="{00000000-0005-0000-0000-0000A36D0000}"/>
    <cellStyle name="常规 9 2 2 2 4 3 2 2 2 2 2" xfId="24408" xr:uid="{00000000-0005-0000-0000-0000A46D0000}"/>
    <cellStyle name="常规 9 2 2 2 4 3 2 2 2 2 2 2" xfId="48984" xr:uid="{00000000-0005-0000-0000-0000A56D0000}"/>
    <cellStyle name="常规 9 2 2 2 4 3 2 2 2 2 3" xfId="36696" xr:uid="{00000000-0005-0000-0000-0000A66D0000}"/>
    <cellStyle name="常规 9 2 2 2 4 3 2 2 2 3" xfId="18264" xr:uid="{00000000-0005-0000-0000-0000A76D0000}"/>
    <cellStyle name="常规 9 2 2 2 4 3 2 2 2 3 2" xfId="42840" xr:uid="{00000000-0005-0000-0000-0000A86D0000}"/>
    <cellStyle name="常规 9 2 2 2 4 3 2 2 2 4" xfId="30552" xr:uid="{00000000-0005-0000-0000-0000A96D0000}"/>
    <cellStyle name="常规 9 2 2 2 4 3 2 2 3" xfId="9048" xr:uid="{00000000-0005-0000-0000-0000AA6D0000}"/>
    <cellStyle name="常规 9 2 2 2 4 3 2 2 3 2" xfId="21336" xr:uid="{00000000-0005-0000-0000-0000AB6D0000}"/>
    <cellStyle name="常规 9 2 2 2 4 3 2 2 3 2 2" xfId="45912" xr:uid="{00000000-0005-0000-0000-0000AC6D0000}"/>
    <cellStyle name="常规 9 2 2 2 4 3 2 2 3 3" xfId="33624" xr:uid="{00000000-0005-0000-0000-0000AD6D0000}"/>
    <cellStyle name="常规 9 2 2 2 4 3 2 2 4" xfId="15192" xr:uid="{00000000-0005-0000-0000-0000AE6D0000}"/>
    <cellStyle name="常规 9 2 2 2 4 3 2 2 4 2" xfId="39768" xr:uid="{00000000-0005-0000-0000-0000AF6D0000}"/>
    <cellStyle name="常规 9 2 2 2 4 3 2 2 5" xfId="27480" xr:uid="{00000000-0005-0000-0000-0000B06D0000}"/>
    <cellStyle name="常规 9 2 2 2 4 3 2 3" xfId="4440" xr:uid="{00000000-0005-0000-0000-0000B16D0000}"/>
    <cellStyle name="常规 9 2 2 2 4 3 2 3 2" xfId="10584" xr:uid="{00000000-0005-0000-0000-0000B26D0000}"/>
    <cellStyle name="常规 9 2 2 2 4 3 2 3 2 2" xfId="22872" xr:uid="{00000000-0005-0000-0000-0000B36D0000}"/>
    <cellStyle name="常规 9 2 2 2 4 3 2 3 2 2 2" xfId="47448" xr:uid="{00000000-0005-0000-0000-0000B46D0000}"/>
    <cellStyle name="常规 9 2 2 2 4 3 2 3 2 3" xfId="35160" xr:uid="{00000000-0005-0000-0000-0000B56D0000}"/>
    <cellStyle name="常规 9 2 2 2 4 3 2 3 3" xfId="16728" xr:uid="{00000000-0005-0000-0000-0000B66D0000}"/>
    <cellStyle name="常规 9 2 2 2 4 3 2 3 3 2" xfId="41304" xr:uid="{00000000-0005-0000-0000-0000B76D0000}"/>
    <cellStyle name="常规 9 2 2 2 4 3 2 3 4" xfId="29016" xr:uid="{00000000-0005-0000-0000-0000B86D0000}"/>
    <cellStyle name="常规 9 2 2 2 4 3 2 4" xfId="7512" xr:uid="{00000000-0005-0000-0000-0000B96D0000}"/>
    <cellStyle name="常规 9 2 2 2 4 3 2 4 2" xfId="19800" xr:uid="{00000000-0005-0000-0000-0000BA6D0000}"/>
    <cellStyle name="常规 9 2 2 2 4 3 2 4 2 2" xfId="44376" xr:uid="{00000000-0005-0000-0000-0000BB6D0000}"/>
    <cellStyle name="常规 9 2 2 2 4 3 2 4 3" xfId="32088" xr:uid="{00000000-0005-0000-0000-0000BC6D0000}"/>
    <cellStyle name="常规 9 2 2 2 4 3 2 5" xfId="13656" xr:uid="{00000000-0005-0000-0000-0000BD6D0000}"/>
    <cellStyle name="常规 9 2 2 2 4 3 2 5 2" xfId="38232" xr:uid="{00000000-0005-0000-0000-0000BE6D0000}"/>
    <cellStyle name="常规 9 2 2 2 4 3 2 6" xfId="25944" xr:uid="{00000000-0005-0000-0000-0000BF6D0000}"/>
    <cellStyle name="常规 9 2 2 2 4 3 3" xfId="2132" xr:uid="{00000000-0005-0000-0000-0000C06D0000}"/>
    <cellStyle name="常规 9 2 2 2 4 3 3 2" xfId="5208" xr:uid="{00000000-0005-0000-0000-0000C16D0000}"/>
    <cellStyle name="常规 9 2 2 2 4 3 3 2 2" xfId="11352" xr:uid="{00000000-0005-0000-0000-0000C26D0000}"/>
    <cellStyle name="常规 9 2 2 2 4 3 3 2 2 2" xfId="23640" xr:uid="{00000000-0005-0000-0000-0000C36D0000}"/>
    <cellStyle name="常规 9 2 2 2 4 3 3 2 2 2 2" xfId="48216" xr:uid="{00000000-0005-0000-0000-0000C46D0000}"/>
    <cellStyle name="常规 9 2 2 2 4 3 3 2 2 3" xfId="35928" xr:uid="{00000000-0005-0000-0000-0000C56D0000}"/>
    <cellStyle name="常规 9 2 2 2 4 3 3 2 3" xfId="17496" xr:uid="{00000000-0005-0000-0000-0000C66D0000}"/>
    <cellStyle name="常规 9 2 2 2 4 3 3 2 3 2" xfId="42072" xr:uid="{00000000-0005-0000-0000-0000C76D0000}"/>
    <cellStyle name="常规 9 2 2 2 4 3 3 2 4" xfId="29784" xr:uid="{00000000-0005-0000-0000-0000C86D0000}"/>
    <cellStyle name="常规 9 2 2 2 4 3 3 3" xfId="8280" xr:uid="{00000000-0005-0000-0000-0000C96D0000}"/>
    <cellStyle name="常规 9 2 2 2 4 3 3 3 2" xfId="20568" xr:uid="{00000000-0005-0000-0000-0000CA6D0000}"/>
    <cellStyle name="常规 9 2 2 2 4 3 3 3 2 2" xfId="45144" xr:uid="{00000000-0005-0000-0000-0000CB6D0000}"/>
    <cellStyle name="常规 9 2 2 2 4 3 3 3 3" xfId="32856" xr:uid="{00000000-0005-0000-0000-0000CC6D0000}"/>
    <cellStyle name="常规 9 2 2 2 4 3 3 4" xfId="14424" xr:uid="{00000000-0005-0000-0000-0000CD6D0000}"/>
    <cellStyle name="常规 9 2 2 2 4 3 3 4 2" xfId="39000" xr:uid="{00000000-0005-0000-0000-0000CE6D0000}"/>
    <cellStyle name="常规 9 2 2 2 4 3 3 5" xfId="26712" xr:uid="{00000000-0005-0000-0000-0000CF6D0000}"/>
    <cellStyle name="常规 9 2 2 2 4 3 4" xfId="3672" xr:uid="{00000000-0005-0000-0000-0000D06D0000}"/>
    <cellStyle name="常规 9 2 2 2 4 3 4 2" xfId="9816" xr:uid="{00000000-0005-0000-0000-0000D16D0000}"/>
    <cellStyle name="常规 9 2 2 2 4 3 4 2 2" xfId="22104" xr:uid="{00000000-0005-0000-0000-0000D26D0000}"/>
    <cellStyle name="常规 9 2 2 2 4 3 4 2 2 2" xfId="46680" xr:uid="{00000000-0005-0000-0000-0000D36D0000}"/>
    <cellStyle name="常规 9 2 2 2 4 3 4 2 3" xfId="34392" xr:uid="{00000000-0005-0000-0000-0000D46D0000}"/>
    <cellStyle name="常规 9 2 2 2 4 3 4 3" xfId="15960" xr:uid="{00000000-0005-0000-0000-0000D56D0000}"/>
    <cellStyle name="常规 9 2 2 2 4 3 4 3 2" xfId="40536" xr:uid="{00000000-0005-0000-0000-0000D66D0000}"/>
    <cellStyle name="常规 9 2 2 2 4 3 4 4" xfId="28248" xr:uid="{00000000-0005-0000-0000-0000D76D0000}"/>
    <cellStyle name="常规 9 2 2 2 4 3 5" xfId="6744" xr:uid="{00000000-0005-0000-0000-0000D86D0000}"/>
    <cellStyle name="常规 9 2 2 2 4 3 5 2" xfId="19032" xr:uid="{00000000-0005-0000-0000-0000D96D0000}"/>
    <cellStyle name="常规 9 2 2 2 4 3 5 2 2" xfId="43608" xr:uid="{00000000-0005-0000-0000-0000DA6D0000}"/>
    <cellStyle name="常规 9 2 2 2 4 3 5 3" xfId="31320" xr:uid="{00000000-0005-0000-0000-0000DB6D0000}"/>
    <cellStyle name="常规 9 2 2 2 4 3 6" xfId="12888" xr:uid="{00000000-0005-0000-0000-0000DC6D0000}"/>
    <cellStyle name="常规 9 2 2 2 4 3 6 2" xfId="37464" xr:uid="{00000000-0005-0000-0000-0000DD6D0000}"/>
    <cellStyle name="常规 9 2 2 2 4 3 7" xfId="25176" xr:uid="{00000000-0005-0000-0000-0000DE6D0000}"/>
    <cellStyle name="常规 9 2 2 2 4 4" xfId="980" xr:uid="{00000000-0005-0000-0000-0000DF6D0000}"/>
    <cellStyle name="常规 9 2 2 2 4 4 2" xfId="2516" xr:uid="{00000000-0005-0000-0000-0000E06D0000}"/>
    <cellStyle name="常规 9 2 2 2 4 4 2 2" xfId="5592" xr:uid="{00000000-0005-0000-0000-0000E16D0000}"/>
    <cellStyle name="常规 9 2 2 2 4 4 2 2 2" xfId="11736" xr:uid="{00000000-0005-0000-0000-0000E26D0000}"/>
    <cellStyle name="常规 9 2 2 2 4 4 2 2 2 2" xfId="24024" xr:uid="{00000000-0005-0000-0000-0000E36D0000}"/>
    <cellStyle name="常规 9 2 2 2 4 4 2 2 2 2 2" xfId="48600" xr:uid="{00000000-0005-0000-0000-0000E46D0000}"/>
    <cellStyle name="常规 9 2 2 2 4 4 2 2 2 3" xfId="36312" xr:uid="{00000000-0005-0000-0000-0000E56D0000}"/>
    <cellStyle name="常规 9 2 2 2 4 4 2 2 3" xfId="17880" xr:uid="{00000000-0005-0000-0000-0000E66D0000}"/>
    <cellStyle name="常规 9 2 2 2 4 4 2 2 3 2" xfId="42456" xr:uid="{00000000-0005-0000-0000-0000E76D0000}"/>
    <cellStyle name="常规 9 2 2 2 4 4 2 2 4" xfId="30168" xr:uid="{00000000-0005-0000-0000-0000E86D0000}"/>
    <cellStyle name="常规 9 2 2 2 4 4 2 3" xfId="8664" xr:uid="{00000000-0005-0000-0000-0000E96D0000}"/>
    <cellStyle name="常规 9 2 2 2 4 4 2 3 2" xfId="20952" xr:uid="{00000000-0005-0000-0000-0000EA6D0000}"/>
    <cellStyle name="常规 9 2 2 2 4 4 2 3 2 2" xfId="45528" xr:uid="{00000000-0005-0000-0000-0000EB6D0000}"/>
    <cellStyle name="常规 9 2 2 2 4 4 2 3 3" xfId="33240" xr:uid="{00000000-0005-0000-0000-0000EC6D0000}"/>
    <cellStyle name="常规 9 2 2 2 4 4 2 4" xfId="14808" xr:uid="{00000000-0005-0000-0000-0000ED6D0000}"/>
    <cellStyle name="常规 9 2 2 2 4 4 2 4 2" xfId="39384" xr:uid="{00000000-0005-0000-0000-0000EE6D0000}"/>
    <cellStyle name="常规 9 2 2 2 4 4 2 5" xfId="27096" xr:uid="{00000000-0005-0000-0000-0000EF6D0000}"/>
    <cellStyle name="常规 9 2 2 2 4 4 3" xfId="4056" xr:uid="{00000000-0005-0000-0000-0000F06D0000}"/>
    <cellStyle name="常规 9 2 2 2 4 4 3 2" xfId="10200" xr:uid="{00000000-0005-0000-0000-0000F16D0000}"/>
    <cellStyle name="常规 9 2 2 2 4 4 3 2 2" xfId="22488" xr:uid="{00000000-0005-0000-0000-0000F26D0000}"/>
    <cellStyle name="常规 9 2 2 2 4 4 3 2 2 2" xfId="47064" xr:uid="{00000000-0005-0000-0000-0000F36D0000}"/>
    <cellStyle name="常规 9 2 2 2 4 4 3 2 3" xfId="34776" xr:uid="{00000000-0005-0000-0000-0000F46D0000}"/>
    <cellStyle name="常规 9 2 2 2 4 4 3 3" xfId="16344" xr:uid="{00000000-0005-0000-0000-0000F56D0000}"/>
    <cellStyle name="常规 9 2 2 2 4 4 3 3 2" xfId="40920" xr:uid="{00000000-0005-0000-0000-0000F66D0000}"/>
    <cellStyle name="常规 9 2 2 2 4 4 3 4" xfId="28632" xr:uid="{00000000-0005-0000-0000-0000F76D0000}"/>
    <cellStyle name="常规 9 2 2 2 4 4 4" xfId="7128" xr:uid="{00000000-0005-0000-0000-0000F86D0000}"/>
    <cellStyle name="常规 9 2 2 2 4 4 4 2" xfId="19416" xr:uid="{00000000-0005-0000-0000-0000F96D0000}"/>
    <cellStyle name="常规 9 2 2 2 4 4 4 2 2" xfId="43992" xr:uid="{00000000-0005-0000-0000-0000FA6D0000}"/>
    <cellStyle name="常规 9 2 2 2 4 4 4 3" xfId="31704" xr:uid="{00000000-0005-0000-0000-0000FB6D0000}"/>
    <cellStyle name="常规 9 2 2 2 4 4 5" xfId="13272" xr:uid="{00000000-0005-0000-0000-0000FC6D0000}"/>
    <cellStyle name="常规 9 2 2 2 4 4 5 2" xfId="37848" xr:uid="{00000000-0005-0000-0000-0000FD6D0000}"/>
    <cellStyle name="常规 9 2 2 2 4 4 6" xfId="25560" xr:uid="{00000000-0005-0000-0000-0000FE6D0000}"/>
    <cellStyle name="常规 9 2 2 2 4 5" xfId="1748" xr:uid="{00000000-0005-0000-0000-0000FF6D0000}"/>
    <cellStyle name="常规 9 2 2 2 4 5 2" xfId="4824" xr:uid="{00000000-0005-0000-0000-0000006E0000}"/>
    <cellStyle name="常规 9 2 2 2 4 5 2 2" xfId="10968" xr:uid="{00000000-0005-0000-0000-0000016E0000}"/>
    <cellStyle name="常规 9 2 2 2 4 5 2 2 2" xfId="23256" xr:uid="{00000000-0005-0000-0000-0000026E0000}"/>
    <cellStyle name="常规 9 2 2 2 4 5 2 2 2 2" xfId="47832" xr:uid="{00000000-0005-0000-0000-0000036E0000}"/>
    <cellStyle name="常规 9 2 2 2 4 5 2 2 3" xfId="35544" xr:uid="{00000000-0005-0000-0000-0000046E0000}"/>
    <cellStyle name="常规 9 2 2 2 4 5 2 3" xfId="17112" xr:uid="{00000000-0005-0000-0000-0000056E0000}"/>
    <cellStyle name="常规 9 2 2 2 4 5 2 3 2" xfId="41688" xr:uid="{00000000-0005-0000-0000-0000066E0000}"/>
    <cellStyle name="常规 9 2 2 2 4 5 2 4" xfId="29400" xr:uid="{00000000-0005-0000-0000-0000076E0000}"/>
    <cellStyle name="常规 9 2 2 2 4 5 3" xfId="7896" xr:uid="{00000000-0005-0000-0000-0000086E0000}"/>
    <cellStyle name="常规 9 2 2 2 4 5 3 2" xfId="20184" xr:uid="{00000000-0005-0000-0000-0000096E0000}"/>
    <cellStyle name="常规 9 2 2 2 4 5 3 2 2" xfId="44760" xr:uid="{00000000-0005-0000-0000-00000A6E0000}"/>
    <cellStyle name="常规 9 2 2 2 4 5 3 3" xfId="32472" xr:uid="{00000000-0005-0000-0000-00000B6E0000}"/>
    <cellStyle name="常规 9 2 2 2 4 5 4" xfId="14040" xr:uid="{00000000-0005-0000-0000-00000C6E0000}"/>
    <cellStyle name="常规 9 2 2 2 4 5 4 2" xfId="38616" xr:uid="{00000000-0005-0000-0000-00000D6E0000}"/>
    <cellStyle name="常规 9 2 2 2 4 5 5" xfId="26328" xr:uid="{00000000-0005-0000-0000-00000E6E0000}"/>
    <cellStyle name="常规 9 2 2 2 4 6" xfId="3288" xr:uid="{00000000-0005-0000-0000-00000F6E0000}"/>
    <cellStyle name="常规 9 2 2 2 4 6 2" xfId="9432" xr:uid="{00000000-0005-0000-0000-0000106E0000}"/>
    <cellStyle name="常规 9 2 2 2 4 6 2 2" xfId="21720" xr:uid="{00000000-0005-0000-0000-0000116E0000}"/>
    <cellStyle name="常规 9 2 2 2 4 6 2 2 2" xfId="46296" xr:uid="{00000000-0005-0000-0000-0000126E0000}"/>
    <cellStyle name="常规 9 2 2 2 4 6 2 3" xfId="34008" xr:uid="{00000000-0005-0000-0000-0000136E0000}"/>
    <cellStyle name="常规 9 2 2 2 4 6 3" xfId="15576" xr:uid="{00000000-0005-0000-0000-0000146E0000}"/>
    <cellStyle name="常规 9 2 2 2 4 6 3 2" xfId="40152" xr:uid="{00000000-0005-0000-0000-0000156E0000}"/>
    <cellStyle name="常规 9 2 2 2 4 6 4" xfId="27864" xr:uid="{00000000-0005-0000-0000-0000166E0000}"/>
    <cellStyle name="常规 9 2 2 2 4 7" xfId="6360" xr:uid="{00000000-0005-0000-0000-0000176E0000}"/>
    <cellStyle name="常规 9 2 2 2 4 7 2" xfId="18648" xr:uid="{00000000-0005-0000-0000-0000186E0000}"/>
    <cellStyle name="常规 9 2 2 2 4 7 2 2" xfId="43224" xr:uid="{00000000-0005-0000-0000-0000196E0000}"/>
    <cellStyle name="常规 9 2 2 2 4 7 3" xfId="30936" xr:uid="{00000000-0005-0000-0000-00001A6E0000}"/>
    <cellStyle name="常规 9 2 2 2 4 8" xfId="12504" xr:uid="{00000000-0005-0000-0000-00001B6E0000}"/>
    <cellStyle name="常规 9 2 2 2 4 8 2" xfId="37080" xr:uid="{00000000-0005-0000-0000-00001C6E0000}"/>
    <cellStyle name="常规 9 2 2 2 4 9" xfId="24792" xr:uid="{00000000-0005-0000-0000-00001D6E0000}"/>
    <cellStyle name="常规 9 2 2 2 5" xfId="276" xr:uid="{00000000-0005-0000-0000-00001E6E0000}"/>
    <cellStyle name="常规 9 2 2 2 5 2" xfId="468" xr:uid="{00000000-0005-0000-0000-00001F6E0000}"/>
    <cellStyle name="常规 9 2 2 2 5 2 2" xfId="852" xr:uid="{00000000-0005-0000-0000-0000206E0000}"/>
    <cellStyle name="常规 9 2 2 2 5 2 2 2" xfId="1620" xr:uid="{00000000-0005-0000-0000-0000216E0000}"/>
    <cellStyle name="常规 9 2 2 2 5 2 2 2 2" xfId="3156" xr:uid="{00000000-0005-0000-0000-0000226E0000}"/>
    <cellStyle name="常规 9 2 2 2 5 2 2 2 2 2" xfId="6232" xr:uid="{00000000-0005-0000-0000-0000236E0000}"/>
    <cellStyle name="常规 9 2 2 2 5 2 2 2 2 2 2" xfId="12376" xr:uid="{00000000-0005-0000-0000-0000246E0000}"/>
    <cellStyle name="常规 9 2 2 2 5 2 2 2 2 2 2 2" xfId="24664" xr:uid="{00000000-0005-0000-0000-0000256E0000}"/>
    <cellStyle name="常规 9 2 2 2 5 2 2 2 2 2 2 2 2" xfId="49240" xr:uid="{00000000-0005-0000-0000-0000266E0000}"/>
    <cellStyle name="常规 9 2 2 2 5 2 2 2 2 2 2 3" xfId="36952" xr:uid="{00000000-0005-0000-0000-0000276E0000}"/>
    <cellStyle name="常规 9 2 2 2 5 2 2 2 2 2 3" xfId="18520" xr:uid="{00000000-0005-0000-0000-0000286E0000}"/>
    <cellStyle name="常规 9 2 2 2 5 2 2 2 2 2 3 2" xfId="43096" xr:uid="{00000000-0005-0000-0000-0000296E0000}"/>
    <cellStyle name="常规 9 2 2 2 5 2 2 2 2 2 4" xfId="30808" xr:uid="{00000000-0005-0000-0000-00002A6E0000}"/>
    <cellStyle name="常规 9 2 2 2 5 2 2 2 2 3" xfId="9304" xr:uid="{00000000-0005-0000-0000-00002B6E0000}"/>
    <cellStyle name="常规 9 2 2 2 5 2 2 2 2 3 2" xfId="21592" xr:uid="{00000000-0005-0000-0000-00002C6E0000}"/>
    <cellStyle name="常规 9 2 2 2 5 2 2 2 2 3 2 2" xfId="46168" xr:uid="{00000000-0005-0000-0000-00002D6E0000}"/>
    <cellStyle name="常规 9 2 2 2 5 2 2 2 2 3 3" xfId="33880" xr:uid="{00000000-0005-0000-0000-00002E6E0000}"/>
    <cellStyle name="常规 9 2 2 2 5 2 2 2 2 4" xfId="15448" xr:uid="{00000000-0005-0000-0000-00002F6E0000}"/>
    <cellStyle name="常规 9 2 2 2 5 2 2 2 2 4 2" xfId="40024" xr:uid="{00000000-0005-0000-0000-0000306E0000}"/>
    <cellStyle name="常规 9 2 2 2 5 2 2 2 2 5" xfId="27736" xr:uid="{00000000-0005-0000-0000-0000316E0000}"/>
    <cellStyle name="常规 9 2 2 2 5 2 2 2 3" xfId="4696" xr:uid="{00000000-0005-0000-0000-0000326E0000}"/>
    <cellStyle name="常规 9 2 2 2 5 2 2 2 3 2" xfId="10840" xr:uid="{00000000-0005-0000-0000-0000336E0000}"/>
    <cellStyle name="常规 9 2 2 2 5 2 2 2 3 2 2" xfId="23128" xr:uid="{00000000-0005-0000-0000-0000346E0000}"/>
    <cellStyle name="常规 9 2 2 2 5 2 2 2 3 2 2 2" xfId="47704" xr:uid="{00000000-0005-0000-0000-0000356E0000}"/>
    <cellStyle name="常规 9 2 2 2 5 2 2 2 3 2 3" xfId="35416" xr:uid="{00000000-0005-0000-0000-0000366E0000}"/>
    <cellStyle name="常规 9 2 2 2 5 2 2 2 3 3" xfId="16984" xr:uid="{00000000-0005-0000-0000-0000376E0000}"/>
    <cellStyle name="常规 9 2 2 2 5 2 2 2 3 3 2" xfId="41560" xr:uid="{00000000-0005-0000-0000-0000386E0000}"/>
    <cellStyle name="常规 9 2 2 2 5 2 2 2 3 4" xfId="29272" xr:uid="{00000000-0005-0000-0000-0000396E0000}"/>
    <cellStyle name="常规 9 2 2 2 5 2 2 2 4" xfId="7768" xr:uid="{00000000-0005-0000-0000-00003A6E0000}"/>
    <cellStyle name="常规 9 2 2 2 5 2 2 2 4 2" xfId="20056" xr:uid="{00000000-0005-0000-0000-00003B6E0000}"/>
    <cellStyle name="常规 9 2 2 2 5 2 2 2 4 2 2" xfId="44632" xr:uid="{00000000-0005-0000-0000-00003C6E0000}"/>
    <cellStyle name="常规 9 2 2 2 5 2 2 2 4 3" xfId="32344" xr:uid="{00000000-0005-0000-0000-00003D6E0000}"/>
    <cellStyle name="常规 9 2 2 2 5 2 2 2 5" xfId="13912" xr:uid="{00000000-0005-0000-0000-00003E6E0000}"/>
    <cellStyle name="常规 9 2 2 2 5 2 2 2 5 2" xfId="38488" xr:uid="{00000000-0005-0000-0000-00003F6E0000}"/>
    <cellStyle name="常规 9 2 2 2 5 2 2 2 6" xfId="26200" xr:uid="{00000000-0005-0000-0000-0000406E0000}"/>
    <cellStyle name="常规 9 2 2 2 5 2 2 3" xfId="2388" xr:uid="{00000000-0005-0000-0000-0000416E0000}"/>
    <cellStyle name="常规 9 2 2 2 5 2 2 3 2" xfId="5464" xr:uid="{00000000-0005-0000-0000-0000426E0000}"/>
    <cellStyle name="常规 9 2 2 2 5 2 2 3 2 2" xfId="11608" xr:uid="{00000000-0005-0000-0000-0000436E0000}"/>
    <cellStyle name="常规 9 2 2 2 5 2 2 3 2 2 2" xfId="23896" xr:uid="{00000000-0005-0000-0000-0000446E0000}"/>
    <cellStyle name="常规 9 2 2 2 5 2 2 3 2 2 2 2" xfId="48472" xr:uid="{00000000-0005-0000-0000-0000456E0000}"/>
    <cellStyle name="常规 9 2 2 2 5 2 2 3 2 2 3" xfId="36184" xr:uid="{00000000-0005-0000-0000-0000466E0000}"/>
    <cellStyle name="常规 9 2 2 2 5 2 2 3 2 3" xfId="17752" xr:uid="{00000000-0005-0000-0000-0000476E0000}"/>
    <cellStyle name="常规 9 2 2 2 5 2 2 3 2 3 2" xfId="42328" xr:uid="{00000000-0005-0000-0000-0000486E0000}"/>
    <cellStyle name="常规 9 2 2 2 5 2 2 3 2 4" xfId="30040" xr:uid="{00000000-0005-0000-0000-0000496E0000}"/>
    <cellStyle name="常规 9 2 2 2 5 2 2 3 3" xfId="8536" xr:uid="{00000000-0005-0000-0000-00004A6E0000}"/>
    <cellStyle name="常规 9 2 2 2 5 2 2 3 3 2" xfId="20824" xr:uid="{00000000-0005-0000-0000-00004B6E0000}"/>
    <cellStyle name="常规 9 2 2 2 5 2 2 3 3 2 2" xfId="45400" xr:uid="{00000000-0005-0000-0000-00004C6E0000}"/>
    <cellStyle name="常规 9 2 2 2 5 2 2 3 3 3" xfId="33112" xr:uid="{00000000-0005-0000-0000-00004D6E0000}"/>
    <cellStyle name="常规 9 2 2 2 5 2 2 3 4" xfId="14680" xr:uid="{00000000-0005-0000-0000-00004E6E0000}"/>
    <cellStyle name="常规 9 2 2 2 5 2 2 3 4 2" xfId="39256" xr:uid="{00000000-0005-0000-0000-00004F6E0000}"/>
    <cellStyle name="常规 9 2 2 2 5 2 2 3 5" xfId="26968" xr:uid="{00000000-0005-0000-0000-0000506E0000}"/>
    <cellStyle name="常规 9 2 2 2 5 2 2 4" xfId="3928" xr:uid="{00000000-0005-0000-0000-0000516E0000}"/>
    <cellStyle name="常规 9 2 2 2 5 2 2 4 2" xfId="10072" xr:uid="{00000000-0005-0000-0000-0000526E0000}"/>
    <cellStyle name="常规 9 2 2 2 5 2 2 4 2 2" xfId="22360" xr:uid="{00000000-0005-0000-0000-0000536E0000}"/>
    <cellStyle name="常规 9 2 2 2 5 2 2 4 2 2 2" xfId="46936" xr:uid="{00000000-0005-0000-0000-0000546E0000}"/>
    <cellStyle name="常规 9 2 2 2 5 2 2 4 2 3" xfId="34648" xr:uid="{00000000-0005-0000-0000-0000556E0000}"/>
    <cellStyle name="常规 9 2 2 2 5 2 2 4 3" xfId="16216" xr:uid="{00000000-0005-0000-0000-0000566E0000}"/>
    <cellStyle name="常规 9 2 2 2 5 2 2 4 3 2" xfId="40792" xr:uid="{00000000-0005-0000-0000-0000576E0000}"/>
    <cellStyle name="常规 9 2 2 2 5 2 2 4 4" xfId="28504" xr:uid="{00000000-0005-0000-0000-0000586E0000}"/>
    <cellStyle name="常规 9 2 2 2 5 2 2 5" xfId="7000" xr:uid="{00000000-0005-0000-0000-0000596E0000}"/>
    <cellStyle name="常规 9 2 2 2 5 2 2 5 2" xfId="19288" xr:uid="{00000000-0005-0000-0000-00005A6E0000}"/>
    <cellStyle name="常规 9 2 2 2 5 2 2 5 2 2" xfId="43864" xr:uid="{00000000-0005-0000-0000-00005B6E0000}"/>
    <cellStyle name="常规 9 2 2 2 5 2 2 5 3" xfId="31576" xr:uid="{00000000-0005-0000-0000-00005C6E0000}"/>
    <cellStyle name="常规 9 2 2 2 5 2 2 6" xfId="13144" xr:uid="{00000000-0005-0000-0000-00005D6E0000}"/>
    <cellStyle name="常规 9 2 2 2 5 2 2 6 2" xfId="37720" xr:uid="{00000000-0005-0000-0000-00005E6E0000}"/>
    <cellStyle name="常规 9 2 2 2 5 2 2 7" xfId="25432" xr:uid="{00000000-0005-0000-0000-00005F6E0000}"/>
    <cellStyle name="常规 9 2 2 2 5 2 3" xfId="1236" xr:uid="{00000000-0005-0000-0000-0000606E0000}"/>
    <cellStyle name="常规 9 2 2 2 5 2 3 2" xfId="2772" xr:uid="{00000000-0005-0000-0000-0000616E0000}"/>
    <cellStyle name="常规 9 2 2 2 5 2 3 2 2" xfId="5848" xr:uid="{00000000-0005-0000-0000-0000626E0000}"/>
    <cellStyle name="常规 9 2 2 2 5 2 3 2 2 2" xfId="11992" xr:uid="{00000000-0005-0000-0000-0000636E0000}"/>
    <cellStyle name="常规 9 2 2 2 5 2 3 2 2 2 2" xfId="24280" xr:uid="{00000000-0005-0000-0000-0000646E0000}"/>
    <cellStyle name="常规 9 2 2 2 5 2 3 2 2 2 2 2" xfId="48856" xr:uid="{00000000-0005-0000-0000-0000656E0000}"/>
    <cellStyle name="常规 9 2 2 2 5 2 3 2 2 2 3" xfId="36568" xr:uid="{00000000-0005-0000-0000-0000666E0000}"/>
    <cellStyle name="常规 9 2 2 2 5 2 3 2 2 3" xfId="18136" xr:uid="{00000000-0005-0000-0000-0000676E0000}"/>
    <cellStyle name="常规 9 2 2 2 5 2 3 2 2 3 2" xfId="42712" xr:uid="{00000000-0005-0000-0000-0000686E0000}"/>
    <cellStyle name="常规 9 2 2 2 5 2 3 2 2 4" xfId="30424" xr:uid="{00000000-0005-0000-0000-0000696E0000}"/>
    <cellStyle name="常规 9 2 2 2 5 2 3 2 3" xfId="8920" xr:uid="{00000000-0005-0000-0000-00006A6E0000}"/>
    <cellStyle name="常规 9 2 2 2 5 2 3 2 3 2" xfId="21208" xr:uid="{00000000-0005-0000-0000-00006B6E0000}"/>
    <cellStyle name="常规 9 2 2 2 5 2 3 2 3 2 2" xfId="45784" xr:uid="{00000000-0005-0000-0000-00006C6E0000}"/>
    <cellStyle name="常规 9 2 2 2 5 2 3 2 3 3" xfId="33496" xr:uid="{00000000-0005-0000-0000-00006D6E0000}"/>
    <cellStyle name="常规 9 2 2 2 5 2 3 2 4" xfId="15064" xr:uid="{00000000-0005-0000-0000-00006E6E0000}"/>
    <cellStyle name="常规 9 2 2 2 5 2 3 2 4 2" xfId="39640" xr:uid="{00000000-0005-0000-0000-00006F6E0000}"/>
    <cellStyle name="常规 9 2 2 2 5 2 3 2 5" xfId="27352" xr:uid="{00000000-0005-0000-0000-0000706E0000}"/>
    <cellStyle name="常规 9 2 2 2 5 2 3 3" xfId="4312" xr:uid="{00000000-0005-0000-0000-0000716E0000}"/>
    <cellStyle name="常规 9 2 2 2 5 2 3 3 2" xfId="10456" xr:uid="{00000000-0005-0000-0000-0000726E0000}"/>
    <cellStyle name="常规 9 2 2 2 5 2 3 3 2 2" xfId="22744" xr:uid="{00000000-0005-0000-0000-0000736E0000}"/>
    <cellStyle name="常规 9 2 2 2 5 2 3 3 2 2 2" xfId="47320" xr:uid="{00000000-0005-0000-0000-0000746E0000}"/>
    <cellStyle name="常规 9 2 2 2 5 2 3 3 2 3" xfId="35032" xr:uid="{00000000-0005-0000-0000-0000756E0000}"/>
    <cellStyle name="常规 9 2 2 2 5 2 3 3 3" xfId="16600" xr:uid="{00000000-0005-0000-0000-0000766E0000}"/>
    <cellStyle name="常规 9 2 2 2 5 2 3 3 3 2" xfId="41176" xr:uid="{00000000-0005-0000-0000-0000776E0000}"/>
    <cellStyle name="常规 9 2 2 2 5 2 3 3 4" xfId="28888" xr:uid="{00000000-0005-0000-0000-0000786E0000}"/>
    <cellStyle name="常规 9 2 2 2 5 2 3 4" xfId="7384" xr:uid="{00000000-0005-0000-0000-0000796E0000}"/>
    <cellStyle name="常规 9 2 2 2 5 2 3 4 2" xfId="19672" xr:uid="{00000000-0005-0000-0000-00007A6E0000}"/>
    <cellStyle name="常规 9 2 2 2 5 2 3 4 2 2" xfId="44248" xr:uid="{00000000-0005-0000-0000-00007B6E0000}"/>
    <cellStyle name="常规 9 2 2 2 5 2 3 4 3" xfId="31960" xr:uid="{00000000-0005-0000-0000-00007C6E0000}"/>
    <cellStyle name="常规 9 2 2 2 5 2 3 5" xfId="13528" xr:uid="{00000000-0005-0000-0000-00007D6E0000}"/>
    <cellStyle name="常规 9 2 2 2 5 2 3 5 2" xfId="38104" xr:uid="{00000000-0005-0000-0000-00007E6E0000}"/>
    <cellStyle name="常规 9 2 2 2 5 2 3 6" xfId="25816" xr:uid="{00000000-0005-0000-0000-00007F6E0000}"/>
    <cellStyle name="常规 9 2 2 2 5 2 4" xfId="2004" xr:uid="{00000000-0005-0000-0000-0000806E0000}"/>
    <cellStyle name="常规 9 2 2 2 5 2 4 2" xfId="5080" xr:uid="{00000000-0005-0000-0000-0000816E0000}"/>
    <cellStyle name="常规 9 2 2 2 5 2 4 2 2" xfId="11224" xr:uid="{00000000-0005-0000-0000-0000826E0000}"/>
    <cellStyle name="常规 9 2 2 2 5 2 4 2 2 2" xfId="23512" xr:uid="{00000000-0005-0000-0000-0000836E0000}"/>
    <cellStyle name="常规 9 2 2 2 5 2 4 2 2 2 2" xfId="48088" xr:uid="{00000000-0005-0000-0000-0000846E0000}"/>
    <cellStyle name="常规 9 2 2 2 5 2 4 2 2 3" xfId="35800" xr:uid="{00000000-0005-0000-0000-0000856E0000}"/>
    <cellStyle name="常规 9 2 2 2 5 2 4 2 3" xfId="17368" xr:uid="{00000000-0005-0000-0000-0000866E0000}"/>
    <cellStyle name="常规 9 2 2 2 5 2 4 2 3 2" xfId="41944" xr:uid="{00000000-0005-0000-0000-0000876E0000}"/>
    <cellStyle name="常规 9 2 2 2 5 2 4 2 4" xfId="29656" xr:uid="{00000000-0005-0000-0000-0000886E0000}"/>
    <cellStyle name="常规 9 2 2 2 5 2 4 3" xfId="8152" xr:uid="{00000000-0005-0000-0000-0000896E0000}"/>
    <cellStyle name="常规 9 2 2 2 5 2 4 3 2" xfId="20440" xr:uid="{00000000-0005-0000-0000-00008A6E0000}"/>
    <cellStyle name="常规 9 2 2 2 5 2 4 3 2 2" xfId="45016" xr:uid="{00000000-0005-0000-0000-00008B6E0000}"/>
    <cellStyle name="常规 9 2 2 2 5 2 4 3 3" xfId="32728" xr:uid="{00000000-0005-0000-0000-00008C6E0000}"/>
    <cellStyle name="常规 9 2 2 2 5 2 4 4" xfId="14296" xr:uid="{00000000-0005-0000-0000-00008D6E0000}"/>
    <cellStyle name="常规 9 2 2 2 5 2 4 4 2" xfId="38872" xr:uid="{00000000-0005-0000-0000-00008E6E0000}"/>
    <cellStyle name="常规 9 2 2 2 5 2 4 5" xfId="26584" xr:uid="{00000000-0005-0000-0000-00008F6E0000}"/>
    <cellStyle name="常规 9 2 2 2 5 2 5" xfId="3544" xr:uid="{00000000-0005-0000-0000-0000906E0000}"/>
    <cellStyle name="常规 9 2 2 2 5 2 5 2" xfId="9688" xr:uid="{00000000-0005-0000-0000-0000916E0000}"/>
    <cellStyle name="常规 9 2 2 2 5 2 5 2 2" xfId="21976" xr:uid="{00000000-0005-0000-0000-0000926E0000}"/>
    <cellStyle name="常规 9 2 2 2 5 2 5 2 2 2" xfId="46552" xr:uid="{00000000-0005-0000-0000-0000936E0000}"/>
    <cellStyle name="常规 9 2 2 2 5 2 5 2 3" xfId="34264" xr:uid="{00000000-0005-0000-0000-0000946E0000}"/>
    <cellStyle name="常规 9 2 2 2 5 2 5 3" xfId="15832" xr:uid="{00000000-0005-0000-0000-0000956E0000}"/>
    <cellStyle name="常规 9 2 2 2 5 2 5 3 2" xfId="40408" xr:uid="{00000000-0005-0000-0000-0000966E0000}"/>
    <cellStyle name="常规 9 2 2 2 5 2 5 4" xfId="28120" xr:uid="{00000000-0005-0000-0000-0000976E0000}"/>
    <cellStyle name="常规 9 2 2 2 5 2 6" xfId="6616" xr:uid="{00000000-0005-0000-0000-0000986E0000}"/>
    <cellStyle name="常规 9 2 2 2 5 2 6 2" xfId="18904" xr:uid="{00000000-0005-0000-0000-0000996E0000}"/>
    <cellStyle name="常规 9 2 2 2 5 2 6 2 2" xfId="43480" xr:uid="{00000000-0005-0000-0000-00009A6E0000}"/>
    <cellStyle name="常规 9 2 2 2 5 2 6 3" xfId="31192" xr:uid="{00000000-0005-0000-0000-00009B6E0000}"/>
    <cellStyle name="常规 9 2 2 2 5 2 7" xfId="12760" xr:uid="{00000000-0005-0000-0000-00009C6E0000}"/>
    <cellStyle name="常规 9 2 2 2 5 2 7 2" xfId="37336" xr:uid="{00000000-0005-0000-0000-00009D6E0000}"/>
    <cellStyle name="常规 9 2 2 2 5 2 8" xfId="25048" xr:uid="{00000000-0005-0000-0000-00009E6E0000}"/>
    <cellStyle name="常规 9 2 2 2 5 3" xfId="660" xr:uid="{00000000-0005-0000-0000-00009F6E0000}"/>
    <cellStyle name="常规 9 2 2 2 5 3 2" xfId="1428" xr:uid="{00000000-0005-0000-0000-0000A06E0000}"/>
    <cellStyle name="常规 9 2 2 2 5 3 2 2" xfId="2964" xr:uid="{00000000-0005-0000-0000-0000A16E0000}"/>
    <cellStyle name="常规 9 2 2 2 5 3 2 2 2" xfId="6040" xr:uid="{00000000-0005-0000-0000-0000A26E0000}"/>
    <cellStyle name="常规 9 2 2 2 5 3 2 2 2 2" xfId="12184" xr:uid="{00000000-0005-0000-0000-0000A36E0000}"/>
    <cellStyle name="常规 9 2 2 2 5 3 2 2 2 2 2" xfId="24472" xr:uid="{00000000-0005-0000-0000-0000A46E0000}"/>
    <cellStyle name="常规 9 2 2 2 5 3 2 2 2 2 2 2" xfId="49048" xr:uid="{00000000-0005-0000-0000-0000A56E0000}"/>
    <cellStyle name="常规 9 2 2 2 5 3 2 2 2 2 3" xfId="36760" xr:uid="{00000000-0005-0000-0000-0000A66E0000}"/>
    <cellStyle name="常规 9 2 2 2 5 3 2 2 2 3" xfId="18328" xr:uid="{00000000-0005-0000-0000-0000A76E0000}"/>
    <cellStyle name="常规 9 2 2 2 5 3 2 2 2 3 2" xfId="42904" xr:uid="{00000000-0005-0000-0000-0000A86E0000}"/>
    <cellStyle name="常规 9 2 2 2 5 3 2 2 2 4" xfId="30616" xr:uid="{00000000-0005-0000-0000-0000A96E0000}"/>
    <cellStyle name="常规 9 2 2 2 5 3 2 2 3" xfId="9112" xr:uid="{00000000-0005-0000-0000-0000AA6E0000}"/>
    <cellStyle name="常规 9 2 2 2 5 3 2 2 3 2" xfId="21400" xr:uid="{00000000-0005-0000-0000-0000AB6E0000}"/>
    <cellStyle name="常规 9 2 2 2 5 3 2 2 3 2 2" xfId="45976" xr:uid="{00000000-0005-0000-0000-0000AC6E0000}"/>
    <cellStyle name="常规 9 2 2 2 5 3 2 2 3 3" xfId="33688" xr:uid="{00000000-0005-0000-0000-0000AD6E0000}"/>
    <cellStyle name="常规 9 2 2 2 5 3 2 2 4" xfId="15256" xr:uid="{00000000-0005-0000-0000-0000AE6E0000}"/>
    <cellStyle name="常规 9 2 2 2 5 3 2 2 4 2" xfId="39832" xr:uid="{00000000-0005-0000-0000-0000AF6E0000}"/>
    <cellStyle name="常规 9 2 2 2 5 3 2 2 5" xfId="27544" xr:uid="{00000000-0005-0000-0000-0000B06E0000}"/>
    <cellStyle name="常规 9 2 2 2 5 3 2 3" xfId="4504" xr:uid="{00000000-0005-0000-0000-0000B16E0000}"/>
    <cellStyle name="常规 9 2 2 2 5 3 2 3 2" xfId="10648" xr:uid="{00000000-0005-0000-0000-0000B26E0000}"/>
    <cellStyle name="常规 9 2 2 2 5 3 2 3 2 2" xfId="22936" xr:uid="{00000000-0005-0000-0000-0000B36E0000}"/>
    <cellStyle name="常规 9 2 2 2 5 3 2 3 2 2 2" xfId="47512" xr:uid="{00000000-0005-0000-0000-0000B46E0000}"/>
    <cellStyle name="常规 9 2 2 2 5 3 2 3 2 3" xfId="35224" xr:uid="{00000000-0005-0000-0000-0000B56E0000}"/>
    <cellStyle name="常规 9 2 2 2 5 3 2 3 3" xfId="16792" xr:uid="{00000000-0005-0000-0000-0000B66E0000}"/>
    <cellStyle name="常规 9 2 2 2 5 3 2 3 3 2" xfId="41368" xr:uid="{00000000-0005-0000-0000-0000B76E0000}"/>
    <cellStyle name="常规 9 2 2 2 5 3 2 3 4" xfId="29080" xr:uid="{00000000-0005-0000-0000-0000B86E0000}"/>
    <cellStyle name="常规 9 2 2 2 5 3 2 4" xfId="7576" xr:uid="{00000000-0005-0000-0000-0000B96E0000}"/>
    <cellStyle name="常规 9 2 2 2 5 3 2 4 2" xfId="19864" xr:uid="{00000000-0005-0000-0000-0000BA6E0000}"/>
    <cellStyle name="常规 9 2 2 2 5 3 2 4 2 2" xfId="44440" xr:uid="{00000000-0005-0000-0000-0000BB6E0000}"/>
    <cellStyle name="常规 9 2 2 2 5 3 2 4 3" xfId="32152" xr:uid="{00000000-0005-0000-0000-0000BC6E0000}"/>
    <cellStyle name="常规 9 2 2 2 5 3 2 5" xfId="13720" xr:uid="{00000000-0005-0000-0000-0000BD6E0000}"/>
    <cellStyle name="常规 9 2 2 2 5 3 2 5 2" xfId="38296" xr:uid="{00000000-0005-0000-0000-0000BE6E0000}"/>
    <cellStyle name="常规 9 2 2 2 5 3 2 6" xfId="26008" xr:uid="{00000000-0005-0000-0000-0000BF6E0000}"/>
    <cellStyle name="常规 9 2 2 2 5 3 3" xfId="2196" xr:uid="{00000000-0005-0000-0000-0000C06E0000}"/>
    <cellStyle name="常规 9 2 2 2 5 3 3 2" xfId="5272" xr:uid="{00000000-0005-0000-0000-0000C16E0000}"/>
    <cellStyle name="常规 9 2 2 2 5 3 3 2 2" xfId="11416" xr:uid="{00000000-0005-0000-0000-0000C26E0000}"/>
    <cellStyle name="常规 9 2 2 2 5 3 3 2 2 2" xfId="23704" xr:uid="{00000000-0005-0000-0000-0000C36E0000}"/>
    <cellStyle name="常规 9 2 2 2 5 3 3 2 2 2 2" xfId="48280" xr:uid="{00000000-0005-0000-0000-0000C46E0000}"/>
    <cellStyle name="常规 9 2 2 2 5 3 3 2 2 3" xfId="35992" xr:uid="{00000000-0005-0000-0000-0000C56E0000}"/>
    <cellStyle name="常规 9 2 2 2 5 3 3 2 3" xfId="17560" xr:uid="{00000000-0005-0000-0000-0000C66E0000}"/>
    <cellStyle name="常规 9 2 2 2 5 3 3 2 3 2" xfId="42136" xr:uid="{00000000-0005-0000-0000-0000C76E0000}"/>
    <cellStyle name="常规 9 2 2 2 5 3 3 2 4" xfId="29848" xr:uid="{00000000-0005-0000-0000-0000C86E0000}"/>
    <cellStyle name="常规 9 2 2 2 5 3 3 3" xfId="8344" xr:uid="{00000000-0005-0000-0000-0000C96E0000}"/>
    <cellStyle name="常规 9 2 2 2 5 3 3 3 2" xfId="20632" xr:uid="{00000000-0005-0000-0000-0000CA6E0000}"/>
    <cellStyle name="常规 9 2 2 2 5 3 3 3 2 2" xfId="45208" xr:uid="{00000000-0005-0000-0000-0000CB6E0000}"/>
    <cellStyle name="常规 9 2 2 2 5 3 3 3 3" xfId="32920" xr:uid="{00000000-0005-0000-0000-0000CC6E0000}"/>
    <cellStyle name="常规 9 2 2 2 5 3 3 4" xfId="14488" xr:uid="{00000000-0005-0000-0000-0000CD6E0000}"/>
    <cellStyle name="常规 9 2 2 2 5 3 3 4 2" xfId="39064" xr:uid="{00000000-0005-0000-0000-0000CE6E0000}"/>
    <cellStyle name="常规 9 2 2 2 5 3 3 5" xfId="26776" xr:uid="{00000000-0005-0000-0000-0000CF6E0000}"/>
    <cellStyle name="常规 9 2 2 2 5 3 4" xfId="3736" xr:uid="{00000000-0005-0000-0000-0000D06E0000}"/>
    <cellStyle name="常规 9 2 2 2 5 3 4 2" xfId="9880" xr:uid="{00000000-0005-0000-0000-0000D16E0000}"/>
    <cellStyle name="常规 9 2 2 2 5 3 4 2 2" xfId="22168" xr:uid="{00000000-0005-0000-0000-0000D26E0000}"/>
    <cellStyle name="常规 9 2 2 2 5 3 4 2 2 2" xfId="46744" xr:uid="{00000000-0005-0000-0000-0000D36E0000}"/>
    <cellStyle name="常规 9 2 2 2 5 3 4 2 3" xfId="34456" xr:uid="{00000000-0005-0000-0000-0000D46E0000}"/>
    <cellStyle name="常规 9 2 2 2 5 3 4 3" xfId="16024" xr:uid="{00000000-0005-0000-0000-0000D56E0000}"/>
    <cellStyle name="常规 9 2 2 2 5 3 4 3 2" xfId="40600" xr:uid="{00000000-0005-0000-0000-0000D66E0000}"/>
    <cellStyle name="常规 9 2 2 2 5 3 4 4" xfId="28312" xr:uid="{00000000-0005-0000-0000-0000D76E0000}"/>
    <cellStyle name="常规 9 2 2 2 5 3 5" xfId="6808" xr:uid="{00000000-0005-0000-0000-0000D86E0000}"/>
    <cellStyle name="常规 9 2 2 2 5 3 5 2" xfId="19096" xr:uid="{00000000-0005-0000-0000-0000D96E0000}"/>
    <cellStyle name="常规 9 2 2 2 5 3 5 2 2" xfId="43672" xr:uid="{00000000-0005-0000-0000-0000DA6E0000}"/>
    <cellStyle name="常规 9 2 2 2 5 3 5 3" xfId="31384" xr:uid="{00000000-0005-0000-0000-0000DB6E0000}"/>
    <cellStyle name="常规 9 2 2 2 5 3 6" xfId="12952" xr:uid="{00000000-0005-0000-0000-0000DC6E0000}"/>
    <cellStyle name="常规 9 2 2 2 5 3 6 2" xfId="37528" xr:uid="{00000000-0005-0000-0000-0000DD6E0000}"/>
    <cellStyle name="常规 9 2 2 2 5 3 7" xfId="25240" xr:uid="{00000000-0005-0000-0000-0000DE6E0000}"/>
    <cellStyle name="常规 9 2 2 2 5 4" xfId="1044" xr:uid="{00000000-0005-0000-0000-0000DF6E0000}"/>
    <cellStyle name="常规 9 2 2 2 5 4 2" xfId="2580" xr:uid="{00000000-0005-0000-0000-0000E06E0000}"/>
    <cellStyle name="常规 9 2 2 2 5 4 2 2" xfId="5656" xr:uid="{00000000-0005-0000-0000-0000E16E0000}"/>
    <cellStyle name="常规 9 2 2 2 5 4 2 2 2" xfId="11800" xr:uid="{00000000-0005-0000-0000-0000E26E0000}"/>
    <cellStyle name="常规 9 2 2 2 5 4 2 2 2 2" xfId="24088" xr:uid="{00000000-0005-0000-0000-0000E36E0000}"/>
    <cellStyle name="常规 9 2 2 2 5 4 2 2 2 2 2" xfId="48664" xr:uid="{00000000-0005-0000-0000-0000E46E0000}"/>
    <cellStyle name="常规 9 2 2 2 5 4 2 2 2 3" xfId="36376" xr:uid="{00000000-0005-0000-0000-0000E56E0000}"/>
    <cellStyle name="常规 9 2 2 2 5 4 2 2 3" xfId="17944" xr:uid="{00000000-0005-0000-0000-0000E66E0000}"/>
    <cellStyle name="常规 9 2 2 2 5 4 2 2 3 2" xfId="42520" xr:uid="{00000000-0005-0000-0000-0000E76E0000}"/>
    <cellStyle name="常规 9 2 2 2 5 4 2 2 4" xfId="30232" xr:uid="{00000000-0005-0000-0000-0000E86E0000}"/>
    <cellStyle name="常规 9 2 2 2 5 4 2 3" xfId="8728" xr:uid="{00000000-0005-0000-0000-0000E96E0000}"/>
    <cellStyle name="常规 9 2 2 2 5 4 2 3 2" xfId="21016" xr:uid="{00000000-0005-0000-0000-0000EA6E0000}"/>
    <cellStyle name="常规 9 2 2 2 5 4 2 3 2 2" xfId="45592" xr:uid="{00000000-0005-0000-0000-0000EB6E0000}"/>
    <cellStyle name="常规 9 2 2 2 5 4 2 3 3" xfId="33304" xr:uid="{00000000-0005-0000-0000-0000EC6E0000}"/>
    <cellStyle name="常规 9 2 2 2 5 4 2 4" xfId="14872" xr:uid="{00000000-0005-0000-0000-0000ED6E0000}"/>
    <cellStyle name="常规 9 2 2 2 5 4 2 4 2" xfId="39448" xr:uid="{00000000-0005-0000-0000-0000EE6E0000}"/>
    <cellStyle name="常规 9 2 2 2 5 4 2 5" xfId="27160" xr:uid="{00000000-0005-0000-0000-0000EF6E0000}"/>
    <cellStyle name="常规 9 2 2 2 5 4 3" xfId="4120" xr:uid="{00000000-0005-0000-0000-0000F06E0000}"/>
    <cellStyle name="常规 9 2 2 2 5 4 3 2" xfId="10264" xr:uid="{00000000-0005-0000-0000-0000F16E0000}"/>
    <cellStyle name="常规 9 2 2 2 5 4 3 2 2" xfId="22552" xr:uid="{00000000-0005-0000-0000-0000F26E0000}"/>
    <cellStyle name="常规 9 2 2 2 5 4 3 2 2 2" xfId="47128" xr:uid="{00000000-0005-0000-0000-0000F36E0000}"/>
    <cellStyle name="常规 9 2 2 2 5 4 3 2 3" xfId="34840" xr:uid="{00000000-0005-0000-0000-0000F46E0000}"/>
    <cellStyle name="常规 9 2 2 2 5 4 3 3" xfId="16408" xr:uid="{00000000-0005-0000-0000-0000F56E0000}"/>
    <cellStyle name="常规 9 2 2 2 5 4 3 3 2" xfId="40984" xr:uid="{00000000-0005-0000-0000-0000F66E0000}"/>
    <cellStyle name="常规 9 2 2 2 5 4 3 4" xfId="28696" xr:uid="{00000000-0005-0000-0000-0000F76E0000}"/>
    <cellStyle name="常规 9 2 2 2 5 4 4" xfId="7192" xr:uid="{00000000-0005-0000-0000-0000F86E0000}"/>
    <cellStyle name="常规 9 2 2 2 5 4 4 2" xfId="19480" xr:uid="{00000000-0005-0000-0000-0000F96E0000}"/>
    <cellStyle name="常规 9 2 2 2 5 4 4 2 2" xfId="44056" xr:uid="{00000000-0005-0000-0000-0000FA6E0000}"/>
    <cellStyle name="常规 9 2 2 2 5 4 4 3" xfId="31768" xr:uid="{00000000-0005-0000-0000-0000FB6E0000}"/>
    <cellStyle name="常规 9 2 2 2 5 4 5" xfId="13336" xr:uid="{00000000-0005-0000-0000-0000FC6E0000}"/>
    <cellStyle name="常规 9 2 2 2 5 4 5 2" xfId="37912" xr:uid="{00000000-0005-0000-0000-0000FD6E0000}"/>
    <cellStyle name="常规 9 2 2 2 5 4 6" xfId="25624" xr:uid="{00000000-0005-0000-0000-0000FE6E0000}"/>
    <cellStyle name="常规 9 2 2 2 5 5" xfId="1812" xr:uid="{00000000-0005-0000-0000-0000FF6E0000}"/>
    <cellStyle name="常规 9 2 2 2 5 5 2" xfId="4888" xr:uid="{00000000-0005-0000-0000-0000006F0000}"/>
    <cellStyle name="常规 9 2 2 2 5 5 2 2" xfId="11032" xr:uid="{00000000-0005-0000-0000-0000016F0000}"/>
    <cellStyle name="常规 9 2 2 2 5 5 2 2 2" xfId="23320" xr:uid="{00000000-0005-0000-0000-0000026F0000}"/>
    <cellStyle name="常规 9 2 2 2 5 5 2 2 2 2" xfId="47896" xr:uid="{00000000-0005-0000-0000-0000036F0000}"/>
    <cellStyle name="常规 9 2 2 2 5 5 2 2 3" xfId="35608" xr:uid="{00000000-0005-0000-0000-0000046F0000}"/>
    <cellStyle name="常规 9 2 2 2 5 5 2 3" xfId="17176" xr:uid="{00000000-0005-0000-0000-0000056F0000}"/>
    <cellStyle name="常规 9 2 2 2 5 5 2 3 2" xfId="41752" xr:uid="{00000000-0005-0000-0000-0000066F0000}"/>
    <cellStyle name="常规 9 2 2 2 5 5 2 4" xfId="29464" xr:uid="{00000000-0005-0000-0000-0000076F0000}"/>
    <cellStyle name="常规 9 2 2 2 5 5 3" xfId="7960" xr:uid="{00000000-0005-0000-0000-0000086F0000}"/>
    <cellStyle name="常规 9 2 2 2 5 5 3 2" xfId="20248" xr:uid="{00000000-0005-0000-0000-0000096F0000}"/>
    <cellStyle name="常规 9 2 2 2 5 5 3 2 2" xfId="44824" xr:uid="{00000000-0005-0000-0000-00000A6F0000}"/>
    <cellStyle name="常规 9 2 2 2 5 5 3 3" xfId="32536" xr:uid="{00000000-0005-0000-0000-00000B6F0000}"/>
    <cellStyle name="常规 9 2 2 2 5 5 4" xfId="14104" xr:uid="{00000000-0005-0000-0000-00000C6F0000}"/>
    <cellStyle name="常规 9 2 2 2 5 5 4 2" xfId="38680" xr:uid="{00000000-0005-0000-0000-00000D6F0000}"/>
    <cellStyle name="常规 9 2 2 2 5 5 5" xfId="26392" xr:uid="{00000000-0005-0000-0000-00000E6F0000}"/>
    <cellStyle name="常规 9 2 2 2 5 6" xfId="3352" xr:uid="{00000000-0005-0000-0000-00000F6F0000}"/>
    <cellStyle name="常规 9 2 2 2 5 6 2" xfId="9496" xr:uid="{00000000-0005-0000-0000-0000106F0000}"/>
    <cellStyle name="常规 9 2 2 2 5 6 2 2" xfId="21784" xr:uid="{00000000-0005-0000-0000-0000116F0000}"/>
    <cellStyle name="常规 9 2 2 2 5 6 2 2 2" xfId="46360" xr:uid="{00000000-0005-0000-0000-0000126F0000}"/>
    <cellStyle name="常规 9 2 2 2 5 6 2 3" xfId="34072" xr:uid="{00000000-0005-0000-0000-0000136F0000}"/>
    <cellStyle name="常规 9 2 2 2 5 6 3" xfId="15640" xr:uid="{00000000-0005-0000-0000-0000146F0000}"/>
    <cellStyle name="常规 9 2 2 2 5 6 3 2" xfId="40216" xr:uid="{00000000-0005-0000-0000-0000156F0000}"/>
    <cellStyle name="常规 9 2 2 2 5 6 4" xfId="27928" xr:uid="{00000000-0005-0000-0000-0000166F0000}"/>
    <cellStyle name="常规 9 2 2 2 5 7" xfId="6424" xr:uid="{00000000-0005-0000-0000-0000176F0000}"/>
    <cellStyle name="常规 9 2 2 2 5 7 2" xfId="18712" xr:uid="{00000000-0005-0000-0000-0000186F0000}"/>
    <cellStyle name="常规 9 2 2 2 5 7 2 2" xfId="43288" xr:uid="{00000000-0005-0000-0000-0000196F0000}"/>
    <cellStyle name="常规 9 2 2 2 5 7 3" xfId="31000" xr:uid="{00000000-0005-0000-0000-00001A6F0000}"/>
    <cellStyle name="常规 9 2 2 2 5 8" xfId="12568" xr:uid="{00000000-0005-0000-0000-00001B6F0000}"/>
    <cellStyle name="常规 9 2 2 2 5 8 2" xfId="37144" xr:uid="{00000000-0005-0000-0000-00001C6F0000}"/>
    <cellStyle name="常规 9 2 2 2 5 9" xfId="24856" xr:uid="{00000000-0005-0000-0000-00001D6F0000}"/>
    <cellStyle name="常规 9 2 2 2 6" xfId="340" xr:uid="{00000000-0005-0000-0000-00001E6F0000}"/>
    <cellStyle name="常规 9 2 2 2 6 2" xfId="724" xr:uid="{00000000-0005-0000-0000-00001F6F0000}"/>
    <cellStyle name="常规 9 2 2 2 6 2 2" xfId="1492" xr:uid="{00000000-0005-0000-0000-0000206F0000}"/>
    <cellStyle name="常规 9 2 2 2 6 2 2 2" xfId="3028" xr:uid="{00000000-0005-0000-0000-0000216F0000}"/>
    <cellStyle name="常规 9 2 2 2 6 2 2 2 2" xfId="6104" xr:uid="{00000000-0005-0000-0000-0000226F0000}"/>
    <cellStyle name="常规 9 2 2 2 6 2 2 2 2 2" xfId="12248" xr:uid="{00000000-0005-0000-0000-0000236F0000}"/>
    <cellStyle name="常规 9 2 2 2 6 2 2 2 2 2 2" xfId="24536" xr:uid="{00000000-0005-0000-0000-0000246F0000}"/>
    <cellStyle name="常规 9 2 2 2 6 2 2 2 2 2 2 2" xfId="49112" xr:uid="{00000000-0005-0000-0000-0000256F0000}"/>
    <cellStyle name="常规 9 2 2 2 6 2 2 2 2 2 3" xfId="36824" xr:uid="{00000000-0005-0000-0000-0000266F0000}"/>
    <cellStyle name="常规 9 2 2 2 6 2 2 2 2 3" xfId="18392" xr:uid="{00000000-0005-0000-0000-0000276F0000}"/>
    <cellStyle name="常规 9 2 2 2 6 2 2 2 2 3 2" xfId="42968" xr:uid="{00000000-0005-0000-0000-0000286F0000}"/>
    <cellStyle name="常规 9 2 2 2 6 2 2 2 2 4" xfId="30680" xr:uid="{00000000-0005-0000-0000-0000296F0000}"/>
    <cellStyle name="常规 9 2 2 2 6 2 2 2 3" xfId="9176" xr:uid="{00000000-0005-0000-0000-00002A6F0000}"/>
    <cellStyle name="常规 9 2 2 2 6 2 2 2 3 2" xfId="21464" xr:uid="{00000000-0005-0000-0000-00002B6F0000}"/>
    <cellStyle name="常规 9 2 2 2 6 2 2 2 3 2 2" xfId="46040" xr:uid="{00000000-0005-0000-0000-00002C6F0000}"/>
    <cellStyle name="常规 9 2 2 2 6 2 2 2 3 3" xfId="33752" xr:uid="{00000000-0005-0000-0000-00002D6F0000}"/>
    <cellStyle name="常规 9 2 2 2 6 2 2 2 4" xfId="15320" xr:uid="{00000000-0005-0000-0000-00002E6F0000}"/>
    <cellStyle name="常规 9 2 2 2 6 2 2 2 4 2" xfId="39896" xr:uid="{00000000-0005-0000-0000-00002F6F0000}"/>
    <cellStyle name="常规 9 2 2 2 6 2 2 2 5" xfId="27608" xr:uid="{00000000-0005-0000-0000-0000306F0000}"/>
    <cellStyle name="常规 9 2 2 2 6 2 2 3" xfId="4568" xr:uid="{00000000-0005-0000-0000-0000316F0000}"/>
    <cellStyle name="常规 9 2 2 2 6 2 2 3 2" xfId="10712" xr:uid="{00000000-0005-0000-0000-0000326F0000}"/>
    <cellStyle name="常规 9 2 2 2 6 2 2 3 2 2" xfId="23000" xr:uid="{00000000-0005-0000-0000-0000336F0000}"/>
    <cellStyle name="常规 9 2 2 2 6 2 2 3 2 2 2" xfId="47576" xr:uid="{00000000-0005-0000-0000-0000346F0000}"/>
    <cellStyle name="常规 9 2 2 2 6 2 2 3 2 3" xfId="35288" xr:uid="{00000000-0005-0000-0000-0000356F0000}"/>
    <cellStyle name="常规 9 2 2 2 6 2 2 3 3" xfId="16856" xr:uid="{00000000-0005-0000-0000-0000366F0000}"/>
    <cellStyle name="常规 9 2 2 2 6 2 2 3 3 2" xfId="41432" xr:uid="{00000000-0005-0000-0000-0000376F0000}"/>
    <cellStyle name="常规 9 2 2 2 6 2 2 3 4" xfId="29144" xr:uid="{00000000-0005-0000-0000-0000386F0000}"/>
    <cellStyle name="常规 9 2 2 2 6 2 2 4" xfId="7640" xr:uid="{00000000-0005-0000-0000-0000396F0000}"/>
    <cellStyle name="常规 9 2 2 2 6 2 2 4 2" xfId="19928" xr:uid="{00000000-0005-0000-0000-00003A6F0000}"/>
    <cellStyle name="常规 9 2 2 2 6 2 2 4 2 2" xfId="44504" xr:uid="{00000000-0005-0000-0000-00003B6F0000}"/>
    <cellStyle name="常规 9 2 2 2 6 2 2 4 3" xfId="32216" xr:uid="{00000000-0005-0000-0000-00003C6F0000}"/>
    <cellStyle name="常规 9 2 2 2 6 2 2 5" xfId="13784" xr:uid="{00000000-0005-0000-0000-00003D6F0000}"/>
    <cellStyle name="常规 9 2 2 2 6 2 2 5 2" xfId="38360" xr:uid="{00000000-0005-0000-0000-00003E6F0000}"/>
    <cellStyle name="常规 9 2 2 2 6 2 2 6" xfId="26072" xr:uid="{00000000-0005-0000-0000-00003F6F0000}"/>
    <cellStyle name="常规 9 2 2 2 6 2 3" xfId="2260" xr:uid="{00000000-0005-0000-0000-0000406F0000}"/>
    <cellStyle name="常规 9 2 2 2 6 2 3 2" xfId="5336" xr:uid="{00000000-0005-0000-0000-0000416F0000}"/>
    <cellStyle name="常规 9 2 2 2 6 2 3 2 2" xfId="11480" xr:uid="{00000000-0005-0000-0000-0000426F0000}"/>
    <cellStyle name="常规 9 2 2 2 6 2 3 2 2 2" xfId="23768" xr:uid="{00000000-0005-0000-0000-0000436F0000}"/>
    <cellStyle name="常规 9 2 2 2 6 2 3 2 2 2 2" xfId="48344" xr:uid="{00000000-0005-0000-0000-0000446F0000}"/>
    <cellStyle name="常规 9 2 2 2 6 2 3 2 2 3" xfId="36056" xr:uid="{00000000-0005-0000-0000-0000456F0000}"/>
    <cellStyle name="常规 9 2 2 2 6 2 3 2 3" xfId="17624" xr:uid="{00000000-0005-0000-0000-0000466F0000}"/>
    <cellStyle name="常规 9 2 2 2 6 2 3 2 3 2" xfId="42200" xr:uid="{00000000-0005-0000-0000-0000476F0000}"/>
    <cellStyle name="常规 9 2 2 2 6 2 3 2 4" xfId="29912" xr:uid="{00000000-0005-0000-0000-0000486F0000}"/>
    <cellStyle name="常规 9 2 2 2 6 2 3 3" xfId="8408" xr:uid="{00000000-0005-0000-0000-0000496F0000}"/>
    <cellStyle name="常规 9 2 2 2 6 2 3 3 2" xfId="20696" xr:uid="{00000000-0005-0000-0000-00004A6F0000}"/>
    <cellStyle name="常规 9 2 2 2 6 2 3 3 2 2" xfId="45272" xr:uid="{00000000-0005-0000-0000-00004B6F0000}"/>
    <cellStyle name="常规 9 2 2 2 6 2 3 3 3" xfId="32984" xr:uid="{00000000-0005-0000-0000-00004C6F0000}"/>
    <cellStyle name="常规 9 2 2 2 6 2 3 4" xfId="14552" xr:uid="{00000000-0005-0000-0000-00004D6F0000}"/>
    <cellStyle name="常规 9 2 2 2 6 2 3 4 2" xfId="39128" xr:uid="{00000000-0005-0000-0000-00004E6F0000}"/>
    <cellStyle name="常规 9 2 2 2 6 2 3 5" xfId="26840" xr:uid="{00000000-0005-0000-0000-00004F6F0000}"/>
    <cellStyle name="常规 9 2 2 2 6 2 4" xfId="3800" xr:uid="{00000000-0005-0000-0000-0000506F0000}"/>
    <cellStyle name="常规 9 2 2 2 6 2 4 2" xfId="9944" xr:uid="{00000000-0005-0000-0000-0000516F0000}"/>
    <cellStyle name="常规 9 2 2 2 6 2 4 2 2" xfId="22232" xr:uid="{00000000-0005-0000-0000-0000526F0000}"/>
    <cellStyle name="常规 9 2 2 2 6 2 4 2 2 2" xfId="46808" xr:uid="{00000000-0005-0000-0000-0000536F0000}"/>
    <cellStyle name="常规 9 2 2 2 6 2 4 2 3" xfId="34520" xr:uid="{00000000-0005-0000-0000-0000546F0000}"/>
    <cellStyle name="常规 9 2 2 2 6 2 4 3" xfId="16088" xr:uid="{00000000-0005-0000-0000-0000556F0000}"/>
    <cellStyle name="常规 9 2 2 2 6 2 4 3 2" xfId="40664" xr:uid="{00000000-0005-0000-0000-0000566F0000}"/>
    <cellStyle name="常规 9 2 2 2 6 2 4 4" xfId="28376" xr:uid="{00000000-0005-0000-0000-0000576F0000}"/>
    <cellStyle name="常规 9 2 2 2 6 2 5" xfId="6872" xr:uid="{00000000-0005-0000-0000-0000586F0000}"/>
    <cellStyle name="常规 9 2 2 2 6 2 5 2" xfId="19160" xr:uid="{00000000-0005-0000-0000-0000596F0000}"/>
    <cellStyle name="常规 9 2 2 2 6 2 5 2 2" xfId="43736" xr:uid="{00000000-0005-0000-0000-00005A6F0000}"/>
    <cellStyle name="常规 9 2 2 2 6 2 5 3" xfId="31448" xr:uid="{00000000-0005-0000-0000-00005B6F0000}"/>
    <cellStyle name="常规 9 2 2 2 6 2 6" xfId="13016" xr:uid="{00000000-0005-0000-0000-00005C6F0000}"/>
    <cellStyle name="常规 9 2 2 2 6 2 6 2" xfId="37592" xr:uid="{00000000-0005-0000-0000-00005D6F0000}"/>
    <cellStyle name="常规 9 2 2 2 6 2 7" xfId="25304" xr:uid="{00000000-0005-0000-0000-00005E6F0000}"/>
    <cellStyle name="常规 9 2 2 2 6 3" xfId="1108" xr:uid="{00000000-0005-0000-0000-00005F6F0000}"/>
    <cellStyle name="常规 9 2 2 2 6 3 2" xfId="2644" xr:uid="{00000000-0005-0000-0000-0000606F0000}"/>
    <cellStyle name="常规 9 2 2 2 6 3 2 2" xfId="5720" xr:uid="{00000000-0005-0000-0000-0000616F0000}"/>
    <cellStyle name="常规 9 2 2 2 6 3 2 2 2" xfId="11864" xr:uid="{00000000-0005-0000-0000-0000626F0000}"/>
    <cellStyle name="常规 9 2 2 2 6 3 2 2 2 2" xfId="24152" xr:uid="{00000000-0005-0000-0000-0000636F0000}"/>
    <cellStyle name="常规 9 2 2 2 6 3 2 2 2 2 2" xfId="48728" xr:uid="{00000000-0005-0000-0000-0000646F0000}"/>
    <cellStyle name="常规 9 2 2 2 6 3 2 2 2 3" xfId="36440" xr:uid="{00000000-0005-0000-0000-0000656F0000}"/>
    <cellStyle name="常规 9 2 2 2 6 3 2 2 3" xfId="18008" xr:uid="{00000000-0005-0000-0000-0000666F0000}"/>
    <cellStyle name="常规 9 2 2 2 6 3 2 2 3 2" xfId="42584" xr:uid="{00000000-0005-0000-0000-0000676F0000}"/>
    <cellStyle name="常规 9 2 2 2 6 3 2 2 4" xfId="30296" xr:uid="{00000000-0005-0000-0000-0000686F0000}"/>
    <cellStyle name="常规 9 2 2 2 6 3 2 3" xfId="8792" xr:uid="{00000000-0005-0000-0000-0000696F0000}"/>
    <cellStyle name="常规 9 2 2 2 6 3 2 3 2" xfId="21080" xr:uid="{00000000-0005-0000-0000-00006A6F0000}"/>
    <cellStyle name="常规 9 2 2 2 6 3 2 3 2 2" xfId="45656" xr:uid="{00000000-0005-0000-0000-00006B6F0000}"/>
    <cellStyle name="常规 9 2 2 2 6 3 2 3 3" xfId="33368" xr:uid="{00000000-0005-0000-0000-00006C6F0000}"/>
    <cellStyle name="常规 9 2 2 2 6 3 2 4" xfId="14936" xr:uid="{00000000-0005-0000-0000-00006D6F0000}"/>
    <cellStyle name="常规 9 2 2 2 6 3 2 4 2" xfId="39512" xr:uid="{00000000-0005-0000-0000-00006E6F0000}"/>
    <cellStyle name="常规 9 2 2 2 6 3 2 5" xfId="27224" xr:uid="{00000000-0005-0000-0000-00006F6F0000}"/>
    <cellStyle name="常规 9 2 2 2 6 3 3" xfId="4184" xr:uid="{00000000-0005-0000-0000-0000706F0000}"/>
    <cellStyle name="常规 9 2 2 2 6 3 3 2" xfId="10328" xr:uid="{00000000-0005-0000-0000-0000716F0000}"/>
    <cellStyle name="常规 9 2 2 2 6 3 3 2 2" xfId="22616" xr:uid="{00000000-0005-0000-0000-0000726F0000}"/>
    <cellStyle name="常规 9 2 2 2 6 3 3 2 2 2" xfId="47192" xr:uid="{00000000-0005-0000-0000-0000736F0000}"/>
    <cellStyle name="常规 9 2 2 2 6 3 3 2 3" xfId="34904" xr:uid="{00000000-0005-0000-0000-0000746F0000}"/>
    <cellStyle name="常规 9 2 2 2 6 3 3 3" xfId="16472" xr:uid="{00000000-0005-0000-0000-0000756F0000}"/>
    <cellStyle name="常规 9 2 2 2 6 3 3 3 2" xfId="41048" xr:uid="{00000000-0005-0000-0000-0000766F0000}"/>
    <cellStyle name="常规 9 2 2 2 6 3 3 4" xfId="28760" xr:uid="{00000000-0005-0000-0000-0000776F0000}"/>
    <cellStyle name="常规 9 2 2 2 6 3 4" xfId="7256" xr:uid="{00000000-0005-0000-0000-0000786F0000}"/>
    <cellStyle name="常规 9 2 2 2 6 3 4 2" xfId="19544" xr:uid="{00000000-0005-0000-0000-0000796F0000}"/>
    <cellStyle name="常规 9 2 2 2 6 3 4 2 2" xfId="44120" xr:uid="{00000000-0005-0000-0000-00007A6F0000}"/>
    <cellStyle name="常规 9 2 2 2 6 3 4 3" xfId="31832" xr:uid="{00000000-0005-0000-0000-00007B6F0000}"/>
    <cellStyle name="常规 9 2 2 2 6 3 5" xfId="13400" xr:uid="{00000000-0005-0000-0000-00007C6F0000}"/>
    <cellStyle name="常规 9 2 2 2 6 3 5 2" xfId="37976" xr:uid="{00000000-0005-0000-0000-00007D6F0000}"/>
    <cellStyle name="常规 9 2 2 2 6 3 6" xfId="25688" xr:uid="{00000000-0005-0000-0000-00007E6F0000}"/>
    <cellStyle name="常规 9 2 2 2 6 4" xfId="1876" xr:uid="{00000000-0005-0000-0000-00007F6F0000}"/>
    <cellStyle name="常规 9 2 2 2 6 4 2" xfId="4952" xr:uid="{00000000-0005-0000-0000-0000806F0000}"/>
    <cellStyle name="常规 9 2 2 2 6 4 2 2" xfId="11096" xr:uid="{00000000-0005-0000-0000-0000816F0000}"/>
    <cellStyle name="常规 9 2 2 2 6 4 2 2 2" xfId="23384" xr:uid="{00000000-0005-0000-0000-0000826F0000}"/>
    <cellStyle name="常规 9 2 2 2 6 4 2 2 2 2" xfId="47960" xr:uid="{00000000-0005-0000-0000-0000836F0000}"/>
    <cellStyle name="常规 9 2 2 2 6 4 2 2 3" xfId="35672" xr:uid="{00000000-0005-0000-0000-0000846F0000}"/>
    <cellStyle name="常规 9 2 2 2 6 4 2 3" xfId="17240" xr:uid="{00000000-0005-0000-0000-0000856F0000}"/>
    <cellStyle name="常规 9 2 2 2 6 4 2 3 2" xfId="41816" xr:uid="{00000000-0005-0000-0000-0000866F0000}"/>
    <cellStyle name="常规 9 2 2 2 6 4 2 4" xfId="29528" xr:uid="{00000000-0005-0000-0000-0000876F0000}"/>
    <cellStyle name="常规 9 2 2 2 6 4 3" xfId="8024" xr:uid="{00000000-0005-0000-0000-0000886F0000}"/>
    <cellStyle name="常规 9 2 2 2 6 4 3 2" xfId="20312" xr:uid="{00000000-0005-0000-0000-0000896F0000}"/>
    <cellStyle name="常规 9 2 2 2 6 4 3 2 2" xfId="44888" xr:uid="{00000000-0005-0000-0000-00008A6F0000}"/>
    <cellStyle name="常规 9 2 2 2 6 4 3 3" xfId="32600" xr:uid="{00000000-0005-0000-0000-00008B6F0000}"/>
    <cellStyle name="常规 9 2 2 2 6 4 4" xfId="14168" xr:uid="{00000000-0005-0000-0000-00008C6F0000}"/>
    <cellStyle name="常规 9 2 2 2 6 4 4 2" xfId="38744" xr:uid="{00000000-0005-0000-0000-00008D6F0000}"/>
    <cellStyle name="常规 9 2 2 2 6 4 5" xfId="26456" xr:uid="{00000000-0005-0000-0000-00008E6F0000}"/>
    <cellStyle name="常规 9 2 2 2 6 5" xfId="3416" xr:uid="{00000000-0005-0000-0000-00008F6F0000}"/>
    <cellStyle name="常规 9 2 2 2 6 5 2" xfId="9560" xr:uid="{00000000-0005-0000-0000-0000906F0000}"/>
    <cellStyle name="常规 9 2 2 2 6 5 2 2" xfId="21848" xr:uid="{00000000-0005-0000-0000-0000916F0000}"/>
    <cellStyle name="常规 9 2 2 2 6 5 2 2 2" xfId="46424" xr:uid="{00000000-0005-0000-0000-0000926F0000}"/>
    <cellStyle name="常规 9 2 2 2 6 5 2 3" xfId="34136" xr:uid="{00000000-0005-0000-0000-0000936F0000}"/>
    <cellStyle name="常规 9 2 2 2 6 5 3" xfId="15704" xr:uid="{00000000-0005-0000-0000-0000946F0000}"/>
    <cellStyle name="常规 9 2 2 2 6 5 3 2" xfId="40280" xr:uid="{00000000-0005-0000-0000-0000956F0000}"/>
    <cellStyle name="常规 9 2 2 2 6 5 4" xfId="27992" xr:uid="{00000000-0005-0000-0000-0000966F0000}"/>
    <cellStyle name="常规 9 2 2 2 6 6" xfId="6488" xr:uid="{00000000-0005-0000-0000-0000976F0000}"/>
    <cellStyle name="常规 9 2 2 2 6 6 2" xfId="18776" xr:uid="{00000000-0005-0000-0000-0000986F0000}"/>
    <cellStyle name="常规 9 2 2 2 6 6 2 2" xfId="43352" xr:uid="{00000000-0005-0000-0000-0000996F0000}"/>
    <cellStyle name="常规 9 2 2 2 6 6 3" xfId="31064" xr:uid="{00000000-0005-0000-0000-00009A6F0000}"/>
    <cellStyle name="常规 9 2 2 2 6 7" xfId="12632" xr:uid="{00000000-0005-0000-0000-00009B6F0000}"/>
    <cellStyle name="常规 9 2 2 2 6 7 2" xfId="37208" xr:uid="{00000000-0005-0000-0000-00009C6F0000}"/>
    <cellStyle name="常规 9 2 2 2 6 8" xfId="24920" xr:uid="{00000000-0005-0000-0000-00009D6F0000}"/>
    <cellStyle name="常规 9 2 2 2 7" xfId="532" xr:uid="{00000000-0005-0000-0000-00009E6F0000}"/>
    <cellStyle name="常规 9 2 2 2 7 2" xfId="1300" xr:uid="{00000000-0005-0000-0000-00009F6F0000}"/>
    <cellStyle name="常规 9 2 2 2 7 2 2" xfId="2836" xr:uid="{00000000-0005-0000-0000-0000A06F0000}"/>
    <cellStyle name="常规 9 2 2 2 7 2 2 2" xfId="5912" xr:uid="{00000000-0005-0000-0000-0000A16F0000}"/>
    <cellStyle name="常规 9 2 2 2 7 2 2 2 2" xfId="12056" xr:uid="{00000000-0005-0000-0000-0000A26F0000}"/>
    <cellStyle name="常规 9 2 2 2 7 2 2 2 2 2" xfId="24344" xr:uid="{00000000-0005-0000-0000-0000A36F0000}"/>
    <cellStyle name="常规 9 2 2 2 7 2 2 2 2 2 2" xfId="48920" xr:uid="{00000000-0005-0000-0000-0000A46F0000}"/>
    <cellStyle name="常规 9 2 2 2 7 2 2 2 2 3" xfId="36632" xr:uid="{00000000-0005-0000-0000-0000A56F0000}"/>
    <cellStyle name="常规 9 2 2 2 7 2 2 2 3" xfId="18200" xr:uid="{00000000-0005-0000-0000-0000A66F0000}"/>
    <cellStyle name="常规 9 2 2 2 7 2 2 2 3 2" xfId="42776" xr:uid="{00000000-0005-0000-0000-0000A76F0000}"/>
    <cellStyle name="常规 9 2 2 2 7 2 2 2 4" xfId="30488" xr:uid="{00000000-0005-0000-0000-0000A86F0000}"/>
    <cellStyle name="常规 9 2 2 2 7 2 2 3" xfId="8984" xr:uid="{00000000-0005-0000-0000-0000A96F0000}"/>
    <cellStyle name="常规 9 2 2 2 7 2 2 3 2" xfId="21272" xr:uid="{00000000-0005-0000-0000-0000AA6F0000}"/>
    <cellStyle name="常规 9 2 2 2 7 2 2 3 2 2" xfId="45848" xr:uid="{00000000-0005-0000-0000-0000AB6F0000}"/>
    <cellStyle name="常规 9 2 2 2 7 2 2 3 3" xfId="33560" xr:uid="{00000000-0005-0000-0000-0000AC6F0000}"/>
    <cellStyle name="常规 9 2 2 2 7 2 2 4" xfId="15128" xr:uid="{00000000-0005-0000-0000-0000AD6F0000}"/>
    <cellStyle name="常规 9 2 2 2 7 2 2 4 2" xfId="39704" xr:uid="{00000000-0005-0000-0000-0000AE6F0000}"/>
    <cellStyle name="常规 9 2 2 2 7 2 2 5" xfId="27416" xr:uid="{00000000-0005-0000-0000-0000AF6F0000}"/>
    <cellStyle name="常规 9 2 2 2 7 2 3" xfId="4376" xr:uid="{00000000-0005-0000-0000-0000B06F0000}"/>
    <cellStyle name="常规 9 2 2 2 7 2 3 2" xfId="10520" xr:uid="{00000000-0005-0000-0000-0000B16F0000}"/>
    <cellStyle name="常规 9 2 2 2 7 2 3 2 2" xfId="22808" xr:uid="{00000000-0005-0000-0000-0000B26F0000}"/>
    <cellStyle name="常规 9 2 2 2 7 2 3 2 2 2" xfId="47384" xr:uid="{00000000-0005-0000-0000-0000B36F0000}"/>
    <cellStyle name="常规 9 2 2 2 7 2 3 2 3" xfId="35096" xr:uid="{00000000-0005-0000-0000-0000B46F0000}"/>
    <cellStyle name="常规 9 2 2 2 7 2 3 3" xfId="16664" xr:uid="{00000000-0005-0000-0000-0000B56F0000}"/>
    <cellStyle name="常规 9 2 2 2 7 2 3 3 2" xfId="41240" xr:uid="{00000000-0005-0000-0000-0000B66F0000}"/>
    <cellStyle name="常规 9 2 2 2 7 2 3 4" xfId="28952" xr:uid="{00000000-0005-0000-0000-0000B76F0000}"/>
    <cellStyle name="常规 9 2 2 2 7 2 4" xfId="7448" xr:uid="{00000000-0005-0000-0000-0000B86F0000}"/>
    <cellStyle name="常规 9 2 2 2 7 2 4 2" xfId="19736" xr:uid="{00000000-0005-0000-0000-0000B96F0000}"/>
    <cellStyle name="常规 9 2 2 2 7 2 4 2 2" xfId="44312" xr:uid="{00000000-0005-0000-0000-0000BA6F0000}"/>
    <cellStyle name="常规 9 2 2 2 7 2 4 3" xfId="32024" xr:uid="{00000000-0005-0000-0000-0000BB6F0000}"/>
    <cellStyle name="常规 9 2 2 2 7 2 5" xfId="13592" xr:uid="{00000000-0005-0000-0000-0000BC6F0000}"/>
    <cellStyle name="常规 9 2 2 2 7 2 5 2" xfId="38168" xr:uid="{00000000-0005-0000-0000-0000BD6F0000}"/>
    <cellStyle name="常规 9 2 2 2 7 2 6" xfId="25880" xr:uid="{00000000-0005-0000-0000-0000BE6F0000}"/>
    <cellStyle name="常规 9 2 2 2 7 3" xfId="2068" xr:uid="{00000000-0005-0000-0000-0000BF6F0000}"/>
    <cellStyle name="常规 9 2 2 2 7 3 2" xfId="5144" xr:uid="{00000000-0005-0000-0000-0000C06F0000}"/>
    <cellStyle name="常规 9 2 2 2 7 3 2 2" xfId="11288" xr:uid="{00000000-0005-0000-0000-0000C16F0000}"/>
    <cellStyle name="常规 9 2 2 2 7 3 2 2 2" xfId="23576" xr:uid="{00000000-0005-0000-0000-0000C26F0000}"/>
    <cellStyle name="常规 9 2 2 2 7 3 2 2 2 2" xfId="48152" xr:uid="{00000000-0005-0000-0000-0000C36F0000}"/>
    <cellStyle name="常规 9 2 2 2 7 3 2 2 3" xfId="35864" xr:uid="{00000000-0005-0000-0000-0000C46F0000}"/>
    <cellStyle name="常规 9 2 2 2 7 3 2 3" xfId="17432" xr:uid="{00000000-0005-0000-0000-0000C56F0000}"/>
    <cellStyle name="常规 9 2 2 2 7 3 2 3 2" xfId="42008" xr:uid="{00000000-0005-0000-0000-0000C66F0000}"/>
    <cellStyle name="常规 9 2 2 2 7 3 2 4" xfId="29720" xr:uid="{00000000-0005-0000-0000-0000C76F0000}"/>
    <cellStyle name="常规 9 2 2 2 7 3 3" xfId="8216" xr:uid="{00000000-0005-0000-0000-0000C86F0000}"/>
    <cellStyle name="常规 9 2 2 2 7 3 3 2" xfId="20504" xr:uid="{00000000-0005-0000-0000-0000C96F0000}"/>
    <cellStyle name="常规 9 2 2 2 7 3 3 2 2" xfId="45080" xr:uid="{00000000-0005-0000-0000-0000CA6F0000}"/>
    <cellStyle name="常规 9 2 2 2 7 3 3 3" xfId="32792" xr:uid="{00000000-0005-0000-0000-0000CB6F0000}"/>
    <cellStyle name="常规 9 2 2 2 7 3 4" xfId="14360" xr:uid="{00000000-0005-0000-0000-0000CC6F0000}"/>
    <cellStyle name="常规 9 2 2 2 7 3 4 2" xfId="38936" xr:uid="{00000000-0005-0000-0000-0000CD6F0000}"/>
    <cellStyle name="常规 9 2 2 2 7 3 5" xfId="26648" xr:uid="{00000000-0005-0000-0000-0000CE6F0000}"/>
    <cellStyle name="常规 9 2 2 2 7 4" xfId="3608" xr:uid="{00000000-0005-0000-0000-0000CF6F0000}"/>
    <cellStyle name="常规 9 2 2 2 7 4 2" xfId="9752" xr:uid="{00000000-0005-0000-0000-0000D06F0000}"/>
    <cellStyle name="常规 9 2 2 2 7 4 2 2" xfId="22040" xr:uid="{00000000-0005-0000-0000-0000D16F0000}"/>
    <cellStyle name="常规 9 2 2 2 7 4 2 2 2" xfId="46616" xr:uid="{00000000-0005-0000-0000-0000D26F0000}"/>
    <cellStyle name="常规 9 2 2 2 7 4 2 3" xfId="34328" xr:uid="{00000000-0005-0000-0000-0000D36F0000}"/>
    <cellStyle name="常规 9 2 2 2 7 4 3" xfId="15896" xr:uid="{00000000-0005-0000-0000-0000D46F0000}"/>
    <cellStyle name="常规 9 2 2 2 7 4 3 2" xfId="40472" xr:uid="{00000000-0005-0000-0000-0000D56F0000}"/>
    <cellStyle name="常规 9 2 2 2 7 4 4" xfId="28184" xr:uid="{00000000-0005-0000-0000-0000D66F0000}"/>
    <cellStyle name="常规 9 2 2 2 7 5" xfId="6680" xr:uid="{00000000-0005-0000-0000-0000D76F0000}"/>
    <cellStyle name="常规 9 2 2 2 7 5 2" xfId="18968" xr:uid="{00000000-0005-0000-0000-0000D86F0000}"/>
    <cellStyle name="常规 9 2 2 2 7 5 2 2" xfId="43544" xr:uid="{00000000-0005-0000-0000-0000D96F0000}"/>
    <cellStyle name="常规 9 2 2 2 7 5 3" xfId="31256" xr:uid="{00000000-0005-0000-0000-0000DA6F0000}"/>
    <cellStyle name="常规 9 2 2 2 7 6" xfId="12824" xr:uid="{00000000-0005-0000-0000-0000DB6F0000}"/>
    <cellStyle name="常规 9 2 2 2 7 6 2" xfId="37400" xr:uid="{00000000-0005-0000-0000-0000DC6F0000}"/>
    <cellStyle name="常规 9 2 2 2 7 7" xfId="25112" xr:uid="{00000000-0005-0000-0000-0000DD6F0000}"/>
    <cellStyle name="常规 9 2 2 2 8" xfId="916" xr:uid="{00000000-0005-0000-0000-0000DE6F0000}"/>
    <cellStyle name="常规 9 2 2 2 8 2" xfId="2452" xr:uid="{00000000-0005-0000-0000-0000DF6F0000}"/>
    <cellStyle name="常规 9 2 2 2 8 2 2" xfId="5528" xr:uid="{00000000-0005-0000-0000-0000E06F0000}"/>
    <cellStyle name="常规 9 2 2 2 8 2 2 2" xfId="11672" xr:uid="{00000000-0005-0000-0000-0000E16F0000}"/>
    <cellStyle name="常规 9 2 2 2 8 2 2 2 2" xfId="23960" xr:uid="{00000000-0005-0000-0000-0000E26F0000}"/>
    <cellStyle name="常规 9 2 2 2 8 2 2 2 2 2" xfId="48536" xr:uid="{00000000-0005-0000-0000-0000E36F0000}"/>
    <cellStyle name="常规 9 2 2 2 8 2 2 2 3" xfId="36248" xr:uid="{00000000-0005-0000-0000-0000E46F0000}"/>
    <cellStyle name="常规 9 2 2 2 8 2 2 3" xfId="17816" xr:uid="{00000000-0005-0000-0000-0000E56F0000}"/>
    <cellStyle name="常规 9 2 2 2 8 2 2 3 2" xfId="42392" xr:uid="{00000000-0005-0000-0000-0000E66F0000}"/>
    <cellStyle name="常规 9 2 2 2 8 2 2 4" xfId="30104" xr:uid="{00000000-0005-0000-0000-0000E76F0000}"/>
    <cellStyle name="常规 9 2 2 2 8 2 3" xfId="8600" xr:uid="{00000000-0005-0000-0000-0000E86F0000}"/>
    <cellStyle name="常规 9 2 2 2 8 2 3 2" xfId="20888" xr:uid="{00000000-0005-0000-0000-0000E96F0000}"/>
    <cellStyle name="常规 9 2 2 2 8 2 3 2 2" xfId="45464" xr:uid="{00000000-0005-0000-0000-0000EA6F0000}"/>
    <cellStyle name="常规 9 2 2 2 8 2 3 3" xfId="33176" xr:uid="{00000000-0005-0000-0000-0000EB6F0000}"/>
    <cellStyle name="常规 9 2 2 2 8 2 4" xfId="14744" xr:uid="{00000000-0005-0000-0000-0000EC6F0000}"/>
    <cellStyle name="常规 9 2 2 2 8 2 4 2" xfId="39320" xr:uid="{00000000-0005-0000-0000-0000ED6F0000}"/>
    <cellStyle name="常规 9 2 2 2 8 2 5" xfId="27032" xr:uid="{00000000-0005-0000-0000-0000EE6F0000}"/>
    <cellStyle name="常规 9 2 2 2 8 3" xfId="3992" xr:uid="{00000000-0005-0000-0000-0000EF6F0000}"/>
    <cellStyle name="常规 9 2 2 2 8 3 2" xfId="10136" xr:uid="{00000000-0005-0000-0000-0000F06F0000}"/>
    <cellStyle name="常规 9 2 2 2 8 3 2 2" xfId="22424" xr:uid="{00000000-0005-0000-0000-0000F16F0000}"/>
    <cellStyle name="常规 9 2 2 2 8 3 2 2 2" xfId="47000" xr:uid="{00000000-0005-0000-0000-0000F26F0000}"/>
    <cellStyle name="常规 9 2 2 2 8 3 2 3" xfId="34712" xr:uid="{00000000-0005-0000-0000-0000F36F0000}"/>
    <cellStyle name="常规 9 2 2 2 8 3 3" xfId="16280" xr:uid="{00000000-0005-0000-0000-0000F46F0000}"/>
    <cellStyle name="常规 9 2 2 2 8 3 3 2" xfId="40856" xr:uid="{00000000-0005-0000-0000-0000F56F0000}"/>
    <cellStyle name="常规 9 2 2 2 8 3 4" xfId="28568" xr:uid="{00000000-0005-0000-0000-0000F66F0000}"/>
    <cellStyle name="常规 9 2 2 2 8 4" xfId="7064" xr:uid="{00000000-0005-0000-0000-0000F76F0000}"/>
    <cellStyle name="常规 9 2 2 2 8 4 2" xfId="19352" xr:uid="{00000000-0005-0000-0000-0000F86F0000}"/>
    <cellStyle name="常规 9 2 2 2 8 4 2 2" xfId="43928" xr:uid="{00000000-0005-0000-0000-0000F96F0000}"/>
    <cellStyle name="常规 9 2 2 2 8 4 3" xfId="31640" xr:uid="{00000000-0005-0000-0000-0000FA6F0000}"/>
    <cellStyle name="常规 9 2 2 2 8 5" xfId="13208" xr:uid="{00000000-0005-0000-0000-0000FB6F0000}"/>
    <cellStyle name="常规 9 2 2 2 8 5 2" xfId="37784" xr:uid="{00000000-0005-0000-0000-0000FC6F0000}"/>
    <cellStyle name="常规 9 2 2 2 8 6" xfId="25496" xr:uid="{00000000-0005-0000-0000-0000FD6F0000}"/>
    <cellStyle name="常规 9 2 2 2 9" xfId="1684" xr:uid="{00000000-0005-0000-0000-0000FE6F0000}"/>
    <cellStyle name="常规 9 2 2 2 9 2" xfId="4760" xr:uid="{00000000-0005-0000-0000-0000FF6F0000}"/>
    <cellStyle name="常规 9 2 2 2 9 2 2" xfId="10904" xr:uid="{00000000-0005-0000-0000-000000700000}"/>
    <cellStyle name="常规 9 2 2 2 9 2 2 2" xfId="23192" xr:uid="{00000000-0005-0000-0000-000001700000}"/>
    <cellStyle name="常规 9 2 2 2 9 2 2 2 2" xfId="47768" xr:uid="{00000000-0005-0000-0000-000002700000}"/>
    <cellStyle name="常规 9 2 2 2 9 2 2 3" xfId="35480" xr:uid="{00000000-0005-0000-0000-000003700000}"/>
    <cellStyle name="常规 9 2 2 2 9 2 3" xfId="17048" xr:uid="{00000000-0005-0000-0000-000004700000}"/>
    <cellStyle name="常规 9 2 2 2 9 2 3 2" xfId="41624" xr:uid="{00000000-0005-0000-0000-000005700000}"/>
    <cellStyle name="常规 9 2 2 2 9 2 4" xfId="29336" xr:uid="{00000000-0005-0000-0000-000006700000}"/>
    <cellStyle name="常规 9 2 2 2 9 3" xfId="7832" xr:uid="{00000000-0005-0000-0000-000007700000}"/>
    <cellStyle name="常规 9 2 2 2 9 3 2" xfId="20120" xr:uid="{00000000-0005-0000-0000-000008700000}"/>
    <cellStyle name="常规 9 2 2 2 9 3 2 2" xfId="44696" xr:uid="{00000000-0005-0000-0000-000009700000}"/>
    <cellStyle name="常规 9 2 2 2 9 3 3" xfId="32408" xr:uid="{00000000-0005-0000-0000-00000A700000}"/>
    <cellStyle name="常规 9 2 2 2 9 4" xfId="13976" xr:uid="{00000000-0005-0000-0000-00000B700000}"/>
    <cellStyle name="常规 9 2 2 2 9 4 2" xfId="38552" xr:uid="{00000000-0005-0000-0000-00000C700000}"/>
    <cellStyle name="常规 9 2 2 2 9 5" xfId="26264" xr:uid="{00000000-0005-0000-0000-00000D700000}"/>
    <cellStyle name="常规 9 2 2 3" xfId="115" xr:uid="{00000000-0005-0000-0000-00000E700000}"/>
    <cellStyle name="常规 9 2 2 3 10" xfId="6304" xr:uid="{00000000-0005-0000-0000-00000F700000}"/>
    <cellStyle name="常规 9 2 2 3 10 2" xfId="18592" xr:uid="{00000000-0005-0000-0000-000010700000}"/>
    <cellStyle name="常规 9 2 2 3 10 2 2" xfId="43168" xr:uid="{00000000-0005-0000-0000-000011700000}"/>
    <cellStyle name="常规 9 2 2 3 10 3" xfId="30880" xr:uid="{00000000-0005-0000-0000-000012700000}"/>
    <cellStyle name="常规 9 2 2 3 11" xfId="12448" xr:uid="{00000000-0005-0000-0000-000013700000}"/>
    <cellStyle name="常规 9 2 2 3 11 2" xfId="37024" xr:uid="{00000000-0005-0000-0000-000014700000}"/>
    <cellStyle name="常规 9 2 2 3 12" xfId="24736" xr:uid="{00000000-0005-0000-0000-000015700000}"/>
    <cellStyle name="常规 9 2 2 3 2" xfId="187" xr:uid="{00000000-0005-0000-0000-000016700000}"/>
    <cellStyle name="常规 9 2 2 3 2 10" xfId="12480" xr:uid="{00000000-0005-0000-0000-000017700000}"/>
    <cellStyle name="常规 9 2 2 3 2 10 2" xfId="37056" xr:uid="{00000000-0005-0000-0000-000018700000}"/>
    <cellStyle name="常规 9 2 2 3 2 11" xfId="24768" xr:uid="{00000000-0005-0000-0000-000019700000}"/>
    <cellStyle name="常规 9 2 2 3 2 2" xfId="252" xr:uid="{00000000-0005-0000-0000-00001A700000}"/>
    <cellStyle name="常规 9 2 2 3 2 2 2" xfId="444" xr:uid="{00000000-0005-0000-0000-00001B700000}"/>
    <cellStyle name="常规 9 2 2 3 2 2 2 2" xfId="828" xr:uid="{00000000-0005-0000-0000-00001C700000}"/>
    <cellStyle name="常规 9 2 2 3 2 2 2 2 2" xfId="1596" xr:uid="{00000000-0005-0000-0000-00001D700000}"/>
    <cellStyle name="常规 9 2 2 3 2 2 2 2 2 2" xfId="3132" xr:uid="{00000000-0005-0000-0000-00001E700000}"/>
    <cellStyle name="常规 9 2 2 3 2 2 2 2 2 2 2" xfId="6208" xr:uid="{00000000-0005-0000-0000-00001F700000}"/>
    <cellStyle name="常规 9 2 2 3 2 2 2 2 2 2 2 2" xfId="12352" xr:uid="{00000000-0005-0000-0000-000020700000}"/>
    <cellStyle name="常规 9 2 2 3 2 2 2 2 2 2 2 2 2" xfId="24640" xr:uid="{00000000-0005-0000-0000-000021700000}"/>
    <cellStyle name="常规 9 2 2 3 2 2 2 2 2 2 2 2 2 2" xfId="49216" xr:uid="{00000000-0005-0000-0000-000022700000}"/>
    <cellStyle name="常规 9 2 2 3 2 2 2 2 2 2 2 2 3" xfId="36928" xr:uid="{00000000-0005-0000-0000-000023700000}"/>
    <cellStyle name="常规 9 2 2 3 2 2 2 2 2 2 2 3" xfId="18496" xr:uid="{00000000-0005-0000-0000-000024700000}"/>
    <cellStyle name="常规 9 2 2 3 2 2 2 2 2 2 2 3 2" xfId="43072" xr:uid="{00000000-0005-0000-0000-000025700000}"/>
    <cellStyle name="常规 9 2 2 3 2 2 2 2 2 2 2 4" xfId="30784" xr:uid="{00000000-0005-0000-0000-000026700000}"/>
    <cellStyle name="常规 9 2 2 3 2 2 2 2 2 2 3" xfId="9280" xr:uid="{00000000-0005-0000-0000-000027700000}"/>
    <cellStyle name="常规 9 2 2 3 2 2 2 2 2 2 3 2" xfId="21568" xr:uid="{00000000-0005-0000-0000-000028700000}"/>
    <cellStyle name="常规 9 2 2 3 2 2 2 2 2 2 3 2 2" xfId="46144" xr:uid="{00000000-0005-0000-0000-000029700000}"/>
    <cellStyle name="常规 9 2 2 3 2 2 2 2 2 2 3 3" xfId="33856" xr:uid="{00000000-0005-0000-0000-00002A700000}"/>
    <cellStyle name="常规 9 2 2 3 2 2 2 2 2 2 4" xfId="15424" xr:uid="{00000000-0005-0000-0000-00002B700000}"/>
    <cellStyle name="常规 9 2 2 3 2 2 2 2 2 2 4 2" xfId="40000" xr:uid="{00000000-0005-0000-0000-00002C700000}"/>
    <cellStyle name="常规 9 2 2 3 2 2 2 2 2 2 5" xfId="27712" xr:uid="{00000000-0005-0000-0000-00002D700000}"/>
    <cellStyle name="常规 9 2 2 3 2 2 2 2 2 3" xfId="4672" xr:uid="{00000000-0005-0000-0000-00002E700000}"/>
    <cellStyle name="常规 9 2 2 3 2 2 2 2 2 3 2" xfId="10816" xr:uid="{00000000-0005-0000-0000-00002F700000}"/>
    <cellStyle name="常规 9 2 2 3 2 2 2 2 2 3 2 2" xfId="23104" xr:uid="{00000000-0005-0000-0000-000030700000}"/>
    <cellStyle name="常规 9 2 2 3 2 2 2 2 2 3 2 2 2" xfId="47680" xr:uid="{00000000-0005-0000-0000-000031700000}"/>
    <cellStyle name="常规 9 2 2 3 2 2 2 2 2 3 2 3" xfId="35392" xr:uid="{00000000-0005-0000-0000-000032700000}"/>
    <cellStyle name="常规 9 2 2 3 2 2 2 2 2 3 3" xfId="16960" xr:uid="{00000000-0005-0000-0000-000033700000}"/>
    <cellStyle name="常规 9 2 2 3 2 2 2 2 2 3 3 2" xfId="41536" xr:uid="{00000000-0005-0000-0000-000034700000}"/>
    <cellStyle name="常规 9 2 2 3 2 2 2 2 2 3 4" xfId="29248" xr:uid="{00000000-0005-0000-0000-000035700000}"/>
    <cellStyle name="常规 9 2 2 3 2 2 2 2 2 4" xfId="7744" xr:uid="{00000000-0005-0000-0000-000036700000}"/>
    <cellStyle name="常规 9 2 2 3 2 2 2 2 2 4 2" xfId="20032" xr:uid="{00000000-0005-0000-0000-000037700000}"/>
    <cellStyle name="常规 9 2 2 3 2 2 2 2 2 4 2 2" xfId="44608" xr:uid="{00000000-0005-0000-0000-000038700000}"/>
    <cellStyle name="常规 9 2 2 3 2 2 2 2 2 4 3" xfId="32320" xr:uid="{00000000-0005-0000-0000-000039700000}"/>
    <cellStyle name="常规 9 2 2 3 2 2 2 2 2 5" xfId="13888" xr:uid="{00000000-0005-0000-0000-00003A700000}"/>
    <cellStyle name="常规 9 2 2 3 2 2 2 2 2 5 2" xfId="38464" xr:uid="{00000000-0005-0000-0000-00003B700000}"/>
    <cellStyle name="常规 9 2 2 3 2 2 2 2 2 6" xfId="26176" xr:uid="{00000000-0005-0000-0000-00003C700000}"/>
    <cellStyle name="常规 9 2 2 3 2 2 2 2 3" xfId="2364" xr:uid="{00000000-0005-0000-0000-00003D700000}"/>
    <cellStyle name="常规 9 2 2 3 2 2 2 2 3 2" xfId="5440" xr:uid="{00000000-0005-0000-0000-00003E700000}"/>
    <cellStyle name="常规 9 2 2 3 2 2 2 2 3 2 2" xfId="11584" xr:uid="{00000000-0005-0000-0000-00003F700000}"/>
    <cellStyle name="常规 9 2 2 3 2 2 2 2 3 2 2 2" xfId="23872" xr:uid="{00000000-0005-0000-0000-000040700000}"/>
    <cellStyle name="常规 9 2 2 3 2 2 2 2 3 2 2 2 2" xfId="48448" xr:uid="{00000000-0005-0000-0000-000041700000}"/>
    <cellStyle name="常规 9 2 2 3 2 2 2 2 3 2 2 3" xfId="36160" xr:uid="{00000000-0005-0000-0000-000042700000}"/>
    <cellStyle name="常规 9 2 2 3 2 2 2 2 3 2 3" xfId="17728" xr:uid="{00000000-0005-0000-0000-000043700000}"/>
    <cellStyle name="常规 9 2 2 3 2 2 2 2 3 2 3 2" xfId="42304" xr:uid="{00000000-0005-0000-0000-000044700000}"/>
    <cellStyle name="常规 9 2 2 3 2 2 2 2 3 2 4" xfId="30016" xr:uid="{00000000-0005-0000-0000-000045700000}"/>
    <cellStyle name="常规 9 2 2 3 2 2 2 2 3 3" xfId="8512" xr:uid="{00000000-0005-0000-0000-000046700000}"/>
    <cellStyle name="常规 9 2 2 3 2 2 2 2 3 3 2" xfId="20800" xr:uid="{00000000-0005-0000-0000-000047700000}"/>
    <cellStyle name="常规 9 2 2 3 2 2 2 2 3 3 2 2" xfId="45376" xr:uid="{00000000-0005-0000-0000-000048700000}"/>
    <cellStyle name="常规 9 2 2 3 2 2 2 2 3 3 3" xfId="33088" xr:uid="{00000000-0005-0000-0000-000049700000}"/>
    <cellStyle name="常规 9 2 2 3 2 2 2 2 3 4" xfId="14656" xr:uid="{00000000-0005-0000-0000-00004A700000}"/>
    <cellStyle name="常规 9 2 2 3 2 2 2 2 3 4 2" xfId="39232" xr:uid="{00000000-0005-0000-0000-00004B700000}"/>
    <cellStyle name="常规 9 2 2 3 2 2 2 2 3 5" xfId="26944" xr:uid="{00000000-0005-0000-0000-00004C700000}"/>
    <cellStyle name="常规 9 2 2 3 2 2 2 2 4" xfId="3904" xr:uid="{00000000-0005-0000-0000-00004D700000}"/>
    <cellStyle name="常规 9 2 2 3 2 2 2 2 4 2" xfId="10048" xr:uid="{00000000-0005-0000-0000-00004E700000}"/>
    <cellStyle name="常规 9 2 2 3 2 2 2 2 4 2 2" xfId="22336" xr:uid="{00000000-0005-0000-0000-00004F700000}"/>
    <cellStyle name="常规 9 2 2 3 2 2 2 2 4 2 2 2" xfId="46912" xr:uid="{00000000-0005-0000-0000-000050700000}"/>
    <cellStyle name="常规 9 2 2 3 2 2 2 2 4 2 3" xfId="34624" xr:uid="{00000000-0005-0000-0000-000051700000}"/>
    <cellStyle name="常规 9 2 2 3 2 2 2 2 4 3" xfId="16192" xr:uid="{00000000-0005-0000-0000-000052700000}"/>
    <cellStyle name="常规 9 2 2 3 2 2 2 2 4 3 2" xfId="40768" xr:uid="{00000000-0005-0000-0000-000053700000}"/>
    <cellStyle name="常规 9 2 2 3 2 2 2 2 4 4" xfId="28480" xr:uid="{00000000-0005-0000-0000-000054700000}"/>
    <cellStyle name="常规 9 2 2 3 2 2 2 2 5" xfId="6976" xr:uid="{00000000-0005-0000-0000-000055700000}"/>
    <cellStyle name="常规 9 2 2 3 2 2 2 2 5 2" xfId="19264" xr:uid="{00000000-0005-0000-0000-000056700000}"/>
    <cellStyle name="常规 9 2 2 3 2 2 2 2 5 2 2" xfId="43840" xr:uid="{00000000-0005-0000-0000-000057700000}"/>
    <cellStyle name="常规 9 2 2 3 2 2 2 2 5 3" xfId="31552" xr:uid="{00000000-0005-0000-0000-000058700000}"/>
    <cellStyle name="常规 9 2 2 3 2 2 2 2 6" xfId="13120" xr:uid="{00000000-0005-0000-0000-000059700000}"/>
    <cellStyle name="常规 9 2 2 3 2 2 2 2 6 2" xfId="37696" xr:uid="{00000000-0005-0000-0000-00005A700000}"/>
    <cellStyle name="常规 9 2 2 3 2 2 2 2 7" xfId="25408" xr:uid="{00000000-0005-0000-0000-00005B700000}"/>
    <cellStyle name="常规 9 2 2 3 2 2 2 3" xfId="1212" xr:uid="{00000000-0005-0000-0000-00005C700000}"/>
    <cellStyle name="常规 9 2 2 3 2 2 2 3 2" xfId="2748" xr:uid="{00000000-0005-0000-0000-00005D700000}"/>
    <cellStyle name="常规 9 2 2 3 2 2 2 3 2 2" xfId="5824" xr:uid="{00000000-0005-0000-0000-00005E700000}"/>
    <cellStyle name="常规 9 2 2 3 2 2 2 3 2 2 2" xfId="11968" xr:uid="{00000000-0005-0000-0000-00005F700000}"/>
    <cellStyle name="常规 9 2 2 3 2 2 2 3 2 2 2 2" xfId="24256" xr:uid="{00000000-0005-0000-0000-000060700000}"/>
    <cellStyle name="常规 9 2 2 3 2 2 2 3 2 2 2 2 2" xfId="48832" xr:uid="{00000000-0005-0000-0000-000061700000}"/>
    <cellStyle name="常规 9 2 2 3 2 2 2 3 2 2 2 3" xfId="36544" xr:uid="{00000000-0005-0000-0000-000062700000}"/>
    <cellStyle name="常规 9 2 2 3 2 2 2 3 2 2 3" xfId="18112" xr:uid="{00000000-0005-0000-0000-000063700000}"/>
    <cellStyle name="常规 9 2 2 3 2 2 2 3 2 2 3 2" xfId="42688" xr:uid="{00000000-0005-0000-0000-000064700000}"/>
    <cellStyle name="常规 9 2 2 3 2 2 2 3 2 2 4" xfId="30400" xr:uid="{00000000-0005-0000-0000-000065700000}"/>
    <cellStyle name="常规 9 2 2 3 2 2 2 3 2 3" xfId="8896" xr:uid="{00000000-0005-0000-0000-000066700000}"/>
    <cellStyle name="常规 9 2 2 3 2 2 2 3 2 3 2" xfId="21184" xr:uid="{00000000-0005-0000-0000-000067700000}"/>
    <cellStyle name="常规 9 2 2 3 2 2 2 3 2 3 2 2" xfId="45760" xr:uid="{00000000-0005-0000-0000-000068700000}"/>
    <cellStyle name="常规 9 2 2 3 2 2 2 3 2 3 3" xfId="33472" xr:uid="{00000000-0005-0000-0000-000069700000}"/>
    <cellStyle name="常规 9 2 2 3 2 2 2 3 2 4" xfId="15040" xr:uid="{00000000-0005-0000-0000-00006A700000}"/>
    <cellStyle name="常规 9 2 2 3 2 2 2 3 2 4 2" xfId="39616" xr:uid="{00000000-0005-0000-0000-00006B700000}"/>
    <cellStyle name="常规 9 2 2 3 2 2 2 3 2 5" xfId="27328" xr:uid="{00000000-0005-0000-0000-00006C700000}"/>
    <cellStyle name="常规 9 2 2 3 2 2 2 3 3" xfId="4288" xr:uid="{00000000-0005-0000-0000-00006D700000}"/>
    <cellStyle name="常规 9 2 2 3 2 2 2 3 3 2" xfId="10432" xr:uid="{00000000-0005-0000-0000-00006E700000}"/>
    <cellStyle name="常规 9 2 2 3 2 2 2 3 3 2 2" xfId="22720" xr:uid="{00000000-0005-0000-0000-00006F700000}"/>
    <cellStyle name="常规 9 2 2 3 2 2 2 3 3 2 2 2" xfId="47296" xr:uid="{00000000-0005-0000-0000-000070700000}"/>
    <cellStyle name="常规 9 2 2 3 2 2 2 3 3 2 3" xfId="35008" xr:uid="{00000000-0005-0000-0000-000071700000}"/>
    <cellStyle name="常规 9 2 2 3 2 2 2 3 3 3" xfId="16576" xr:uid="{00000000-0005-0000-0000-000072700000}"/>
    <cellStyle name="常规 9 2 2 3 2 2 2 3 3 3 2" xfId="41152" xr:uid="{00000000-0005-0000-0000-000073700000}"/>
    <cellStyle name="常规 9 2 2 3 2 2 2 3 3 4" xfId="28864" xr:uid="{00000000-0005-0000-0000-000074700000}"/>
    <cellStyle name="常规 9 2 2 3 2 2 2 3 4" xfId="7360" xr:uid="{00000000-0005-0000-0000-000075700000}"/>
    <cellStyle name="常规 9 2 2 3 2 2 2 3 4 2" xfId="19648" xr:uid="{00000000-0005-0000-0000-000076700000}"/>
    <cellStyle name="常规 9 2 2 3 2 2 2 3 4 2 2" xfId="44224" xr:uid="{00000000-0005-0000-0000-000077700000}"/>
    <cellStyle name="常规 9 2 2 3 2 2 2 3 4 3" xfId="31936" xr:uid="{00000000-0005-0000-0000-000078700000}"/>
    <cellStyle name="常规 9 2 2 3 2 2 2 3 5" xfId="13504" xr:uid="{00000000-0005-0000-0000-000079700000}"/>
    <cellStyle name="常规 9 2 2 3 2 2 2 3 5 2" xfId="38080" xr:uid="{00000000-0005-0000-0000-00007A700000}"/>
    <cellStyle name="常规 9 2 2 3 2 2 2 3 6" xfId="25792" xr:uid="{00000000-0005-0000-0000-00007B700000}"/>
    <cellStyle name="常规 9 2 2 3 2 2 2 4" xfId="1980" xr:uid="{00000000-0005-0000-0000-00007C700000}"/>
    <cellStyle name="常规 9 2 2 3 2 2 2 4 2" xfId="5056" xr:uid="{00000000-0005-0000-0000-00007D700000}"/>
    <cellStyle name="常规 9 2 2 3 2 2 2 4 2 2" xfId="11200" xr:uid="{00000000-0005-0000-0000-00007E700000}"/>
    <cellStyle name="常规 9 2 2 3 2 2 2 4 2 2 2" xfId="23488" xr:uid="{00000000-0005-0000-0000-00007F700000}"/>
    <cellStyle name="常规 9 2 2 3 2 2 2 4 2 2 2 2" xfId="48064" xr:uid="{00000000-0005-0000-0000-000080700000}"/>
    <cellStyle name="常规 9 2 2 3 2 2 2 4 2 2 3" xfId="35776" xr:uid="{00000000-0005-0000-0000-000081700000}"/>
    <cellStyle name="常规 9 2 2 3 2 2 2 4 2 3" xfId="17344" xr:uid="{00000000-0005-0000-0000-000082700000}"/>
    <cellStyle name="常规 9 2 2 3 2 2 2 4 2 3 2" xfId="41920" xr:uid="{00000000-0005-0000-0000-000083700000}"/>
    <cellStyle name="常规 9 2 2 3 2 2 2 4 2 4" xfId="29632" xr:uid="{00000000-0005-0000-0000-000084700000}"/>
    <cellStyle name="常规 9 2 2 3 2 2 2 4 3" xfId="8128" xr:uid="{00000000-0005-0000-0000-000085700000}"/>
    <cellStyle name="常规 9 2 2 3 2 2 2 4 3 2" xfId="20416" xr:uid="{00000000-0005-0000-0000-000086700000}"/>
    <cellStyle name="常规 9 2 2 3 2 2 2 4 3 2 2" xfId="44992" xr:uid="{00000000-0005-0000-0000-000087700000}"/>
    <cellStyle name="常规 9 2 2 3 2 2 2 4 3 3" xfId="32704" xr:uid="{00000000-0005-0000-0000-000088700000}"/>
    <cellStyle name="常规 9 2 2 3 2 2 2 4 4" xfId="14272" xr:uid="{00000000-0005-0000-0000-000089700000}"/>
    <cellStyle name="常规 9 2 2 3 2 2 2 4 4 2" xfId="38848" xr:uid="{00000000-0005-0000-0000-00008A700000}"/>
    <cellStyle name="常规 9 2 2 3 2 2 2 4 5" xfId="26560" xr:uid="{00000000-0005-0000-0000-00008B700000}"/>
    <cellStyle name="常规 9 2 2 3 2 2 2 5" xfId="3520" xr:uid="{00000000-0005-0000-0000-00008C700000}"/>
    <cellStyle name="常规 9 2 2 3 2 2 2 5 2" xfId="9664" xr:uid="{00000000-0005-0000-0000-00008D700000}"/>
    <cellStyle name="常规 9 2 2 3 2 2 2 5 2 2" xfId="21952" xr:uid="{00000000-0005-0000-0000-00008E700000}"/>
    <cellStyle name="常规 9 2 2 3 2 2 2 5 2 2 2" xfId="46528" xr:uid="{00000000-0005-0000-0000-00008F700000}"/>
    <cellStyle name="常规 9 2 2 3 2 2 2 5 2 3" xfId="34240" xr:uid="{00000000-0005-0000-0000-000090700000}"/>
    <cellStyle name="常规 9 2 2 3 2 2 2 5 3" xfId="15808" xr:uid="{00000000-0005-0000-0000-000091700000}"/>
    <cellStyle name="常规 9 2 2 3 2 2 2 5 3 2" xfId="40384" xr:uid="{00000000-0005-0000-0000-000092700000}"/>
    <cellStyle name="常规 9 2 2 3 2 2 2 5 4" xfId="28096" xr:uid="{00000000-0005-0000-0000-000093700000}"/>
    <cellStyle name="常规 9 2 2 3 2 2 2 6" xfId="6592" xr:uid="{00000000-0005-0000-0000-000094700000}"/>
    <cellStyle name="常规 9 2 2 3 2 2 2 6 2" xfId="18880" xr:uid="{00000000-0005-0000-0000-000095700000}"/>
    <cellStyle name="常规 9 2 2 3 2 2 2 6 2 2" xfId="43456" xr:uid="{00000000-0005-0000-0000-000096700000}"/>
    <cellStyle name="常规 9 2 2 3 2 2 2 6 3" xfId="31168" xr:uid="{00000000-0005-0000-0000-000097700000}"/>
    <cellStyle name="常规 9 2 2 3 2 2 2 7" xfId="12736" xr:uid="{00000000-0005-0000-0000-000098700000}"/>
    <cellStyle name="常规 9 2 2 3 2 2 2 7 2" xfId="37312" xr:uid="{00000000-0005-0000-0000-000099700000}"/>
    <cellStyle name="常规 9 2 2 3 2 2 2 8" xfId="25024" xr:uid="{00000000-0005-0000-0000-00009A700000}"/>
    <cellStyle name="常规 9 2 2 3 2 2 3" xfId="636" xr:uid="{00000000-0005-0000-0000-00009B700000}"/>
    <cellStyle name="常规 9 2 2 3 2 2 3 2" xfId="1404" xr:uid="{00000000-0005-0000-0000-00009C700000}"/>
    <cellStyle name="常规 9 2 2 3 2 2 3 2 2" xfId="2940" xr:uid="{00000000-0005-0000-0000-00009D700000}"/>
    <cellStyle name="常规 9 2 2 3 2 2 3 2 2 2" xfId="6016" xr:uid="{00000000-0005-0000-0000-00009E700000}"/>
    <cellStyle name="常规 9 2 2 3 2 2 3 2 2 2 2" xfId="12160" xr:uid="{00000000-0005-0000-0000-00009F700000}"/>
    <cellStyle name="常规 9 2 2 3 2 2 3 2 2 2 2 2" xfId="24448" xr:uid="{00000000-0005-0000-0000-0000A0700000}"/>
    <cellStyle name="常规 9 2 2 3 2 2 3 2 2 2 2 2 2" xfId="49024" xr:uid="{00000000-0005-0000-0000-0000A1700000}"/>
    <cellStyle name="常规 9 2 2 3 2 2 3 2 2 2 2 3" xfId="36736" xr:uid="{00000000-0005-0000-0000-0000A2700000}"/>
    <cellStyle name="常规 9 2 2 3 2 2 3 2 2 2 3" xfId="18304" xr:uid="{00000000-0005-0000-0000-0000A3700000}"/>
    <cellStyle name="常规 9 2 2 3 2 2 3 2 2 2 3 2" xfId="42880" xr:uid="{00000000-0005-0000-0000-0000A4700000}"/>
    <cellStyle name="常规 9 2 2 3 2 2 3 2 2 2 4" xfId="30592" xr:uid="{00000000-0005-0000-0000-0000A5700000}"/>
    <cellStyle name="常规 9 2 2 3 2 2 3 2 2 3" xfId="9088" xr:uid="{00000000-0005-0000-0000-0000A6700000}"/>
    <cellStyle name="常规 9 2 2 3 2 2 3 2 2 3 2" xfId="21376" xr:uid="{00000000-0005-0000-0000-0000A7700000}"/>
    <cellStyle name="常规 9 2 2 3 2 2 3 2 2 3 2 2" xfId="45952" xr:uid="{00000000-0005-0000-0000-0000A8700000}"/>
    <cellStyle name="常规 9 2 2 3 2 2 3 2 2 3 3" xfId="33664" xr:uid="{00000000-0005-0000-0000-0000A9700000}"/>
    <cellStyle name="常规 9 2 2 3 2 2 3 2 2 4" xfId="15232" xr:uid="{00000000-0005-0000-0000-0000AA700000}"/>
    <cellStyle name="常规 9 2 2 3 2 2 3 2 2 4 2" xfId="39808" xr:uid="{00000000-0005-0000-0000-0000AB700000}"/>
    <cellStyle name="常规 9 2 2 3 2 2 3 2 2 5" xfId="27520" xr:uid="{00000000-0005-0000-0000-0000AC700000}"/>
    <cellStyle name="常规 9 2 2 3 2 2 3 2 3" xfId="4480" xr:uid="{00000000-0005-0000-0000-0000AD700000}"/>
    <cellStyle name="常规 9 2 2 3 2 2 3 2 3 2" xfId="10624" xr:uid="{00000000-0005-0000-0000-0000AE700000}"/>
    <cellStyle name="常规 9 2 2 3 2 2 3 2 3 2 2" xfId="22912" xr:uid="{00000000-0005-0000-0000-0000AF700000}"/>
    <cellStyle name="常规 9 2 2 3 2 2 3 2 3 2 2 2" xfId="47488" xr:uid="{00000000-0005-0000-0000-0000B0700000}"/>
    <cellStyle name="常规 9 2 2 3 2 2 3 2 3 2 3" xfId="35200" xr:uid="{00000000-0005-0000-0000-0000B1700000}"/>
    <cellStyle name="常规 9 2 2 3 2 2 3 2 3 3" xfId="16768" xr:uid="{00000000-0005-0000-0000-0000B2700000}"/>
    <cellStyle name="常规 9 2 2 3 2 2 3 2 3 3 2" xfId="41344" xr:uid="{00000000-0005-0000-0000-0000B3700000}"/>
    <cellStyle name="常规 9 2 2 3 2 2 3 2 3 4" xfId="29056" xr:uid="{00000000-0005-0000-0000-0000B4700000}"/>
    <cellStyle name="常规 9 2 2 3 2 2 3 2 4" xfId="7552" xr:uid="{00000000-0005-0000-0000-0000B5700000}"/>
    <cellStyle name="常规 9 2 2 3 2 2 3 2 4 2" xfId="19840" xr:uid="{00000000-0005-0000-0000-0000B6700000}"/>
    <cellStyle name="常规 9 2 2 3 2 2 3 2 4 2 2" xfId="44416" xr:uid="{00000000-0005-0000-0000-0000B7700000}"/>
    <cellStyle name="常规 9 2 2 3 2 2 3 2 4 3" xfId="32128" xr:uid="{00000000-0005-0000-0000-0000B8700000}"/>
    <cellStyle name="常规 9 2 2 3 2 2 3 2 5" xfId="13696" xr:uid="{00000000-0005-0000-0000-0000B9700000}"/>
    <cellStyle name="常规 9 2 2 3 2 2 3 2 5 2" xfId="38272" xr:uid="{00000000-0005-0000-0000-0000BA700000}"/>
    <cellStyle name="常规 9 2 2 3 2 2 3 2 6" xfId="25984" xr:uid="{00000000-0005-0000-0000-0000BB700000}"/>
    <cellStyle name="常规 9 2 2 3 2 2 3 3" xfId="2172" xr:uid="{00000000-0005-0000-0000-0000BC700000}"/>
    <cellStyle name="常规 9 2 2 3 2 2 3 3 2" xfId="5248" xr:uid="{00000000-0005-0000-0000-0000BD700000}"/>
    <cellStyle name="常规 9 2 2 3 2 2 3 3 2 2" xfId="11392" xr:uid="{00000000-0005-0000-0000-0000BE700000}"/>
    <cellStyle name="常规 9 2 2 3 2 2 3 3 2 2 2" xfId="23680" xr:uid="{00000000-0005-0000-0000-0000BF700000}"/>
    <cellStyle name="常规 9 2 2 3 2 2 3 3 2 2 2 2" xfId="48256" xr:uid="{00000000-0005-0000-0000-0000C0700000}"/>
    <cellStyle name="常规 9 2 2 3 2 2 3 3 2 2 3" xfId="35968" xr:uid="{00000000-0005-0000-0000-0000C1700000}"/>
    <cellStyle name="常规 9 2 2 3 2 2 3 3 2 3" xfId="17536" xr:uid="{00000000-0005-0000-0000-0000C2700000}"/>
    <cellStyle name="常规 9 2 2 3 2 2 3 3 2 3 2" xfId="42112" xr:uid="{00000000-0005-0000-0000-0000C3700000}"/>
    <cellStyle name="常规 9 2 2 3 2 2 3 3 2 4" xfId="29824" xr:uid="{00000000-0005-0000-0000-0000C4700000}"/>
    <cellStyle name="常规 9 2 2 3 2 2 3 3 3" xfId="8320" xr:uid="{00000000-0005-0000-0000-0000C5700000}"/>
    <cellStyle name="常规 9 2 2 3 2 2 3 3 3 2" xfId="20608" xr:uid="{00000000-0005-0000-0000-0000C6700000}"/>
    <cellStyle name="常规 9 2 2 3 2 2 3 3 3 2 2" xfId="45184" xr:uid="{00000000-0005-0000-0000-0000C7700000}"/>
    <cellStyle name="常规 9 2 2 3 2 2 3 3 3 3" xfId="32896" xr:uid="{00000000-0005-0000-0000-0000C8700000}"/>
    <cellStyle name="常规 9 2 2 3 2 2 3 3 4" xfId="14464" xr:uid="{00000000-0005-0000-0000-0000C9700000}"/>
    <cellStyle name="常规 9 2 2 3 2 2 3 3 4 2" xfId="39040" xr:uid="{00000000-0005-0000-0000-0000CA700000}"/>
    <cellStyle name="常规 9 2 2 3 2 2 3 3 5" xfId="26752" xr:uid="{00000000-0005-0000-0000-0000CB700000}"/>
    <cellStyle name="常规 9 2 2 3 2 2 3 4" xfId="3712" xr:uid="{00000000-0005-0000-0000-0000CC700000}"/>
    <cellStyle name="常规 9 2 2 3 2 2 3 4 2" xfId="9856" xr:uid="{00000000-0005-0000-0000-0000CD700000}"/>
    <cellStyle name="常规 9 2 2 3 2 2 3 4 2 2" xfId="22144" xr:uid="{00000000-0005-0000-0000-0000CE700000}"/>
    <cellStyle name="常规 9 2 2 3 2 2 3 4 2 2 2" xfId="46720" xr:uid="{00000000-0005-0000-0000-0000CF700000}"/>
    <cellStyle name="常规 9 2 2 3 2 2 3 4 2 3" xfId="34432" xr:uid="{00000000-0005-0000-0000-0000D0700000}"/>
    <cellStyle name="常规 9 2 2 3 2 2 3 4 3" xfId="16000" xr:uid="{00000000-0005-0000-0000-0000D1700000}"/>
    <cellStyle name="常规 9 2 2 3 2 2 3 4 3 2" xfId="40576" xr:uid="{00000000-0005-0000-0000-0000D2700000}"/>
    <cellStyle name="常规 9 2 2 3 2 2 3 4 4" xfId="28288" xr:uid="{00000000-0005-0000-0000-0000D3700000}"/>
    <cellStyle name="常规 9 2 2 3 2 2 3 5" xfId="6784" xr:uid="{00000000-0005-0000-0000-0000D4700000}"/>
    <cellStyle name="常规 9 2 2 3 2 2 3 5 2" xfId="19072" xr:uid="{00000000-0005-0000-0000-0000D5700000}"/>
    <cellStyle name="常规 9 2 2 3 2 2 3 5 2 2" xfId="43648" xr:uid="{00000000-0005-0000-0000-0000D6700000}"/>
    <cellStyle name="常规 9 2 2 3 2 2 3 5 3" xfId="31360" xr:uid="{00000000-0005-0000-0000-0000D7700000}"/>
    <cellStyle name="常规 9 2 2 3 2 2 3 6" xfId="12928" xr:uid="{00000000-0005-0000-0000-0000D8700000}"/>
    <cellStyle name="常规 9 2 2 3 2 2 3 6 2" xfId="37504" xr:uid="{00000000-0005-0000-0000-0000D9700000}"/>
    <cellStyle name="常规 9 2 2 3 2 2 3 7" xfId="25216" xr:uid="{00000000-0005-0000-0000-0000DA700000}"/>
    <cellStyle name="常规 9 2 2 3 2 2 4" xfId="1020" xr:uid="{00000000-0005-0000-0000-0000DB700000}"/>
    <cellStyle name="常规 9 2 2 3 2 2 4 2" xfId="2556" xr:uid="{00000000-0005-0000-0000-0000DC700000}"/>
    <cellStyle name="常规 9 2 2 3 2 2 4 2 2" xfId="5632" xr:uid="{00000000-0005-0000-0000-0000DD700000}"/>
    <cellStyle name="常规 9 2 2 3 2 2 4 2 2 2" xfId="11776" xr:uid="{00000000-0005-0000-0000-0000DE700000}"/>
    <cellStyle name="常规 9 2 2 3 2 2 4 2 2 2 2" xfId="24064" xr:uid="{00000000-0005-0000-0000-0000DF700000}"/>
    <cellStyle name="常规 9 2 2 3 2 2 4 2 2 2 2 2" xfId="48640" xr:uid="{00000000-0005-0000-0000-0000E0700000}"/>
    <cellStyle name="常规 9 2 2 3 2 2 4 2 2 2 3" xfId="36352" xr:uid="{00000000-0005-0000-0000-0000E1700000}"/>
    <cellStyle name="常规 9 2 2 3 2 2 4 2 2 3" xfId="17920" xr:uid="{00000000-0005-0000-0000-0000E2700000}"/>
    <cellStyle name="常规 9 2 2 3 2 2 4 2 2 3 2" xfId="42496" xr:uid="{00000000-0005-0000-0000-0000E3700000}"/>
    <cellStyle name="常规 9 2 2 3 2 2 4 2 2 4" xfId="30208" xr:uid="{00000000-0005-0000-0000-0000E4700000}"/>
    <cellStyle name="常规 9 2 2 3 2 2 4 2 3" xfId="8704" xr:uid="{00000000-0005-0000-0000-0000E5700000}"/>
    <cellStyle name="常规 9 2 2 3 2 2 4 2 3 2" xfId="20992" xr:uid="{00000000-0005-0000-0000-0000E6700000}"/>
    <cellStyle name="常规 9 2 2 3 2 2 4 2 3 2 2" xfId="45568" xr:uid="{00000000-0005-0000-0000-0000E7700000}"/>
    <cellStyle name="常规 9 2 2 3 2 2 4 2 3 3" xfId="33280" xr:uid="{00000000-0005-0000-0000-0000E8700000}"/>
    <cellStyle name="常规 9 2 2 3 2 2 4 2 4" xfId="14848" xr:uid="{00000000-0005-0000-0000-0000E9700000}"/>
    <cellStyle name="常规 9 2 2 3 2 2 4 2 4 2" xfId="39424" xr:uid="{00000000-0005-0000-0000-0000EA700000}"/>
    <cellStyle name="常规 9 2 2 3 2 2 4 2 5" xfId="27136" xr:uid="{00000000-0005-0000-0000-0000EB700000}"/>
    <cellStyle name="常规 9 2 2 3 2 2 4 3" xfId="4096" xr:uid="{00000000-0005-0000-0000-0000EC700000}"/>
    <cellStyle name="常规 9 2 2 3 2 2 4 3 2" xfId="10240" xr:uid="{00000000-0005-0000-0000-0000ED700000}"/>
    <cellStyle name="常规 9 2 2 3 2 2 4 3 2 2" xfId="22528" xr:uid="{00000000-0005-0000-0000-0000EE700000}"/>
    <cellStyle name="常规 9 2 2 3 2 2 4 3 2 2 2" xfId="47104" xr:uid="{00000000-0005-0000-0000-0000EF700000}"/>
    <cellStyle name="常规 9 2 2 3 2 2 4 3 2 3" xfId="34816" xr:uid="{00000000-0005-0000-0000-0000F0700000}"/>
    <cellStyle name="常规 9 2 2 3 2 2 4 3 3" xfId="16384" xr:uid="{00000000-0005-0000-0000-0000F1700000}"/>
    <cellStyle name="常规 9 2 2 3 2 2 4 3 3 2" xfId="40960" xr:uid="{00000000-0005-0000-0000-0000F2700000}"/>
    <cellStyle name="常规 9 2 2 3 2 2 4 3 4" xfId="28672" xr:uid="{00000000-0005-0000-0000-0000F3700000}"/>
    <cellStyle name="常规 9 2 2 3 2 2 4 4" xfId="7168" xr:uid="{00000000-0005-0000-0000-0000F4700000}"/>
    <cellStyle name="常规 9 2 2 3 2 2 4 4 2" xfId="19456" xr:uid="{00000000-0005-0000-0000-0000F5700000}"/>
    <cellStyle name="常规 9 2 2 3 2 2 4 4 2 2" xfId="44032" xr:uid="{00000000-0005-0000-0000-0000F6700000}"/>
    <cellStyle name="常规 9 2 2 3 2 2 4 4 3" xfId="31744" xr:uid="{00000000-0005-0000-0000-0000F7700000}"/>
    <cellStyle name="常规 9 2 2 3 2 2 4 5" xfId="13312" xr:uid="{00000000-0005-0000-0000-0000F8700000}"/>
    <cellStyle name="常规 9 2 2 3 2 2 4 5 2" xfId="37888" xr:uid="{00000000-0005-0000-0000-0000F9700000}"/>
    <cellStyle name="常规 9 2 2 3 2 2 4 6" xfId="25600" xr:uid="{00000000-0005-0000-0000-0000FA700000}"/>
    <cellStyle name="常规 9 2 2 3 2 2 5" xfId="1788" xr:uid="{00000000-0005-0000-0000-0000FB700000}"/>
    <cellStyle name="常规 9 2 2 3 2 2 5 2" xfId="4864" xr:uid="{00000000-0005-0000-0000-0000FC700000}"/>
    <cellStyle name="常规 9 2 2 3 2 2 5 2 2" xfId="11008" xr:uid="{00000000-0005-0000-0000-0000FD700000}"/>
    <cellStyle name="常规 9 2 2 3 2 2 5 2 2 2" xfId="23296" xr:uid="{00000000-0005-0000-0000-0000FE700000}"/>
    <cellStyle name="常规 9 2 2 3 2 2 5 2 2 2 2" xfId="47872" xr:uid="{00000000-0005-0000-0000-0000FF700000}"/>
    <cellStyle name="常规 9 2 2 3 2 2 5 2 2 3" xfId="35584" xr:uid="{00000000-0005-0000-0000-000000710000}"/>
    <cellStyle name="常规 9 2 2 3 2 2 5 2 3" xfId="17152" xr:uid="{00000000-0005-0000-0000-000001710000}"/>
    <cellStyle name="常规 9 2 2 3 2 2 5 2 3 2" xfId="41728" xr:uid="{00000000-0005-0000-0000-000002710000}"/>
    <cellStyle name="常规 9 2 2 3 2 2 5 2 4" xfId="29440" xr:uid="{00000000-0005-0000-0000-000003710000}"/>
    <cellStyle name="常规 9 2 2 3 2 2 5 3" xfId="7936" xr:uid="{00000000-0005-0000-0000-000004710000}"/>
    <cellStyle name="常规 9 2 2 3 2 2 5 3 2" xfId="20224" xr:uid="{00000000-0005-0000-0000-000005710000}"/>
    <cellStyle name="常规 9 2 2 3 2 2 5 3 2 2" xfId="44800" xr:uid="{00000000-0005-0000-0000-000006710000}"/>
    <cellStyle name="常规 9 2 2 3 2 2 5 3 3" xfId="32512" xr:uid="{00000000-0005-0000-0000-000007710000}"/>
    <cellStyle name="常规 9 2 2 3 2 2 5 4" xfId="14080" xr:uid="{00000000-0005-0000-0000-000008710000}"/>
    <cellStyle name="常规 9 2 2 3 2 2 5 4 2" xfId="38656" xr:uid="{00000000-0005-0000-0000-000009710000}"/>
    <cellStyle name="常规 9 2 2 3 2 2 5 5" xfId="26368" xr:uid="{00000000-0005-0000-0000-00000A710000}"/>
    <cellStyle name="常规 9 2 2 3 2 2 6" xfId="3328" xr:uid="{00000000-0005-0000-0000-00000B710000}"/>
    <cellStyle name="常规 9 2 2 3 2 2 6 2" xfId="9472" xr:uid="{00000000-0005-0000-0000-00000C710000}"/>
    <cellStyle name="常规 9 2 2 3 2 2 6 2 2" xfId="21760" xr:uid="{00000000-0005-0000-0000-00000D710000}"/>
    <cellStyle name="常规 9 2 2 3 2 2 6 2 2 2" xfId="46336" xr:uid="{00000000-0005-0000-0000-00000E710000}"/>
    <cellStyle name="常规 9 2 2 3 2 2 6 2 3" xfId="34048" xr:uid="{00000000-0005-0000-0000-00000F710000}"/>
    <cellStyle name="常规 9 2 2 3 2 2 6 3" xfId="15616" xr:uid="{00000000-0005-0000-0000-000010710000}"/>
    <cellStyle name="常规 9 2 2 3 2 2 6 3 2" xfId="40192" xr:uid="{00000000-0005-0000-0000-000011710000}"/>
    <cellStyle name="常规 9 2 2 3 2 2 6 4" xfId="27904" xr:uid="{00000000-0005-0000-0000-000012710000}"/>
    <cellStyle name="常规 9 2 2 3 2 2 7" xfId="6400" xr:uid="{00000000-0005-0000-0000-000013710000}"/>
    <cellStyle name="常规 9 2 2 3 2 2 7 2" xfId="18688" xr:uid="{00000000-0005-0000-0000-000014710000}"/>
    <cellStyle name="常规 9 2 2 3 2 2 7 2 2" xfId="43264" xr:uid="{00000000-0005-0000-0000-000015710000}"/>
    <cellStyle name="常规 9 2 2 3 2 2 7 3" xfId="30976" xr:uid="{00000000-0005-0000-0000-000016710000}"/>
    <cellStyle name="常规 9 2 2 3 2 2 8" xfId="12544" xr:uid="{00000000-0005-0000-0000-000017710000}"/>
    <cellStyle name="常规 9 2 2 3 2 2 8 2" xfId="37120" xr:uid="{00000000-0005-0000-0000-000018710000}"/>
    <cellStyle name="常规 9 2 2 3 2 2 9" xfId="24832" xr:uid="{00000000-0005-0000-0000-000019710000}"/>
    <cellStyle name="常规 9 2 2 3 2 3" xfId="316" xr:uid="{00000000-0005-0000-0000-00001A710000}"/>
    <cellStyle name="常规 9 2 2 3 2 3 2" xfId="508" xr:uid="{00000000-0005-0000-0000-00001B710000}"/>
    <cellStyle name="常规 9 2 2 3 2 3 2 2" xfId="892" xr:uid="{00000000-0005-0000-0000-00001C710000}"/>
    <cellStyle name="常规 9 2 2 3 2 3 2 2 2" xfId="1660" xr:uid="{00000000-0005-0000-0000-00001D710000}"/>
    <cellStyle name="常规 9 2 2 3 2 3 2 2 2 2" xfId="3196" xr:uid="{00000000-0005-0000-0000-00001E710000}"/>
    <cellStyle name="常规 9 2 2 3 2 3 2 2 2 2 2" xfId="6272" xr:uid="{00000000-0005-0000-0000-00001F710000}"/>
    <cellStyle name="常规 9 2 2 3 2 3 2 2 2 2 2 2" xfId="12416" xr:uid="{00000000-0005-0000-0000-000020710000}"/>
    <cellStyle name="常规 9 2 2 3 2 3 2 2 2 2 2 2 2" xfId="24704" xr:uid="{00000000-0005-0000-0000-000021710000}"/>
    <cellStyle name="常规 9 2 2 3 2 3 2 2 2 2 2 2 2 2" xfId="49280" xr:uid="{00000000-0005-0000-0000-000022710000}"/>
    <cellStyle name="常规 9 2 2 3 2 3 2 2 2 2 2 2 3" xfId="36992" xr:uid="{00000000-0005-0000-0000-000023710000}"/>
    <cellStyle name="常规 9 2 2 3 2 3 2 2 2 2 2 3" xfId="18560" xr:uid="{00000000-0005-0000-0000-000024710000}"/>
    <cellStyle name="常规 9 2 2 3 2 3 2 2 2 2 2 3 2" xfId="43136" xr:uid="{00000000-0005-0000-0000-000025710000}"/>
    <cellStyle name="常规 9 2 2 3 2 3 2 2 2 2 2 4" xfId="30848" xr:uid="{00000000-0005-0000-0000-000026710000}"/>
    <cellStyle name="常规 9 2 2 3 2 3 2 2 2 2 3" xfId="9344" xr:uid="{00000000-0005-0000-0000-000027710000}"/>
    <cellStyle name="常规 9 2 2 3 2 3 2 2 2 2 3 2" xfId="21632" xr:uid="{00000000-0005-0000-0000-000028710000}"/>
    <cellStyle name="常规 9 2 2 3 2 3 2 2 2 2 3 2 2" xfId="46208" xr:uid="{00000000-0005-0000-0000-000029710000}"/>
    <cellStyle name="常规 9 2 2 3 2 3 2 2 2 2 3 3" xfId="33920" xr:uid="{00000000-0005-0000-0000-00002A710000}"/>
    <cellStyle name="常规 9 2 2 3 2 3 2 2 2 2 4" xfId="15488" xr:uid="{00000000-0005-0000-0000-00002B710000}"/>
    <cellStyle name="常规 9 2 2 3 2 3 2 2 2 2 4 2" xfId="40064" xr:uid="{00000000-0005-0000-0000-00002C710000}"/>
    <cellStyle name="常规 9 2 2 3 2 3 2 2 2 2 5" xfId="27776" xr:uid="{00000000-0005-0000-0000-00002D710000}"/>
    <cellStyle name="常规 9 2 2 3 2 3 2 2 2 3" xfId="4736" xr:uid="{00000000-0005-0000-0000-00002E710000}"/>
    <cellStyle name="常规 9 2 2 3 2 3 2 2 2 3 2" xfId="10880" xr:uid="{00000000-0005-0000-0000-00002F710000}"/>
    <cellStyle name="常规 9 2 2 3 2 3 2 2 2 3 2 2" xfId="23168" xr:uid="{00000000-0005-0000-0000-000030710000}"/>
    <cellStyle name="常规 9 2 2 3 2 3 2 2 2 3 2 2 2" xfId="47744" xr:uid="{00000000-0005-0000-0000-000031710000}"/>
    <cellStyle name="常规 9 2 2 3 2 3 2 2 2 3 2 3" xfId="35456" xr:uid="{00000000-0005-0000-0000-000032710000}"/>
    <cellStyle name="常规 9 2 2 3 2 3 2 2 2 3 3" xfId="17024" xr:uid="{00000000-0005-0000-0000-000033710000}"/>
    <cellStyle name="常规 9 2 2 3 2 3 2 2 2 3 3 2" xfId="41600" xr:uid="{00000000-0005-0000-0000-000034710000}"/>
    <cellStyle name="常规 9 2 2 3 2 3 2 2 2 3 4" xfId="29312" xr:uid="{00000000-0005-0000-0000-000035710000}"/>
    <cellStyle name="常规 9 2 2 3 2 3 2 2 2 4" xfId="7808" xr:uid="{00000000-0005-0000-0000-000036710000}"/>
    <cellStyle name="常规 9 2 2 3 2 3 2 2 2 4 2" xfId="20096" xr:uid="{00000000-0005-0000-0000-000037710000}"/>
    <cellStyle name="常规 9 2 2 3 2 3 2 2 2 4 2 2" xfId="44672" xr:uid="{00000000-0005-0000-0000-000038710000}"/>
    <cellStyle name="常规 9 2 2 3 2 3 2 2 2 4 3" xfId="32384" xr:uid="{00000000-0005-0000-0000-000039710000}"/>
    <cellStyle name="常规 9 2 2 3 2 3 2 2 2 5" xfId="13952" xr:uid="{00000000-0005-0000-0000-00003A710000}"/>
    <cellStyle name="常规 9 2 2 3 2 3 2 2 2 5 2" xfId="38528" xr:uid="{00000000-0005-0000-0000-00003B710000}"/>
    <cellStyle name="常规 9 2 2 3 2 3 2 2 2 6" xfId="26240" xr:uid="{00000000-0005-0000-0000-00003C710000}"/>
    <cellStyle name="常规 9 2 2 3 2 3 2 2 3" xfId="2428" xr:uid="{00000000-0005-0000-0000-00003D710000}"/>
    <cellStyle name="常规 9 2 2 3 2 3 2 2 3 2" xfId="5504" xr:uid="{00000000-0005-0000-0000-00003E710000}"/>
    <cellStyle name="常规 9 2 2 3 2 3 2 2 3 2 2" xfId="11648" xr:uid="{00000000-0005-0000-0000-00003F710000}"/>
    <cellStyle name="常规 9 2 2 3 2 3 2 2 3 2 2 2" xfId="23936" xr:uid="{00000000-0005-0000-0000-000040710000}"/>
    <cellStyle name="常规 9 2 2 3 2 3 2 2 3 2 2 2 2" xfId="48512" xr:uid="{00000000-0005-0000-0000-000041710000}"/>
    <cellStyle name="常规 9 2 2 3 2 3 2 2 3 2 2 3" xfId="36224" xr:uid="{00000000-0005-0000-0000-000042710000}"/>
    <cellStyle name="常规 9 2 2 3 2 3 2 2 3 2 3" xfId="17792" xr:uid="{00000000-0005-0000-0000-000043710000}"/>
    <cellStyle name="常规 9 2 2 3 2 3 2 2 3 2 3 2" xfId="42368" xr:uid="{00000000-0005-0000-0000-000044710000}"/>
    <cellStyle name="常规 9 2 2 3 2 3 2 2 3 2 4" xfId="30080" xr:uid="{00000000-0005-0000-0000-000045710000}"/>
    <cellStyle name="常规 9 2 2 3 2 3 2 2 3 3" xfId="8576" xr:uid="{00000000-0005-0000-0000-000046710000}"/>
    <cellStyle name="常规 9 2 2 3 2 3 2 2 3 3 2" xfId="20864" xr:uid="{00000000-0005-0000-0000-000047710000}"/>
    <cellStyle name="常规 9 2 2 3 2 3 2 2 3 3 2 2" xfId="45440" xr:uid="{00000000-0005-0000-0000-000048710000}"/>
    <cellStyle name="常规 9 2 2 3 2 3 2 2 3 3 3" xfId="33152" xr:uid="{00000000-0005-0000-0000-000049710000}"/>
    <cellStyle name="常规 9 2 2 3 2 3 2 2 3 4" xfId="14720" xr:uid="{00000000-0005-0000-0000-00004A710000}"/>
    <cellStyle name="常规 9 2 2 3 2 3 2 2 3 4 2" xfId="39296" xr:uid="{00000000-0005-0000-0000-00004B710000}"/>
    <cellStyle name="常规 9 2 2 3 2 3 2 2 3 5" xfId="27008" xr:uid="{00000000-0005-0000-0000-00004C710000}"/>
    <cellStyle name="常规 9 2 2 3 2 3 2 2 4" xfId="3968" xr:uid="{00000000-0005-0000-0000-00004D710000}"/>
    <cellStyle name="常规 9 2 2 3 2 3 2 2 4 2" xfId="10112" xr:uid="{00000000-0005-0000-0000-00004E710000}"/>
    <cellStyle name="常规 9 2 2 3 2 3 2 2 4 2 2" xfId="22400" xr:uid="{00000000-0005-0000-0000-00004F710000}"/>
    <cellStyle name="常规 9 2 2 3 2 3 2 2 4 2 2 2" xfId="46976" xr:uid="{00000000-0005-0000-0000-000050710000}"/>
    <cellStyle name="常规 9 2 2 3 2 3 2 2 4 2 3" xfId="34688" xr:uid="{00000000-0005-0000-0000-000051710000}"/>
    <cellStyle name="常规 9 2 2 3 2 3 2 2 4 3" xfId="16256" xr:uid="{00000000-0005-0000-0000-000052710000}"/>
    <cellStyle name="常规 9 2 2 3 2 3 2 2 4 3 2" xfId="40832" xr:uid="{00000000-0005-0000-0000-000053710000}"/>
    <cellStyle name="常规 9 2 2 3 2 3 2 2 4 4" xfId="28544" xr:uid="{00000000-0005-0000-0000-000054710000}"/>
    <cellStyle name="常规 9 2 2 3 2 3 2 2 5" xfId="7040" xr:uid="{00000000-0005-0000-0000-000055710000}"/>
    <cellStyle name="常规 9 2 2 3 2 3 2 2 5 2" xfId="19328" xr:uid="{00000000-0005-0000-0000-000056710000}"/>
    <cellStyle name="常规 9 2 2 3 2 3 2 2 5 2 2" xfId="43904" xr:uid="{00000000-0005-0000-0000-000057710000}"/>
    <cellStyle name="常规 9 2 2 3 2 3 2 2 5 3" xfId="31616" xr:uid="{00000000-0005-0000-0000-000058710000}"/>
    <cellStyle name="常规 9 2 2 3 2 3 2 2 6" xfId="13184" xr:uid="{00000000-0005-0000-0000-000059710000}"/>
    <cellStyle name="常规 9 2 2 3 2 3 2 2 6 2" xfId="37760" xr:uid="{00000000-0005-0000-0000-00005A710000}"/>
    <cellStyle name="常规 9 2 2 3 2 3 2 2 7" xfId="25472" xr:uid="{00000000-0005-0000-0000-00005B710000}"/>
    <cellStyle name="常规 9 2 2 3 2 3 2 3" xfId="1276" xr:uid="{00000000-0005-0000-0000-00005C710000}"/>
    <cellStyle name="常规 9 2 2 3 2 3 2 3 2" xfId="2812" xr:uid="{00000000-0005-0000-0000-00005D710000}"/>
    <cellStyle name="常规 9 2 2 3 2 3 2 3 2 2" xfId="5888" xr:uid="{00000000-0005-0000-0000-00005E710000}"/>
    <cellStyle name="常规 9 2 2 3 2 3 2 3 2 2 2" xfId="12032" xr:uid="{00000000-0005-0000-0000-00005F710000}"/>
    <cellStyle name="常规 9 2 2 3 2 3 2 3 2 2 2 2" xfId="24320" xr:uid="{00000000-0005-0000-0000-000060710000}"/>
    <cellStyle name="常规 9 2 2 3 2 3 2 3 2 2 2 2 2" xfId="48896" xr:uid="{00000000-0005-0000-0000-000061710000}"/>
    <cellStyle name="常规 9 2 2 3 2 3 2 3 2 2 2 3" xfId="36608" xr:uid="{00000000-0005-0000-0000-000062710000}"/>
    <cellStyle name="常规 9 2 2 3 2 3 2 3 2 2 3" xfId="18176" xr:uid="{00000000-0005-0000-0000-000063710000}"/>
    <cellStyle name="常规 9 2 2 3 2 3 2 3 2 2 3 2" xfId="42752" xr:uid="{00000000-0005-0000-0000-000064710000}"/>
    <cellStyle name="常规 9 2 2 3 2 3 2 3 2 2 4" xfId="30464" xr:uid="{00000000-0005-0000-0000-000065710000}"/>
    <cellStyle name="常规 9 2 2 3 2 3 2 3 2 3" xfId="8960" xr:uid="{00000000-0005-0000-0000-000066710000}"/>
    <cellStyle name="常规 9 2 2 3 2 3 2 3 2 3 2" xfId="21248" xr:uid="{00000000-0005-0000-0000-000067710000}"/>
    <cellStyle name="常规 9 2 2 3 2 3 2 3 2 3 2 2" xfId="45824" xr:uid="{00000000-0005-0000-0000-000068710000}"/>
    <cellStyle name="常规 9 2 2 3 2 3 2 3 2 3 3" xfId="33536" xr:uid="{00000000-0005-0000-0000-000069710000}"/>
    <cellStyle name="常规 9 2 2 3 2 3 2 3 2 4" xfId="15104" xr:uid="{00000000-0005-0000-0000-00006A710000}"/>
    <cellStyle name="常规 9 2 2 3 2 3 2 3 2 4 2" xfId="39680" xr:uid="{00000000-0005-0000-0000-00006B710000}"/>
    <cellStyle name="常规 9 2 2 3 2 3 2 3 2 5" xfId="27392" xr:uid="{00000000-0005-0000-0000-00006C710000}"/>
    <cellStyle name="常规 9 2 2 3 2 3 2 3 3" xfId="4352" xr:uid="{00000000-0005-0000-0000-00006D710000}"/>
    <cellStyle name="常规 9 2 2 3 2 3 2 3 3 2" xfId="10496" xr:uid="{00000000-0005-0000-0000-00006E710000}"/>
    <cellStyle name="常规 9 2 2 3 2 3 2 3 3 2 2" xfId="22784" xr:uid="{00000000-0005-0000-0000-00006F710000}"/>
    <cellStyle name="常规 9 2 2 3 2 3 2 3 3 2 2 2" xfId="47360" xr:uid="{00000000-0005-0000-0000-000070710000}"/>
    <cellStyle name="常规 9 2 2 3 2 3 2 3 3 2 3" xfId="35072" xr:uid="{00000000-0005-0000-0000-000071710000}"/>
    <cellStyle name="常规 9 2 2 3 2 3 2 3 3 3" xfId="16640" xr:uid="{00000000-0005-0000-0000-000072710000}"/>
    <cellStyle name="常规 9 2 2 3 2 3 2 3 3 3 2" xfId="41216" xr:uid="{00000000-0005-0000-0000-000073710000}"/>
    <cellStyle name="常规 9 2 2 3 2 3 2 3 3 4" xfId="28928" xr:uid="{00000000-0005-0000-0000-000074710000}"/>
    <cellStyle name="常规 9 2 2 3 2 3 2 3 4" xfId="7424" xr:uid="{00000000-0005-0000-0000-000075710000}"/>
    <cellStyle name="常规 9 2 2 3 2 3 2 3 4 2" xfId="19712" xr:uid="{00000000-0005-0000-0000-000076710000}"/>
    <cellStyle name="常规 9 2 2 3 2 3 2 3 4 2 2" xfId="44288" xr:uid="{00000000-0005-0000-0000-000077710000}"/>
    <cellStyle name="常规 9 2 2 3 2 3 2 3 4 3" xfId="32000" xr:uid="{00000000-0005-0000-0000-000078710000}"/>
    <cellStyle name="常规 9 2 2 3 2 3 2 3 5" xfId="13568" xr:uid="{00000000-0005-0000-0000-000079710000}"/>
    <cellStyle name="常规 9 2 2 3 2 3 2 3 5 2" xfId="38144" xr:uid="{00000000-0005-0000-0000-00007A710000}"/>
    <cellStyle name="常规 9 2 2 3 2 3 2 3 6" xfId="25856" xr:uid="{00000000-0005-0000-0000-00007B710000}"/>
    <cellStyle name="常规 9 2 2 3 2 3 2 4" xfId="2044" xr:uid="{00000000-0005-0000-0000-00007C710000}"/>
    <cellStyle name="常规 9 2 2 3 2 3 2 4 2" xfId="5120" xr:uid="{00000000-0005-0000-0000-00007D710000}"/>
    <cellStyle name="常规 9 2 2 3 2 3 2 4 2 2" xfId="11264" xr:uid="{00000000-0005-0000-0000-00007E710000}"/>
    <cellStyle name="常规 9 2 2 3 2 3 2 4 2 2 2" xfId="23552" xr:uid="{00000000-0005-0000-0000-00007F710000}"/>
    <cellStyle name="常规 9 2 2 3 2 3 2 4 2 2 2 2" xfId="48128" xr:uid="{00000000-0005-0000-0000-000080710000}"/>
    <cellStyle name="常规 9 2 2 3 2 3 2 4 2 2 3" xfId="35840" xr:uid="{00000000-0005-0000-0000-000081710000}"/>
    <cellStyle name="常规 9 2 2 3 2 3 2 4 2 3" xfId="17408" xr:uid="{00000000-0005-0000-0000-000082710000}"/>
    <cellStyle name="常规 9 2 2 3 2 3 2 4 2 3 2" xfId="41984" xr:uid="{00000000-0005-0000-0000-000083710000}"/>
    <cellStyle name="常规 9 2 2 3 2 3 2 4 2 4" xfId="29696" xr:uid="{00000000-0005-0000-0000-000084710000}"/>
    <cellStyle name="常规 9 2 2 3 2 3 2 4 3" xfId="8192" xr:uid="{00000000-0005-0000-0000-000085710000}"/>
    <cellStyle name="常规 9 2 2 3 2 3 2 4 3 2" xfId="20480" xr:uid="{00000000-0005-0000-0000-000086710000}"/>
    <cellStyle name="常规 9 2 2 3 2 3 2 4 3 2 2" xfId="45056" xr:uid="{00000000-0005-0000-0000-000087710000}"/>
    <cellStyle name="常规 9 2 2 3 2 3 2 4 3 3" xfId="32768" xr:uid="{00000000-0005-0000-0000-000088710000}"/>
    <cellStyle name="常规 9 2 2 3 2 3 2 4 4" xfId="14336" xr:uid="{00000000-0005-0000-0000-000089710000}"/>
    <cellStyle name="常规 9 2 2 3 2 3 2 4 4 2" xfId="38912" xr:uid="{00000000-0005-0000-0000-00008A710000}"/>
    <cellStyle name="常规 9 2 2 3 2 3 2 4 5" xfId="26624" xr:uid="{00000000-0005-0000-0000-00008B710000}"/>
    <cellStyle name="常规 9 2 2 3 2 3 2 5" xfId="3584" xr:uid="{00000000-0005-0000-0000-00008C710000}"/>
    <cellStyle name="常规 9 2 2 3 2 3 2 5 2" xfId="9728" xr:uid="{00000000-0005-0000-0000-00008D710000}"/>
    <cellStyle name="常规 9 2 2 3 2 3 2 5 2 2" xfId="22016" xr:uid="{00000000-0005-0000-0000-00008E710000}"/>
    <cellStyle name="常规 9 2 2 3 2 3 2 5 2 2 2" xfId="46592" xr:uid="{00000000-0005-0000-0000-00008F710000}"/>
    <cellStyle name="常规 9 2 2 3 2 3 2 5 2 3" xfId="34304" xr:uid="{00000000-0005-0000-0000-000090710000}"/>
    <cellStyle name="常规 9 2 2 3 2 3 2 5 3" xfId="15872" xr:uid="{00000000-0005-0000-0000-000091710000}"/>
    <cellStyle name="常规 9 2 2 3 2 3 2 5 3 2" xfId="40448" xr:uid="{00000000-0005-0000-0000-000092710000}"/>
    <cellStyle name="常规 9 2 2 3 2 3 2 5 4" xfId="28160" xr:uid="{00000000-0005-0000-0000-000093710000}"/>
    <cellStyle name="常规 9 2 2 3 2 3 2 6" xfId="6656" xr:uid="{00000000-0005-0000-0000-000094710000}"/>
    <cellStyle name="常规 9 2 2 3 2 3 2 6 2" xfId="18944" xr:uid="{00000000-0005-0000-0000-000095710000}"/>
    <cellStyle name="常规 9 2 2 3 2 3 2 6 2 2" xfId="43520" xr:uid="{00000000-0005-0000-0000-000096710000}"/>
    <cellStyle name="常规 9 2 2 3 2 3 2 6 3" xfId="31232" xr:uid="{00000000-0005-0000-0000-000097710000}"/>
    <cellStyle name="常规 9 2 2 3 2 3 2 7" xfId="12800" xr:uid="{00000000-0005-0000-0000-000098710000}"/>
    <cellStyle name="常规 9 2 2 3 2 3 2 7 2" xfId="37376" xr:uid="{00000000-0005-0000-0000-000099710000}"/>
    <cellStyle name="常规 9 2 2 3 2 3 2 8" xfId="25088" xr:uid="{00000000-0005-0000-0000-00009A710000}"/>
    <cellStyle name="常规 9 2 2 3 2 3 3" xfId="700" xr:uid="{00000000-0005-0000-0000-00009B710000}"/>
    <cellStyle name="常规 9 2 2 3 2 3 3 2" xfId="1468" xr:uid="{00000000-0005-0000-0000-00009C710000}"/>
    <cellStyle name="常规 9 2 2 3 2 3 3 2 2" xfId="3004" xr:uid="{00000000-0005-0000-0000-00009D710000}"/>
    <cellStyle name="常规 9 2 2 3 2 3 3 2 2 2" xfId="6080" xr:uid="{00000000-0005-0000-0000-00009E710000}"/>
    <cellStyle name="常规 9 2 2 3 2 3 3 2 2 2 2" xfId="12224" xr:uid="{00000000-0005-0000-0000-00009F710000}"/>
    <cellStyle name="常规 9 2 2 3 2 3 3 2 2 2 2 2" xfId="24512" xr:uid="{00000000-0005-0000-0000-0000A0710000}"/>
    <cellStyle name="常规 9 2 2 3 2 3 3 2 2 2 2 2 2" xfId="49088" xr:uid="{00000000-0005-0000-0000-0000A1710000}"/>
    <cellStyle name="常规 9 2 2 3 2 3 3 2 2 2 2 3" xfId="36800" xr:uid="{00000000-0005-0000-0000-0000A2710000}"/>
    <cellStyle name="常规 9 2 2 3 2 3 3 2 2 2 3" xfId="18368" xr:uid="{00000000-0005-0000-0000-0000A3710000}"/>
    <cellStyle name="常规 9 2 2 3 2 3 3 2 2 2 3 2" xfId="42944" xr:uid="{00000000-0005-0000-0000-0000A4710000}"/>
    <cellStyle name="常规 9 2 2 3 2 3 3 2 2 2 4" xfId="30656" xr:uid="{00000000-0005-0000-0000-0000A5710000}"/>
    <cellStyle name="常规 9 2 2 3 2 3 3 2 2 3" xfId="9152" xr:uid="{00000000-0005-0000-0000-0000A6710000}"/>
    <cellStyle name="常规 9 2 2 3 2 3 3 2 2 3 2" xfId="21440" xr:uid="{00000000-0005-0000-0000-0000A7710000}"/>
    <cellStyle name="常规 9 2 2 3 2 3 3 2 2 3 2 2" xfId="46016" xr:uid="{00000000-0005-0000-0000-0000A8710000}"/>
    <cellStyle name="常规 9 2 2 3 2 3 3 2 2 3 3" xfId="33728" xr:uid="{00000000-0005-0000-0000-0000A9710000}"/>
    <cellStyle name="常规 9 2 2 3 2 3 3 2 2 4" xfId="15296" xr:uid="{00000000-0005-0000-0000-0000AA710000}"/>
    <cellStyle name="常规 9 2 2 3 2 3 3 2 2 4 2" xfId="39872" xr:uid="{00000000-0005-0000-0000-0000AB710000}"/>
    <cellStyle name="常规 9 2 2 3 2 3 3 2 2 5" xfId="27584" xr:uid="{00000000-0005-0000-0000-0000AC710000}"/>
    <cellStyle name="常规 9 2 2 3 2 3 3 2 3" xfId="4544" xr:uid="{00000000-0005-0000-0000-0000AD710000}"/>
    <cellStyle name="常规 9 2 2 3 2 3 3 2 3 2" xfId="10688" xr:uid="{00000000-0005-0000-0000-0000AE710000}"/>
    <cellStyle name="常规 9 2 2 3 2 3 3 2 3 2 2" xfId="22976" xr:uid="{00000000-0005-0000-0000-0000AF710000}"/>
    <cellStyle name="常规 9 2 2 3 2 3 3 2 3 2 2 2" xfId="47552" xr:uid="{00000000-0005-0000-0000-0000B0710000}"/>
    <cellStyle name="常规 9 2 2 3 2 3 3 2 3 2 3" xfId="35264" xr:uid="{00000000-0005-0000-0000-0000B1710000}"/>
    <cellStyle name="常规 9 2 2 3 2 3 3 2 3 3" xfId="16832" xr:uid="{00000000-0005-0000-0000-0000B2710000}"/>
    <cellStyle name="常规 9 2 2 3 2 3 3 2 3 3 2" xfId="41408" xr:uid="{00000000-0005-0000-0000-0000B3710000}"/>
    <cellStyle name="常规 9 2 2 3 2 3 3 2 3 4" xfId="29120" xr:uid="{00000000-0005-0000-0000-0000B4710000}"/>
    <cellStyle name="常规 9 2 2 3 2 3 3 2 4" xfId="7616" xr:uid="{00000000-0005-0000-0000-0000B5710000}"/>
    <cellStyle name="常规 9 2 2 3 2 3 3 2 4 2" xfId="19904" xr:uid="{00000000-0005-0000-0000-0000B6710000}"/>
    <cellStyle name="常规 9 2 2 3 2 3 3 2 4 2 2" xfId="44480" xr:uid="{00000000-0005-0000-0000-0000B7710000}"/>
    <cellStyle name="常规 9 2 2 3 2 3 3 2 4 3" xfId="32192" xr:uid="{00000000-0005-0000-0000-0000B8710000}"/>
    <cellStyle name="常规 9 2 2 3 2 3 3 2 5" xfId="13760" xr:uid="{00000000-0005-0000-0000-0000B9710000}"/>
    <cellStyle name="常规 9 2 2 3 2 3 3 2 5 2" xfId="38336" xr:uid="{00000000-0005-0000-0000-0000BA710000}"/>
    <cellStyle name="常规 9 2 2 3 2 3 3 2 6" xfId="26048" xr:uid="{00000000-0005-0000-0000-0000BB710000}"/>
    <cellStyle name="常规 9 2 2 3 2 3 3 3" xfId="2236" xr:uid="{00000000-0005-0000-0000-0000BC710000}"/>
    <cellStyle name="常规 9 2 2 3 2 3 3 3 2" xfId="5312" xr:uid="{00000000-0005-0000-0000-0000BD710000}"/>
    <cellStyle name="常规 9 2 2 3 2 3 3 3 2 2" xfId="11456" xr:uid="{00000000-0005-0000-0000-0000BE710000}"/>
    <cellStyle name="常规 9 2 2 3 2 3 3 3 2 2 2" xfId="23744" xr:uid="{00000000-0005-0000-0000-0000BF710000}"/>
    <cellStyle name="常规 9 2 2 3 2 3 3 3 2 2 2 2" xfId="48320" xr:uid="{00000000-0005-0000-0000-0000C0710000}"/>
    <cellStyle name="常规 9 2 2 3 2 3 3 3 2 2 3" xfId="36032" xr:uid="{00000000-0005-0000-0000-0000C1710000}"/>
    <cellStyle name="常规 9 2 2 3 2 3 3 3 2 3" xfId="17600" xr:uid="{00000000-0005-0000-0000-0000C2710000}"/>
    <cellStyle name="常规 9 2 2 3 2 3 3 3 2 3 2" xfId="42176" xr:uid="{00000000-0005-0000-0000-0000C3710000}"/>
    <cellStyle name="常规 9 2 2 3 2 3 3 3 2 4" xfId="29888" xr:uid="{00000000-0005-0000-0000-0000C4710000}"/>
    <cellStyle name="常规 9 2 2 3 2 3 3 3 3" xfId="8384" xr:uid="{00000000-0005-0000-0000-0000C5710000}"/>
    <cellStyle name="常规 9 2 2 3 2 3 3 3 3 2" xfId="20672" xr:uid="{00000000-0005-0000-0000-0000C6710000}"/>
    <cellStyle name="常规 9 2 2 3 2 3 3 3 3 2 2" xfId="45248" xr:uid="{00000000-0005-0000-0000-0000C7710000}"/>
    <cellStyle name="常规 9 2 2 3 2 3 3 3 3 3" xfId="32960" xr:uid="{00000000-0005-0000-0000-0000C8710000}"/>
    <cellStyle name="常规 9 2 2 3 2 3 3 3 4" xfId="14528" xr:uid="{00000000-0005-0000-0000-0000C9710000}"/>
    <cellStyle name="常规 9 2 2 3 2 3 3 3 4 2" xfId="39104" xr:uid="{00000000-0005-0000-0000-0000CA710000}"/>
    <cellStyle name="常规 9 2 2 3 2 3 3 3 5" xfId="26816" xr:uid="{00000000-0005-0000-0000-0000CB710000}"/>
    <cellStyle name="常规 9 2 2 3 2 3 3 4" xfId="3776" xr:uid="{00000000-0005-0000-0000-0000CC710000}"/>
    <cellStyle name="常规 9 2 2 3 2 3 3 4 2" xfId="9920" xr:uid="{00000000-0005-0000-0000-0000CD710000}"/>
    <cellStyle name="常规 9 2 2 3 2 3 3 4 2 2" xfId="22208" xr:uid="{00000000-0005-0000-0000-0000CE710000}"/>
    <cellStyle name="常规 9 2 2 3 2 3 3 4 2 2 2" xfId="46784" xr:uid="{00000000-0005-0000-0000-0000CF710000}"/>
    <cellStyle name="常规 9 2 2 3 2 3 3 4 2 3" xfId="34496" xr:uid="{00000000-0005-0000-0000-0000D0710000}"/>
    <cellStyle name="常规 9 2 2 3 2 3 3 4 3" xfId="16064" xr:uid="{00000000-0005-0000-0000-0000D1710000}"/>
    <cellStyle name="常规 9 2 2 3 2 3 3 4 3 2" xfId="40640" xr:uid="{00000000-0005-0000-0000-0000D2710000}"/>
    <cellStyle name="常规 9 2 2 3 2 3 3 4 4" xfId="28352" xr:uid="{00000000-0005-0000-0000-0000D3710000}"/>
    <cellStyle name="常规 9 2 2 3 2 3 3 5" xfId="6848" xr:uid="{00000000-0005-0000-0000-0000D4710000}"/>
    <cellStyle name="常规 9 2 2 3 2 3 3 5 2" xfId="19136" xr:uid="{00000000-0005-0000-0000-0000D5710000}"/>
    <cellStyle name="常规 9 2 2 3 2 3 3 5 2 2" xfId="43712" xr:uid="{00000000-0005-0000-0000-0000D6710000}"/>
    <cellStyle name="常规 9 2 2 3 2 3 3 5 3" xfId="31424" xr:uid="{00000000-0005-0000-0000-0000D7710000}"/>
    <cellStyle name="常规 9 2 2 3 2 3 3 6" xfId="12992" xr:uid="{00000000-0005-0000-0000-0000D8710000}"/>
    <cellStyle name="常规 9 2 2 3 2 3 3 6 2" xfId="37568" xr:uid="{00000000-0005-0000-0000-0000D9710000}"/>
    <cellStyle name="常规 9 2 2 3 2 3 3 7" xfId="25280" xr:uid="{00000000-0005-0000-0000-0000DA710000}"/>
    <cellStyle name="常规 9 2 2 3 2 3 4" xfId="1084" xr:uid="{00000000-0005-0000-0000-0000DB710000}"/>
    <cellStyle name="常规 9 2 2 3 2 3 4 2" xfId="2620" xr:uid="{00000000-0005-0000-0000-0000DC710000}"/>
    <cellStyle name="常规 9 2 2 3 2 3 4 2 2" xfId="5696" xr:uid="{00000000-0005-0000-0000-0000DD710000}"/>
    <cellStyle name="常规 9 2 2 3 2 3 4 2 2 2" xfId="11840" xr:uid="{00000000-0005-0000-0000-0000DE710000}"/>
    <cellStyle name="常规 9 2 2 3 2 3 4 2 2 2 2" xfId="24128" xr:uid="{00000000-0005-0000-0000-0000DF710000}"/>
    <cellStyle name="常规 9 2 2 3 2 3 4 2 2 2 2 2" xfId="48704" xr:uid="{00000000-0005-0000-0000-0000E0710000}"/>
    <cellStyle name="常规 9 2 2 3 2 3 4 2 2 2 3" xfId="36416" xr:uid="{00000000-0005-0000-0000-0000E1710000}"/>
    <cellStyle name="常规 9 2 2 3 2 3 4 2 2 3" xfId="17984" xr:uid="{00000000-0005-0000-0000-0000E2710000}"/>
    <cellStyle name="常规 9 2 2 3 2 3 4 2 2 3 2" xfId="42560" xr:uid="{00000000-0005-0000-0000-0000E3710000}"/>
    <cellStyle name="常规 9 2 2 3 2 3 4 2 2 4" xfId="30272" xr:uid="{00000000-0005-0000-0000-0000E4710000}"/>
    <cellStyle name="常规 9 2 2 3 2 3 4 2 3" xfId="8768" xr:uid="{00000000-0005-0000-0000-0000E5710000}"/>
    <cellStyle name="常规 9 2 2 3 2 3 4 2 3 2" xfId="21056" xr:uid="{00000000-0005-0000-0000-0000E6710000}"/>
    <cellStyle name="常规 9 2 2 3 2 3 4 2 3 2 2" xfId="45632" xr:uid="{00000000-0005-0000-0000-0000E7710000}"/>
    <cellStyle name="常规 9 2 2 3 2 3 4 2 3 3" xfId="33344" xr:uid="{00000000-0005-0000-0000-0000E8710000}"/>
    <cellStyle name="常规 9 2 2 3 2 3 4 2 4" xfId="14912" xr:uid="{00000000-0005-0000-0000-0000E9710000}"/>
    <cellStyle name="常规 9 2 2 3 2 3 4 2 4 2" xfId="39488" xr:uid="{00000000-0005-0000-0000-0000EA710000}"/>
    <cellStyle name="常规 9 2 2 3 2 3 4 2 5" xfId="27200" xr:uid="{00000000-0005-0000-0000-0000EB710000}"/>
    <cellStyle name="常规 9 2 2 3 2 3 4 3" xfId="4160" xr:uid="{00000000-0005-0000-0000-0000EC710000}"/>
    <cellStyle name="常规 9 2 2 3 2 3 4 3 2" xfId="10304" xr:uid="{00000000-0005-0000-0000-0000ED710000}"/>
    <cellStyle name="常规 9 2 2 3 2 3 4 3 2 2" xfId="22592" xr:uid="{00000000-0005-0000-0000-0000EE710000}"/>
    <cellStyle name="常规 9 2 2 3 2 3 4 3 2 2 2" xfId="47168" xr:uid="{00000000-0005-0000-0000-0000EF710000}"/>
    <cellStyle name="常规 9 2 2 3 2 3 4 3 2 3" xfId="34880" xr:uid="{00000000-0005-0000-0000-0000F0710000}"/>
    <cellStyle name="常规 9 2 2 3 2 3 4 3 3" xfId="16448" xr:uid="{00000000-0005-0000-0000-0000F1710000}"/>
    <cellStyle name="常规 9 2 2 3 2 3 4 3 3 2" xfId="41024" xr:uid="{00000000-0005-0000-0000-0000F2710000}"/>
    <cellStyle name="常规 9 2 2 3 2 3 4 3 4" xfId="28736" xr:uid="{00000000-0005-0000-0000-0000F3710000}"/>
    <cellStyle name="常规 9 2 2 3 2 3 4 4" xfId="7232" xr:uid="{00000000-0005-0000-0000-0000F4710000}"/>
    <cellStyle name="常规 9 2 2 3 2 3 4 4 2" xfId="19520" xr:uid="{00000000-0005-0000-0000-0000F5710000}"/>
    <cellStyle name="常规 9 2 2 3 2 3 4 4 2 2" xfId="44096" xr:uid="{00000000-0005-0000-0000-0000F6710000}"/>
    <cellStyle name="常规 9 2 2 3 2 3 4 4 3" xfId="31808" xr:uid="{00000000-0005-0000-0000-0000F7710000}"/>
    <cellStyle name="常规 9 2 2 3 2 3 4 5" xfId="13376" xr:uid="{00000000-0005-0000-0000-0000F8710000}"/>
    <cellStyle name="常规 9 2 2 3 2 3 4 5 2" xfId="37952" xr:uid="{00000000-0005-0000-0000-0000F9710000}"/>
    <cellStyle name="常规 9 2 2 3 2 3 4 6" xfId="25664" xr:uid="{00000000-0005-0000-0000-0000FA710000}"/>
    <cellStyle name="常规 9 2 2 3 2 3 5" xfId="1852" xr:uid="{00000000-0005-0000-0000-0000FB710000}"/>
    <cellStyle name="常规 9 2 2 3 2 3 5 2" xfId="4928" xr:uid="{00000000-0005-0000-0000-0000FC710000}"/>
    <cellStyle name="常规 9 2 2 3 2 3 5 2 2" xfId="11072" xr:uid="{00000000-0005-0000-0000-0000FD710000}"/>
    <cellStyle name="常规 9 2 2 3 2 3 5 2 2 2" xfId="23360" xr:uid="{00000000-0005-0000-0000-0000FE710000}"/>
    <cellStyle name="常规 9 2 2 3 2 3 5 2 2 2 2" xfId="47936" xr:uid="{00000000-0005-0000-0000-0000FF710000}"/>
    <cellStyle name="常规 9 2 2 3 2 3 5 2 2 3" xfId="35648" xr:uid="{00000000-0005-0000-0000-000000720000}"/>
    <cellStyle name="常规 9 2 2 3 2 3 5 2 3" xfId="17216" xr:uid="{00000000-0005-0000-0000-000001720000}"/>
    <cellStyle name="常规 9 2 2 3 2 3 5 2 3 2" xfId="41792" xr:uid="{00000000-0005-0000-0000-000002720000}"/>
    <cellStyle name="常规 9 2 2 3 2 3 5 2 4" xfId="29504" xr:uid="{00000000-0005-0000-0000-000003720000}"/>
    <cellStyle name="常规 9 2 2 3 2 3 5 3" xfId="8000" xr:uid="{00000000-0005-0000-0000-000004720000}"/>
    <cellStyle name="常规 9 2 2 3 2 3 5 3 2" xfId="20288" xr:uid="{00000000-0005-0000-0000-000005720000}"/>
    <cellStyle name="常规 9 2 2 3 2 3 5 3 2 2" xfId="44864" xr:uid="{00000000-0005-0000-0000-000006720000}"/>
    <cellStyle name="常规 9 2 2 3 2 3 5 3 3" xfId="32576" xr:uid="{00000000-0005-0000-0000-000007720000}"/>
    <cellStyle name="常规 9 2 2 3 2 3 5 4" xfId="14144" xr:uid="{00000000-0005-0000-0000-000008720000}"/>
    <cellStyle name="常规 9 2 2 3 2 3 5 4 2" xfId="38720" xr:uid="{00000000-0005-0000-0000-000009720000}"/>
    <cellStyle name="常规 9 2 2 3 2 3 5 5" xfId="26432" xr:uid="{00000000-0005-0000-0000-00000A720000}"/>
    <cellStyle name="常规 9 2 2 3 2 3 6" xfId="3392" xr:uid="{00000000-0005-0000-0000-00000B720000}"/>
    <cellStyle name="常规 9 2 2 3 2 3 6 2" xfId="9536" xr:uid="{00000000-0005-0000-0000-00000C720000}"/>
    <cellStyle name="常规 9 2 2 3 2 3 6 2 2" xfId="21824" xr:uid="{00000000-0005-0000-0000-00000D720000}"/>
    <cellStyle name="常规 9 2 2 3 2 3 6 2 2 2" xfId="46400" xr:uid="{00000000-0005-0000-0000-00000E720000}"/>
    <cellStyle name="常规 9 2 2 3 2 3 6 2 3" xfId="34112" xr:uid="{00000000-0005-0000-0000-00000F720000}"/>
    <cellStyle name="常规 9 2 2 3 2 3 6 3" xfId="15680" xr:uid="{00000000-0005-0000-0000-000010720000}"/>
    <cellStyle name="常规 9 2 2 3 2 3 6 3 2" xfId="40256" xr:uid="{00000000-0005-0000-0000-000011720000}"/>
    <cellStyle name="常规 9 2 2 3 2 3 6 4" xfId="27968" xr:uid="{00000000-0005-0000-0000-000012720000}"/>
    <cellStyle name="常规 9 2 2 3 2 3 7" xfId="6464" xr:uid="{00000000-0005-0000-0000-000013720000}"/>
    <cellStyle name="常规 9 2 2 3 2 3 7 2" xfId="18752" xr:uid="{00000000-0005-0000-0000-000014720000}"/>
    <cellStyle name="常规 9 2 2 3 2 3 7 2 2" xfId="43328" xr:uid="{00000000-0005-0000-0000-000015720000}"/>
    <cellStyle name="常规 9 2 2 3 2 3 7 3" xfId="31040" xr:uid="{00000000-0005-0000-0000-000016720000}"/>
    <cellStyle name="常规 9 2 2 3 2 3 8" xfId="12608" xr:uid="{00000000-0005-0000-0000-000017720000}"/>
    <cellStyle name="常规 9 2 2 3 2 3 8 2" xfId="37184" xr:uid="{00000000-0005-0000-0000-000018720000}"/>
    <cellStyle name="常规 9 2 2 3 2 3 9" xfId="24896" xr:uid="{00000000-0005-0000-0000-000019720000}"/>
    <cellStyle name="常规 9 2 2 3 2 4" xfId="380" xr:uid="{00000000-0005-0000-0000-00001A720000}"/>
    <cellStyle name="常规 9 2 2 3 2 4 2" xfId="764" xr:uid="{00000000-0005-0000-0000-00001B720000}"/>
    <cellStyle name="常规 9 2 2 3 2 4 2 2" xfId="1532" xr:uid="{00000000-0005-0000-0000-00001C720000}"/>
    <cellStyle name="常规 9 2 2 3 2 4 2 2 2" xfId="3068" xr:uid="{00000000-0005-0000-0000-00001D720000}"/>
    <cellStyle name="常规 9 2 2 3 2 4 2 2 2 2" xfId="6144" xr:uid="{00000000-0005-0000-0000-00001E720000}"/>
    <cellStyle name="常规 9 2 2 3 2 4 2 2 2 2 2" xfId="12288" xr:uid="{00000000-0005-0000-0000-00001F720000}"/>
    <cellStyle name="常规 9 2 2 3 2 4 2 2 2 2 2 2" xfId="24576" xr:uid="{00000000-0005-0000-0000-000020720000}"/>
    <cellStyle name="常规 9 2 2 3 2 4 2 2 2 2 2 2 2" xfId="49152" xr:uid="{00000000-0005-0000-0000-000021720000}"/>
    <cellStyle name="常规 9 2 2 3 2 4 2 2 2 2 2 3" xfId="36864" xr:uid="{00000000-0005-0000-0000-000022720000}"/>
    <cellStyle name="常规 9 2 2 3 2 4 2 2 2 2 3" xfId="18432" xr:uid="{00000000-0005-0000-0000-000023720000}"/>
    <cellStyle name="常规 9 2 2 3 2 4 2 2 2 2 3 2" xfId="43008" xr:uid="{00000000-0005-0000-0000-000024720000}"/>
    <cellStyle name="常规 9 2 2 3 2 4 2 2 2 2 4" xfId="30720" xr:uid="{00000000-0005-0000-0000-000025720000}"/>
    <cellStyle name="常规 9 2 2 3 2 4 2 2 2 3" xfId="9216" xr:uid="{00000000-0005-0000-0000-000026720000}"/>
    <cellStyle name="常规 9 2 2 3 2 4 2 2 2 3 2" xfId="21504" xr:uid="{00000000-0005-0000-0000-000027720000}"/>
    <cellStyle name="常规 9 2 2 3 2 4 2 2 2 3 2 2" xfId="46080" xr:uid="{00000000-0005-0000-0000-000028720000}"/>
    <cellStyle name="常规 9 2 2 3 2 4 2 2 2 3 3" xfId="33792" xr:uid="{00000000-0005-0000-0000-000029720000}"/>
    <cellStyle name="常规 9 2 2 3 2 4 2 2 2 4" xfId="15360" xr:uid="{00000000-0005-0000-0000-00002A720000}"/>
    <cellStyle name="常规 9 2 2 3 2 4 2 2 2 4 2" xfId="39936" xr:uid="{00000000-0005-0000-0000-00002B720000}"/>
    <cellStyle name="常规 9 2 2 3 2 4 2 2 2 5" xfId="27648" xr:uid="{00000000-0005-0000-0000-00002C720000}"/>
    <cellStyle name="常规 9 2 2 3 2 4 2 2 3" xfId="4608" xr:uid="{00000000-0005-0000-0000-00002D720000}"/>
    <cellStyle name="常规 9 2 2 3 2 4 2 2 3 2" xfId="10752" xr:uid="{00000000-0005-0000-0000-00002E720000}"/>
    <cellStyle name="常规 9 2 2 3 2 4 2 2 3 2 2" xfId="23040" xr:uid="{00000000-0005-0000-0000-00002F720000}"/>
    <cellStyle name="常规 9 2 2 3 2 4 2 2 3 2 2 2" xfId="47616" xr:uid="{00000000-0005-0000-0000-000030720000}"/>
    <cellStyle name="常规 9 2 2 3 2 4 2 2 3 2 3" xfId="35328" xr:uid="{00000000-0005-0000-0000-000031720000}"/>
    <cellStyle name="常规 9 2 2 3 2 4 2 2 3 3" xfId="16896" xr:uid="{00000000-0005-0000-0000-000032720000}"/>
    <cellStyle name="常规 9 2 2 3 2 4 2 2 3 3 2" xfId="41472" xr:uid="{00000000-0005-0000-0000-000033720000}"/>
    <cellStyle name="常规 9 2 2 3 2 4 2 2 3 4" xfId="29184" xr:uid="{00000000-0005-0000-0000-000034720000}"/>
    <cellStyle name="常规 9 2 2 3 2 4 2 2 4" xfId="7680" xr:uid="{00000000-0005-0000-0000-000035720000}"/>
    <cellStyle name="常规 9 2 2 3 2 4 2 2 4 2" xfId="19968" xr:uid="{00000000-0005-0000-0000-000036720000}"/>
    <cellStyle name="常规 9 2 2 3 2 4 2 2 4 2 2" xfId="44544" xr:uid="{00000000-0005-0000-0000-000037720000}"/>
    <cellStyle name="常规 9 2 2 3 2 4 2 2 4 3" xfId="32256" xr:uid="{00000000-0005-0000-0000-000038720000}"/>
    <cellStyle name="常规 9 2 2 3 2 4 2 2 5" xfId="13824" xr:uid="{00000000-0005-0000-0000-000039720000}"/>
    <cellStyle name="常规 9 2 2 3 2 4 2 2 5 2" xfId="38400" xr:uid="{00000000-0005-0000-0000-00003A720000}"/>
    <cellStyle name="常规 9 2 2 3 2 4 2 2 6" xfId="26112" xr:uid="{00000000-0005-0000-0000-00003B720000}"/>
    <cellStyle name="常规 9 2 2 3 2 4 2 3" xfId="2300" xr:uid="{00000000-0005-0000-0000-00003C720000}"/>
    <cellStyle name="常规 9 2 2 3 2 4 2 3 2" xfId="5376" xr:uid="{00000000-0005-0000-0000-00003D720000}"/>
    <cellStyle name="常规 9 2 2 3 2 4 2 3 2 2" xfId="11520" xr:uid="{00000000-0005-0000-0000-00003E720000}"/>
    <cellStyle name="常规 9 2 2 3 2 4 2 3 2 2 2" xfId="23808" xr:uid="{00000000-0005-0000-0000-00003F720000}"/>
    <cellStyle name="常规 9 2 2 3 2 4 2 3 2 2 2 2" xfId="48384" xr:uid="{00000000-0005-0000-0000-000040720000}"/>
    <cellStyle name="常规 9 2 2 3 2 4 2 3 2 2 3" xfId="36096" xr:uid="{00000000-0005-0000-0000-000041720000}"/>
    <cellStyle name="常规 9 2 2 3 2 4 2 3 2 3" xfId="17664" xr:uid="{00000000-0005-0000-0000-000042720000}"/>
    <cellStyle name="常规 9 2 2 3 2 4 2 3 2 3 2" xfId="42240" xr:uid="{00000000-0005-0000-0000-000043720000}"/>
    <cellStyle name="常规 9 2 2 3 2 4 2 3 2 4" xfId="29952" xr:uid="{00000000-0005-0000-0000-000044720000}"/>
    <cellStyle name="常规 9 2 2 3 2 4 2 3 3" xfId="8448" xr:uid="{00000000-0005-0000-0000-000045720000}"/>
    <cellStyle name="常规 9 2 2 3 2 4 2 3 3 2" xfId="20736" xr:uid="{00000000-0005-0000-0000-000046720000}"/>
    <cellStyle name="常规 9 2 2 3 2 4 2 3 3 2 2" xfId="45312" xr:uid="{00000000-0005-0000-0000-000047720000}"/>
    <cellStyle name="常规 9 2 2 3 2 4 2 3 3 3" xfId="33024" xr:uid="{00000000-0005-0000-0000-000048720000}"/>
    <cellStyle name="常规 9 2 2 3 2 4 2 3 4" xfId="14592" xr:uid="{00000000-0005-0000-0000-000049720000}"/>
    <cellStyle name="常规 9 2 2 3 2 4 2 3 4 2" xfId="39168" xr:uid="{00000000-0005-0000-0000-00004A720000}"/>
    <cellStyle name="常规 9 2 2 3 2 4 2 3 5" xfId="26880" xr:uid="{00000000-0005-0000-0000-00004B720000}"/>
    <cellStyle name="常规 9 2 2 3 2 4 2 4" xfId="3840" xr:uid="{00000000-0005-0000-0000-00004C720000}"/>
    <cellStyle name="常规 9 2 2 3 2 4 2 4 2" xfId="9984" xr:uid="{00000000-0005-0000-0000-00004D720000}"/>
    <cellStyle name="常规 9 2 2 3 2 4 2 4 2 2" xfId="22272" xr:uid="{00000000-0005-0000-0000-00004E720000}"/>
    <cellStyle name="常规 9 2 2 3 2 4 2 4 2 2 2" xfId="46848" xr:uid="{00000000-0005-0000-0000-00004F720000}"/>
    <cellStyle name="常规 9 2 2 3 2 4 2 4 2 3" xfId="34560" xr:uid="{00000000-0005-0000-0000-000050720000}"/>
    <cellStyle name="常规 9 2 2 3 2 4 2 4 3" xfId="16128" xr:uid="{00000000-0005-0000-0000-000051720000}"/>
    <cellStyle name="常规 9 2 2 3 2 4 2 4 3 2" xfId="40704" xr:uid="{00000000-0005-0000-0000-000052720000}"/>
    <cellStyle name="常规 9 2 2 3 2 4 2 4 4" xfId="28416" xr:uid="{00000000-0005-0000-0000-000053720000}"/>
    <cellStyle name="常规 9 2 2 3 2 4 2 5" xfId="6912" xr:uid="{00000000-0005-0000-0000-000054720000}"/>
    <cellStyle name="常规 9 2 2 3 2 4 2 5 2" xfId="19200" xr:uid="{00000000-0005-0000-0000-000055720000}"/>
    <cellStyle name="常规 9 2 2 3 2 4 2 5 2 2" xfId="43776" xr:uid="{00000000-0005-0000-0000-000056720000}"/>
    <cellStyle name="常规 9 2 2 3 2 4 2 5 3" xfId="31488" xr:uid="{00000000-0005-0000-0000-000057720000}"/>
    <cellStyle name="常规 9 2 2 3 2 4 2 6" xfId="13056" xr:uid="{00000000-0005-0000-0000-000058720000}"/>
    <cellStyle name="常规 9 2 2 3 2 4 2 6 2" xfId="37632" xr:uid="{00000000-0005-0000-0000-000059720000}"/>
    <cellStyle name="常规 9 2 2 3 2 4 2 7" xfId="25344" xr:uid="{00000000-0005-0000-0000-00005A720000}"/>
    <cellStyle name="常规 9 2 2 3 2 4 3" xfId="1148" xr:uid="{00000000-0005-0000-0000-00005B720000}"/>
    <cellStyle name="常规 9 2 2 3 2 4 3 2" xfId="2684" xr:uid="{00000000-0005-0000-0000-00005C720000}"/>
    <cellStyle name="常规 9 2 2 3 2 4 3 2 2" xfId="5760" xr:uid="{00000000-0005-0000-0000-00005D720000}"/>
    <cellStyle name="常规 9 2 2 3 2 4 3 2 2 2" xfId="11904" xr:uid="{00000000-0005-0000-0000-00005E720000}"/>
    <cellStyle name="常规 9 2 2 3 2 4 3 2 2 2 2" xfId="24192" xr:uid="{00000000-0005-0000-0000-00005F720000}"/>
    <cellStyle name="常规 9 2 2 3 2 4 3 2 2 2 2 2" xfId="48768" xr:uid="{00000000-0005-0000-0000-000060720000}"/>
    <cellStyle name="常规 9 2 2 3 2 4 3 2 2 2 3" xfId="36480" xr:uid="{00000000-0005-0000-0000-000061720000}"/>
    <cellStyle name="常规 9 2 2 3 2 4 3 2 2 3" xfId="18048" xr:uid="{00000000-0005-0000-0000-000062720000}"/>
    <cellStyle name="常规 9 2 2 3 2 4 3 2 2 3 2" xfId="42624" xr:uid="{00000000-0005-0000-0000-000063720000}"/>
    <cellStyle name="常规 9 2 2 3 2 4 3 2 2 4" xfId="30336" xr:uid="{00000000-0005-0000-0000-000064720000}"/>
    <cellStyle name="常规 9 2 2 3 2 4 3 2 3" xfId="8832" xr:uid="{00000000-0005-0000-0000-000065720000}"/>
    <cellStyle name="常规 9 2 2 3 2 4 3 2 3 2" xfId="21120" xr:uid="{00000000-0005-0000-0000-000066720000}"/>
    <cellStyle name="常规 9 2 2 3 2 4 3 2 3 2 2" xfId="45696" xr:uid="{00000000-0005-0000-0000-000067720000}"/>
    <cellStyle name="常规 9 2 2 3 2 4 3 2 3 3" xfId="33408" xr:uid="{00000000-0005-0000-0000-000068720000}"/>
    <cellStyle name="常规 9 2 2 3 2 4 3 2 4" xfId="14976" xr:uid="{00000000-0005-0000-0000-000069720000}"/>
    <cellStyle name="常规 9 2 2 3 2 4 3 2 4 2" xfId="39552" xr:uid="{00000000-0005-0000-0000-00006A720000}"/>
    <cellStyle name="常规 9 2 2 3 2 4 3 2 5" xfId="27264" xr:uid="{00000000-0005-0000-0000-00006B720000}"/>
    <cellStyle name="常规 9 2 2 3 2 4 3 3" xfId="4224" xr:uid="{00000000-0005-0000-0000-00006C720000}"/>
    <cellStyle name="常规 9 2 2 3 2 4 3 3 2" xfId="10368" xr:uid="{00000000-0005-0000-0000-00006D720000}"/>
    <cellStyle name="常规 9 2 2 3 2 4 3 3 2 2" xfId="22656" xr:uid="{00000000-0005-0000-0000-00006E720000}"/>
    <cellStyle name="常规 9 2 2 3 2 4 3 3 2 2 2" xfId="47232" xr:uid="{00000000-0005-0000-0000-00006F720000}"/>
    <cellStyle name="常规 9 2 2 3 2 4 3 3 2 3" xfId="34944" xr:uid="{00000000-0005-0000-0000-000070720000}"/>
    <cellStyle name="常规 9 2 2 3 2 4 3 3 3" xfId="16512" xr:uid="{00000000-0005-0000-0000-000071720000}"/>
    <cellStyle name="常规 9 2 2 3 2 4 3 3 3 2" xfId="41088" xr:uid="{00000000-0005-0000-0000-000072720000}"/>
    <cellStyle name="常规 9 2 2 3 2 4 3 3 4" xfId="28800" xr:uid="{00000000-0005-0000-0000-000073720000}"/>
    <cellStyle name="常规 9 2 2 3 2 4 3 4" xfId="7296" xr:uid="{00000000-0005-0000-0000-000074720000}"/>
    <cellStyle name="常规 9 2 2 3 2 4 3 4 2" xfId="19584" xr:uid="{00000000-0005-0000-0000-000075720000}"/>
    <cellStyle name="常规 9 2 2 3 2 4 3 4 2 2" xfId="44160" xr:uid="{00000000-0005-0000-0000-000076720000}"/>
    <cellStyle name="常规 9 2 2 3 2 4 3 4 3" xfId="31872" xr:uid="{00000000-0005-0000-0000-000077720000}"/>
    <cellStyle name="常规 9 2 2 3 2 4 3 5" xfId="13440" xr:uid="{00000000-0005-0000-0000-000078720000}"/>
    <cellStyle name="常规 9 2 2 3 2 4 3 5 2" xfId="38016" xr:uid="{00000000-0005-0000-0000-000079720000}"/>
    <cellStyle name="常规 9 2 2 3 2 4 3 6" xfId="25728" xr:uid="{00000000-0005-0000-0000-00007A720000}"/>
    <cellStyle name="常规 9 2 2 3 2 4 4" xfId="1916" xr:uid="{00000000-0005-0000-0000-00007B720000}"/>
    <cellStyle name="常规 9 2 2 3 2 4 4 2" xfId="4992" xr:uid="{00000000-0005-0000-0000-00007C720000}"/>
    <cellStyle name="常规 9 2 2 3 2 4 4 2 2" xfId="11136" xr:uid="{00000000-0005-0000-0000-00007D720000}"/>
    <cellStyle name="常规 9 2 2 3 2 4 4 2 2 2" xfId="23424" xr:uid="{00000000-0005-0000-0000-00007E720000}"/>
    <cellStyle name="常规 9 2 2 3 2 4 4 2 2 2 2" xfId="48000" xr:uid="{00000000-0005-0000-0000-00007F720000}"/>
    <cellStyle name="常规 9 2 2 3 2 4 4 2 2 3" xfId="35712" xr:uid="{00000000-0005-0000-0000-000080720000}"/>
    <cellStyle name="常规 9 2 2 3 2 4 4 2 3" xfId="17280" xr:uid="{00000000-0005-0000-0000-000081720000}"/>
    <cellStyle name="常规 9 2 2 3 2 4 4 2 3 2" xfId="41856" xr:uid="{00000000-0005-0000-0000-000082720000}"/>
    <cellStyle name="常规 9 2 2 3 2 4 4 2 4" xfId="29568" xr:uid="{00000000-0005-0000-0000-000083720000}"/>
    <cellStyle name="常规 9 2 2 3 2 4 4 3" xfId="8064" xr:uid="{00000000-0005-0000-0000-000084720000}"/>
    <cellStyle name="常规 9 2 2 3 2 4 4 3 2" xfId="20352" xr:uid="{00000000-0005-0000-0000-000085720000}"/>
    <cellStyle name="常规 9 2 2 3 2 4 4 3 2 2" xfId="44928" xr:uid="{00000000-0005-0000-0000-000086720000}"/>
    <cellStyle name="常规 9 2 2 3 2 4 4 3 3" xfId="32640" xr:uid="{00000000-0005-0000-0000-000087720000}"/>
    <cellStyle name="常规 9 2 2 3 2 4 4 4" xfId="14208" xr:uid="{00000000-0005-0000-0000-000088720000}"/>
    <cellStyle name="常规 9 2 2 3 2 4 4 4 2" xfId="38784" xr:uid="{00000000-0005-0000-0000-000089720000}"/>
    <cellStyle name="常规 9 2 2 3 2 4 4 5" xfId="26496" xr:uid="{00000000-0005-0000-0000-00008A720000}"/>
    <cellStyle name="常规 9 2 2 3 2 4 5" xfId="3456" xr:uid="{00000000-0005-0000-0000-00008B720000}"/>
    <cellStyle name="常规 9 2 2 3 2 4 5 2" xfId="9600" xr:uid="{00000000-0005-0000-0000-00008C720000}"/>
    <cellStyle name="常规 9 2 2 3 2 4 5 2 2" xfId="21888" xr:uid="{00000000-0005-0000-0000-00008D720000}"/>
    <cellStyle name="常规 9 2 2 3 2 4 5 2 2 2" xfId="46464" xr:uid="{00000000-0005-0000-0000-00008E720000}"/>
    <cellStyle name="常规 9 2 2 3 2 4 5 2 3" xfId="34176" xr:uid="{00000000-0005-0000-0000-00008F720000}"/>
    <cellStyle name="常规 9 2 2 3 2 4 5 3" xfId="15744" xr:uid="{00000000-0005-0000-0000-000090720000}"/>
    <cellStyle name="常规 9 2 2 3 2 4 5 3 2" xfId="40320" xr:uid="{00000000-0005-0000-0000-000091720000}"/>
    <cellStyle name="常规 9 2 2 3 2 4 5 4" xfId="28032" xr:uid="{00000000-0005-0000-0000-000092720000}"/>
    <cellStyle name="常规 9 2 2 3 2 4 6" xfId="6528" xr:uid="{00000000-0005-0000-0000-000093720000}"/>
    <cellStyle name="常规 9 2 2 3 2 4 6 2" xfId="18816" xr:uid="{00000000-0005-0000-0000-000094720000}"/>
    <cellStyle name="常规 9 2 2 3 2 4 6 2 2" xfId="43392" xr:uid="{00000000-0005-0000-0000-000095720000}"/>
    <cellStyle name="常规 9 2 2 3 2 4 6 3" xfId="31104" xr:uid="{00000000-0005-0000-0000-000096720000}"/>
    <cellStyle name="常规 9 2 2 3 2 4 7" xfId="12672" xr:uid="{00000000-0005-0000-0000-000097720000}"/>
    <cellStyle name="常规 9 2 2 3 2 4 7 2" xfId="37248" xr:uid="{00000000-0005-0000-0000-000098720000}"/>
    <cellStyle name="常规 9 2 2 3 2 4 8" xfId="24960" xr:uid="{00000000-0005-0000-0000-000099720000}"/>
    <cellStyle name="常规 9 2 2 3 2 5" xfId="572" xr:uid="{00000000-0005-0000-0000-00009A720000}"/>
    <cellStyle name="常规 9 2 2 3 2 5 2" xfId="1340" xr:uid="{00000000-0005-0000-0000-00009B720000}"/>
    <cellStyle name="常规 9 2 2 3 2 5 2 2" xfId="2876" xr:uid="{00000000-0005-0000-0000-00009C720000}"/>
    <cellStyle name="常规 9 2 2 3 2 5 2 2 2" xfId="5952" xr:uid="{00000000-0005-0000-0000-00009D720000}"/>
    <cellStyle name="常规 9 2 2 3 2 5 2 2 2 2" xfId="12096" xr:uid="{00000000-0005-0000-0000-00009E720000}"/>
    <cellStyle name="常规 9 2 2 3 2 5 2 2 2 2 2" xfId="24384" xr:uid="{00000000-0005-0000-0000-00009F720000}"/>
    <cellStyle name="常规 9 2 2 3 2 5 2 2 2 2 2 2" xfId="48960" xr:uid="{00000000-0005-0000-0000-0000A0720000}"/>
    <cellStyle name="常规 9 2 2 3 2 5 2 2 2 2 3" xfId="36672" xr:uid="{00000000-0005-0000-0000-0000A1720000}"/>
    <cellStyle name="常规 9 2 2 3 2 5 2 2 2 3" xfId="18240" xr:uid="{00000000-0005-0000-0000-0000A2720000}"/>
    <cellStyle name="常规 9 2 2 3 2 5 2 2 2 3 2" xfId="42816" xr:uid="{00000000-0005-0000-0000-0000A3720000}"/>
    <cellStyle name="常规 9 2 2 3 2 5 2 2 2 4" xfId="30528" xr:uid="{00000000-0005-0000-0000-0000A4720000}"/>
    <cellStyle name="常规 9 2 2 3 2 5 2 2 3" xfId="9024" xr:uid="{00000000-0005-0000-0000-0000A5720000}"/>
    <cellStyle name="常规 9 2 2 3 2 5 2 2 3 2" xfId="21312" xr:uid="{00000000-0005-0000-0000-0000A6720000}"/>
    <cellStyle name="常规 9 2 2 3 2 5 2 2 3 2 2" xfId="45888" xr:uid="{00000000-0005-0000-0000-0000A7720000}"/>
    <cellStyle name="常规 9 2 2 3 2 5 2 2 3 3" xfId="33600" xr:uid="{00000000-0005-0000-0000-0000A8720000}"/>
    <cellStyle name="常规 9 2 2 3 2 5 2 2 4" xfId="15168" xr:uid="{00000000-0005-0000-0000-0000A9720000}"/>
    <cellStyle name="常规 9 2 2 3 2 5 2 2 4 2" xfId="39744" xr:uid="{00000000-0005-0000-0000-0000AA720000}"/>
    <cellStyle name="常规 9 2 2 3 2 5 2 2 5" xfId="27456" xr:uid="{00000000-0005-0000-0000-0000AB720000}"/>
    <cellStyle name="常规 9 2 2 3 2 5 2 3" xfId="4416" xr:uid="{00000000-0005-0000-0000-0000AC720000}"/>
    <cellStyle name="常规 9 2 2 3 2 5 2 3 2" xfId="10560" xr:uid="{00000000-0005-0000-0000-0000AD720000}"/>
    <cellStyle name="常规 9 2 2 3 2 5 2 3 2 2" xfId="22848" xr:uid="{00000000-0005-0000-0000-0000AE720000}"/>
    <cellStyle name="常规 9 2 2 3 2 5 2 3 2 2 2" xfId="47424" xr:uid="{00000000-0005-0000-0000-0000AF720000}"/>
    <cellStyle name="常规 9 2 2 3 2 5 2 3 2 3" xfId="35136" xr:uid="{00000000-0005-0000-0000-0000B0720000}"/>
    <cellStyle name="常规 9 2 2 3 2 5 2 3 3" xfId="16704" xr:uid="{00000000-0005-0000-0000-0000B1720000}"/>
    <cellStyle name="常规 9 2 2 3 2 5 2 3 3 2" xfId="41280" xr:uid="{00000000-0005-0000-0000-0000B2720000}"/>
    <cellStyle name="常规 9 2 2 3 2 5 2 3 4" xfId="28992" xr:uid="{00000000-0005-0000-0000-0000B3720000}"/>
    <cellStyle name="常规 9 2 2 3 2 5 2 4" xfId="7488" xr:uid="{00000000-0005-0000-0000-0000B4720000}"/>
    <cellStyle name="常规 9 2 2 3 2 5 2 4 2" xfId="19776" xr:uid="{00000000-0005-0000-0000-0000B5720000}"/>
    <cellStyle name="常规 9 2 2 3 2 5 2 4 2 2" xfId="44352" xr:uid="{00000000-0005-0000-0000-0000B6720000}"/>
    <cellStyle name="常规 9 2 2 3 2 5 2 4 3" xfId="32064" xr:uid="{00000000-0005-0000-0000-0000B7720000}"/>
    <cellStyle name="常规 9 2 2 3 2 5 2 5" xfId="13632" xr:uid="{00000000-0005-0000-0000-0000B8720000}"/>
    <cellStyle name="常规 9 2 2 3 2 5 2 5 2" xfId="38208" xr:uid="{00000000-0005-0000-0000-0000B9720000}"/>
    <cellStyle name="常规 9 2 2 3 2 5 2 6" xfId="25920" xr:uid="{00000000-0005-0000-0000-0000BA720000}"/>
    <cellStyle name="常规 9 2 2 3 2 5 3" xfId="2108" xr:uid="{00000000-0005-0000-0000-0000BB720000}"/>
    <cellStyle name="常规 9 2 2 3 2 5 3 2" xfId="5184" xr:uid="{00000000-0005-0000-0000-0000BC720000}"/>
    <cellStyle name="常规 9 2 2 3 2 5 3 2 2" xfId="11328" xr:uid="{00000000-0005-0000-0000-0000BD720000}"/>
    <cellStyle name="常规 9 2 2 3 2 5 3 2 2 2" xfId="23616" xr:uid="{00000000-0005-0000-0000-0000BE720000}"/>
    <cellStyle name="常规 9 2 2 3 2 5 3 2 2 2 2" xfId="48192" xr:uid="{00000000-0005-0000-0000-0000BF720000}"/>
    <cellStyle name="常规 9 2 2 3 2 5 3 2 2 3" xfId="35904" xr:uid="{00000000-0005-0000-0000-0000C0720000}"/>
    <cellStyle name="常规 9 2 2 3 2 5 3 2 3" xfId="17472" xr:uid="{00000000-0005-0000-0000-0000C1720000}"/>
    <cellStyle name="常规 9 2 2 3 2 5 3 2 3 2" xfId="42048" xr:uid="{00000000-0005-0000-0000-0000C2720000}"/>
    <cellStyle name="常规 9 2 2 3 2 5 3 2 4" xfId="29760" xr:uid="{00000000-0005-0000-0000-0000C3720000}"/>
    <cellStyle name="常规 9 2 2 3 2 5 3 3" xfId="8256" xr:uid="{00000000-0005-0000-0000-0000C4720000}"/>
    <cellStyle name="常规 9 2 2 3 2 5 3 3 2" xfId="20544" xr:uid="{00000000-0005-0000-0000-0000C5720000}"/>
    <cellStyle name="常规 9 2 2 3 2 5 3 3 2 2" xfId="45120" xr:uid="{00000000-0005-0000-0000-0000C6720000}"/>
    <cellStyle name="常规 9 2 2 3 2 5 3 3 3" xfId="32832" xr:uid="{00000000-0005-0000-0000-0000C7720000}"/>
    <cellStyle name="常规 9 2 2 3 2 5 3 4" xfId="14400" xr:uid="{00000000-0005-0000-0000-0000C8720000}"/>
    <cellStyle name="常规 9 2 2 3 2 5 3 4 2" xfId="38976" xr:uid="{00000000-0005-0000-0000-0000C9720000}"/>
    <cellStyle name="常规 9 2 2 3 2 5 3 5" xfId="26688" xr:uid="{00000000-0005-0000-0000-0000CA720000}"/>
    <cellStyle name="常规 9 2 2 3 2 5 4" xfId="3648" xr:uid="{00000000-0005-0000-0000-0000CB720000}"/>
    <cellStyle name="常规 9 2 2 3 2 5 4 2" xfId="9792" xr:uid="{00000000-0005-0000-0000-0000CC720000}"/>
    <cellStyle name="常规 9 2 2 3 2 5 4 2 2" xfId="22080" xr:uid="{00000000-0005-0000-0000-0000CD720000}"/>
    <cellStyle name="常规 9 2 2 3 2 5 4 2 2 2" xfId="46656" xr:uid="{00000000-0005-0000-0000-0000CE720000}"/>
    <cellStyle name="常规 9 2 2 3 2 5 4 2 3" xfId="34368" xr:uid="{00000000-0005-0000-0000-0000CF720000}"/>
    <cellStyle name="常规 9 2 2 3 2 5 4 3" xfId="15936" xr:uid="{00000000-0005-0000-0000-0000D0720000}"/>
    <cellStyle name="常规 9 2 2 3 2 5 4 3 2" xfId="40512" xr:uid="{00000000-0005-0000-0000-0000D1720000}"/>
    <cellStyle name="常规 9 2 2 3 2 5 4 4" xfId="28224" xr:uid="{00000000-0005-0000-0000-0000D2720000}"/>
    <cellStyle name="常规 9 2 2 3 2 5 5" xfId="6720" xr:uid="{00000000-0005-0000-0000-0000D3720000}"/>
    <cellStyle name="常规 9 2 2 3 2 5 5 2" xfId="19008" xr:uid="{00000000-0005-0000-0000-0000D4720000}"/>
    <cellStyle name="常规 9 2 2 3 2 5 5 2 2" xfId="43584" xr:uid="{00000000-0005-0000-0000-0000D5720000}"/>
    <cellStyle name="常规 9 2 2 3 2 5 5 3" xfId="31296" xr:uid="{00000000-0005-0000-0000-0000D6720000}"/>
    <cellStyle name="常规 9 2 2 3 2 5 6" xfId="12864" xr:uid="{00000000-0005-0000-0000-0000D7720000}"/>
    <cellStyle name="常规 9 2 2 3 2 5 6 2" xfId="37440" xr:uid="{00000000-0005-0000-0000-0000D8720000}"/>
    <cellStyle name="常规 9 2 2 3 2 5 7" xfId="25152" xr:uid="{00000000-0005-0000-0000-0000D9720000}"/>
    <cellStyle name="常规 9 2 2 3 2 6" xfId="956" xr:uid="{00000000-0005-0000-0000-0000DA720000}"/>
    <cellStyle name="常规 9 2 2 3 2 6 2" xfId="2492" xr:uid="{00000000-0005-0000-0000-0000DB720000}"/>
    <cellStyle name="常规 9 2 2 3 2 6 2 2" xfId="5568" xr:uid="{00000000-0005-0000-0000-0000DC720000}"/>
    <cellStyle name="常规 9 2 2 3 2 6 2 2 2" xfId="11712" xr:uid="{00000000-0005-0000-0000-0000DD720000}"/>
    <cellStyle name="常规 9 2 2 3 2 6 2 2 2 2" xfId="24000" xr:uid="{00000000-0005-0000-0000-0000DE720000}"/>
    <cellStyle name="常规 9 2 2 3 2 6 2 2 2 2 2" xfId="48576" xr:uid="{00000000-0005-0000-0000-0000DF720000}"/>
    <cellStyle name="常规 9 2 2 3 2 6 2 2 2 3" xfId="36288" xr:uid="{00000000-0005-0000-0000-0000E0720000}"/>
    <cellStyle name="常规 9 2 2 3 2 6 2 2 3" xfId="17856" xr:uid="{00000000-0005-0000-0000-0000E1720000}"/>
    <cellStyle name="常规 9 2 2 3 2 6 2 2 3 2" xfId="42432" xr:uid="{00000000-0005-0000-0000-0000E2720000}"/>
    <cellStyle name="常规 9 2 2 3 2 6 2 2 4" xfId="30144" xr:uid="{00000000-0005-0000-0000-0000E3720000}"/>
    <cellStyle name="常规 9 2 2 3 2 6 2 3" xfId="8640" xr:uid="{00000000-0005-0000-0000-0000E4720000}"/>
    <cellStyle name="常规 9 2 2 3 2 6 2 3 2" xfId="20928" xr:uid="{00000000-0005-0000-0000-0000E5720000}"/>
    <cellStyle name="常规 9 2 2 3 2 6 2 3 2 2" xfId="45504" xr:uid="{00000000-0005-0000-0000-0000E6720000}"/>
    <cellStyle name="常规 9 2 2 3 2 6 2 3 3" xfId="33216" xr:uid="{00000000-0005-0000-0000-0000E7720000}"/>
    <cellStyle name="常规 9 2 2 3 2 6 2 4" xfId="14784" xr:uid="{00000000-0005-0000-0000-0000E8720000}"/>
    <cellStyle name="常规 9 2 2 3 2 6 2 4 2" xfId="39360" xr:uid="{00000000-0005-0000-0000-0000E9720000}"/>
    <cellStyle name="常规 9 2 2 3 2 6 2 5" xfId="27072" xr:uid="{00000000-0005-0000-0000-0000EA720000}"/>
    <cellStyle name="常规 9 2 2 3 2 6 3" xfId="4032" xr:uid="{00000000-0005-0000-0000-0000EB720000}"/>
    <cellStyle name="常规 9 2 2 3 2 6 3 2" xfId="10176" xr:uid="{00000000-0005-0000-0000-0000EC720000}"/>
    <cellStyle name="常规 9 2 2 3 2 6 3 2 2" xfId="22464" xr:uid="{00000000-0005-0000-0000-0000ED720000}"/>
    <cellStyle name="常规 9 2 2 3 2 6 3 2 2 2" xfId="47040" xr:uid="{00000000-0005-0000-0000-0000EE720000}"/>
    <cellStyle name="常规 9 2 2 3 2 6 3 2 3" xfId="34752" xr:uid="{00000000-0005-0000-0000-0000EF720000}"/>
    <cellStyle name="常规 9 2 2 3 2 6 3 3" xfId="16320" xr:uid="{00000000-0005-0000-0000-0000F0720000}"/>
    <cellStyle name="常规 9 2 2 3 2 6 3 3 2" xfId="40896" xr:uid="{00000000-0005-0000-0000-0000F1720000}"/>
    <cellStyle name="常规 9 2 2 3 2 6 3 4" xfId="28608" xr:uid="{00000000-0005-0000-0000-0000F2720000}"/>
    <cellStyle name="常规 9 2 2 3 2 6 4" xfId="7104" xr:uid="{00000000-0005-0000-0000-0000F3720000}"/>
    <cellStyle name="常规 9 2 2 3 2 6 4 2" xfId="19392" xr:uid="{00000000-0005-0000-0000-0000F4720000}"/>
    <cellStyle name="常规 9 2 2 3 2 6 4 2 2" xfId="43968" xr:uid="{00000000-0005-0000-0000-0000F5720000}"/>
    <cellStyle name="常规 9 2 2 3 2 6 4 3" xfId="31680" xr:uid="{00000000-0005-0000-0000-0000F6720000}"/>
    <cellStyle name="常规 9 2 2 3 2 6 5" xfId="13248" xr:uid="{00000000-0005-0000-0000-0000F7720000}"/>
    <cellStyle name="常规 9 2 2 3 2 6 5 2" xfId="37824" xr:uid="{00000000-0005-0000-0000-0000F8720000}"/>
    <cellStyle name="常规 9 2 2 3 2 6 6" xfId="25536" xr:uid="{00000000-0005-0000-0000-0000F9720000}"/>
    <cellStyle name="常规 9 2 2 3 2 7" xfId="1724" xr:uid="{00000000-0005-0000-0000-0000FA720000}"/>
    <cellStyle name="常规 9 2 2 3 2 7 2" xfId="4800" xr:uid="{00000000-0005-0000-0000-0000FB720000}"/>
    <cellStyle name="常规 9 2 2 3 2 7 2 2" xfId="10944" xr:uid="{00000000-0005-0000-0000-0000FC720000}"/>
    <cellStyle name="常规 9 2 2 3 2 7 2 2 2" xfId="23232" xr:uid="{00000000-0005-0000-0000-0000FD720000}"/>
    <cellStyle name="常规 9 2 2 3 2 7 2 2 2 2" xfId="47808" xr:uid="{00000000-0005-0000-0000-0000FE720000}"/>
    <cellStyle name="常规 9 2 2 3 2 7 2 2 3" xfId="35520" xr:uid="{00000000-0005-0000-0000-0000FF720000}"/>
    <cellStyle name="常规 9 2 2 3 2 7 2 3" xfId="17088" xr:uid="{00000000-0005-0000-0000-000000730000}"/>
    <cellStyle name="常规 9 2 2 3 2 7 2 3 2" xfId="41664" xr:uid="{00000000-0005-0000-0000-000001730000}"/>
    <cellStyle name="常规 9 2 2 3 2 7 2 4" xfId="29376" xr:uid="{00000000-0005-0000-0000-000002730000}"/>
    <cellStyle name="常规 9 2 2 3 2 7 3" xfId="7872" xr:uid="{00000000-0005-0000-0000-000003730000}"/>
    <cellStyle name="常规 9 2 2 3 2 7 3 2" xfId="20160" xr:uid="{00000000-0005-0000-0000-000004730000}"/>
    <cellStyle name="常规 9 2 2 3 2 7 3 2 2" xfId="44736" xr:uid="{00000000-0005-0000-0000-000005730000}"/>
    <cellStyle name="常规 9 2 2 3 2 7 3 3" xfId="32448" xr:uid="{00000000-0005-0000-0000-000006730000}"/>
    <cellStyle name="常规 9 2 2 3 2 7 4" xfId="14016" xr:uid="{00000000-0005-0000-0000-000007730000}"/>
    <cellStyle name="常规 9 2 2 3 2 7 4 2" xfId="38592" xr:uid="{00000000-0005-0000-0000-000008730000}"/>
    <cellStyle name="常规 9 2 2 3 2 7 5" xfId="26304" xr:uid="{00000000-0005-0000-0000-000009730000}"/>
    <cellStyle name="常规 9 2 2 3 2 8" xfId="3264" xr:uid="{00000000-0005-0000-0000-00000A730000}"/>
    <cellStyle name="常规 9 2 2 3 2 8 2" xfId="9408" xr:uid="{00000000-0005-0000-0000-00000B730000}"/>
    <cellStyle name="常规 9 2 2 3 2 8 2 2" xfId="21696" xr:uid="{00000000-0005-0000-0000-00000C730000}"/>
    <cellStyle name="常规 9 2 2 3 2 8 2 2 2" xfId="46272" xr:uid="{00000000-0005-0000-0000-00000D730000}"/>
    <cellStyle name="常规 9 2 2 3 2 8 2 3" xfId="33984" xr:uid="{00000000-0005-0000-0000-00000E730000}"/>
    <cellStyle name="常规 9 2 2 3 2 8 3" xfId="15552" xr:uid="{00000000-0005-0000-0000-00000F730000}"/>
    <cellStyle name="常规 9 2 2 3 2 8 3 2" xfId="40128" xr:uid="{00000000-0005-0000-0000-000010730000}"/>
    <cellStyle name="常规 9 2 2 3 2 8 4" xfId="27840" xr:uid="{00000000-0005-0000-0000-000011730000}"/>
    <cellStyle name="常规 9 2 2 3 2 9" xfId="6336" xr:uid="{00000000-0005-0000-0000-000012730000}"/>
    <cellStyle name="常规 9 2 2 3 2 9 2" xfId="18624" xr:uid="{00000000-0005-0000-0000-000013730000}"/>
    <cellStyle name="常规 9 2 2 3 2 9 2 2" xfId="43200" xr:uid="{00000000-0005-0000-0000-000014730000}"/>
    <cellStyle name="常规 9 2 2 3 2 9 3" xfId="30912" xr:uid="{00000000-0005-0000-0000-000015730000}"/>
    <cellStyle name="常规 9 2 2 3 3" xfId="220" xr:uid="{00000000-0005-0000-0000-000016730000}"/>
    <cellStyle name="常规 9 2 2 3 3 2" xfId="412" xr:uid="{00000000-0005-0000-0000-000017730000}"/>
    <cellStyle name="常规 9 2 2 3 3 2 2" xfId="796" xr:uid="{00000000-0005-0000-0000-000018730000}"/>
    <cellStyle name="常规 9 2 2 3 3 2 2 2" xfId="1564" xr:uid="{00000000-0005-0000-0000-000019730000}"/>
    <cellStyle name="常规 9 2 2 3 3 2 2 2 2" xfId="3100" xr:uid="{00000000-0005-0000-0000-00001A730000}"/>
    <cellStyle name="常规 9 2 2 3 3 2 2 2 2 2" xfId="6176" xr:uid="{00000000-0005-0000-0000-00001B730000}"/>
    <cellStyle name="常规 9 2 2 3 3 2 2 2 2 2 2" xfId="12320" xr:uid="{00000000-0005-0000-0000-00001C730000}"/>
    <cellStyle name="常规 9 2 2 3 3 2 2 2 2 2 2 2" xfId="24608" xr:uid="{00000000-0005-0000-0000-00001D730000}"/>
    <cellStyle name="常规 9 2 2 3 3 2 2 2 2 2 2 2 2" xfId="49184" xr:uid="{00000000-0005-0000-0000-00001E730000}"/>
    <cellStyle name="常规 9 2 2 3 3 2 2 2 2 2 2 3" xfId="36896" xr:uid="{00000000-0005-0000-0000-00001F730000}"/>
    <cellStyle name="常规 9 2 2 3 3 2 2 2 2 2 3" xfId="18464" xr:uid="{00000000-0005-0000-0000-000020730000}"/>
    <cellStyle name="常规 9 2 2 3 3 2 2 2 2 2 3 2" xfId="43040" xr:uid="{00000000-0005-0000-0000-000021730000}"/>
    <cellStyle name="常规 9 2 2 3 3 2 2 2 2 2 4" xfId="30752" xr:uid="{00000000-0005-0000-0000-000022730000}"/>
    <cellStyle name="常规 9 2 2 3 3 2 2 2 2 3" xfId="9248" xr:uid="{00000000-0005-0000-0000-000023730000}"/>
    <cellStyle name="常规 9 2 2 3 3 2 2 2 2 3 2" xfId="21536" xr:uid="{00000000-0005-0000-0000-000024730000}"/>
    <cellStyle name="常规 9 2 2 3 3 2 2 2 2 3 2 2" xfId="46112" xr:uid="{00000000-0005-0000-0000-000025730000}"/>
    <cellStyle name="常规 9 2 2 3 3 2 2 2 2 3 3" xfId="33824" xr:uid="{00000000-0005-0000-0000-000026730000}"/>
    <cellStyle name="常规 9 2 2 3 3 2 2 2 2 4" xfId="15392" xr:uid="{00000000-0005-0000-0000-000027730000}"/>
    <cellStyle name="常规 9 2 2 3 3 2 2 2 2 4 2" xfId="39968" xr:uid="{00000000-0005-0000-0000-000028730000}"/>
    <cellStyle name="常规 9 2 2 3 3 2 2 2 2 5" xfId="27680" xr:uid="{00000000-0005-0000-0000-000029730000}"/>
    <cellStyle name="常规 9 2 2 3 3 2 2 2 3" xfId="4640" xr:uid="{00000000-0005-0000-0000-00002A730000}"/>
    <cellStyle name="常规 9 2 2 3 3 2 2 2 3 2" xfId="10784" xr:uid="{00000000-0005-0000-0000-00002B730000}"/>
    <cellStyle name="常规 9 2 2 3 3 2 2 2 3 2 2" xfId="23072" xr:uid="{00000000-0005-0000-0000-00002C730000}"/>
    <cellStyle name="常规 9 2 2 3 3 2 2 2 3 2 2 2" xfId="47648" xr:uid="{00000000-0005-0000-0000-00002D730000}"/>
    <cellStyle name="常规 9 2 2 3 3 2 2 2 3 2 3" xfId="35360" xr:uid="{00000000-0005-0000-0000-00002E730000}"/>
    <cellStyle name="常规 9 2 2 3 3 2 2 2 3 3" xfId="16928" xr:uid="{00000000-0005-0000-0000-00002F730000}"/>
    <cellStyle name="常规 9 2 2 3 3 2 2 2 3 3 2" xfId="41504" xr:uid="{00000000-0005-0000-0000-000030730000}"/>
    <cellStyle name="常规 9 2 2 3 3 2 2 2 3 4" xfId="29216" xr:uid="{00000000-0005-0000-0000-000031730000}"/>
    <cellStyle name="常规 9 2 2 3 3 2 2 2 4" xfId="7712" xr:uid="{00000000-0005-0000-0000-000032730000}"/>
    <cellStyle name="常规 9 2 2 3 3 2 2 2 4 2" xfId="20000" xr:uid="{00000000-0005-0000-0000-000033730000}"/>
    <cellStyle name="常规 9 2 2 3 3 2 2 2 4 2 2" xfId="44576" xr:uid="{00000000-0005-0000-0000-000034730000}"/>
    <cellStyle name="常规 9 2 2 3 3 2 2 2 4 3" xfId="32288" xr:uid="{00000000-0005-0000-0000-000035730000}"/>
    <cellStyle name="常规 9 2 2 3 3 2 2 2 5" xfId="13856" xr:uid="{00000000-0005-0000-0000-000036730000}"/>
    <cellStyle name="常规 9 2 2 3 3 2 2 2 5 2" xfId="38432" xr:uid="{00000000-0005-0000-0000-000037730000}"/>
    <cellStyle name="常规 9 2 2 3 3 2 2 2 6" xfId="26144" xr:uid="{00000000-0005-0000-0000-000038730000}"/>
    <cellStyle name="常规 9 2 2 3 3 2 2 3" xfId="2332" xr:uid="{00000000-0005-0000-0000-000039730000}"/>
    <cellStyle name="常规 9 2 2 3 3 2 2 3 2" xfId="5408" xr:uid="{00000000-0005-0000-0000-00003A730000}"/>
    <cellStyle name="常规 9 2 2 3 3 2 2 3 2 2" xfId="11552" xr:uid="{00000000-0005-0000-0000-00003B730000}"/>
    <cellStyle name="常规 9 2 2 3 3 2 2 3 2 2 2" xfId="23840" xr:uid="{00000000-0005-0000-0000-00003C730000}"/>
    <cellStyle name="常规 9 2 2 3 3 2 2 3 2 2 2 2" xfId="48416" xr:uid="{00000000-0005-0000-0000-00003D730000}"/>
    <cellStyle name="常规 9 2 2 3 3 2 2 3 2 2 3" xfId="36128" xr:uid="{00000000-0005-0000-0000-00003E730000}"/>
    <cellStyle name="常规 9 2 2 3 3 2 2 3 2 3" xfId="17696" xr:uid="{00000000-0005-0000-0000-00003F730000}"/>
    <cellStyle name="常规 9 2 2 3 3 2 2 3 2 3 2" xfId="42272" xr:uid="{00000000-0005-0000-0000-000040730000}"/>
    <cellStyle name="常规 9 2 2 3 3 2 2 3 2 4" xfId="29984" xr:uid="{00000000-0005-0000-0000-000041730000}"/>
    <cellStyle name="常规 9 2 2 3 3 2 2 3 3" xfId="8480" xr:uid="{00000000-0005-0000-0000-000042730000}"/>
    <cellStyle name="常规 9 2 2 3 3 2 2 3 3 2" xfId="20768" xr:uid="{00000000-0005-0000-0000-000043730000}"/>
    <cellStyle name="常规 9 2 2 3 3 2 2 3 3 2 2" xfId="45344" xr:uid="{00000000-0005-0000-0000-000044730000}"/>
    <cellStyle name="常规 9 2 2 3 3 2 2 3 3 3" xfId="33056" xr:uid="{00000000-0005-0000-0000-000045730000}"/>
    <cellStyle name="常规 9 2 2 3 3 2 2 3 4" xfId="14624" xr:uid="{00000000-0005-0000-0000-000046730000}"/>
    <cellStyle name="常规 9 2 2 3 3 2 2 3 4 2" xfId="39200" xr:uid="{00000000-0005-0000-0000-000047730000}"/>
    <cellStyle name="常规 9 2 2 3 3 2 2 3 5" xfId="26912" xr:uid="{00000000-0005-0000-0000-000048730000}"/>
    <cellStyle name="常规 9 2 2 3 3 2 2 4" xfId="3872" xr:uid="{00000000-0005-0000-0000-000049730000}"/>
    <cellStyle name="常规 9 2 2 3 3 2 2 4 2" xfId="10016" xr:uid="{00000000-0005-0000-0000-00004A730000}"/>
    <cellStyle name="常规 9 2 2 3 3 2 2 4 2 2" xfId="22304" xr:uid="{00000000-0005-0000-0000-00004B730000}"/>
    <cellStyle name="常规 9 2 2 3 3 2 2 4 2 2 2" xfId="46880" xr:uid="{00000000-0005-0000-0000-00004C730000}"/>
    <cellStyle name="常规 9 2 2 3 3 2 2 4 2 3" xfId="34592" xr:uid="{00000000-0005-0000-0000-00004D730000}"/>
    <cellStyle name="常规 9 2 2 3 3 2 2 4 3" xfId="16160" xr:uid="{00000000-0005-0000-0000-00004E730000}"/>
    <cellStyle name="常规 9 2 2 3 3 2 2 4 3 2" xfId="40736" xr:uid="{00000000-0005-0000-0000-00004F730000}"/>
    <cellStyle name="常规 9 2 2 3 3 2 2 4 4" xfId="28448" xr:uid="{00000000-0005-0000-0000-000050730000}"/>
    <cellStyle name="常规 9 2 2 3 3 2 2 5" xfId="6944" xr:uid="{00000000-0005-0000-0000-000051730000}"/>
    <cellStyle name="常规 9 2 2 3 3 2 2 5 2" xfId="19232" xr:uid="{00000000-0005-0000-0000-000052730000}"/>
    <cellStyle name="常规 9 2 2 3 3 2 2 5 2 2" xfId="43808" xr:uid="{00000000-0005-0000-0000-000053730000}"/>
    <cellStyle name="常规 9 2 2 3 3 2 2 5 3" xfId="31520" xr:uid="{00000000-0005-0000-0000-000054730000}"/>
    <cellStyle name="常规 9 2 2 3 3 2 2 6" xfId="13088" xr:uid="{00000000-0005-0000-0000-000055730000}"/>
    <cellStyle name="常规 9 2 2 3 3 2 2 6 2" xfId="37664" xr:uid="{00000000-0005-0000-0000-000056730000}"/>
    <cellStyle name="常规 9 2 2 3 3 2 2 7" xfId="25376" xr:uid="{00000000-0005-0000-0000-000057730000}"/>
    <cellStyle name="常规 9 2 2 3 3 2 3" xfId="1180" xr:uid="{00000000-0005-0000-0000-000058730000}"/>
    <cellStyle name="常规 9 2 2 3 3 2 3 2" xfId="2716" xr:uid="{00000000-0005-0000-0000-000059730000}"/>
    <cellStyle name="常规 9 2 2 3 3 2 3 2 2" xfId="5792" xr:uid="{00000000-0005-0000-0000-00005A730000}"/>
    <cellStyle name="常规 9 2 2 3 3 2 3 2 2 2" xfId="11936" xr:uid="{00000000-0005-0000-0000-00005B730000}"/>
    <cellStyle name="常规 9 2 2 3 3 2 3 2 2 2 2" xfId="24224" xr:uid="{00000000-0005-0000-0000-00005C730000}"/>
    <cellStyle name="常规 9 2 2 3 3 2 3 2 2 2 2 2" xfId="48800" xr:uid="{00000000-0005-0000-0000-00005D730000}"/>
    <cellStyle name="常规 9 2 2 3 3 2 3 2 2 2 3" xfId="36512" xr:uid="{00000000-0005-0000-0000-00005E730000}"/>
    <cellStyle name="常规 9 2 2 3 3 2 3 2 2 3" xfId="18080" xr:uid="{00000000-0005-0000-0000-00005F730000}"/>
    <cellStyle name="常规 9 2 2 3 3 2 3 2 2 3 2" xfId="42656" xr:uid="{00000000-0005-0000-0000-000060730000}"/>
    <cellStyle name="常规 9 2 2 3 3 2 3 2 2 4" xfId="30368" xr:uid="{00000000-0005-0000-0000-000061730000}"/>
    <cellStyle name="常规 9 2 2 3 3 2 3 2 3" xfId="8864" xr:uid="{00000000-0005-0000-0000-000062730000}"/>
    <cellStyle name="常规 9 2 2 3 3 2 3 2 3 2" xfId="21152" xr:uid="{00000000-0005-0000-0000-000063730000}"/>
    <cellStyle name="常规 9 2 2 3 3 2 3 2 3 2 2" xfId="45728" xr:uid="{00000000-0005-0000-0000-000064730000}"/>
    <cellStyle name="常规 9 2 2 3 3 2 3 2 3 3" xfId="33440" xr:uid="{00000000-0005-0000-0000-000065730000}"/>
    <cellStyle name="常规 9 2 2 3 3 2 3 2 4" xfId="15008" xr:uid="{00000000-0005-0000-0000-000066730000}"/>
    <cellStyle name="常规 9 2 2 3 3 2 3 2 4 2" xfId="39584" xr:uid="{00000000-0005-0000-0000-000067730000}"/>
    <cellStyle name="常规 9 2 2 3 3 2 3 2 5" xfId="27296" xr:uid="{00000000-0005-0000-0000-000068730000}"/>
    <cellStyle name="常规 9 2 2 3 3 2 3 3" xfId="4256" xr:uid="{00000000-0005-0000-0000-000069730000}"/>
    <cellStyle name="常规 9 2 2 3 3 2 3 3 2" xfId="10400" xr:uid="{00000000-0005-0000-0000-00006A730000}"/>
    <cellStyle name="常规 9 2 2 3 3 2 3 3 2 2" xfId="22688" xr:uid="{00000000-0005-0000-0000-00006B730000}"/>
    <cellStyle name="常规 9 2 2 3 3 2 3 3 2 2 2" xfId="47264" xr:uid="{00000000-0005-0000-0000-00006C730000}"/>
    <cellStyle name="常规 9 2 2 3 3 2 3 3 2 3" xfId="34976" xr:uid="{00000000-0005-0000-0000-00006D730000}"/>
    <cellStyle name="常规 9 2 2 3 3 2 3 3 3" xfId="16544" xr:uid="{00000000-0005-0000-0000-00006E730000}"/>
    <cellStyle name="常规 9 2 2 3 3 2 3 3 3 2" xfId="41120" xr:uid="{00000000-0005-0000-0000-00006F730000}"/>
    <cellStyle name="常规 9 2 2 3 3 2 3 3 4" xfId="28832" xr:uid="{00000000-0005-0000-0000-000070730000}"/>
    <cellStyle name="常规 9 2 2 3 3 2 3 4" xfId="7328" xr:uid="{00000000-0005-0000-0000-000071730000}"/>
    <cellStyle name="常规 9 2 2 3 3 2 3 4 2" xfId="19616" xr:uid="{00000000-0005-0000-0000-000072730000}"/>
    <cellStyle name="常规 9 2 2 3 3 2 3 4 2 2" xfId="44192" xr:uid="{00000000-0005-0000-0000-000073730000}"/>
    <cellStyle name="常规 9 2 2 3 3 2 3 4 3" xfId="31904" xr:uid="{00000000-0005-0000-0000-000074730000}"/>
    <cellStyle name="常规 9 2 2 3 3 2 3 5" xfId="13472" xr:uid="{00000000-0005-0000-0000-000075730000}"/>
    <cellStyle name="常规 9 2 2 3 3 2 3 5 2" xfId="38048" xr:uid="{00000000-0005-0000-0000-000076730000}"/>
    <cellStyle name="常规 9 2 2 3 3 2 3 6" xfId="25760" xr:uid="{00000000-0005-0000-0000-000077730000}"/>
    <cellStyle name="常规 9 2 2 3 3 2 4" xfId="1948" xr:uid="{00000000-0005-0000-0000-000078730000}"/>
    <cellStyle name="常规 9 2 2 3 3 2 4 2" xfId="5024" xr:uid="{00000000-0005-0000-0000-000079730000}"/>
    <cellStyle name="常规 9 2 2 3 3 2 4 2 2" xfId="11168" xr:uid="{00000000-0005-0000-0000-00007A730000}"/>
    <cellStyle name="常规 9 2 2 3 3 2 4 2 2 2" xfId="23456" xr:uid="{00000000-0005-0000-0000-00007B730000}"/>
    <cellStyle name="常规 9 2 2 3 3 2 4 2 2 2 2" xfId="48032" xr:uid="{00000000-0005-0000-0000-00007C730000}"/>
    <cellStyle name="常规 9 2 2 3 3 2 4 2 2 3" xfId="35744" xr:uid="{00000000-0005-0000-0000-00007D730000}"/>
    <cellStyle name="常规 9 2 2 3 3 2 4 2 3" xfId="17312" xr:uid="{00000000-0005-0000-0000-00007E730000}"/>
    <cellStyle name="常规 9 2 2 3 3 2 4 2 3 2" xfId="41888" xr:uid="{00000000-0005-0000-0000-00007F730000}"/>
    <cellStyle name="常规 9 2 2 3 3 2 4 2 4" xfId="29600" xr:uid="{00000000-0005-0000-0000-000080730000}"/>
    <cellStyle name="常规 9 2 2 3 3 2 4 3" xfId="8096" xr:uid="{00000000-0005-0000-0000-000081730000}"/>
    <cellStyle name="常规 9 2 2 3 3 2 4 3 2" xfId="20384" xr:uid="{00000000-0005-0000-0000-000082730000}"/>
    <cellStyle name="常规 9 2 2 3 3 2 4 3 2 2" xfId="44960" xr:uid="{00000000-0005-0000-0000-000083730000}"/>
    <cellStyle name="常规 9 2 2 3 3 2 4 3 3" xfId="32672" xr:uid="{00000000-0005-0000-0000-000084730000}"/>
    <cellStyle name="常规 9 2 2 3 3 2 4 4" xfId="14240" xr:uid="{00000000-0005-0000-0000-000085730000}"/>
    <cellStyle name="常规 9 2 2 3 3 2 4 4 2" xfId="38816" xr:uid="{00000000-0005-0000-0000-000086730000}"/>
    <cellStyle name="常规 9 2 2 3 3 2 4 5" xfId="26528" xr:uid="{00000000-0005-0000-0000-000087730000}"/>
    <cellStyle name="常规 9 2 2 3 3 2 5" xfId="3488" xr:uid="{00000000-0005-0000-0000-000088730000}"/>
    <cellStyle name="常规 9 2 2 3 3 2 5 2" xfId="9632" xr:uid="{00000000-0005-0000-0000-000089730000}"/>
    <cellStyle name="常规 9 2 2 3 3 2 5 2 2" xfId="21920" xr:uid="{00000000-0005-0000-0000-00008A730000}"/>
    <cellStyle name="常规 9 2 2 3 3 2 5 2 2 2" xfId="46496" xr:uid="{00000000-0005-0000-0000-00008B730000}"/>
    <cellStyle name="常规 9 2 2 3 3 2 5 2 3" xfId="34208" xr:uid="{00000000-0005-0000-0000-00008C730000}"/>
    <cellStyle name="常规 9 2 2 3 3 2 5 3" xfId="15776" xr:uid="{00000000-0005-0000-0000-00008D730000}"/>
    <cellStyle name="常规 9 2 2 3 3 2 5 3 2" xfId="40352" xr:uid="{00000000-0005-0000-0000-00008E730000}"/>
    <cellStyle name="常规 9 2 2 3 3 2 5 4" xfId="28064" xr:uid="{00000000-0005-0000-0000-00008F730000}"/>
    <cellStyle name="常规 9 2 2 3 3 2 6" xfId="6560" xr:uid="{00000000-0005-0000-0000-000090730000}"/>
    <cellStyle name="常规 9 2 2 3 3 2 6 2" xfId="18848" xr:uid="{00000000-0005-0000-0000-000091730000}"/>
    <cellStyle name="常规 9 2 2 3 3 2 6 2 2" xfId="43424" xr:uid="{00000000-0005-0000-0000-000092730000}"/>
    <cellStyle name="常规 9 2 2 3 3 2 6 3" xfId="31136" xr:uid="{00000000-0005-0000-0000-000093730000}"/>
    <cellStyle name="常规 9 2 2 3 3 2 7" xfId="12704" xr:uid="{00000000-0005-0000-0000-000094730000}"/>
    <cellStyle name="常规 9 2 2 3 3 2 7 2" xfId="37280" xr:uid="{00000000-0005-0000-0000-000095730000}"/>
    <cellStyle name="常规 9 2 2 3 3 2 8" xfId="24992" xr:uid="{00000000-0005-0000-0000-000096730000}"/>
    <cellStyle name="常规 9 2 2 3 3 3" xfId="604" xr:uid="{00000000-0005-0000-0000-000097730000}"/>
    <cellStyle name="常规 9 2 2 3 3 3 2" xfId="1372" xr:uid="{00000000-0005-0000-0000-000098730000}"/>
    <cellStyle name="常规 9 2 2 3 3 3 2 2" xfId="2908" xr:uid="{00000000-0005-0000-0000-000099730000}"/>
    <cellStyle name="常规 9 2 2 3 3 3 2 2 2" xfId="5984" xr:uid="{00000000-0005-0000-0000-00009A730000}"/>
    <cellStyle name="常规 9 2 2 3 3 3 2 2 2 2" xfId="12128" xr:uid="{00000000-0005-0000-0000-00009B730000}"/>
    <cellStyle name="常规 9 2 2 3 3 3 2 2 2 2 2" xfId="24416" xr:uid="{00000000-0005-0000-0000-00009C730000}"/>
    <cellStyle name="常规 9 2 2 3 3 3 2 2 2 2 2 2" xfId="48992" xr:uid="{00000000-0005-0000-0000-00009D730000}"/>
    <cellStyle name="常规 9 2 2 3 3 3 2 2 2 2 3" xfId="36704" xr:uid="{00000000-0005-0000-0000-00009E730000}"/>
    <cellStyle name="常规 9 2 2 3 3 3 2 2 2 3" xfId="18272" xr:uid="{00000000-0005-0000-0000-00009F730000}"/>
    <cellStyle name="常规 9 2 2 3 3 3 2 2 2 3 2" xfId="42848" xr:uid="{00000000-0005-0000-0000-0000A0730000}"/>
    <cellStyle name="常规 9 2 2 3 3 3 2 2 2 4" xfId="30560" xr:uid="{00000000-0005-0000-0000-0000A1730000}"/>
    <cellStyle name="常规 9 2 2 3 3 3 2 2 3" xfId="9056" xr:uid="{00000000-0005-0000-0000-0000A2730000}"/>
    <cellStyle name="常规 9 2 2 3 3 3 2 2 3 2" xfId="21344" xr:uid="{00000000-0005-0000-0000-0000A3730000}"/>
    <cellStyle name="常规 9 2 2 3 3 3 2 2 3 2 2" xfId="45920" xr:uid="{00000000-0005-0000-0000-0000A4730000}"/>
    <cellStyle name="常规 9 2 2 3 3 3 2 2 3 3" xfId="33632" xr:uid="{00000000-0005-0000-0000-0000A5730000}"/>
    <cellStyle name="常规 9 2 2 3 3 3 2 2 4" xfId="15200" xr:uid="{00000000-0005-0000-0000-0000A6730000}"/>
    <cellStyle name="常规 9 2 2 3 3 3 2 2 4 2" xfId="39776" xr:uid="{00000000-0005-0000-0000-0000A7730000}"/>
    <cellStyle name="常规 9 2 2 3 3 3 2 2 5" xfId="27488" xr:uid="{00000000-0005-0000-0000-0000A8730000}"/>
    <cellStyle name="常规 9 2 2 3 3 3 2 3" xfId="4448" xr:uid="{00000000-0005-0000-0000-0000A9730000}"/>
    <cellStyle name="常规 9 2 2 3 3 3 2 3 2" xfId="10592" xr:uid="{00000000-0005-0000-0000-0000AA730000}"/>
    <cellStyle name="常规 9 2 2 3 3 3 2 3 2 2" xfId="22880" xr:uid="{00000000-0005-0000-0000-0000AB730000}"/>
    <cellStyle name="常规 9 2 2 3 3 3 2 3 2 2 2" xfId="47456" xr:uid="{00000000-0005-0000-0000-0000AC730000}"/>
    <cellStyle name="常规 9 2 2 3 3 3 2 3 2 3" xfId="35168" xr:uid="{00000000-0005-0000-0000-0000AD730000}"/>
    <cellStyle name="常规 9 2 2 3 3 3 2 3 3" xfId="16736" xr:uid="{00000000-0005-0000-0000-0000AE730000}"/>
    <cellStyle name="常规 9 2 2 3 3 3 2 3 3 2" xfId="41312" xr:uid="{00000000-0005-0000-0000-0000AF730000}"/>
    <cellStyle name="常规 9 2 2 3 3 3 2 3 4" xfId="29024" xr:uid="{00000000-0005-0000-0000-0000B0730000}"/>
    <cellStyle name="常规 9 2 2 3 3 3 2 4" xfId="7520" xr:uid="{00000000-0005-0000-0000-0000B1730000}"/>
    <cellStyle name="常规 9 2 2 3 3 3 2 4 2" xfId="19808" xr:uid="{00000000-0005-0000-0000-0000B2730000}"/>
    <cellStyle name="常规 9 2 2 3 3 3 2 4 2 2" xfId="44384" xr:uid="{00000000-0005-0000-0000-0000B3730000}"/>
    <cellStyle name="常规 9 2 2 3 3 3 2 4 3" xfId="32096" xr:uid="{00000000-0005-0000-0000-0000B4730000}"/>
    <cellStyle name="常规 9 2 2 3 3 3 2 5" xfId="13664" xr:uid="{00000000-0005-0000-0000-0000B5730000}"/>
    <cellStyle name="常规 9 2 2 3 3 3 2 5 2" xfId="38240" xr:uid="{00000000-0005-0000-0000-0000B6730000}"/>
    <cellStyle name="常规 9 2 2 3 3 3 2 6" xfId="25952" xr:uid="{00000000-0005-0000-0000-0000B7730000}"/>
    <cellStyle name="常规 9 2 2 3 3 3 3" xfId="2140" xr:uid="{00000000-0005-0000-0000-0000B8730000}"/>
    <cellStyle name="常规 9 2 2 3 3 3 3 2" xfId="5216" xr:uid="{00000000-0005-0000-0000-0000B9730000}"/>
    <cellStyle name="常规 9 2 2 3 3 3 3 2 2" xfId="11360" xr:uid="{00000000-0005-0000-0000-0000BA730000}"/>
    <cellStyle name="常规 9 2 2 3 3 3 3 2 2 2" xfId="23648" xr:uid="{00000000-0005-0000-0000-0000BB730000}"/>
    <cellStyle name="常规 9 2 2 3 3 3 3 2 2 2 2" xfId="48224" xr:uid="{00000000-0005-0000-0000-0000BC730000}"/>
    <cellStyle name="常规 9 2 2 3 3 3 3 2 2 3" xfId="35936" xr:uid="{00000000-0005-0000-0000-0000BD730000}"/>
    <cellStyle name="常规 9 2 2 3 3 3 3 2 3" xfId="17504" xr:uid="{00000000-0005-0000-0000-0000BE730000}"/>
    <cellStyle name="常规 9 2 2 3 3 3 3 2 3 2" xfId="42080" xr:uid="{00000000-0005-0000-0000-0000BF730000}"/>
    <cellStyle name="常规 9 2 2 3 3 3 3 2 4" xfId="29792" xr:uid="{00000000-0005-0000-0000-0000C0730000}"/>
    <cellStyle name="常规 9 2 2 3 3 3 3 3" xfId="8288" xr:uid="{00000000-0005-0000-0000-0000C1730000}"/>
    <cellStyle name="常规 9 2 2 3 3 3 3 3 2" xfId="20576" xr:uid="{00000000-0005-0000-0000-0000C2730000}"/>
    <cellStyle name="常规 9 2 2 3 3 3 3 3 2 2" xfId="45152" xr:uid="{00000000-0005-0000-0000-0000C3730000}"/>
    <cellStyle name="常规 9 2 2 3 3 3 3 3 3" xfId="32864" xr:uid="{00000000-0005-0000-0000-0000C4730000}"/>
    <cellStyle name="常规 9 2 2 3 3 3 3 4" xfId="14432" xr:uid="{00000000-0005-0000-0000-0000C5730000}"/>
    <cellStyle name="常规 9 2 2 3 3 3 3 4 2" xfId="39008" xr:uid="{00000000-0005-0000-0000-0000C6730000}"/>
    <cellStyle name="常规 9 2 2 3 3 3 3 5" xfId="26720" xr:uid="{00000000-0005-0000-0000-0000C7730000}"/>
    <cellStyle name="常规 9 2 2 3 3 3 4" xfId="3680" xr:uid="{00000000-0005-0000-0000-0000C8730000}"/>
    <cellStyle name="常规 9 2 2 3 3 3 4 2" xfId="9824" xr:uid="{00000000-0005-0000-0000-0000C9730000}"/>
    <cellStyle name="常规 9 2 2 3 3 3 4 2 2" xfId="22112" xr:uid="{00000000-0005-0000-0000-0000CA730000}"/>
    <cellStyle name="常规 9 2 2 3 3 3 4 2 2 2" xfId="46688" xr:uid="{00000000-0005-0000-0000-0000CB730000}"/>
    <cellStyle name="常规 9 2 2 3 3 3 4 2 3" xfId="34400" xr:uid="{00000000-0005-0000-0000-0000CC730000}"/>
    <cellStyle name="常规 9 2 2 3 3 3 4 3" xfId="15968" xr:uid="{00000000-0005-0000-0000-0000CD730000}"/>
    <cellStyle name="常规 9 2 2 3 3 3 4 3 2" xfId="40544" xr:uid="{00000000-0005-0000-0000-0000CE730000}"/>
    <cellStyle name="常规 9 2 2 3 3 3 4 4" xfId="28256" xr:uid="{00000000-0005-0000-0000-0000CF730000}"/>
    <cellStyle name="常规 9 2 2 3 3 3 5" xfId="6752" xr:uid="{00000000-0005-0000-0000-0000D0730000}"/>
    <cellStyle name="常规 9 2 2 3 3 3 5 2" xfId="19040" xr:uid="{00000000-0005-0000-0000-0000D1730000}"/>
    <cellStyle name="常规 9 2 2 3 3 3 5 2 2" xfId="43616" xr:uid="{00000000-0005-0000-0000-0000D2730000}"/>
    <cellStyle name="常规 9 2 2 3 3 3 5 3" xfId="31328" xr:uid="{00000000-0005-0000-0000-0000D3730000}"/>
    <cellStyle name="常规 9 2 2 3 3 3 6" xfId="12896" xr:uid="{00000000-0005-0000-0000-0000D4730000}"/>
    <cellStyle name="常规 9 2 2 3 3 3 6 2" xfId="37472" xr:uid="{00000000-0005-0000-0000-0000D5730000}"/>
    <cellStyle name="常规 9 2 2 3 3 3 7" xfId="25184" xr:uid="{00000000-0005-0000-0000-0000D6730000}"/>
    <cellStyle name="常规 9 2 2 3 3 4" xfId="988" xr:uid="{00000000-0005-0000-0000-0000D7730000}"/>
    <cellStyle name="常规 9 2 2 3 3 4 2" xfId="2524" xr:uid="{00000000-0005-0000-0000-0000D8730000}"/>
    <cellStyle name="常规 9 2 2 3 3 4 2 2" xfId="5600" xr:uid="{00000000-0005-0000-0000-0000D9730000}"/>
    <cellStyle name="常规 9 2 2 3 3 4 2 2 2" xfId="11744" xr:uid="{00000000-0005-0000-0000-0000DA730000}"/>
    <cellStyle name="常规 9 2 2 3 3 4 2 2 2 2" xfId="24032" xr:uid="{00000000-0005-0000-0000-0000DB730000}"/>
    <cellStyle name="常规 9 2 2 3 3 4 2 2 2 2 2" xfId="48608" xr:uid="{00000000-0005-0000-0000-0000DC730000}"/>
    <cellStyle name="常规 9 2 2 3 3 4 2 2 2 3" xfId="36320" xr:uid="{00000000-0005-0000-0000-0000DD730000}"/>
    <cellStyle name="常规 9 2 2 3 3 4 2 2 3" xfId="17888" xr:uid="{00000000-0005-0000-0000-0000DE730000}"/>
    <cellStyle name="常规 9 2 2 3 3 4 2 2 3 2" xfId="42464" xr:uid="{00000000-0005-0000-0000-0000DF730000}"/>
    <cellStyle name="常规 9 2 2 3 3 4 2 2 4" xfId="30176" xr:uid="{00000000-0005-0000-0000-0000E0730000}"/>
    <cellStyle name="常规 9 2 2 3 3 4 2 3" xfId="8672" xr:uid="{00000000-0005-0000-0000-0000E1730000}"/>
    <cellStyle name="常规 9 2 2 3 3 4 2 3 2" xfId="20960" xr:uid="{00000000-0005-0000-0000-0000E2730000}"/>
    <cellStyle name="常规 9 2 2 3 3 4 2 3 2 2" xfId="45536" xr:uid="{00000000-0005-0000-0000-0000E3730000}"/>
    <cellStyle name="常规 9 2 2 3 3 4 2 3 3" xfId="33248" xr:uid="{00000000-0005-0000-0000-0000E4730000}"/>
    <cellStyle name="常规 9 2 2 3 3 4 2 4" xfId="14816" xr:uid="{00000000-0005-0000-0000-0000E5730000}"/>
    <cellStyle name="常规 9 2 2 3 3 4 2 4 2" xfId="39392" xr:uid="{00000000-0005-0000-0000-0000E6730000}"/>
    <cellStyle name="常规 9 2 2 3 3 4 2 5" xfId="27104" xr:uid="{00000000-0005-0000-0000-0000E7730000}"/>
    <cellStyle name="常规 9 2 2 3 3 4 3" xfId="4064" xr:uid="{00000000-0005-0000-0000-0000E8730000}"/>
    <cellStyle name="常规 9 2 2 3 3 4 3 2" xfId="10208" xr:uid="{00000000-0005-0000-0000-0000E9730000}"/>
    <cellStyle name="常规 9 2 2 3 3 4 3 2 2" xfId="22496" xr:uid="{00000000-0005-0000-0000-0000EA730000}"/>
    <cellStyle name="常规 9 2 2 3 3 4 3 2 2 2" xfId="47072" xr:uid="{00000000-0005-0000-0000-0000EB730000}"/>
    <cellStyle name="常规 9 2 2 3 3 4 3 2 3" xfId="34784" xr:uid="{00000000-0005-0000-0000-0000EC730000}"/>
    <cellStyle name="常规 9 2 2 3 3 4 3 3" xfId="16352" xr:uid="{00000000-0005-0000-0000-0000ED730000}"/>
    <cellStyle name="常规 9 2 2 3 3 4 3 3 2" xfId="40928" xr:uid="{00000000-0005-0000-0000-0000EE730000}"/>
    <cellStyle name="常规 9 2 2 3 3 4 3 4" xfId="28640" xr:uid="{00000000-0005-0000-0000-0000EF730000}"/>
    <cellStyle name="常规 9 2 2 3 3 4 4" xfId="7136" xr:uid="{00000000-0005-0000-0000-0000F0730000}"/>
    <cellStyle name="常规 9 2 2 3 3 4 4 2" xfId="19424" xr:uid="{00000000-0005-0000-0000-0000F1730000}"/>
    <cellStyle name="常规 9 2 2 3 3 4 4 2 2" xfId="44000" xr:uid="{00000000-0005-0000-0000-0000F2730000}"/>
    <cellStyle name="常规 9 2 2 3 3 4 4 3" xfId="31712" xr:uid="{00000000-0005-0000-0000-0000F3730000}"/>
    <cellStyle name="常规 9 2 2 3 3 4 5" xfId="13280" xr:uid="{00000000-0005-0000-0000-0000F4730000}"/>
    <cellStyle name="常规 9 2 2 3 3 4 5 2" xfId="37856" xr:uid="{00000000-0005-0000-0000-0000F5730000}"/>
    <cellStyle name="常规 9 2 2 3 3 4 6" xfId="25568" xr:uid="{00000000-0005-0000-0000-0000F6730000}"/>
    <cellStyle name="常规 9 2 2 3 3 5" xfId="1756" xr:uid="{00000000-0005-0000-0000-0000F7730000}"/>
    <cellStyle name="常规 9 2 2 3 3 5 2" xfId="4832" xr:uid="{00000000-0005-0000-0000-0000F8730000}"/>
    <cellStyle name="常规 9 2 2 3 3 5 2 2" xfId="10976" xr:uid="{00000000-0005-0000-0000-0000F9730000}"/>
    <cellStyle name="常规 9 2 2 3 3 5 2 2 2" xfId="23264" xr:uid="{00000000-0005-0000-0000-0000FA730000}"/>
    <cellStyle name="常规 9 2 2 3 3 5 2 2 2 2" xfId="47840" xr:uid="{00000000-0005-0000-0000-0000FB730000}"/>
    <cellStyle name="常规 9 2 2 3 3 5 2 2 3" xfId="35552" xr:uid="{00000000-0005-0000-0000-0000FC730000}"/>
    <cellStyle name="常规 9 2 2 3 3 5 2 3" xfId="17120" xr:uid="{00000000-0005-0000-0000-0000FD730000}"/>
    <cellStyle name="常规 9 2 2 3 3 5 2 3 2" xfId="41696" xr:uid="{00000000-0005-0000-0000-0000FE730000}"/>
    <cellStyle name="常规 9 2 2 3 3 5 2 4" xfId="29408" xr:uid="{00000000-0005-0000-0000-0000FF730000}"/>
    <cellStyle name="常规 9 2 2 3 3 5 3" xfId="7904" xr:uid="{00000000-0005-0000-0000-000000740000}"/>
    <cellStyle name="常规 9 2 2 3 3 5 3 2" xfId="20192" xr:uid="{00000000-0005-0000-0000-000001740000}"/>
    <cellStyle name="常规 9 2 2 3 3 5 3 2 2" xfId="44768" xr:uid="{00000000-0005-0000-0000-000002740000}"/>
    <cellStyle name="常规 9 2 2 3 3 5 3 3" xfId="32480" xr:uid="{00000000-0005-0000-0000-000003740000}"/>
    <cellStyle name="常规 9 2 2 3 3 5 4" xfId="14048" xr:uid="{00000000-0005-0000-0000-000004740000}"/>
    <cellStyle name="常规 9 2 2 3 3 5 4 2" xfId="38624" xr:uid="{00000000-0005-0000-0000-000005740000}"/>
    <cellStyle name="常规 9 2 2 3 3 5 5" xfId="26336" xr:uid="{00000000-0005-0000-0000-000006740000}"/>
    <cellStyle name="常规 9 2 2 3 3 6" xfId="3296" xr:uid="{00000000-0005-0000-0000-000007740000}"/>
    <cellStyle name="常规 9 2 2 3 3 6 2" xfId="9440" xr:uid="{00000000-0005-0000-0000-000008740000}"/>
    <cellStyle name="常规 9 2 2 3 3 6 2 2" xfId="21728" xr:uid="{00000000-0005-0000-0000-000009740000}"/>
    <cellStyle name="常规 9 2 2 3 3 6 2 2 2" xfId="46304" xr:uid="{00000000-0005-0000-0000-00000A740000}"/>
    <cellStyle name="常规 9 2 2 3 3 6 2 3" xfId="34016" xr:uid="{00000000-0005-0000-0000-00000B740000}"/>
    <cellStyle name="常规 9 2 2 3 3 6 3" xfId="15584" xr:uid="{00000000-0005-0000-0000-00000C740000}"/>
    <cellStyle name="常规 9 2 2 3 3 6 3 2" xfId="40160" xr:uid="{00000000-0005-0000-0000-00000D740000}"/>
    <cellStyle name="常规 9 2 2 3 3 6 4" xfId="27872" xr:uid="{00000000-0005-0000-0000-00000E740000}"/>
    <cellStyle name="常规 9 2 2 3 3 7" xfId="6368" xr:uid="{00000000-0005-0000-0000-00000F740000}"/>
    <cellStyle name="常规 9 2 2 3 3 7 2" xfId="18656" xr:uid="{00000000-0005-0000-0000-000010740000}"/>
    <cellStyle name="常规 9 2 2 3 3 7 2 2" xfId="43232" xr:uid="{00000000-0005-0000-0000-000011740000}"/>
    <cellStyle name="常规 9 2 2 3 3 7 3" xfId="30944" xr:uid="{00000000-0005-0000-0000-000012740000}"/>
    <cellStyle name="常规 9 2 2 3 3 8" xfId="12512" xr:uid="{00000000-0005-0000-0000-000013740000}"/>
    <cellStyle name="常规 9 2 2 3 3 8 2" xfId="37088" xr:uid="{00000000-0005-0000-0000-000014740000}"/>
    <cellStyle name="常规 9 2 2 3 3 9" xfId="24800" xr:uid="{00000000-0005-0000-0000-000015740000}"/>
    <cellStyle name="常规 9 2 2 3 4" xfId="284" xr:uid="{00000000-0005-0000-0000-000016740000}"/>
    <cellStyle name="常规 9 2 2 3 4 2" xfId="476" xr:uid="{00000000-0005-0000-0000-000017740000}"/>
    <cellStyle name="常规 9 2 2 3 4 2 2" xfId="860" xr:uid="{00000000-0005-0000-0000-000018740000}"/>
    <cellStyle name="常规 9 2 2 3 4 2 2 2" xfId="1628" xr:uid="{00000000-0005-0000-0000-000019740000}"/>
    <cellStyle name="常规 9 2 2 3 4 2 2 2 2" xfId="3164" xr:uid="{00000000-0005-0000-0000-00001A740000}"/>
    <cellStyle name="常规 9 2 2 3 4 2 2 2 2 2" xfId="6240" xr:uid="{00000000-0005-0000-0000-00001B740000}"/>
    <cellStyle name="常规 9 2 2 3 4 2 2 2 2 2 2" xfId="12384" xr:uid="{00000000-0005-0000-0000-00001C740000}"/>
    <cellStyle name="常规 9 2 2 3 4 2 2 2 2 2 2 2" xfId="24672" xr:uid="{00000000-0005-0000-0000-00001D740000}"/>
    <cellStyle name="常规 9 2 2 3 4 2 2 2 2 2 2 2 2" xfId="49248" xr:uid="{00000000-0005-0000-0000-00001E740000}"/>
    <cellStyle name="常规 9 2 2 3 4 2 2 2 2 2 2 3" xfId="36960" xr:uid="{00000000-0005-0000-0000-00001F740000}"/>
    <cellStyle name="常规 9 2 2 3 4 2 2 2 2 2 3" xfId="18528" xr:uid="{00000000-0005-0000-0000-000020740000}"/>
    <cellStyle name="常规 9 2 2 3 4 2 2 2 2 2 3 2" xfId="43104" xr:uid="{00000000-0005-0000-0000-000021740000}"/>
    <cellStyle name="常规 9 2 2 3 4 2 2 2 2 2 4" xfId="30816" xr:uid="{00000000-0005-0000-0000-000022740000}"/>
    <cellStyle name="常规 9 2 2 3 4 2 2 2 2 3" xfId="9312" xr:uid="{00000000-0005-0000-0000-000023740000}"/>
    <cellStyle name="常规 9 2 2 3 4 2 2 2 2 3 2" xfId="21600" xr:uid="{00000000-0005-0000-0000-000024740000}"/>
    <cellStyle name="常规 9 2 2 3 4 2 2 2 2 3 2 2" xfId="46176" xr:uid="{00000000-0005-0000-0000-000025740000}"/>
    <cellStyle name="常规 9 2 2 3 4 2 2 2 2 3 3" xfId="33888" xr:uid="{00000000-0005-0000-0000-000026740000}"/>
    <cellStyle name="常规 9 2 2 3 4 2 2 2 2 4" xfId="15456" xr:uid="{00000000-0005-0000-0000-000027740000}"/>
    <cellStyle name="常规 9 2 2 3 4 2 2 2 2 4 2" xfId="40032" xr:uid="{00000000-0005-0000-0000-000028740000}"/>
    <cellStyle name="常规 9 2 2 3 4 2 2 2 2 5" xfId="27744" xr:uid="{00000000-0005-0000-0000-000029740000}"/>
    <cellStyle name="常规 9 2 2 3 4 2 2 2 3" xfId="4704" xr:uid="{00000000-0005-0000-0000-00002A740000}"/>
    <cellStyle name="常规 9 2 2 3 4 2 2 2 3 2" xfId="10848" xr:uid="{00000000-0005-0000-0000-00002B740000}"/>
    <cellStyle name="常规 9 2 2 3 4 2 2 2 3 2 2" xfId="23136" xr:uid="{00000000-0005-0000-0000-00002C740000}"/>
    <cellStyle name="常规 9 2 2 3 4 2 2 2 3 2 2 2" xfId="47712" xr:uid="{00000000-0005-0000-0000-00002D740000}"/>
    <cellStyle name="常规 9 2 2 3 4 2 2 2 3 2 3" xfId="35424" xr:uid="{00000000-0005-0000-0000-00002E740000}"/>
    <cellStyle name="常规 9 2 2 3 4 2 2 2 3 3" xfId="16992" xr:uid="{00000000-0005-0000-0000-00002F740000}"/>
    <cellStyle name="常规 9 2 2 3 4 2 2 2 3 3 2" xfId="41568" xr:uid="{00000000-0005-0000-0000-000030740000}"/>
    <cellStyle name="常规 9 2 2 3 4 2 2 2 3 4" xfId="29280" xr:uid="{00000000-0005-0000-0000-000031740000}"/>
    <cellStyle name="常规 9 2 2 3 4 2 2 2 4" xfId="7776" xr:uid="{00000000-0005-0000-0000-000032740000}"/>
    <cellStyle name="常规 9 2 2 3 4 2 2 2 4 2" xfId="20064" xr:uid="{00000000-0005-0000-0000-000033740000}"/>
    <cellStyle name="常规 9 2 2 3 4 2 2 2 4 2 2" xfId="44640" xr:uid="{00000000-0005-0000-0000-000034740000}"/>
    <cellStyle name="常规 9 2 2 3 4 2 2 2 4 3" xfId="32352" xr:uid="{00000000-0005-0000-0000-000035740000}"/>
    <cellStyle name="常规 9 2 2 3 4 2 2 2 5" xfId="13920" xr:uid="{00000000-0005-0000-0000-000036740000}"/>
    <cellStyle name="常规 9 2 2 3 4 2 2 2 5 2" xfId="38496" xr:uid="{00000000-0005-0000-0000-000037740000}"/>
    <cellStyle name="常规 9 2 2 3 4 2 2 2 6" xfId="26208" xr:uid="{00000000-0005-0000-0000-000038740000}"/>
    <cellStyle name="常规 9 2 2 3 4 2 2 3" xfId="2396" xr:uid="{00000000-0005-0000-0000-000039740000}"/>
    <cellStyle name="常规 9 2 2 3 4 2 2 3 2" xfId="5472" xr:uid="{00000000-0005-0000-0000-00003A740000}"/>
    <cellStyle name="常规 9 2 2 3 4 2 2 3 2 2" xfId="11616" xr:uid="{00000000-0005-0000-0000-00003B740000}"/>
    <cellStyle name="常规 9 2 2 3 4 2 2 3 2 2 2" xfId="23904" xr:uid="{00000000-0005-0000-0000-00003C740000}"/>
    <cellStyle name="常规 9 2 2 3 4 2 2 3 2 2 2 2" xfId="48480" xr:uid="{00000000-0005-0000-0000-00003D740000}"/>
    <cellStyle name="常规 9 2 2 3 4 2 2 3 2 2 3" xfId="36192" xr:uid="{00000000-0005-0000-0000-00003E740000}"/>
    <cellStyle name="常规 9 2 2 3 4 2 2 3 2 3" xfId="17760" xr:uid="{00000000-0005-0000-0000-00003F740000}"/>
    <cellStyle name="常规 9 2 2 3 4 2 2 3 2 3 2" xfId="42336" xr:uid="{00000000-0005-0000-0000-000040740000}"/>
    <cellStyle name="常规 9 2 2 3 4 2 2 3 2 4" xfId="30048" xr:uid="{00000000-0005-0000-0000-000041740000}"/>
    <cellStyle name="常规 9 2 2 3 4 2 2 3 3" xfId="8544" xr:uid="{00000000-0005-0000-0000-000042740000}"/>
    <cellStyle name="常规 9 2 2 3 4 2 2 3 3 2" xfId="20832" xr:uid="{00000000-0005-0000-0000-000043740000}"/>
    <cellStyle name="常规 9 2 2 3 4 2 2 3 3 2 2" xfId="45408" xr:uid="{00000000-0005-0000-0000-000044740000}"/>
    <cellStyle name="常规 9 2 2 3 4 2 2 3 3 3" xfId="33120" xr:uid="{00000000-0005-0000-0000-000045740000}"/>
    <cellStyle name="常规 9 2 2 3 4 2 2 3 4" xfId="14688" xr:uid="{00000000-0005-0000-0000-000046740000}"/>
    <cellStyle name="常规 9 2 2 3 4 2 2 3 4 2" xfId="39264" xr:uid="{00000000-0005-0000-0000-000047740000}"/>
    <cellStyle name="常规 9 2 2 3 4 2 2 3 5" xfId="26976" xr:uid="{00000000-0005-0000-0000-000048740000}"/>
    <cellStyle name="常规 9 2 2 3 4 2 2 4" xfId="3936" xr:uid="{00000000-0005-0000-0000-000049740000}"/>
    <cellStyle name="常规 9 2 2 3 4 2 2 4 2" xfId="10080" xr:uid="{00000000-0005-0000-0000-00004A740000}"/>
    <cellStyle name="常规 9 2 2 3 4 2 2 4 2 2" xfId="22368" xr:uid="{00000000-0005-0000-0000-00004B740000}"/>
    <cellStyle name="常规 9 2 2 3 4 2 2 4 2 2 2" xfId="46944" xr:uid="{00000000-0005-0000-0000-00004C740000}"/>
    <cellStyle name="常规 9 2 2 3 4 2 2 4 2 3" xfId="34656" xr:uid="{00000000-0005-0000-0000-00004D740000}"/>
    <cellStyle name="常规 9 2 2 3 4 2 2 4 3" xfId="16224" xr:uid="{00000000-0005-0000-0000-00004E740000}"/>
    <cellStyle name="常规 9 2 2 3 4 2 2 4 3 2" xfId="40800" xr:uid="{00000000-0005-0000-0000-00004F740000}"/>
    <cellStyle name="常规 9 2 2 3 4 2 2 4 4" xfId="28512" xr:uid="{00000000-0005-0000-0000-000050740000}"/>
    <cellStyle name="常规 9 2 2 3 4 2 2 5" xfId="7008" xr:uid="{00000000-0005-0000-0000-000051740000}"/>
    <cellStyle name="常规 9 2 2 3 4 2 2 5 2" xfId="19296" xr:uid="{00000000-0005-0000-0000-000052740000}"/>
    <cellStyle name="常规 9 2 2 3 4 2 2 5 2 2" xfId="43872" xr:uid="{00000000-0005-0000-0000-000053740000}"/>
    <cellStyle name="常规 9 2 2 3 4 2 2 5 3" xfId="31584" xr:uid="{00000000-0005-0000-0000-000054740000}"/>
    <cellStyle name="常规 9 2 2 3 4 2 2 6" xfId="13152" xr:uid="{00000000-0005-0000-0000-000055740000}"/>
    <cellStyle name="常规 9 2 2 3 4 2 2 6 2" xfId="37728" xr:uid="{00000000-0005-0000-0000-000056740000}"/>
    <cellStyle name="常规 9 2 2 3 4 2 2 7" xfId="25440" xr:uid="{00000000-0005-0000-0000-000057740000}"/>
    <cellStyle name="常规 9 2 2 3 4 2 3" xfId="1244" xr:uid="{00000000-0005-0000-0000-000058740000}"/>
    <cellStyle name="常规 9 2 2 3 4 2 3 2" xfId="2780" xr:uid="{00000000-0005-0000-0000-000059740000}"/>
    <cellStyle name="常规 9 2 2 3 4 2 3 2 2" xfId="5856" xr:uid="{00000000-0005-0000-0000-00005A740000}"/>
    <cellStyle name="常规 9 2 2 3 4 2 3 2 2 2" xfId="12000" xr:uid="{00000000-0005-0000-0000-00005B740000}"/>
    <cellStyle name="常规 9 2 2 3 4 2 3 2 2 2 2" xfId="24288" xr:uid="{00000000-0005-0000-0000-00005C740000}"/>
    <cellStyle name="常规 9 2 2 3 4 2 3 2 2 2 2 2" xfId="48864" xr:uid="{00000000-0005-0000-0000-00005D740000}"/>
    <cellStyle name="常规 9 2 2 3 4 2 3 2 2 2 3" xfId="36576" xr:uid="{00000000-0005-0000-0000-00005E740000}"/>
    <cellStyle name="常规 9 2 2 3 4 2 3 2 2 3" xfId="18144" xr:uid="{00000000-0005-0000-0000-00005F740000}"/>
    <cellStyle name="常规 9 2 2 3 4 2 3 2 2 3 2" xfId="42720" xr:uid="{00000000-0005-0000-0000-000060740000}"/>
    <cellStyle name="常规 9 2 2 3 4 2 3 2 2 4" xfId="30432" xr:uid="{00000000-0005-0000-0000-000061740000}"/>
    <cellStyle name="常规 9 2 2 3 4 2 3 2 3" xfId="8928" xr:uid="{00000000-0005-0000-0000-000062740000}"/>
    <cellStyle name="常规 9 2 2 3 4 2 3 2 3 2" xfId="21216" xr:uid="{00000000-0005-0000-0000-000063740000}"/>
    <cellStyle name="常规 9 2 2 3 4 2 3 2 3 2 2" xfId="45792" xr:uid="{00000000-0005-0000-0000-000064740000}"/>
    <cellStyle name="常规 9 2 2 3 4 2 3 2 3 3" xfId="33504" xr:uid="{00000000-0005-0000-0000-000065740000}"/>
    <cellStyle name="常规 9 2 2 3 4 2 3 2 4" xfId="15072" xr:uid="{00000000-0005-0000-0000-000066740000}"/>
    <cellStyle name="常规 9 2 2 3 4 2 3 2 4 2" xfId="39648" xr:uid="{00000000-0005-0000-0000-000067740000}"/>
    <cellStyle name="常规 9 2 2 3 4 2 3 2 5" xfId="27360" xr:uid="{00000000-0005-0000-0000-000068740000}"/>
    <cellStyle name="常规 9 2 2 3 4 2 3 3" xfId="4320" xr:uid="{00000000-0005-0000-0000-000069740000}"/>
    <cellStyle name="常规 9 2 2 3 4 2 3 3 2" xfId="10464" xr:uid="{00000000-0005-0000-0000-00006A740000}"/>
    <cellStyle name="常规 9 2 2 3 4 2 3 3 2 2" xfId="22752" xr:uid="{00000000-0005-0000-0000-00006B740000}"/>
    <cellStyle name="常规 9 2 2 3 4 2 3 3 2 2 2" xfId="47328" xr:uid="{00000000-0005-0000-0000-00006C740000}"/>
    <cellStyle name="常规 9 2 2 3 4 2 3 3 2 3" xfId="35040" xr:uid="{00000000-0005-0000-0000-00006D740000}"/>
    <cellStyle name="常规 9 2 2 3 4 2 3 3 3" xfId="16608" xr:uid="{00000000-0005-0000-0000-00006E740000}"/>
    <cellStyle name="常规 9 2 2 3 4 2 3 3 3 2" xfId="41184" xr:uid="{00000000-0005-0000-0000-00006F740000}"/>
    <cellStyle name="常规 9 2 2 3 4 2 3 3 4" xfId="28896" xr:uid="{00000000-0005-0000-0000-000070740000}"/>
    <cellStyle name="常规 9 2 2 3 4 2 3 4" xfId="7392" xr:uid="{00000000-0005-0000-0000-000071740000}"/>
    <cellStyle name="常规 9 2 2 3 4 2 3 4 2" xfId="19680" xr:uid="{00000000-0005-0000-0000-000072740000}"/>
    <cellStyle name="常规 9 2 2 3 4 2 3 4 2 2" xfId="44256" xr:uid="{00000000-0005-0000-0000-000073740000}"/>
    <cellStyle name="常规 9 2 2 3 4 2 3 4 3" xfId="31968" xr:uid="{00000000-0005-0000-0000-000074740000}"/>
    <cellStyle name="常规 9 2 2 3 4 2 3 5" xfId="13536" xr:uid="{00000000-0005-0000-0000-000075740000}"/>
    <cellStyle name="常规 9 2 2 3 4 2 3 5 2" xfId="38112" xr:uid="{00000000-0005-0000-0000-000076740000}"/>
    <cellStyle name="常规 9 2 2 3 4 2 3 6" xfId="25824" xr:uid="{00000000-0005-0000-0000-000077740000}"/>
    <cellStyle name="常规 9 2 2 3 4 2 4" xfId="2012" xr:uid="{00000000-0005-0000-0000-000078740000}"/>
    <cellStyle name="常规 9 2 2 3 4 2 4 2" xfId="5088" xr:uid="{00000000-0005-0000-0000-000079740000}"/>
    <cellStyle name="常规 9 2 2 3 4 2 4 2 2" xfId="11232" xr:uid="{00000000-0005-0000-0000-00007A740000}"/>
    <cellStyle name="常规 9 2 2 3 4 2 4 2 2 2" xfId="23520" xr:uid="{00000000-0005-0000-0000-00007B740000}"/>
    <cellStyle name="常规 9 2 2 3 4 2 4 2 2 2 2" xfId="48096" xr:uid="{00000000-0005-0000-0000-00007C740000}"/>
    <cellStyle name="常规 9 2 2 3 4 2 4 2 2 3" xfId="35808" xr:uid="{00000000-0005-0000-0000-00007D740000}"/>
    <cellStyle name="常规 9 2 2 3 4 2 4 2 3" xfId="17376" xr:uid="{00000000-0005-0000-0000-00007E740000}"/>
    <cellStyle name="常规 9 2 2 3 4 2 4 2 3 2" xfId="41952" xr:uid="{00000000-0005-0000-0000-00007F740000}"/>
    <cellStyle name="常规 9 2 2 3 4 2 4 2 4" xfId="29664" xr:uid="{00000000-0005-0000-0000-000080740000}"/>
    <cellStyle name="常规 9 2 2 3 4 2 4 3" xfId="8160" xr:uid="{00000000-0005-0000-0000-000081740000}"/>
    <cellStyle name="常规 9 2 2 3 4 2 4 3 2" xfId="20448" xr:uid="{00000000-0005-0000-0000-000082740000}"/>
    <cellStyle name="常规 9 2 2 3 4 2 4 3 2 2" xfId="45024" xr:uid="{00000000-0005-0000-0000-000083740000}"/>
    <cellStyle name="常规 9 2 2 3 4 2 4 3 3" xfId="32736" xr:uid="{00000000-0005-0000-0000-000084740000}"/>
    <cellStyle name="常规 9 2 2 3 4 2 4 4" xfId="14304" xr:uid="{00000000-0005-0000-0000-000085740000}"/>
    <cellStyle name="常规 9 2 2 3 4 2 4 4 2" xfId="38880" xr:uid="{00000000-0005-0000-0000-000086740000}"/>
    <cellStyle name="常规 9 2 2 3 4 2 4 5" xfId="26592" xr:uid="{00000000-0005-0000-0000-000087740000}"/>
    <cellStyle name="常规 9 2 2 3 4 2 5" xfId="3552" xr:uid="{00000000-0005-0000-0000-000088740000}"/>
    <cellStyle name="常规 9 2 2 3 4 2 5 2" xfId="9696" xr:uid="{00000000-0005-0000-0000-000089740000}"/>
    <cellStyle name="常规 9 2 2 3 4 2 5 2 2" xfId="21984" xr:uid="{00000000-0005-0000-0000-00008A740000}"/>
    <cellStyle name="常规 9 2 2 3 4 2 5 2 2 2" xfId="46560" xr:uid="{00000000-0005-0000-0000-00008B740000}"/>
    <cellStyle name="常规 9 2 2 3 4 2 5 2 3" xfId="34272" xr:uid="{00000000-0005-0000-0000-00008C740000}"/>
    <cellStyle name="常规 9 2 2 3 4 2 5 3" xfId="15840" xr:uid="{00000000-0005-0000-0000-00008D740000}"/>
    <cellStyle name="常规 9 2 2 3 4 2 5 3 2" xfId="40416" xr:uid="{00000000-0005-0000-0000-00008E740000}"/>
    <cellStyle name="常规 9 2 2 3 4 2 5 4" xfId="28128" xr:uid="{00000000-0005-0000-0000-00008F740000}"/>
    <cellStyle name="常规 9 2 2 3 4 2 6" xfId="6624" xr:uid="{00000000-0005-0000-0000-000090740000}"/>
    <cellStyle name="常规 9 2 2 3 4 2 6 2" xfId="18912" xr:uid="{00000000-0005-0000-0000-000091740000}"/>
    <cellStyle name="常规 9 2 2 3 4 2 6 2 2" xfId="43488" xr:uid="{00000000-0005-0000-0000-000092740000}"/>
    <cellStyle name="常规 9 2 2 3 4 2 6 3" xfId="31200" xr:uid="{00000000-0005-0000-0000-000093740000}"/>
    <cellStyle name="常规 9 2 2 3 4 2 7" xfId="12768" xr:uid="{00000000-0005-0000-0000-000094740000}"/>
    <cellStyle name="常规 9 2 2 3 4 2 7 2" xfId="37344" xr:uid="{00000000-0005-0000-0000-000095740000}"/>
    <cellStyle name="常规 9 2 2 3 4 2 8" xfId="25056" xr:uid="{00000000-0005-0000-0000-000096740000}"/>
    <cellStyle name="常规 9 2 2 3 4 3" xfId="668" xr:uid="{00000000-0005-0000-0000-000097740000}"/>
    <cellStyle name="常规 9 2 2 3 4 3 2" xfId="1436" xr:uid="{00000000-0005-0000-0000-000098740000}"/>
    <cellStyle name="常规 9 2 2 3 4 3 2 2" xfId="2972" xr:uid="{00000000-0005-0000-0000-000099740000}"/>
    <cellStyle name="常规 9 2 2 3 4 3 2 2 2" xfId="6048" xr:uid="{00000000-0005-0000-0000-00009A740000}"/>
    <cellStyle name="常规 9 2 2 3 4 3 2 2 2 2" xfId="12192" xr:uid="{00000000-0005-0000-0000-00009B740000}"/>
    <cellStyle name="常规 9 2 2 3 4 3 2 2 2 2 2" xfId="24480" xr:uid="{00000000-0005-0000-0000-00009C740000}"/>
    <cellStyle name="常规 9 2 2 3 4 3 2 2 2 2 2 2" xfId="49056" xr:uid="{00000000-0005-0000-0000-00009D740000}"/>
    <cellStyle name="常规 9 2 2 3 4 3 2 2 2 2 3" xfId="36768" xr:uid="{00000000-0005-0000-0000-00009E740000}"/>
    <cellStyle name="常规 9 2 2 3 4 3 2 2 2 3" xfId="18336" xr:uid="{00000000-0005-0000-0000-00009F740000}"/>
    <cellStyle name="常规 9 2 2 3 4 3 2 2 2 3 2" xfId="42912" xr:uid="{00000000-0005-0000-0000-0000A0740000}"/>
    <cellStyle name="常规 9 2 2 3 4 3 2 2 2 4" xfId="30624" xr:uid="{00000000-0005-0000-0000-0000A1740000}"/>
    <cellStyle name="常规 9 2 2 3 4 3 2 2 3" xfId="9120" xr:uid="{00000000-0005-0000-0000-0000A2740000}"/>
    <cellStyle name="常规 9 2 2 3 4 3 2 2 3 2" xfId="21408" xr:uid="{00000000-0005-0000-0000-0000A3740000}"/>
    <cellStyle name="常规 9 2 2 3 4 3 2 2 3 2 2" xfId="45984" xr:uid="{00000000-0005-0000-0000-0000A4740000}"/>
    <cellStyle name="常规 9 2 2 3 4 3 2 2 3 3" xfId="33696" xr:uid="{00000000-0005-0000-0000-0000A5740000}"/>
    <cellStyle name="常规 9 2 2 3 4 3 2 2 4" xfId="15264" xr:uid="{00000000-0005-0000-0000-0000A6740000}"/>
    <cellStyle name="常规 9 2 2 3 4 3 2 2 4 2" xfId="39840" xr:uid="{00000000-0005-0000-0000-0000A7740000}"/>
    <cellStyle name="常规 9 2 2 3 4 3 2 2 5" xfId="27552" xr:uid="{00000000-0005-0000-0000-0000A8740000}"/>
    <cellStyle name="常规 9 2 2 3 4 3 2 3" xfId="4512" xr:uid="{00000000-0005-0000-0000-0000A9740000}"/>
    <cellStyle name="常规 9 2 2 3 4 3 2 3 2" xfId="10656" xr:uid="{00000000-0005-0000-0000-0000AA740000}"/>
    <cellStyle name="常规 9 2 2 3 4 3 2 3 2 2" xfId="22944" xr:uid="{00000000-0005-0000-0000-0000AB740000}"/>
    <cellStyle name="常规 9 2 2 3 4 3 2 3 2 2 2" xfId="47520" xr:uid="{00000000-0005-0000-0000-0000AC740000}"/>
    <cellStyle name="常规 9 2 2 3 4 3 2 3 2 3" xfId="35232" xr:uid="{00000000-0005-0000-0000-0000AD740000}"/>
    <cellStyle name="常规 9 2 2 3 4 3 2 3 3" xfId="16800" xr:uid="{00000000-0005-0000-0000-0000AE740000}"/>
    <cellStyle name="常规 9 2 2 3 4 3 2 3 3 2" xfId="41376" xr:uid="{00000000-0005-0000-0000-0000AF740000}"/>
    <cellStyle name="常规 9 2 2 3 4 3 2 3 4" xfId="29088" xr:uid="{00000000-0005-0000-0000-0000B0740000}"/>
    <cellStyle name="常规 9 2 2 3 4 3 2 4" xfId="7584" xr:uid="{00000000-0005-0000-0000-0000B1740000}"/>
    <cellStyle name="常规 9 2 2 3 4 3 2 4 2" xfId="19872" xr:uid="{00000000-0005-0000-0000-0000B2740000}"/>
    <cellStyle name="常规 9 2 2 3 4 3 2 4 2 2" xfId="44448" xr:uid="{00000000-0005-0000-0000-0000B3740000}"/>
    <cellStyle name="常规 9 2 2 3 4 3 2 4 3" xfId="32160" xr:uid="{00000000-0005-0000-0000-0000B4740000}"/>
    <cellStyle name="常规 9 2 2 3 4 3 2 5" xfId="13728" xr:uid="{00000000-0005-0000-0000-0000B5740000}"/>
    <cellStyle name="常规 9 2 2 3 4 3 2 5 2" xfId="38304" xr:uid="{00000000-0005-0000-0000-0000B6740000}"/>
    <cellStyle name="常规 9 2 2 3 4 3 2 6" xfId="26016" xr:uid="{00000000-0005-0000-0000-0000B7740000}"/>
    <cellStyle name="常规 9 2 2 3 4 3 3" xfId="2204" xr:uid="{00000000-0005-0000-0000-0000B8740000}"/>
    <cellStyle name="常规 9 2 2 3 4 3 3 2" xfId="5280" xr:uid="{00000000-0005-0000-0000-0000B9740000}"/>
    <cellStyle name="常规 9 2 2 3 4 3 3 2 2" xfId="11424" xr:uid="{00000000-0005-0000-0000-0000BA740000}"/>
    <cellStyle name="常规 9 2 2 3 4 3 3 2 2 2" xfId="23712" xr:uid="{00000000-0005-0000-0000-0000BB740000}"/>
    <cellStyle name="常规 9 2 2 3 4 3 3 2 2 2 2" xfId="48288" xr:uid="{00000000-0005-0000-0000-0000BC740000}"/>
    <cellStyle name="常规 9 2 2 3 4 3 3 2 2 3" xfId="36000" xr:uid="{00000000-0005-0000-0000-0000BD740000}"/>
    <cellStyle name="常规 9 2 2 3 4 3 3 2 3" xfId="17568" xr:uid="{00000000-0005-0000-0000-0000BE740000}"/>
    <cellStyle name="常规 9 2 2 3 4 3 3 2 3 2" xfId="42144" xr:uid="{00000000-0005-0000-0000-0000BF740000}"/>
    <cellStyle name="常规 9 2 2 3 4 3 3 2 4" xfId="29856" xr:uid="{00000000-0005-0000-0000-0000C0740000}"/>
    <cellStyle name="常规 9 2 2 3 4 3 3 3" xfId="8352" xr:uid="{00000000-0005-0000-0000-0000C1740000}"/>
    <cellStyle name="常规 9 2 2 3 4 3 3 3 2" xfId="20640" xr:uid="{00000000-0005-0000-0000-0000C2740000}"/>
    <cellStyle name="常规 9 2 2 3 4 3 3 3 2 2" xfId="45216" xr:uid="{00000000-0005-0000-0000-0000C3740000}"/>
    <cellStyle name="常规 9 2 2 3 4 3 3 3 3" xfId="32928" xr:uid="{00000000-0005-0000-0000-0000C4740000}"/>
    <cellStyle name="常规 9 2 2 3 4 3 3 4" xfId="14496" xr:uid="{00000000-0005-0000-0000-0000C5740000}"/>
    <cellStyle name="常规 9 2 2 3 4 3 3 4 2" xfId="39072" xr:uid="{00000000-0005-0000-0000-0000C6740000}"/>
    <cellStyle name="常规 9 2 2 3 4 3 3 5" xfId="26784" xr:uid="{00000000-0005-0000-0000-0000C7740000}"/>
    <cellStyle name="常规 9 2 2 3 4 3 4" xfId="3744" xr:uid="{00000000-0005-0000-0000-0000C8740000}"/>
    <cellStyle name="常规 9 2 2 3 4 3 4 2" xfId="9888" xr:uid="{00000000-0005-0000-0000-0000C9740000}"/>
    <cellStyle name="常规 9 2 2 3 4 3 4 2 2" xfId="22176" xr:uid="{00000000-0005-0000-0000-0000CA740000}"/>
    <cellStyle name="常规 9 2 2 3 4 3 4 2 2 2" xfId="46752" xr:uid="{00000000-0005-0000-0000-0000CB740000}"/>
    <cellStyle name="常规 9 2 2 3 4 3 4 2 3" xfId="34464" xr:uid="{00000000-0005-0000-0000-0000CC740000}"/>
    <cellStyle name="常规 9 2 2 3 4 3 4 3" xfId="16032" xr:uid="{00000000-0005-0000-0000-0000CD740000}"/>
    <cellStyle name="常规 9 2 2 3 4 3 4 3 2" xfId="40608" xr:uid="{00000000-0005-0000-0000-0000CE740000}"/>
    <cellStyle name="常规 9 2 2 3 4 3 4 4" xfId="28320" xr:uid="{00000000-0005-0000-0000-0000CF740000}"/>
    <cellStyle name="常规 9 2 2 3 4 3 5" xfId="6816" xr:uid="{00000000-0005-0000-0000-0000D0740000}"/>
    <cellStyle name="常规 9 2 2 3 4 3 5 2" xfId="19104" xr:uid="{00000000-0005-0000-0000-0000D1740000}"/>
    <cellStyle name="常规 9 2 2 3 4 3 5 2 2" xfId="43680" xr:uid="{00000000-0005-0000-0000-0000D2740000}"/>
    <cellStyle name="常规 9 2 2 3 4 3 5 3" xfId="31392" xr:uid="{00000000-0005-0000-0000-0000D3740000}"/>
    <cellStyle name="常规 9 2 2 3 4 3 6" xfId="12960" xr:uid="{00000000-0005-0000-0000-0000D4740000}"/>
    <cellStyle name="常规 9 2 2 3 4 3 6 2" xfId="37536" xr:uid="{00000000-0005-0000-0000-0000D5740000}"/>
    <cellStyle name="常规 9 2 2 3 4 3 7" xfId="25248" xr:uid="{00000000-0005-0000-0000-0000D6740000}"/>
    <cellStyle name="常规 9 2 2 3 4 4" xfId="1052" xr:uid="{00000000-0005-0000-0000-0000D7740000}"/>
    <cellStyle name="常规 9 2 2 3 4 4 2" xfId="2588" xr:uid="{00000000-0005-0000-0000-0000D8740000}"/>
    <cellStyle name="常规 9 2 2 3 4 4 2 2" xfId="5664" xr:uid="{00000000-0005-0000-0000-0000D9740000}"/>
    <cellStyle name="常规 9 2 2 3 4 4 2 2 2" xfId="11808" xr:uid="{00000000-0005-0000-0000-0000DA740000}"/>
    <cellStyle name="常规 9 2 2 3 4 4 2 2 2 2" xfId="24096" xr:uid="{00000000-0005-0000-0000-0000DB740000}"/>
    <cellStyle name="常规 9 2 2 3 4 4 2 2 2 2 2" xfId="48672" xr:uid="{00000000-0005-0000-0000-0000DC740000}"/>
    <cellStyle name="常规 9 2 2 3 4 4 2 2 2 3" xfId="36384" xr:uid="{00000000-0005-0000-0000-0000DD740000}"/>
    <cellStyle name="常规 9 2 2 3 4 4 2 2 3" xfId="17952" xr:uid="{00000000-0005-0000-0000-0000DE740000}"/>
    <cellStyle name="常规 9 2 2 3 4 4 2 2 3 2" xfId="42528" xr:uid="{00000000-0005-0000-0000-0000DF740000}"/>
    <cellStyle name="常规 9 2 2 3 4 4 2 2 4" xfId="30240" xr:uid="{00000000-0005-0000-0000-0000E0740000}"/>
    <cellStyle name="常规 9 2 2 3 4 4 2 3" xfId="8736" xr:uid="{00000000-0005-0000-0000-0000E1740000}"/>
    <cellStyle name="常规 9 2 2 3 4 4 2 3 2" xfId="21024" xr:uid="{00000000-0005-0000-0000-0000E2740000}"/>
    <cellStyle name="常规 9 2 2 3 4 4 2 3 2 2" xfId="45600" xr:uid="{00000000-0005-0000-0000-0000E3740000}"/>
    <cellStyle name="常规 9 2 2 3 4 4 2 3 3" xfId="33312" xr:uid="{00000000-0005-0000-0000-0000E4740000}"/>
    <cellStyle name="常规 9 2 2 3 4 4 2 4" xfId="14880" xr:uid="{00000000-0005-0000-0000-0000E5740000}"/>
    <cellStyle name="常规 9 2 2 3 4 4 2 4 2" xfId="39456" xr:uid="{00000000-0005-0000-0000-0000E6740000}"/>
    <cellStyle name="常规 9 2 2 3 4 4 2 5" xfId="27168" xr:uid="{00000000-0005-0000-0000-0000E7740000}"/>
    <cellStyle name="常规 9 2 2 3 4 4 3" xfId="4128" xr:uid="{00000000-0005-0000-0000-0000E8740000}"/>
    <cellStyle name="常规 9 2 2 3 4 4 3 2" xfId="10272" xr:uid="{00000000-0005-0000-0000-0000E9740000}"/>
    <cellStyle name="常规 9 2 2 3 4 4 3 2 2" xfId="22560" xr:uid="{00000000-0005-0000-0000-0000EA740000}"/>
    <cellStyle name="常规 9 2 2 3 4 4 3 2 2 2" xfId="47136" xr:uid="{00000000-0005-0000-0000-0000EB740000}"/>
    <cellStyle name="常规 9 2 2 3 4 4 3 2 3" xfId="34848" xr:uid="{00000000-0005-0000-0000-0000EC740000}"/>
    <cellStyle name="常规 9 2 2 3 4 4 3 3" xfId="16416" xr:uid="{00000000-0005-0000-0000-0000ED740000}"/>
    <cellStyle name="常规 9 2 2 3 4 4 3 3 2" xfId="40992" xr:uid="{00000000-0005-0000-0000-0000EE740000}"/>
    <cellStyle name="常规 9 2 2 3 4 4 3 4" xfId="28704" xr:uid="{00000000-0005-0000-0000-0000EF740000}"/>
    <cellStyle name="常规 9 2 2 3 4 4 4" xfId="7200" xr:uid="{00000000-0005-0000-0000-0000F0740000}"/>
    <cellStyle name="常规 9 2 2 3 4 4 4 2" xfId="19488" xr:uid="{00000000-0005-0000-0000-0000F1740000}"/>
    <cellStyle name="常规 9 2 2 3 4 4 4 2 2" xfId="44064" xr:uid="{00000000-0005-0000-0000-0000F2740000}"/>
    <cellStyle name="常规 9 2 2 3 4 4 4 3" xfId="31776" xr:uid="{00000000-0005-0000-0000-0000F3740000}"/>
    <cellStyle name="常规 9 2 2 3 4 4 5" xfId="13344" xr:uid="{00000000-0005-0000-0000-0000F4740000}"/>
    <cellStyle name="常规 9 2 2 3 4 4 5 2" xfId="37920" xr:uid="{00000000-0005-0000-0000-0000F5740000}"/>
    <cellStyle name="常规 9 2 2 3 4 4 6" xfId="25632" xr:uid="{00000000-0005-0000-0000-0000F6740000}"/>
    <cellStyle name="常规 9 2 2 3 4 5" xfId="1820" xr:uid="{00000000-0005-0000-0000-0000F7740000}"/>
    <cellStyle name="常规 9 2 2 3 4 5 2" xfId="4896" xr:uid="{00000000-0005-0000-0000-0000F8740000}"/>
    <cellStyle name="常规 9 2 2 3 4 5 2 2" xfId="11040" xr:uid="{00000000-0005-0000-0000-0000F9740000}"/>
    <cellStyle name="常规 9 2 2 3 4 5 2 2 2" xfId="23328" xr:uid="{00000000-0005-0000-0000-0000FA740000}"/>
    <cellStyle name="常规 9 2 2 3 4 5 2 2 2 2" xfId="47904" xr:uid="{00000000-0005-0000-0000-0000FB740000}"/>
    <cellStyle name="常规 9 2 2 3 4 5 2 2 3" xfId="35616" xr:uid="{00000000-0005-0000-0000-0000FC740000}"/>
    <cellStyle name="常规 9 2 2 3 4 5 2 3" xfId="17184" xr:uid="{00000000-0005-0000-0000-0000FD740000}"/>
    <cellStyle name="常规 9 2 2 3 4 5 2 3 2" xfId="41760" xr:uid="{00000000-0005-0000-0000-0000FE740000}"/>
    <cellStyle name="常规 9 2 2 3 4 5 2 4" xfId="29472" xr:uid="{00000000-0005-0000-0000-0000FF740000}"/>
    <cellStyle name="常规 9 2 2 3 4 5 3" xfId="7968" xr:uid="{00000000-0005-0000-0000-000000750000}"/>
    <cellStyle name="常规 9 2 2 3 4 5 3 2" xfId="20256" xr:uid="{00000000-0005-0000-0000-000001750000}"/>
    <cellStyle name="常规 9 2 2 3 4 5 3 2 2" xfId="44832" xr:uid="{00000000-0005-0000-0000-000002750000}"/>
    <cellStyle name="常规 9 2 2 3 4 5 3 3" xfId="32544" xr:uid="{00000000-0005-0000-0000-000003750000}"/>
    <cellStyle name="常规 9 2 2 3 4 5 4" xfId="14112" xr:uid="{00000000-0005-0000-0000-000004750000}"/>
    <cellStyle name="常规 9 2 2 3 4 5 4 2" xfId="38688" xr:uid="{00000000-0005-0000-0000-000005750000}"/>
    <cellStyle name="常规 9 2 2 3 4 5 5" xfId="26400" xr:uid="{00000000-0005-0000-0000-000006750000}"/>
    <cellStyle name="常规 9 2 2 3 4 6" xfId="3360" xr:uid="{00000000-0005-0000-0000-000007750000}"/>
    <cellStyle name="常规 9 2 2 3 4 6 2" xfId="9504" xr:uid="{00000000-0005-0000-0000-000008750000}"/>
    <cellStyle name="常规 9 2 2 3 4 6 2 2" xfId="21792" xr:uid="{00000000-0005-0000-0000-000009750000}"/>
    <cellStyle name="常规 9 2 2 3 4 6 2 2 2" xfId="46368" xr:uid="{00000000-0005-0000-0000-00000A750000}"/>
    <cellStyle name="常规 9 2 2 3 4 6 2 3" xfId="34080" xr:uid="{00000000-0005-0000-0000-00000B750000}"/>
    <cellStyle name="常规 9 2 2 3 4 6 3" xfId="15648" xr:uid="{00000000-0005-0000-0000-00000C750000}"/>
    <cellStyle name="常规 9 2 2 3 4 6 3 2" xfId="40224" xr:uid="{00000000-0005-0000-0000-00000D750000}"/>
    <cellStyle name="常规 9 2 2 3 4 6 4" xfId="27936" xr:uid="{00000000-0005-0000-0000-00000E750000}"/>
    <cellStyle name="常规 9 2 2 3 4 7" xfId="6432" xr:uid="{00000000-0005-0000-0000-00000F750000}"/>
    <cellStyle name="常规 9 2 2 3 4 7 2" xfId="18720" xr:uid="{00000000-0005-0000-0000-000010750000}"/>
    <cellStyle name="常规 9 2 2 3 4 7 2 2" xfId="43296" xr:uid="{00000000-0005-0000-0000-000011750000}"/>
    <cellStyle name="常规 9 2 2 3 4 7 3" xfId="31008" xr:uid="{00000000-0005-0000-0000-000012750000}"/>
    <cellStyle name="常规 9 2 2 3 4 8" xfId="12576" xr:uid="{00000000-0005-0000-0000-000013750000}"/>
    <cellStyle name="常规 9 2 2 3 4 8 2" xfId="37152" xr:uid="{00000000-0005-0000-0000-000014750000}"/>
    <cellStyle name="常规 9 2 2 3 4 9" xfId="24864" xr:uid="{00000000-0005-0000-0000-000015750000}"/>
    <cellStyle name="常规 9 2 2 3 5" xfId="348" xr:uid="{00000000-0005-0000-0000-000016750000}"/>
    <cellStyle name="常规 9 2 2 3 5 2" xfId="732" xr:uid="{00000000-0005-0000-0000-000017750000}"/>
    <cellStyle name="常规 9 2 2 3 5 2 2" xfId="1500" xr:uid="{00000000-0005-0000-0000-000018750000}"/>
    <cellStyle name="常规 9 2 2 3 5 2 2 2" xfId="3036" xr:uid="{00000000-0005-0000-0000-000019750000}"/>
    <cellStyle name="常规 9 2 2 3 5 2 2 2 2" xfId="6112" xr:uid="{00000000-0005-0000-0000-00001A750000}"/>
    <cellStyle name="常规 9 2 2 3 5 2 2 2 2 2" xfId="12256" xr:uid="{00000000-0005-0000-0000-00001B750000}"/>
    <cellStyle name="常规 9 2 2 3 5 2 2 2 2 2 2" xfId="24544" xr:uid="{00000000-0005-0000-0000-00001C750000}"/>
    <cellStyle name="常规 9 2 2 3 5 2 2 2 2 2 2 2" xfId="49120" xr:uid="{00000000-0005-0000-0000-00001D750000}"/>
    <cellStyle name="常规 9 2 2 3 5 2 2 2 2 2 3" xfId="36832" xr:uid="{00000000-0005-0000-0000-00001E750000}"/>
    <cellStyle name="常规 9 2 2 3 5 2 2 2 2 3" xfId="18400" xr:uid="{00000000-0005-0000-0000-00001F750000}"/>
    <cellStyle name="常规 9 2 2 3 5 2 2 2 2 3 2" xfId="42976" xr:uid="{00000000-0005-0000-0000-000020750000}"/>
    <cellStyle name="常规 9 2 2 3 5 2 2 2 2 4" xfId="30688" xr:uid="{00000000-0005-0000-0000-000021750000}"/>
    <cellStyle name="常规 9 2 2 3 5 2 2 2 3" xfId="9184" xr:uid="{00000000-0005-0000-0000-000022750000}"/>
    <cellStyle name="常规 9 2 2 3 5 2 2 2 3 2" xfId="21472" xr:uid="{00000000-0005-0000-0000-000023750000}"/>
    <cellStyle name="常规 9 2 2 3 5 2 2 2 3 2 2" xfId="46048" xr:uid="{00000000-0005-0000-0000-000024750000}"/>
    <cellStyle name="常规 9 2 2 3 5 2 2 2 3 3" xfId="33760" xr:uid="{00000000-0005-0000-0000-000025750000}"/>
    <cellStyle name="常规 9 2 2 3 5 2 2 2 4" xfId="15328" xr:uid="{00000000-0005-0000-0000-000026750000}"/>
    <cellStyle name="常规 9 2 2 3 5 2 2 2 4 2" xfId="39904" xr:uid="{00000000-0005-0000-0000-000027750000}"/>
    <cellStyle name="常规 9 2 2 3 5 2 2 2 5" xfId="27616" xr:uid="{00000000-0005-0000-0000-000028750000}"/>
    <cellStyle name="常规 9 2 2 3 5 2 2 3" xfId="4576" xr:uid="{00000000-0005-0000-0000-000029750000}"/>
    <cellStyle name="常规 9 2 2 3 5 2 2 3 2" xfId="10720" xr:uid="{00000000-0005-0000-0000-00002A750000}"/>
    <cellStyle name="常规 9 2 2 3 5 2 2 3 2 2" xfId="23008" xr:uid="{00000000-0005-0000-0000-00002B750000}"/>
    <cellStyle name="常规 9 2 2 3 5 2 2 3 2 2 2" xfId="47584" xr:uid="{00000000-0005-0000-0000-00002C750000}"/>
    <cellStyle name="常规 9 2 2 3 5 2 2 3 2 3" xfId="35296" xr:uid="{00000000-0005-0000-0000-00002D750000}"/>
    <cellStyle name="常规 9 2 2 3 5 2 2 3 3" xfId="16864" xr:uid="{00000000-0005-0000-0000-00002E750000}"/>
    <cellStyle name="常规 9 2 2 3 5 2 2 3 3 2" xfId="41440" xr:uid="{00000000-0005-0000-0000-00002F750000}"/>
    <cellStyle name="常规 9 2 2 3 5 2 2 3 4" xfId="29152" xr:uid="{00000000-0005-0000-0000-000030750000}"/>
    <cellStyle name="常规 9 2 2 3 5 2 2 4" xfId="7648" xr:uid="{00000000-0005-0000-0000-000031750000}"/>
    <cellStyle name="常规 9 2 2 3 5 2 2 4 2" xfId="19936" xr:uid="{00000000-0005-0000-0000-000032750000}"/>
    <cellStyle name="常规 9 2 2 3 5 2 2 4 2 2" xfId="44512" xr:uid="{00000000-0005-0000-0000-000033750000}"/>
    <cellStyle name="常规 9 2 2 3 5 2 2 4 3" xfId="32224" xr:uid="{00000000-0005-0000-0000-000034750000}"/>
    <cellStyle name="常规 9 2 2 3 5 2 2 5" xfId="13792" xr:uid="{00000000-0005-0000-0000-000035750000}"/>
    <cellStyle name="常规 9 2 2 3 5 2 2 5 2" xfId="38368" xr:uid="{00000000-0005-0000-0000-000036750000}"/>
    <cellStyle name="常规 9 2 2 3 5 2 2 6" xfId="26080" xr:uid="{00000000-0005-0000-0000-000037750000}"/>
    <cellStyle name="常规 9 2 2 3 5 2 3" xfId="2268" xr:uid="{00000000-0005-0000-0000-000038750000}"/>
    <cellStyle name="常规 9 2 2 3 5 2 3 2" xfId="5344" xr:uid="{00000000-0005-0000-0000-000039750000}"/>
    <cellStyle name="常规 9 2 2 3 5 2 3 2 2" xfId="11488" xr:uid="{00000000-0005-0000-0000-00003A750000}"/>
    <cellStyle name="常规 9 2 2 3 5 2 3 2 2 2" xfId="23776" xr:uid="{00000000-0005-0000-0000-00003B750000}"/>
    <cellStyle name="常规 9 2 2 3 5 2 3 2 2 2 2" xfId="48352" xr:uid="{00000000-0005-0000-0000-00003C750000}"/>
    <cellStyle name="常规 9 2 2 3 5 2 3 2 2 3" xfId="36064" xr:uid="{00000000-0005-0000-0000-00003D750000}"/>
    <cellStyle name="常规 9 2 2 3 5 2 3 2 3" xfId="17632" xr:uid="{00000000-0005-0000-0000-00003E750000}"/>
    <cellStyle name="常规 9 2 2 3 5 2 3 2 3 2" xfId="42208" xr:uid="{00000000-0005-0000-0000-00003F750000}"/>
    <cellStyle name="常规 9 2 2 3 5 2 3 2 4" xfId="29920" xr:uid="{00000000-0005-0000-0000-000040750000}"/>
    <cellStyle name="常规 9 2 2 3 5 2 3 3" xfId="8416" xr:uid="{00000000-0005-0000-0000-000041750000}"/>
    <cellStyle name="常规 9 2 2 3 5 2 3 3 2" xfId="20704" xr:uid="{00000000-0005-0000-0000-000042750000}"/>
    <cellStyle name="常规 9 2 2 3 5 2 3 3 2 2" xfId="45280" xr:uid="{00000000-0005-0000-0000-000043750000}"/>
    <cellStyle name="常规 9 2 2 3 5 2 3 3 3" xfId="32992" xr:uid="{00000000-0005-0000-0000-000044750000}"/>
    <cellStyle name="常规 9 2 2 3 5 2 3 4" xfId="14560" xr:uid="{00000000-0005-0000-0000-000045750000}"/>
    <cellStyle name="常规 9 2 2 3 5 2 3 4 2" xfId="39136" xr:uid="{00000000-0005-0000-0000-000046750000}"/>
    <cellStyle name="常规 9 2 2 3 5 2 3 5" xfId="26848" xr:uid="{00000000-0005-0000-0000-000047750000}"/>
    <cellStyle name="常规 9 2 2 3 5 2 4" xfId="3808" xr:uid="{00000000-0005-0000-0000-000048750000}"/>
    <cellStyle name="常规 9 2 2 3 5 2 4 2" xfId="9952" xr:uid="{00000000-0005-0000-0000-000049750000}"/>
    <cellStyle name="常规 9 2 2 3 5 2 4 2 2" xfId="22240" xr:uid="{00000000-0005-0000-0000-00004A750000}"/>
    <cellStyle name="常规 9 2 2 3 5 2 4 2 2 2" xfId="46816" xr:uid="{00000000-0005-0000-0000-00004B750000}"/>
    <cellStyle name="常规 9 2 2 3 5 2 4 2 3" xfId="34528" xr:uid="{00000000-0005-0000-0000-00004C750000}"/>
    <cellStyle name="常规 9 2 2 3 5 2 4 3" xfId="16096" xr:uid="{00000000-0005-0000-0000-00004D750000}"/>
    <cellStyle name="常规 9 2 2 3 5 2 4 3 2" xfId="40672" xr:uid="{00000000-0005-0000-0000-00004E750000}"/>
    <cellStyle name="常规 9 2 2 3 5 2 4 4" xfId="28384" xr:uid="{00000000-0005-0000-0000-00004F750000}"/>
    <cellStyle name="常规 9 2 2 3 5 2 5" xfId="6880" xr:uid="{00000000-0005-0000-0000-000050750000}"/>
    <cellStyle name="常规 9 2 2 3 5 2 5 2" xfId="19168" xr:uid="{00000000-0005-0000-0000-000051750000}"/>
    <cellStyle name="常规 9 2 2 3 5 2 5 2 2" xfId="43744" xr:uid="{00000000-0005-0000-0000-000052750000}"/>
    <cellStyle name="常规 9 2 2 3 5 2 5 3" xfId="31456" xr:uid="{00000000-0005-0000-0000-000053750000}"/>
    <cellStyle name="常规 9 2 2 3 5 2 6" xfId="13024" xr:uid="{00000000-0005-0000-0000-000054750000}"/>
    <cellStyle name="常规 9 2 2 3 5 2 6 2" xfId="37600" xr:uid="{00000000-0005-0000-0000-000055750000}"/>
    <cellStyle name="常规 9 2 2 3 5 2 7" xfId="25312" xr:uid="{00000000-0005-0000-0000-000056750000}"/>
    <cellStyle name="常规 9 2 2 3 5 3" xfId="1116" xr:uid="{00000000-0005-0000-0000-000057750000}"/>
    <cellStyle name="常规 9 2 2 3 5 3 2" xfId="2652" xr:uid="{00000000-0005-0000-0000-000058750000}"/>
    <cellStyle name="常规 9 2 2 3 5 3 2 2" xfId="5728" xr:uid="{00000000-0005-0000-0000-000059750000}"/>
    <cellStyle name="常规 9 2 2 3 5 3 2 2 2" xfId="11872" xr:uid="{00000000-0005-0000-0000-00005A750000}"/>
    <cellStyle name="常规 9 2 2 3 5 3 2 2 2 2" xfId="24160" xr:uid="{00000000-0005-0000-0000-00005B750000}"/>
    <cellStyle name="常规 9 2 2 3 5 3 2 2 2 2 2" xfId="48736" xr:uid="{00000000-0005-0000-0000-00005C750000}"/>
    <cellStyle name="常规 9 2 2 3 5 3 2 2 2 3" xfId="36448" xr:uid="{00000000-0005-0000-0000-00005D750000}"/>
    <cellStyle name="常规 9 2 2 3 5 3 2 2 3" xfId="18016" xr:uid="{00000000-0005-0000-0000-00005E750000}"/>
    <cellStyle name="常规 9 2 2 3 5 3 2 2 3 2" xfId="42592" xr:uid="{00000000-0005-0000-0000-00005F750000}"/>
    <cellStyle name="常规 9 2 2 3 5 3 2 2 4" xfId="30304" xr:uid="{00000000-0005-0000-0000-000060750000}"/>
    <cellStyle name="常规 9 2 2 3 5 3 2 3" xfId="8800" xr:uid="{00000000-0005-0000-0000-000061750000}"/>
    <cellStyle name="常规 9 2 2 3 5 3 2 3 2" xfId="21088" xr:uid="{00000000-0005-0000-0000-000062750000}"/>
    <cellStyle name="常规 9 2 2 3 5 3 2 3 2 2" xfId="45664" xr:uid="{00000000-0005-0000-0000-000063750000}"/>
    <cellStyle name="常规 9 2 2 3 5 3 2 3 3" xfId="33376" xr:uid="{00000000-0005-0000-0000-000064750000}"/>
    <cellStyle name="常规 9 2 2 3 5 3 2 4" xfId="14944" xr:uid="{00000000-0005-0000-0000-000065750000}"/>
    <cellStyle name="常规 9 2 2 3 5 3 2 4 2" xfId="39520" xr:uid="{00000000-0005-0000-0000-000066750000}"/>
    <cellStyle name="常规 9 2 2 3 5 3 2 5" xfId="27232" xr:uid="{00000000-0005-0000-0000-000067750000}"/>
    <cellStyle name="常规 9 2 2 3 5 3 3" xfId="4192" xr:uid="{00000000-0005-0000-0000-000068750000}"/>
    <cellStyle name="常规 9 2 2 3 5 3 3 2" xfId="10336" xr:uid="{00000000-0005-0000-0000-000069750000}"/>
    <cellStyle name="常规 9 2 2 3 5 3 3 2 2" xfId="22624" xr:uid="{00000000-0005-0000-0000-00006A750000}"/>
    <cellStyle name="常规 9 2 2 3 5 3 3 2 2 2" xfId="47200" xr:uid="{00000000-0005-0000-0000-00006B750000}"/>
    <cellStyle name="常规 9 2 2 3 5 3 3 2 3" xfId="34912" xr:uid="{00000000-0005-0000-0000-00006C750000}"/>
    <cellStyle name="常规 9 2 2 3 5 3 3 3" xfId="16480" xr:uid="{00000000-0005-0000-0000-00006D750000}"/>
    <cellStyle name="常规 9 2 2 3 5 3 3 3 2" xfId="41056" xr:uid="{00000000-0005-0000-0000-00006E750000}"/>
    <cellStyle name="常规 9 2 2 3 5 3 3 4" xfId="28768" xr:uid="{00000000-0005-0000-0000-00006F750000}"/>
    <cellStyle name="常规 9 2 2 3 5 3 4" xfId="7264" xr:uid="{00000000-0005-0000-0000-000070750000}"/>
    <cellStyle name="常规 9 2 2 3 5 3 4 2" xfId="19552" xr:uid="{00000000-0005-0000-0000-000071750000}"/>
    <cellStyle name="常规 9 2 2 3 5 3 4 2 2" xfId="44128" xr:uid="{00000000-0005-0000-0000-000072750000}"/>
    <cellStyle name="常规 9 2 2 3 5 3 4 3" xfId="31840" xr:uid="{00000000-0005-0000-0000-000073750000}"/>
    <cellStyle name="常规 9 2 2 3 5 3 5" xfId="13408" xr:uid="{00000000-0005-0000-0000-000074750000}"/>
    <cellStyle name="常规 9 2 2 3 5 3 5 2" xfId="37984" xr:uid="{00000000-0005-0000-0000-000075750000}"/>
    <cellStyle name="常规 9 2 2 3 5 3 6" xfId="25696" xr:uid="{00000000-0005-0000-0000-000076750000}"/>
    <cellStyle name="常规 9 2 2 3 5 4" xfId="1884" xr:uid="{00000000-0005-0000-0000-000077750000}"/>
    <cellStyle name="常规 9 2 2 3 5 4 2" xfId="4960" xr:uid="{00000000-0005-0000-0000-000078750000}"/>
    <cellStyle name="常规 9 2 2 3 5 4 2 2" xfId="11104" xr:uid="{00000000-0005-0000-0000-000079750000}"/>
    <cellStyle name="常规 9 2 2 3 5 4 2 2 2" xfId="23392" xr:uid="{00000000-0005-0000-0000-00007A750000}"/>
    <cellStyle name="常规 9 2 2 3 5 4 2 2 2 2" xfId="47968" xr:uid="{00000000-0005-0000-0000-00007B750000}"/>
    <cellStyle name="常规 9 2 2 3 5 4 2 2 3" xfId="35680" xr:uid="{00000000-0005-0000-0000-00007C750000}"/>
    <cellStyle name="常规 9 2 2 3 5 4 2 3" xfId="17248" xr:uid="{00000000-0005-0000-0000-00007D750000}"/>
    <cellStyle name="常规 9 2 2 3 5 4 2 3 2" xfId="41824" xr:uid="{00000000-0005-0000-0000-00007E750000}"/>
    <cellStyle name="常规 9 2 2 3 5 4 2 4" xfId="29536" xr:uid="{00000000-0005-0000-0000-00007F750000}"/>
    <cellStyle name="常规 9 2 2 3 5 4 3" xfId="8032" xr:uid="{00000000-0005-0000-0000-000080750000}"/>
    <cellStyle name="常规 9 2 2 3 5 4 3 2" xfId="20320" xr:uid="{00000000-0005-0000-0000-000081750000}"/>
    <cellStyle name="常规 9 2 2 3 5 4 3 2 2" xfId="44896" xr:uid="{00000000-0005-0000-0000-000082750000}"/>
    <cellStyle name="常规 9 2 2 3 5 4 3 3" xfId="32608" xr:uid="{00000000-0005-0000-0000-000083750000}"/>
    <cellStyle name="常规 9 2 2 3 5 4 4" xfId="14176" xr:uid="{00000000-0005-0000-0000-000084750000}"/>
    <cellStyle name="常规 9 2 2 3 5 4 4 2" xfId="38752" xr:uid="{00000000-0005-0000-0000-000085750000}"/>
    <cellStyle name="常规 9 2 2 3 5 4 5" xfId="26464" xr:uid="{00000000-0005-0000-0000-000086750000}"/>
    <cellStyle name="常规 9 2 2 3 5 5" xfId="3424" xr:uid="{00000000-0005-0000-0000-000087750000}"/>
    <cellStyle name="常规 9 2 2 3 5 5 2" xfId="9568" xr:uid="{00000000-0005-0000-0000-000088750000}"/>
    <cellStyle name="常规 9 2 2 3 5 5 2 2" xfId="21856" xr:uid="{00000000-0005-0000-0000-000089750000}"/>
    <cellStyle name="常规 9 2 2 3 5 5 2 2 2" xfId="46432" xr:uid="{00000000-0005-0000-0000-00008A750000}"/>
    <cellStyle name="常规 9 2 2 3 5 5 2 3" xfId="34144" xr:uid="{00000000-0005-0000-0000-00008B750000}"/>
    <cellStyle name="常规 9 2 2 3 5 5 3" xfId="15712" xr:uid="{00000000-0005-0000-0000-00008C750000}"/>
    <cellStyle name="常规 9 2 2 3 5 5 3 2" xfId="40288" xr:uid="{00000000-0005-0000-0000-00008D750000}"/>
    <cellStyle name="常规 9 2 2 3 5 5 4" xfId="28000" xr:uid="{00000000-0005-0000-0000-00008E750000}"/>
    <cellStyle name="常规 9 2 2 3 5 6" xfId="6496" xr:uid="{00000000-0005-0000-0000-00008F750000}"/>
    <cellStyle name="常规 9 2 2 3 5 6 2" xfId="18784" xr:uid="{00000000-0005-0000-0000-000090750000}"/>
    <cellStyle name="常规 9 2 2 3 5 6 2 2" xfId="43360" xr:uid="{00000000-0005-0000-0000-000091750000}"/>
    <cellStyle name="常规 9 2 2 3 5 6 3" xfId="31072" xr:uid="{00000000-0005-0000-0000-000092750000}"/>
    <cellStyle name="常规 9 2 2 3 5 7" xfId="12640" xr:uid="{00000000-0005-0000-0000-000093750000}"/>
    <cellStyle name="常规 9 2 2 3 5 7 2" xfId="37216" xr:uid="{00000000-0005-0000-0000-000094750000}"/>
    <cellStyle name="常规 9 2 2 3 5 8" xfId="24928" xr:uid="{00000000-0005-0000-0000-000095750000}"/>
    <cellStyle name="常规 9 2 2 3 6" xfId="540" xr:uid="{00000000-0005-0000-0000-000096750000}"/>
    <cellStyle name="常规 9 2 2 3 6 2" xfId="1308" xr:uid="{00000000-0005-0000-0000-000097750000}"/>
    <cellStyle name="常规 9 2 2 3 6 2 2" xfId="2844" xr:uid="{00000000-0005-0000-0000-000098750000}"/>
    <cellStyle name="常规 9 2 2 3 6 2 2 2" xfId="5920" xr:uid="{00000000-0005-0000-0000-000099750000}"/>
    <cellStyle name="常规 9 2 2 3 6 2 2 2 2" xfId="12064" xr:uid="{00000000-0005-0000-0000-00009A750000}"/>
    <cellStyle name="常规 9 2 2 3 6 2 2 2 2 2" xfId="24352" xr:uid="{00000000-0005-0000-0000-00009B750000}"/>
    <cellStyle name="常规 9 2 2 3 6 2 2 2 2 2 2" xfId="48928" xr:uid="{00000000-0005-0000-0000-00009C750000}"/>
    <cellStyle name="常规 9 2 2 3 6 2 2 2 2 3" xfId="36640" xr:uid="{00000000-0005-0000-0000-00009D750000}"/>
    <cellStyle name="常规 9 2 2 3 6 2 2 2 3" xfId="18208" xr:uid="{00000000-0005-0000-0000-00009E750000}"/>
    <cellStyle name="常规 9 2 2 3 6 2 2 2 3 2" xfId="42784" xr:uid="{00000000-0005-0000-0000-00009F750000}"/>
    <cellStyle name="常规 9 2 2 3 6 2 2 2 4" xfId="30496" xr:uid="{00000000-0005-0000-0000-0000A0750000}"/>
    <cellStyle name="常规 9 2 2 3 6 2 2 3" xfId="8992" xr:uid="{00000000-0005-0000-0000-0000A1750000}"/>
    <cellStyle name="常规 9 2 2 3 6 2 2 3 2" xfId="21280" xr:uid="{00000000-0005-0000-0000-0000A2750000}"/>
    <cellStyle name="常规 9 2 2 3 6 2 2 3 2 2" xfId="45856" xr:uid="{00000000-0005-0000-0000-0000A3750000}"/>
    <cellStyle name="常规 9 2 2 3 6 2 2 3 3" xfId="33568" xr:uid="{00000000-0005-0000-0000-0000A4750000}"/>
    <cellStyle name="常规 9 2 2 3 6 2 2 4" xfId="15136" xr:uid="{00000000-0005-0000-0000-0000A5750000}"/>
    <cellStyle name="常规 9 2 2 3 6 2 2 4 2" xfId="39712" xr:uid="{00000000-0005-0000-0000-0000A6750000}"/>
    <cellStyle name="常规 9 2 2 3 6 2 2 5" xfId="27424" xr:uid="{00000000-0005-0000-0000-0000A7750000}"/>
    <cellStyle name="常规 9 2 2 3 6 2 3" xfId="4384" xr:uid="{00000000-0005-0000-0000-0000A8750000}"/>
    <cellStyle name="常规 9 2 2 3 6 2 3 2" xfId="10528" xr:uid="{00000000-0005-0000-0000-0000A9750000}"/>
    <cellStyle name="常规 9 2 2 3 6 2 3 2 2" xfId="22816" xr:uid="{00000000-0005-0000-0000-0000AA750000}"/>
    <cellStyle name="常规 9 2 2 3 6 2 3 2 2 2" xfId="47392" xr:uid="{00000000-0005-0000-0000-0000AB750000}"/>
    <cellStyle name="常规 9 2 2 3 6 2 3 2 3" xfId="35104" xr:uid="{00000000-0005-0000-0000-0000AC750000}"/>
    <cellStyle name="常规 9 2 2 3 6 2 3 3" xfId="16672" xr:uid="{00000000-0005-0000-0000-0000AD750000}"/>
    <cellStyle name="常规 9 2 2 3 6 2 3 3 2" xfId="41248" xr:uid="{00000000-0005-0000-0000-0000AE750000}"/>
    <cellStyle name="常规 9 2 2 3 6 2 3 4" xfId="28960" xr:uid="{00000000-0005-0000-0000-0000AF750000}"/>
    <cellStyle name="常规 9 2 2 3 6 2 4" xfId="7456" xr:uid="{00000000-0005-0000-0000-0000B0750000}"/>
    <cellStyle name="常规 9 2 2 3 6 2 4 2" xfId="19744" xr:uid="{00000000-0005-0000-0000-0000B1750000}"/>
    <cellStyle name="常规 9 2 2 3 6 2 4 2 2" xfId="44320" xr:uid="{00000000-0005-0000-0000-0000B2750000}"/>
    <cellStyle name="常规 9 2 2 3 6 2 4 3" xfId="32032" xr:uid="{00000000-0005-0000-0000-0000B3750000}"/>
    <cellStyle name="常规 9 2 2 3 6 2 5" xfId="13600" xr:uid="{00000000-0005-0000-0000-0000B4750000}"/>
    <cellStyle name="常规 9 2 2 3 6 2 5 2" xfId="38176" xr:uid="{00000000-0005-0000-0000-0000B5750000}"/>
    <cellStyle name="常规 9 2 2 3 6 2 6" xfId="25888" xr:uid="{00000000-0005-0000-0000-0000B6750000}"/>
    <cellStyle name="常规 9 2 2 3 6 3" xfId="2076" xr:uid="{00000000-0005-0000-0000-0000B7750000}"/>
    <cellStyle name="常规 9 2 2 3 6 3 2" xfId="5152" xr:uid="{00000000-0005-0000-0000-0000B8750000}"/>
    <cellStyle name="常规 9 2 2 3 6 3 2 2" xfId="11296" xr:uid="{00000000-0005-0000-0000-0000B9750000}"/>
    <cellStyle name="常规 9 2 2 3 6 3 2 2 2" xfId="23584" xr:uid="{00000000-0005-0000-0000-0000BA750000}"/>
    <cellStyle name="常规 9 2 2 3 6 3 2 2 2 2" xfId="48160" xr:uid="{00000000-0005-0000-0000-0000BB750000}"/>
    <cellStyle name="常规 9 2 2 3 6 3 2 2 3" xfId="35872" xr:uid="{00000000-0005-0000-0000-0000BC750000}"/>
    <cellStyle name="常规 9 2 2 3 6 3 2 3" xfId="17440" xr:uid="{00000000-0005-0000-0000-0000BD750000}"/>
    <cellStyle name="常规 9 2 2 3 6 3 2 3 2" xfId="42016" xr:uid="{00000000-0005-0000-0000-0000BE750000}"/>
    <cellStyle name="常规 9 2 2 3 6 3 2 4" xfId="29728" xr:uid="{00000000-0005-0000-0000-0000BF750000}"/>
    <cellStyle name="常规 9 2 2 3 6 3 3" xfId="8224" xr:uid="{00000000-0005-0000-0000-0000C0750000}"/>
    <cellStyle name="常规 9 2 2 3 6 3 3 2" xfId="20512" xr:uid="{00000000-0005-0000-0000-0000C1750000}"/>
    <cellStyle name="常规 9 2 2 3 6 3 3 2 2" xfId="45088" xr:uid="{00000000-0005-0000-0000-0000C2750000}"/>
    <cellStyle name="常规 9 2 2 3 6 3 3 3" xfId="32800" xr:uid="{00000000-0005-0000-0000-0000C3750000}"/>
    <cellStyle name="常规 9 2 2 3 6 3 4" xfId="14368" xr:uid="{00000000-0005-0000-0000-0000C4750000}"/>
    <cellStyle name="常规 9 2 2 3 6 3 4 2" xfId="38944" xr:uid="{00000000-0005-0000-0000-0000C5750000}"/>
    <cellStyle name="常规 9 2 2 3 6 3 5" xfId="26656" xr:uid="{00000000-0005-0000-0000-0000C6750000}"/>
    <cellStyle name="常规 9 2 2 3 6 4" xfId="3616" xr:uid="{00000000-0005-0000-0000-0000C7750000}"/>
    <cellStyle name="常规 9 2 2 3 6 4 2" xfId="9760" xr:uid="{00000000-0005-0000-0000-0000C8750000}"/>
    <cellStyle name="常规 9 2 2 3 6 4 2 2" xfId="22048" xr:uid="{00000000-0005-0000-0000-0000C9750000}"/>
    <cellStyle name="常规 9 2 2 3 6 4 2 2 2" xfId="46624" xr:uid="{00000000-0005-0000-0000-0000CA750000}"/>
    <cellStyle name="常规 9 2 2 3 6 4 2 3" xfId="34336" xr:uid="{00000000-0005-0000-0000-0000CB750000}"/>
    <cellStyle name="常规 9 2 2 3 6 4 3" xfId="15904" xr:uid="{00000000-0005-0000-0000-0000CC750000}"/>
    <cellStyle name="常规 9 2 2 3 6 4 3 2" xfId="40480" xr:uid="{00000000-0005-0000-0000-0000CD750000}"/>
    <cellStyle name="常规 9 2 2 3 6 4 4" xfId="28192" xr:uid="{00000000-0005-0000-0000-0000CE750000}"/>
    <cellStyle name="常规 9 2 2 3 6 5" xfId="6688" xr:uid="{00000000-0005-0000-0000-0000CF750000}"/>
    <cellStyle name="常规 9 2 2 3 6 5 2" xfId="18976" xr:uid="{00000000-0005-0000-0000-0000D0750000}"/>
    <cellStyle name="常规 9 2 2 3 6 5 2 2" xfId="43552" xr:uid="{00000000-0005-0000-0000-0000D1750000}"/>
    <cellStyle name="常规 9 2 2 3 6 5 3" xfId="31264" xr:uid="{00000000-0005-0000-0000-0000D2750000}"/>
    <cellStyle name="常规 9 2 2 3 6 6" xfId="12832" xr:uid="{00000000-0005-0000-0000-0000D3750000}"/>
    <cellStyle name="常规 9 2 2 3 6 6 2" xfId="37408" xr:uid="{00000000-0005-0000-0000-0000D4750000}"/>
    <cellStyle name="常规 9 2 2 3 6 7" xfId="25120" xr:uid="{00000000-0005-0000-0000-0000D5750000}"/>
    <cellStyle name="常规 9 2 2 3 7" xfId="924" xr:uid="{00000000-0005-0000-0000-0000D6750000}"/>
    <cellStyle name="常规 9 2 2 3 7 2" xfId="2460" xr:uid="{00000000-0005-0000-0000-0000D7750000}"/>
    <cellStyle name="常规 9 2 2 3 7 2 2" xfId="5536" xr:uid="{00000000-0005-0000-0000-0000D8750000}"/>
    <cellStyle name="常规 9 2 2 3 7 2 2 2" xfId="11680" xr:uid="{00000000-0005-0000-0000-0000D9750000}"/>
    <cellStyle name="常规 9 2 2 3 7 2 2 2 2" xfId="23968" xr:uid="{00000000-0005-0000-0000-0000DA750000}"/>
    <cellStyle name="常规 9 2 2 3 7 2 2 2 2 2" xfId="48544" xr:uid="{00000000-0005-0000-0000-0000DB750000}"/>
    <cellStyle name="常规 9 2 2 3 7 2 2 2 3" xfId="36256" xr:uid="{00000000-0005-0000-0000-0000DC750000}"/>
    <cellStyle name="常规 9 2 2 3 7 2 2 3" xfId="17824" xr:uid="{00000000-0005-0000-0000-0000DD750000}"/>
    <cellStyle name="常规 9 2 2 3 7 2 2 3 2" xfId="42400" xr:uid="{00000000-0005-0000-0000-0000DE750000}"/>
    <cellStyle name="常规 9 2 2 3 7 2 2 4" xfId="30112" xr:uid="{00000000-0005-0000-0000-0000DF750000}"/>
    <cellStyle name="常规 9 2 2 3 7 2 3" xfId="8608" xr:uid="{00000000-0005-0000-0000-0000E0750000}"/>
    <cellStyle name="常规 9 2 2 3 7 2 3 2" xfId="20896" xr:uid="{00000000-0005-0000-0000-0000E1750000}"/>
    <cellStyle name="常规 9 2 2 3 7 2 3 2 2" xfId="45472" xr:uid="{00000000-0005-0000-0000-0000E2750000}"/>
    <cellStyle name="常规 9 2 2 3 7 2 3 3" xfId="33184" xr:uid="{00000000-0005-0000-0000-0000E3750000}"/>
    <cellStyle name="常规 9 2 2 3 7 2 4" xfId="14752" xr:uid="{00000000-0005-0000-0000-0000E4750000}"/>
    <cellStyle name="常规 9 2 2 3 7 2 4 2" xfId="39328" xr:uid="{00000000-0005-0000-0000-0000E5750000}"/>
    <cellStyle name="常规 9 2 2 3 7 2 5" xfId="27040" xr:uid="{00000000-0005-0000-0000-0000E6750000}"/>
    <cellStyle name="常规 9 2 2 3 7 3" xfId="4000" xr:uid="{00000000-0005-0000-0000-0000E7750000}"/>
    <cellStyle name="常规 9 2 2 3 7 3 2" xfId="10144" xr:uid="{00000000-0005-0000-0000-0000E8750000}"/>
    <cellStyle name="常规 9 2 2 3 7 3 2 2" xfId="22432" xr:uid="{00000000-0005-0000-0000-0000E9750000}"/>
    <cellStyle name="常规 9 2 2 3 7 3 2 2 2" xfId="47008" xr:uid="{00000000-0005-0000-0000-0000EA750000}"/>
    <cellStyle name="常规 9 2 2 3 7 3 2 3" xfId="34720" xr:uid="{00000000-0005-0000-0000-0000EB750000}"/>
    <cellStyle name="常规 9 2 2 3 7 3 3" xfId="16288" xr:uid="{00000000-0005-0000-0000-0000EC750000}"/>
    <cellStyle name="常规 9 2 2 3 7 3 3 2" xfId="40864" xr:uid="{00000000-0005-0000-0000-0000ED750000}"/>
    <cellStyle name="常规 9 2 2 3 7 3 4" xfId="28576" xr:uid="{00000000-0005-0000-0000-0000EE750000}"/>
    <cellStyle name="常规 9 2 2 3 7 4" xfId="7072" xr:uid="{00000000-0005-0000-0000-0000EF750000}"/>
    <cellStyle name="常规 9 2 2 3 7 4 2" xfId="19360" xr:uid="{00000000-0005-0000-0000-0000F0750000}"/>
    <cellStyle name="常规 9 2 2 3 7 4 2 2" xfId="43936" xr:uid="{00000000-0005-0000-0000-0000F1750000}"/>
    <cellStyle name="常规 9 2 2 3 7 4 3" xfId="31648" xr:uid="{00000000-0005-0000-0000-0000F2750000}"/>
    <cellStyle name="常规 9 2 2 3 7 5" xfId="13216" xr:uid="{00000000-0005-0000-0000-0000F3750000}"/>
    <cellStyle name="常规 9 2 2 3 7 5 2" xfId="37792" xr:uid="{00000000-0005-0000-0000-0000F4750000}"/>
    <cellStyle name="常规 9 2 2 3 7 6" xfId="25504" xr:uid="{00000000-0005-0000-0000-0000F5750000}"/>
    <cellStyle name="常规 9 2 2 3 8" xfId="1692" xr:uid="{00000000-0005-0000-0000-0000F6750000}"/>
    <cellStyle name="常规 9 2 2 3 8 2" xfId="4768" xr:uid="{00000000-0005-0000-0000-0000F7750000}"/>
    <cellStyle name="常规 9 2 2 3 8 2 2" xfId="10912" xr:uid="{00000000-0005-0000-0000-0000F8750000}"/>
    <cellStyle name="常规 9 2 2 3 8 2 2 2" xfId="23200" xr:uid="{00000000-0005-0000-0000-0000F9750000}"/>
    <cellStyle name="常规 9 2 2 3 8 2 2 2 2" xfId="47776" xr:uid="{00000000-0005-0000-0000-0000FA750000}"/>
    <cellStyle name="常规 9 2 2 3 8 2 2 3" xfId="35488" xr:uid="{00000000-0005-0000-0000-0000FB750000}"/>
    <cellStyle name="常规 9 2 2 3 8 2 3" xfId="17056" xr:uid="{00000000-0005-0000-0000-0000FC750000}"/>
    <cellStyle name="常规 9 2 2 3 8 2 3 2" xfId="41632" xr:uid="{00000000-0005-0000-0000-0000FD750000}"/>
    <cellStyle name="常规 9 2 2 3 8 2 4" xfId="29344" xr:uid="{00000000-0005-0000-0000-0000FE750000}"/>
    <cellStyle name="常规 9 2 2 3 8 3" xfId="7840" xr:uid="{00000000-0005-0000-0000-0000FF750000}"/>
    <cellStyle name="常规 9 2 2 3 8 3 2" xfId="20128" xr:uid="{00000000-0005-0000-0000-000000760000}"/>
    <cellStyle name="常规 9 2 2 3 8 3 2 2" xfId="44704" xr:uid="{00000000-0005-0000-0000-000001760000}"/>
    <cellStyle name="常规 9 2 2 3 8 3 3" xfId="32416" xr:uid="{00000000-0005-0000-0000-000002760000}"/>
    <cellStyle name="常规 9 2 2 3 8 4" xfId="13984" xr:uid="{00000000-0005-0000-0000-000003760000}"/>
    <cellStyle name="常规 9 2 2 3 8 4 2" xfId="38560" xr:uid="{00000000-0005-0000-0000-000004760000}"/>
    <cellStyle name="常规 9 2 2 3 8 5" xfId="26272" xr:uid="{00000000-0005-0000-0000-000005760000}"/>
    <cellStyle name="常规 9 2 2 3 9" xfId="3232" xr:uid="{00000000-0005-0000-0000-000006760000}"/>
    <cellStyle name="常规 9 2 2 3 9 2" xfId="9376" xr:uid="{00000000-0005-0000-0000-000007760000}"/>
    <cellStyle name="常规 9 2 2 3 9 2 2" xfId="21664" xr:uid="{00000000-0005-0000-0000-000008760000}"/>
    <cellStyle name="常规 9 2 2 3 9 2 2 2" xfId="46240" xr:uid="{00000000-0005-0000-0000-000009760000}"/>
    <cellStyle name="常规 9 2 2 3 9 2 3" xfId="33952" xr:uid="{00000000-0005-0000-0000-00000A760000}"/>
    <cellStyle name="常规 9 2 2 3 9 3" xfId="15520" xr:uid="{00000000-0005-0000-0000-00000B760000}"/>
    <cellStyle name="常规 9 2 2 3 9 3 2" xfId="40096" xr:uid="{00000000-0005-0000-0000-00000C760000}"/>
    <cellStyle name="常规 9 2 2 3 9 4" xfId="27808" xr:uid="{00000000-0005-0000-0000-00000D760000}"/>
    <cellStyle name="常规 9 2 2 4" xfId="171" xr:uid="{00000000-0005-0000-0000-00000E760000}"/>
    <cellStyle name="常规 9 2 2 4 10" xfId="12464" xr:uid="{00000000-0005-0000-0000-00000F760000}"/>
    <cellStyle name="常规 9 2 2 4 10 2" xfId="37040" xr:uid="{00000000-0005-0000-0000-000010760000}"/>
    <cellStyle name="常规 9 2 2 4 11" xfId="24752" xr:uid="{00000000-0005-0000-0000-000011760000}"/>
    <cellStyle name="常规 9 2 2 4 2" xfId="236" xr:uid="{00000000-0005-0000-0000-000012760000}"/>
    <cellStyle name="常规 9 2 2 4 2 2" xfId="428" xr:uid="{00000000-0005-0000-0000-000013760000}"/>
    <cellStyle name="常规 9 2 2 4 2 2 2" xfId="812" xr:uid="{00000000-0005-0000-0000-000014760000}"/>
    <cellStyle name="常规 9 2 2 4 2 2 2 2" xfId="1580" xr:uid="{00000000-0005-0000-0000-000015760000}"/>
    <cellStyle name="常规 9 2 2 4 2 2 2 2 2" xfId="3116" xr:uid="{00000000-0005-0000-0000-000016760000}"/>
    <cellStyle name="常规 9 2 2 4 2 2 2 2 2 2" xfId="6192" xr:uid="{00000000-0005-0000-0000-000017760000}"/>
    <cellStyle name="常规 9 2 2 4 2 2 2 2 2 2 2" xfId="12336" xr:uid="{00000000-0005-0000-0000-000018760000}"/>
    <cellStyle name="常规 9 2 2 4 2 2 2 2 2 2 2 2" xfId="24624" xr:uid="{00000000-0005-0000-0000-000019760000}"/>
    <cellStyle name="常规 9 2 2 4 2 2 2 2 2 2 2 2 2" xfId="49200" xr:uid="{00000000-0005-0000-0000-00001A760000}"/>
    <cellStyle name="常规 9 2 2 4 2 2 2 2 2 2 2 3" xfId="36912" xr:uid="{00000000-0005-0000-0000-00001B760000}"/>
    <cellStyle name="常规 9 2 2 4 2 2 2 2 2 2 3" xfId="18480" xr:uid="{00000000-0005-0000-0000-00001C760000}"/>
    <cellStyle name="常规 9 2 2 4 2 2 2 2 2 2 3 2" xfId="43056" xr:uid="{00000000-0005-0000-0000-00001D760000}"/>
    <cellStyle name="常规 9 2 2 4 2 2 2 2 2 2 4" xfId="30768" xr:uid="{00000000-0005-0000-0000-00001E760000}"/>
    <cellStyle name="常规 9 2 2 4 2 2 2 2 2 3" xfId="9264" xr:uid="{00000000-0005-0000-0000-00001F760000}"/>
    <cellStyle name="常规 9 2 2 4 2 2 2 2 2 3 2" xfId="21552" xr:uid="{00000000-0005-0000-0000-000020760000}"/>
    <cellStyle name="常规 9 2 2 4 2 2 2 2 2 3 2 2" xfId="46128" xr:uid="{00000000-0005-0000-0000-000021760000}"/>
    <cellStyle name="常规 9 2 2 4 2 2 2 2 2 3 3" xfId="33840" xr:uid="{00000000-0005-0000-0000-000022760000}"/>
    <cellStyle name="常规 9 2 2 4 2 2 2 2 2 4" xfId="15408" xr:uid="{00000000-0005-0000-0000-000023760000}"/>
    <cellStyle name="常规 9 2 2 4 2 2 2 2 2 4 2" xfId="39984" xr:uid="{00000000-0005-0000-0000-000024760000}"/>
    <cellStyle name="常规 9 2 2 4 2 2 2 2 2 5" xfId="27696" xr:uid="{00000000-0005-0000-0000-000025760000}"/>
    <cellStyle name="常规 9 2 2 4 2 2 2 2 3" xfId="4656" xr:uid="{00000000-0005-0000-0000-000026760000}"/>
    <cellStyle name="常规 9 2 2 4 2 2 2 2 3 2" xfId="10800" xr:uid="{00000000-0005-0000-0000-000027760000}"/>
    <cellStyle name="常规 9 2 2 4 2 2 2 2 3 2 2" xfId="23088" xr:uid="{00000000-0005-0000-0000-000028760000}"/>
    <cellStyle name="常规 9 2 2 4 2 2 2 2 3 2 2 2" xfId="47664" xr:uid="{00000000-0005-0000-0000-000029760000}"/>
    <cellStyle name="常规 9 2 2 4 2 2 2 2 3 2 3" xfId="35376" xr:uid="{00000000-0005-0000-0000-00002A760000}"/>
    <cellStyle name="常规 9 2 2 4 2 2 2 2 3 3" xfId="16944" xr:uid="{00000000-0005-0000-0000-00002B760000}"/>
    <cellStyle name="常规 9 2 2 4 2 2 2 2 3 3 2" xfId="41520" xr:uid="{00000000-0005-0000-0000-00002C760000}"/>
    <cellStyle name="常规 9 2 2 4 2 2 2 2 3 4" xfId="29232" xr:uid="{00000000-0005-0000-0000-00002D760000}"/>
    <cellStyle name="常规 9 2 2 4 2 2 2 2 4" xfId="7728" xr:uid="{00000000-0005-0000-0000-00002E760000}"/>
    <cellStyle name="常规 9 2 2 4 2 2 2 2 4 2" xfId="20016" xr:uid="{00000000-0005-0000-0000-00002F760000}"/>
    <cellStyle name="常规 9 2 2 4 2 2 2 2 4 2 2" xfId="44592" xr:uid="{00000000-0005-0000-0000-000030760000}"/>
    <cellStyle name="常规 9 2 2 4 2 2 2 2 4 3" xfId="32304" xr:uid="{00000000-0005-0000-0000-000031760000}"/>
    <cellStyle name="常规 9 2 2 4 2 2 2 2 5" xfId="13872" xr:uid="{00000000-0005-0000-0000-000032760000}"/>
    <cellStyle name="常规 9 2 2 4 2 2 2 2 5 2" xfId="38448" xr:uid="{00000000-0005-0000-0000-000033760000}"/>
    <cellStyle name="常规 9 2 2 4 2 2 2 2 6" xfId="26160" xr:uid="{00000000-0005-0000-0000-000034760000}"/>
    <cellStyle name="常规 9 2 2 4 2 2 2 3" xfId="2348" xr:uid="{00000000-0005-0000-0000-000035760000}"/>
    <cellStyle name="常规 9 2 2 4 2 2 2 3 2" xfId="5424" xr:uid="{00000000-0005-0000-0000-000036760000}"/>
    <cellStyle name="常规 9 2 2 4 2 2 2 3 2 2" xfId="11568" xr:uid="{00000000-0005-0000-0000-000037760000}"/>
    <cellStyle name="常规 9 2 2 4 2 2 2 3 2 2 2" xfId="23856" xr:uid="{00000000-0005-0000-0000-000038760000}"/>
    <cellStyle name="常规 9 2 2 4 2 2 2 3 2 2 2 2" xfId="48432" xr:uid="{00000000-0005-0000-0000-000039760000}"/>
    <cellStyle name="常规 9 2 2 4 2 2 2 3 2 2 3" xfId="36144" xr:uid="{00000000-0005-0000-0000-00003A760000}"/>
    <cellStyle name="常规 9 2 2 4 2 2 2 3 2 3" xfId="17712" xr:uid="{00000000-0005-0000-0000-00003B760000}"/>
    <cellStyle name="常规 9 2 2 4 2 2 2 3 2 3 2" xfId="42288" xr:uid="{00000000-0005-0000-0000-00003C760000}"/>
    <cellStyle name="常规 9 2 2 4 2 2 2 3 2 4" xfId="30000" xr:uid="{00000000-0005-0000-0000-00003D760000}"/>
    <cellStyle name="常规 9 2 2 4 2 2 2 3 3" xfId="8496" xr:uid="{00000000-0005-0000-0000-00003E760000}"/>
    <cellStyle name="常规 9 2 2 4 2 2 2 3 3 2" xfId="20784" xr:uid="{00000000-0005-0000-0000-00003F760000}"/>
    <cellStyle name="常规 9 2 2 4 2 2 2 3 3 2 2" xfId="45360" xr:uid="{00000000-0005-0000-0000-000040760000}"/>
    <cellStyle name="常规 9 2 2 4 2 2 2 3 3 3" xfId="33072" xr:uid="{00000000-0005-0000-0000-000041760000}"/>
    <cellStyle name="常规 9 2 2 4 2 2 2 3 4" xfId="14640" xr:uid="{00000000-0005-0000-0000-000042760000}"/>
    <cellStyle name="常规 9 2 2 4 2 2 2 3 4 2" xfId="39216" xr:uid="{00000000-0005-0000-0000-000043760000}"/>
    <cellStyle name="常规 9 2 2 4 2 2 2 3 5" xfId="26928" xr:uid="{00000000-0005-0000-0000-000044760000}"/>
    <cellStyle name="常规 9 2 2 4 2 2 2 4" xfId="3888" xr:uid="{00000000-0005-0000-0000-000045760000}"/>
    <cellStyle name="常规 9 2 2 4 2 2 2 4 2" xfId="10032" xr:uid="{00000000-0005-0000-0000-000046760000}"/>
    <cellStyle name="常规 9 2 2 4 2 2 2 4 2 2" xfId="22320" xr:uid="{00000000-0005-0000-0000-000047760000}"/>
    <cellStyle name="常规 9 2 2 4 2 2 2 4 2 2 2" xfId="46896" xr:uid="{00000000-0005-0000-0000-000048760000}"/>
    <cellStyle name="常规 9 2 2 4 2 2 2 4 2 3" xfId="34608" xr:uid="{00000000-0005-0000-0000-000049760000}"/>
    <cellStyle name="常规 9 2 2 4 2 2 2 4 3" xfId="16176" xr:uid="{00000000-0005-0000-0000-00004A760000}"/>
    <cellStyle name="常规 9 2 2 4 2 2 2 4 3 2" xfId="40752" xr:uid="{00000000-0005-0000-0000-00004B760000}"/>
    <cellStyle name="常规 9 2 2 4 2 2 2 4 4" xfId="28464" xr:uid="{00000000-0005-0000-0000-00004C760000}"/>
    <cellStyle name="常规 9 2 2 4 2 2 2 5" xfId="6960" xr:uid="{00000000-0005-0000-0000-00004D760000}"/>
    <cellStyle name="常规 9 2 2 4 2 2 2 5 2" xfId="19248" xr:uid="{00000000-0005-0000-0000-00004E760000}"/>
    <cellStyle name="常规 9 2 2 4 2 2 2 5 2 2" xfId="43824" xr:uid="{00000000-0005-0000-0000-00004F760000}"/>
    <cellStyle name="常规 9 2 2 4 2 2 2 5 3" xfId="31536" xr:uid="{00000000-0005-0000-0000-000050760000}"/>
    <cellStyle name="常规 9 2 2 4 2 2 2 6" xfId="13104" xr:uid="{00000000-0005-0000-0000-000051760000}"/>
    <cellStyle name="常规 9 2 2 4 2 2 2 6 2" xfId="37680" xr:uid="{00000000-0005-0000-0000-000052760000}"/>
    <cellStyle name="常规 9 2 2 4 2 2 2 7" xfId="25392" xr:uid="{00000000-0005-0000-0000-000053760000}"/>
    <cellStyle name="常规 9 2 2 4 2 2 3" xfId="1196" xr:uid="{00000000-0005-0000-0000-000054760000}"/>
    <cellStyle name="常规 9 2 2 4 2 2 3 2" xfId="2732" xr:uid="{00000000-0005-0000-0000-000055760000}"/>
    <cellStyle name="常规 9 2 2 4 2 2 3 2 2" xfId="5808" xr:uid="{00000000-0005-0000-0000-000056760000}"/>
    <cellStyle name="常规 9 2 2 4 2 2 3 2 2 2" xfId="11952" xr:uid="{00000000-0005-0000-0000-000057760000}"/>
    <cellStyle name="常规 9 2 2 4 2 2 3 2 2 2 2" xfId="24240" xr:uid="{00000000-0005-0000-0000-000058760000}"/>
    <cellStyle name="常规 9 2 2 4 2 2 3 2 2 2 2 2" xfId="48816" xr:uid="{00000000-0005-0000-0000-000059760000}"/>
    <cellStyle name="常规 9 2 2 4 2 2 3 2 2 2 3" xfId="36528" xr:uid="{00000000-0005-0000-0000-00005A760000}"/>
    <cellStyle name="常规 9 2 2 4 2 2 3 2 2 3" xfId="18096" xr:uid="{00000000-0005-0000-0000-00005B760000}"/>
    <cellStyle name="常规 9 2 2 4 2 2 3 2 2 3 2" xfId="42672" xr:uid="{00000000-0005-0000-0000-00005C760000}"/>
    <cellStyle name="常规 9 2 2 4 2 2 3 2 2 4" xfId="30384" xr:uid="{00000000-0005-0000-0000-00005D760000}"/>
    <cellStyle name="常规 9 2 2 4 2 2 3 2 3" xfId="8880" xr:uid="{00000000-0005-0000-0000-00005E760000}"/>
    <cellStyle name="常规 9 2 2 4 2 2 3 2 3 2" xfId="21168" xr:uid="{00000000-0005-0000-0000-00005F760000}"/>
    <cellStyle name="常规 9 2 2 4 2 2 3 2 3 2 2" xfId="45744" xr:uid="{00000000-0005-0000-0000-000060760000}"/>
    <cellStyle name="常规 9 2 2 4 2 2 3 2 3 3" xfId="33456" xr:uid="{00000000-0005-0000-0000-000061760000}"/>
    <cellStyle name="常规 9 2 2 4 2 2 3 2 4" xfId="15024" xr:uid="{00000000-0005-0000-0000-000062760000}"/>
    <cellStyle name="常规 9 2 2 4 2 2 3 2 4 2" xfId="39600" xr:uid="{00000000-0005-0000-0000-000063760000}"/>
    <cellStyle name="常规 9 2 2 4 2 2 3 2 5" xfId="27312" xr:uid="{00000000-0005-0000-0000-000064760000}"/>
    <cellStyle name="常规 9 2 2 4 2 2 3 3" xfId="4272" xr:uid="{00000000-0005-0000-0000-000065760000}"/>
    <cellStyle name="常规 9 2 2 4 2 2 3 3 2" xfId="10416" xr:uid="{00000000-0005-0000-0000-000066760000}"/>
    <cellStyle name="常规 9 2 2 4 2 2 3 3 2 2" xfId="22704" xr:uid="{00000000-0005-0000-0000-000067760000}"/>
    <cellStyle name="常规 9 2 2 4 2 2 3 3 2 2 2" xfId="47280" xr:uid="{00000000-0005-0000-0000-000068760000}"/>
    <cellStyle name="常规 9 2 2 4 2 2 3 3 2 3" xfId="34992" xr:uid="{00000000-0005-0000-0000-000069760000}"/>
    <cellStyle name="常规 9 2 2 4 2 2 3 3 3" xfId="16560" xr:uid="{00000000-0005-0000-0000-00006A760000}"/>
    <cellStyle name="常规 9 2 2 4 2 2 3 3 3 2" xfId="41136" xr:uid="{00000000-0005-0000-0000-00006B760000}"/>
    <cellStyle name="常规 9 2 2 4 2 2 3 3 4" xfId="28848" xr:uid="{00000000-0005-0000-0000-00006C760000}"/>
    <cellStyle name="常规 9 2 2 4 2 2 3 4" xfId="7344" xr:uid="{00000000-0005-0000-0000-00006D760000}"/>
    <cellStyle name="常规 9 2 2 4 2 2 3 4 2" xfId="19632" xr:uid="{00000000-0005-0000-0000-00006E760000}"/>
    <cellStyle name="常规 9 2 2 4 2 2 3 4 2 2" xfId="44208" xr:uid="{00000000-0005-0000-0000-00006F760000}"/>
    <cellStyle name="常规 9 2 2 4 2 2 3 4 3" xfId="31920" xr:uid="{00000000-0005-0000-0000-000070760000}"/>
    <cellStyle name="常规 9 2 2 4 2 2 3 5" xfId="13488" xr:uid="{00000000-0005-0000-0000-000071760000}"/>
    <cellStyle name="常规 9 2 2 4 2 2 3 5 2" xfId="38064" xr:uid="{00000000-0005-0000-0000-000072760000}"/>
    <cellStyle name="常规 9 2 2 4 2 2 3 6" xfId="25776" xr:uid="{00000000-0005-0000-0000-000073760000}"/>
    <cellStyle name="常规 9 2 2 4 2 2 4" xfId="1964" xr:uid="{00000000-0005-0000-0000-000074760000}"/>
    <cellStyle name="常规 9 2 2 4 2 2 4 2" xfId="5040" xr:uid="{00000000-0005-0000-0000-000075760000}"/>
    <cellStyle name="常规 9 2 2 4 2 2 4 2 2" xfId="11184" xr:uid="{00000000-0005-0000-0000-000076760000}"/>
    <cellStyle name="常规 9 2 2 4 2 2 4 2 2 2" xfId="23472" xr:uid="{00000000-0005-0000-0000-000077760000}"/>
    <cellStyle name="常规 9 2 2 4 2 2 4 2 2 2 2" xfId="48048" xr:uid="{00000000-0005-0000-0000-000078760000}"/>
    <cellStyle name="常规 9 2 2 4 2 2 4 2 2 3" xfId="35760" xr:uid="{00000000-0005-0000-0000-000079760000}"/>
    <cellStyle name="常规 9 2 2 4 2 2 4 2 3" xfId="17328" xr:uid="{00000000-0005-0000-0000-00007A760000}"/>
    <cellStyle name="常规 9 2 2 4 2 2 4 2 3 2" xfId="41904" xr:uid="{00000000-0005-0000-0000-00007B760000}"/>
    <cellStyle name="常规 9 2 2 4 2 2 4 2 4" xfId="29616" xr:uid="{00000000-0005-0000-0000-00007C760000}"/>
    <cellStyle name="常规 9 2 2 4 2 2 4 3" xfId="8112" xr:uid="{00000000-0005-0000-0000-00007D760000}"/>
    <cellStyle name="常规 9 2 2 4 2 2 4 3 2" xfId="20400" xr:uid="{00000000-0005-0000-0000-00007E760000}"/>
    <cellStyle name="常规 9 2 2 4 2 2 4 3 2 2" xfId="44976" xr:uid="{00000000-0005-0000-0000-00007F760000}"/>
    <cellStyle name="常规 9 2 2 4 2 2 4 3 3" xfId="32688" xr:uid="{00000000-0005-0000-0000-000080760000}"/>
    <cellStyle name="常规 9 2 2 4 2 2 4 4" xfId="14256" xr:uid="{00000000-0005-0000-0000-000081760000}"/>
    <cellStyle name="常规 9 2 2 4 2 2 4 4 2" xfId="38832" xr:uid="{00000000-0005-0000-0000-000082760000}"/>
    <cellStyle name="常规 9 2 2 4 2 2 4 5" xfId="26544" xr:uid="{00000000-0005-0000-0000-000083760000}"/>
    <cellStyle name="常规 9 2 2 4 2 2 5" xfId="3504" xr:uid="{00000000-0005-0000-0000-000084760000}"/>
    <cellStyle name="常规 9 2 2 4 2 2 5 2" xfId="9648" xr:uid="{00000000-0005-0000-0000-000085760000}"/>
    <cellStyle name="常规 9 2 2 4 2 2 5 2 2" xfId="21936" xr:uid="{00000000-0005-0000-0000-000086760000}"/>
    <cellStyle name="常规 9 2 2 4 2 2 5 2 2 2" xfId="46512" xr:uid="{00000000-0005-0000-0000-000087760000}"/>
    <cellStyle name="常规 9 2 2 4 2 2 5 2 3" xfId="34224" xr:uid="{00000000-0005-0000-0000-000088760000}"/>
    <cellStyle name="常规 9 2 2 4 2 2 5 3" xfId="15792" xr:uid="{00000000-0005-0000-0000-000089760000}"/>
    <cellStyle name="常规 9 2 2 4 2 2 5 3 2" xfId="40368" xr:uid="{00000000-0005-0000-0000-00008A760000}"/>
    <cellStyle name="常规 9 2 2 4 2 2 5 4" xfId="28080" xr:uid="{00000000-0005-0000-0000-00008B760000}"/>
    <cellStyle name="常规 9 2 2 4 2 2 6" xfId="6576" xr:uid="{00000000-0005-0000-0000-00008C760000}"/>
    <cellStyle name="常规 9 2 2 4 2 2 6 2" xfId="18864" xr:uid="{00000000-0005-0000-0000-00008D760000}"/>
    <cellStyle name="常规 9 2 2 4 2 2 6 2 2" xfId="43440" xr:uid="{00000000-0005-0000-0000-00008E760000}"/>
    <cellStyle name="常规 9 2 2 4 2 2 6 3" xfId="31152" xr:uid="{00000000-0005-0000-0000-00008F760000}"/>
    <cellStyle name="常规 9 2 2 4 2 2 7" xfId="12720" xr:uid="{00000000-0005-0000-0000-000090760000}"/>
    <cellStyle name="常规 9 2 2 4 2 2 7 2" xfId="37296" xr:uid="{00000000-0005-0000-0000-000091760000}"/>
    <cellStyle name="常规 9 2 2 4 2 2 8" xfId="25008" xr:uid="{00000000-0005-0000-0000-000092760000}"/>
    <cellStyle name="常规 9 2 2 4 2 3" xfId="620" xr:uid="{00000000-0005-0000-0000-000093760000}"/>
    <cellStyle name="常规 9 2 2 4 2 3 2" xfId="1388" xr:uid="{00000000-0005-0000-0000-000094760000}"/>
    <cellStyle name="常规 9 2 2 4 2 3 2 2" xfId="2924" xr:uid="{00000000-0005-0000-0000-000095760000}"/>
    <cellStyle name="常规 9 2 2 4 2 3 2 2 2" xfId="6000" xr:uid="{00000000-0005-0000-0000-000096760000}"/>
    <cellStyle name="常规 9 2 2 4 2 3 2 2 2 2" xfId="12144" xr:uid="{00000000-0005-0000-0000-000097760000}"/>
    <cellStyle name="常规 9 2 2 4 2 3 2 2 2 2 2" xfId="24432" xr:uid="{00000000-0005-0000-0000-000098760000}"/>
    <cellStyle name="常规 9 2 2 4 2 3 2 2 2 2 2 2" xfId="49008" xr:uid="{00000000-0005-0000-0000-000099760000}"/>
    <cellStyle name="常规 9 2 2 4 2 3 2 2 2 2 3" xfId="36720" xr:uid="{00000000-0005-0000-0000-00009A760000}"/>
    <cellStyle name="常规 9 2 2 4 2 3 2 2 2 3" xfId="18288" xr:uid="{00000000-0005-0000-0000-00009B760000}"/>
    <cellStyle name="常规 9 2 2 4 2 3 2 2 2 3 2" xfId="42864" xr:uid="{00000000-0005-0000-0000-00009C760000}"/>
    <cellStyle name="常规 9 2 2 4 2 3 2 2 2 4" xfId="30576" xr:uid="{00000000-0005-0000-0000-00009D760000}"/>
    <cellStyle name="常规 9 2 2 4 2 3 2 2 3" xfId="9072" xr:uid="{00000000-0005-0000-0000-00009E760000}"/>
    <cellStyle name="常规 9 2 2 4 2 3 2 2 3 2" xfId="21360" xr:uid="{00000000-0005-0000-0000-00009F760000}"/>
    <cellStyle name="常规 9 2 2 4 2 3 2 2 3 2 2" xfId="45936" xr:uid="{00000000-0005-0000-0000-0000A0760000}"/>
    <cellStyle name="常规 9 2 2 4 2 3 2 2 3 3" xfId="33648" xr:uid="{00000000-0005-0000-0000-0000A1760000}"/>
    <cellStyle name="常规 9 2 2 4 2 3 2 2 4" xfId="15216" xr:uid="{00000000-0005-0000-0000-0000A2760000}"/>
    <cellStyle name="常规 9 2 2 4 2 3 2 2 4 2" xfId="39792" xr:uid="{00000000-0005-0000-0000-0000A3760000}"/>
    <cellStyle name="常规 9 2 2 4 2 3 2 2 5" xfId="27504" xr:uid="{00000000-0005-0000-0000-0000A4760000}"/>
    <cellStyle name="常规 9 2 2 4 2 3 2 3" xfId="4464" xr:uid="{00000000-0005-0000-0000-0000A5760000}"/>
    <cellStyle name="常规 9 2 2 4 2 3 2 3 2" xfId="10608" xr:uid="{00000000-0005-0000-0000-0000A6760000}"/>
    <cellStyle name="常规 9 2 2 4 2 3 2 3 2 2" xfId="22896" xr:uid="{00000000-0005-0000-0000-0000A7760000}"/>
    <cellStyle name="常规 9 2 2 4 2 3 2 3 2 2 2" xfId="47472" xr:uid="{00000000-0005-0000-0000-0000A8760000}"/>
    <cellStyle name="常规 9 2 2 4 2 3 2 3 2 3" xfId="35184" xr:uid="{00000000-0005-0000-0000-0000A9760000}"/>
    <cellStyle name="常规 9 2 2 4 2 3 2 3 3" xfId="16752" xr:uid="{00000000-0005-0000-0000-0000AA760000}"/>
    <cellStyle name="常规 9 2 2 4 2 3 2 3 3 2" xfId="41328" xr:uid="{00000000-0005-0000-0000-0000AB760000}"/>
    <cellStyle name="常规 9 2 2 4 2 3 2 3 4" xfId="29040" xr:uid="{00000000-0005-0000-0000-0000AC760000}"/>
    <cellStyle name="常规 9 2 2 4 2 3 2 4" xfId="7536" xr:uid="{00000000-0005-0000-0000-0000AD760000}"/>
    <cellStyle name="常规 9 2 2 4 2 3 2 4 2" xfId="19824" xr:uid="{00000000-0005-0000-0000-0000AE760000}"/>
    <cellStyle name="常规 9 2 2 4 2 3 2 4 2 2" xfId="44400" xr:uid="{00000000-0005-0000-0000-0000AF760000}"/>
    <cellStyle name="常规 9 2 2 4 2 3 2 4 3" xfId="32112" xr:uid="{00000000-0005-0000-0000-0000B0760000}"/>
    <cellStyle name="常规 9 2 2 4 2 3 2 5" xfId="13680" xr:uid="{00000000-0005-0000-0000-0000B1760000}"/>
    <cellStyle name="常规 9 2 2 4 2 3 2 5 2" xfId="38256" xr:uid="{00000000-0005-0000-0000-0000B2760000}"/>
    <cellStyle name="常规 9 2 2 4 2 3 2 6" xfId="25968" xr:uid="{00000000-0005-0000-0000-0000B3760000}"/>
    <cellStyle name="常规 9 2 2 4 2 3 3" xfId="2156" xr:uid="{00000000-0005-0000-0000-0000B4760000}"/>
    <cellStyle name="常规 9 2 2 4 2 3 3 2" xfId="5232" xr:uid="{00000000-0005-0000-0000-0000B5760000}"/>
    <cellStyle name="常规 9 2 2 4 2 3 3 2 2" xfId="11376" xr:uid="{00000000-0005-0000-0000-0000B6760000}"/>
    <cellStyle name="常规 9 2 2 4 2 3 3 2 2 2" xfId="23664" xr:uid="{00000000-0005-0000-0000-0000B7760000}"/>
    <cellStyle name="常规 9 2 2 4 2 3 3 2 2 2 2" xfId="48240" xr:uid="{00000000-0005-0000-0000-0000B8760000}"/>
    <cellStyle name="常规 9 2 2 4 2 3 3 2 2 3" xfId="35952" xr:uid="{00000000-0005-0000-0000-0000B9760000}"/>
    <cellStyle name="常规 9 2 2 4 2 3 3 2 3" xfId="17520" xr:uid="{00000000-0005-0000-0000-0000BA760000}"/>
    <cellStyle name="常规 9 2 2 4 2 3 3 2 3 2" xfId="42096" xr:uid="{00000000-0005-0000-0000-0000BB760000}"/>
    <cellStyle name="常规 9 2 2 4 2 3 3 2 4" xfId="29808" xr:uid="{00000000-0005-0000-0000-0000BC760000}"/>
    <cellStyle name="常规 9 2 2 4 2 3 3 3" xfId="8304" xr:uid="{00000000-0005-0000-0000-0000BD760000}"/>
    <cellStyle name="常规 9 2 2 4 2 3 3 3 2" xfId="20592" xr:uid="{00000000-0005-0000-0000-0000BE760000}"/>
    <cellStyle name="常规 9 2 2 4 2 3 3 3 2 2" xfId="45168" xr:uid="{00000000-0005-0000-0000-0000BF760000}"/>
    <cellStyle name="常规 9 2 2 4 2 3 3 3 3" xfId="32880" xr:uid="{00000000-0005-0000-0000-0000C0760000}"/>
    <cellStyle name="常规 9 2 2 4 2 3 3 4" xfId="14448" xr:uid="{00000000-0005-0000-0000-0000C1760000}"/>
    <cellStyle name="常规 9 2 2 4 2 3 3 4 2" xfId="39024" xr:uid="{00000000-0005-0000-0000-0000C2760000}"/>
    <cellStyle name="常规 9 2 2 4 2 3 3 5" xfId="26736" xr:uid="{00000000-0005-0000-0000-0000C3760000}"/>
    <cellStyle name="常规 9 2 2 4 2 3 4" xfId="3696" xr:uid="{00000000-0005-0000-0000-0000C4760000}"/>
    <cellStyle name="常规 9 2 2 4 2 3 4 2" xfId="9840" xr:uid="{00000000-0005-0000-0000-0000C5760000}"/>
    <cellStyle name="常规 9 2 2 4 2 3 4 2 2" xfId="22128" xr:uid="{00000000-0005-0000-0000-0000C6760000}"/>
    <cellStyle name="常规 9 2 2 4 2 3 4 2 2 2" xfId="46704" xr:uid="{00000000-0005-0000-0000-0000C7760000}"/>
    <cellStyle name="常规 9 2 2 4 2 3 4 2 3" xfId="34416" xr:uid="{00000000-0005-0000-0000-0000C8760000}"/>
    <cellStyle name="常规 9 2 2 4 2 3 4 3" xfId="15984" xr:uid="{00000000-0005-0000-0000-0000C9760000}"/>
    <cellStyle name="常规 9 2 2 4 2 3 4 3 2" xfId="40560" xr:uid="{00000000-0005-0000-0000-0000CA760000}"/>
    <cellStyle name="常规 9 2 2 4 2 3 4 4" xfId="28272" xr:uid="{00000000-0005-0000-0000-0000CB760000}"/>
    <cellStyle name="常规 9 2 2 4 2 3 5" xfId="6768" xr:uid="{00000000-0005-0000-0000-0000CC760000}"/>
    <cellStyle name="常规 9 2 2 4 2 3 5 2" xfId="19056" xr:uid="{00000000-0005-0000-0000-0000CD760000}"/>
    <cellStyle name="常规 9 2 2 4 2 3 5 2 2" xfId="43632" xr:uid="{00000000-0005-0000-0000-0000CE760000}"/>
    <cellStyle name="常规 9 2 2 4 2 3 5 3" xfId="31344" xr:uid="{00000000-0005-0000-0000-0000CF760000}"/>
    <cellStyle name="常规 9 2 2 4 2 3 6" xfId="12912" xr:uid="{00000000-0005-0000-0000-0000D0760000}"/>
    <cellStyle name="常规 9 2 2 4 2 3 6 2" xfId="37488" xr:uid="{00000000-0005-0000-0000-0000D1760000}"/>
    <cellStyle name="常规 9 2 2 4 2 3 7" xfId="25200" xr:uid="{00000000-0005-0000-0000-0000D2760000}"/>
    <cellStyle name="常规 9 2 2 4 2 4" xfId="1004" xr:uid="{00000000-0005-0000-0000-0000D3760000}"/>
    <cellStyle name="常规 9 2 2 4 2 4 2" xfId="2540" xr:uid="{00000000-0005-0000-0000-0000D4760000}"/>
    <cellStyle name="常规 9 2 2 4 2 4 2 2" xfId="5616" xr:uid="{00000000-0005-0000-0000-0000D5760000}"/>
    <cellStyle name="常规 9 2 2 4 2 4 2 2 2" xfId="11760" xr:uid="{00000000-0005-0000-0000-0000D6760000}"/>
    <cellStyle name="常规 9 2 2 4 2 4 2 2 2 2" xfId="24048" xr:uid="{00000000-0005-0000-0000-0000D7760000}"/>
    <cellStyle name="常规 9 2 2 4 2 4 2 2 2 2 2" xfId="48624" xr:uid="{00000000-0005-0000-0000-0000D8760000}"/>
    <cellStyle name="常规 9 2 2 4 2 4 2 2 2 3" xfId="36336" xr:uid="{00000000-0005-0000-0000-0000D9760000}"/>
    <cellStyle name="常规 9 2 2 4 2 4 2 2 3" xfId="17904" xr:uid="{00000000-0005-0000-0000-0000DA760000}"/>
    <cellStyle name="常规 9 2 2 4 2 4 2 2 3 2" xfId="42480" xr:uid="{00000000-0005-0000-0000-0000DB760000}"/>
    <cellStyle name="常规 9 2 2 4 2 4 2 2 4" xfId="30192" xr:uid="{00000000-0005-0000-0000-0000DC760000}"/>
    <cellStyle name="常规 9 2 2 4 2 4 2 3" xfId="8688" xr:uid="{00000000-0005-0000-0000-0000DD760000}"/>
    <cellStyle name="常规 9 2 2 4 2 4 2 3 2" xfId="20976" xr:uid="{00000000-0005-0000-0000-0000DE760000}"/>
    <cellStyle name="常规 9 2 2 4 2 4 2 3 2 2" xfId="45552" xr:uid="{00000000-0005-0000-0000-0000DF760000}"/>
    <cellStyle name="常规 9 2 2 4 2 4 2 3 3" xfId="33264" xr:uid="{00000000-0005-0000-0000-0000E0760000}"/>
    <cellStyle name="常规 9 2 2 4 2 4 2 4" xfId="14832" xr:uid="{00000000-0005-0000-0000-0000E1760000}"/>
    <cellStyle name="常规 9 2 2 4 2 4 2 4 2" xfId="39408" xr:uid="{00000000-0005-0000-0000-0000E2760000}"/>
    <cellStyle name="常规 9 2 2 4 2 4 2 5" xfId="27120" xr:uid="{00000000-0005-0000-0000-0000E3760000}"/>
    <cellStyle name="常规 9 2 2 4 2 4 3" xfId="4080" xr:uid="{00000000-0005-0000-0000-0000E4760000}"/>
    <cellStyle name="常规 9 2 2 4 2 4 3 2" xfId="10224" xr:uid="{00000000-0005-0000-0000-0000E5760000}"/>
    <cellStyle name="常规 9 2 2 4 2 4 3 2 2" xfId="22512" xr:uid="{00000000-0005-0000-0000-0000E6760000}"/>
    <cellStyle name="常规 9 2 2 4 2 4 3 2 2 2" xfId="47088" xr:uid="{00000000-0005-0000-0000-0000E7760000}"/>
    <cellStyle name="常规 9 2 2 4 2 4 3 2 3" xfId="34800" xr:uid="{00000000-0005-0000-0000-0000E8760000}"/>
    <cellStyle name="常规 9 2 2 4 2 4 3 3" xfId="16368" xr:uid="{00000000-0005-0000-0000-0000E9760000}"/>
    <cellStyle name="常规 9 2 2 4 2 4 3 3 2" xfId="40944" xr:uid="{00000000-0005-0000-0000-0000EA760000}"/>
    <cellStyle name="常规 9 2 2 4 2 4 3 4" xfId="28656" xr:uid="{00000000-0005-0000-0000-0000EB760000}"/>
    <cellStyle name="常规 9 2 2 4 2 4 4" xfId="7152" xr:uid="{00000000-0005-0000-0000-0000EC760000}"/>
    <cellStyle name="常规 9 2 2 4 2 4 4 2" xfId="19440" xr:uid="{00000000-0005-0000-0000-0000ED760000}"/>
    <cellStyle name="常规 9 2 2 4 2 4 4 2 2" xfId="44016" xr:uid="{00000000-0005-0000-0000-0000EE760000}"/>
    <cellStyle name="常规 9 2 2 4 2 4 4 3" xfId="31728" xr:uid="{00000000-0005-0000-0000-0000EF760000}"/>
    <cellStyle name="常规 9 2 2 4 2 4 5" xfId="13296" xr:uid="{00000000-0005-0000-0000-0000F0760000}"/>
    <cellStyle name="常规 9 2 2 4 2 4 5 2" xfId="37872" xr:uid="{00000000-0005-0000-0000-0000F1760000}"/>
    <cellStyle name="常规 9 2 2 4 2 4 6" xfId="25584" xr:uid="{00000000-0005-0000-0000-0000F2760000}"/>
    <cellStyle name="常规 9 2 2 4 2 5" xfId="1772" xr:uid="{00000000-0005-0000-0000-0000F3760000}"/>
    <cellStyle name="常规 9 2 2 4 2 5 2" xfId="4848" xr:uid="{00000000-0005-0000-0000-0000F4760000}"/>
    <cellStyle name="常规 9 2 2 4 2 5 2 2" xfId="10992" xr:uid="{00000000-0005-0000-0000-0000F5760000}"/>
    <cellStyle name="常规 9 2 2 4 2 5 2 2 2" xfId="23280" xr:uid="{00000000-0005-0000-0000-0000F6760000}"/>
    <cellStyle name="常规 9 2 2 4 2 5 2 2 2 2" xfId="47856" xr:uid="{00000000-0005-0000-0000-0000F7760000}"/>
    <cellStyle name="常规 9 2 2 4 2 5 2 2 3" xfId="35568" xr:uid="{00000000-0005-0000-0000-0000F8760000}"/>
    <cellStyle name="常规 9 2 2 4 2 5 2 3" xfId="17136" xr:uid="{00000000-0005-0000-0000-0000F9760000}"/>
    <cellStyle name="常规 9 2 2 4 2 5 2 3 2" xfId="41712" xr:uid="{00000000-0005-0000-0000-0000FA760000}"/>
    <cellStyle name="常规 9 2 2 4 2 5 2 4" xfId="29424" xr:uid="{00000000-0005-0000-0000-0000FB760000}"/>
    <cellStyle name="常规 9 2 2 4 2 5 3" xfId="7920" xr:uid="{00000000-0005-0000-0000-0000FC760000}"/>
    <cellStyle name="常规 9 2 2 4 2 5 3 2" xfId="20208" xr:uid="{00000000-0005-0000-0000-0000FD760000}"/>
    <cellStyle name="常规 9 2 2 4 2 5 3 2 2" xfId="44784" xr:uid="{00000000-0005-0000-0000-0000FE760000}"/>
    <cellStyle name="常规 9 2 2 4 2 5 3 3" xfId="32496" xr:uid="{00000000-0005-0000-0000-0000FF760000}"/>
    <cellStyle name="常规 9 2 2 4 2 5 4" xfId="14064" xr:uid="{00000000-0005-0000-0000-000000770000}"/>
    <cellStyle name="常规 9 2 2 4 2 5 4 2" xfId="38640" xr:uid="{00000000-0005-0000-0000-000001770000}"/>
    <cellStyle name="常规 9 2 2 4 2 5 5" xfId="26352" xr:uid="{00000000-0005-0000-0000-000002770000}"/>
    <cellStyle name="常规 9 2 2 4 2 6" xfId="3312" xr:uid="{00000000-0005-0000-0000-000003770000}"/>
    <cellStyle name="常规 9 2 2 4 2 6 2" xfId="9456" xr:uid="{00000000-0005-0000-0000-000004770000}"/>
    <cellStyle name="常规 9 2 2 4 2 6 2 2" xfId="21744" xr:uid="{00000000-0005-0000-0000-000005770000}"/>
    <cellStyle name="常规 9 2 2 4 2 6 2 2 2" xfId="46320" xr:uid="{00000000-0005-0000-0000-000006770000}"/>
    <cellStyle name="常规 9 2 2 4 2 6 2 3" xfId="34032" xr:uid="{00000000-0005-0000-0000-000007770000}"/>
    <cellStyle name="常规 9 2 2 4 2 6 3" xfId="15600" xr:uid="{00000000-0005-0000-0000-000008770000}"/>
    <cellStyle name="常规 9 2 2 4 2 6 3 2" xfId="40176" xr:uid="{00000000-0005-0000-0000-000009770000}"/>
    <cellStyle name="常规 9 2 2 4 2 6 4" xfId="27888" xr:uid="{00000000-0005-0000-0000-00000A770000}"/>
    <cellStyle name="常规 9 2 2 4 2 7" xfId="6384" xr:uid="{00000000-0005-0000-0000-00000B770000}"/>
    <cellStyle name="常规 9 2 2 4 2 7 2" xfId="18672" xr:uid="{00000000-0005-0000-0000-00000C770000}"/>
    <cellStyle name="常规 9 2 2 4 2 7 2 2" xfId="43248" xr:uid="{00000000-0005-0000-0000-00000D770000}"/>
    <cellStyle name="常规 9 2 2 4 2 7 3" xfId="30960" xr:uid="{00000000-0005-0000-0000-00000E770000}"/>
    <cellStyle name="常规 9 2 2 4 2 8" xfId="12528" xr:uid="{00000000-0005-0000-0000-00000F770000}"/>
    <cellStyle name="常规 9 2 2 4 2 8 2" xfId="37104" xr:uid="{00000000-0005-0000-0000-000010770000}"/>
    <cellStyle name="常规 9 2 2 4 2 9" xfId="24816" xr:uid="{00000000-0005-0000-0000-000011770000}"/>
    <cellStyle name="常规 9 2 2 4 3" xfId="300" xr:uid="{00000000-0005-0000-0000-000012770000}"/>
    <cellStyle name="常规 9 2 2 4 3 2" xfId="492" xr:uid="{00000000-0005-0000-0000-000013770000}"/>
    <cellStyle name="常规 9 2 2 4 3 2 2" xfId="876" xr:uid="{00000000-0005-0000-0000-000014770000}"/>
    <cellStyle name="常规 9 2 2 4 3 2 2 2" xfId="1644" xr:uid="{00000000-0005-0000-0000-000015770000}"/>
    <cellStyle name="常规 9 2 2 4 3 2 2 2 2" xfId="3180" xr:uid="{00000000-0005-0000-0000-000016770000}"/>
    <cellStyle name="常规 9 2 2 4 3 2 2 2 2 2" xfId="6256" xr:uid="{00000000-0005-0000-0000-000017770000}"/>
    <cellStyle name="常规 9 2 2 4 3 2 2 2 2 2 2" xfId="12400" xr:uid="{00000000-0005-0000-0000-000018770000}"/>
    <cellStyle name="常规 9 2 2 4 3 2 2 2 2 2 2 2" xfId="24688" xr:uid="{00000000-0005-0000-0000-000019770000}"/>
    <cellStyle name="常规 9 2 2 4 3 2 2 2 2 2 2 2 2" xfId="49264" xr:uid="{00000000-0005-0000-0000-00001A770000}"/>
    <cellStyle name="常规 9 2 2 4 3 2 2 2 2 2 2 3" xfId="36976" xr:uid="{00000000-0005-0000-0000-00001B770000}"/>
    <cellStyle name="常规 9 2 2 4 3 2 2 2 2 2 3" xfId="18544" xr:uid="{00000000-0005-0000-0000-00001C770000}"/>
    <cellStyle name="常规 9 2 2 4 3 2 2 2 2 2 3 2" xfId="43120" xr:uid="{00000000-0005-0000-0000-00001D770000}"/>
    <cellStyle name="常规 9 2 2 4 3 2 2 2 2 2 4" xfId="30832" xr:uid="{00000000-0005-0000-0000-00001E770000}"/>
    <cellStyle name="常规 9 2 2 4 3 2 2 2 2 3" xfId="9328" xr:uid="{00000000-0005-0000-0000-00001F770000}"/>
    <cellStyle name="常规 9 2 2 4 3 2 2 2 2 3 2" xfId="21616" xr:uid="{00000000-0005-0000-0000-000020770000}"/>
    <cellStyle name="常规 9 2 2 4 3 2 2 2 2 3 2 2" xfId="46192" xr:uid="{00000000-0005-0000-0000-000021770000}"/>
    <cellStyle name="常规 9 2 2 4 3 2 2 2 2 3 3" xfId="33904" xr:uid="{00000000-0005-0000-0000-000022770000}"/>
    <cellStyle name="常规 9 2 2 4 3 2 2 2 2 4" xfId="15472" xr:uid="{00000000-0005-0000-0000-000023770000}"/>
    <cellStyle name="常规 9 2 2 4 3 2 2 2 2 4 2" xfId="40048" xr:uid="{00000000-0005-0000-0000-000024770000}"/>
    <cellStyle name="常规 9 2 2 4 3 2 2 2 2 5" xfId="27760" xr:uid="{00000000-0005-0000-0000-000025770000}"/>
    <cellStyle name="常规 9 2 2 4 3 2 2 2 3" xfId="4720" xr:uid="{00000000-0005-0000-0000-000026770000}"/>
    <cellStyle name="常规 9 2 2 4 3 2 2 2 3 2" xfId="10864" xr:uid="{00000000-0005-0000-0000-000027770000}"/>
    <cellStyle name="常规 9 2 2 4 3 2 2 2 3 2 2" xfId="23152" xr:uid="{00000000-0005-0000-0000-000028770000}"/>
    <cellStyle name="常规 9 2 2 4 3 2 2 2 3 2 2 2" xfId="47728" xr:uid="{00000000-0005-0000-0000-000029770000}"/>
    <cellStyle name="常规 9 2 2 4 3 2 2 2 3 2 3" xfId="35440" xr:uid="{00000000-0005-0000-0000-00002A770000}"/>
    <cellStyle name="常规 9 2 2 4 3 2 2 2 3 3" xfId="17008" xr:uid="{00000000-0005-0000-0000-00002B770000}"/>
    <cellStyle name="常规 9 2 2 4 3 2 2 2 3 3 2" xfId="41584" xr:uid="{00000000-0005-0000-0000-00002C770000}"/>
    <cellStyle name="常规 9 2 2 4 3 2 2 2 3 4" xfId="29296" xr:uid="{00000000-0005-0000-0000-00002D770000}"/>
    <cellStyle name="常规 9 2 2 4 3 2 2 2 4" xfId="7792" xr:uid="{00000000-0005-0000-0000-00002E770000}"/>
    <cellStyle name="常规 9 2 2 4 3 2 2 2 4 2" xfId="20080" xr:uid="{00000000-0005-0000-0000-00002F770000}"/>
    <cellStyle name="常规 9 2 2 4 3 2 2 2 4 2 2" xfId="44656" xr:uid="{00000000-0005-0000-0000-000030770000}"/>
    <cellStyle name="常规 9 2 2 4 3 2 2 2 4 3" xfId="32368" xr:uid="{00000000-0005-0000-0000-000031770000}"/>
    <cellStyle name="常规 9 2 2 4 3 2 2 2 5" xfId="13936" xr:uid="{00000000-0005-0000-0000-000032770000}"/>
    <cellStyle name="常规 9 2 2 4 3 2 2 2 5 2" xfId="38512" xr:uid="{00000000-0005-0000-0000-000033770000}"/>
    <cellStyle name="常规 9 2 2 4 3 2 2 2 6" xfId="26224" xr:uid="{00000000-0005-0000-0000-000034770000}"/>
    <cellStyle name="常规 9 2 2 4 3 2 2 3" xfId="2412" xr:uid="{00000000-0005-0000-0000-000035770000}"/>
    <cellStyle name="常规 9 2 2 4 3 2 2 3 2" xfId="5488" xr:uid="{00000000-0005-0000-0000-000036770000}"/>
    <cellStyle name="常规 9 2 2 4 3 2 2 3 2 2" xfId="11632" xr:uid="{00000000-0005-0000-0000-000037770000}"/>
    <cellStyle name="常规 9 2 2 4 3 2 2 3 2 2 2" xfId="23920" xr:uid="{00000000-0005-0000-0000-000038770000}"/>
    <cellStyle name="常规 9 2 2 4 3 2 2 3 2 2 2 2" xfId="48496" xr:uid="{00000000-0005-0000-0000-000039770000}"/>
    <cellStyle name="常规 9 2 2 4 3 2 2 3 2 2 3" xfId="36208" xr:uid="{00000000-0005-0000-0000-00003A770000}"/>
    <cellStyle name="常规 9 2 2 4 3 2 2 3 2 3" xfId="17776" xr:uid="{00000000-0005-0000-0000-00003B770000}"/>
    <cellStyle name="常规 9 2 2 4 3 2 2 3 2 3 2" xfId="42352" xr:uid="{00000000-0005-0000-0000-00003C770000}"/>
    <cellStyle name="常规 9 2 2 4 3 2 2 3 2 4" xfId="30064" xr:uid="{00000000-0005-0000-0000-00003D770000}"/>
    <cellStyle name="常规 9 2 2 4 3 2 2 3 3" xfId="8560" xr:uid="{00000000-0005-0000-0000-00003E770000}"/>
    <cellStyle name="常规 9 2 2 4 3 2 2 3 3 2" xfId="20848" xr:uid="{00000000-0005-0000-0000-00003F770000}"/>
    <cellStyle name="常规 9 2 2 4 3 2 2 3 3 2 2" xfId="45424" xr:uid="{00000000-0005-0000-0000-000040770000}"/>
    <cellStyle name="常规 9 2 2 4 3 2 2 3 3 3" xfId="33136" xr:uid="{00000000-0005-0000-0000-000041770000}"/>
    <cellStyle name="常规 9 2 2 4 3 2 2 3 4" xfId="14704" xr:uid="{00000000-0005-0000-0000-000042770000}"/>
    <cellStyle name="常规 9 2 2 4 3 2 2 3 4 2" xfId="39280" xr:uid="{00000000-0005-0000-0000-000043770000}"/>
    <cellStyle name="常规 9 2 2 4 3 2 2 3 5" xfId="26992" xr:uid="{00000000-0005-0000-0000-000044770000}"/>
    <cellStyle name="常规 9 2 2 4 3 2 2 4" xfId="3952" xr:uid="{00000000-0005-0000-0000-000045770000}"/>
    <cellStyle name="常规 9 2 2 4 3 2 2 4 2" xfId="10096" xr:uid="{00000000-0005-0000-0000-000046770000}"/>
    <cellStyle name="常规 9 2 2 4 3 2 2 4 2 2" xfId="22384" xr:uid="{00000000-0005-0000-0000-000047770000}"/>
    <cellStyle name="常规 9 2 2 4 3 2 2 4 2 2 2" xfId="46960" xr:uid="{00000000-0005-0000-0000-000048770000}"/>
    <cellStyle name="常规 9 2 2 4 3 2 2 4 2 3" xfId="34672" xr:uid="{00000000-0005-0000-0000-000049770000}"/>
    <cellStyle name="常规 9 2 2 4 3 2 2 4 3" xfId="16240" xr:uid="{00000000-0005-0000-0000-00004A770000}"/>
    <cellStyle name="常规 9 2 2 4 3 2 2 4 3 2" xfId="40816" xr:uid="{00000000-0005-0000-0000-00004B770000}"/>
    <cellStyle name="常规 9 2 2 4 3 2 2 4 4" xfId="28528" xr:uid="{00000000-0005-0000-0000-00004C770000}"/>
    <cellStyle name="常规 9 2 2 4 3 2 2 5" xfId="7024" xr:uid="{00000000-0005-0000-0000-00004D770000}"/>
    <cellStyle name="常规 9 2 2 4 3 2 2 5 2" xfId="19312" xr:uid="{00000000-0005-0000-0000-00004E770000}"/>
    <cellStyle name="常规 9 2 2 4 3 2 2 5 2 2" xfId="43888" xr:uid="{00000000-0005-0000-0000-00004F770000}"/>
    <cellStyle name="常规 9 2 2 4 3 2 2 5 3" xfId="31600" xr:uid="{00000000-0005-0000-0000-000050770000}"/>
    <cellStyle name="常规 9 2 2 4 3 2 2 6" xfId="13168" xr:uid="{00000000-0005-0000-0000-000051770000}"/>
    <cellStyle name="常规 9 2 2 4 3 2 2 6 2" xfId="37744" xr:uid="{00000000-0005-0000-0000-000052770000}"/>
    <cellStyle name="常规 9 2 2 4 3 2 2 7" xfId="25456" xr:uid="{00000000-0005-0000-0000-000053770000}"/>
    <cellStyle name="常规 9 2 2 4 3 2 3" xfId="1260" xr:uid="{00000000-0005-0000-0000-000054770000}"/>
    <cellStyle name="常规 9 2 2 4 3 2 3 2" xfId="2796" xr:uid="{00000000-0005-0000-0000-000055770000}"/>
    <cellStyle name="常规 9 2 2 4 3 2 3 2 2" xfId="5872" xr:uid="{00000000-0005-0000-0000-000056770000}"/>
    <cellStyle name="常规 9 2 2 4 3 2 3 2 2 2" xfId="12016" xr:uid="{00000000-0005-0000-0000-000057770000}"/>
    <cellStyle name="常规 9 2 2 4 3 2 3 2 2 2 2" xfId="24304" xr:uid="{00000000-0005-0000-0000-000058770000}"/>
    <cellStyle name="常规 9 2 2 4 3 2 3 2 2 2 2 2" xfId="48880" xr:uid="{00000000-0005-0000-0000-000059770000}"/>
    <cellStyle name="常规 9 2 2 4 3 2 3 2 2 2 3" xfId="36592" xr:uid="{00000000-0005-0000-0000-00005A770000}"/>
    <cellStyle name="常规 9 2 2 4 3 2 3 2 2 3" xfId="18160" xr:uid="{00000000-0005-0000-0000-00005B770000}"/>
    <cellStyle name="常规 9 2 2 4 3 2 3 2 2 3 2" xfId="42736" xr:uid="{00000000-0005-0000-0000-00005C770000}"/>
    <cellStyle name="常规 9 2 2 4 3 2 3 2 2 4" xfId="30448" xr:uid="{00000000-0005-0000-0000-00005D770000}"/>
    <cellStyle name="常规 9 2 2 4 3 2 3 2 3" xfId="8944" xr:uid="{00000000-0005-0000-0000-00005E770000}"/>
    <cellStyle name="常规 9 2 2 4 3 2 3 2 3 2" xfId="21232" xr:uid="{00000000-0005-0000-0000-00005F770000}"/>
    <cellStyle name="常规 9 2 2 4 3 2 3 2 3 2 2" xfId="45808" xr:uid="{00000000-0005-0000-0000-000060770000}"/>
    <cellStyle name="常规 9 2 2 4 3 2 3 2 3 3" xfId="33520" xr:uid="{00000000-0005-0000-0000-000061770000}"/>
    <cellStyle name="常规 9 2 2 4 3 2 3 2 4" xfId="15088" xr:uid="{00000000-0005-0000-0000-000062770000}"/>
    <cellStyle name="常规 9 2 2 4 3 2 3 2 4 2" xfId="39664" xr:uid="{00000000-0005-0000-0000-000063770000}"/>
    <cellStyle name="常规 9 2 2 4 3 2 3 2 5" xfId="27376" xr:uid="{00000000-0005-0000-0000-000064770000}"/>
    <cellStyle name="常规 9 2 2 4 3 2 3 3" xfId="4336" xr:uid="{00000000-0005-0000-0000-000065770000}"/>
    <cellStyle name="常规 9 2 2 4 3 2 3 3 2" xfId="10480" xr:uid="{00000000-0005-0000-0000-000066770000}"/>
    <cellStyle name="常规 9 2 2 4 3 2 3 3 2 2" xfId="22768" xr:uid="{00000000-0005-0000-0000-000067770000}"/>
    <cellStyle name="常规 9 2 2 4 3 2 3 3 2 2 2" xfId="47344" xr:uid="{00000000-0005-0000-0000-000068770000}"/>
    <cellStyle name="常规 9 2 2 4 3 2 3 3 2 3" xfId="35056" xr:uid="{00000000-0005-0000-0000-000069770000}"/>
    <cellStyle name="常规 9 2 2 4 3 2 3 3 3" xfId="16624" xr:uid="{00000000-0005-0000-0000-00006A770000}"/>
    <cellStyle name="常规 9 2 2 4 3 2 3 3 3 2" xfId="41200" xr:uid="{00000000-0005-0000-0000-00006B770000}"/>
    <cellStyle name="常规 9 2 2 4 3 2 3 3 4" xfId="28912" xr:uid="{00000000-0005-0000-0000-00006C770000}"/>
    <cellStyle name="常规 9 2 2 4 3 2 3 4" xfId="7408" xr:uid="{00000000-0005-0000-0000-00006D770000}"/>
    <cellStyle name="常规 9 2 2 4 3 2 3 4 2" xfId="19696" xr:uid="{00000000-0005-0000-0000-00006E770000}"/>
    <cellStyle name="常规 9 2 2 4 3 2 3 4 2 2" xfId="44272" xr:uid="{00000000-0005-0000-0000-00006F770000}"/>
    <cellStyle name="常规 9 2 2 4 3 2 3 4 3" xfId="31984" xr:uid="{00000000-0005-0000-0000-000070770000}"/>
    <cellStyle name="常规 9 2 2 4 3 2 3 5" xfId="13552" xr:uid="{00000000-0005-0000-0000-000071770000}"/>
    <cellStyle name="常规 9 2 2 4 3 2 3 5 2" xfId="38128" xr:uid="{00000000-0005-0000-0000-000072770000}"/>
    <cellStyle name="常规 9 2 2 4 3 2 3 6" xfId="25840" xr:uid="{00000000-0005-0000-0000-000073770000}"/>
    <cellStyle name="常规 9 2 2 4 3 2 4" xfId="2028" xr:uid="{00000000-0005-0000-0000-000074770000}"/>
    <cellStyle name="常规 9 2 2 4 3 2 4 2" xfId="5104" xr:uid="{00000000-0005-0000-0000-000075770000}"/>
    <cellStyle name="常规 9 2 2 4 3 2 4 2 2" xfId="11248" xr:uid="{00000000-0005-0000-0000-000076770000}"/>
    <cellStyle name="常规 9 2 2 4 3 2 4 2 2 2" xfId="23536" xr:uid="{00000000-0005-0000-0000-000077770000}"/>
    <cellStyle name="常规 9 2 2 4 3 2 4 2 2 2 2" xfId="48112" xr:uid="{00000000-0005-0000-0000-000078770000}"/>
    <cellStyle name="常规 9 2 2 4 3 2 4 2 2 3" xfId="35824" xr:uid="{00000000-0005-0000-0000-000079770000}"/>
    <cellStyle name="常规 9 2 2 4 3 2 4 2 3" xfId="17392" xr:uid="{00000000-0005-0000-0000-00007A770000}"/>
    <cellStyle name="常规 9 2 2 4 3 2 4 2 3 2" xfId="41968" xr:uid="{00000000-0005-0000-0000-00007B770000}"/>
    <cellStyle name="常规 9 2 2 4 3 2 4 2 4" xfId="29680" xr:uid="{00000000-0005-0000-0000-00007C770000}"/>
    <cellStyle name="常规 9 2 2 4 3 2 4 3" xfId="8176" xr:uid="{00000000-0005-0000-0000-00007D770000}"/>
    <cellStyle name="常规 9 2 2 4 3 2 4 3 2" xfId="20464" xr:uid="{00000000-0005-0000-0000-00007E770000}"/>
    <cellStyle name="常规 9 2 2 4 3 2 4 3 2 2" xfId="45040" xr:uid="{00000000-0005-0000-0000-00007F770000}"/>
    <cellStyle name="常规 9 2 2 4 3 2 4 3 3" xfId="32752" xr:uid="{00000000-0005-0000-0000-000080770000}"/>
    <cellStyle name="常规 9 2 2 4 3 2 4 4" xfId="14320" xr:uid="{00000000-0005-0000-0000-000081770000}"/>
    <cellStyle name="常规 9 2 2 4 3 2 4 4 2" xfId="38896" xr:uid="{00000000-0005-0000-0000-000082770000}"/>
    <cellStyle name="常规 9 2 2 4 3 2 4 5" xfId="26608" xr:uid="{00000000-0005-0000-0000-000083770000}"/>
    <cellStyle name="常规 9 2 2 4 3 2 5" xfId="3568" xr:uid="{00000000-0005-0000-0000-000084770000}"/>
    <cellStyle name="常规 9 2 2 4 3 2 5 2" xfId="9712" xr:uid="{00000000-0005-0000-0000-000085770000}"/>
    <cellStyle name="常规 9 2 2 4 3 2 5 2 2" xfId="22000" xr:uid="{00000000-0005-0000-0000-000086770000}"/>
    <cellStyle name="常规 9 2 2 4 3 2 5 2 2 2" xfId="46576" xr:uid="{00000000-0005-0000-0000-000087770000}"/>
    <cellStyle name="常规 9 2 2 4 3 2 5 2 3" xfId="34288" xr:uid="{00000000-0005-0000-0000-000088770000}"/>
    <cellStyle name="常规 9 2 2 4 3 2 5 3" xfId="15856" xr:uid="{00000000-0005-0000-0000-000089770000}"/>
    <cellStyle name="常规 9 2 2 4 3 2 5 3 2" xfId="40432" xr:uid="{00000000-0005-0000-0000-00008A770000}"/>
    <cellStyle name="常规 9 2 2 4 3 2 5 4" xfId="28144" xr:uid="{00000000-0005-0000-0000-00008B770000}"/>
    <cellStyle name="常规 9 2 2 4 3 2 6" xfId="6640" xr:uid="{00000000-0005-0000-0000-00008C770000}"/>
    <cellStyle name="常规 9 2 2 4 3 2 6 2" xfId="18928" xr:uid="{00000000-0005-0000-0000-00008D770000}"/>
    <cellStyle name="常规 9 2 2 4 3 2 6 2 2" xfId="43504" xr:uid="{00000000-0005-0000-0000-00008E770000}"/>
    <cellStyle name="常规 9 2 2 4 3 2 6 3" xfId="31216" xr:uid="{00000000-0005-0000-0000-00008F770000}"/>
    <cellStyle name="常规 9 2 2 4 3 2 7" xfId="12784" xr:uid="{00000000-0005-0000-0000-000090770000}"/>
    <cellStyle name="常规 9 2 2 4 3 2 7 2" xfId="37360" xr:uid="{00000000-0005-0000-0000-000091770000}"/>
    <cellStyle name="常规 9 2 2 4 3 2 8" xfId="25072" xr:uid="{00000000-0005-0000-0000-000092770000}"/>
    <cellStyle name="常规 9 2 2 4 3 3" xfId="684" xr:uid="{00000000-0005-0000-0000-000093770000}"/>
    <cellStyle name="常规 9 2 2 4 3 3 2" xfId="1452" xr:uid="{00000000-0005-0000-0000-000094770000}"/>
    <cellStyle name="常规 9 2 2 4 3 3 2 2" xfId="2988" xr:uid="{00000000-0005-0000-0000-000095770000}"/>
    <cellStyle name="常规 9 2 2 4 3 3 2 2 2" xfId="6064" xr:uid="{00000000-0005-0000-0000-000096770000}"/>
    <cellStyle name="常规 9 2 2 4 3 3 2 2 2 2" xfId="12208" xr:uid="{00000000-0005-0000-0000-000097770000}"/>
    <cellStyle name="常规 9 2 2 4 3 3 2 2 2 2 2" xfId="24496" xr:uid="{00000000-0005-0000-0000-000098770000}"/>
    <cellStyle name="常规 9 2 2 4 3 3 2 2 2 2 2 2" xfId="49072" xr:uid="{00000000-0005-0000-0000-000099770000}"/>
    <cellStyle name="常规 9 2 2 4 3 3 2 2 2 2 3" xfId="36784" xr:uid="{00000000-0005-0000-0000-00009A770000}"/>
    <cellStyle name="常规 9 2 2 4 3 3 2 2 2 3" xfId="18352" xr:uid="{00000000-0005-0000-0000-00009B770000}"/>
    <cellStyle name="常规 9 2 2 4 3 3 2 2 2 3 2" xfId="42928" xr:uid="{00000000-0005-0000-0000-00009C770000}"/>
    <cellStyle name="常规 9 2 2 4 3 3 2 2 2 4" xfId="30640" xr:uid="{00000000-0005-0000-0000-00009D770000}"/>
    <cellStyle name="常规 9 2 2 4 3 3 2 2 3" xfId="9136" xr:uid="{00000000-0005-0000-0000-00009E770000}"/>
    <cellStyle name="常规 9 2 2 4 3 3 2 2 3 2" xfId="21424" xr:uid="{00000000-0005-0000-0000-00009F770000}"/>
    <cellStyle name="常规 9 2 2 4 3 3 2 2 3 2 2" xfId="46000" xr:uid="{00000000-0005-0000-0000-0000A0770000}"/>
    <cellStyle name="常规 9 2 2 4 3 3 2 2 3 3" xfId="33712" xr:uid="{00000000-0005-0000-0000-0000A1770000}"/>
    <cellStyle name="常规 9 2 2 4 3 3 2 2 4" xfId="15280" xr:uid="{00000000-0005-0000-0000-0000A2770000}"/>
    <cellStyle name="常规 9 2 2 4 3 3 2 2 4 2" xfId="39856" xr:uid="{00000000-0005-0000-0000-0000A3770000}"/>
    <cellStyle name="常规 9 2 2 4 3 3 2 2 5" xfId="27568" xr:uid="{00000000-0005-0000-0000-0000A4770000}"/>
    <cellStyle name="常规 9 2 2 4 3 3 2 3" xfId="4528" xr:uid="{00000000-0005-0000-0000-0000A5770000}"/>
    <cellStyle name="常规 9 2 2 4 3 3 2 3 2" xfId="10672" xr:uid="{00000000-0005-0000-0000-0000A6770000}"/>
    <cellStyle name="常规 9 2 2 4 3 3 2 3 2 2" xfId="22960" xr:uid="{00000000-0005-0000-0000-0000A7770000}"/>
    <cellStyle name="常规 9 2 2 4 3 3 2 3 2 2 2" xfId="47536" xr:uid="{00000000-0005-0000-0000-0000A8770000}"/>
    <cellStyle name="常规 9 2 2 4 3 3 2 3 2 3" xfId="35248" xr:uid="{00000000-0005-0000-0000-0000A9770000}"/>
    <cellStyle name="常规 9 2 2 4 3 3 2 3 3" xfId="16816" xr:uid="{00000000-0005-0000-0000-0000AA770000}"/>
    <cellStyle name="常规 9 2 2 4 3 3 2 3 3 2" xfId="41392" xr:uid="{00000000-0005-0000-0000-0000AB770000}"/>
    <cellStyle name="常规 9 2 2 4 3 3 2 3 4" xfId="29104" xr:uid="{00000000-0005-0000-0000-0000AC770000}"/>
    <cellStyle name="常规 9 2 2 4 3 3 2 4" xfId="7600" xr:uid="{00000000-0005-0000-0000-0000AD770000}"/>
    <cellStyle name="常规 9 2 2 4 3 3 2 4 2" xfId="19888" xr:uid="{00000000-0005-0000-0000-0000AE770000}"/>
    <cellStyle name="常规 9 2 2 4 3 3 2 4 2 2" xfId="44464" xr:uid="{00000000-0005-0000-0000-0000AF770000}"/>
    <cellStyle name="常规 9 2 2 4 3 3 2 4 3" xfId="32176" xr:uid="{00000000-0005-0000-0000-0000B0770000}"/>
    <cellStyle name="常规 9 2 2 4 3 3 2 5" xfId="13744" xr:uid="{00000000-0005-0000-0000-0000B1770000}"/>
    <cellStyle name="常规 9 2 2 4 3 3 2 5 2" xfId="38320" xr:uid="{00000000-0005-0000-0000-0000B2770000}"/>
    <cellStyle name="常规 9 2 2 4 3 3 2 6" xfId="26032" xr:uid="{00000000-0005-0000-0000-0000B3770000}"/>
    <cellStyle name="常规 9 2 2 4 3 3 3" xfId="2220" xr:uid="{00000000-0005-0000-0000-0000B4770000}"/>
    <cellStyle name="常规 9 2 2 4 3 3 3 2" xfId="5296" xr:uid="{00000000-0005-0000-0000-0000B5770000}"/>
    <cellStyle name="常规 9 2 2 4 3 3 3 2 2" xfId="11440" xr:uid="{00000000-0005-0000-0000-0000B6770000}"/>
    <cellStyle name="常规 9 2 2 4 3 3 3 2 2 2" xfId="23728" xr:uid="{00000000-0005-0000-0000-0000B7770000}"/>
    <cellStyle name="常规 9 2 2 4 3 3 3 2 2 2 2" xfId="48304" xr:uid="{00000000-0005-0000-0000-0000B8770000}"/>
    <cellStyle name="常规 9 2 2 4 3 3 3 2 2 3" xfId="36016" xr:uid="{00000000-0005-0000-0000-0000B9770000}"/>
    <cellStyle name="常规 9 2 2 4 3 3 3 2 3" xfId="17584" xr:uid="{00000000-0005-0000-0000-0000BA770000}"/>
    <cellStyle name="常规 9 2 2 4 3 3 3 2 3 2" xfId="42160" xr:uid="{00000000-0005-0000-0000-0000BB770000}"/>
    <cellStyle name="常规 9 2 2 4 3 3 3 2 4" xfId="29872" xr:uid="{00000000-0005-0000-0000-0000BC770000}"/>
    <cellStyle name="常规 9 2 2 4 3 3 3 3" xfId="8368" xr:uid="{00000000-0005-0000-0000-0000BD770000}"/>
    <cellStyle name="常规 9 2 2 4 3 3 3 3 2" xfId="20656" xr:uid="{00000000-0005-0000-0000-0000BE770000}"/>
    <cellStyle name="常规 9 2 2 4 3 3 3 3 2 2" xfId="45232" xr:uid="{00000000-0005-0000-0000-0000BF770000}"/>
    <cellStyle name="常规 9 2 2 4 3 3 3 3 3" xfId="32944" xr:uid="{00000000-0005-0000-0000-0000C0770000}"/>
    <cellStyle name="常规 9 2 2 4 3 3 3 4" xfId="14512" xr:uid="{00000000-0005-0000-0000-0000C1770000}"/>
    <cellStyle name="常规 9 2 2 4 3 3 3 4 2" xfId="39088" xr:uid="{00000000-0005-0000-0000-0000C2770000}"/>
    <cellStyle name="常规 9 2 2 4 3 3 3 5" xfId="26800" xr:uid="{00000000-0005-0000-0000-0000C3770000}"/>
    <cellStyle name="常规 9 2 2 4 3 3 4" xfId="3760" xr:uid="{00000000-0005-0000-0000-0000C4770000}"/>
    <cellStyle name="常规 9 2 2 4 3 3 4 2" xfId="9904" xr:uid="{00000000-0005-0000-0000-0000C5770000}"/>
    <cellStyle name="常规 9 2 2 4 3 3 4 2 2" xfId="22192" xr:uid="{00000000-0005-0000-0000-0000C6770000}"/>
    <cellStyle name="常规 9 2 2 4 3 3 4 2 2 2" xfId="46768" xr:uid="{00000000-0005-0000-0000-0000C7770000}"/>
    <cellStyle name="常规 9 2 2 4 3 3 4 2 3" xfId="34480" xr:uid="{00000000-0005-0000-0000-0000C8770000}"/>
    <cellStyle name="常规 9 2 2 4 3 3 4 3" xfId="16048" xr:uid="{00000000-0005-0000-0000-0000C9770000}"/>
    <cellStyle name="常规 9 2 2 4 3 3 4 3 2" xfId="40624" xr:uid="{00000000-0005-0000-0000-0000CA770000}"/>
    <cellStyle name="常规 9 2 2 4 3 3 4 4" xfId="28336" xr:uid="{00000000-0005-0000-0000-0000CB770000}"/>
    <cellStyle name="常规 9 2 2 4 3 3 5" xfId="6832" xr:uid="{00000000-0005-0000-0000-0000CC770000}"/>
    <cellStyle name="常规 9 2 2 4 3 3 5 2" xfId="19120" xr:uid="{00000000-0005-0000-0000-0000CD770000}"/>
    <cellStyle name="常规 9 2 2 4 3 3 5 2 2" xfId="43696" xr:uid="{00000000-0005-0000-0000-0000CE770000}"/>
    <cellStyle name="常规 9 2 2 4 3 3 5 3" xfId="31408" xr:uid="{00000000-0005-0000-0000-0000CF770000}"/>
    <cellStyle name="常规 9 2 2 4 3 3 6" xfId="12976" xr:uid="{00000000-0005-0000-0000-0000D0770000}"/>
    <cellStyle name="常规 9 2 2 4 3 3 6 2" xfId="37552" xr:uid="{00000000-0005-0000-0000-0000D1770000}"/>
    <cellStyle name="常规 9 2 2 4 3 3 7" xfId="25264" xr:uid="{00000000-0005-0000-0000-0000D2770000}"/>
    <cellStyle name="常规 9 2 2 4 3 4" xfId="1068" xr:uid="{00000000-0005-0000-0000-0000D3770000}"/>
    <cellStyle name="常规 9 2 2 4 3 4 2" xfId="2604" xr:uid="{00000000-0005-0000-0000-0000D4770000}"/>
    <cellStyle name="常规 9 2 2 4 3 4 2 2" xfId="5680" xr:uid="{00000000-0005-0000-0000-0000D5770000}"/>
    <cellStyle name="常规 9 2 2 4 3 4 2 2 2" xfId="11824" xr:uid="{00000000-0005-0000-0000-0000D6770000}"/>
    <cellStyle name="常规 9 2 2 4 3 4 2 2 2 2" xfId="24112" xr:uid="{00000000-0005-0000-0000-0000D7770000}"/>
    <cellStyle name="常规 9 2 2 4 3 4 2 2 2 2 2" xfId="48688" xr:uid="{00000000-0005-0000-0000-0000D8770000}"/>
    <cellStyle name="常规 9 2 2 4 3 4 2 2 2 3" xfId="36400" xr:uid="{00000000-0005-0000-0000-0000D9770000}"/>
    <cellStyle name="常规 9 2 2 4 3 4 2 2 3" xfId="17968" xr:uid="{00000000-0005-0000-0000-0000DA770000}"/>
    <cellStyle name="常规 9 2 2 4 3 4 2 2 3 2" xfId="42544" xr:uid="{00000000-0005-0000-0000-0000DB770000}"/>
    <cellStyle name="常规 9 2 2 4 3 4 2 2 4" xfId="30256" xr:uid="{00000000-0005-0000-0000-0000DC770000}"/>
    <cellStyle name="常规 9 2 2 4 3 4 2 3" xfId="8752" xr:uid="{00000000-0005-0000-0000-0000DD770000}"/>
    <cellStyle name="常规 9 2 2 4 3 4 2 3 2" xfId="21040" xr:uid="{00000000-0005-0000-0000-0000DE770000}"/>
    <cellStyle name="常规 9 2 2 4 3 4 2 3 2 2" xfId="45616" xr:uid="{00000000-0005-0000-0000-0000DF770000}"/>
    <cellStyle name="常规 9 2 2 4 3 4 2 3 3" xfId="33328" xr:uid="{00000000-0005-0000-0000-0000E0770000}"/>
    <cellStyle name="常规 9 2 2 4 3 4 2 4" xfId="14896" xr:uid="{00000000-0005-0000-0000-0000E1770000}"/>
    <cellStyle name="常规 9 2 2 4 3 4 2 4 2" xfId="39472" xr:uid="{00000000-0005-0000-0000-0000E2770000}"/>
    <cellStyle name="常规 9 2 2 4 3 4 2 5" xfId="27184" xr:uid="{00000000-0005-0000-0000-0000E3770000}"/>
    <cellStyle name="常规 9 2 2 4 3 4 3" xfId="4144" xr:uid="{00000000-0005-0000-0000-0000E4770000}"/>
    <cellStyle name="常规 9 2 2 4 3 4 3 2" xfId="10288" xr:uid="{00000000-0005-0000-0000-0000E5770000}"/>
    <cellStyle name="常规 9 2 2 4 3 4 3 2 2" xfId="22576" xr:uid="{00000000-0005-0000-0000-0000E6770000}"/>
    <cellStyle name="常规 9 2 2 4 3 4 3 2 2 2" xfId="47152" xr:uid="{00000000-0005-0000-0000-0000E7770000}"/>
    <cellStyle name="常规 9 2 2 4 3 4 3 2 3" xfId="34864" xr:uid="{00000000-0005-0000-0000-0000E8770000}"/>
    <cellStyle name="常规 9 2 2 4 3 4 3 3" xfId="16432" xr:uid="{00000000-0005-0000-0000-0000E9770000}"/>
    <cellStyle name="常规 9 2 2 4 3 4 3 3 2" xfId="41008" xr:uid="{00000000-0005-0000-0000-0000EA770000}"/>
    <cellStyle name="常规 9 2 2 4 3 4 3 4" xfId="28720" xr:uid="{00000000-0005-0000-0000-0000EB770000}"/>
    <cellStyle name="常规 9 2 2 4 3 4 4" xfId="7216" xr:uid="{00000000-0005-0000-0000-0000EC770000}"/>
    <cellStyle name="常规 9 2 2 4 3 4 4 2" xfId="19504" xr:uid="{00000000-0005-0000-0000-0000ED770000}"/>
    <cellStyle name="常规 9 2 2 4 3 4 4 2 2" xfId="44080" xr:uid="{00000000-0005-0000-0000-0000EE770000}"/>
    <cellStyle name="常规 9 2 2 4 3 4 4 3" xfId="31792" xr:uid="{00000000-0005-0000-0000-0000EF770000}"/>
    <cellStyle name="常规 9 2 2 4 3 4 5" xfId="13360" xr:uid="{00000000-0005-0000-0000-0000F0770000}"/>
    <cellStyle name="常规 9 2 2 4 3 4 5 2" xfId="37936" xr:uid="{00000000-0005-0000-0000-0000F1770000}"/>
    <cellStyle name="常规 9 2 2 4 3 4 6" xfId="25648" xr:uid="{00000000-0005-0000-0000-0000F2770000}"/>
    <cellStyle name="常规 9 2 2 4 3 5" xfId="1836" xr:uid="{00000000-0005-0000-0000-0000F3770000}"/>
    <cellStyle name="常规 9 2 2 4 3 5 2" xfId="4912" xr:uid="{00000000-0005-0000-0000-0000F4770000}"/>
    <cellStyle name="常规 9 2 2 4 3 5 2 2" xfId="11056" xr:uid="{00000000-0005-0000-0000-0000F5770000}"/>
    <cellStyle name="常规 9 2 2 4 3 5 2 2 2" xfId="23344" xr:uid="{00000000-0005-0000-0000-0000F6770000}"/>
    <cellStyle name="常规 9 2 2 4 3 5 2 2 2 2" xfId="47920" xr:uid="{00000000-0005-0000-0000-0000F7770000}"/>
    <cellStyle name="常规 9 2 2 4 3 5 2 2 3" xfId="35632" xr:uid="{00000000-0005-0000-0000-0000F8770000}"/>
    <cellStyle name="常规 9 2 2 4 3 5 2 3" xfId="17200" xr:uid="{00000000-0005-0000-0000-0000F9770000}"/>
    <cellStyle name="常规 9 2 2 4 3 5 2 3 2" xfId="41776" xr:uid="{00000000-0005-0000-0000-0000FA770000}"/>
    <cellStyle name="常规 9 2 2 4 3 5 2 4" xfId="29488" xr:uid="{00000000-0005-0000-0000-0000FB770000}"/>
    <cellStyle name="常规 9 2 2 4 3 5 3" xfId="7984" xr:uid="{00000000-0005-0000-0000-0000FC770000}"/>
    <cellStyle name="常规 9 2 2 4 3 5 3 2" xfId="20272" xr:uid="{00000000-0005-0000-0000-0000FD770000}"/>
    <cellStyle name="常规 9 2 2 4 3 5 3 2 2" xfId="44848" xr:uid="{00000000-0005-0000-0000-0000FE770000}"/>
    <cellStyle name="常规 9 2 2 4 3 5 3 3" xfId="32560" xr:uid="{00000000-0005-0000-0000-0000FF770000}"/>
    <cellStyle name="常规 9 2 2 4 3 5 4" xfId="14128" xr:uid="{00000000-0005-0000-0000-000000780000}"/>
    <cellStyle name="常规 9 2 2 4 3 5 4 2" xfId="38704" xr:uid="{00000000-0005-0000-0000-000001780000}"/>
    <cellStyle name="常规 9 2 2 4 3 5 5" xfId="26416" xr:uid="{00000000-0005-0000-0000-000002780000}"/>
    <cellStyle name="常规 9 2 2 4 3 6" xfId="3376" xr:uid="{00000000-0005-0000-0000-000003780000}"/>
    <cellStyle name="常规 9 2 2 4 3 6 2" xfId="9520" xr:uid="{00000000-0005-0000-0000-000004780000}"/>
    <cellStyle name="常规 9 2 2 4 3 6 2 2" xfId="21808" xr:uid="{00000000-0005-0000-0000-000005780000}"/>
    <cellStyle name="常规 9 2 2 4 3 6 2 2 2" xfId="46384" xr:uid="{00000000-0005-0000-0000-000006780000}"/>
    <cellStyle name="常规 9 2 2 4 3 6 2 3" xfId="34096" xr:uid="{00000000-0005-0000-0000-000007780000}"/>
    <cellStyle name="常规 9 2 2 4 3 6 3" xfId="15664" xr:uid="{00000000-0005-0000-0000-000008780000}"/>
    <cellStyle name="常规 9 2 2 4 3 6 3 2" xfId="40240" xr:uid="{00000000-0005-0000-0000-000009780000}"/>
    <cellStyle name="常规 9 2 2 4 3 6 4" xfId="27952" xr:uid="{00000000-0005-0000-0000-00000A780000}"/>
    <cellStyle name="常规 9 2 2 4 3 7" xfId="6448" xr:uid="{00000000-0005-0000-0000-00000B780000}"/>
    <cellStyle name="常规 9 2 2 4 3 7 2" xfId="18736" xr:uid="{00000000-0005-0000-0000-00000C780000}"/>
    <cellStyle name="常规 9 2 2 4 3 7 2 2" xfId="43312" xr:uid="{00000000-0005-0000-0000-00000D780000}"/>
    <cellStyle name="常规 9 2 2 4 3 7 3" xfId="31024" xr:uid="{00000000-0005-0000-0000-00000E780000}"/>
    <cellStyle name="常规 9 2 2 4 3 8" xfId="12592" xr:uid="{00000000-0005-0000-0000-00000F780000}"/>
    <cellStyle name="常规 9 2 2 4 3 8 2" xfId="37168" xr:uid="{00000000-0005-0000-0000-000010780000}"/>
    <cellStyle name="常规 9 2 2 4 3 9" xfId="24880" xr:uid="{00000000-0005-0000-0000-000011780000}"/>
    <cellStyle name="常规 9 2 2 4 4" xfId="364" xr:uid="{00000000-0005-0000-0000-000012780000}"/>
    <cellStyle name="常规 9 2 2 4 4 2" xfId="748" xr:uid="{00000000-0005-0000-0000-000013780000}"/>
    <cellStyle name="常规 9 2 2 4 4 2 2" xfId="1516" xr:uid="{00000000-0005-0000-0000-000014780000}"/>
    <cellStyle name="常规 9 2 2 4 4 2 2 2" xfId="3052" xr:uid="{00000000-0005-0000-0000-000015780000}"/>
    <cellStyle name="常规 9 2 2 4 4 2 2 2 2" xfId="6128" xr:uid="{00000000-0005-0000-0000-000016780000}"/>
    <cellStyle name="常规 9 2 2 4 4 2 2 2 2 2" xfId="12272" xr:uid="{00000000-0005-0000-0000-000017780000}"/>
    <cellStyle name="常规 9 2 2 4 4 2 2 2 2 2 2" xfId="24560" xr:uid="{00000000-0005-0000-0000-000018780000}"/>
    <cellStyle name="常规 9 2 2 4 4 2 2 2 2 2 2 2" xfId="49136" xr:uid="{00000000-0005-0000-0000-000019780000}"/>
    <cellStyle name="常规 9 2 2 4 4 2 2 2 2 2 3" xfId="36848" xr:uid="{00000000-0005-0000-0000-00001A780000}"/>
    <cellStyle name="常规 9 2 2 4 4 2 2 2 2 3" xfId="18416" xr:uid="{00000000-0005-0000-0000-00001B780000}"/>
    <cellStyle name="常规 9 2 2 4 4 2 2 2 2 3 2" xfId="42992" xr:uid="{00000000-0005-0000-0000-00001C780000}"/>
    <cellStyle name="常规 9 2 2 4 4 2 2 2 2 4" xfId="30704" xr:uid="{00000000-0005-0000-0000-00001D780000}"/>
    <cellStyle name="常规 9 2 2 4 4 2 2 2 3" xfId="9200" xr:uid="{00000000-0005-0000-0000-00001E780000}"/>
    <cellStyle name="常规 9 2 2 4 4 2 2 2 3 2" xfId="21488" xr:uid="{00000000-0005-0000-0000-00001F780000}"/>
    <cellStyle name="常规 9 2 2 4 4 2 2 2 3 2 2" xfId="46064" xr:uid="{00000000-0005-0000-0000-000020780000}"/>
    <cellStyle name="常规 9 2 2 4 4 2 2 2 3 3" xfId="33776" xr:uid="{00000000-0005-0000-0000-000021780000}"/>
    <cellStyle name="常规 9 2 2 4 4 2 2 2 4" xfId="15344" xr:uid="{00000000-0005-0000-0000-000022780000}"/>
    <cellStyle name="常规 9 2 2 4 4 2 2 2 4 2" xfId="39920" xr:uid="{00000000-0005-0000-0000-000023780000}"/>
    <cellStyle name="常规 9 2 2 4 4 2 2 2 5" xfId="27632" xr:uid="{00000000-0005-0000-0000-000024780000}"/>
    <cellStyle name="常规 9 2 2 4 4 2 2 3" xfId="4592" xr:uid="{00000000-0005-0000-0000-000025780000}"/>
    <cellStyle name="常规 9 2 2 4 4 2 2 3 2" xfId="10736" xr:uid="{00000000-0005-0000-0000-000026780000}"/>
    <cellStyle name="常规 9 2 2 4 4 2 2 3 2 2" xfId="23024" xr:uid="{00000000-0005-0000-0000-000027780000}"/>
    <cellStyle name="常规 9 2 2 4 4 2 2 3 2 2 2" xfId="47600" xr:uid="{00000000-0005-0000-0000-000028780000}"/>
    <cellStyle name="常规 9 2 2 4 4 2 2 3 2 3" xfId="35312" xr:uid="{00000000-0005-0000-0000-000029780000}"/>
    <cellStyle name="常规 9 2 2 4 4 2 2 3 3" xfId="16880" xr:uid="{00000000-0005-0000-0000-00002A780000}"/>
    <cellStyle name="常规 9 2 2 4 4 2 2 3 3 2" xfId="41456" xr:uid="{00000000-0005-0000-0000-00002B780000}"/>
    <cellStyle name="常规 9 2 2 4 4 2 2 3 4" xfId="29168" xr:uid="{00000000-0005-0000-0000-00002C780000}"/>
    <cellStyle name="常规 9 2 2 4 4 2 2 4" xfId="7664" xr:uid="{00000000-0005-0000-0000-00002D780000}"/>
    <cellStyle name="常规 9 2 2 4 4 2 2 4 2" xfId="19952" xr:uid="{00000000-0005-0000-0000-00002E780000}"/>
    <cellStyle name="常规 9 2 2 4 4 2 2 4 2 2" xfId="44528" xr:uid="{00000000-0005-0000-0000-00002F780000}"/>
    <cellStyle name="常规 9 2 2 4 4 2 2 4 3" xfId="32240" xr:uid="{00000000-0005-0000-0000-000030780000}"/>
    <cellStyle name="常规 9 2 2 4 4 2 2 5" xfId="13808" xr:uid="{00000000-0005-0000-0000-000031780000}"/>
    <cellStyle name="常规 9 2 2 4 4 2 2 5 2" xfId="38384" xr:uid="{00000000-0005-0000-0000-000032780000}"/>
    <cellStyle name="常规 9 2 2 4 4 2 2 6" xfId="26096" xr:uid="{00000000-0005-0000-0000-000033780000}"/>
    <cellStyle name="常规 9 2 2 4 4 2 3" xfId="2284" xr:uid="{00000000-0005-0000-0000-000034780000}"/>
    <cellStyle name="常规 9 2 2 4 4 2 3 2" xfId="5360" xr:uid="{00000000-0005-0000-0000-000035780000}"/>
    <cellStyle name="常规 9 2 2 4 4 2 3 2 2" xfId="11504" xr:uid="{00000000-0005-0000-0000-000036780000}"/>
    <cellStyle name="常规 9 2 2 4 4 2 3 2 2 2" xfId="23792" xr:uid="{00000000-0005-0000-0000-000037780000}"/>
    <cellStyle name="常规 9 2 2 4 4 2 3 2 2 2 2" xfId="48368" xr:uid="{00000000-0005-0000-0000-000038780000}"/>
    <cellStyle name="常规 9 2 2 4 4 2 3 2 2 3" xfId="36080" xr:uid="{00000000-0005-0000-0000-000039780000}"/>
    <cellStyle name="常规 9 2 2 4 4 2 3 2 3" xfId="17648" xr:uid="{00000000-0005-0000-0000-00003A780000}"/>
    <cellStyle name="常规 9 2 2 4 4 2 3 2 3 2" xfId="42224" xr:uid="{00000000-0005-0000-0000-00003B780000}"/>
    <cellStyle name="常规 9 2 2 4 4 2 3 2 4" xfId="29936" xr:uid="{00000000-0005-0000-0000-00003C780000}"/>
    <cellStyle name="常规 9 2 2 4 4 2 3 3" xfId="8432" xr:uid="{00000000-0005-0000-0000-00003D780000}"/>
    <cellStyle name="常规 9 2 2 4 4 2 3 3 2" xfId="20720" xr:uid="{00000000-0005-0000-0000-00003E780000}"/>
    <cellStyle name="常规 9 2 2 4 4 2 3 3 2 2" xfId="45296" xr:uid="{00000000-0005-0000-0000-00003F780000}"/>
    <cellStyle name="常规 9 2 2 4 4 2 3 3 3" xfId="33008" xr:uid="{00000000-0005-0000-0000-000040780000}"/>
    <cellStyle name="常规 9 2 2 4 4 2 3 4" xfId="14576" xr:uid="{00000000-0005-0000-0000-000041780000}"/>
    <cellStyle name="常规 9 2 2 4 4 2 3 4 2" xfId="39152" xr:uid="{00000000-0005-0000-0000-000042780000}"/>
    <cellStyle name="常规 9 2 2 4 4 2 3 5" xfId="26864" xr:uid="{00000000-0005-0000-0000-000043780000}"/>
    <cellStyle name="常规 9 2 2 4 4 2 4" xfId="3824" xr:uid="{00000000-0005-0000-0000-000044780000}"/>
    <cellStyle name="常规 9 2 2 4 4 2 4 2" xfId="9968" xr:uid="{00000000-0005-0000-0000-000045780000}"/>
    <cellStyle name="常规 9 2 2 4 4 2 4 2 2" xfId="22256" xr:uid="{00000000-0005-0000-0000-000046780000}"/>
    <cellStyle name="常规 9 2 2 4 4 2 4 2 2 2" xfId="46832" xr:uid="{00000000-0005-0000-0000-000047780000}"/>
    <cellStyle name="常规 9 2 2 4 4 2 4 2 3" xfId="34544" xr:uid="{00000000-0005-0000-0000-000048780000}"/>
    <cellStyle name="常规 9 2 2 4 4 2 4 3" xfId="16112" xr:uid="{00000000-0005-0000-0000-000049780000}"/>
    <cellStyle name="常规 9 2 2 4 4 2 4 3 2" xfId="40688" xr:uid="{00000000-0005-0000-0000-00004A780000}"/>
    <cellStyle name="常规 9 2 2 4 4 2 4 4" xfId="28400" xr:uid="{00000000-0005-0000-0000-00004B780000}"/>
    <cellStyle name="常规 9 2 2 4 4 2 5" xfId="6896" xr:uid="{00000000-0005-0000-0000-00004C780000}"/>
    <cellStyle name="常规 9 2 2 4 4 2 5 2" xfId="19184" xr:uid="{00000000-0005-0000-0000-00004D780000}"/>
    <cellStyle name="常规 9 2 2 4 4 2 5 2 2" xfId="43760" xr:uid="{00000000-0005-0000-0000-00004E780000}"/>
    <cellStyle name="常规 9 2 2 4 4 2 5 3" xfId="31472" xr:uid="{00000000-0005-0000-0000-00004F780000}"/>
    <cellStyle name="常规 9 2 2 4 4 2 6" xfId="13040" xr:uid="{00000000-0005-0000-0000-000050780000}"/>
    <cellStyle name="常规 9 2 2 4 4 2 6 2" xfId="37616" xr:uid="{00000000-0005-0000-0000-000051780000}"/>
    <cellStyle name="常规 9 2 2 4 4 2 7" xfId="25328" xr:uid="{00000000-0005-0000-0000-000052780000}"/>
    <cellStyle name="常规 9 2 2 4 4 3" xfId="1132" xr:uid="{00000000-0005-0000-0000-000053780000}"/>
    <cellStyle name="常规 9 2 2 4 4 3 2" xfId="2668" xr:uid="{00000000-0005-0000-0000-000054780000}"/>
    <cellStyle name="常规 9 2 2 4 4 3 2 2" xfId="5744" xr:uid="{00000000-0005-0000-0000-000055780000}"/>
    <cellStyle name="常规 9 2 2 4 4 3 2 2 2" xfId="11888" xr:uid="{00000000-0005-0000-0000-000056780000}"/>
    <cellStyle name="常规 9 2 2 4 4 3 2 2 2 2" xfId="24176" xr:uid="{00000000-0005-0000-0000-000057780000}"/>
    <cellStyle name="常规 9 2 2 4 4 3 2 2 2 2 2" xfId="48752" xr:uid="{00000000-0005-0000-0000-000058780000}"/>
    <cellStyle name="常规 9 2 2 4 4 3 2 2 2 3" xfId="36464" xr:uid="{00000000-0005-0000-0000-000059780000}"/>
    <cellStyle name="常规 9 2 2 4 4 3 2 2 3" xfId="18032" xr:uid="{00000000-0005-0000-0000-00005A780000}"/>
    <cellStyle name="常规 9 2 2 4 4 3 2 2 3 2" xfId="42608" xr:uid="{00000000-0005-0000-0000-00005B780000}"/>
    <cellStyle name="常规 9 2 2 4 4 3 2 2 4" xfId="30320" xr:uid="{00000000-0005-0000-0000-00005C780000}"/>
    <cellStyle name="常规 9 2 2 4 4 3 2 3" xfId="8816" xr:uid="{00000000-0005-0000-0000-00005D780000}"/>
    <cellStyle name="常规 9 2 2 4 4 3 2 3 2" xfId="21104" xr:uid="{00000000-0005-0000-0000-00005E780000}"/>
    <cellStyle name="常规 9 2 2 4 4 3 2 3 2 2" xfId="45680" xr:uid="{00000000-0005-0000-0000-00005F780000}"/>
    <cellStyle name="常规 9 2 2 4 4 3 2 3 3" xfId="33392" xr:uid="{00000000-0005-0000-0000-000060780000}"/>
    <cellStyle name="常规 9 2 2 4 4 3 2 4" xfId="14960" xr:uid="{00000000-0005-0000-0000-000061780000}"/>
    <cellStyle name="常规 9 2 2 4 4 3 2 4 2" xfId="39536" xr:uid="{00000000-0005-0000-0000-000062780000}"/>
    <cellStyle name="常规 9 2 2 4 4 3 2 5" xfId="27248" xr:uid="{00000000-0005-0000-0000-000063780000}"/>
    <cellStyle name="常规 9 2 2 4 4 3 3" xfId="4208" xr:uid="{00000000-0005-0000-0000-000064780000}"/>
    <cellStyle name="常规 9 2 2 4 4 3 3 2" xfId="10352" xr:uid="{00000000-0005-0000-0000-000065780000}"/>
    <cellStyle name="常规 9 2 2 4 4 3 3 2 2" xfId="22640" xr:uid="{00000000-0005-0000-0000-000066780000}"/>
    <cellStyle name="常规 9 2 2 4 4 3 3 2 2 2" xfId="47216" xr:uid="{00000000-0005-0000-0000-000067780000}"/>
    <cellStyle name="常规 9 2 2 4 4 3 3 2 3" xfId="34928" xr:uid="{00000000-0005-0000-0000-000068780000}"/>
    <cellStyle name="常规 9 2 2 4 4 3 3 3" xfId="16496" xr:uid="{00000000-0005-0000-0000-000069780000}"/>
    <cellStyle name="常规 9 2 2 4 4 3 3 3 2" xfId="41072" xr:uid="{00000000-0005-0000-0000-00006A780000}"/>
    <cellStyle name="常规 9 2 2 4 4 3 3 4" xfId="28784" xr:uid="{00000000-0005-0000-0000-00006B780000}"/>
    <cellStyle name="常规 9 2 2 4 4 3 4" xfId="7280" xr:uid="{00000000-0005-0000-0000-00006C780000}"/>
    <cellStyle name="常规 9 2 2 4 4 3 4 2" xfId="19568" xr:uid="{00000000-0005-0000-0000-00006D780000}"/>
    <cellStyle name="常规 9 2 2 4 4 3 4 2 2" xfId="44144" xr:uid="{00000000-0005-0000-0000-00006E780000}"/>
    <cellStyle name="常规 9 2 2 4 4 3 4 3" xfId="31856" xr:uid="{00000000-0005-0000-0000-00006F780000}"/>
    <cellStyle name="常规 9 2 2 4 4 3 5" xfId="13424" xr:uid="{00000000-0005-0000-0000-000070780000}"/>
    <cellStyle name="常规 9 2 2 4 4 3 5 2" xfId="38000" xr:uid="{00000000-0005-0000-0000-000071780000}"/>
    <cellStyle name="常规 9 2 2 4 4 3 6" xfId="25712" xr:uid="{00000000-0005-0000-0000-000072780000}"/>
    <cellStyle name="常规 9 2 2 4 4 4" xfId="1900" xr:uid="{00000000-0005-0000-0000-000073780000}"/>
    <cellStyle name="常规 9 2 2 4 4 4 2" xfId="4976" xr:uid="{00000000-0005-0000-0000-000074780000}"/>
    <cellStyle name="常规 9 2 2 4 4 4 2 2" xfId="11120" xr:uid="{00000000-0005-0000-0000-000075780000}"/>
    <cellStyle name="常规 9 2 2 4 4 4 2 2 2" xfId="23408" xr:uid="{00000000-0005-0000-0000-000076780000}"/>
    <cellStyle name="常规 9 2 2 4 4 4 2 2 2 2" xfId="47984" xr:uid="{00000000-0005-0000-0000-000077780000}"/>
    <cellStyle name="常规 9 2 2 4 4 4 2 2 3" xfId="35696" xr:uid="{00000000-0005-0000-0000-000078780000}"/>
    <cellStyle name="常规 9 2 2 4 4 4 2 3" xfId="17264" xr:uid="{00000000-0005-0000-0000-000079780000}"/>
    <cellStyle name="常规 9 2 2 4 4 4 2 3 2" xfId="41840" xr:uid="{00000000-0005-0000-0000-00007A780000}"/>
    <cellStyle name="常规 9 2 2 4 4 4 2 4" xfId="29552" xr:uid="{00000000-0005-0000-0000-00007B780000}"/>
    <cellStyle name="常规 9 2 2 4 4 4 3" xfId="8048" xr:uid="{00000000-0005-0000-0000-00007C780000}"/>
    <cellStyle name="常规 9 2 2 4 4 4 3 2" xfId="20336" xr:uid="{00000000-0005-0000-0000-00007D780000}"/>
    <cellStyle name="常规 9 2 2 4 4 4 3 2 2" xfId="44912" xr:uid="{00000000-0005-0000-0000-00007E780000}"/>
    <cellStyle name="常规 9 2 2 4 4 4 3 3" xfId="32624" xr:uid="{00000000-0005-0000-0000-00007F780000}"/>
    <cellStyle name="常规 9 2 2 4 4 4 4" xfId="14192" xr:uid="{00000000-0005-0000-0000-000080780000}"/>
    <cellStyle name="常规 9 2 2 4 4 4 4 2" xfId="38768" xr:uid="{00000000-0005-0000-0000-000081780000}"/>
    <cellStyle name="常规 9 2 2 4 4 4 5" xfId="26480" xr:uid="{00000000-0005-0000-0000-000082780000}"/>
    <cellStyle name="常规 9 2 2 4 4 5" xfId="3440" xr:uid="{00000000-0005-0000-0000-000083780000}"/>
    <cellStyle name="常规 9 2 2 4 4 5 2" xfId="9584" xr:uid="{00000000-0005-0000-0000-000084780000}"/>
    <cellStyle name="常规 9 2 2 4 4 5 2 2" xfId="21872" xr:uid="{00000000-0005-0000-0000-000085780000}"/>
    <cellStyle name="常规 9 2 2 4 4 5 2 2 2" xfId="46448" xr:uid="{00000000-0005-0000-0000-000086780000}"/>
    <cellStyle name="常规 9 2 2 4 4 5 2 3" xfId="34160" xr:uid="{00000000-0005-0000-0000-000087780000}"/>
    <cellStyle name="常规 9 2 2 4 4 5 3" xfId="15728" xr:uid="{00000000-0005-0000-0000-000088780000}"/>
    <cellStyle name="常规 9 2 2 4 4 5 3 2" xfId="40304" xr:uid="{00000000-0005-0000-0000-000089780000}"/>
    <cellStyle name="常规 9 2 2 4 4 5 4" xfId="28016" xr:uid="{00000000-0005-0000-0000-00008A780000}"/>
    <cellStyle name="常规 9 2 2 4 4 6" xfId="6512" xr:uid="{00000000-0005-0000-0000-00008B780000}"/>
    <cellStyle name="常规 9 2 2 4 4 6 2" xfId="18800" xr:uid="{00000000-0005-0000-0000-00008C780000}"/>
    <cellStyle name="常规 9 2 2 4 4 6 2 2" xfId="43376" xr:uid="{00000000-0005-0000-0000-00008D780000}"/>
    <cellStyle name="常规 9 2 2 4 4 6 3" xfId="31088" xr:uid="{00000000-0005-0000-0000-00008E780000}"/>
    <cellStyle name="常规 9 2 2 4 4 7" xfId="12656" xr:uid="{00000000-0005-0000-0000-00008F780000}"/>
    <cellStyle name="常规 9 2 2 4 4 7 2" xfId="37232" xr:uid="{00000000-0005-0000-0000-000090780000}"/>
    <cellStyle name="常规 9 2 2 4 4 8" xfId="24944" xr:uid="{00000000-0005-0000-0000-000091780000}"/>
    <cellStyle name="常规 9 2 2 4 5" xfId="556" xr:uid="{00000000-0005-0000-0000-000092780000}"/>
    <cellStyle name="常规 9 2 2 4 5 2" xfId="1324" xr:uid="{00000000-0005-0000-0000-000093780000}"/>
    <cellStyle name="常规 9 2 2 4 5 2 2" xfId="2860" xr:uid="{00000000-0005-0000-0000-000094780000}"/>
    <cellStyle name="常规 9 2 2 4 5 2 2 2" xfId="5936" xr:uid="{00000000-0005-0000-0000-000095780000}"/>
    <cellStyle name="常规 9 2 2 4 5 2 2 2 2" xfId="12080" xr:uid="{00000000-0005-0000-0000-000096780000}"/>
    <cellStyle name="常规 9 2 2 4 5 2 2 2 2 2" xfId="24368" xr:uid="{00000000-0005-0000-0000-000097780000}"/>
    <cellStyle name="常规 9 2 2 4 5 2 2 2 2 2 2" xfId="48944" xr:uid="{00000000-0005-0000-0000-000098780000}"/>
    <cellStyle name="常规 9 2 2 4 5 2 2 2 2 3" xfId="36656" xr:uid="{00000000-0005-0000-0000-000099780000}"/>
    <cellStyle name="常规 9 2 2 4 5 2 2 2 3" xfId="18224" xr:uid="{00000000-0005-0000-0000-00009A780000}"/>
    <cellStyle name="常规 9 2 2 4 5 2 2 2 3 2" xfId="42800" xr:uid="{00000000-0005-0000-0000-00009B780000}"/>
    <cellStyle name="常规 9 2 2 4 5 2 2 2 4" xfId="30512" xr:uid="{00000000-0005-0000-0000-00009C780000}"/>
    <cellStyle name="常规 9 2 2 4 5 2 2 3" xfId="9008" xr:uid="{00000000-0005-0000-0000-00009D780000}"/>
    <cellStyle name="常规 9 2 2 4 5 2 2 3 2" xfId="21296" xr:uid="{00000000-0005-0000-0000-00009E780000}"/>
    <cellStyle name="常规 9 2 2 4 5 2 2 3 2 2" xfId="45872" xr:uid="{00000000-0005-0000-0000-00009F780000}"/>
    <cellStyle name="常规 9 2 2 4 5 2 2 3 3" xfId="33584" xr:uid="{00000000-0005-0000-0000-0000A0780000}"/>
    <cellStyle name="常规 9 2 2 4 5 2 2 4" xfId="15152" xr:uid="{00000000-0005-0000-0000-0000A1780000}"/>
    <cellStyle name="常规 9 2 2 4 5 2 2 4 2" xfId="39728" xr:uid="{00000000-0005-0000-0000-0000A2780000}"/>
    <cellStyle name="常规 9 2 2 4 5 2 2 5" xfId="27440" xr:uid="{00000000-0005-0000-0000-0000A3780000}"/>
    <cellStyle name="常规 9 2 2 4 5 2 3" xfId="4400" xr:uid="{00000000-0005-0000-0000-0000A4780000}"/>
    <cellStyle name="常规 9 2 2 4 5 2 3 2" xfId="10544" xr:uid="{00000000-0005-0000-0000-0000A5780000}"/>
    <cellStyle name="常规 9 2 2 4 5 2 3 2 2" xfId="22832" xr:uid="{00000000-0005-0000-0000-0000A6780000}"/>
    <cellStyle name="常规 9 2 2 4 5 2 3 2 2 2" xfId="47408" xr:uid="{00000000-0005-0000-0000-0000A7780000}"/>
    <cellStyle name="常规 9 2 2 4 5 2 3 2 3" xfId="35120" xr:uid="{00000000-0005-0000-0000-0000A8780000}"/>
    <cellStyle name="常规 9 2 2 4 5 2 3 3" xfId="16688" xr:uid="{00000000-0005-0000-0000-0000A9780000}"/>
    <cellStyle name="常规 9 2 2 4 5 2 3 3 2" xfId="41264" xr:uid="{00000000-0005-0000-0000-0000AA780000}"/>
    <cellStyle name="常规 9 2 2 4 5 2 3 4" xfId="28976" xr:uid="{00000000-0005-0000-0000-0000AB780000}"/>
    <cellStyle name="常规 9 2 2 4 5 2 4" xfId="7472" xr:uid="{00000000-0005-0000-0000-0000AC780000}"/>
    <cellStyle name="常规 9 2 2 4 5 2 4 2" xfId="19760" xr:uid="{00000000-0005-0000-0000-0000AD780000}"/>
    <cellStyle name="常规 9 2 2 4 5 2 4 2 2" xfId="44336" xr:uid="{00000000-0005-0000-0000-0000AE780000}"/>
    <cellStyle name="常规 9 2 2 4 5 2 4 3" xfId="32048" xr:uid="{00000000-0005-0000-0000-0000AF780000}"/>
    <cellStyle name="常规 9 2 2 4 5 2 5" xfId="13616" xr:uid="{00000000-0005-0000-0000-0000B0780000}"/>
    <cellStyle name="常规 9 2 2 4 5 2 5 2" xfId="38192" xr:uid="{00000000-0005-0000-0000-0000B1780000}"/>
    <cellStyle name="常规 9 2 2 4 5 2 6" xfId="25904" xr:uid="{00000000-0005-0000-0000-0000B2780000}"/>
    <cellStyle name="常规 9 2 2 4 5 3" xfId="2092" xr:uid="{00000000-0005-0000-0000-0000B3780000}"/>
    <cellStyle name="常规 9 2 2 4 5 3 2" xfId="5168" xr:uid="{00000000-0005-0000-0000-0000B4780000}"/>
    <cellStyle name="常规 9 2 2 4 5 3 2 2" xfId="11312" xr:uid="{00000000-0005-0000-0000-0000B5780000}"/>
    <cellStyle name="常规 9 2 2 4 5 3 2 2 2" xfId="23600" xr:uid="{00000000-0005-0000-0000-0000B6780000}"/>
    <cellStyle name="常规 9 2 2 4 5 3 2 2 2 2" xfId="48176" xr:uid="{00000000-0005-0000-0000-0000B7780000}"/>
    <cellStyle name="常规 9 2 2 4 5 3 2 2 3" xfId="35888" xr:uid="{00000000-0005-0000-0000-0000B8780000}"/>
    <cellStyle name="常规 9 2 2 4 5 3 2 3" xfId="17456" xr:uid="{00000000-0005-0000-0000-0000B9780000}"/>
    <cellStyle name="常规 9 2 2 4 5 3 2 3 2" xfId="42032" xr:uid="{00000000-0005-0000-0000-0000BA780000}"/>
    <cellStyle name="常规 9 2 2 4 5 3 2 4" xfId="29744" xr:uid="{00000000-0005-0000-0000-0000BB780000}"/>
    <cellStyle name="常规 9 2 2 4 5 3 3" xfId="8240" xr:uid="{00000000-0005-0000-0000-0000BC780000}"/>
    <cellStyle name="常规 9 2 2 4 5 3 3 2" xfId="20528" xr:uid="{00000000-0005-0000-0000-0000BD780000}"/>
    <cellStyle name="常规 9 2 2 4 5 3 3 2 2" xfId="45104" xr:uid="{00000000-0005-0000-0000-0000BE780000}"/>
    <cellStyle name="常规 9 2 2 4 5 3 3 3" xfId="32816" xr:uid="{00000000-0005-0000-0000-0000BF780000}"/>
    <cellStyle name="常规 9 2 2 4 5 3 4" xfId="14384" xr:uid="{00000000-0005-0000-0000-0000C0780000}"/>
    <cellStyle name="常规 9 2 2 4 5 3 4 2" xfId="38960" xr:uid="{00000000-0005-0000-0000-0000C1780000}"/>
    <cellStyle name="常规 9 2 2 4 5 3 5" xfId="26672" xr:uid="{00000000-0005-0000-0000-0000C2780000}"/>
    <cellStyle name="常规 9 2 2 4 5 4" xfId="3632" xr:uid="{00000000-0005-0000-0000-0000C3780000}"/>
    <cellStyle name="常规 9 2 2 4 5 4 2" xfId="9776" xr:uid="{00000000-0005-0000-0000-0000C4780000}"/>
    <cellStyle name="常规 9 2 2 4 5 4 2 2" xfId="22064" xr:uid="{00000000-0005-0000-0000-0000C5780000}"/>
    <cellStyle name="常规 9 2 2 4 5 4 2 2 2" xfId="46640" xr:uid="{00000000-0005-0000-0000-0000C6780000}"/>
    <cellStyle name="常规 9 2 2 4 5 4 2 3" xfId="34352" xr:uid="{00000000-0005-0000-0000-0000C7780000}"/>
    <cellStyle name="常规 9 2 2 4 5 4 3" xfId="15920" xr:uid="{00000000-0005-0000-0000-0000C8780000}"/>
    <cellStyle name="常规 9 2 2 4 5 4 3 2" xfId="40496" xr:uid="{00000000-0005-0000-0000-0000C9780000}"/>
    <cellStyle name="常规 9 2 2 4 5 4 4" xfId="28208" xr:uid="{00000000-0005-0000-0000-0000CA780000}"/>
    <cellStyle name="常规 9 2 2 4 5 5" xfId="6704" xr:uid="{00000000-0005-0000-0000-0000CB780000}"/>
    <cellStyle name="常规 9 2 2 4 5 5 2" xfId="18992" xr:uid="{00000000-0005-0000-0000-0000CC780000}"/>
    <cellStyle name="常规 9 2 2 4 5 5 2 2" xfId="43568" xr:uid="{00000000-0005-0000-0000-0000CD780000}"/>
    <cellStyle name="常规 9 2 2 4 5 5 3" xfId="31280" xr:uid="{00000000-0005-0000-0000-0000CE780000}"/>
    <cellStyle name="常规 9 2 2 4 5 6" xfId="12848" xr:uid="{00000000-0005-0000-0000-0000CF780000}"/>
    <cellStyle name="常规 9 2 2 4 5 6 2" xfId="37424" xr:uid="{00000000-0005-0000-0000-0000D0780000}"/>
    <cellStyle name="常规 9 2 2 4 5 7" xfId="25136" xr:uid="{00000000-0005-0000-0000-0000D1780000}"/>
    <cellStyle name="常规 9 2 2 4 6" xfId="940" xr:uid="{00000000-0005-0000-0000-0000D2780000}"/>
    <cellStyle name="常规 9 2 2 4 6 2" xfId="2476" xr:uid="{00000000-0005-0000-0000-0000D3780000}"/>
    <cellStyle name="常规 9 2 2 4 6 2 2" xfId="5552" xr:uid="{00000000-0005-0000-0000-0000D4780000}"/>
    <cellStyle name="常规 9 2 2 4 6 2 2 2" xfId="11696" xr:uid="{00000000-0005-0000-0000-0000D5780000}"/>
    <cellStyle name="常规 9 2 2 4 6 2 2 2 2" xfId="23984" xr:uid="{00000000-0005-0000-0000-0000D6780000}"/>
    <cellStyle name="常规 9 2 2 4 6 2 2 2 2 2" xfId="48560" xr:uid="{00000000-0005-0000-0000-0000D7780000}"/>
    <cellStyle name="常规 9 2 2 4 6 2 2 2 3" xfId="36272" xr:uid="{00000000-0005-0000-0000-0000D8780000}"/>
    <cellStyle name="常规 9 2 2 4 6 2 2 3" xfId="17840" xr:uid="{00000000-0005-0000-0000-0000D9780000}"/>
    <cellStyle name="常规 9 2 2 4 6 2 2 3 2" xfId="42416" xr:uid="{00000000-0005-0000-0000-0000DA780000}"/>
    <cellStyle name="常规 9 2 2 4 6 2 2 4" xfId="30128" xr:uid="{00000000-0005-0000-0000-0000DB780000}"/>
    <cellStyle name="常规 9 2 2 4 6 2 3" xfId="8624" xr:uid="{00000000-0005-0000-0000-0000DC780000}"/>
    <cellStyle name="常规 9 2 2 4 6 2 3 2" xfId="20912" xr:uid="{00000000-0005-0000-0000-0000DD780000}"/>
    <cellStyle name="常规 9 2 2 4 6 2 3 2 2" xfId="45488" xr:uid="{00000000-0005-0000-0000-0000DE780000}"/>
    <cellStyle name="常规 9 2 2 4 6 2 3 3" xfId="33200" xr:uid="{00000000-0005-0000-0000-0000DF780000}"/>
    <cellStyle name="常规 9 2 2 4 6 2 4" xfId="14768" xr:uid="{00000000-0005-0000-0000-0000E0780000}"/>
    <cellStyle name="常规 9 2 2 4 6 2 4 2" xfId="39344" xr:uid="{00000000-0005-0000-0000-0000E1780000}"/>
    <cellStyle name="常规 9 2 2 4 6 2 5" xfId="27056" xr:uid="{00000000-0005-0000-0000-0000E2780000}"/>
    <cellStyle name="常规 9 2 2 4 6 3" xfId="4016" xr:uid="{00000000-0005-0000-0000-0000E3780000}"/>
    <cellStyle name="常规 9 2 2 4 6 3 2" xfId="10160" xr:uid="{00000000-0005-0000-0000-0000E4780000}"/>
    <cellStyle name="常规 9 2 2 4 6 3 2 2" xfId="22448" xr:uid="{00000000-0005-0000-0000-0000E5780000}"/>
    <cellStyle name="常规 9 2 2 4 6 3 2 2 2" xfId="47024" xr:uid="{00000000-0005-0000-0000-0000E6780000}"/>
    <cellStyle name="常规 9 2 2 4 6 3 2 3" xfId="34736" xr:uid="{00000000-0005-0000-0000-0000E7780000}"/>
    <cellStyle name="常规 9 2 2 4 6 3 3" xfId="16304" xr:uid="{00000000-0005-0000-0000-0000E8780000}"/>
    <cellStyle name="常规 9 2 2 4 6 3 3 2" xfId="40880" xr:uid="{00000000-0005-0000-0000-0000E9780000}"/>
    <cellStyle name="常规 9 2 2 4 6 3 4" xfId="28592" xr:uid="{00000000-0005-0000-0000-0000EA780000}"/>
    <cellStyle name="常规 9 2 2 4 6 4" xfId="7088" xr:uid="{00000000-0005-0000-0000-0000EB780000}"/>
    <cellStyle name="常规 9 2 2 4 6 4 2" xfId="19376" xr:uid="{00000000-0005-0000-0000-0000EC780000}"/>
    <cellStyle name="常规 9 2 2 4 6 4 2 2" xfId="43952" xr:uid="{00000000-0005-0000-0000-0000ED780000}"/>
    <cellStyle name="常规 9 2 2 4 6 4 3" xfId="31664" xr:uid="{00000000-0005-0000-0000-0000EE780000}"/>
    <cellStyle name="常规 9 2 2 4 6 5" xfId="13232" xr:uid="{00000000-0005-0000-0000-0000EF780000}"/>
    <cellStyle name="常规 9 2 2 4 6 5 2" xfId="37808" xr:uid="{00000000-0005-0000-0000-0000F0780000}"/>
    <cellStyle name="常规 9 2 2 4 6 6" xfId="25520" xr:uid="{00000000-0005-0000-0000-0000F1780000}"/>
    <cellStyle name="常规 9 2 2 4 7" xfId="1708" xr:uid="{00000000-0005-0000-0000-0000F2780000}"/>
    <cellStyle name="常规 9 2 2 4 7 2" xfId="4784" xr:uid="{00000000-0005-0000-0000-0000F3780000}"/>
    <cellStyle name="常规 9 2 2 4 7 2 2" xfId="10928" xr:uid="{00000000-0005-0000-0000-0000F4780000}"/>
    <cellStyle name="常规 9 2 2 4 7 2 2 2" xfId="23216" xr:uid="{00000000-0005-0000-0000-0000F5780000}"/>
    <cellStyle name="常规 9 2 2 4 7 2 2 2 2" xfId="47792" xr:uid="{00000000-0005-0000-0000-0000F6780000}"/>
    <cellStyle name="常规 9 2 2 4 7 2 2 3" xfId="35504" xr:uid="{00000000-0005-0000-0000-0000F7780000}"/>
    <cellStyle name="常规 9 2 2 4 7 2 3" xfId="17072" xr:uid="{00000000-0005-0000-0000-0000F8780000}"/>
    <cellStyle name="常规 9 2 2 4 7 2 3 2" xfId="41648" xr:uid="{00000000-0005-0000-0000-0000F9780000}"/>
    <cellStyle name="常规 9 2 2 4 7 2 4" xfId="29360" xr:uid="{00000000-0005-0000-0000-0000FA780000}"/>
    <cellStyle name="常规 9 2 2 4 7 3" xfId="7856" xr:uid="{00000000-0005-0000-0000-0000FB780000}"/>
    <cellStyle name="常规 9 2 2 4 7 3 2" xfId="20144" xr:uid="{00000000-0005-0000-0000-0000FC780000}"/>
    <cellStyle name="常规 9 2 2 4 7 3 2 2" xfId="44720" xr:uid="{00000000-0005-0000-0000-0000FD780000}"/>
    <cellStyle name="常规 9 2 2 4 7 3 3" xfId="32432" xr:uid="{00000000-0005-0000-0000-0000FE780000}"/>
    <cellStyle name="常规 9 2 2 4 7 4" xfId="14000" xr:uid="{00000000-0005-0000-0000-0000FF780000}"/>
    <cellStyle name="常规 9 2 2 4 7 4 2" xfId="38576" xr:uid="{00000000-0005-0000-0000-000000790000}"/>
    <cellStyle name="常规 9 2 2 4 7 5" xfId="26288" xr:uid="{00000000-0005-0000-0000-000001790000}"/>
    <cellStyle name="常规 9 2 2 4 8" xfId="3248" xr:uid="{00000000-0005-0000-0000-000002790000}"/>
    <cellStyle name="常规 9 2 2 4 8 2" xfId="9392" xr:uid="{00000000-0005-0000-0000-000003790000}"/>
    <cellStyle name="常规 9 2 2 4 8 2 2" xfId="21680" xr:uid="{00000000-0005-0000-0000-000004790000}"/>
    <cellStyle name="常规 9 2 2 4 8 2 2 2" xfId="46256" xr:uid="{00000000-0005-0000-0000-000005790000}"/>
    <cellStyle name="常规 9 2 2 4 8 2 3" xfId="33968" xr:uid="{00000000-0005-0000-0000-000006790000}"/>
    <cellStyle name="常规 9 2 2 4 8 3" xfId="15536" xr:uid="{00000000-0005-0000-0000-000007790000}"/>
    <cellStyle name="常规 9 2 2 4 8 3 2" xfId="40112" xr:uid="{00000000-0005-0000-0000-000008790000}"/>
    <cellStyle name="常规 9 2 2 4 8 4" xfId="27824" xr:uid="{00000000-0005-0000-0000-000009790000}"/>
    <cellStyle name="常规 9 2 2 4 9" xfId="6320" xr:uid="{00000000-0005-0000-0000-00000A790000}"/>
    <cellStyle name="常规 9 2 2 4 9 2" xfId="18608" xr:uid="{00000000-0005-0000-0000-00000B790000}"/>
    <cellStyle name="常规 9 2 2 4 9 2 2" xfId="43184" xr:uid="{00000000-0005-0000-0000-00000C790000}"/>
    <cellStyle name="常规 9 2 2 4 9 3" xfId="30896" xr:uid="{00000000-0005-0000-0000-00000D790000}"/>
    <cellStyle name="常规 9 2 2 5" xfId="204" xr:uid="{00000000-0005-0000-0000-00000E790000}"/>
    <cellStyle name="常规 9 2 2 5 2" xfId="396" xr:uid="{00000000-0005-0000-0000-00000F790000}"/>
    <cellStyle name="常规 9 2 2 5 2 2" xfId="780" xr:uid="{00000000-0005-0000-0000-000010790000}"/>
    <cellStyle name="常规 9 2 2 5 2 2 2" xfId="1548" xr:uid="{00000000-0005-0000-0000-000011790000}"/>
    <cellStyle name="常规 9 2 2 5 2 2 2 2" xfId="3084" xr:uid="{00000000-0005-0000-0000-000012790000}"/>
    <cellStyle name="常规 9 2 2 5 2 2 2 2 2" xfId="6160" xr:uid="{00000000-0005-0000-0000-000013790000}"/>
    <cellStyle name="常规 9 2 2 5 2 2 2 2 2 2" xfId="12304" xr:uid="{00000000-0005-0000-0000-000014790000}"/>
    <cellStyle name="常规 9 2 2 5 2 2 2 2 2 2 2" xfId="24592" xr:uid="{00000000-0005-0000-0000-000015790000}"/>
    <cellStyle name="常规 9 2 2 5 2 2 2 2 2 2 2 2" xfId="49168" xr:uid="{00000000-0005-0000-0000-000016790000}"/>
    <cellStyle name="常规 9 2 2 5 2 2 2 2 2 2 3" xfId="36880" xr:uid="{00000000-0005-0000-0000-000017790000}"/>
    <cellStyle name="常规 9 2 2 5 2 2 2 2 2 3" xfId="18448" xr:uid="{00000000-0005-0000-0000-000018790000}"/>
    <cellStyle name="常规 9 2 2 5 2 2 2 2 2 3 2" xfId="43024" xr:uid="{00000000-0005-0000-0000-000019790000}"/>
    <cellStyle name="常规 9 2 2 5 2 2 2 2 2 4" xfId="30736" xr:uid="{00000000-0005-0000-0000-00001A790000}"/>
    <cellStyle name="常规 9 2 2 5 2 2 2 2 3" xfId="9232" xr:uid="{00000000-0005-0000-0000-00001B790000}"/>
    <cellStyle name="常规 9 2 2 5 2 2 2 2 3 2" xfId="21520" xr:uid="{00000000-0005-0000-0000-00001C790000}"/>
    <cellStyle name="常规 9 2 2 5 2 2 2 2 3 2 2" xfId="46096" xr:uid="{00000000-0005-0000-0000-00001D790000}"/>
    <cellStyle name="常规 9 2 2 5 2 2 2 2 3 3" xfId="33808" xr:uid="{00000000-0005-0000-0000-00001E790000}"/>
    <cellStyle name="常规 9 2 2 5 2 2 2 2 4" xfId="15376" xr:uid="{00000000-0005-0000-0000-00001F790000}"/>
    <cellStyle name="常规 9 2 2 5 2 2 2 2 4 2" xfId="39952" xr:uid="{00000000-0005-0000-0000-000020790000}"/>
    <cellStyle name="常规 9 2 2 5 2 2 2 2 5" xfId="27664" xr:uid="{00000000-0005-0000-0000-000021790000}"/>
    <cellStyle name="常规 9 2 2 5 2 2 2 3" xfId="4624" xr:uid="{00000000-0005-0000-0000-000022790000}"/>
    <cellStyle name="常规 9 2 2 5 2 2 2 3 2" xfId="10768" xr:uid="{00000000-0005-0000-0000-000023790000}"/>
    <cellStyle name="常规 9 2 2 5 2 2 2 3 2 2" xfId="23056" xr:uid="{00000000-0005-0000-0000-000024790000}"/>
    <cellStyle name="常规 9 2 2 5 2 2 2 3 2 2 2" xfId="47632" xr:uid="{00000000-0005-0000-0000-000025790000}"/>
    <cellStyle name="常规 9 2 2 5 2 2 2 3 2 3" xfId="35344" xr:uid="{00000000-0005-0000-0000-000026790000}"/>
    <cellStyle name="常规 9 2 2 5 2 2 2 3 3" xfId="16912" xr:uid="{00000000-0005-0000-0000-000027790000}"/>
    <cellStyle name="常规 9 2 2 5 2 2 2 3 3 2" xfId="41488" xr:uid="{00000000-0005-0000-0000-000028790000}"/>
    <cellStyle name="常规 9 2 2 5 2 2 2 3 4" xfId="29200" xr:uid="{00000000-0005-0000-0000-000029790000}"/>
    <cellStyle name="常规 9 2 2 5 2 2 2 4" xfId="7696" xr:uid="{00000000-0005-0000-0000-00002A790000}"/>
    <cellStyle name="常规 9 2 2 5 2 2 2 4 2" xfId="19984" xr:uid="{00000000-0005-0000-0000-00002B790000}"/>
    <cellStyle name="常规 9 2 2 5 2 2 2 4 2 2" xfId="44560" xr:uid="{00000000-0005-0000-0000-00002C790000}"/>
    <cellStyle name="常规 9 2 2 5 2 2 2 4 3" xfId="32272" xr:uid="{00000000-0005-0000-0000-00002D790000}"/>
    <cellStyle name="常规 9 2 2 5 2 2 2 5" xfId="13840" xr:uid="{00000000-0005-0000-0000-00002E790000}"/>
    <cellStyle name="常规 9 2 2 5 2 2 2 5 2" xfId="38416" xr:uid="{00000000-0005-0000-0000-00002F790000}"/>
    <cellStyle name="常规 9 2 2 5 2 2 2 6" xfId="26128" xr:uid="{00000000-0005-0000-0000-000030790000}"/>
    <cellStyle name="常规 9 2 2 5 2 2 3" xfId="2316" xr:uid="{00000000-0005-0000-0000-000031790000}"/>
    <cellStyle name="常规 9 2 2 5 2 2 3 2" xfId="5392" xr:uid="{00000000-0005-0000-0000-000032790000}"/>
    <cellStyle name="常规 9 2 2 5 2 2 3 2 2" xfId="11536" xr:uid="{00000000-0005-0000-0000-000033790000}"/>
    <cellStyle name="常规 9 2 2 5 2 2 3 2 2 2" xfId="23824" xr:uid="{00000000-0005-0000-0000-000034790000}"/>
    <cellStyle name="常规 9 2 2 5 2 2 3 2 2 2 2" xfId="48400" xr:uid="{00000000-0005-0000-0000-000035790000}"/>
    <cellStyle name="常规 9 2 2 5 2 2 3 2 2 3" xfId="36112" xr:uid="{00000000-0005-0000-0000-000036790000}"/>
    <cellStyle name="常规 9 2 2 5 2 2 3 2 3" xfId="17680" xr:uid="{00000000-0005-0000-0000-000037790000}"/>
    <cellStyle name="常规 9 2 2 5 2 2 3 2 3 2" xfId="42256" xr:uid="{00000000-0005-0000-0000-000038790000}"/>
    <cellStyle name="常规 9 2 2 5 2 2 3 2 4" xfId="29968" xr:uid="{00000000-0005-0000-0000-000039790000}"/>
    <cellStyle name="常规 9 2 2 5 2 2 3 3" xfId="8464" xr:uid="{00000000-0005-0000-0000-00003A790000}"/>
    <cellStyle name="常规 9 2 2 5 2 2 3 3 2" xfId="20752" xr:uid="{00000000-0005-0000-0000-00003B790000}"/>
    <cellStyle name="常规 9 2 2 5 2 2 3 3 2 2" xfId="45328" xr:uid="{00000000-0005-0000-0000-00003C790000}"/>
    <cellStyle name="常规 9 2 2 5 2 2 3 3 3" xfId="33040" xr:uid="{00000000-0005-0000-0000-00003D790000}"/>
    <cellStyle name="常规 9 2 2 5 2 2 3 4" xfId="14608" xr:uid="{00000000-0005-0000-0000-00003E790000}"/>
    <cellStyle name="常规 9 2 2 5 2 2 3 4 2" xfId="39184" xr:uid="{00000000-0005-0000-0000-00003F790000}"/>
    <cellStyle name="常规 9 2 2 5 2 2 3 5" xfId="26896" xr:uid="{00000000-0005-0000-0000-000040790000}"/>
    <cellStyle name="常规 9 2 2 5 2 2 4" xfId="3856" xr:uid="{00000000-0005-0000-0000-000041790000}"/>
    <cellStyle name="常规 9 2 2 5 2 2 4 2" xfId="10000" xr:uid="{00000000-0005-0000-0000-000042790000}"/>
    <cellStyle name="常规 9 2 2 5 2 2 4 2 2" xfId="22288" xr:uid="{00000000-0005-0000-0000-000043790000}"/>
    <cellStyle name="常规 9 2 2 5 2 2 4 2 2 2" xfId="46864" xr:uid="{00000000-0005-0000-0000-000044790000}"/>
    <cellStyle name="常规 9 2 2 5 2 2 4 2 3" xfId="34576" xr:uid="{00000000-0005-0000-0000-000045790000}"/>
    <cellStyle name="常规 9 2 2 5 2 2 4 3" xfId="16144" xr:uid="{00000000-0005-0000-0000-000046790000}"/>
    <cellStyle name="常规 9 2 2 5 2 2 4 3 2" xfId="40720" xr:uid="{00000000-0005-0000-0000-000047790000}"/>
    <cellStyle name="常规 9 2 2 5 2 2 4 4" xfId="28432" xr:uid="{00000000-0005-0000-0000-000048790000}"/>
    <cellStyle name="常规 9 2 2 5 2 2 5" xfId="6928" xr:uid="{00000000-0005-0000-0000-000049790000}"/>
    <cellStyle name="常规 9 2 2 5 2 2 5 2" xfId="19216" xr:uid="{00000000-0005-0000-0000-00004A790000}"/>
    <cellStyle name="常规 9 2 2 5 2 2 5 2 2" xfId="43792" xr:uid="{00000000-0005-0000-0000-00004B790000}"/>
    <cellStyle name="常规 9 2 2 5 2 2 5 3" xfId="31504" xr:uid="{00000000-0005-0000-0000-00004C790000}"/>
    <cellStyle name="常规 9 2 2 5 2 2 6" xfId="13072" xr:uid="{00000000-0005-0000-0000-00004D790000}"/>
    <cellStyle name="常规 9 2 2 5 2 2 6 2" xfId="37648" xr:uid="{00000000-0005-0000-0000-00004E790000}"/>
    <cellStyle name="常规 9 2 2 5 2 2 7" xfId="25360" xr:uid="{00000000-0005-0000-0000-00004F790000}"/>
    <cellStyle name="常规 9 2 2 5 2 3" xfId="1164" xr:uid="{00000000-0005-0000-0000-000050790000}"/>
    <cellStyle name="常规 9 2 2 5 2 3 2" xfId="2700" xr:uid="{00000000-0005-0000-0000-000051790000}"/>
    <cellStyle name="常规 9 2 2 5 2 3 2 2" xfId="5776" xr:uid="{00000000-0005-0000-0000-000052790000}"/>
    <cellStyle name="常规 9 2 2 5 2 3 2 2 2" xfId="11920" xr:uid="{00000000-0005-0000-0000-000053790000}"/>
    <cellStyle name="常规 9 2 2 5 2 3 2 2 2 2" xfId="24208" xr:uid="{00000000-0005-0000-0000-000054790000}"/>
    <cellStyle name="常规 9 2 2 5 2 3 2 2 2 2 2" xfId="48784" xr:uid="{00000000-0005-0000-0000-000055790000}"/>
    <cellStyle name="常规 9 2 2 5 2 3 2 2 2 3" xfId="36496" xr:uid="{00000000-0005-0000-0000-000056790000}"/>
    <cellStyle name="常规 9 2 2 5 2 3 2 2 3" xfId="18064" xr:uid="{00000000-0005-0000-0000-000057790000}"/>
    <cellStyle name="常规 9 2 2 5 2 3 2 2 3 2" xfId="42640" xr:uid="{00000000-0005-0000-0000-000058790000}"/>
    <cellStyle name="常规 9 2 2 5 2 3 2 2 4" xfId="30352" xr:uid="{00000000-0005-0000-0000-000059790000}"/>
    <cellStyle name="常规 9 2 2 5 2 3 2 3" xfId="8848" xr:uid="{00000000-0005-0000-0000-00005A790000}"/>
    <cellStyle name="常规 9 2 2 5 2 3 2 3 2" xfId="21136" xr:uid="{00000000-0005-0000-0000-00005B790000}"/>
    <cellStyle name="常规 9 2 2 5 2 3 2 3 2 2" xfId="45712" xr:uid="{00000000-0005-0000-0000-00005C790000}"/>
    <cellStyle name="常规 9 2 2 5 2 3 2 3 3" xfId="33424" xr:uid="{00000000-0005-0000-0000-00005D790000}"/>
    <cellStyle name="常规 9 2 2 5 2 3 2 4" xfId="14992" xr:uid="{00000000-0005-0000-0000-00005E790000}"/>
    <cellStyle name="常规 9 2 2 5 2 3 2 4 2" xfId="39568" xr:uid="{00000000-0005-0000-0000-00005F790000}"/>
    <cellStyle name="常规 9 2 2 5 2 3 2 5" xfId="27280" xr:uid="{00000000-0005-0000-0000-000060790000}"/>
    <cellStyle name="常规 9 2 2 5 2 3 3" xfId="4240" xr:uid="{00000000-0005-0000-0000-000061790000}"/>
    <cellStyle name="常规 9 2 2 5 2 3 3 2" xfId="10384" xr:uid="{00000000-0005-0000-0000-000062790000}"/>
    <cellStyle name="常规 9 2 2 5 2 3 3 2 2" xfId="22672" xr:uid="{00000000-0005-0000-0000-000063790000}"/>
    <cellStyle name="常规 9 2 2 5 2 3 3 2 2 2" xfId="47248" xr:uid="{00000000-0005-0000-0000-000064790000}"/>
    <cellStyle name="常规 9 2 2 5 2 3 3 2 3" xfId="34960" xr:uid="{00000000-0005-0000-0000-000065790000}"/>
    <cellStyle name="常规 9 2 2 5 2 3 3 3" xfId="16528" xr:uid="{00000000-0005-0000-0000-000066790000}"/>
    <cellStyle name="常规 9 2 2 5 2 3 3 3 2" xfId="41104" xr:uid="{00000000-0005-0000-0000-000067790000}"/>
    <cellStyle name="常规 9 2 2 5 2 3 3 4" xfId="28816" xr:uid="{00000000-0005-0000-0000-000068790000}"/>
    <cellStyle name="常规 9 2 2 5 2 3 4" xfId="7312" xr:uid="{00000000-0005-0000-0000-000069790000}"/>
    <cellStyle name="常规 9 2 2 5 2 3 4 2" xfId="19600" xr:uid="{00000000-0005-0000-0000-00006A790000}"/>
    <cellStyle name="常规 9 2 2 5 2 3 4 2 2" xfId="44176" xr:uid="{00000000-0005-0000-0000-00006B790000}"/>
    <cellStyle name="常规 9 2 2 5 2 3 4 3" xfId="31888" xr:uid="{00000000-0005-0000-0000-00006C790000}"/>
    <cellStyle name="常规 9 2 2 5 2 3 5" xfId="13456" xr:uid="{00000000-0005-0000-0000-00006D790000}"/>
    <cellStyle name="常规 9 2 2 5 2 3 5 2" xfId="38032" xr:uid="{00000000-0005-0000-0000-00006E790000}"/>
    <cellStyle name="常规 9 2 2 5 2 3 6" xfId="25744" xr:uid="{00000000-0005-0000-0000-00006F790000}"/>
    <cellStyle name="常规 9 2 2 5 2 4" xfId="1932" xr:uid="{00000000-0005-0000-0000-000070790000}"/>
    <cellStyle name="常规 9 2 2 5 2 4 2" xfId="5008" xr:uid="{00000000-0005-0000-0000-000071790000}"/>
    <cellStyle name="常规 9 2 2 5 2 4 2 2" xfId="11152" xr:uid="{00000000-0005-0000-0000-000072790000}"/>
    <cellStyle name="常规 9 2 2 5 2 4 2 2 2" xfId="23440" xr:uid="{00000000-0005-0000-0000-000073790000}"/>
    <cellStyle name="常规 9 2 2 5 2 4 2 2 2 2" xfId="48016" xr:uid="{00000000-0005-0000-0000-000074790000}"/>
    <cellStyle name="常规 9 2 2 5 2 4 2 2 3" xfId="35728" xr:uid="{00000000-0005-0000-0000-000075790000}"/>
    <cellStyle name="常规 9 2 2 5 2 4 2 3" xfId="17296" xr:uid="{00000000-0005-0000-0000-000076790000}"/>
    <cellStyle name="常规 9 2 2 5 2 4 2 3 2" xfId="41872" xr:uid="{00000000-0005-0000-0000-000077790000}"/>
    <cellStyle name="常规 9 2 2 5 2 4 2 4" xfId="29584" xr:uid="{00000000-0005-0000-0000-000078790000}"/>
    <cellStyle name="常规 9 2 2 5 2 4 3" xfId="8080" xr:uid="{00000000-0005-0000-0000-000079790000}"/>
    <cellStyle name="常规 9 2 2 5 2 4 3 2" xfId="20368" xr:uid="{00000000-0005-0000-0000-00007A790000}"/>
    <cellStyle name="常规 9 2 2 5 2 4 3 2 2" xfId="44944" xr:uid="{00000000-0005-0000-0000-00007B790000}"/>
    <cellStyle name="常规 9 2 2 5 2 4 3 3" xfId="32656" xr:uid="{00000000-0005-0000-0000-00007C790000}"/>
    <cellStyle name="常规 9 2 2 5 2 4 4" xfId="14224" xr:uid="{00000000-0005-0000-0000-00007D790000}"/>
    <cellStyle name="常规 9 2 2 5 2 4 4 2" xfId="38800" xr:uid="{00000000-0005-0000-0000-00007E790000}"/>
    <cellStyle name="常规 9 2 2 5 2 4 5" xfId="26512" xr:uid="{00000000-0005-0000-0000-00007F790000}"/>
    <cellStyle name="常规 9 2 2 5 2 5" xfId="3472" xr:uid="{00000000-0005-0000-0000-000080790000}"/>
    <cellStyle name="常规 9 2 2 5 2 5 2" xfId="9616" xr:uid="{00000000-0005-0000-0000-000081790000}"/>
    <cellStyle name="常规 9 2 2 5 2 5 2 2" xfId="21904" xr:uid="{00000000-0005-0000-0000-000082790000}"/>
    <cellStyle name="常规 9 2 2 5 2 5 2 2 2" xfId="46480" xr:uid="{00000000-0005-0000-0000-000083790000}"/>
    <cellStyle name="常规 9 2 2 5 2 5 2 3" xfId="34192" xr:uid="{00000000-0005-0000-0000-000084790000}"/>
    <cellStyle name="常规 9 2 2 5 2 5 3" xfId="15760" xr:uid="{00000000-0005-0000-0000-000085790000}"/>
    <cellStyle name="常规 9 2 2 5 2 5 3 2" xfId="40336" xr:uid="{00000000-0005-0000-0000-000086790000}"/>
    <cellStyle name="常规 9 2 2 5 2 5 4" xfId="28048" xr:uid="{00000000-0005-0000-0000-000087790000}"/>
    <cellStyle name="常规 9 2 2 5 2 6" xfId="6544" xr:uid="{00000000-0005-0000-0000-000088790000}"/>
    <cellStyle name="常规 9 2 2 5 2 6 2" xfId="18832" xr:uid="{00000000-0005-0000-0000-000089790000}"/>
    <cellStyle name="常规 9 2 2 5 2 6 2 2" xfId="43408" xr:uid="{00000000-0005-0000-0000-00008A790000}"/>
    <cellStyle name="常规 9 2 2 5 2 6 3" xfId="31120" xr:uid="{00000000-0005-0000-0000-00008B790000}"/>
    <cellStyle name="常规 9 2 2 5 2 7" xfId="12688" xr:uid="{00000000-0005-0000-0000-00008C790000}"/>
    <cellStyle name="常规 9 2 2 5 2 7 2" xfId="37264" xr:uid="{00000000-0005-0000-0000-00008D790000}"/>
    <cellStyle name="常规 9 2 2 5 2 8" xfId="24976" xr:uid="{00000000-0005-0000-0000-00008E790000}"/>
    <cellStyle name="常规 9 2 2 5 3" xfId="588" xr:uid="{00000000-0005-0000-0000-00008F790000}"/>
    <cellStyle name="常规 9 2 2 5 3 2" xfId="1356" xr:uid="{00000000-0005-0000-0000-000090790000}"/>
    <cellStyle name="常规 9 2 2 5 3 2 2" xfId="2892" xr:uid="{00000000-0005-0000-0000-000091790000}"/>
    <cellStyle name="常规 9 2 2 5 3 2 2 2" xfId="5968" xr:uid="{00000000-0005-0000-0000-000092790000}"/>
    <cellStyle name="常规 9 2 2 5 3 2 2 2 2" xfId="12112" xr:uid="{00000000-0005-0000-0000-000093790000}"/>
    <cellStyle name="常规 9 2 2 5 3 2 2 2 2 2" xfId="24400" xr:uid="{00000000-0005-0000-0000-000094790000}"/>
    <cellStyle name="常规 9 2 2 5 3 2 2 2 2 2 2" xfId="48976" xr:uid="{00000000-0005-0000-0000-000095790000}"/>
    <cellStyle name="常规 9 2 2 5 3 2 2 2 2 3" xfId="36688" xr:uid="{00000000-0005-0000-0000-000096790000}"/>
    <cellStyle name="常规 9 2 2 5 3 2 2 2 3" xfId="18256" xr:uid="{00000000-0005-0000-0000-000097790000}"/>
    <cellStyle name="常规 9 2 2 5 3 2 2 2 3 2" xfId="42832" xr:uid="{00000000-0005-0000-0000-000098790000}"/>
    <cellStyle name="常规 9 2 2 5 3 2 2 2 4" xfId="30544" xr:uid="{00000000-0005-0000-0000-000099790000}"/>
    <cellStyle name="常规 9 2 2 5 3 2 2 3" xfId="9040" xr:uid="{00000000-0005-0000-0000-00009A790000}"/>
    <cellStyle name="常规 9 2 2 5 3 2 2 3 2" xfId="21328" xr:uid="{00000000-0005-0000-0000-00009B790000}"/>
    <cellStyle name="常规 9 2 2 5 3 2 2 3 2 2" xfId="45904" xr:uid="{00000000-0005-0000-0000-00009C790000}"/>
    <cellStyle name="常规 9 2 2 5 3 2 2 3 3" xfId="33616" xr:uid="{00000000-0005-0000-0000-00009D790000}"/>
    <cellStyle name="常规 9 2 2 5 3 2 2 4" xfId="15184" xr:uid="{00000000-0005-0000-0000-00009E790000}"/>
    <cellStyle name="常规 9 2 2 5 3 2 2 4 2" xfId="39760" xr:uid="{00000000-0005-0000-0000-00009F790000}"/>
    <cellStyle name="常规 9 2 2 5 3 2 2 5" xfId="27472" xr:uid="{00000000-0005-0000-0000-0000A0790000}"/>
    <cellStyle name="常规 9 2 2 5 3 2 3" xfId="4432" xr:uid="{00000000-0005-0000-0000-0000A1790000}"/>
    <cellStyle name="常规 9 2 2 5 3 2 3 2" xfId="10576" xr:uid="{00000000-0005-0000-0000-0000A2790000}"/>
    <cellStyle name="常规 9 2 2 5 3 2 3 2 2" xfId="22864" xr:uid="{00000000-0005-0000-0000-0000A3790000}"/>
    <cellStyle name="常规 9 2 2 5 3 2 3 2 2 2" xfId="47440" xr:uid="{00000000-0005-0000-0000-0000A4790000}"/>
    <cellStyle name="常规 9 2 2 5 3 2 3 2 3" xfId="35152" xr:uid="{00000000-0005-0000-0000-0000A5790000}"/>
    <cellStyle name="常规 9 2 2 5 3 2 3 3" xfId="16720" xr:uid="{00000000-0005-0000-0000-0000A6790000}"/>
    <cellStyle name="常规 9 2 2 5 3 2 3 3 2" xfId="41296" xr:uid="{00000000-0005-0000-0000-0000A7790000}"/>
    <cellStyle name="常规 9 2 2 5 3 2 3 4" xfId="29008" xr:uid="{00000000-0005-0000-0000-0000A8790000}"/>
    <cellStyle name="常规 9 2 2 5 3 2 4" xfId="7504" xr:uid="{00000000-0005-0000-0000-0000A9790000}"/>
    <cellStyle name="常规 9 2 2 5 3 2 4 2" xfId="19792" xr:uid="{00000000-0005-0000-0000-0000AA790000}"/>
    <cellStyle name="常规 9 2 2 5 3 2 4 2 2" xfId="44368" xr:uid="{00000000-0005-0000-0000-0000AB790000}"/>
    <cellStyle name="常规 9 2 2 5 3 2 4 3" xfId="32080" xr:uid="{00000000-0005-0000-0000-0000AC790000}"/>
    <cellStyle name="常规 9 2 2 5 3 2 5" xfId="13648" xr:uid="{00000000-0005-0000-0000-0000AD790000}"/>
    <cellStyle name="常规 9 2 2 5 3 2 5 2" xfId="38224" xr:uid="{00000000-0005-0000-0000-0000AE790000}"/>
    <cellStyle name="常规 9 2 2 5 3 2 6" xfId="25936" xr:uid="{00000000-0005-0000-0000-0000AF790000}"/>
    <cellStyle name="常规 9 2 2 5 3 3" xfId="2124" xr:uid="{00000000-0005-0000-0000-0000B0790000}"/>
    <cellStyle name="常规 9 2 2 5 3 3 2" xfId="5200" xr:uid="{00000000-0005-0000-0000-0000B1790000}"/>
    <cellStyle name="常规 9 2 2 5 3 3 2 2" xfId="11344" xr:uid="{00000000-0005-0000-0000-0000B2790000}"/>
    <cellStyle name="常规 9 2 2 5 3 3 2 2 2" xfId="23632" xr:uid="{00000000-0005-0000-0000-0000B3790000}"/>
    <cellStyle name="常规 9 2 2 5 3 3 2 2 2 2" xfId="48208" xr:uid="{00000000-0005-0000-0000-0000B4790000}"/>
    <cellStyle name="常规 9 2 2 5 3 3 2 2 3" xfId="35920" xr:uid="{00000000-0005-0000-0000-0000B5790000}"/>
    <cellStyle name="常规 9 2 2 5 3 3 2 3" xfId="17488" xr:uid="{00000000-0005-0000-0000-0000B6790000}"/>
    <cellStyle name="常规 9 2 2 5 3 3 2 3 2" xfId="42064" xr:uid="{00000000-0005-0000-0000-0000B7790000}"/>
    <cellStyle name="常规 9 2 2 5 3 3 2 4" xfId="29776" xr:uid="{00000000-0005-0000-0000-0000B8790000}"/>
    <cellStyle name="常规 9 2 2 5 3 3 3" xfId="8272" xr:uid="{00000000-0005-0000-0000-0000B9790000}"/>
    <cellStyle name="常规 9 2 2 5 3 3 3 2" xfId="20560" xr:uid="{00000000-0005-0000-0000-0000BA790000}"/>
    <cellStyle name="常规 9 2 2 5 3 3 3 2 2" xfId="45136" xr:uid="{00000000-0005-0000-0000-0000BB790000}"/>
    <cellStyle name="常规 9 2 2 5 3 3 3 3" xfId="32848" xr:uid="{00000000-0005-0000-0000-0000BC790000}"/>
    <cellStyle name="常规 9 2 2 5 3 3 4" xfId="14416" xr:uid="{00000000-0005-0000-0000-0000BD790000}"/>
    <cellStyle name="常规 9 2 2 5 3 3 4 2" xfId="38992" xr:uid="{00000000-0005-0000-0000-0000BE790000}"/>
    <cellStyle name="常规 9 2 2 5 3 3 5" xfId="26704" xr:uid="{00000000-0005-0000-0000-0000BF790000}"/>
    <cellStyle name="常规 9 2 2 5 3 4" xfId="3664" xr:uid="{00000000-0005-0000-0000-0000C0790000}"/>
    <cellStyle name="常规 9 2 2 5 3 4 2" xfId="9808" xr:uid="{00000000-0005-0000-0000-0000C1790000}"/>
    <cellStyle name="常规 9 2 2 5 3 4 2 2" xfId="22096" xr:uid="{00000000-0005-0000-0000-0000C2790000}"/>
    <cellStyle name="常规 9 2 2 5 3 4 2 2 2" xfId="46672" xr:uid="{00000000-0005-0000-0000-0000C3790000}"/>
    <cellStyle name="常规 9 2 2 5 3 4 2 3" xfId="34384" xr:uid="{00000000-0005-0000-0000-0000C4790000}"/>
    <cellStyle name="常规 9 2 2 5 3 4 3" xfId="15952" xr:uid="{00000000-0005-0000-0000-0000C5790000}"/>
    <cellStyle name="常规 9 2 2 5 3 4 3 2" xfId="40528" xr:uid="{00000000-0005-0000-0000-0000C6790000}"/>
    <cellStyle name="常规 9 2 2 5 3 4 4" xfId="28240" xr:uid="{00000000-0005-0000-0000-0000C7790000}"/>
    <cellStyle name="常规 9 2 2 5 3 5" xfId="6736" xr:uid="{00000000-0005-0000-0000-0000C8790000}"/>
    <cellStyle name="常规 9 2 2 5 3 5 2" xfId="19024" xr:uid="{00000000-0005-0000-0000-0000C9790000}"/>
    <cellStyle name="常规 9 2 2 5 3 5 2 2" xfId="43600" xr:uid="{00000000-0005-0000-0000-0000CA790000}"/>
    <cellStyle name="常规 9 2 2 5 3 5 3" xfId="31312" xr:uid="{00000000-0005-0000-0000-0000CB790000}"/>
    <cellStyle name="常规 9 2 2 5 3 6" xfId="12880" xr:uid="{00000000-0005-0000-0000-0000CC790000}"/>
    <cellStyle name="常规 9 2 2 5 3 6 2" xfId="37456" xr:uid="{00000000-0005-0000-0000-0000CD790000}"/>
    <cellStyle name="常规 9 2 2 5 3 7" xfId="25168" xr:uid="{00000000-0005-0000-0000-0000CE790000}"/>
    <cellStyle name="常规 9 2 2 5 4" xfId="972" xr:uid="{00000000-0005-0000-0000-0000CF790000}"/>
    <cellStyle name="常规 9 2 2 5 4 2" xfId="2508" xr:uid="{00000000-0005-0000-0000-0000D0790000}"/>
    <cellStyle name="常规 9 2 2 5 4 2 2" xfId="5584" xr:uid="{00000000-0005-0000-0000-0000D1790000}"/>
    <cellStyle name="常规 9 2 2 5 4 2 2 2" xfId="11728" xr:uid="{00000000-0005-0000-0000-0000D2790000}"/>
    <cellStyle name="常规 9 2 2 5 4 2 2 2 2" xfId="24016" xr:uid="{00000000-0005-0000-0000-0000D3790000}"/>
    <cellStyle name="常规 9 2 2 5 4 2 2 2 2 2" xfId="48592" xr:uid="{00000000-0005-0000-0000-0000D4790000}"/>
    <cellStyle name="常规 9 2 2 5 4 2 2 2 3" xfId="36304" xr:uid="{00000000-0005-0000-0000-0000D5790000}"/>
    <cellStyle name="常规 9 2 2 5 4 2 2 3" xfId="17872" xr:uid="{00000000-0005-0000-0000-0000D6790000}"/>
    <cellStyle name="常规 9 2 2 5 4 2 2 3 2" xfId="42448" xr:uid="{00000000-0005-0000-0000-0000D7790000}"/>
    <cellStyle name="常规 9 2 2 5 4 2 2 4" xfId="30160" xr:uid="{00000000-0005-0000-0000-0000D8790000}"/>
    <cellStyle name="常规 9 2 2 5 4 2 3" xfId="8656" xr:uid="{00000000-0005-0000-0000-0000D9790000}"/>
    <cellStyle name="常规 9 2 2 5 4 2 3 2" xfId="20944" xr:uid="{00000000-0005-0000-0000-0000DA790000}"/>
    <cellStyle name="常规 9 2 2 5 4 2 3 2 2" xfId="45520" xr:uid="{00000000-0005-0000-0000-0000DB790000}"/>
    <cellStyle name="常规 9 2 2 5 4 2 3 3" xfId="33232" xr:uid="{00000000-0005-0000-0000-0000DC790000}"/>
    <cellStyle name="常规 9 2 2 5 4 2 4" xfId="14800" xr:uid="{00000000-0005-0000-0000-0000DD790000}"/>
    <cellStyle name="常规 9 2 2 5 4 2 4 2" xfId="39376" xr:uid="{00000000-0005-0000-0000-0000DE790000}"/>
    <cellStyle name="常规 9 2 2 5 4 2 5" xfId="27088" xr:uid="{00000000-0005-0000-0000-0000DF790000}"/>
    <cellStyle name="常规 9 2 2 5 4 3" xfId="4048" xr:uid="{00000000-0005-0000-0000-0000E0790000}"/>
    <cellStyle name="常规 9 2 2 5 4 3 2" xfId="10192" xr:uid="{00000000-0005-0000-0000-0000E1790000}"/>
    <cellStyle name="常规 9 2 2 5 4 3 2 2" xfId="22480" xr:uid="{00000000-0005-0000-0000-0000E2790000}"/>
    <cellStyle name="常规 9 2 2 5 4 3 2 2 2" xfId="47056" xr:uid="{00000000-0005-0000-0000-0000E3790000}"/>
    <cellStyle name="常规 9 2 2 5 4 3 2 3" xfId="34768" xr:uid="{00000000-0005-0000-0000-0000E4790000}"/>
    <cellStyle name="常规 9 2 2 5 4 3 3" xfId="16336" xr:uid="{00000000-0005-0000-0000-0000E5790000}"/>
    <cellStyle name="常规 9 2 2 5 4 3 3 2" xfId="40912" xr:uid="{00000000-0005-0000-0000-0000E6790000}"/>
    <cellStyle name="常规 9 2 2 5 4 3 4" xfId="28624" xr:uid="{00000000-0005-0000-0000-0000E7790000}"/>
    <cellStyle name="常规 9 2 2 5 4 4" xfId="7120" xr:uid="{00000000-0005-0000-0000-0000E8790000}"/>
    <cellStyle name="常规 9 2 2 5 4 4 2" xfId="19408" xr:uid="{00000000-0005-0000-0000-0000E9790000}"/>
    <cellStyle name="常规 9 2 2 5 4 4 2 2" xfId="43984" xr:uid="{00000000-0005-0000-0000-0000EA790000}"/>
    <cellStyle name="常规 9 2 2 5 4 4 3" xfId="31696" xr:uid="{00000000-0005-0000-0000-0000EB790000}"/>
    <cellStyle name="常规 9 2 2 5 4 5" xfId="13264" xr:uid="{00000000-0005-0000-0000-0000EC790000}"/>
    <cellStyle name="常规 9 2 2 5 4 5 2" xfId="37840" xr:uid="{00000000-0005-0000-0000-0000ED790000}"/>
    <cellStyle name="常规 9 2 2 5 4 6" xfId="25552" xr:uid="{00000000-0005-0000-0000-0000EE790000}"/>
    <cellStyle name="常规 9 2 2 5 5" xfId="1740" xr:uid="{00000000-0005-0000-0000-0000EF790000}"/>
    <cellStyle name="常规 9 2 2 5 5 2" xfId="4816" xr:uid="{00000000-0005-0000-0000-0000F0790000}"/>
    <cellStyle name="常规 9 2 2 5 5 2 2" xfId="10960" xr:uid="{00000000-0005-0000-0000-0000F1790000}"/>
    <cellStyle name="常规 9 2 2 5 5 2 2 2" xfId="23248" xr:uid="{00000000-0005-0000-0000-0000F2790000}"/>
    <cellStyle name="常规 9 2 2 5 5 2 2 2 2" xfId="47824" xr:uid="{00000000-0005-0000-0000-0000F3790000}"/>
    <cellStyle name="常规 9 2 2 5 5 2 2 3" xfId="35536" xr:uid="{00000000-0005-0000-0000-0000F4790000}"/>
    <cellStyle name="常规 9 2 2 5 5 2 3" xfId="17104" xr:uid="{00000000-0005-0000-0000-0000F5790000}"/>
    <cellStyle name="常规 9 2 2 5 5 2 3 2" xfId="41680" xr:uid="{00000000-0005-0000-0000-0000F6790000}"/>
    <cellStyle name="常规 9 2 2 5 5 2 4" xfId="29392" xr:uid="{00000000-0005-0000-0000-0000F7790000}"/>
    <cellStyle name="常规 9 2 2 5 5 3" xfId="7888" xr:uid="{00000000-0005-0000-0000-0000F8790000}"/>
    <cellStyle name="常规 9 2 2 5 5 3 2" xfId="20176" xr:uid="{00000000-0005-0000-0000-0000F9790000}"/>
    <cellStyle name="常规 9 2 2 5 5 3 2 2" xfId="44752" xr:uid="{00000000-0005-0000-0000-0000FA790000}"/>
    <cellStyle name="常规 9 2 2 5 5 3 3" xfId="32464" xr:uid="{00000000-0005-0000-0000-0000FB790000}"/>
    <cellStyle name="常规 9 2 2 5 5 4" xfId="14032" xr:uid="{00000000-0005-0000-0000-0000FC790000}"/>
    <cellStyle name="常规 9 2 2 5 5 4 2" xfId="38608" xr:uid="{00000000-0005-0000-0000-0000FD790000}"/>
    <cellStyle name="常规 9 2 2 5 5 5" xfId="26320" xr:uid="{00000000-0005-0000-0000-0000FE790000}"/>
    <cellStyle name="常规 9 2 2 5 6" xfId="3280" xr:uid="{00000000-0005-0000-0000-0000FF790000}"/>
    <cellStyle name="常规 9 2 2 5 6 2" xfId="9424" xr:uid="{00000000-0005-0000-0000-0000007A0000}"/>
    <cellStyle name="常规 9 2 2 5 6 2 2" xfId="21712" xr:uid="{00000000-0005-0000-0000-0000017A0000}"/>
    <cellStyle name="常规 9 2 2 5 6 2 2 2" xfId="46288" xr:uid="{00000000-0005-0000-0000-0000027A0000}"/>
    <cellStyle name="常规 9 2 2 5 6 2 3" xfId="34000" xr:uid="{00000000-0005-0000-0000-0000037A0000}"/>
    <cellStyle name="常规 9 2 2 5 6 3" xfId="15568" xr:uid="{00000000-0005-0000-0000-0000047A0000}"/>
    <cellStyle name="常规 9 2 2 5 6 3 2" xfId="40144" xr:uid="{00000000-0005-0000-0000-0000057A0000}"/>
    <cellStyle name="常规 9 2 2 5 6 4" xfId="27856" xr:uid="{00000000-0005-0000-0000-0000067A0000}"/>
    <cellStyle name="常规 9 2 2 5 7" xfId="6352" xr:uid="{00000000-0005-0000-0000-0000077A0000}"/>
    <cellStyle name="常规 9 2 2 5 7 2" xfId="18640" xr:uid="{00000000-0005-0000-0000-0000087A0000}"/>
    <cellStyle name="常规 9 2 2 5 7 2 2" xfId="43216" xr:uid="{00000000-0005-0000-0000-0000097A0000}"/>
    <cellStyle name="常规 9 2 2 5 7 3" xfId="30928" xr:uid="{00000000-0005-0000-0000-00000A7A0000}"/>
    <cellStyle name="常规 9 2 2 5 8" xfId="12496" xr:uid="{00000000-0005-0000-0000-00000B7A0000}"/>
    <cellStyle name="常规 9 2 2 5 8 2" xfId="37072" xr:uid="{00000000-0005-0000-0000-00000C7A0000}"/>
    <cellStyle name="常规 9 2 2 5 9" xfId="24784" xr:uid="{00000000-0005-0000-0000-00000D7A0000}"/>
    <cellStyle name="常规 9 2 2 6" xfId="268" xr:uid="{00000000-0005-0000-0000-00000E7A0000}"/>
    <cellStyle name="常规 9 2 2 6 2" xfId="460" xr:uid="{00000000-0005-0000-0000-00000F7A0000}"/>
    <cellStyle name="常规 9 2 2 6 2 2" xfId="844" xr:uid="{00000000-0005-0000-0000-0000107A0000}"/>
    <cellStyle name="常规 9 2 2 6 2 2 2" xfId="1612" xr:uid="{00000000-0005-0000-0000-0000117A0000}"/>
    <cellStyle name="常规 9 2 2 6 2 2 2 2" xfId="3148" xr:uid="{00000000-0005-0000-0000-0000127A0000}"/>
    <cellStyle name="常规 9 2 2 6 2 2 2 2 2" xfId="6224" xr:uid="{00000000-0005-0000-0000-0000137A0000}"/>
    <cellStyle name="常规 9 2 2 6 2 2 2 2 2 2" xfId="12368" xr:uid="{00000000-0005-0000-0000-0000147A0000}"/>
    <cellStyle name="常规 9 2 2 6 2 2 2 2 2 2 2" xfId="24656" xr:uid="{00000000-0005-0000-0000-0000157A0000}"/>
    <cellStyle name="常规 9 2 2 6 2 2 2 2 2 2 2 2" xfId="49232" xr:uid="{00000000-0005-0000-0000-0000167A0000}"/>
    <cellStyle name="常规 9 2 2 6 2 2 2 2 2 2 3" xfId="36944" xr:uid="{00000000-0005-0000-0000-0000177A0000}"/>
    <cellStyle name="常规 9 2 2 6 2 2 2 2 2 3" xfId="18512" xr:uid="{00000000-0005-0000-0000-0000187A0000}"/>
    <cellStyle name="常规 9 2 2 6 2 2 2 2 2 3 2" xfId="43088" xr:uid="{00000000-0005-0000-0000-0000197A0000}"/>
    <cellStyle name="常规 9 2 2 6 2 2 2 2 2 4" xfId="30800" xr:uid="{00000000-0005-0000-0000-00001A7A0000}"/>
    <cellStyle name="常规 9 2 2 6 2 2 2 2 3" xfId="9296" xr:uid="{00000000-0005-0000-0000-00001B7A0000}"/>
    <cellStyle name="常规 9 2 2 6 2 2 2 2 3 2" xfId="21584" xr:uid="{00000000-0005-0000-0000-00001C7A0000}"/>
    <cellStyle name="常规 9 2 2 6 2 2 2 2 3 2 2" xfId="46160" xr:uid="{00000000-0005-0000-0000-00001D7A0000}"/>
    <cellStyle name="常规 9 2 2 6 2 2 2 2 3 3" xfId="33872" xr:uid="{00000000-0005-0000-0000-00001E7A0000}"/>
    <cellStyle name="常规 9 2 2 6 2 2 2 2 4" xfId="15440" xr:uid="{00000000-0005-0000-0000-00001F7A0000}"/>
    <cellStyle name="常规 9 2 2 6 2 2 2 2 4 2" xfId="40016" xr:uid="{00000000-0005-0000-0000-0000207A0000}"/>
    <cellStyle name="常规 9 2 2 6 2 2 2 2 5" xfId="27728" xr:uid="{00000000-0005-0000-0000-0000217A0000}"/>
    <cellStyle name="常规 9 2 2 6 2 2 2 3" xfId="4688" xr:uid="{00000000-0005-0000-0000-0000227A0000}"/>
    <cellStyle name="常规 9 2 2 6 2 2 2 3 2" xfId="10832" xr:uid="{00000000-0005-0000-0000-0000237A0000}"/>
    <cellStyle name="常规 9 2 2 6 2 2 2 3 2 2" xfId="23120" xr:uid="{00000000-0005-0000-0000-0000247A0000}"/>
    <cellStyle name="常规 9 2 2 6 2 2 2 3 2 2 2" xfId="47696" xr:uid="{00000000-0005-0000-0000-0000257A0000}"/>
    <cellStyle name="常规 9 2 2 6 2 2 2 3 2 3" xfId="35408" xr:uid="{00000000-0005-0000-0000-0000267A0000}"/>
    <cellStyle name="常规 9 2 2 6 2 2 2 3 3" xfId="16976" xr:uid="{00000000-0005-0000-0000-0000277A0000}"/>
    <cellStyle name="常规 9 2 2 6 2 2 2 3 3 2" xfId="41552" xr:uid="{00000000-0005-0000-0000-0000287A0000}"/>
    <cellStyle name="常规 9 2 2 6 2 2 2 3 4" xfId="29264" xr:uid="{00000000-0005-0000-0000-0000297A0000}"/>
    <cellStyle name="常规 9 2 2 6 2 2 2 4" xfId="7760" xr:uid="{00000000-0005-0000-0000-00002A7A0000}"/>
    <cellStyle name="常规 9 2 2 6 2 2 2 4 2" xfId="20048" xr:uid="{00000000-0005-0000-0000-00002B7A0000}"/>
    <cellStyle name="常规 9 2 2 6 2 2 2 4 2 2" xfId="44624" xr:uid="{00000000-0005-0000-0000-00002C7A0000}"/>
    <cellStyle name="常规 9 2 2 6 2 2 2 4 3" xfId="32336" xr:uid="{00000000-0005-0000-0000-00002D7A0000}"/>
    <cellStyle name="常规 9 2 2 6 2 2 2 5" xfId="13904" xr:uid="{00000000-0005-0000-0000-00002E7A0000}"/>
    <cellStyle name="常规 9 2 2 6 2 2 2 5 2" xfId="38480" xr:uid="{00000000-0005-0000-0000-00002F7A0000}"/>
    <cellStyle name="常规 9 2 2 6 2 2 2 6" xfId="26192" xr:uid="{00000000-0005-0000-0000-0000307A0000}"/>
    <cellStyle name="常规 9 2 2 6 2 2 3" xfId="2380" xr:uid="{00000000-0005-0000-0000-0000317A0000}"/>
    <cellStyle name="常规 9 2 2 6 2 2 3 2" xfId="5456" xr:uid="{00000000-0005-0000-0000-0000327A0000}"/>
    <cellStyle name="常规 9 2 2 6 2 2 3 2 2" xfId="11600" xr:uid="{00000000-0005-0000-0000-0000337A0000}"/>
    <cellStyle name="常规 9 2 2 6 2 2 3 2 2 2" xfId="23888" xr:uid="{00000000-0005-0000-0000-0000347A0000}"/>
    <cellStyle name="常规 9 2 2 6 2 2 3 2 2 2 2" xfId="48464" xr:uid="{00000000-0005-0000-0000-0000357A0000}"/>
    <cellStyle name="常规 9 2 2 6 2 2 3 2 2 3" xfId="36176" xr:uid="{00000000-0005-0000-0000-0000367A0000}"/>
    <cellStyle name="常规 9 2 2 6 2 2 3 2 3" xfId="17744" xr:uid="{00000000-0005-0000-0000-0000377A0000}"/>
    <cellStyle name="常规 9 2 2 6 2 2 3 2 3 2" xfId="42320" xr:uid="{00000000-0005-0000-0000-0000387A0000}"/>
    <cellStyle name="常规 9 2 2 6 2 2 3 2 4" xfId="30032" xr:uid="{00000000-0005-0000-0000-0000397A0000}"/>
    <cellStyle name="常规 9 2 2 6 2 2 3 3" xfId="8528" xr:uid="{00000000-0005-0000-0000-00003A7A0000}"/>
    <cellStyle name="常规 9 2 2 6 2 2 3 3 2" xfId="20816" xr:uid="{00000000-0005-0000-0000-00003B7A0000}"/>
    <cellStyle name="常规 9 2 2 6 2 2 3 3 2 2" xfId="45392" xr:uid="{00000000-0005-0000-0000-00003C7A0000}"/>
    <cellStyle name="常规 9 2 2 6 2 2 3 3 3" xfId="33104" xr:uid="{00000000-0005-0000-0000-00003D7A0000}"/>
    <cellStyle name="常规 9 2 2 6 2 2 3 4" xfId="14672" xr:uid="{00000000-0005-0000-0000-00003E7A0000}"/>
    <cellStyle name="常规 9 2 2 6 2 2 3 4 2" xfId="39248" xr:uid="{00000000-0005-0000-0000-00003F7A0000}"/>
    <cellStyle name="常规 9 2 2 6 2 2 3 5" xfId="26960" xr:uid="{00000000-0005-0000-0000-0000407A0000}"/>
    <cellStyle name="常规 9 2 2 6 2 2 4" xfId="3920" xr:uid="{00000000-0005-0000-0000-0000417A0000}"/>
    <cellStyle name="常规 9 2 2 6 2 2 4 2" xfId="10064" xr:uid="{00000000-0005-0000-0000-0000427A0000}"/>
    <cellStyle name="常规 9 2 2 6 2 2 4 2 2" xfId="22352" xr:uid="{00000000-0005-0000-0000-0000437A0000}"/>
    <cellStyle name="常规 9 2 2 6 2 2 4 2 2 2" xfId="46928" xr:uid="{00000000-0005-0000-0000-0000447A0000}"/>
    <cellStyle name="常规 9 2 2 6 2 2 4 2 3" xfId="34640" xr:uid="{00000000-0005-0000-0000-0000457A0000}"/>
    <cellStyle name="常规 9 2 2 6 2 2 4 3" xfId="16208" xr:uid="{00000000-0005-0000-0000-0000467A0000}"/>
    <cellStyle name="常规 9 2 2 6 2 2 4 3 2" xfId="40784" xr:uid="{00000000-0005-0000-0000-0000477A0000}"/>
    <cellStyle name="常规 9 2 2 6 2 2 4 4" xfId="28496" xr:uid="{00000000-0005-0000-0000-0000487A0000}"/>
    <cellStyle name="常规 9 2 2 6 2 2 5" xfId="6992" xr:uid="{00000000-0005-0000-0000-0000497A0000}"/>
    <cellStyle name="常规 9 2 2 6 2 2 5 2" xfId="19280" xr:uid="{00000000-0005-0000-0000-00004A7A0000}"/>
    <cellStyle name="常规 9 2 2 6 2 2 5 2 2" xfId="43856" xr:uid="{00000000-0005-0000-0000-00004B7A0000}"/>
    <cellStyle name="常规 9 2 2 6 2 2 5 3" xfId="31568" xr:uid="{00000000-0005-0000-0000-00004C7A0000}"/>
    <cellStyle name="常规 9 2 2 6 2 2 6" xfId="13136" xr:uid="{00000000-0005-0000-0000-00004D7A0000}"/>
    <cellStyle name="常规 9 2 2 6 2 2 6 2" xfId="37712" xr:uid="{00000000-0005-0000-0000-00004E7A0000}"/>
    <cellStyle name="常规 9 2 2 6 2 2 7" xfId="25424" xr:uid="{00000000-0005-0000-0000-00004F7A0000}"/>
    <cellStyle name="常规 9 2 2 6 2 3" xfId="1228" xr:uid="{00000000-0005-0000-0000-0000507A0000}"/>
    <cellStyle name="常规 9 2 2 6 2 3 2" xfId="2764" xr:uid="{00000000-0005-0000-0000-0000517A0000}"/>
    <cellStyle name="常规 9 2 2 6 2 3 2 2" xfId="5840" xr:uid="{00000000-0005-0000-0000-0000527A0000}"/>
    <cellStyle name="常规 9 2 2 6 2 3 2 2 2" xfId="11984" xr:uid="{00000000-0005-0000-0000-0000537A0000}"/>
    <cellStyle name="常规 9 2 2 6 2 3 2 2 2 2" xfId="24272" xr:uid="{00000000-0005-0000-0000-0000547A0000}"/>
    <cellStyle name="常规 9 2 2 6 2 3 2 2 2 2 2" xfId="48848" xr:uid="{00000000-0005-0000-0000-0000557A0000}"/>
    <cellStyle name="常规 9 2 2 6 2 3 2 2 2 3" xfId="36560" xr:uid="{00000000-0005-0000-0000-0000567A0000}"/>
    <cellStyle name="常规 9 2 2 6 2 3 2 2 3" xfId="18128" xr:uid="{00000000-0005-0000-0000-0000577A0000}"/>
    <cellStyle name="常规 9 2 2 6 2 3 2 2 3 2" xfId="42704" xr:uid="{00000000-0005-0000-0000-0000587A0000}"/>
    <cellStyle name="常规 9 2 2 6 2 3 2 2 4" xfId="30416" xr:uid="{00000000-0005-0000-0000-0000597A0000}"/>
    <cellStyle name="常规 9 2 2 6 2 3 2 3" xfId="8912" xr:uid="{00000000-0005-0000-0000-00005A7A0000}"/>
    <cellStyle name="常规 9 2 2 6 2 3 2 3 2" xfId="21200" xr:uid="{00000000-0005-0000-0000-00005B7A0000}"/>
    <cellStyle name="常规 9 2 2 6 2 3 2 3 2 2" xfId="45776" xr:uid="{00000000-0005-0000-0000-00005C7A0000}"/>
    <cellStyle name="常规 9 2 2 6 2 3 2 3 3" xfId="33488" xr:uid="{00000000-0005-0000-0000-00005D7A0000}"/>
    <cellStyle name="常规 9 2 2 6 2 3 2 4" xfId="15056" xr:uid="{00000000-0005-0000-0000-00005E7A0000}"/>
    <cellStyle name="常规 9 2 2 6 2 3 2 4 2" xfId="39632" xr:uid="{00000000-0005-0000-0000-00005F7A0000}"/>
    <cellStyle name="常规 9 2 2 6 2 3 2 5" xfId="27344" xr:uid="{00000000-0005-0000-0000-0000607A0000}"/>
    <cellStyle name="常规 9 2 2 6 2 3 3" xfId="4304" xr:uid="{00000000-0005-0000-0000-0000617A0000}"/>
    <cellStyle name="常规 9 2 2 6 2 3 3 2" xfId="10448" xr:uid="{00000000-0005-0000-0000-0000627A0000}"/>
    <cellStyle name="常规 9 2 2 6 2 3 3 2 2" xfId="22736" xr:uid="{00000000-0005-0000-0000-0000637A0000}"/>
    <cellStyle name="常规 9 2 2 6 2 3 3 2 2 2" xfId="47312" xr:uid="{00000000-0005-0000-0000-0000647A0000}"/>
    <cellStyle name="常规 9 2 2 6 2 3 3 2 3" xfId="35024" xr:uid="{00000000-0005-0000-0000-0000657A0000}"/>
    <cellStyle name="常规 9 2 2 6 2 3 3 3" xfId="16592" xr:uid="{00000000-0005-0000-0000-0000667A0000}"/>
    <cellStyle name="常规 9 2 2 6 2 3 3 3 2" xfId="41168" xr:uid="{00000000-0005-0000-0000-0000677A0000}"/>
    <cellStyle name="常规 9 2 2 6 2 3 3 4" xfId="28880" xr:uid="{00000000-0005-0000-0000-0000687A0000}"/>
    <cellStyle name="常规 9 2 2 6 2 3 4" xfId="7376" xr:uid="{00000000-0005-0000-0000-0000697A0000}"/>
    <cellStyle name="常规 9 2 2 6 2 3 4 2" xfId="19664" xr:uid="{00000000-0005-0000-0000-00006A7A0000}"/>
    <cellStyle name="常规 9 2 2 6 2 3 4 2 2" xfId="44240" xr:uid="{00000000-0005-0000-0000-00006B7A0000}"/>
    <cellStyle name="常规 9 2 2 6 2 3 4 3" xfId="31952" xr:uid="{00000000-0005-0000-0000-00006C7A0000}"/>
    <cellStyle name="常规 9 2 2 6 2 3 5" xfId="13520" xr:uid="{00000000-0005-0000-0000-00006D7A0000}"/>
    <cellStyle name="常规 9 2 2 6 2 3 5 2" xfId="38096" xr:uid="{00000000-0005-0000-0000-00006E7A0000}"/>
    <cellStyle name="常规 9 2 2 6 2 3 6" xfId="25808" xr:uid="{00000000-0005-0000-0000-00006F7A0000}"/>
    <cellStyle name="常规 9 2 2 6 2 4" xfId="1996" xr:uid="{00000000-0005-0000-0000-0000707A0000}"/>
    <cellStyle name="常规 9 2 2 6 2 4 2" xfId="5072" xr:uid="{00000000-0005-0000-0000-0000717A0000}"/>
    <cellStyle name="常规 9 2 2 6 2 4 2 2" xfId="11216" xr:uid="{00000000-0005-0000-0000-0000727A0000}"/>
    <cellStyle name="常规 9 2 2 6 2 4 2 2 2" xfId="23504" xr:uid="{00000000-0005-0000-0000-0000737A0000}"/>
    <cellStyle name="常规 9 2 2 6 2 4 2 2 2 2" xfId="48080" xr:uid="{00000000-0005-0000-0000-0000747A0000}"/>
    <cellStyle name="常规 9 2 2 6 2 4 2 2 3" xfId="35792" xr:uid="{00000000-0005-0000-0000-0000757A0000}"/>
    <cellStyle name="常规 9 2 2 6 2 4 2 3" xfId="17360" xr:uid="{00000000-0005-0000-0000-0000767A0000}"/>
    <cellStyle name="常规 9 2 2 6 2 4 2 3 2" xfId="41936" xr:uid="{00000000-0005-0000-0000-0000777A0000}"/>
    <cellStyle name="常规 9 2 2 6 2 4 2 4" xfId="29648" xr:uid="{00000000-0005-0000-0000-0000787A0000}"/>
    <cellStyle name="常规 9 2 2 6 2 4 3" xfId="8144" xr:uid="{00000000-0005-0000-0000-0000797A0000}"/>
    <cellStyle name="常规 9 2 2 6 2 4 3 2" xfId="20432" xr:uid="{00000000-0005-0000-0000-00007A7A0000}"/>
    <cellStyle name="常规 9 2 2 6 2 4 3 2 2" xfId="45008" xr:uid="{00000000-0005-0000-0000-00007B7A0000}"/>
    <cellStyle name="常规 9 2 2 6 2 4 3 3" xfId="32720" xr:uid="{00000000-0005-0000-0000-00007C7A0000}"/>
    <cellStyle name="常规 9 2 2 6 2 4 4" xfId="14288" xr:uid="{00000000-0005-0000-0000-00007D7A0000}"/>
    <cellStyle name="常规 9 2 2 6 2 4 4 2" xfId="38864" xr:uid="{00000000-0005-0000-0000-00007E7A0000}"/>
    <cellStyle name="常规 9 2 2 6 2 4 5" xfId="26576" xr:uid="{00000000-0005-0000-0000-00007F7A0000}"/>
    <cellStyle name="常规 9 2 2 6 2 5" xfId="3536" xr:uid="{00000000-0005-0000-0000-0000807A0000}"/>
    <cellStyle name="常规 9 2 2 6 2 5 2" xfId="9680" xr:uid="{00000000-0005-0000-0000-0000817A0000}"/>
    <cellStyle name="常规 9 2 2 6 2 5 2 2" xfId="21968" xr:uid="{00000000-0005-0000-0000-0000827A0000}"/>
    <cellStyle name="常规 9 2 2 6 2 5 2 2 2" xfId="46544" xr:uid="{00000000-0005-0000-0000-0000837A0000}"/>
    <cellStyle name="常规 9 2 2 6 2 5 2 3" xfId="34256" xr:uid="{00000000-0005-0000-0000-0000847A0000}"/>
    <cellStyle name="常规 9 2 2 6 2 5 3" xfId="15824" xr:uid="{00000000-0005-0000-0000-0000857A0000}"/>
    <cellStyle name="常规 9 2 2 6 2 5 3 2" xfId="40400" xr:uid="{00000000-0005-0000-0000-0000867A0000}"/>
    <cellStyle name="常规 9 2 2 6 2 5 4" xfId="28112" xr:uid="{00000000-0005-0000-0000-0000877A0000}"/>
    <cellStyle name="常规 9 2 2 6 2 6" xfId="6608" xr:uid="{00000000-0005-0000-0000-0000887A0000}"/>
    <cellStyle name="常规 9 2 2 6 2 6 2" xfId="18896" xr:uid="{00000000-0005-0000-0000-0000897A0000}"/>
    <cellStyle name="常规 9 2 2 6 2 6 2 2" xfId="43472" xr:uid="{00000000-0005-0000-0000-00008A7A0000}"/>
    <cellStyle name="常规 9 2 2 6 2 6 3" xfId="31184" xr:uid="{00000000-0005-0000-0000-00008B7A0000}"/>
    <cellStyle name="常规 9 2 2 6 2 7" xfId="12752" xr:uid="{00000000-0005-0000-0000-00008C7A0000}"/>
    <cellStyle name="常规 9 2 2 6 2 7 2" xfId="37328" xr:uid="{00000000-0005-0000-0000-00008D7A0000}"/>
    <cellStyle name="常规 9 2 2 6 2 8" xfId="25040" xr:uid="{00000000-0005-0000-0000-00008E7A0000}"/>
    <cellStyle name="常规 9 2 2 6 3" xfId="652" xr:uid="{00000000-0005-0000-0000-00008F7A0000}"/>
    <cellStyle name="常规 9 2 2 6 3 2" xfId="1420" xr:uid="{00000000-0005-0000-0000-0000907A0000}"/>
    <cellStyle name="常规 9 2 2 6 3 2 2" xfId="2956" xr:uid="{00000000-0005-0000-0000-0000917A0000}"/>
    <cellStyle name="常规 9 2 2 6 3 2 2 2" xfId="6032" xr:uid="{00000000-0005-0000-0000-0000927A0000}"/>
    <cellStyle name="常规 9 2 2 6 3 2 2 2 2" xfId="12176" xr:uid="{00000000-0005-0000-0000-0000937A0000}"/>
    <cellStyle name="常规 9 2 2 6 3 2 2 2 2 2" xfId="24464" xr:uid="{00000000-0005-0000-0000-0000947A0000}"/>
    <cellStyle name="常规 9 2 2 6 3 2 2 2 2 2 2" xfId="49040" xr:uid="{00000000-0005-0000-0000-0000957A0000}"/>
    <cellStyle name="常规 9 2 2 6 3 2 2 2 2 3" xfId="36752" xr:uid="{00000000-0005-0000-0000-0000967A0000}"/>
    <cellStyle name="常规 9 2 2 6 3 2 2 2 3" xfId="18320" xr:uid="{00000000-0005-0000-0000-0000977A0000}"/>
    <cellStyle name="常规 9 2 2 6 3 2 2 2 3 2" xfId="42896" xr:uid="{00000000-0005-0000-0000-0000987A0000}"/>
    <cellStyle name="常规 9 2 2 6 3 2 2 2 4" xfId="30608" xr:uid="{00000000-0005-0000-0000-0000997A0000}"/>
    <cellStyle name="常规 9 2 2 6 3 2 2 3" xfId="9104" xr:uid="{00000000-0005-0000-0000-00009A7A0000}"/>
    <cellStyle name="常规 9 2 2 6 3 2 2 3 2" xfId="21392" xr:uid="{00000000-0005-0000-0000-00009B7A0000}"/>
    <cellStyle name="常规 9 2 2 6 3 2 2 3 2 2" xfId="45968" xr:uid="{00000000-0005-0000-0000-00009C7A0000}"/>
    <cellStyle name="常规 9 2 2 6 3 2 2 3 3" xfId="33680" xr:uid="{00000000-0005-0000-0000-00009D7A0000}"/>
    <cellStyle name="常规 9 2 2 6 3 2 2 4" xfId="15248" xr:uid="{00000000-0005-0000-0000-00009E7A0000}"/>
    <cellStyle name="常规 9 2 2 6 3 2 2 4 2" xfId="39824" xr:uid="{00000000-0005-0000-0000-00009F7A0000}"/>
    <cellStyle name="常规 9 2 2 6 3 2 2 5" xfId="27536" xr:uid="{00000000-0005-0000-0000-0000A07A0000}"/>
    <cellStyle name="常规 9 2 2 6 3 2 3" xfId="4496" xr:uid="{00000000-0005-0000-0000-0000A17A0000}"/>
    <cellStyle name="常规 9 2 2 6 3 2 3 2" xfId="10640" xr:uid="{00000000-0005-0000-0000-0000A27A0000}"/>
    <cellStyle name="常规 9 2 2 6 3 2 3 2 2" xfId="22928" xr:uid="{00000000-0005-0000-0000-0000A37A0000}"/>
    <cellStyle name="常规 9 2 2 6 3 2 3 2 2 2" xfId="47504" xr:uid="{00000000-0005-0000-0000-0000A47A0000}"/>
    <cellStyle name="常规 9 2 2 6 3 2 3 2 3" xfId="35216" xr:uid="{00000000-0005-0000-0000-0000A57A0000}"/>
    <cellStyle name="常规 9 2 2 6 3 2 3 3" xfId="16784" xr:uid="{00000000-0005-0000-0000-0000A67A0000}"/>
    <cellStyle name="常规 9 2 2 6 3 2 3 3 2" xfId="41360" xr:uid="{00000000-0005-0000-0000-0000A77A0000}"/>
    <cellStyle name="常规 9 2 2 6 3 2 3 4" xfId="29072" xr:uid="{00000000-0005-0000-0000-0000A87A0000}"/>
    <cellStyle name="常规 9 2 2 6 3 2 4" xfId="7568" xr:uid="{00000000-0005-0000-0000-0000A97A0000}"/>
    <cellStyle name="常规 9 2 2 6 3 2 4 2" xfId="19856" xr:uid="{00000000-0005-0000-0000-0000AA7A0000}"/>
    <cellStyle name="常规 9 2 2 6 3 2 4 2 2" xfId="44432" xr:uid="{00000000-0005-0000-0000-0000AB7A0000}"/>
    <cellStyle name="常规 9 2 2 6 3 2 4 3" xfId="32144" xr:uid="{00000000-0005-0000-0000-0000AC7A0000}"/>
    <cellStyle name="常规 9 2 2 6 3 2 5" xfId="13712" xr:uid="{00000000-0005-0000-0000-0000AD7A0000}"/>
    <cellStyle name="常规 9 2 2 6 3 2 5 2" xfId="38288" xr:uid="{00000000-0005-0000-0000-0000AE7A0000}"/>
    <cellStyle name="常规 9 2 2 6 3 2 6" xfId="26000" xr:uid="{00000000-0005-0000-0000-0000AF7A0000}"/>
    <cellStyle name="常规 9 2 2 6 3 3" xfId="2188" xr:uid="{00000000-0005-0000-0000-0000B07A0000}"/>
    <cellStyle name="常规 9 2 2 6 3 3 2" xfId="5264" xr:uid="{00000000-0005-0000-0000-0000B17A0000}"/>
    <cellStyle name="常规 9 2 2 6 3 3 2 2" xfId="11408" xr:uid="{00000000-0005-0000-0000-0000B27A0000}"/>
    <cellStyle name="常规 9 2 2 6 3 3 2 2 2" xfId="23696" xr:uid="{00000000-0005-0000-0000-0000B37A0000}"/>
    <cellStyle name="常规 9 2 2 6 3 3 2 2 2 2" xfId="48272" xr:uid="{00000000-0005-0000-0000-0000B47A0000}"/>
    <cellStyle name="常规 9 2 2 6 3 3 2 2 3" xfId="35984" xr:uid="{00000000-0005-0000-0000-0000B57A0000}"/>
    <cellStyle name="常规 9 2 2 6 3 3 2 3" xfId="17552" xr:uid="{00000000-0005-0000-0000-0000B67A0000}"/>
    <cellStyle name="常规 9 2 2 6 3 3 2 3 2" xfId="42128" xr:uid="{00000000-0005-0000-0000-0000B77A0000}"/>
    <cellStyle name="常规 9 2 2 6 3 3 2 4" xfId="29840" xr:uid="{00000000-0005-0000-0000-0000B87A0000}"/>
    <cellStyle name="常规 9 2 2 6 3 3 3" xfId="8336" xr:uid="{00000000-0005-0000-0000-0000B97A0000}"/>
    <cellStyle name="常规 9 2 2 6 3 3 3 2" xfId="20624" xr:uid="{00000000-0005-0000-0000-0000BA7A0000}"/>
    <cellStyle name="常规 9 2 2 6 3 3 3 2 2" xfId="45200" xr:uid="{00000000-0005-0000-0000-0000BB7A0000}"/>
    <cellStyle name="常规 9 2 2 6 3 3 3 3" xfId="32912" xr:uid="{00000000-0005-0000-0000-0000BC7A0000}"/>
    <cellStyle name="常规 9 2 2 6 3 3 4" xfId="14480" xr:uid="{00000000-0005-0000-0000-0000BD7A0000}"/>
    <cellStyle name="常规 9 2 2 6 3 3 4 2" xfId="39056" xr:uid="{00000000-0005-0000-0000-0000BE7A0000}"/>
    <cellStyle name="常规 9 2 2 6 3 3 5" xfId="26768" xr:uid="{00000000-0005-0000-0000-0000BF7A0000}"/>
    <cellStyle name="常规 9 2 2 6 3 4" xfId="3728" xr:uid="{00000000-0005-0000-0000-0000C07A0000}"/>
    <cellStyle name="常规 9 2 2 6 3 4 2" xfId="9872" xr:uid="{00000000-0005-0000-0000-0000C17A0000}"/>
    <cellStyle name="常规 9 2 2 6 3 4 2 2" xfId="22160" xr:uid="{00000000-0005-0000-0000-0000C27A0000}"/>
    <cellStyle name="常规 9 2 2 6 3 4 2 2 2" xfId="46736" xr:uid="{00000000-0005-0000-0000-0000C37A0000}"/>
    <cellStyle name="常规 9 2 2 6 3 4 2 3" xfId="34448" xr:uid="{00000000-0005-0000-0000-0000C47A0000}"/>
    <cellStyle name="常规 9 2 2 6 3 4 3" xfId="16016" xr:uid="{00000000-0005-0000-0000-0000C57A0000}"/>
    <cellStyle name="常规 9 2 2 6 3 4 3 2" xfId="40592" xr:uid="{00000000-0005-0000-0000-0000C67A0000}"/>
    <cellStyle name="常规 9 2 2 6 3 4 4" xfId="28304" xr:uid="{00000000-0005-0000-0000-0000C77A0000}"/>
    <cellStyle name="常规 9 2 2 6 3 5" xfId="6800" xr:uid="{00000000-0005-0000-0000-0000C87A0000}"/>
    <cellStyle name="常规 9 2 2 6 3 5 2" xfId="19088" xr:uid="{00000000-0005-0000-0000-0000C97A0000}"/>
    <cellStyle name="常规 9 2 2 6 3 5 2 2" xfId="43664" xr:uid="{00000000-0005-0000-0000-0000CA7A0000}"/>
    <cellStyle name="常规 9 2 2 6 3 5 3" xfId="31376" xr:uid="{00000000-0005-0000-0000-0000CB7A0000}"/>
    <cellStyle name="常规 9 2 2 6 3 6" xfId="12944" xr:uid="{00000000-0005-0000-0000-0000CC7A0000}"/>
    <cellStyle name="常规 9 2 2 6 3 6 2" xfId="37520" xr:uid="{00000000-0005-0000-0000-0000CD7A0000}"/>
    <cellStyle name="常规 9 2 2 6 3 7" xfId="25232" xr:uid="{00000000-0005-0000-0000-0000CE7A0000}"/>
    <cellStyle name="常规 9 2 2 6 4" xfId="1036" xr:uid="{00000000-0005-0000-0000-0000CF7A0000}"/>
    <cellStyle name="常规 9 2 2 6 4 2" xfId="2572" xr:uid="{00000000-0005-0000-0000-0000D07A0000}"/>
    <cellStyle name="常规 9 2 2 6 4 2 2" xfId="5648" xr:uid="{00000000-0005-0000-0000-0000D17A0000}"/>
    <cellStyle name="常规 9 2 2 6 4 2 2 2" xfId="11792" xr:uid="{00000000-0005-0000-0000-0000D27A0000}"/>
    <cellStyle name="常规 9 2 2 6 4 2 2 2 2" xfId="24080" xr:uid="{00000000-0005-0000-0000-0000D37A0000}"/>
    <cellStyle name="常规 9 2 2 6 4 2 2 2 2 2" xfId="48656" xr:uid="{00000000-0005-0000-0000-0000D47A0000}"/>
    <cellStyle name="常规 9 2 2 6 4 2 2 2 3" xfId="36368" xr:uid="{00000000-0005-0000-0000-0000D57A0000}"/>
    <cellStyle name="常规 9 2 2 6 4 2 2 3" xfId="17936" xr:uid="{00000000-0005-0000-0000-0000D67A0000}"/>
    <cellStyle name="常规 9 2 2 6 4 2 2 3 2" xfId="42512" xr:uid="{00000000-0005-0000-0000-0000D77A0000}"/>
    <cellStyle name="常规 9 2 2 6 4 2 2 4" xfId="30224" xr:uid="{00000000-0005-0000-0000-0000D87A0000}"/>
    <cellStyle name="常规 9 2 2 6 4 2 3" xfId="8720" xr:uid="{00000000-0005-0000-0000-0000D97A0000}"/>
    <cellStyle name="常规 9 2 2 6 4 2 3 2" xfId="21008" xr:uid="{00000000-0005-0000-0000-0000DA7A0000}"/>
    <cellStyle name="常规 9 2 2 6 4 2 3 2 2" xfId="45584" xr:uid="{00000000-0005-0000-0000-0000DB7A0000}"/>
    <cellStyle name="常规 9 2 2 6 4 2 3 3" xfId="33296" xr:uid="{00000000-0005-0000-0000-0000DC7A0000}"/>
    <cellStyle name="常规 9 2 2 6 4 2 4" xfId="14864" xr:uid="{00000000-0005-0000-0000-0000DD7A0000}"/>
    <cellStyle name="常规 9 2 2 6 4 2 4 2" xfId="39440" xr:uid="{00000000-0005-0000-0000-0000DE7A0000}"/>
    <cellStyle name="常规 9 2 2 6 4 2 5" xfId="27152" xr:uid="{00000000-0005-0000-0000-0000DF7A0000}"/>
    <cellStyle name="常规 9 2 2 6 4 3" xfId="4112" xr:uid="{00000000-0005-0000-0000-0000E07A0000}"/>
    <cellStyle name="常规 9 2 2 6 4 3 2" xfId="10256" xr:uid="{00000000-0005-0000-0000-0000E17A0000}"/>
    <cellStyle name="常规 9 2 2 6 4 3 2 2" xfId="22544" xr:uid="{00000000-0005-0000-0000-0000E27A0000}"/>
    <cellStyle name="常规 9 2 2 6 4 3 2 2 2" xfId="47120" xr:uid="{00000000-0005-0000-0000-0000E37A0000}"/>
    <cellStyle name="常规 9 2 2 6 4 3 2 3" xfId="34832" xr:uid="{00000000-0005-0000-0000-0000E47A0000}"/>
    <cellStyle name="常规 9 2 2 6 4 3 3" xfId="16400" xr:uid="{00000000-0005-0000-0000-0000E57A0000}"/>
    <cellStyle name="常规 9 2 2 6 4 3 3 2" xfId="40976" xr:uid="{00000000-0005-0000-0000-0000E67A0000}"/>
    <cellStyle name="常规 9 2 2 6 4 3 4" xfId="28688" xr:uid="{00000000-0005-0000-0000-0000E77A0000}"/>
    <cellStyle name="常规 9 2 2 6 4 4" xfId="7184" xr:uid="{00000000-0005-0000-0000-0000E87A0000}"/>
    <cellStyle name="常规 9 2 2 6 4 4 2" xfId="19472" xr:uid="{00000000-0005-0000-0000-0000E97A0000}"/>
    <cellStyle name="常规 9 2 2 6 4 4 2 2" xfId="44048" xr:uid="{00000000-0005-0000-0000-0000EA7A0000}"/>
    <cellStyle name="常规 9 2 2 6 4 4 3" xfId="31760" xr:uid="{00000000-0005-0000-0000-0000EB7A0000}"/>
    <cellStyle name="常规 9 2 2 6 4 5" xfId="13328" xr:uid="{00000000-0005-0000-0000-0000EC7A0000}"/>
    <cellStyle name="常规 9 2 2 6 4 5 2" xfId="37904" xr:uid="{00000000-0005-0000-0000-0000ED7A0000}"/>
    <cellStyle name="常规 9 2 2 6 4 6" xfId="25616" xr:uid="{00000000-0005-0000-0000-0000EE7A0000}"/>
    <cellStyle name="常规 9 2 2 6 5" xfId="1804" xr:uid="{00000000-0005-0000-0000-0000EF7A0000}"/>
    <cellStyle name="常规 9 2 2 6 5 2" xfId="4880" xr:uid="{00000000-0005-0000-0000-0000F07A0000}"/>
    <cellStyle name="常规 9 2 2 6 5 2 2" xfId="11024" xr:uid="{00000000-0005-0000-0000-0000F17A0000}"/>
    <cellStyle name="常规 9 2 2 6 5 2 2 2" xfId="23312" xr:uid="{00000000-0005-0000-0000-0000F27A0000}"/>
    <cellStyle name="常规 9 2 2 6 5 2 2 2 2" xfId="47888" xr:uid="{00000000-0005-0000-0000-0000F37A0000}"/>
    <cellStyle name="常规 9 2 2 6 5 2 2 3" xfId="35600" xr:uid="{00000000-0005-0000-0000-0000F47A0000}"/>
    <cellStyle name="常规 9 2 2 6 5 2 3" xfId="17168" xr:uid="{00000000-0005-0000-0000-0000F57A0000}"/>
    <cellStyle name="常规 9 2 2 6 5 2 3 2" xfId="41744" xr:uid="{00000000-0005-0000-0000-0000F67A0000}"/>
    <cellStyle name="常规 9 2 2 6 5 2 4" xfId="29456" xr:uid="{00000000-0005-0000-0000-0000F77A0000}"/>
    <cellStyle name="常规 9 2 2 6 5 3" xfId="7952" xr:uid="{00000000-0005-0000-0000-0000F87A0000}"/>
    <cellStyle name="常规 9 2 2 6 5 3 2" xfId="20240" xr:uid="{00000000-0005-0000-0000-0000F97A0000}"/>
    <cellStyle name="常规 9 2 2 6 5 3 2 2" xfId="44816" xr:uid="{00000000-0005-0000-0000-0000FA7A0000}"/>
    <cellStyle name="常规 9 2 2 6 5 3 3" xfId="32528" xr:uid="{00000000-0005-0000-0000-0000FB7A0000}"/>
    <cellStyle name="常规 9 2 2 6 5 4" xfId="14096" xr:uid="{00000000-0005-0000-0000-0000FC7A0000}"/>
    <cellStyle name="常规 9 2 2 6 5 4 2" xfId="38672" xr:uid="{00000000-0005-0000-0000-0000FD7A0000}"/>
    <cellStyle name="常规 9 2 2 6 5 5" xfId="26384" xr:uid="{00000000-0005-0000-0000-0000FE7A0000}"/>
    <cellStyle name="常规 9 2 2 6 6" xfId="3344" xr:uid="{00000000-0005-0000-0000-0000FF7A0000}"/>
    <cellStyle name="常规 9 2 2 6 6 2" xfId="9488" xr:uid="{00000000-0005-0000-0000-0000007B0000}"/>
    <cellStyle name="常规 9 2 2 6 6 2 2" xfId="21776" xr:uid="{00000000-0005-0000-0000-0000017B0000}"/>
    <cellStyle name="常规 9 2 2 6 6 2 2 2" xfId="46352" xr:uid="{00000000-0005-0000-0000-0000027B0000}"/>
    <cellStyle name="常规 9 2 2 6 6 2 3" xfId="34064" xr:uid="{00000000-0005-0000-0000-0000037B0000}"/>
    <cellStyle name="常规 9 2 2 6 6 3" xfId="15632" xr:uid="{00000000-0005-0000-0000-0000047B0000}"/>
    <cellStyle name="常规 9 2 2 6 6 3 2" xfId="40208" xr:uid="{00000000-0005-0000-0000-0000057B0000}"/>
    <cellStyle name="常规 9 2 2 6 6 4" xfId="27920" xr:uid="{00000000-0005-0000-0000-0000067B0000}"/>
    <cellStyle name="常规 9 2 2 6 7" xfId="6416" xr:uid="{00000000-0005-0000-0000-0000077B0000}"/>
    <cellStyle name="常规 9 2 2 6 7 2" xfId="18704" xr:uid="{00000000-0005-0000-0000-0000087B0000}"/>
    <cellStyle name="常规 9 2 2 6 7 2 2" xfId="43280" xr:uid="{00000000-0005-0000-0000-0000097B0000}"/>
    <cellStyle name="常规 9 2 2 6 7 3" xfId="30992" xr:uid="{00000000-0005-0000-0000-00000A7B0000}"/>
    <cellStyle name="常规 9 2 2 6 8" xfId="12560" xr:uid="{00000000-0005-0000-0000-00000B7B0000}"/>
    <cellStyle name="常规 9 2 2 6 8 2" xfId="37136" xr:uid="{00000000-0005-0000-0000-00000C7B0000}"/>
    <cellStyle name="常规 9 2 2 6 9" xfId="24848" xr:uid="{00000000-0005-0000-0000-00000D7B0000}"/>
    <cellStyle name="常规 9 2 2 7" xfId="332" xr:uid="{00000000-0005-0000-0000-00000E7B0000}"/>
    <cellStyle name="常规 9 2 2 7 2" xfId="716" xr:uid="{00000000-0005-0000-0000-00000F7B0000}"/>
    <cellStyle name="常规 9 2 2 7 2 2" xfId="1484" xr:uid="{00000000-0005-0000-0000-0000107B0000}"/>
    <cellStyle name="常规 9 2 2 7 2 2 2" xfId="3020" xr:uid="{00000000-0005-0000-0000-0000117B0000}"/>
    <cellStyle name="常规 9 2 2 7 2 2 2 2" xfId="6096" xr:uid="{00000000-0005-0000-0000-0000127B0000}"/>
    <cellStyle name="常规 9 2 2 7 2 2 2 2 2" xfId="12240" xr:uid="{00000000-0005-0000-0000-0000137B0000}"/>
    <cellStyle name="常规 9 2 2 7 2 2 2 2 2 2" xfId="24528" xr:uid="{00000000-0005-0000-0000-0000147B0000}"/>
    <cellStyle name="常规 9 2 2 7 2 2 2 2 2 2 2" xfId="49104" xr:uid="{00000000-0005-0000-0000-0000157B0000}"/>
    <cellStyle name="常规 9 2 2 7 2 2 2 2 2 3" xfId="36816" xr:uid="{00000000-0005-0000-0000-0000167B0000}"/>
    <cellStyle name="常规 9 2 2 7 2 2 2 2 3" xfId="18384" xr:uid="{00000000-0005-0000-0000-0000177B0000}"/>
    <cellStyle name="常规 9 2 2 7 2 2 2 2 3 2" xfId="42960" xr:uid="{00000000-0005-0000-0000-0000187B0000}"/>
    <cellStyle name="常规 9 2 2 7 2 2 2 2 4" xfId="30672" xr:uid="{00000000-0005-0000-0000-0000197B0000}"/>
    <cellStyle name="常规 9 2 2 7 2 2 2 3" xfId="9168" xr:uid="{00000000-0005-0000-0000-00001A7B0000}"/>
    <cellStyle name="常规 9 2 2 7 2 2 2 3 2" xfId="21456" xr:uid="{00000000-0005-0000-0000-00001B7B0000}"/>
    <cellStyle name="常规 9 2 2 7 2 2 2 3 2 2" xfId="46032" xr:uid="{00000000-0005-0000-0000-00001C7B0000}"/>
    <cellStyle name="常规 9 2 2 7 2 2 2 3 3" xfId="33744" xr:uid="{00000000-0005-0000-0000-00001D7B0000}"/>
    <cellStyle name="常规 9 2 2 7 2 2 2 4" xfId="15312" xr:uid="{00000000-0005-0000-0000-00001E7B0000}"/>
    <cellStyle name="常规 9 2 2 7 2 2 2 4 2" xfId="39888" xr:uid="{00000000-0005-0000-0000-00001F7B0000}"/>
    <cellStyle name="常规 9 2 2 7 2 2 2 5" xfId="27600" xr:uid="{00000000-0005-0000-0000-0000207B0000}"/>
    <cellStyle name="常规 9 2 2 7 2 2 3" xfId="4560" xr:uid="{00000000-0005-0000-0000-0000217B0000}"/>
    <cellStyle name="常规 9 2 2 7 2 2 3 2" xfId="10704" xr:uid="{00000000-0005-0000-0000-0000227B0000}"/>
    <cellStyle name="常规 9 2 2 7 2 2 3 2 2" xfId="22992" xr:uid="{00000000-0005-0000-0000-0000237B0000}"/>
    <cellStyle name="常规 9 2 2 7 2 2 3 2 2 2" xfId="47568" xr:uid="{00000000-0005-0000-0000-0000247B0000}"/>
    <cellStyle name="常规 9 2 2 7 2 2 3 2 3" xfId="35280" xr:uid="{00000000-0005-0000-0000-0000257B0000}"/>
    <cellStyle name="常规 9 2 2 7 2 2 3 3" xfId="16848" xr:uid="{00000000-0005-0000-0000-0000267B0000}"/>
    <cellStyle name="常规 9 2 2 7 2 2 3 3 2" xfId="41424" xr:uid="{00000000-0005-0000-0000-0000277B0000}"/>
    <cellStyle name="常规 9 2 2 7 2 2 3 4" xfId="29136" xr:uid="{00000000-0005-0000-0000-0000287B0000}"/>
    <cellStyle name="常规 9 2 2 7 2 2 4" xfId="7632" xr:uid="{00000000-0005-0000-0000-0000297B0000}"/>
    <cellStyle name="常规 9 2 2 7 2 2 4 2" xfId="19920" xr:uid="{00000000-0005-0000-0000-00002A7B0000}"/>
    <cellStyle name="常规 9 2 2 7 2 2 4 2 2" xfId="44496" xr:uid="{00000000-0005-0000-0000-00002B7B0000}"/>
    <cellStyle name="常规 9 2 2 7 2 2 4 3" xfId="32208" xr:uid="{00000000-0005-0000-0000-00002C7B0000}"/>
    <cellStyle name="常规 9 2 2 7 2 2 5" xfId="13776" xr:uid="{00000000-0005-0000-0000-00002D7B0000}"/>
    <cellStyle name="常规 9 2 2 7 2 2 5 2" xfId="38352" xr:uid="{00000000-0005-0000-0000-00002E7B0000}"/>
    <cellStyle name="常规 9 2 2 7 2 2 6" xfId="26064" xr:uid="{00000000-0005-0000-0000-00002F7B0000}"/>
    <cellStyle name="常规 9 2 2 7 2 3" xfId="2252" xr:uid="{00000000-0005-0000-0000-0000307B0000}"/>
    <cellStyle name="常规 9 2 2 7 2 3 2" xfId="5328" xr:uid="{00000000-0005-0000-0000-0000317B0000}"/>
    <cellStyle name="常规 9 2 2 7 2 3 2 2" xfId="11472" xr:uid="{00000000-0005-0000-0000-0000327B0000}"/>
    <cellStyle name="常规 9 2 2 7 2 3 2 2 2" xfId="23760" xr:uid="{00000000-0005-0000-0000-0000337B0000}"/>
    <cellStyle name="常规 9 2 2 7 2 3 2 2 2 2" xfId="48336" xr:uid="{00000000-0005-0000-0000-0000347B0000}"/>
    <cellStyle name="常规 9 2 2 7 2 3 2 2 3" xfId="36048" xr:uid="{00000000-0005-0000-0000-0000357B0000}"/>
    <cellStyle name="常规 9 2 2 7 2 3 2 3" xfId="17616" xr:uid="{00000000-0005-0000-0000-0000367B0000}"/>
    <cellStyle name="常规 9 2 2 7 2 3 2 3 2" xfId="42192" xr:uid="{00000000-0005-0000-0000-0000377B0000}"/>
    <cellStyle name="常规 9 2 2 7 2 3 2 4" xfId="29904" xr:uid="{00000000-0005-0000-0000-0000387B0000}"/>
    <cellStyle name="常规 9 2 2 7 2 3 3" xfId="8400" xr:uid="{00000000-0005-0000-0000-0000397B0000}"/>
    <cellStyle name="常规 9 2 2 7 2 3 3 2" xfId="20688" xr:uid="{00000000-0005-0000-0000-00003A7B0000}"/>
    <cellStyle name="常规 9 2 2 7 2 3 3 2 2" xfId="45264" xr:uid="{00000000-0005-0000-0000-00003B7B0000}"/>
    <cellStyle name="常规 9 2 2 7 2 3 3 3" xfId="32976" xr:uid="{00000000-0005-0000-0000-00003C7B0000}"/>
    <cellStyle name="常规 9 2 2 7 2 3 4" xfId="14544" xr:uid="{00000000-0005-0000-0000-00003D7B0000}"/>
    <cellStyle name="常规 9 2 2 7 2 3 4 2" xfId="39120" xr:uid="{00000000-0005-0000-0000-00003E7B0000}"/>
    <cellStyle name="常规 9 2 2 7 2 3 5" xfId="26832" xr:uid="{00000000-0005-0000-0000-00003F7B0000}"/>
    <cellStyle name="常规 9 2 2 7 2 4" xfId="3792" xr:uid="{00000000-0005-0000-0000-0000407B0000}"/>
    <cellStyle name="常规 9 2 2 7 2 4 2" xfId="9936" xr:uid="{00000000-0005-0000-0000-0000417B0000}"/>
    <cellStyle name="常规 9 2 2 7 2 4 2 2" xfId="22224" xr:uid="{00000000-0005-0000-0000-0000427B0000}"/>
    <cellStyle name="常规 9 2 2 7 2 4 2 2 2" xfId="46800" xr:uid="{00000000-0005-0000-0000-0000437B0000}"/>
    <cellStyle name="常规 9 2 2 7 2 4 2 3" xfId="34512" xr:uid="{00000000-0005-0000-0000-0000447B0000}"/>
    <cellStyle name="常规 9 2 2 7 2 4 3" xfId="16080" xr:uid="{00000000-0005-0000-0000-0000457B0000}"/>
    <cellStyle name="常规 9 2 2 7 2 4 3 2" xfId="40656" xr:uid="{00000000-0005-0000-0000-0000467B0000}"/>
    <cellStyle name="常规 9 2 2 7 2 4 4" xfId="28368" xr:uid="{00000000-0005-0000-0000-0000477B0000}"/>
    <cellStyle name="常规 9 2 2 7 2 5" xfId="6864" xr:uid="{00000000-0005-0000-0000-0000487B0000}"/>
    <cellStyle name="常规 9 2 2 7 2 5 2" xfId="19152" xr:uid="{00000000-0005-0000-0000-0000497B0000}"/>
    <cellStyle name="常规 9 2 2 7 2 5 2 2" xfId="43728" xr:uid="{00000000-0005-0000-0000-00004A7B0000}"/>
    <cellStyle name="常规 9 2 2 7 2 5 3" xfId="31440" xr:uid="{00000000-0005-0000-0000-00004B7B0000}"/>
    <cellStyle name="常规 9 2 2 7 2 6" xfId="13008" xr:uid="{00000000-0005-0000-0000-00004C7B0000}"/>
    <cellStyle name="常规 9 2 2 7 2 6 2" xfId="37584" xr:uid="{00000000-0005-0000-0000-00004D7B0000}"/>
    <cellStyle name="常规 9 2 2 7 2 7" xfId="25296" xr:uid="{00000000-0005-0000-0000-00004E7B0000}"/>
    <cellStyle name="常规 9 2 2 7 3" xfId="1100" xr:uid="{00000000-0005-0000-0000-00004F7B0000}"/>
    <cellStyle name="常规 9 2 2 7 3 2" xfId="2636" xr:uid="{00000000-0005-0000-0000-0000507B0000}"/>
    <cellStyle name="常规 9 2 2 7 3 2 2" xfId="5712" xr:uid="{00000000-0005-0000-0000-0000517B0000}"/>
    <cellStyle name="常规 9 2 2 7 3 2 2 2" xfId="11856" xr:uid="{00000000-0005-0000-0000-0000527B0000}"/>
    <cellStyle name="常规 9 2 2 7 3 2 2 2 2" xfId="24144" xr:uid="{00000000-0005-0000-0000-0000537B0000}"/>
    <cellStyle name="常规 9 2 2 7 3 2 2 2 2 2" xfId="48720" xr:uid="{00000000-0005-0000-0000-0000547B0000}"/>
    <cellStyle name="常规 9 2 2 7 3 2 2 2 3" xfId="36432" xr:uid="{00000000-0005-0000-0000-0000557B0000}"/>
    <cellStyle name="常规 9 2 2 7 3 2 2 3" xfId="18000" xr:uid="{00000000-0005-0000-0000-0000567B0000}"/>
    <cellStyle name="常规 9 2 2 7 3 2 2 3 2" xfId="42576" xr:uid="{00000000-0005-0000-0000-0000577B0000}"/>
    <cellStyle name="常规 9 2 2 7 3 2 2 4" xfId="30288" xr:uid="{00000000-0005-0000-0000-0000587B0000}"/>
    <cellStyle name="常规 9 2 2 7 3 2 3" xfId="8784" xr:uid="{00000000-0005-0000-0000-0000597B0000}"/>
    <cellStyle name="常规 9 2 2 7 3 2 3 2" xfId="21072" xr:uid="{00000000-0005-0000-0000-00005A7B0000}"/>
    <cellStyle name="常规 9 2 2 7 3 2 3 2 2" xfId="45648" xr:uid="{00000000-0005-0000-0000-00005B7B0000}"/>
    <cellStyle name="常规 9 2 2 7 3 2 3 3" xfId="33360" xr:uid="{00000000-0005-0000-0000-00005C7B0000}"/>
    <cellStyle name="常规 9 2 2 7 3 2 4" xfId="14928" xr:uid="{00000000-0005-0000-0000-00005D7B0000}"/>
    <cellStyle name="常规 9 2 2 7 3 2 4 2" xfId="39504" xr:uid="{00000000-0005-0000-0000-00005E7B0000}"/>
    <cellStyle name="常规 9 2 2 7 3 2 5" xfId="27216" xr:uid="{00000000-0005-0000-0000-00005F7B0000}"/>
    <cellStyle name="常规 9 2 2 7 3 3" xfId="4176" xr:uid="{00000000-0005-0000-0000-0000607B0000}"/>
    <cellStyle name="常规 9 2 2 7 3 3 2" xfId="10320" xr:uid="{00000000-0005-0000-0000-0000617B0000}"/>
    <cellStyle name="常规 9 2 2 7 3 3 2 2" xfId="22608" xr:uid="{00000000-0005-0000-0000-0000627B0000}"/>
    <cellStyle name="常规 9 2 2 7 3 3 2 2 2" xfId="47184" xr:uid="{00000000-0005-0000-0000-0000637B0000}"/>
    <cellStyle name="常规 9 2 2 7 3 3 2 3" xfId="34896" xr:uid="{00000000-0005-0000-0000-0000647B0000}"/>
    <cellStyle name="常规 9 2 2 7 3 3 3" xfId="16464" xr:uid="{00000000-0005-0000-0000-0000657B0000}"/>
    <cellStyle name="常规 9 2 2 7 3 3 3 2" xfId="41040" xr:uid="{00000000-0005-0000-0000-0000667B0000}"/>
    <cellStyle name="常规 9 2 2 7 3 3 4" xfId="28752" xr:uid="{00000000-0005-0000-0000-0000677B0000}"/>
    <cellStyle name="常规 9 2 2 7 3 4" xfId="7248" xr:uid="{00000000-0005-0000-0000-0000687B0000}"/>
    <cellStyle name="常规 9 2 2 7 3 4 2" xfId="19536" xr:uid="{00000000-0005-0000-0000-0000697B0000}"/>
    <cellStyle name="常规 9 2 2 7 3 4 2 2" xfId="44112" xr:uid="{00000000-0005-0000-0000-00006A7B0000}"/>
    <cellStyle name="常规 9 2 2 7 3 4 3" xfId="31824" xr:uid="{00000000-0005-0000-0000-00006B7B0000}"/>
    <cellStyle name="常规 9 2 2 7 3 5" xfId="13392" xr:uid="{00000000-0005-0000-0000-00006C7B0000}"/>
    <cellStyle name="常规 9 2 2 7 3 5 2" xfId="37968" xr:uid="{00000000-0005-0000-0000-00006D7B0000}"/>
    <cellStyle name="常规 9 2 2 7 3 6" xfId="25680" xr:uid="{00000000-0005-0000-0000-00006E7B0000}"/>
    <cellStyle name="常规 9 2 2 7 4" xfId="1868" xr:uid="{00000000-0005-0000-0000-00006F7B0000}"/>
    <cellStyle name="常规 9 2 2 7 4 2" xfId="4944" xr:uid="{00000000-0005-0000-0000-0000707B0000}"/>
    <cellStyle name="常规 9 2 2 7 4 2 2" xfId="11088" xr:uid="{00000000-0005-0000-0000-0000717B0000}"/>
    <cellStyle name="常规 9 2 2 7 4 2 2 2" xfId="23376" xr:uid="{00000000-0005-0000-0000-0000727B0000}"/>
    <cellStyle name="常规 9 2 2 7 4 2 2 2 2" xfId="47952" xr:uid="{00000000-0005-0000-0000-0000737B0000}"/>
    <cellStyle name="常规 9 2 2 7 4 2 2 3" xfId="35664" xr:uid="{00000000-0005-0000-0000-0000747B0000}"/>
    <cellStyle name="常规 9 2 2 7 4 2 3" xfId="17232" xr:uid="{00000000-0005-0000-0000-0000757B0000}"/>
    <cellStyle name="常规 9 2 2 7 4 2 3 2" xfId="41808" xr:uid="{00000000-0005-0000-0000-0000767B0000}"/>
    <cellStyle name="常规 9 2 2 7 4 2 4" xfId="29520" xr:uid="{00000000-0005-0000-0000-0000777B0000}"/>
    <cellStyle name="常规 9 2 2 7 4 3" xfId="8016" xr:uid="{00000000-0005-0000-0000-0000787B0000}"/>
    <cellStyle name="常规 9 2 2 7 4 3 2" xfId="20304" xr:uid="{00000000-0005-0000-0000-0000797B0000}"/>
    <cellStyle name="常规 9 2 2 7 4 3 2 2" xfId="44880" xr:uid="{00000000-0005-0000-0000-00007A7B0000}"/>
    <cellStyle name="常规 9 2 2 7 4 3 3" xfId="32592" xr:uid="{00000000-0005-0000-0000-00007B7B0000}"/>
    <cellStyle name="常规 9 2 2 7 4 4" xfId="14160" xr:uid="{00000000-0005-0000-0000-00007C7B0000}"/>
    <cellStyle name="常规 9 2 2 7 4 4 2" xfId="38736" xr:uid="{00000000-0005-0000-0000-00007D7B0000}"/>
    <cellStyle name="常规 9 2 2 7 4 5" xfId="26448" xr:uid="{00000000-0005-0000-0000-00007E7B0000}"/>
    <cellStyle name="常规 9 2 2 7 5" xfId="3408" xr:uid="{00000000-0005-0000-0000-00007F7B0000}"/>
    <cellStyle name="常规 9 2 2 7 5 2" xfId="9552" xr:uid="{00000000-0005-0000-0000-0000807B0000}"/>
    <cellStyle name="常规 9 2 2 7 5 2 2" xfId="21840" xr:uid="{00000000-0005-0000-0000-0000817B0000}"/>
    <cellStyle name="常规 9 2 2 7 5 2 2 2" xfId="46416" xr:uid="{00000000-0005-0000-0000-0000827B0000}"/>
    <cellStyle name="常规 9 2 2 7 5 2 3" xfId="34128" xr:uid="{00000000-0005-0000-0000-0000837B0000}"/>
    <cellStyle name="常规 9 2 2 7 5 3" xfId="15696" xr:uid="{00000000-0005-0000-0000-0000847B0000}"/>
    <cellStyle name="常规 9 2 2 7 5 3 2" xfId="40272" xr:uid="{00000000-0005-0000-0000-0000857B0000}"/>
    <cellStyle name="常规 9 2 2 7 5 4" xfId="27984" xr:uid="{00000000-0005-0000-0000-0000867B0000}"/>
    <cellStyle name="常规 9 2 2 7 6" xfId="6480" xr:uid="{00000000-0005-0000-0000-0000877B0000}"/>
    <cellStyle name="常规 9 2 2 7 6 2" xfId="18768" xr:uid="{00000000-0005-0000-0000-0000887B0000}"/>
    <cellStyle name="常规 9 2 2 7 6 2 2" xfId="43344" xr:uid="{00000000-0005-0000-0000-0000897B0000}"/>
    <cellStyle name="常规 9 2 2 7 6 3" xfId="31056" xr:uid="{00000000-0005-0000-0000-00008A7B0000}"/>
    <cellStyle name="常规 9 2 2 7 7" xfId="12624" xr:uid="{00000000-0005-0000-0000-00008B7B0000}"/>
    <cellStyle name="常规 9 2 2 7 7 2" xfId="37200" xr:uid="{00000000-0005-0000-0000-00008C7B0000}"/>
    <cellStyle name="常规 9 2 2 7 8" xfId="24912" xr:uid="{00000000-0005-0000-0000-00008D7B0000}"/>
    <cellStyle name="常规 9 2 2 8" xfId="524" xr:uid="{00000000-0005-0000-0000-00008E7B0000}"/>
    <cellStyle name="常规 9 2 2 8 2" xfId="1292" xr:uid="{00000000-0005-0000-0000-00008F7B0000}"/>
    <cellStyle name="常规 9 2 2 8 2 2" xfId="2828" xr:uid="{00000000-0005-0000-0000-0000907B0000}"/>
    <cellStyle name="常规 9 2 2 8 2 2 2" xfId="5904" xr:uid="{00000000-0005-0000-0000-0000917B0000}"/>
    <cellStyle name="常规 9 2 2 8 2 2 2 2" xfId="12048" xr:uid="{00000000-0005-0000-0000-0000927B0000}"/>
    <cellStyle name="常规 9 2 2 8 2 2 2 2 2" xfId="24336" xr:uid="{00000000-0005-0000-0000-0000937B0000}"/>
    <cellStyle name="常规 9 2 2 8 2 2 2 2 2 2" xfId="48912" xr:uid="{00000000-0005-0000-0000-0000947B0000}"/>
    <cellStyle name="常规 9 2 2 8 2 2 2 2 3" xfId="36624" xr:uid="{00000000-0005-0000-0000-0000957B0000}"/>
    <cellStyle name="常规 9 2 2 8 2 2 2 3" xfId="18192" xr:uid="{00000000-0005-0000-0000-0000967B0000}"/>
    <cellStyle name="常规 9 2 2 8 2 2 2 3 2" xfId="42768" xr:uid="{00000000-0005-0000-0000-0000977B0000}"/>
    <cellStyle name="常规 9 2 2 8 2 2 2 4" xfId="30480" xr:uid="{00000000-0005-0000-0000-0000987B0000}"/>
    <cellStyle name="常规 9 2 2 8 2 2 3" xfId="8976" xr:uid="{00000000-0005-0000-0000-0000997B0000}"/>
    <cellStyle name="常规 9 2 2 8 2 2 3 2" xfId="21264" xr:uid="{00000000-0005-0000-0000-00009A7B0000}"/>
    <cellStyle name="常规 9 2 2 8 2 2 3 2 2" xfId="45840" xr:uid="{00000000-0005-0000-0000-00009B7B0000}"/>
    <cellStyle name="常规 9 2 2 8 2 2 3 3" xfId="33552" xr:uid="{00000000-0005-0000-0000-00009C7B0000}"/>
    <cellStyle name="常规 9 2 2 8 2 2 4" xfId="15120" xr:uid="{00000000-0005-0000-0000-00009D7B0000}"/>
    <cellStyle name="常规 9 2 2 8 2 2 4 2" xfId="39696" xr:uid="{00000000-0005-0000-0000-00009E7B0000}"/>
    <cellStyle name="常规 9 2 2 8 2 2 5" xfId="27408" xr:uid="{00000000-0005-0000-0000-00009F7B0000}"/>
    <cellStyle name="常规 9 2 2 8 2 3" xfId="4368" xr:uid="{00000000-0005-0000-0000-0000A07B0000}"/>
    <cellStyle name="常规 9 2 2 8 2 3 2" xfId="10512" xr:uid="{00000000-0005-0000-0000-0000A17B0000}"/>
    <cellStyle name="常规 9 2 2 8 2 3 2 2" xfId="22800" xr:uid="{00000000-0005-0000-0000-0000A27B0000}"/>
    <cellStyle name="常规 9 2 2 8 2 3 2 2 2" xfId="47376" xr:uid="{00000000-0005-0000-0000-0000A37B0000}"/>
    <cellStyle name="常规 9 2 2 8 2 3 2 3" xfId="35088" xr:uid="{00000000-0005-0000-0000-0000A47B0000}"/>
    <cellStyle name="常规 9 2 2 8 2 3 3" xfId="16656" xr:uid="{00000000-0005-0000-0000-0000A57B0000}"/>
    <cellStyle name="常规 9 2 2 8 2 3 3 2" xfId="41232" xr:uid="{00000000-0005-0000-0000-0000A67B0000}"/>
    <cellStyle name="常规 9 2 2 8 2 3 4" xfId="28944" xr:uid="{00000000-0005-0000-0000-0000A77B0000}"/>
    <cellStyle name="常规 9 2 2 8 2 4" xfId="7440" xr:uid="{00000000-0005-0000-0000-0000A87B0000}"/>
    <cellStyle name="常规 9 2 2 8 2 4 2" xfId="19728" xr:uid="{00000000-0005-0000-0000-0000A97B0000}"/>
    <cellStyle name="常规 9 2 2 8 2 4 2 2" xfId="44304" xr:uid="{00000000-0005-0000-0000-0000AA7B0000}"/>
    <cellStyle name="常规 9 2 2 8 2 4 3" xfId="32016" xr:uid="{00000000-0005-0000-0000-0000AB7B0000}"/>
    <cellStyle name="常规 9 2 2 8 2 5" xfId="13584" xr:uid="{00000000-0005-0000-0000-0000AC7B0000}"/>
    <cellStyle name="常规 9 2 2 8 2 5 2" xfId="38160" xr:uid="{00000000-0005-0000-0000-0000AD7B0000}"/>
    <cellStyle name="常规 9 2 2 8 2 6" xfId="25872" xr:uid="{00000000-0005-0000-0000-0000AE7B0000}"/>
    <cellStyle name="常规 9 2 2 8 3" xfId="2060" xr:uid="{00000000-0005-0000-0000-0000AF7B0000}"/>
    <cellStyle name="常规 9 2 2 8 3 2" xfId="5136" xr:uid="{00000000-0005-0000-0000-0000B07B0000}"/>
    <cellStyle name="常规 9 2 2 8 3 2 2" xfId="11280" xr:uid="{00000000-0005-0000-0000-0000B17B0000}"/>
    <cellStyle name="常规 9 2 2 8 3 2 2 2" xfId="23568" xr:uid="{00000000-0005-0000-0000-0000B27B0000}"/>
    <cellStyle name="常规 9 2 2 8 3 2 2 2 2" xfId="48144" xr:uid="{00000000-0005-0000-0000-0000B37B0000}"/>
    <cellStyle name="常规 9 2 2 8 3 2 2 3" xfId="35856" xr:uid="{00000000-0005-0000-0000-0000B47B0000}"/>
    <cellStyle name="常规 9 2 2 8 3 2 3" xfId="17424" xr:uid="{00000000-0005-0000-0000-0000B57B0000}"/>
    <cellStyle name="常规 9 2 2 8 3 2 3 2" xfId="42000" xr:uid="{00000000-0005-0000-0000-0000B67B0000}"/>
    <cellStyle name="常规 9 2 2 8 3 2 4" xfId="29712" xr:uid="{00000000-0005-0000-0000-0000B77B0000}"/>
    <cellStyle name="常规 9 2 2 8 3 3" xfId="8208" xr:uid="{00000000-0005-0000-0000-0000B87B0000}"/>
    <cellStyle name="常规 9 2 2 8 3 3 2" xfId="20496" xr:uid="{00000000-0005-0000-0000-0000B97B0000}"/>
    <cellStyle name="常规 9 2 2 8 3 3 2 2" xfId="45072" xr:uid="{00000000-0005-0000-0000-0000BA7B0000}"/>
    <cellStyle name="常规 9 2 2 8 3 3 3" xfId="32784" xr:uid="{00000000-0005-0000-0000-0000BB7B0000}"/>
    <cellStyle name="常规 9 2 2 8 3 4" xfId="14352" xr:uid="{00000000-0005-0000-0000-0000BC7B0000}"/>
    <cellStyle name="常规 9 2 2 8 3 4 2" xfId="38928" xr:uid="{00000000-0005-0000-0000-0000BD7B0000}"/>
    <cellStyle name="常规 9 2 2 8 3 5" xfId="26640" xr:uid="{00000000-0005-0000-0000-0000BE7B0000}"/>
    <cellStyle name="常规 9 2 2 8 4" xfId="3600" xr:uid="{00000000-0005-0000-0000-0000BF7B0000}"/>
    <cellStyle name="常规 9 2 2 8 4 2" xfId="9744" xr:uid="{00000000-0005-0000-0000-0000C07B0000}"/>
    <cellStyle name="常规 9 2 2 8 4 2 2" xfId="22032" xr:uid="{00000000-0005-0000-0000-0000C17B0000}"/>
    <cellStyle name="常规 9 2 2 8 4 2 2 2" xfId="46608" xr:uid="{00000000-0005-0000-0000-0000C27B0000}"/>
    <cellStyle name="常规 9 2 2 8 4 2 3" xfId="34320" xr:uid="{00000000-0005-0000-0000-0000C37B0000}"/>
    <cellStyle name="常规 9 2 2 8 4 3" xfId="15888" xr:uid="{00000000-0005-0000-0000-0000C47B0000}"/>
    <cellStyle name="常规 9 2 2 8 4 3 2" xfId="40464" xr:uid="{00000000-0005-0000-0000-0000C57B0000}"/>
    <cellStyle name="常规 9 2 2 8 4 4" xfId="28176" xr:uid="{00000000-0005-0000-0000-0000C67B0000}"/>
    <cellStyle name="常规 9 2 2 8 5" xfId="6672" xr:uid="{00000000-0005-0000-0000-0000C77B0000}"/>
    <cellStyle name="常规 9 2 2 8 5 2" xfId="18960" xr:uid="{00000000-0005-0000-0000-0000C87B0000}"/>
    <cellStyle name="常规 9 2 2 8 5 2 2" xfId="43536" xr:uid="{00000000-0005-0000-0000-0000C97B0000}"/>
    <cellStyle name="常规 9 2 2 8 5 3" xfId="31248" xr:uid="{00000000-0005-0000-0000-0000CA7B0000}"/>
    <cellStyle name="常规 9 2 2 8 6" xfId="12816" xr:uid="{00000000-0005-0000-0000-0000CB7B0000}"/>
    <cellStyle name="常规 9 2 2 8 6 2" xfId="37392" xr:uid="{00000000-0005-0000-0000-0000CC7B0000}"/>
    <cellStyle name="常规 9 2 2 8 7" xfId="25104" xr:uid="{00000000-0005-0000-0000-0000CD7B0000}"/>
    <cellStyle name="常规 9 2 2 9" xfId="908" xr:uid="{00000000-0005-0000-0000-0000CE7B0000}"/>
    <cellStyle name="常规 9 2 2 9 2" xfId="2444" xr:uid="{00000000-0005-0000-0000-0000CF7B0000}"/>
    <cellStyle name="常规 9 2 2 9 2 2" xfId="5520" xr:uid="{00000000-0005-0000-0000-0000D07B0000}"/>
    <cellStyle name="常规 9 2 2 9 2 2 2" xfId="11664" xr:uid="{00000000-0005-0000-0000-0000D17B0000}"/>
    <cellStyle name="常规 9 2 2 9 2 2 2 2" xfId="23952" xr:uid="{00000000-0005-0000-0000-0000D27B0000}"/>
    <cellStyle name="常规 9 2 2 9 2 2 2 2 2" xfId="48528" xr:uid="{00000000-0005-0000-0000-0000D37B0000}"/>
    <cellStyle name="常规 9 2 2 9 2 2 2 3" xfId="36240" xr:uid="{00000000-0005-0000-0000-0000D47B0000}"/>
    <cellStyle name="常规 9 2 2 9 2 2 3" xfId="17808" xr:uid="{00000000-0005-0000-0000-0000D57B0000}"/>
    <cellStyle name="常规 9 2 2 9 2 2 3 2" xfId="42384" xr:uid="{00000000-0005-0000-0000-0000D67B0000}"/>
    <cellStyle name="常规 9 2 2 9 2 2 4" xfId="30096" xr:uid="{00000000-0005-0000-0000-0000D77B0000}"/>
    <cellStyle name="常规 9 2 2 9 2 3" xfId="8592" xr:uid="{00000000-0005-0000-0000-0000D87B0000}"/>
    <cellStyle name="常规 9 2 2 9 2 3 2" xfId="20880" xr:uid="{00000000-0005-0000-0000-0000D97B0000}"/>
    <cellStyle name="常规 9 2 2 9 2 3 2 2" xfId="45456" xr:uid="{00000000-0005-0000-0000-0000DA7B0000}"/>
    <cellStyle name="常规 9 2 2 9 2 3 3" xfId="33168" xr:uid="{00000000-0005-0000-0000-0000DB7B0000}"/>
    <cellStyle name="常规 9 2 2 9 2 4" xfId="14736" xr:uid="{00000000-0005-0000-0000-0000DC7B0000}"/>
    <cellStyle name="常规 9 2 2 9 2 4 2" xfId="39312" xr:uid="{00000000-0005-0000-0000-0000DD7B0000}"/>
    <cellStyle name="常规 9 2 2 9 2 5" xfId="27024" xr:uid="{00000000-0005-0000-0000-0000DE7B0000}"/>
    <cellStyle name="常规 9 2 2 9 3" xfId="3984" xr:uid="{00000000-0005-0000-0000-0000DF7B0000}"/>
    <cellStyle name="常规 9 2 2 9 3 2" xfId="10128" xr:uid="{00000000-0005-0000-0000-0000E07B0000}"/>
    <cellStyle name="常规 9 2 2 9 3 2 2" xfId="22416" xr:uid="{00000000-0005-0000-0000-0000E17B0000}"/>
    <cellStyle name="常规 9 2 2 9 3 2 2 2" xfId="46992" xr:uid="{00000000-0005-0000-0000-0000E27B0000}"/>
    <cellStyle name="常规 9 2 2 9 3 2 3" xfId="34704" xr:uid="{00000000-0005-0000-0000-0000E37B0000}"/>
    <cellStyle name="常规 9 2 2 9 3 3" xfId="16272" xr:uid="{00000000-0005-0000-0000-0000E47B0000}"/>
    <cellStyle name="常规 9 2 2 9 3 3 2" xfId="40848" xr:uid="{00000000-0005-0000-0000-0000E57B0000}"/>
    <cellStyle name="常规 9 2 2 9 3 4" xfId="28560" xr:uid="{00000000-0005-0000-0000-0000E67B0000}"/>
    <cellStyle name="常规 9 2 2 9 4" xfId="7056" xr:uid="{00000000-0005-0000-0000-0000E77B0000}"/>
    <cellStyle name="常规 9 2 2 9 4 2" xfId="19344" xr:uid="{00000000-0005-0000-0000-0000E87B0000}"/>
    <cellStyle name="常规 9 2 2 9 4 2 2" xfId="43920" xr:uid="{00000000-0005-0000-0000-0000E97B0000}"/>
    <cellStyle name="常规 9 2 2 9 4 3" xfId="31632" xr:uid="{00000000-0005-0000-0000-0000EA7B0000}"/>
    <cellStyle name="常规 9 2 2 9 5" xfId="13200" xr:uid="{00000000-0005-0000-0000-0000EB7B0000}"/>
    <cellStyle name="常规 9 2 2 9 5 2" xfId="37776" xr:uid="{00000000-0005-0000-0000-0000EC7B0000}"/>
    <cellStyle name="常规 9 2 2 9 6" xfId="25488" xr:uid="{00000000-0005-0000-0000-0000ED7B0000}"/>
    <cellStyle name="常规 9 2 3" xfId="103" xr:uid="{00000000-0005-0000-0000-0000EE7B0000}"/>
    <cellStyle name="常规 9 2 3 10" xfId="3220" xr:uid="{00000000-0005-0000-0000-0000EF7B0000}"/>
    <cellStyle name="常规 9 2 3 10 2" xfId="9364" xr:uid="{00000000-0005-0000-0000-0000F07B0000}"/>
    <cellStyle name="常规 9 2 3 10 2 2" xfId="21652" xr:uid="{00000000-0005-0000-0000-0000F17B0000}"/>
    <cellStyle name="常规 9 2 3 10 2 2 2" xfId="46228" xr:uid="{00000000-0005-0000-0000-0000F27B0000}"/>
    <cellStyle name="常规 9 2 3 10 2 3" xfId="33940" xr:uid="{00000000-0005-0000-0000-0000F37B0000}"/>
    <cellStyle name="常规 9 2 3 10 3" xfId="15508" xr:uid="{00000000-0005-0000-0000-0000F47B0000}"/>
    <cellStyle name="常规 9 2 3 10 3 2" xfId="40084" xr:uid="{00000000-0005-0000-0000-0000F57B0000}"/>
    <cellStyle name="常规 9 2 3 10 4" xfId="27796" xr:uid="{00000000-0005-0000-0000-0000F67B0000}"/>
    <cellStyle name="常规 9 2 3 11" xfId="6292" xr:uid="{00000000-0005-0000-0000-0000F77B0000}"/>
    <cellStyle name="常规 9 2 3 11 2" xfId="18580" xr:uid="{00000000-0005-0000-0000-0000F87B0000}"/>
    <cellStyle name="常规 9 2 3 11 2 2" xfId="43156" xr:uid="{00000000-0005-0000-0000-0000F97B0000}"/>
    <cellStyle name="常规 9 2 3 11 3" xfId="30868" xr:uid="{00000000-0005-0000-0000-0000FA7B0000}"/>
    <cellStyle name="常规 9 2 3 12" xfId="12436" xr:uid="{00000000-0005-0000-0000-0000FB7B0000}"/>
    <cellStyle name="常规 9 2 3 12 2" xfId="37012" xr:uid="{00000000-0005-0000-0000-0000FC7B0000}"/>
    <cellStyle name="常规 9 2 3 13" xfId="24724" xr:uid="{00000000-0005-0000-0000-0000FD7B0000}"/>
    <cellStyle name="常规 9 2 3 2" xfId="119" xr:uid="{00000000-0005-0000-0000-0000FE7B0000}"/>
    <cellStyle name="常规 9 2 3 2 10" xfId="6308" xr:uid="{00000000-0005-0000-0000-0000FF7B0000}"/>
    <cellStyle name="常规 9 2 3 2 10 2" xfId="18596" xr:uid="{00000000-0005-0000-0000-0000007C0000}"/>
    <cellStyle name="常规 9 2 3 2 10 2 2" xfId="43172" xr:uid="{00000000-0005-0000-0000-0000017C0000}"/>
    <cellStyle name="常规 9 2 3 2 10 3" xfId="30884" xr:uid="{00000000-0005-0000-0000-0000027C0000}"/>
    <cellStyle name="常规 9 2 3 2 11" xfId="12452" xr:uid="{00000000-0005-0000-0000-0000037C0000}"/>
    <cellStyle name="常规 9 2 3 2 11 2" xfId="37028" xr:uid="{00000000-0005-0000-0000-0000047C0000}"/>
    <cellStyle name="常规 9 2 3 2 12" xfId="24740" xr:uid="{00000000-0005-0000-0000-0000057C0000}"/>
    <cellStyle name="常规 9 2 3 2 2" xfId="191" xr:uid="{00000000-0005-0000-0000-0000067C0000}"/>
    <cellStyle name="常规 9 2 3 2 2 10" xfId="12484" xr:uid="{00000000-0005-0000-0000-0000077C0000}"/>
    <cellStyle name="常规 9 2 3 2 2 10 2" xfId="37060" xr:uid="{00000000-0005-0000-0000-0000087C0000}"/>
    <cellStyle name="常规 9 2 3 2 2 11" xfId="24772" xr:uid="{00000000-0005-0000-0000-0000097C0000}"/>
    <cellStyle name="常规 9 2 3 2 2 2" xfId="256" xr:uid="{00000000-0005-0000-0000-00000A7C0000}"/>
    <cellStyle name="常规 9 2 3 2 2 2 2" xfId="448" xr:uid="{00000000-0005-0000-0000-00000B7C0000}"/>
    <cellStyle name="常规 9 2 3 2 2 2 2 2" xfId="832" xr:uid="{00000000-0005-0000-0000-00000C7C0000}"/>
    <cellStyle name="常规 9 2 3 2 2 2 2 2 2" xfId="1600" xr:uid="{00000000-0005-0000-0000-00000D7C0000}"/>
    <cellStyle name="常规 9 2 3 2 2 2 2 2 2 2" xfId="3136" xr:uid="{00000000-0005-0000-0000-00000E7C0000}"/>
    <cellStyle name="常规 9 2 3 2 2 2 2 2 2 2 2" xfId="6212" xr:uid="{00000000-0005-0000-0000-00000F7C0000}"/>
    <cellStyle name="常规 9 2 3 2 2 2 2 2 2 2 2 2" xfId="12356" xr:uid="{00000000-0005-0000-0000-0000107C0000}"/>
    <cellStyle name="常规 9 2 3 2 2 2 2 2 2 2 2 2 2" xfId="24644" xr:uid="{00000000-0005-0000-0000-0000117C0000}"/>
    <cellStyle name="常规 9 2 3 2 2 2 2 2 2 2 2 2 2 2" xfId="49220" xr:uid="{00000000-0005-0000-0000-0000127C0000}"/>
    <cellStyle name="常规 9 2 3 2 2 2 2 2 2 2 2 2 3" xfId="36932" xr:uid="{00000000-0005-0000-0000-0000137C0000}"/>
    <cellStyle name="常规 9 2 3 2 2 2 2 2 2 2 2 3" xfId="18500" xr:uid="{00000000-0005-0000-0000-0000147C0000}"/>
    <cellStyle name="常规 9 2 3 2 2 2 2 2 2 2 2 3 2" xfId="43076" xr:uid="{00000000-0005-0000-0000-0000157C0000}"/>
    <cellStyle name="常规 9 2 3 2 2 2 2 2 2 2 2 4" xfId="30788" xr:uid="{00000000-0005-0000-0000-0000167C0000}"/>
    <cellStyle name="常规 9 2 3 2 2 2 2 2 2 2 3" xfId="9284" xr:uid="{00000000-0005-0000-0000-0000177C0000}"/>
    <cellStyle name="常规 9 2 3 2 2 2 2 2 2 2 3 2" xfId="21572" xr:uid="{00000000-0005-0000-0000-0000187C0000}"/>
    <cellStyle name="常规 9 2 3 2 2 2 2 2 2 2 3 2 2" xfId="46148" xr:uid="{00000000-0005-0000-0000-0000197C0000}"/>
    <cellStyle name="常规 9 2 3 2 2 2 2 2 2 2 3 3" xfId="33860" xr:uid="{00000000-0005-0000-0000-00001A7C0000}"/>
    <cellStyle name="常规 9 2 3 2 2 2 2 2 2 2 4" xfId="15428" xr:uid="{00000000-0005-0000-0000-00001B7C0000}"/>
    <cellStyle name="常规 9 2 3 2 2 2 2 2 2 2 4 2" xfId="40004" xr:uid="{00000000-0005-0000-0000-00001C7C0000}"/>
    <cellStyle name="常规 9 2 3 2 2 2 2 2 2 2 5" xfId="27716" xr:uid="{00000000-0005-0000-0000-00001D7C0000}"/>
    <cellStyle name="常规 9 2 3 2 2 2 2 2 2 3" xfId="4676" xr:uid="{00000000-0005-0000-0000-00001E7C0000}"/>
    <cellStyle name="常规 9 2 3 2 2 2 2 2 2 3 2" xfId="10820" xr:uid="{00000000-0005-0000-0000-00001F7C0000}"/>
    <cellStyle name="常规 9 2 3 2 2 2 2 2 2 3 2 2" xfId="23108" xr:uid="{00000000-0005-0000-0000-0000207C0000}"/>
    <cellStyle name="常规 9 2 3 2 2 2 2 2 2 3 2 2 2" xfId="47684" xr:uid="{00000000-0005-0000-0000-0000217C0000}"/>
    <cellStyle name="常规 9 2 3 2 2 2 2 2 2 3 2 3" xfId="35396" xr:uid="{00000000-0005-0000-0000-0000227C0000}"/>
    <cellStyle name="常规 9 2 3 2 2 2 2 2 2 3 3" xfId="16964" xr:uid="{00000000-0005-0000-0000-0000237C0000}"/>
    <cellStyle name="常规 9 2 3 2 2 2 2 2 2 3 3 2" xfId="41540" xr:uid="{00000000-0005-0000-0000-0000247C0000}"/>
    <cellStyle name="常规 9 2 3 2 2 2 2 2 2 3 4" xfId="29252" xr:uid="{00000000-0005-0000-0000-0000257C0000}"/>
    <cellStyle name="常规 9 2 3 2 2 2 2 2 2 4" xfId="7748" xr:uid="{00000000-0005-0000-0000-0000267C0000}"/>
    <cellStyle name="常规 9 2 3 2 2 2 2 2 2 4 2" xfId="20036" xr:uid="{00000000-0005-0000-0000-0000277C0000}"/>
    <cellStyle name="常规 9 2 3 2 2 2 2 2 2 4 2 2" xfId="44612" xr:uid="{00000000-0005-0000-0000-0000287C0000}"/>
    <cellStyle name="常规 9 2 3 2 2 2 2 2 2 4 3" xfId="32324" xr:uid="{00000000-0005-0000-0000-0000297C0000}"/>
    <cellStyle name="常规 9 2 3 2 2 2 2 2 2 5" xfId="13892" xr:uid="{00000000-0005-0000-0000-00002A7C0000}"/>
    <cellStyle name="常规 9 2 3 2 2 2 2 2 2 5 2" xfId="38468" xr:uid="{00000000-0005-0000-0000-00002B7C0000}"/>
    <cellStyle name="常规 9 2 3 2 2 2 2 2 2 6" xfId="26180" xr:uid="{00000000-0005-0000-0000-00002C7C0000}"/>
    <cellStyle name="常规 9 2 3 2 2 2 2 2 3" xfId="2368" xr:uid="{00000000-0005-0000-0000-00002D7C0000}"/>
    <cellStyle name="常规 9 2 3 2 2 2 2 2 3 2" xfId="5444" xr:uid="{00000000-0005-0000-0000-00002E7C0000}"/>
    <cellStyle name="常规 9 2 3 2 2 2 2 2 3 2 2" xfId="11588" xr:uid="{00000000-0005-0000-0000-00002F7C0000}"/>
    <cellStyle name="常规 9 2 3 2 2 2 2 2 3 2 2 2" xfId="23876" xr:uid="{00000000-0005-0000-0000-0000307C0000}"/>
    <cellStyle name="常规 9 2 3 2 2 2 2 2 3 2 2 2 2" xfId="48452" xr:uid="{00000000-0005-0000-0000-0000317C0000}"/>
    <cellStyle name="常规 9 2 3 2 2 2 2 2 3 2 2 3" xfId="36164" xr:uid="{00000000-0005-0000-0000-0000327C0000}"/>
    <cellStyle name="常规 9 2 3 2 2 2 2 2 3 2 3" xfId="17732" xr:uid="{00000000-0005-0000-0000-0000337C0000}"/>
    <cellStyle name="常规 9 2 3 2 2 2 2 2 3 2 3 2" xfId="42308" xr:uid="{00000000-0005-0000-0000-0000347C0000}"/>
    <cellStyle name="常规 9 2 3 2 2 2 2 2 3 2 4" xfId="30020" xr:uid="{00000000-0005-0000-0000-0000357C0000}"/>
    <cellStyle name="常规 9 2 3 2 2 2 2 2 3 3" xfId="8516" xr:uid="{00000000-0005-0000-0000-0000367C0000}"/>
    <cellStyle name="常规 9 2 3 2 2 2 2 2 3 3 2" xfId="20804" xr:uid="{00000000-0005-0000-0000-0000377C0000}"/>
    <cellStyle name="常规 9 2 3 2 2 2 2 2 3 3 2 2" xfId="45380" xr:uid="{00000000-0005-0000-0000-0000387C0000}"/>
    <cellStyle name="常规 9 2 3 2 2 2 2 2 3 3 3" xfId="33092" xr:uid="{00000000-0005-0000-0000-0000397C0000}"/>
    <cellStyle name="常规 9 2 3 2 2 2 2 2 3 4" xfId="14660" xr:uid="{00000000-0005-0000-0000-00003A7C0000}"/>
    <cellStyle name="常规 9 2 3 2 2 2 2 2 3 4 2" xfId="39236" xr:uid="{00000000-0005-0000-0000-00003B7C0000}"/>
    <cellStyle name="常规 9 2 3 2 2 2 2 2 3 5" xfId="26948" xr:uid="{00000000-0005-0000-0000-00003C7C0000}"/>
    <cellStyle name="常规 9 2 3 2 2 2 2 2 4" xfId="3908" xr:uid="{00000000-0005-0000-0000-00003D7C0000}"/>
    <cellStyle name="常规 9 2 3 2 2 2 2 2 4 2" xfId="10052" xr:uid="{00000000-0005-0000-0000-00003E7C0000}"/>
    <cellStyle name="常规 9 2 3 2 2 2 2 2 4 2 2" xfId="22340" xr:uid="{00000000-0005-0000-0000-00003F7C0000}"/>
    <cellStyle name="常规 9 2 3 2 2 2 2 2 4 2 2 2" xfId="46916" xr:uid="{00000000-0005-0000-0000-0000407C0000}"/>
    <cellStyle name="常规 9 2 3 2 2 2 2 2 4 2 3" xfId="34628" xr:uid="{00000000-0005-0000-0000-0000417C0000}"/>
    <cellStyle name="常规 9 2 3 2 2 2 2 2 4 3" xfId="16196" xr:uid="{00000000-0005-0000-0000-0000427C0000}"/>
    <cellStyle name="常规 9 2 3 2 2 2 2 2 4 3 2" xfId="40772" xr:uid="{00000000-0005-0000-0000-0000437C0000}"/>
    <cellStyle name="常规 9 2 3 2 2 2 2 2 4 4" xfId="28484" xr:uid="{00000000-0005-0000-0000-0000447C0000}"/>
    <cellStyle name="常规 9 2 3 2 2 2 2 2 5" xfId="6980" xr:uid="{00000000-0005-0000-0000-0000457C0000}"/>
    <cellStyle name="常规 9 2 3 2 2 2 2 2 5 2" xfId="19268" xr:uid="{00000000-0005-0000-0000-0000467C0000}"/>
    <cellStyle name="常规 9 2 3 2 2 2 2 2 5 2 2" xfId="43844" xr:uid="{00000000-0005-0000-0000-0000477C0000}"/>
    <cellStyle name="常规 9 2 3 2 2 2 2 2 5 3" xfId="31556" xr:uid="{00000000-0005-0000-0000-0000487C0000}"/>
    <cellStyle name="常规 9 2 3 2 2 2 2 2 6" xfId="13124" xr:uid="{00000000-0005-0000-0000-0000497C0000}"/>
    <cellStyle name="常规 9 2 3 2 2 2 2 2 6 2" xfId="37700" xr:uid="{00000000-0005-0000-0000-00004A7C0000}"/>
    <cellStyle name="常规 9 2 3 2 2 2 2 2 7" xfId="25412" xr:uid="{00000000-0005-0000-0000-00004B7C0000}"/>
    <cellStyle name="常规 9 2 3 2 2 2 2 3" xfId="1216" xr:uid="{00000000-0005-0000-0000-00004C7C0000}"/>
    <cellStyle name="常规 9 2 3 2 2 2 2 3 2" xfId="2752" xr:uid="{00000000-0005-0000-0000-00004D7C0000}"/>
    <cellStyle name="常规 9 2 3 2 2 2 2 3 2 2" xfId="5828" xr:uid="{00000000-0005-0000-0000-00004E7C0000}"/>
    <cellStyle name="常规 9 2 3 2 2 2 2 3 2 2 2" xfId="11972" xr:uid="{00000000-0005-0000-0000-00004F7C0000}"/>
    <cellStyle name="常规 9 2 3 2 2 2 2 3 2 2 2 2" xfId="24260" xr:uid="{00000000-0005-0000-0000-0000507C0000}"/>
    <cellStyle name="常规 9 2 3 2 2 2 2 3 2 2 2 2 2" xfId="48836" xr:uid="{00000000-0005-0000-0000-0000517C0000}"/>
    <cellStyle name="常规 9 2 3 2 2 2 2 3 2 2 2 3" xfId="36548" xr:uid="{00000000-0005-0000-0000-0000527C0000}"/>
    <cellStyle name="常规 9 2 3 2 2 2 2 3 2 2 3" xfId="18116" xr:uid="{00000000-0005-0000-0000-0000537C0000}"/>
    <cellStyle name="常规 9 2 3 2 2 2 2 3 2 2 3 2" xfId="42692" xr:uid="{00000000-0005-0000-0000-0000547C0000}"/>
    <cellStyle name="常规 9 2 3 2 2 2 2 3 2 2 4" xfId="30404" xr:uid="{00000000-0005-0000-0000-0000557C0000}"/>
    <cellStyle name="常规 9 2 3 2 2 2 2 3 2 3" xfId="8900" xr:uid="{00000000-0005-0000-0000-0000567C0000}"/>
    <cellStyle name="常规 9 2 3 2 2 2 2 3 2 3 2" xfId="21188" xr:uid="{00000000-0005-0000-0000-0000577C0000}"/>
    <cellStyle name="常规 9 2 3 2 2 2 2 3 2 3 2 2" xfId="45764" xr:uid="{00000000-0005-0000-0000-0000587C0000}"/>
    <cellStyle name="常规 9 2 3 2 2 2 2 3 2 3 3" xfId="33476" xr:uid="{00000000-0005-0000-0000-0000597C0000}"/>
    <cellStyle name="常规 9 2 3 2 2 2 2 3 2 4" xfId="15044" xr:uid="{00000000-0005-0000-0000-00005A7C0000}"/>
    <cellStyle name="常规 9 2 3 2 2 2 2 3 2 4 2" xfId="39620" xr:uid="{00000000-0005-0000-0000-00005B7C0000}"/>
    <cellStyle name="常规 9 2 3 2 2 2 2 3 2 5" xfId="27332" xr:uid="{00000000-0005-0000-0000-00005C7C0000}"/>
    <cellStyle name="常规 9 2 3 2 2 2 2 3 3" xfId="4292" xr:uid="{00000000-0005-0000-0000-00005D7C0000}"/>
    <cellStyle name="常规 9 2 3 2 2 2 2 3 3 2" xfId="10436" xr:uid="{00000000-0005-0000-0000-00005E7C0000}"/>
    <cellStyle name="常规 9 2 3 2 2 2 2 3 3 2 2" xfId="22724" xr:uid="{00000000-0005-0000-0000-00005F7C0000}"/>
    <cellStyle name="常规 9 2 3 2 2 2 2 3 3 2 2 2" xfId="47300" xr:uid="{00000000-0005-0000-0000-0000607C0000}"/>
    <cellStyle name="常规 9 2 3 2 2 2 2 3 3 2 3" xfId="35012" xr:uid="{00000000-0005-0000-0000-0000617C0000}"/>
    <cellStyle name="常规 9 2 3 2 2 2 2 3 3 3" xfId="16580" xr:uid="{00000000-0005-0000-0000-0000627C0000}"/>
    <cellStyle name="常规 9 2 3 2 2 2 2 3 3 3 2" xfId="41156" xr:uid="{00000000-0005-0000-0000-0000637C0000}"/>
    <cellStyle name="常规 9 2 3 2 2 2 2 3 3 4" xfId="28868" xr:uid="{00000000-0005-0000-0000-0000647C0000}"/>
    <cellStyle name="常规 9 2 3 2 2 2 2 3 4" xfId="7364" xr:uid="{00000000-0005-0000-0000-0000657C0000}"/>
    <cellStyle name="常规 9 2 3 2 2 2 2 3 4 2" xfId="19652" xr:uid="{00000000-0005-0000-0000-0000667C0000}"/>
    <cellStyle name="常规 9 2 3 2 2 2 2 3 4 2 2" xfId="44228" xr:uid="{00000000-0005-0000-0000-0000677C0000}"/>
    <cellStyle name="常规 9 2 3 2 2 2 2 3 4 3" xfId="31940" xr:uid="{00000000-0005-0000-0000-0000687C0000}"/>
    <cellStyle name="常规 9 2 3 2 2 2 2 3 5" xfId="13508" xr:uid="{00000000-0005-0000-0000-0000697C0000}"/>
    <cellStyle name="常规 9 2 3 2 2 2 2 3 5 2" xfId="38084" xr:uid="{00000000-0005-0000-0000-00006A7C0000}"/>
    <cellStyle name="常规 9 2 3 2 2 2 2 3 6" xfId="25796" xr:uid="{00000000-0005-0000-0000-00006B7C0000}"/>
    <cellStyle name="常规 9 2 3 2 2 2 2 4" xfId="1984" xr:uid="{00000000-0005-0000-0000-00006C7C0000}"/>
    <cellStyle name="常规 9 2 3 2 2 2 2 4 2" xfId="5060" xr:uid="{00000000-0005-0000-0000-00006D7C0000}"/>
    <cellStyle name="常规 9 2 3 2 2 2 2 4 2 2" xfId="11204" xr:uid="{00000000-0005-0000-0000-00006E7C0000}"/>
    <cellStyle name="常规 9 2 3 2 2 2 2 4 2 2 2" xfId="23492" xr:uid="{00000000-0005-0000-0000-00006F7C0000}"/>
    <cellStyle name="常规 9 2 3 2 2 2 2 4 2 2 2 2" xfId="48068" xr:uid="{00000000-0005-0000-0000-0000707C0000}"/>
    <cellStyle name="常规 9 2 3 2 2 2 2 4 2 2 3" xfId="35780" xr:uid="{00000000-0005-0000-0000-0000717C0000}"/>
    <cellStyle name="常规 9 2 3 2 2 2 2 4 2 3" xfId="17348" xr:uid="{00000000-0005-0000-0000-0000727C0000}"/>
    <cellStyle name="常规 9 2 3 2 2 2 2 4 2 3 2" xfId="41924" xr:uid="{00000000-0005-0000-0000-0000737C0000}"/>
    <cellStyle name="常规 9 2 3 2 2 2 2 4 2 4" xfId="29636" xr:uid="{00000000-0005-0000-0000-0000747C0000}"/>
    <cellStyle name="常规 9 2 3 2 2 2 2 4 3" xfId="8132" xr:uid="{00000000-0005-0000-0000-0000757C0000}"/>
    <cellStyle name="常规 9 2 3 2 2 2 2 4 3 2" xfId="20420" xr:uid="{00000000-0005-0000-0000-0000767C0000}"/>
    <cellStyle name="常规 9 2 3 2 2 2 2 4 3 2 2" xfId="44996" xr:uid="{00000000-0005-0000-0000-0000777C0000}"/>
    <cellStyle name="常规 9 2 3 2 2 2 2 4 3 3" xfId="32708" xr:uid="{00000000-0005-0000-0000-0000787C0000}"/>
    <cellStyle name="常规 9 2 3 2 2 2 2 4 4" xfId="14276" xr:uid="{00000000-0005-0000-0000-0000797C0000}"/>
    <cellStyle name="常规 9 2 3 2 2 2 2 4 4 2" xfId="38852" xr:uid="{00000000-0005-0000-0000-00007A7C0000}"/>
    <cellStyle name="常规 9 2 3 2 2 2 2 4 5" xfId="26564" xr:uid="{00000000-0005-0000-0000-00007B7C0000}"/>
    <cellStyle name="常规 9 2 3 2 2 2 2 5" xfId="3524" xr:uid="{00000000-0005-0000-0000-00007C7C0000}"/>
    <cellStyle name="常规 9 2 3 2 2 2 2 5 2" xfId="9668" xr:uid="{00000000-0005-0000-0000-00007D7C0000}"/>
    <cellStyle name="常规 9 2 3 2 2 2 2 5 2 2" xfId="21956" xr:uid="{00000000-0005-0000-0000-00007E7C0000}"/>
    <cellStyle name="常规 9 2 3 2 2 2 2 5 2 2 2" xfId="46532" xr:uid="{00000000-0005-0000-0000-00007F7C0000}"/>
    <cellStyle name="常规 9 2 3 2 2 2 2 5 2 3" xfId="34244" xr:uid="{00000000-0005-0000-0000-0000807C0000}"/>
    <cellStyle name="常规 9 2 3 2 2 2 2 5 3" xfId="15812" xr:uid="{00000000-0005-0000-0000-0000817C0000}"/>
    <cellStyle name="常规 9 2 3 2 2 2 2 5 3 2" xfId="40388" xr:uid="{00000000-0005-0000-0000-0000827C0000}"/>
    <cellStyle name="常规 9 2 3 2 2 2 2 5 4" xfId="28100" xr:uid="{00000000-0005-0000-0000-0000837C0000}"/>
    <cellStyle name="常规 9 2 3 2 2 2 2 6" xfId="6596" xr:uid="{00000000-0005-0000-0000-0000847C0000}"/>
    <cellStyle name="常规 9 2 3 2 2 2 2 6 2" xfId="18884" xr:uid="{00000000-0005-0000-0000-0000857C0000}"/>
    <cellStyle name="常规 9 2 3 2 2 2 2 6 2 2" xfId="43460" xr:uid="{00000000-0005-0000-0000-0000867C0000}"/>
    <cellStyle name="常规 9 2 3 2 2 2 2 6 3" xfId="31172" xr:uid="{00000000-0005-0000-0000-0000877C0000}"/>
    <cellStyle name="常规 9 2 3 2 2 2 2 7" xfId="12740" xr:uid="{00000000-0005-0000-0000-0000887C0000}"/>
    <cellStyle name="常规 9 2 3 2 2 2 2 7 2" xfId="37316" xr:uid="{00000000-0005-0000-0000-0000897C0000}"/>
    <cellStyle name="常规 9 2 3 2 2 2 2 8" xfId="25028" xr:uid="{00000000-0005-0000-0000-00008A7C0000}"/>
    <cellStyle name="常规 9 2 3 2 2 2 3" xfId="640" xr:uid="{00000000-0005-0000-0000-00008B7C0000}"/>
    <cellStyle name="常规 9 2 3 2 2 2 3 2" xfId="1408" xr:uid="{00000000-0005-0000-0000-00008C7C0000}"/>
    <cellStyle name="常规 9 2 3 2 2 2 3 2 2" xfId="2944" xr:uid="{00000000-0005-0000-0000-00008D7C0000}"/>
    <cellStyle name="常规 9 2 3 2 2 2 3 2 2 2" xfId="6020" xr:uid="{00000000-0005-0000-0000-00008E7C0000}"/>
    <cellStyle name="常规 9 2 3 2 2 2 3 2 2 2 2" xfId="12164" xr:uid="{00000000-0005-0000-0000-00008F7C0000}"/>
    <cellStyle name="常规 9 2 3 2 2 2 3 2 2 2 2 2" xfId="24452" xr:uid="{00000000-0005-0000-0000-0000907C0000}"/>
    <cellStyle name="常规 9 2 3 2 2 2 3 2 2 2 2 2 2" xfId="49028" xr:uid="{00000000-0005-0000-0000-0000917C0000}"/>
    <cellStyle name="常规 9 2 3 2 2 2 3 2 2 2 2 3" xfId="36740" xr:uid="{00000000-0005-0000-0000-0000927C0000}"/>
    <cellStyle name="常规 9 2 3 2 2 2 3 2 2 2 3" xfId="18308" xr:uid="{00000000-0005-0000-0000-0000937C0000}"/>
    <cellStyle name="常规 9 2 3 2 2 2 3 2 2 2 3 2" xfId="42884" xr:uid="{00000000-0005-0000-0000-0000947C0000}"/>
    <cellStyle name="常规 9 2 3 2 2 2 3 2 2 2 4" xfId="30596" xr:uid="{00000000-0005-0000-0000-0000957C0000}"/>
    <cellStyle name="常规 9 2 3 2 2 2 3 2 2 3" xfId="9092" xr:uid="{00000000-0005-0000-0000-0000967C0000}"/>
    <cellStyle name="常规 9 2 3 2 2 2 3 2 2 3 2" xfId="21380" xr:uid="{00000000-0005-0000-0000-0000977C0000}"/>
    <cellStyle name="常规 9 2 3 2 2 2 3 2 2 3 2 2" xfId="45956" xr:uid="{00000000-0005-0000-0000-0000987C0000}"/>
    <cellStyle name="常规 9 2 3 2 2 2 3 2 2 3 3" xfId="33668" xr:uid="{00000000-0005-0000-0000-0000997C0000}"/>
    <cellStyle name="常规 9 2 3 2 2 2 3 2 2 4" xfId="15236" xr:uid="{00000000-0005-0000-0000-00009A7C0000}"/>
    <cellStyle name="常规 9 2 3 2 2 2 3 2 2 4 2" xfId="39812" xr:uid="{00000000-0005-0000-0000-00009B7C0000}"/>
    <cellStyle name="常规 9 2 3 2 2 2 3 2 2 5" xfId="27524" xr:uid="{00000000-0005-0000-0000-00009C7C0000}"/>
    <cellStyle name="常规 9 2 3 2 2 2 3 2 3" xfId="4484" xr:uid="{00000000-0005-0000-0000-00009D7C0000}"/>
    <cellStyle name="常规 9 2 3 2 2 2 3 2 3 2" xfId="10628" xr:uid="{00000000-0005-0000-0000-00009E7C0000}"/>
    <cellStyle name="常规 9 2 3 2 2 2 3 2 3 2 2" xfId="22916" xr:uid="{00000000-0005-0000-0000-00009F7C0000}"/>
    <cellStyle name="常规 9 2 3 2 2 2 3 2 3 2 2 2" xfId="47492" xr:uid="{00000000-0005-0000-0000-0000A07C0000}"/>
    <cellStyle name="常规 9 2 3 2 2 2 3 2 3 2 3" xfId="35204" xr:uid="{00000000-0005-0000-0000-0000A17C0000}"/>
    <cellStyle name="常规 9 2 3 2 2 2 3 2 3 3" xfId="16772" xr:uid="{00000000-0005-0000-0000-0000A27C0000}"/>
    <cellStyle name="常规 9 2 3 2 2 2 3 2 3 3 2" xfId="41348" xr:uid="{00000000-0005-0000-0000-0000A37C0000}"/>
    <cellStyle name="常规 9 2 3 2 2 2 3 2 3 4" xfId="29060" xr:uid="{00000000-0005-0000-0000-0000A47C0000}"/>
    <cellStyle name="常规 9 2 3 2 2 2 3 2 4" xfId="7556" xr:uid="{00000000-0005-0000-0000-0000A57C0000}"/>
    <cellStyle name="常规 9 2 3 2 2 2 3 2 4 2" xfId="19844" xr:uid="{00000000-0005-0000-0000-0000A67C0000}"/>
    <cellStyle name="常规 9 2 3 2 2 2 3 2 4 2 2" xfId="44420" xr:uid="{00000000-0005-0000-0000-0000A77C0000}"/>
    <cellStyle name="常规 9 2 3 2 2 2 3 2 4 3" xfId="32132" xr:uid="{00000000-0005-0000-0000-0000A87C0000}"/>
    <cellStyle name="常规 9 2 3 2 2 2 3 2 5" xfId="13700" xr:uid="{00000000-0005-0000-0000-0000A97C0000}"/>
    <cellStyle name="常规 9 2 3 2 2 2 3 2 5 2" xfId="38276" xr:uid="{00000000-0005-0000-0000-0000AA7C0000}"/>
    <cellStyle name="常规 9 2 3 2 2 2 3 2 6" xfId="25988" xr:uid="{00000000-0005-0000-0000-0000AB7C0000}"/>
    <cellStyle name="常规 9 2 3 2 2 2 3 3" xfId="2176" xr:uid="{00000000-0005-0000-0000-0000AC7C0000}"/>
    <cellStyle name="常规 9 2 3 2 2 2 3 3 2" xfId="5252" xr:uid="{00000000-0005-0000-0000-0000AD7C0000}"/>
    <cellStyle name="常规 9 2 3 2 2 2 3 3 2 2" xfId="11396" xr:uid="{00000000-0005-0000-0000-0000AE7C0000}"/>
    <cellStyle name="常规 9 2 3 2 2 2 3 3 2 2 2" xfId="23684" xr:uid="{00000000-0005-0000-0000-0000AF7C0000}"/>
    <cellStyle name="常规 9 2 3 2 2 2 3 3 2 2 2 2" xfId="48260" xr:uid="{00000000-0005-0000-0000-0000B07C0000}"/>
    <cellStyle name="常规 9 2 3 2 2 2 3 3 2 2 3" xfId="35972" xr:uid="{00000000-0005-0000-0000-0000B17C0000}"/>
    <cellStyle name="常规 9 2 3 2 2 2 3 3 2 3" xfId="17540" xr:uid="{00000000-0005-0000-0000-0000B27C0000}"/>
    <cellStyle name="常规 9 2 3 2 2 2 3 3 2 3 2" xfId="42116" xr:uid="{00000000-0005-0000-0000-0000B37C0000}"/>
    <cellStyle name="常规 9 2 3 2 2 2 3 3 2 4" xfId="29828" xr:uid="{00000000-0005-0000-0000-0000B47C0000}"/>
    <cellStyle name="常规 9 2 3 2 2 2 3 3 3" xfId="8324" xr:uid="{00000000-0005-0000-0000-0000B57C0000}"/>
    <cellStyle name="常规 9 2 3 2 2 2 3 3 3 2" xfId="20612" xr:uid="{00000000-0005-0000-0000-0000B67C0000}"/>
    <cellStyle name="常规 9 2 3 2 2 2 3 3 3 2 2" xfId="45188" xr:uid="{00000000-0005-0000-0000-0000B77C0000}"/>
    <cellStyle name="常规 9 2 3 2 2 2 3 3 3 3" xfId="32900" xr:uid="{00000000-0005-0000-0000-0000B87C0000}"/>
    <cellStyle name="常规 9 2 3 2 2 2 3 3 4" xfId="14468" xr:uid="{00000000-0005-0000-0000-0000B97C0000}"/>
    <cellStyle name="常规 9 2 3 2 2 2 3 3 4 2" xfId="39044" xr:uid="{00000000-0005-0000-0000-0000BA7C0000}"/>
    <cellStyle name="常规 9 2 3 2 2 2 3 3 5" xfId="26756" xr:uid="{00000000-0005-0000-0000-0000BB7C0000}"/>
    <cellStyle name="常规 9 2 3 2 2 2 3 4" xfId="3716" xr:uid="{00000000-0005-0000-0000-0000BC7C0000}"/>
    <cellStyle name="常规 9 2 3 2 2 2 3 4 2" xfId="9860" xr:uid="{00000000-0005-0000-0000-0000BD7C0000}"/>
    <cellStyle name="常规 9 2 3 2 2 2 3 4 2 2" xfId="22148" xr:uid="{00000000-0005-0000-0000-0000BE7C0000}"/>
    <cellStyle name="常规 9 2 3 2 2 2 3 4 2 2 2" xfId="46724" xr:uid="{00000000-0005-0000-0000-0000BF7C0000}"/>
    <cellStyle name="常规 9 2 3 2 2 2 3 4 2 3" xfId="34436" xr:uid="{00000000-0005-0000-0000-0000C07C0000}"/>
    <cellStyle name="常规 9 2 3 2 2 2 3 4 3" xfId="16004" xr:uid="{00000000-0005-0000-0000-0000C17C0000}"/>
    <cellStyle name="常规 9 2 3 2 2 2 3 4 3 2" xfId="40580" xr:uid="{00000000-0005-0000-0000-0000C27C0000}"/>
    <cellStyle name="常规 9 2 3 2 2 2 3 4 4" xfId="28292" xr:uid="{00000000-0005-0000-0000-0000C37C0000}"/>
    <cellStyle name="常规 9 2 3 2 2 2 3 5" xfId="6788" xr:uid="{00000000-0005-0000-0000-0000C47C0000}"/>
    <cellStyle name="常规 9 2 3 2 2 2 3 5 2" xfId="19076" xr:uid="{00000000-0005-0000-0000-0000C57C0000}"/>
    <cellStyle name="常规 9 2 3 2 2 2 3 5 2 2" xfId="43652" xr:uid="{00000000-0005-0000-0000-0000C67C0000}"/>
    <cellStyle name="常规 9 2 3 2 2 2 3 5 3" xfId="31364" xr:uid="{00000000-0005-0000-0000-0000C77C0000}"/>
    <cellStyle name="常规 9 2 3 2 2 2 3 6" xfId="12932" xr:uid="{00000000-0005-0000-0000-0000C87C0000}"/>
    <cellStyle name="常规 9 2 3 2 2 2 3 6 2" xfId="37508" xr:uid="{00000000-0005-0000-0000-0000C97C0000}"/>
    <cellStyle name="常规 9 2 3 2 2 2 3 7" xfId="25220" xr:uid="{00000000-0005-0000-0000-0000CA7C0000}"/>
    <cellStyle name="常规 9 2 3 2 2 2 4" xfId="1024" xr:uid="{00000000-0005-0000-0000-0000CB7C0000}"/>
    <cellStyle name="常规 9 2 3 2 2 2 4 2" xfId="2560" xr:uid="{00000000-0005-0000-0000-0000CC7C0000}"/>
    <cellStyle name="常规 9 2 3 2 2 2 4 2 2" xfId="5636" xr:uid="{00000000-0005-0000-0000-0000CD7C0000}"/>
    <cellStyle name="常规 9 2 3 2 2 2 4 2 2 2" xfId="11780" xr:uid="{00000000-0005-0000-0000-0000CE7C0000}"/>
    <cellStyle name="常规 9 2 3 2 2 2 4 2 2 2 2" xfId="24068" xr:uid="{00000000-0005-0000-0000-0000CF7C0000}"/>
    <cellStyle name="常规 9 2 3 2 2 2 4 2 2 2 2 2" xfId="48644" xr:uid="{00000000-0005-0000-0000-0000D07C0000}"/>
    <cellStyle name="常规 9 2 3 2 2 2 4 2 2 2 3" xfId="36356" xr:uid="{00000000-0005-0000-0000-0000D17C0000}"/>
    <cellStyle name="常规 9 2 3 2 2 2 4 2 2 3" xfId="17924" xr:uid="{00000000-0005-0000-0000-0000D27C0000}"/>
    <cellStyle name="常规 9 2 3 2 2 2 4 2 2 3 2" xfId="42500" xr:uid="{00000000-0005-0000-0000-0000D37C0000}"/>
    <cellStyle name="常规 9 2 3 2 2 2 4 2 2 4" xfId="30212" xr:uid="{00000000-0005-0000-0000-0000D47C0000}"/>
    <cellStyle name="常规 9 2 3 2 2 2 4 2 3" xfId="8708" xr:uid="{00000000-0005-0000-0000-0000D57C0000}"/>
    <cellStyle name="常规 9 2 3 2 2 2 4 2 3 2" xfId="20996" xr:uid="{00000000-0005-0000-0000-0000D67C0000}"/>
    <cellStyle name="常规 9 2 3 2 2 2 4 2 3 2 2" xfId="45572" xr:uid="{00000000-0005-0000-0000-0000D77C0000}"/>
    <cellStyle name="常规 9 2 3 2 2 2 4 2 3 3" xfId="33284" xr:uid="{00000000-0005-0000-0000-0000D87C0000}"/>
    <cellStyle name="常规 9 2 3 2 2 2 4 2 4" xfId="14852" xr:uid="{00000000-0005-0000-0000-0000D97C0000}"/>
    <cellStyle name="常规 9 2 3 2 2 2 4 2 4 2" xfId="39428" xr:uid="{00000000-0005-0000-0000-0000DA7C0000}"/>
    <cellStyle name="常规 9 2 3 2 2 2 4 2 5" xfId="27140" xr:uid="{00000000-0005-0000-0000-0000DB7C0000}"/>
    <cellStyle name="常规 9 2 3 2 2 2 4 3" xfId="4100" xr:uid="{00000000-0005-0000-0000-0000DC7C0000}"/>
    <cellStyle name="常规 9 2 3 2 2 2 4 3 2" xfId="10244" xr:uid="{00000000-0005-0000-0000-0000DD7C0000}"/>
    <cellStyle name="常规 9 2 3 2 2 2 4 3 2 2" xfId="22532" xr:uid="{00000000-0005-0000-0000-0000DE7C0000}"/>
    <cellStyle name="常规 9 2 3 2 2 2 4 3 2 2 2" xfId="47108" xr:uid="{00000000-0005-0000-0000-0000DF7C0000}"/>
    <cellStyle name="常规 9 2 3 2 2 2 4 3 2 3" xfId="34820" xr:uid="{00000000-0005-0000-0000-0000E07C0000}"/>
    <cellStyle name="常规 9 2 3 2 2 2 4 3 3" xfId="16388" xr:uid="{00000000-0005-0000-0000-0000E17C0000}"/>
    <cellStyle name="常规 9 2 3 2 2 2 4 3 3 2" xfId="40964" xr:uid="{00000000-0005-0000-0000-0000E27C0000}"/>
    <cellStyle name="常规 9 2 3 2 2 2 4 3 4" xfId="28676" xr:uid="{00000000-0005-0000-0000-0000E37C0000}"/>
    <cellStyle name="常规 9 2 3 2 2 2 4 4" xfId="7172" xr:uid="{00000000-0005-0000-0000-0000E47C0000}"/>
    <cellStyle name="常规 9 2 3 2 2 2 4 4 2" xfId="19460" xr:uid="{00000000-0005-0000-0000-0000E57C0000}"/>
    <cellStyle name="常规 9 2 3 2 2 2 4 4 2 2" xfId="44036" xr:uid="{00000000-0005-0000-0000-0000E67C0000}"/>
    <cellStyle name="常规 9 2 3 2 2 2 4 4 3" xfId="31748" xr:uid="{00000000-0005-0000-0000-0000E77C0000}"/>
    <cellStyle name="常规 9 2 3 2 2 2 4 5" xfId="13316" xr:uid="{00000000-0005-0000-0000-0000E87C0000}"/>
    <cellStyle name="常规 9 2 3 2 2 2 4 5 2" xfId="37892" xr:uid="{00000000-0005-0000-0000-0000E97C0000}"/>
    <cellStyle name="常规 9 2 3 2 2 2 4 6" xfId="25604" xr:uid="{00000000-0005-0000-0000-0000EA7C0000}"/>
    <cellStyle name="常规 9 2 3 2 2 2 5" xfId="1792" xr:uid="{00000000-0005-0000-0000-0000EB7C0000}"/>
    <cellStyle name="常规 9 2 3 2 2 2 5 2" xfId="4868" xr:uid="{00000000-0005-0000-0000-0000EC7C0000}"/>
    <cellStyle name="常规 9 2 3 2 2 2 5 2 2" xfId="11012" xr:uid="{00000000-0005-0000-0000-0000ED7C0000}"/>
    <cellStyle name="常规 9 2 3 2 2 2 5 2 2 2" xfId="23300" xr:uid="{00000000-0005-0000-0000-0000EE7C0000}"/>
    <cellStyle name="常规 9 2 3 2 2 2 5 2 2 2 2" xfId="47876" xr:uid="{00000000-0005-0000-0000-0000EF7C0000}"/>
    <cellStyle name="常规 9 2 3 2 2 2 5 2 2 3" xfId="35588" xr:uid="{00000000-0005-0000-0000-0000F07C0000}"/>
    <cellStyle name="常规 9 2 3 2 2 2 5 2 3" xfId="17156" xr:uid="{00000000-0005-0000-0000-0000F17C0000}"/>
    <cellStyle name="常规 9 2 3 2 2 2 5 2 3 2" xfId="41732" xr:uid="{00000000-0005-0000-0000-0000F27C0000}"/>
    <cellStyle name="常规 9 2 3 2 2 2 5 2 4" xfId="29444" xr:uid="{00000000-0005-0000-0000-0000F37C0000}"/>
    <cellStyle name="常规 9 2 3 2 2 2 5 3" xfId="7940" xr:uid="{00000000-0005-0000-0000-0000F47C0000}"/>
    <cellStyle name="常规 9 2 3 2 2 2 5 3 2" xfId="20228" xr:uid="{00000000-0005-0000-0000-0000F57C0000}"/>
    <cellStyle name="常规 9 2 3 2 2 2 5 3 2 2" xfId="44804" xr:uid="{00000000-0005-0000-0000-0000F67C0000}"/>
    <cellStyle name="常规 9 2 3 2 2 2 5 3 3" xfId="32516" xr:uid="{00000000-0005-0000-0000-0000F77C0000}"/>
    <cellStyle name="常规 9 2 3 2 2 2 5 4" xfId="14084" xr:uid="{00000000-0005-0000-0000-0000F87C0000}"/>
    <cellStyle name="常规 9 2 3 2 2 2 5 4 2" xfId="38660" xr:uid="{00000000-0005-0000-0000-0000F97C0000}"/>
    <cellStyle name="常规 9 2 3 2 2 2 5 5" xfId="26372" xr:uid="{00000000-0005-0000-0000-0000FA7C0000}"/>
    <cellStyle name="常规 9 2 3 2 2 2 6" xfId="3332" xr:uid="{00000000-0005-0000-0000-0000FB7C0000}"/>
    <cellStyle name="常规 9 2 3 2 2 2 6 2" xfId="9476" xr:uid="{00000000-0005-0000-0000-0000FC7C0000}"/>
    <cellStyle name="常规 9 2 3 2 2 2 6 2 2" xfId="21764" xr:uid="{00000000-0005-0000-0000-0000FD7C0000}"/>
    <cellStyle name="常规 9 2 3 2 2 2 6 2 2 2" xfId="46340" xr:uid="{00000000-0005-0000-0000-0000FE7C0000}"/>
    <cellStyle name="常规 9 2 3 2 2 2 6 2 3" xfId="34052" xr:uid="{00000000-0005-0000-0000-0000FF7C0000}"/>
    <cellStyle name="常规 9 2 3 2 2 2 6 3" xfId="15620" xr:uid="{00000000-0005-0000-0000-0000007D0000}"/>
    <cellStyle name="常规 9 2 3 2 2 2 6 3 2" xfId="40196" xr:uid="{00000000-0005-0000-0000-0000017D0000}"/>
    <cellStyle name="常规 9 2 3 2 2 2 6 4" xfId="27908" xr:uid="{00000000-0005-0000-0000-0000027D0000}"/>
    <cellStyle name="常规 9 2 3 2 2 2 7" xfId="6404" xr:uid="{00000000-0005-0000-0000-0000037D0000}"/>
    <cellStyle name="常规 9 2 3 2 2 2 7 2" xfId="18692" xr:uid="{00000000-0005-0000-0000-0000047D0000}"/>
    <cellStyle name="常规 9 2 3 2 2 2 7 2 2" xfId="43268" xr:uid="{00000000-0005-0000-0000-0000057D0000}"/>
    <cellStyle name="常规 9 2 3 2 2 2 7 3" xfId="30980" xr:uid="{00000000-0005-0000-0000-0000067D0000}"/>
    <cellStyle name="常规 9 2 3 2 2 2 8" xfId="12548" xr:uid="{00000000-0005-0000-0000-0000077D0000}"/>
    <cellStyle name="常规 9 2 3 2 2 2 8 2" xfId="37124" xr:uid="{00000000-0005-0000-0000-0000087D0000}"/>
    <cellStyle name="常规 9 2 3 2 2 2 9" xfId="24836" xr:uid="{00000000-0005-0000-0000-0000097D0000}"/>
    <cellStyle name="常规 9 2 3 2 2 3" xfId="320" xr:uid="{00000000-0005-0000-0000-00000A7D0000}"/>
    <cellStyle name="常规 9 2 3 2 2 3 2" xfId="512" xr:uid="{00000000-0005-0000-0000-00000B7D0000}"/>
    <cellStyle name="常规 9 2 3 2 2 3 2 2" xfId="896" xr:uid="{00000000-0005-0000-0000-00000C7D0000}"/>
    <cellStyle name="常规 9 2 3 2 2 3 2 2 2" xfId="1664" xr:uid="{00000000-0005-0000-0000-00000D7D0000}"/>
    <cellStyle name="常规 9 2 3 2 2 3 2 2 2 2" xfId="3200" xr:uid="{00000000-0005-0000-0000-00000E7D0000}"/>
    <cellStyle name="常规 9 2 3 2 2 3 2 2 2 2 2" xfId="6276" xr:uid="{00000000-0005-0000-0000-00000F7D0000}"/>
    <cellStyle name="常规 9 2 3 2 2 3 2 2 2 2 2 2" xfId="12420" xr:uid="{00000000-0005-0000-0000-0000107D0000}"/>
    <cellStyle name="常规 9 2 3 2 2 3 2 2 2 2 2 2 2" xfId="24708" xr:uid="{00000000-0005-0000-0000-0000117D0000}"/>
    <cellStyle name="常规 9 2 3 2 2 3 2 2 2 2 2 2 2 2" xfId="49284" xr:uid="{00000000-0005-0000-0000-0000127D0000}"/>
    <cellStyle name="常规 9 2 3 2 2 3 2 2 2 2 2 2 3" xfId="36996" xr:uid="{00000000-0005-0000-0000-0000137D0000}"/>
    <cellStyle name="常规 9 2 3 2 2 3 2 2 2 2 2 3" xfId="18564" xr:uid="{00000000-0005-0000-0000-0000147D0000}"/>
    <cellStyle name="常规 9 2 3 2 2 3 2 2 2 2 2 3 2" xfId="43140" xr:uid="{00000000-0005-0000-0000-0000157D0000}"/>
    <cellStyle name="常规 9 2 3 2 2 3 2 2 2 2 2 4" xfId="30852" xr:uid="{00000000-0005-0000-0000-0000167D0000}"/>
    <cellStyle name="常规 9 2 3 2 2 3 2 2 2 2 3" xfId="9348" xr:uid="{00000000-0005-0000-0000-0000177D0000}"/>
    <cellStyle name="常规 9 2 3 2 2 3 2 2 2 2 3 2" xfId="21636" xr:uid="{00000000-0005-0000-0000-0000187D0000}"/>
    <cellStyle name="常规 9 2 3 2 2 3 2 2 2 2 3 2 2" xfId="46212" xr:uid="{00000000-0005-0000-0000-0000197D0000}"/>
    <cellStyle name="常规 9 2 3 2 2 3 2 2 2 2 3 3" xfId="33924" xr:uid="{00000000-0005-0000-0000-00001A7D0000}"/>
    <cellStyle name="常规 9 2 3 2 2 3 2 2 2 2 4" xfId="15492" xr:uid="{00000000-0005-0000-0000-00001B7D0000}"/>
    <cellStyle name="常规 9 2 3 2 2 3 2 2 2 2 4 2" xfId="40068" xr:uid="{00000000-0005-0000-0000-00001C7D0000}"/>
    <cellStyle name="常规 9 2 3 2 2 3 2 2 2 2 5" xfId="27780" xr:uid="{00000000-0005-0000-0000-00001D7D0000}"/>
    <cellStyle name="常规 9 2 3 2 2 3 2 2 2 3" xfId="4740" xr:uid="{00000000-0005-0000-0000-00001E7D0000}"/>
    <cellStyle name="常规 9 2 3 2 2 3 2 2 2 3 2" xfId="10884" xr:uid="{00000000-0005-0000-0000-00001F7D0000}"/>
    <cellStyle name="常规 9 2 3 2 2 3 2 2 2 3 2 2" xfId="23172" xr:uid="{00000000-0005-0000-0000-0000207D0000}"/>
    <cellStyle name="常规 9 2 3 2 2 3 2 2 2 3 2 2 2" xfId="47748" xr:uid="{00000000-0005-0000-0000-0000217D0000}"/>
    <cellStyle name="常规 9 2 3 2 2 3 2 2 2 3 2 3" xfId="35460" xr:uid="{00000000-0005-0000-0000-0000227D0000}"/>
    <cellStyle name="常规 9 2 3 2 2 3 2 2 2 3 3" xfId="17028" xr:uid="{00000000-0005-0000-0000-0000237D0000}"/>
    <cellStyle name="常规 9 2 3 2 2 3 2 2 2 3 3 2" xfId="41604" xr:uid="{00000000-0005-0000-0000-0000247D0000}"/>
    <cellStyle name="常规 9 2 3 2 2 3 2 2 2 3 4" xfId="29316" xr:uid="{00000000-0005-0000-0000-0000257D0000}"/>
    <cellStyle name="常规 9 2 3 2 2 3 2 2 2 4" xfId="7812" xr:uid="{00000000-0005-0000-0000-0000267D0000}"/>
    <cellStyle name="常规 9 2 3 2 2 3 2 2 2 4 2" xfId="20100" xr:uid="{00000000-0005-0000-0000-0000277D0000}"/>
    <cellStyle name="常规 9 2 3 2 2 3 2 2 2 4 2 2" xfId="44676" xr:uid="{00000000-0005-0000-0000-0000287D0000}"/>
    <cellStyle name="常规 9 2 3 2 2 3 2 2 2 4 3" xfId="32388" xr:uid="{00000000-0005-0000-0000-0000297D0000}"/>
    <cellStyle name="常规 9 2 3 2 2 3 2 2 2 5" xfId="13956" xr:uid="{00000000-0005-0000-0000-00002A7D0000}"/>
    <cellStyle name="常规 9 2 3 2 2 3 2 2 2 5 2" xfId="38532" xr:uid="{00000000-0005-0000-0000-00002B7D0000}"/>
    <cellStyle name="常规 9 2 3 2 2 3 2 2 2 6" xfId="26244" xr:uid="{00000000-0005-0000-0000-00002C7D0000}"/>
    <cellStyle name="常规 9 2 3 2 2 3 2 2 3" xfId="2432" xr:uid="{00000000-0005-0000-0000-00002D7D0000}"/>
    <cellStyle name="常规 9 2 3 2 2 3 2 2 3 2" xfId="5508" xr:uid="{00000000-0005-0000-0000-00002E7D0000}"/>
    <cellStyle name="常规 9 2 3 2 2 3 2 2 3 2 2" xfId="11652" xr:uid="{00000000-0005-0000-0000-00002F7D0000}"/>
    <cellStyle name="常规 9 2 3 2 2 3 2 2 3 2 2 2" xfId="23940" xr:uid="{00000000-0005-0000-0000-0000307D0000}"/>
    <cellStyle name="常规 9 2 3 2 2 3 2 2 3 2 2 2 2" xfId="48516" xr:uid="{00000000-0005-0000-0000-0000317D0000}"/>
    <cellStyle name="常规 9 2 3 2 2 3 2 2 3 2 2 3" xfId="36228" xr:uid="{00000000-0005-0000-0000-0000327D0000}"/>
    <cellStyle name="常规 9 2 3 2 2 3 2 2 3 2 3" xfId="17796" xr:uid="{00000000-0005-0000-0000-0000337D0000}"/>
    <cellStyle name="常规 9 2 3 2 2 3 2 2 3 2 3 2" xfId="42372" xr:uid="{00000000-0005-0000-0000-0000347D0000}"/>
    <cellStyle name="常规 9 2 3 2 2 3 2 2 3 2 4" xfId="30084" xr:uid="{00000000-0005-0000-0000-0000357D0000}"/>
    <cellStyle name="常规 9 2 3 2 2 3 2 2 3 3" xfId="8580" xr:uid="{00000000-0005-0000-0000-0000367D0000}"/>
    <cellStyle name="常规 9 2 3 2 2 3 2 2 3 3 2" xfId="20868" xr:uid="{00000000-0005-0000-0000-0000377D0000}"/>
    <cellStyle name="常规 9 2 3 2 2 3 2 2 3 3 2 2" xfId="45444" xr:uid="{00000000-0005-0000-0000-0000387D0000}"/>
    <cellStyle name="常规 9 2 3 2 2 3 2 2 3 3 3" xfId="33156" xr:uid="{00000000-0005-0000-0000-0000397D0000}"/>
    <cellStyle name="常规 9 2 3 2 2 3 2 2 3 4" xfId="14724" xr:uid="{00000000-0005-0000-0000-00003A7D0000}"/>
    <cellStyle name="常规 9 2 3 2 2 3 2 2 3 4 2" xfId="39300" xr:uid="{00000000-0005-0000-0000-00003B7D0000}"/>
    <cellStyle name="常规 9 2 3 2 2 3 2 2 3 5" xfId="27012" xr:uid="{00000000-0005-0000-0000-00003C7D0000}"/>
    <cellStyle name="常规 9 2 3 2 2 3 2 2 4" xfId="3972" xr:uid="{00000000-0005-0000-0000-00003D7D0000}"/>
    <cellStyle name="常规 9 2 3 2 2 3 2 2 4 2" xfId="10116" xr:uid="{00000000-0005-0000-0000-00003E7D0000}"/>
    <cellStyle name="常规 9 2 3 2 2 3 2 2 4 2 2" xfId="22404" xr:uid="{00000000-0005-0000-0000-00003F7D0000}"/>
    <cellStyle name="常规 9 2 3 2 2 3 2 2 4 2 2 2" xfId="46980" xr:uid="{00000000-0005-0000-0000-0000407D0000}"/>
    <cellStyle name="常规 9 2 3 2 2 3 2 2 4 2 3" xfId="34692" xr:uid="{00000000-0005-0000-0000-0000417D0000}"/>
    <cellStyle name="常规 9 2 3 2 2 3 2 2 4 3" xfId="16260" xr:uid="{00000000-0005-0000-0000-0000427D0000}"/>
    <cellStyle name="常规 9 2 3 2 2 3 2 2 4 3 2" xfId="40836" xr:uid="{00000000-0005-0000-0000-0000437D0000}"/>
    <cellStyle name="常规 9 2 3 2 2 3 2 2 4 4" xfId="28548" xr:uid="{00000000-0005-0000-0000-0000447D0000}"/>
    <cellStyle name="常规 9 2 3 2 2 3 2 2 5" xfId="7044" xr:uid="{00000000-0005-0000-0000-0000457D0000}"/>
    <cellStyle name="常规 9 2 3 2 2 3 2 2 5 2" xfId="19332" xr:uid="{00000000-0005-0000-0000-0000467D0000}"/>
    <cellStyle name="常规 9 2 3 2 2 3 2 2 5 2 2" xfId="43908" xr:uid="{00000000-0005-0000-0000-0000477D0000}"/>
    <cellStyle name="常规 9 2 3 2 2 3 2 2 5 3" xfId="31620" xr:uid="{00000000-0005-0000-0000-0000487D0000}"/>
    <cellStyle name="常规 9 2 3 2 2 3 2 2 6" xfId="13188" xr:uid="{00000000-0005-0000-0000-0000497D0000}"/>
    <cellStyle name="常规 9 2 3 2 2 3 2 2 6 2" xfId="37764" xr:uid="{00000000-0005-0000-0000-00004A7D0000}"/>
    <cellStyle name="常规 9 2 3 2 2 3 2 2 7" xfId="25476" xr:uid="{00000000-0005-0000-0000-00004B7D0000}"/>
    <cellStyle name="常规 9 2 3 2 2 3 2 3" xfId="1280" xr:uid="{00000000-0005-0000-0000-00004C7D0000}"/>
    <cellStyle name="常规 9 2 3 2 2 3 2 3 2" xfId="2816" xr:uid="{00000000-0005-0000-0000-00004D7D0000}"/>
    <cellStyle name="常规 9 2 3 2 2 3 2 3 2 2" xfId="5892" xr:uid="{00000000-0005-0000-0000-00004E7D0000}"/>
    <cellStyle name="常规 9 2 3 2 2 3 2 3 2 2 2" xfId="12036" xr:uid="{00000000-0005-0000-0000-00004F7D0000}"/>
    <cellStyle name="常规 9 2 3 2 2 3 2 3 2 2 2 2" xfId="24324" xr:uid="{00000000-0005-0000-0000-0000507D0000}"/>
    <cellStyle name="常规 9 2 3 2 2 3 2 3 2 2 2 2 2" xfId="48900" xr:uid="{00000000-0005-0000-0000-0000517D0000}"/>
    <cellStyle name="常规 9 2 3 2 2 3 2 3 2 2 2 3" xfId="36612" xr:uid="{00000000-0005-0000-0000-0000527D0000}"/>
    <cellStyle name="常规 9 2 3 2 2 3 2 3 2 2 3" xfId="18180" xr:uid="{00000000-0005-0000-0000-0000537D0000}"/>
    <cellStyle name="常规 9 2 3 2 2 3 2 3 2 2 3 2" xfId="42756" xr:uid="{00000000-0005-0000-0000-0000547D0000}"/>
    <cellStyle name="常规 9 2 3 2 2 3 2 3 2 2 4" xfId="30468" xr:uid="{00000000-0005-0000-0000-0000557D0000}"/>
    <cellStyle name="常规 9 2 3 2 2 3 2 3 2 3" xfId="8964" xr:uid="{00000000-0005-0000-0000-0000567D0000}"/>
    <cellStyle name="常规 9 2 3 2 2 3 2 3 2 3 2" xfId="21252" xr:uid="{00000000-0005-0000-0000-0000577D0000}"/>
    <cellStyle name="常规 9 2 3 2 2 3 2 3 2 3 2 2" xfId="45828" xr:uid="{00000000-0005-0000-0000-0000587D0000}"/>
    <cellStyle name="常规 9 2 3 2 2 3 2 3 2 3 3" xfId="33540" xr:uid="{00000000-0005-0000-0000-0000597D0000}"/>
    <cellStyle name="常规 9 2 3 2 2 3 2 3 2 4" xfId="15108" xr:uid="{00000000-0005-0000-0000-00005A7D0000}"/>
    <cellStyle name="常规 9 2 3 2 2 3 2 3 2 4 2" xfId="39684" xr:uid="{00000000-0005-0000-0000-00005B7D0000}"/>
    <cellStyle name="常规 9 2 3 2 2 3 2 3 2 5" xfId="27396" xr:uid="{00000000-0005-0000-0000-00005C7D0000}"/>
    <cellStyle name="常规 9 2 3 2 2 3 2 3 3" xfId="4356" xr:uid="{00000000-0005-0000-0000-00005D7D0000}"/>
    <cellStyle name="常规 9 2 3 2 2 3 2 3 3 2" xfId="10500" xr:uid="{00000000-0005-0000-0000-00005E7D0000}"/>
    <cellStyle name="常规 9 2 3 2 2 3 2 3 3 2 2" xfId="22788" xr:uid="{00000000-0005-0000-0000-00005F7D0000}"/>
    <cellStyle name="常规 9 2 3 2 2 3 2 3 3 2 2 2" xfId="47364" xr:uid="{00000000-0005-0000-0000-0000607D0000}"/>
    <cellStyle name="常规 9 2 3 2 2 3 2 3 3 2 3" xfId="35076" xr:uid="{00000000-0005-0000-0000-0000617D0000}"/>
    <cellStyle name="常规 9 2 3 2 2 3 2 3 3 3" xfId="16644" xr:uid="{00000000-0005-0000-0000-0000627D0000}"/>
    <cellStyle name="常规 9 2 3 2 2 3 2 3 3 3 2" xfId="41220" xr:uid="{00000000-0005-0000-0000-0000637D0000}"/>
    <cellStyle name="常规 9 2 3 2 2 3 2 3 3 4" xfId="28932" xr:uid="{00000000-0005-0000-0000-0000647D0000}"/>
    <cellStyle name="常规 9 2 3 2 2 3 2 3 4" xfId="7428" xr:uid="{00000000-0005-0000-0000-0000657D0000}"/>
    <cellStyle name="常规 9 2 3 2 2 3 2 3 4 2" xfId="19716" xr:uid="{00000000-0005-0000-0000-0000667D0000}"/>
    <cellStyle name="常规 9 2 3 2 2 3 2 3 4 2 2" xfId="44292" xr:uid="{00000000-0005-0000-0000-0000677D0000}"/>
    <cellStyle name="常规 9 2 3 2 2 3 2 3 4 3" xfId="32004" xr:uid="{00000000-0005-0000-0000-0000687D0000}"/>
    <cellStyle name="常规 9 2 3 2 2 3 2 3 5" xfId="13572" xr:uid="{00000000-0005-0000-0000-0000697D0000}"/>
    <cellStyle name="常规 9 2 3 2 2 3 2 3 5 2" xfId="38148" xr:uid="{00000000-0005-0000-0000-00006A7D0000}"/>
    <cellStyle name="常规 9 2 3 2 2 3 2 3 6" xfId="25860" xr:uid="{00000000-0005-0000-0000-00006B7D0000}"/>
    <cellStyle name="常规 9 2 3 2 2 3 2 4" xfId="2048" xr:uid="{00000000-0005-0000-0000-00006C7D0000}"/>
    <cellStyle name="常规 9 2 3 2 2 3 2 4 2" xfId="5124" xr:uid="{00000000-0005-0000-0000-00006D7D0000}"/>
    <cellStyle name="常规 9 2 3 2 2 3 2 4 2 2" xfId="11268" xr:uid="{00000000-0005-0000-0000-00006E7D0000}"/>
    <cellStyle name="常规 9 2 3 2 2 3 2 4 2 2 2" xfId="23556" xr:uid="{00000000-0005-0000-0000-00006F7D0000}"/>
    <cellStyle name="常规 9 2 3 2 2 3 2 4 2 2 2 2" xfId="48132" xr:uid="{00000000-0005-0000-0000-0000707D0000}"/>
    <cellStyle name="常规 9 2 3 2 2 3 2 4 2 2 3" xfId="35844" xr:uid="{00000000-0005-0000-0000-0000717D0000}"/>
    <cellStyle name="常规 9 2 3 2 2 3 2 4 2 3" xfId="17412" xr:uid="{00000000-0005-0000-0000-0000727D0000}"/>
    <cellStyle name="常规 9 2 3 2 2 3 2 4 2 3 2" xfId="41988" xr:uid="{00000000-0005-0000-0000-0000737D0000}"/>
    <cellStyle name="常规 9 2 3 2 2 3 2 4 2 4" xfId="29700" xr:uid="{00000000-0005-0000-0000-0000747D0000}"/>
    <cellStyle name="常规 9 2 3 2 2 3 2 4 3" xfId="8196" xr:uid="{00000000-0005-0000-0000-0000757D0000}"/>
    <cellStyle name="常规 9 2 3 2 2 3 2 4 3 2" xfId="20484" xr:uid="{00000000-0005-0000-0000-0000767D0000}"/>
    <cellStyle name="常规 9 2 3 2 2 3 2 4 3 2 2" xfId="45060" xr:uid="{00000000-0005-0000-0000-0000777D0000}"/>
    <cellStyle name="常规 9 2 3 2 2 3 2 4 3 3" xfId="32772" xr:uid="{00000000-0005-0000-0000-0000787D0000}"/>
    <cellStyle name="常规 9 2 3 2 2 3 2 4 4" xfId="14340" xr:uid="{00000000-0005-0000-0000-0000797D0000}"/>
    <cellStyle name="常规 9 2 3 2 2 3 2 4 4 2" xfId="38916" xr:uid="{00000000-0005-0000-0000-00007A7D0000}"/>
    <cellStyle name="常规 9 2 3 2 2 3 2 4 5" xfId="26628" xr:uid="{00000000-0005-0000-0000-00007B7D0000}"/>
    <cellStyle name="常规 9 2 3 2 2 3 2 5" xfId="3588" xr:uid="{00000000-0005-0000-0000-00007C7D0000}"/>
    <cellStyle name="常规 9 2 3 2 2 3 2 5 2" xfId="9732" xr:uid="{00000000-0005-0000-0000-00007D7D0000}"/>
    <cellStyle name="常规 9 2 3 2 2 3 2 5 2 2" xfId="22020" xr:uid="{00000000-0005-0000-0000-00007E7D0000}"/>
    <cellStyle name="常规 9 2 3 2 2 3 2 5 2 2 2" xfId="46596" xr:uid="{00000000-0005-0000-0000-00007F7D0000}"/>
    <cellStyle name="常规 9 2 3 2 2 3 2 5 2 3" xfId="34308" xr:uid="{00000000-0005-0000-0000-0000807D0000}"/>
    <cellStyle name="常规 9 2 3 2 2 3 2 5 3" xfId="15876" xr:uid="{00000000-0005-0000-0000-0000817D0000}"/>
    <cellStyle name="常规 9 2 3 2 2 3 2 5 3 2" xfId="40452" xr:uid="{00000000-0005-0000-0000-0000827D0000}"/>
    <cellStyle name="常规 9 2 3 2 2 3 2 5 4" xfId="28164" xr:uid="{00000000-0005-0000-0000-0000837D0000}"/>
    <cellStyle name="常规 9 2 3 2 2 3 2 6" xfId="6660" xr:uid="{00000000-0005-0000-0000-0000847D0000}"/>
    <cellStyle name="常规 9 2 3 2 2 3 2 6 2" xfId="18948" xr:uid="{00000000-0005-0000-0000-0000857D0000}"/>
    <cellStyle name="常规 9 2 3 2 2 3 2 6 2 2" xfId="43524" xr:uid="{00000000-0005-0000-0000-0000867D0000}"/>
    <cellStyle name="常规 9 2 3 2 2 3 2 6 3" xfId="31236" xr:uid="{00000000-0005-0000-0000-0000877D0000}"/>
    <cellStyle name="常规 9 2 3 2 2 3 2 7" xfId="12804" xr:uid="{00000000-0005-0000-0000-0000887D0000}"/>
    <cellStyle name="常规 9 2 3 2 2 3 2 7 2" xfId="37380" xr:uid="{00000000-0005-0000-0000-0000897D0000}"/>
    <cellStyle name="常规 9 2 3 2 2 3 2 8" xfId="25092" xr:uid="{00000000-0005-0000-0000-00008A7D0000}"/>
    <cellStyle name="常规 9 2 3 2 2 3 3" xfId="704" xr:uid="{00000000-0005-0000-0000-00008B7D0000}"/>
    <cellStyle name="常规 9 2 3 2 2 3 3 2" xfId="1472" xr:uid="{00000000-0005-0000-0000-00008C7D0000}"/>
    <cellStyle name="常规 9 2 3 2 2 3 3 2 2" xfId="3008" xr:uid="{00000000-0005-0000-0000-00008D7D0000}"/>
    <cellStyle name="常规 9 2 3 2 2 3 3 2 2 2" xfId="6084" xr:uid="{00000000-0005-0000-0000-00008E7D0000}"/>
    <cellStyle name="常规 9 2 3 2 2 3 3 2 2 2 2" xfId="12228" xr:uid="{00000000-0005-0000-0000-00008F7D0000}"/>
    <cellStyle name="常规 9 2 3 2 2 3 3 2 2 2 2 2" xfId="24516" xr:uid="{00000000-0005-0000-0000-0000907D0000}"/>
    <cellStyle name="常规 9 2 3 2 2 3 3 2 2 2 2 2 2" xfId="49092" xr:uid="{00000000-0005-0000-0000-0000917D0000}"/>
    <cellStyle name="常规 9 2 3 2 2 3 3 2 2 2 2 3" xfId="36804" xr:uid="{00000000-0005-0000-0000-0000927D0000}"/>
    <cellStyle name="常规 9 2 3 2 2 3 3 2 2 2 3" xfId="18372" xr:uid="{00000000-0005-0000-0000-0000937D0000}"/>
    <cellStyle name="常规 9 2 3 2 2 3 3 2 2 2 3 2" xfId="42948" xr:uid="{00000000-0005-0000-0000-0000947D0000}"/>
    <cellStyle name="常规 9 2 3 2 2 3 3 2 2 2 4" xfId="30660" xr:uid="{00000000-0005-0000-0000-0000957D0000}"/>
    <cellStyle name="常规 9 2 3 2 2 3 3 2 2 3" xfId="9156" xr:uid="{00000000-0005-0000-0000-0000967D0000}"/>
    <cellStyle name="常规 9 2 3 2 2 3 3 2 2 3 2" xfId="21444" xr:uid="{00000000-0005-0000-0000-0000977D0000}"/>
    <cellStyle name="常规 9 2 3 2 2 3 3 2 2 3 2 2" xfId="46020" xr:uid="{00000000-0005-0000-0000-0000987D0000}"/>
    <cellStyle name="常规 9 2 3 2 2 3 3 2 2 3 3" xfId="33732" xr:uid="{00000000-0005-0000-0000-0000997D0000}"/>
    <cellStyle name="常规 9 2 3 2 2 3 3 2 2 4" xfId="15300" xr:uid="{00000000-0005-0000-0000-00009A7D0000}"/>
    <cellStyle name="常规 9 2 3 2 2 3 3 2 2 4 2" xfId="39876" xr:uid="{00000000-0005-0000-0000-00009B7D0000}"/>
    <cellStyle name="常规 9 2 3 2 2 3 3 2 2 5" xfId="27588" xr:uid="{00000000-0005-0000-0000-00009C7D0000}"/>
    <cellStyle name="常规 9 2 3 2 2 3 3 2 3" xfId="4548" xr:uid="{00000000-0005-0000-0000-00009D7D0000}"/>
    <cellStyle name="常规 9 2 3 2 2 3 3 2 3 2" xfId="10692" xr:uid="{00000000-0005-0000-0000-00009E7D0000}"/>
    <cellStyle name="常规 9 2 3 2 2 3 3 2 3 2 2" xfId="22980" xr:uid="{00000000-0005-0000-0000-00009F7D0000}"/>
    <cellStyle name="常规 9 2 3 2 2 3 3 2 3 2 2 2" xfId="47556" xr:uid="{00000000-0005-0000-0000-0000A07D0000}"/>
    <cellStyle name="常规 9 2 3 2 2 3 3 2 3 2 3" xfId="35268" xr:uid="{00000000-0005-0000-0000-0000A17D0000}"/>
    <cellStyle name="常规 9 2 3 2 2 3 3 2 3 3" xfId="16836" xr:uid="{00000000-0005-0000-0000-0000A27D0000}"/>
    <cellStyle name="常规 9 2 3 2 2 3 3 2 3 3 2" xfId="41412" xr:uid="{00000000-0005-0000-0000-0000A37D0000}"/>
    <cellStyle name="常规 9 2 3 2 2 3 3 2 3 4" xfId="29124" xr:uid="{00000000-0005-0000-0000-0000A47D0000}"/>
    <cellStyle name="常规 9 2 3 2 2 3 3 2 4" xfId="7620" xr:uid="{00000000-0005-0000-0000-0000A57D0000}"/>
    <cellStyle name="常规 9 2 3 2 2 3 3 2 4 2" xfId="19908" xr:uid="{00000000-0005-0000-0000-0000A67D0000}"/>
    <cellStyle name="常规 9 2 3 2 2 3 3 2 4 2 2" xfId="44484" xr:uid="{00000000-0005-0000-0000-0000A77D0000}"/>
    <cellStyle name="常规 9 2 3 2 2 3 3 2 4 3" xfId="32196" xr:uid="{00000000-0005-0000-0000-0000A87D0000}"/>
    <cellStyle name="常规 9 2 3 2 2 3 3 2 5" xfId="13764" xr:uid="{00000000-0005-0000-0000-0000A97D0000}"/>
    <cellStyle name="常规 9 2 3 2 2 3 3 2 5 2" xfId="38340" xr:uid="{00000000-0005-0000-0000-0000AA7D0000}"/>
    <cellStyle name="常规 9 2 3 2 2 3 3 2 6" xfId="26052" xr:uid="{00000000-0005-0000-0000-0000AB7D0000}"/>
    <cellStyle name="常规 9 2 3 2 2 3 3 3" xfId="2240" xr:uid="{00000000-0005-0000-0000-0000AC7D0000}"/>
    <cellStyle name="常规 9 2 3 2 2 3 3 3 2" xfId="5316" xr:uid="{00000000-0005-0000-0000-0000AD7D0000}"/>
    <cellStyle name="常规 9 2 3 2 2 3 3 3 2 2" xfId="11460" xr:uid="{00000000-0005-0000-0000-0000AE7D0000}"/>
    <cellStyle name="常规 9 2 3 2 2 3 3 3 2 2 2" xfId="23748" xr:uid="{00000000-0005-0000-0000-0000AF7D0000}"/>
    <cellStyle name="常规 9 2 3 2 2 3 3 3 2 2 2 2" xfId="48324" xr:uid="{00000000-0005-0000-0000-0000B07D0000}"/>
    <cellStyle name="常规 9 2 3 2 2 3 3 3 2 2 3" xfId="36036" xr:uid="{00000000-0005-0000-0000-0000B17D0000}"/>
    <cellStyle name="常规 9 2 3 2 2 3 3 3 2 3" xfId="17604" xr:uid="{00000000-0005-0000-0000-0000B27D0000}"/>
    <cellStyle name="常规 9 2 3 2 2 3 3 3 2 3 2" xfId="42180" xr:uid="{00000000-0005-0000-0000-0000B37D0000}"/>
    <cellStyle name="常规 9 2 3 2 2 3 3 3 2 4" xfId="29892" xr:uid="{00000000-0005-0000-0000-0000B47D0000}"/>
    <cellStyle name="常规 9 2 3 2 2 3 3 3 3" xfId="8388" xr:uid="{00000000-0005-0000-0000-0000B57D0000}"/>
    <cellStyle name="常规 9 2 3 2 2 3 3 3 3 2" xfId="20676" xr:uid="{00000000-0005-0000-0000-0000B67D0000}"/>
    <cellStyle name="常规 9 2 3 2 2 3 3 3 3 2 2" xfId="45252" xr:uid="{00000000-0005-0000-0000-0000B77D0000}"/>
    <cellStyle name="常规 9 2 3 2 2 3 3 3 3 3" xfId="32964" xr:uid="{00000000-0005-0000-0000-0000B87D0000}"/>
    <cellStyle name="常规 9 2 3 2 2 3 3 3 4" xfId="14532" xr:uid="{00000000-0005-0000-0000-0000B97D0000}"/>
    <cellStyle name="常规 9 2 3 2 2 3 3 3 4 2" xfId="39108" xr:uid="{00000000-0005-0000-0000-0000BA7D0000}"/>
    <cellStyle name="常规 9 2 3 2 2 3 3 3 5" xfId="26820" xr:uid="{00000000-0005-0000-0000-0000BB7D0000}"/>
    <cellStyle name="常规 9 2 3 2 2 3 3 4" xfId="3780" xr:uid="{00000000-0005-0000-0000-0000BC7D0000}"/>
    <cellStyle name="常规 9 2 3 2 2 3 3 4 2" xfId="9924" xr:uid="{00000000-0005-0000-0000-0000BD7D0000}"/>
    <cellStyle name="常规 9 2 3 2 2 3 3 4 2 2" xfId="22212" xr:uid="{00000000-0005-0000-0000-0000BE7D0000}"/>
    <cellStyle name="常规 9 2 3 2 2 3 3 4 2 2 2" xfId="46788" xr:uid="{00000000-0005-0000-0000-0000BF7D0000}"/>
    <cellStyle name="常规 9 2 3 2 2 3 3 4 2 3" xfId="34500" xr:uid="{00000000-0005-0000-0000-0000C07D0000}"/>
    <cellStyle name="常规 9 2 3 2 2 3 3 4 3" xfId="16068" xr:uid="{00000000-0005-0000-0000-0000C17D0000}"/>
    <cellStyle name="常规 9 2 3 2 2 3 3 4 3 2" xfId="40644" xr:uid="{00000000-0005-0000-0000-0000C27D0000}"/>
    <cellStyle name="常规 9 2 3 2 2 3 3 4 4" xfId="28356" xr:uid="{00000000-0005-0000-0000-0000C37D0000}"/>
    <cellStyle name="常规 9 2 3 2 2 3 3 5" xfId="6852" xr:uid="{00000000-0005-0000-0000-0000C47D0000}"/>
    <cellStyle name="常规 9 2 3 2 2 3 3 5 2" xfId="19140" xr:uid="{00000000-0005-0000-0000-0000C57D0000}"/>
    <cellStyle name="常规 9 2 3 2 2 3 3 5 2 2" xfId="43716" xr:uid="{00000000-0005-0000-0000-0000C67D0000}"/>
    <cellStyle name="常规 9 2 3 2 2 3 3 5 3" xfId="31428" xr:uid="{00000000-0005-0000-0000-0000C77D0000}"/>
    <cellStyle name="常规 9 2 3 2 2 3 3 6" xfId="12996" xr:uid="{00000000-0005-0000-0000-0000C87D0000}"/>
    <cellStyle name="常规 9 2 3 2 2 3 3 6 2" xfId="37572" xr:uid="{00000000-0005-0000-0000-0000C97D0000}"/>
    <cellStyle name="常规 9 2 3 2 2 3 3 7" xfId="25284" xr:uid="{00000000-0005-0000-0000-0000CA7D0000}"/>
    <cellStyle name="常规 9 2 3 2 2 3 4" xfId="1088" xr:uid="{00000000-0005-0000-0000-0000CB7D0000}"/>
    <cellStyle name="常规 9 2 3 2 2 3 4 2" xfId="2624" xr:uid="{00000000-0005-0000-0000-0000CC7D0000}"/>
    <cellStyle name="常规 9 2 3 2 2 3 4 2 2" xfId="5700" xr:uid="{00000000-0005-0000-0000-0000CD7D0000}"/>
    <cellStyle name="常规 9 2 3 2 2 3 4 2 2 2" xfId="11844" xr:uid="{00000000-0005-0000-0000-0000CE7D0000}"/>
    <cellStyle name="常规 9 2 3 2 2 3 4 2 2 2 2" xfId="24132" xr:uid="{00000000-0005-0000-0000-0000CF7D0000}"/>
    <cellStyle name="常规 9 2 3 2 2 3 4 2 2 2 2 2" xfId="48708" xr:uid="{00000000-0005-0000-0000-0000D07D0000}"/>
    <cellStyle name="常规 9 2 3 2 2 3 4 2 2 2 3" xfId="36420" xr:uid="{00000000-0005-0000-0000-0000D17D0000}"/>
    <cellStyle name="常规 9 2 3 2 2 3 4 2 2 3" xfId="17988" xr:uid="{00000000-0005-0000-0000-0000D27D0000}"/>
    <cellStyle name="常规 9 2 3 2 2 3 4 2 2 3 2" xfId="42564" xr:uid="{00000000-0005-0000-0000-0000D37D0000}"/>
    <cellStyle name="常规 9 2 3 2 2 3 4 2 2 4" xfId="30276" xr:uid="{00000000-0005-0000-0000-0000D47D0000}"/>
    <cellStyle name="常规 9 2 3 2 2 3 4 2 3" xfId="8772" xr:uid="{00000000-0005-0000-0000-0000D57D0000}"/>
    <cellStyle name="常规 9 2 3 2 2 3 4 2 3 2" xfId="21060" xr:uid="{00000000-0005-0000-0000-0000D67D0000}"/>
    <cellStyle name="常规 9 2 3 2 2 3 4 2 3 2 2" xfId="45636" xr:uid="{00000000-0005-0000-0000-0000D77D0000}"/>
    <cellStyle name="常规 9 2 3 2 2 3 4 2 3 3" xfId="33348" xr:uid="{00000000-0005-0000-0000-0000D87D0000}"/>
    <cellStyle name="常规 9 2 3 2 2 3 4 2 4" xfId="14916" xr:uid="{00000000-0005-0000-0000-0000D97D0000}"/>
    <cellStyle name="常规 9 2 3 2 2 3 4 2 4 2" xfId="39492" xr:uid="{00000000-0005-0000-0000-0000DA7D0000}"/>
    <cellStyle name="常规 9 2 3 2 2 3 4 2 5" xfId="27204" xr:uid="{00000000-0005-0000-0000-0000DB7D0000}"/>
    <cellStyle name="常规 9 2 3 2 2 3 4 3" xfId="4164" xr:uid="{00000000-0005-0000-0000-0000DC7D0000}"/>
    <cellStyle name="常规 9 2 3 2 2 3 4 3 2" xfId="10308" xr:uid="{00000000-0005-0000-0000-0000DD7D0000}"/>
    <cellStyle name="常规 9 2 3 2 2 3 4 3 2 2" xfId="22596" xr:uid="{00000000-0005-0000-0000-0000DE7D0000}"/>
    <cellStyle name="常规 9 2 3 2 2 3 4 3 2 2 2" xfId="47172" xr:uid="{00000000-0005-0000-0000-0000DF7D0000}"/>
    <cellStyle name="常规 9 2 3 2 2 3 4 3 2 3" xfId="34884" xr:uid="{00000000-0005-0000-0000-0000E07D0000}"/>
    <cellStyle name="常规 9 2 3 2 2 3 4 3 3" xfId="16452" xr:uid="{00000000-0005-0000-0000-0000E17D0000}"/>
    <cellStyle name="常规 9 2 3 2 2 3 4 3 3 2" xfId="41028" xr:uid="{00000000-0005-0000-0000-0000E27D0000}"/>
    <cellStyle name="常规 9 2 3 2 2 3 4 3 4" xfId="28740" xr:uid="{00000000-0005-0000-0000-0000E37D0000}"/>
    <cellStyle name="常规 9 2 3 2 2 3 4 4" xfId="7236" xr:uid="{00000000-0005-0000-0000-0000E47D0000}"/>
    <cellStyle name="常规 9 2 3 2 2 3 4 4 2" xfId="19524" xr:uid="{00000000-0005-0000-0000-0000E57D0000}"/>
    <cellStyle name="常规 9 2 3 2 2 3 4 4 2 2" xfId="44100" xr:uid="{00000000-0005-0000-0000-0000E67D0000}"/>
    <cellStyle name="常规 9 2 3 2 2 3 4 4 3" xfId="31812" xr:uid="{00000000-0005-0000-0000-0000E77D0000}"/>
    <cellStyle name="常规 9 2 3 2 2 3 4 5" xfId="13380" xr:uid="{00000000-0005-0000-0000-0000E87D0000}"/>
    <cellStyle name="常规 9 2 3 2 2 3 4 5 2" xfId="37956" xr:uid="{00000000-0005-0000-0000-0000E97D0000}"/>
    <cellStyle name="常规 9 2 3 2 2 3 4 6" xfId="25668" xr:uid="{00000000-0005-0000-0000-0000EA7D0000}"/>
    <cellStyle name="常规 9 2 3 2 2 3 5" xfId="1856" xr:uid="{00000000-0005-0000-0000-0000EB7D0000}"/>
    <cellStyle name="常规 9 2 3 2 2 3 5 2" xfId="4932" xr:uid="{00000000-0005-0000-0000-0000EC7D0000}"/>
    <cellStyle name="常规 9 2 3 2 2 3 5 2 2" xfId="11076" xr:uid="{00000000-0005-0000-0000-0000ED7D0000}"/>
    <cellStyle name="常规 9 2 3 2 2 3 5 2 2 2" xfId="23364" xr:uid="{00000000-0005-0000-0000-0000EE7D0000}"/>
    <cellStyle name="常规 9 2 3 2 2 3 5 2 2 2 2" xfId="47940" xr:uid="{00000000-0005-0000-0000-0000EF7D0000}"/>
    <cellStyle name="常规 9 2 3 2 2 3 5 2 2 3" xfId="35652" xr:uid="{00000000-0005-0000-0000-0000F07D0000}"/>
    <cellStyle name="常规 9 2 3 2 2 3 5 2 3" xfId="17220" xr:uid="{00000000-0005-0000-0000-0000F17D0000}"/>
    <cellStyle name="常规 9 2 3 2 2 3 5 2 3 2" xfId="41796" xr:uid="{00000000-0005-0000-0000-0000F27D0000}"/>
    <cellStyle name="常规 9 2 3 2 2 3 5 2 4" xfId="29508" xr:uid="{00000000-0005-0000-0000-0000F37D0000}"/>
    <cellStyle name="常规 9 2 3 2 2 3 5 3" xfId="8004" xr:uid="{00000000-0005-0000-0000-0000F47D0000}"/>
    <cellStyle name="常规 9 2 3 2 2 3 5 3 2" xfId="20292" xr:uid="{00000000-0005-0000-0000-0000F57D0000}"/>
    <cellStyle name="常规 9 2 3 2 2 3 5 3 2 2" xfId="44868" xr:uid="{00000000-0005-0000-0000-0000F67D0000}"/>
    <cellStyle name="常规 9 2 3 2 2 3 5 3 3" xfId="32580" xr:uid="{00000000-0005-0000-0000-0000F77D0000}"/>
    <cellStyle name="常规 9 2 3 2 2 3 5 4" xfId="14148" xr:uid="{00000000-0005-0000-0000-0000F87D0000}"/>
    <cellStyle name="常规 9 2 3 2 2 3 5 4 2" xfId="38724" xr:uid="{00000000-0005-0000-0000-0000F97D0000}"/>
    <cellStyle name="常规 9 2 3 2 2 3 5 5" xfId="26436" xr:uid="{00000000-0005-0000-0000-0000FA7D0000}"/>
    <cellStyle name="常规 9 2 3 2 2 3 6" xfId="3396" xr:uid="{00000000-0005-0000-0000-0000FB7D0000}"/>
    <cellStyle name="常规 9 2 3 2 2 3 6 2" xfId="9540" xr:uid="{00000000-0005-0000-0000-0000FC7D0000}"/>
    <cellStyle name="常规 9 2 3 2 2 3 6 2 2" xfId="21828" xr:uid="{00000000-0005-0000-0000-0000FD7D0000}"/>
    <cellStyle name="常规 9 2 3 2 2 3 6 2 2 2" xfId="46404" xr:uid="{00000000-0005-0000-0000-0000FE7D0000}"/>
    <cellStyle name="常规 9 2 3 2 2 3 6 2 3" xfId="34116" xr:uid="{00000000-0005-0000-0000-0000FF7D0000}"/>
    <cellStyle name="常规 9 2 3 2 2 3 6 3" xfId="15684" xr:uid="{00000000-0005-0000-0000-0000007E0000}"/>
    <cellStyle name="常规 9 2 3 2 2 3 6 3 2" xfId="40260" xr:uid="{00000000-0005-0000-0000-0000017E0000}"/>
    <cellStyle name="常规 9 2 3 2 2 3 6 4" xfId="27972" xr:uid="{00000000-0005-0000-0000-0000027E0000}"/>
    <cellStyle name="常规 9 2 3 2 2 3 7" xfId="6468" xr:uid="{00000000-0005-0000-0000-0000037E0000}"/>
    <cellStyle name="常规 9 2 3 2 2 3 7 2" xfId="18756" xr:uid="{00000000-0005-0000-0000-0000047E0000}"/>
    <cellStyle name="常规 9 2 3 2 2 3 7 2 2" xfId="43332" xr:uid="{00000000-0005-0000-0000-0000057E0000}"/>
    <cellStyle name="常规 9 2 3 2 2 3 7 3" xfId="31044" xr:uid="{00000000-0005-0000-0000-0000067E0000}"/>
    <cellStyle name="常规 9 2 3 2 2 3 8" xfId="12612" xr:uid="{00000000-0005-0000-0000-0000077E0000}"/>
    <cellStyle name="常规 9 2 3 2 2 3 8 2" xfId="37188" xr:uid="{00000000-0005-0000-0000-0000087E0000}"/>
    <cellStyle name="常规 9 2 3 2 2 3 9" xfId="24900" xr:uid="{00000000-0005-0000-0000-0000097E0000}"/>
    <cellStyle name="常规 9 2 3 2 2 4" xfId="384" xr:uid="{00000000-0005-0000-0000-00000A7E0000}"/>
    <cellStyle name="常规 9 2 3 2 2 4 2" xfId="768" xr:uid="{00000000-0005-0000-0000-00000B7E0000}"/>
    <cellStyle name="常规 9 2 3 2 2 4 2 2" xfId="1536" xr:uid="{00000000-0005-0000-0000-00000C7E0000}"/>
    <cellStyle name="常规 9 2 3 2 2 4 2 2 2" xfId="3072" xr:uid="{00000000-0005-0000-0000-00000D7E0000}"/>
    <cellStyle name="常规 9 2 3 2 2 4 2 2 2 2" xfId="6148" xr:uid="{00000000-0005-0000-0000-00000E7E0000}"/>
    <cellStyle name="常规 9 2 3 2 2 4 2 2 2 2 2" xfId="12292" xr:uid="{00000000-0005-0000-0000-00000F7E0000}"/>
    <cellStyle name="常规 9 2 3 2 2 4 2 2 2 2 2 2" xfId="24580" xr:uid="{00000000-0005-0000-0000-0000107E0000}"/>
    <cellStyle name="常规 9 2 3 2 2 4 2 2 2 2 2 2 2" xfId="49156" xr:uid="{00000000-0005-0000-0000-0000117E0000}"/>
    <cellStyle name="常规 9 2 3 2 2 4 2 2 2 2 2 3" xfId="36868" xr:uid="{00000000-0005-0000-0000-0000127E0000}"/>
    <cellStyle name="常规 9 2 3 2 2 4 2 2 2 2 3" xfId="18436" xr:uid="{00000000-0005-0000-0000-0000137E0000}"/>
    <cellStyle name="常规 9 2 3 2 2 4 2 2 2 2 3 2" xfId="43012" xr:uid="{00000000-0005-0000-0000-0000147E0000}"/>
    <cellStyle name="常规 9 2 3 2 2 4 2 2 2 2 4" xfId="30724" xr:uid="{00000000-0005-0000-0000-0000157E0000}"/>
    <cellStyle name="常规 9 2 3 2 2 4 2 2 2 3" xfId="9220" xr:uid="{00000000-0005-0000-0000-0000167E0000}"/>
    <cellStyle name="常规 9 2 3 2 2 4 2 2 2 3 2" xfId="21508" xr:uid="{00000000-0005-0000-0000-0000177E0000}"/>
    <cellStyle name="常规 9 2 3 2 2 4 2 2 2 3 2 2" xfId="46084" xr:uid="{00000000-0005-0000-0000-0000187E0000}"/>
    <cellStyle name="常规 9 2 3 2 2 4 2 2 2 3 3" xfId="33796" xr:uid="{00000000-0005-0000-0000-0000197E0000}"/>
    <cellStyle name="常规 9 2 3 2 2 4 2 2 2 4" xfId="15364" xr:uid="{00000000-0005-0000-0000-00001A7E0000}"/>
    <cellStyle name="常规 9 2 3 2 2 4 2 2 2 4 2" xfId="39940" xr:uid="{00000000-0005-0000-0000-00001B7E0000}"/>
    <cellStyle name="常规 9 2 3 2 2 4 2 2 2 5" xfId="27652" xr:uid="{00000000-0005-0000-0000-00001C7E0000}"/>
    <cellStyle name="常规 9 2 3 2 2 4 2 2 3" xfId="4612" xr:uid="{00000000-0005-0000-0000-00001D7E0000}"/>
    <cellStyle name="常规 9 2 3 2 2 4 2 2 3 2" xfId="10756" xr:uid="{00000000-0005-0000-0000-00001E7E0000}"/>
    <cellStyle name="常规 9 2 3 2 2 4 2 2 3 2 2" xfId="23044" xr:uid="{00000000-0005-0000-0000-00001F7E0000}"/>
    <cellStyle name="常规 9 2 3 2 2 4 2 2 3 2 2 2" xfId="47620" xr:uid="{00000000-0005-0000-0000-0000207E0000}"/>
    <cellStyle name="常规 9 2 3 2 2 4 2 2 3 2 3" xfId="35332" xr:uid="{00000000-0005-0000-0000-0000217E0000}"/>
    <cellStyle name="常规 9 2 3 2 2 4 2 2 3 3" xfId="16900" xr:uid="{00000000-0005-0000-0000-0000227E0000}"/>
    <cellStyle name="常规 9 2 3 2 2 4 2 2 3 3 2" xfId="41476" xr:uid="{00000000-0005-0000-0000-0000237E0000}"/>
    <cellStyle name="常规 9 2 3 2 2 4 2 2 3 4" xfId="29188" xr:uid="{00000000-0005-0000-0000-0000247E0000}"/>
    <cellStyle name="常规 9 2 3 2 2 4 2 2 4" xfId="7684" xr:uid="{00000000-0005-0000-0000-0000257E0000}"/>
    <cellStyle name="常规 9 2 3 2 2 4 2 2 4 2" xfId="19972" xr:uid="{00000000-0005-0000-0000-0000267E0000}"/>
    <cellStyle name="常规 9 2 3 2 2 4 2 2 4 2 2" xfId="44548" xr:uid="{00000000-0005-0000-0000-0000277E0000}"/>
    <cellStyle name="常规 9 2 3 2 2 4 2 2 4 3" xfId="32260" xr:uid="{00000000-0005-0000-0000-0000287E0000}"/>
    <cellStyle name="常规 9 2 3 2 2 4 2 2 5" xfId="13828" xr:uid="{00000000-0005-0000-0000-0000297E0000}"/>
    <cellStyle name="常规 9 2 3 2 2 4 2 2 5 2" xfId="38404" xr:uid="{00000000-0005-0000-0000-00002A7E0000}"/>
    <cellStyle name="常规 9 2 3 2 2 4 2 2 6" xfId="26116" xr:uid="{00000000-0005-0000-0000-00002B7E0000}"/>
    <cellStyle name="常规 9 2 3 2 2 4 2 3" xfId="2304" xr:uid="{00000000-0005-0000-0000-00002C7E0000}"/>
    <cellStyle name="常规 9 2 3 2 2 4 2 3 2" xfId="5380" xr:uid="{00000000-0005-0000-0000-00002D7E0000}"/>
    <cellStyle name="常规 9 2 3 2 2 4 2 3 2 2" xfId="11524" xr:uid="{00000000-0005-0000-0000-00002E7E0000}"/>
    <cellStyle name="常规 9 2 3 2 2 4 2 3 2 2 2" xfId="23812" xr:uid="{00000000-0005-0000-0000-00002F7E0000}"/>
    <cellStyle name="常规 9 2 3 2 2 4 2 3 2 2 2 2" xfId="48388" xr:uid="{00000000-0005-0000-0000-0000307E0000}"/>
    <cellStyle name="常规 9 2 3 2 2 4 2 3 2 2 3" xfId="36100" xr:uid="{00000000-0005-0000-0000-0000317E0000}"/>
    <cellStyle name="常规 9 2 3 2 2 4 2 3 2 3" xfId="17668" xr:uid="{00000000-0005-0000-0000-0000327E0000}"/>
    <cellStyle name="常规 9 2 3 2 2 4 2 3 2 3 2" xfId="42244" xr:uid="{00000000-0005-0000-0000-0000337E0000}"/>
    <cellStyle name="常规 9 2 3 2 2 4 2 3 2 4" xfId="29956" xr:uid="{00000000-0005-0000-0000-0000347E0000}"/>
    <cellStyle name="常规 9 2 3 2 2 4 2 3 3" xfId="8452" xr:uid="{00000000-0005-0000-0000-0000357E0000}"/>
    <cellStyle name="常规 9 2 3 2 2 4 2 3 3 2" xfId="20740" xr:uid="{00000000-0005-0000-0000-0000367E0000}"/>
    <cellStyle name="常规 9 2 3 2 2 4 2 3 3 2 2" xfId="45316" xr:uid="{00000000-0005-0000-0000-0000377E0000}"/>
    <cellStyle name="常规 9 2 3 2 2 4 2 3 3 3" xfId="33028" xr:uid="{00000000-0005-0000-0000-0000387E0000}"/>
    <cellStyle name="常规 9 2 3 2 2 4 2 3 4" xfId="14596" xr:uid="{00000000-0005-0000-0000-0000397E0000}"/>
    <cellStyle name="常规 9 2 3 2 2 4 2 3 4 2" xfId="39172" xr:uid="{00000000-0005-0000-0000-00003A7E0000}"/>
    <cellStyle name="常规 9 2 3 2 2 4 2 3 5" xfId="26884" xr:uid="{00000000-0005-0000-0000-00003B7E0000}"/>
    <cellStyle name="常规 9 2 3 2 2 4 2 4" xfId="3844" xr:uid="{00000000-0005-0000-0000-00003C7E0000}"/>
    <cellStyle name="常规 9 2 3 2 2 4 2 4 2" xfId="9988" xr:uid="{00000000-0005-0000-0000-00003D7E0000}"/>
    <cellStyle name="常规 9 2 3 2 2 4 2 4 2 2" xfId="22276" xr:uid="{00000000-0005-0000-0000-00003E7E0000}"/>
    <cellStyle name="常规 9 2 3 2 2 4 2 4 2 2 2" xfId="46852" xr:uid="{00000000-0005-0000-0000-00003F7E0000}"/>
    <cellStyle name="常规 9 2 3 2 2 4 2 4 2 3" xfId="34564" xr:uid="{00000000-0005-0000-0000-0000407E0000}"/>
    <cellStyle name="常规 9 2 3 2 2 4 2 4 3" xfId="16132" xr:uid="{00000000-0005-0000-0000-0000417E0000}"/>
    <cellStyle name="常规 9 2 3 2 2 4 2 4 3 2" xfId="40708" xr:uid="{00000000-0005-0000-0000-0000427E0000}"/>
    <cellStyle name="常规 9 2 3 2 2 4 2 4 4" xfId="28420" xr:uid="{00000000-0005-0000-0000-0000437E0000}"/>
    <cellStyle name="常规 9 2 3 2 2 4 2 5" xfId="6916" xr:uid="{00000000-0005-0000-0000-0000447E0000}"/>
    <cellStyle name="常规 9 2 3 2 2 4 2 5 2" xfId="19204" xr:uid="{00000000-0005-0000-0000-0000457E0000}"/>
    <cellStyle name="常规 9 2 3 2 2 4 2 5 2 2" xfId="43780" xr:uid="{00000000-0005-0000-0000-0000467E0000}"/>
    <cellStyle name="常规 9 2 3 2 2 4 2 5 3" xfId="31492" xr:uid="{00000000-0005-0000-0000-0000477E0000}"/>
    <cellStyle name="常规 9 2 3 2 2 4 2 6" xfId="13060" xr:uid="{00000000-0005-0000-0000-0000487E0000}"/>
    <cellStyle name="常规 9 2 3 2 2 4 2 6 2" xfId="37636" xr:uid="{00000000-0005-0000-0000-0000497E0000}"/>
    <cellStyle name="常规 9 2 3 2 2 4 2 7" xfId="25348" xr:uid="{00000000-0005-0000-0000-00004A7E0000}"/>
    <cellStyle name="常规 9 2 3 2 2 4 3" xfId="1152" xr:uid="{00000000-0005-0000-0000-00004B7E0000}"/>
    <cellStyle name="常规 9 2 3 2 2 4 3 2" xfId="2688" xr:uid="{00000000-0005-0000-0000-00004C7E0000}"/>
    <cellStyle name="常规 9 2 3 2 2 4 3 2 2" xfId="5764" xr:uid="{00000000-0005-0000-0000-00004D7E0000}"/>
    <cellStyle name="常规 9 2 3 2 2 4 3 2 2 2" xfId="11908" xr:uid="{00000000-0005-0000-0000-00004E7E0000}"/>
    <cellStyle name="常规 9 2 3 2 2 4 3 2 2 2 2" xfId="24196" xr:uid="{00000000-0005-0000-0000-00004F7E0000}"/>
    <cellStyle name="常规 9 2 3 2 2 4 3 2 2 2 2 2" xfId="48772" xr:uid="{00000000-0005-0000-0000-0000507E0000}"/>
    <cellStyle name="常规 9 2 3 2 2 4 3 2 2 2 3" xfId="36484" xr:uid="{00000000-0005-0000-0000-0000517E0000}"/>
    <cellStyle name="常规 9 2 3 2 2 4 3 2 2 3" xfId="18052" xr:uid="{00000000-0005-0000-0000-0000527E0000}"/>
    <cellStyle name="常规 9 2 3 2 2 4 3 2 2 3 2" xfId="42628" xr:uid="{00000000-0005-0000-0000-0000537E0000}"/>
    <cellStyle name="常规 9 2 3 2 2 4 3 2 2 4" xfId="30340" xr:uid="{00000000-0005-0000-0000-0000547E0000}"/>
    <cellStyle name="常规 9 2 3 2 2 4 3 2 3" xfId="8836" xr:uid="{00000000-0005-0000-0000-0000557E0000}"/>
    <cellStyle name="常规 9 2 3 2 2 4 3 2 3 2" xfId="21124" xr:uid="{00000000-0005-0000-0000-0000567E0000}"/>
    <cellStyle name="常规 9 2 3 2 2 4 3 2 3 2 2" xfId="45700" xr:uid="{00000000-0005-0000-0000-0000577E0000}"/>
    <cellStyle name="常规 9 2 3 2 2 4 3 2 3 3" xfId="33412" xr:uid="{00000000-0005-0000-0000-0000587E0000}"/>
    <cellStyle name="常规 9 2 3 2 2 4 3 2 4" xfId="14980" xr:uid="{00000000-0005-0000-0000-0000597E0000}"/>
    <cellStyle name="常规 9 2 3 2 2 4 3 2 4 2" xfId="39556" xr:uid="{00000000-0005-0000-0000-00005A7E0000}"/>
    <cellStyle name="常规 9 2 3 2 2 4 3 2 5" xfId="27268" xr:uid="{00000000-0005-0000-0000-00005B7E0000}"/>
    <cellStyle name="常规 9 2 3 2 2 4 3 3" xfId="4228" xr:uid="{00000000-0005-0000-0000-00005C7E0000}"/>
    <cellStyle name="常规 9 2 3 2 2 4 3 3 2" xfId="10372" xr:uid="{00000000-0005-0000-0000-00005D7E0000}"/>
    <cellStyle name="常规 9 2 3 2 2 4 3 3 2 2" xfId="22660" xr:uid="{00000000-0005-0000-0000-00005E7E0000}"/>
    <cellStyle name="常规 9 2 3 2 2 4 3 3 2 2 2" xfId="47236" xr:uid="{00000000-0005-0000-0000-00005F7E0000}"/>
    <cellStyle name="常规 9 2 3 2 2 4 3 3 2 3" xfId="34948" xr:uid="{00000000-0005-0000-0000-0000607E0000}"/>
    <cellStyle name="常规 9 2 3 2 2 4 3 3 3" xfId="16516" xr:uid="{00000000-0005-0000-0000-0000617E0000}"/>
    <cellStyle name="常规 9 2 3 2 2 4 3 3 3 2" xfId="41092" xr:uid="{00000000-0005-0000-0000-0000627E0000}"/>
    <cellStyle name="常规 9 2 3 2 2 4 3 3 4" xfId="28804" xr:uid="{00000000-0005-0000-0000-0000637E0000}"/>
    <cellStyle name="常规 9 2 3 2 2 4 3 4" xfId="7300" xr:uid="{00000000-0005-0000-0000-0000647E0000}"/>
    <cellStyle name="常规 9 2 3 2 2 4 3 4 2" xfId="19588" xr:uid="{00000000-0005-0000-0000-0000657E0000}"/>
    <cellStyle name="常规 9 2 3 2 2 4 3 4 2 2" xfId="44164" xr:uid="{00000000-0005-0000-0000-0000667E0000}"/>
    <cellStyle name="常规 9 2 3 2 2 4 3 4 3" xfId="31876" xr:uid="{00000000-0005-0000-0000-0000677E0000}"/>
    <cellStyle name="常规 9 2 3 2 2 4 3 5" xfId="13444" xr:uid="{00000000-0005-0000-0000-0000687E0000}"/>
    <cellStyle name="常规 9 2 3 2 2 4 3 5 2" xfId="38020" xr:uid="{00000000-0005-0000-0000-0000697E0000}"/>
    <cellStyle name="常规 9 2 3 2 2 4 3 6" xfId="25732" xr:uid="{00000000-0005-0000-0000-00006A7E0000}"/>
    <cellStyle name="常规 9 2 3 2 2 4 4" xfId="1920" xr:uid="{00000000-0005-0000-0000-00006B7E0000}"/>
    <cellStyle name="常规 9 2 3 2 2 4 4 2" xfId="4996" xr:uid="{00000000-0005-0000-0000-00006C7E0000}"/>
    <cellStyle name="常规 9 2 3 2 2 4 4 2 2" xfId="11140" xr:uid="{00000000-0005-0000-0000-00006D7E0000}"/>
    <cellStyle name="常规 9 2 3 2 2 4 4 2 2 2" xfId="23428" xr:uid="{00000000-0005-0000-0000-00006E7E0000}"/>
    <cellStyle name="常规 9 2 3 2 2 4 4 2 2 2 2" xfId="48004" xr:uid="{00000000-0005-0000-0000-00006F7E0000}"/>
    <cellStyle name="常规 9 2 3 2 2 4 4 2 2 3" xfId="35716" xr:uid="{00000000-0005-0000-0000-0000707E0000}"/>
    <cellStyle name="常规 9 2 3 2 2 4 4 2 3" xfId="17284" xr:uid="{00000000-0005-0000-0000-0000717E0000}"/>
    <cellStyle name="常规 9 2 3 2 2 4 4 2 3 2" xfId="41860" xr:uid="{00000000-0005-0000-0000-0000727E0000}"/>
    <cellStyle name="常规 9 2 3 2 2 4 4 2 4" xfId="29572" xr:uid="{00000000-0005-0000-0000-0000737E0000}"/>
    <cellStyle name="常规 9 2 3 2 2 4 4 3" xfId="8068" xr:uid="{00000000-0005-0000-0000-0000747E0000}"/>
    <cellStyle name="常规 9 2 3 2 2 4 4 3 2" xfId="20356" xr:uid="{00000000-0005-0000-0000-0000757E0000}"/>
    <cellStyle name="常规 9 2 3 2 2 4 4 3 2 2" xfId="44932" xr:uid="{00000000-0005-0000-0000-0000767E0000}"/>
    <cellStyle name="常规 9 2 3 2 2 4 4 3 3" xfId="32644" xr:uid="{00000000-0005-0000-0000-0000777E0000}"/>
    <cellStyle name="常规 9 2 3 2 2 4 4 4" xfId="14212" xr:uid="{00000000-0005-0000-0000-0000787E0000}"/>
    <cellStyle name="常规 9 2 3 2 2 4 4 4 2" xfId="38788" xr:uid="{00000000-0005-0000-0000-0000797E0000}"/>
    <cellStyle name="常规 9 2 3 2 2 4 4 5" xfId="26500" xr:uid="{00000000-0005-0000-0000-00007A7E0000}"/>
    <cellStyle name="常规 9 2 3 2 2 4 5" xfId="3460" xr:uid="{00000000-0005-0000-0000-00007B7E0000}"/>
    <cellStyle name="常规 9 2 3 2 2 4 5 2" xfId="9604" xr:uid="{00000000-0005-0000-0000-00007C7E0000}"/>
    <cellStyle name="常规 9 2 3 2 2 4 5 2 2" xfId="21892" xr:uid="{00000000-0005-0000-0000-00007D7E0000}"/>
    <cellStyle name="常规 9 2 3 2 2 4 5 2 2 2" xfId="46468" xr:uid="{00000000-0005-0000-0000-00007E7E0000}"/>
    <cellStyle name="常规 9 2 3 2 2 4 5 2 3" xfId="34180" xr:uid="{00000000-0005-0000-0000-00007F7E0000}"/>
    <cellStyle name="常规 9 2 3 2 2 4 5 3" xfId="15748" xr:uid="{00000000-0005-0000-0000-0000807E0000}"/>
    <cellStyle name="常规 9 2 3 2 2 4 5 3 2" xfId="40324" xr:uid="{00000000-0005-0000-0000-0000817E0000}"/>
    <cellStyle name="常规 9 2 3 2 2 4 5 4" xfId="28036" xr:uid="{00000000-0005-0000-0000-0000827E0000}"/>
    <cellStyle name="常规 9 2 3 2 2 4 6" xfId="6532" xr:uid="{00000000-0005-0000-0000-0000837E0000}"/>
    <cellStyle name="常规 9 2 3 2 2 4 6 2" xfId="18820" xr:uid="{00000000-0005-0000-0000-0000847E0000}"/>
    <cellStyle name="常规 9 2 3 2 2 4 6 2 2" xfId="43396" xr:uid="{00000000-0005-0000-0000-0000857E0000}"/>
    <cellStyle name="常规 9 2 3 2 2 4 6 3" xfId="31108" xr:uid="{00000000-0005-0000-0000-0000867E0000}"/>
    <cellStyle name="常规 9 2 3 2 2 4 7" xfId="12676" xr:uid="{00000000-0005-0000-0000-0000877E0000}"/>
    <cellStyle name="常规 9 2 3 2 2 4 7 2" xfId="37252" xr:uid="{00000000-0005-0000-0000-0000887E0000}"/>
    <cellStyle name="常规 9 2 3 2 2 4 8" xfId="24964" xr:uid="{00000000-0005-0000-0000-0000897E0000}"/>
    <cellStyle name="常规 9 2 3 2 2 5" xfId="576" xr:uid="{00000000-0005-0000-0000-00008A7E0000}"/>
    <cellStyle name="常规 9 2 3 2 2 5 2" xfId="1344" xr:uid="{00000000-0005-0000-0000-00008B7E0000}"/>
    <cellStyle name="常规 9 2 3 2 2 5 2 2" xfId="2880" xr:uid="{00000000-0005-0000-0000-00008C7E0000}"/>
    <cellStyle name="常规 9 2 3 2 2 5 2 2 2" xfId="5956" xr:uid="{00000000-0005-0000-0000-00008D7E0000}"/>
    <cellStyle name="常规 9 2 3 2 2 5 2 2 2 2" xfId="12100" xr:uid="{00000000-0005-0000-0000-00008E7E0000}"/>
    <cellStyle name="常规 9 2 3 2 2 5 2 2 2 2 2" xfId="24388" xr:uid="{00000000-0005-0000-0000-00008F7E0000}"/>
    <cellStyle name="常规 9 2 3 2 2 5 2 2 2 2 2 2" xfId="48964" xr:uid="{00000000-0005-0000-0000-0000907E0000}"/>
    <cellStyle name="常规 9 2 3 2 2 5 2 2 2 2 3" xfId="36676" xr:uid="{00000000-0005-0000-0000-0000917E0000}"/>
    <cellStyle name="常规 9 2 3 2 2 5 2 2 2 3" xfId="18244" xr:uid="{00000000-0005-0000-0000-0000927E0000}"/>
    <cellStyle name="常规 9 2 3 2 2 5 2 2 2 3 2" xfId="42820" xr:uid="{00000000-0005-0000-0000-0000937E0000}"/>
    <cellStyle name="常规 9 2 3 2 2 5 2 2 2 4" xfId="30532" xr:uid="{00000000-0005-0000-0000-0000947E0000}"/>
    <cellStyle name="常规 9 2 3 2 2 5 2 2 3" xfId="9028" xr:uid="{00000000-0005-0000-0000-0000957E0000}"/>
    <cellStyle name="常规 9 2 3 2 2 5 2 2 3 2" xfId="21316" xr:uid="{00000000-0005-0000-0000-0000967E0000}"/>
    <cellStyle name="常规 9 2 3 2 2 5 2 2 3 2 2" xfId="45892" xr:uid="{00000000-0005-0000-0000-0000977E0000}"/>
    <cellStyle name="常规 9 2 3 2 2 5 2 2 3 3" xfId="33604" xr:uid="{00000000-0005-0000-0000-0000987E0000}"/>
    <cellStyle name="常规 9 2 3 2 2 5 2 2 4" xfId="15172" xr:uid="{00000000-0005-0000-0000-0000997E0000}"/>
    <cellStyle name="常规 9 2 3 2 2 5 2 2 4 2" xfId="39748" xr:uid="{00000000-0005-0000-0000-00009A7E0000}"/>
    <cellStyle name="常规 9 2 3 2 2 5 2 2 5" xfId="27460" xr:uid="{00000000-0005-0000-0000-00009B7E0000}"/>
    <cellStyle name="常规 9 2 3 2 2 5 2 3" xfId="4420" xr:uid="{00000000-0005-0000-0000-00009C7E0000}"/>
    <cellStyle name="常规 9 2 3 2 2 5 2 3 2" xfId="10564" xr:uid="{00000000-0005-0000-0000-00009D7E0000}"/>
    <cellStyle name="常规 9 2 3 2 2 5 2 3 2 2" xfId="22852" xr:uid="{00000000-0005-0000-0000-00009E7E0000}"/>
    <cellStyle name="常规 9 2 3 2 2 5 2 3 2 2 2" xfId="47428" xr:uid="{00000000-0005-0000-0000-00009F7E0000}"/>
    <cellStyle name="常规 9 2 3 2 2 5 2 3 2 3" xfId="35140" xr:uid="{00000000-0005-0000-0000-0000A07E0000}"/>
    <cellStyle name="常规 9 2 3 2 2 5 2 3 3" xfId="16708" xr:uid="{00000000-0005-0000-0000-0000A17E0000}"/>
    <cellStyle name="常规 9 2 3 2 2 5 2 3 3 2" xfId="41284" xr:uid="{00000000-0005-0000-0000-0000A27E0000}"/>
    <cellStyle name="常规 9 2 3 2 2 5 2 3 4" xfId="28996" xr:uid="{00000000-0005-0000-0000-0000A37E0000}"/>
    <cellStyle name="常规 9 2 3 2 2 5 2 4" xfId="7492" xr:uid="{00000000-0005-0000-0000-0000A47E0000}"/>
    <cellStyle name="常规 9 2 3 2 2 5 2 4 2" xfId="19780" xr:uid="{00000000-0005-0000-0000-0000A57E0000}"/>
    <cellStyle name="常规 9 2 3 2 2 5 2 4 2 2" xfId="44356" xr:uid="{00000000-0005-0000-0000-0000A67E0000}"/>
    <cellStyle name="常规 9 2 3 2 2 5 2 4 3" xfId="32068" xr:uid="{00000000-0005-0000-0000-0000A77E0000}"/>
    <cellStyle name="常规 9 2 3 2 2 5 2 5" xfId="13636" xr:uid="{00000000-0005-0000-0000-0000A87E0000}"/>
    <cellStyle name="常规 9 2 3 2 2 5 2 5 2" xfId="38212" xr:uid="{00000000-0005-0000-0000-0000A97E0000}"/>
    <cellStyle name="常规 9 2 3 2 2 5 2 6" xfId="25924" xr:uid="{00000000-0005-0000-0000-0000AA7E0000}"/>
    <cellStyle name="常规 9 2 3 2 2 5 3" xfId="2112" xr:uid="{00000000-0005-0000-0000-0000AB7E0000}"/>
    <cellStyle name="常规 9 2 3 2 2 5 3 2" xfId="5188" xr:uid="{00000000-0005-0000-0000-0000AC7E0000}"/>
    <cellStyle name="常规 9 2 3 2 2 5 3 2 2" xfId="11332" xr:uid="{00000000-0005-0000-0000-0000AD7E0000}"/>
    <cellStyle name="常规 9 2 3 2 2 5 3 2 2 2" xfId="23620" xr:uid="{00000000-0005-0000-0000-0000AE7E0000}"/>
    <cellStyle name="常规 9 2 3 2 2 5 3 2 2 2 2" xfId="48196" xr:uid="{00000000-0005-0000-0000-0000AF7E0000}"/>
    <cellStyle name="常规 9 2 3 2 2 5 3 2 2 3" xfId="35908" xr:uid="{00000000-0005-0000-0000-0000B07E0000}"/>
    <cellStyle name="常规 9 2 3 2 2 5 3 2 3" xfId="17476" xr:uid="{00000000-0005-0000-0000-0000B17E0000}"/>
    <cellStyle name="常规 9 2 3 2 2 5 3 2 3 2" xfId="42052" xr:uid="{00000000-0005-0000-0000-0000B27E0000}"/>
    <cellStyle name="常规 9 2 3 2 2 5 3 2 4" xfId="29764" xr:uid="{00000000-0005-0000-0000-0000B37E0000}"/>
    <cellStyle name="常规 9 2 3 2 2 5 3 3" xfId="8260" xr:uid="{00000000-0005-0000-0000-0000B47E0000}"/>
    <cellStyle name="常规 9 2 3 2 2 5 3 3 2" xfId="20548" xr:uid="{00000000-0005-0000-0000-0000B57E0000}"/>
    <cellStyle name="常规 9 2 3 2 2 5 3 3 2 2" xfId="45124" xr:uid="{00000000-0005-0000-0000-0000B67E0000}"/>
    <cellStyle name="常规 9 2 3 2 2 5 3 3 3" xfId="32836" xr:uid="{00000000-0005-0000-0000-0000B77E0000}"/>
    <cellStyle name="常规 9 2 3 2 2 5 3 4" xfId="14404" xr:uid="{00000000-0005-0000-0000-0000B87E0000}"/>
    <cellStyle name="常规 9 2 3 2 2 5 3 4 2" xfId="38980" xr:uid="{00000000-0005-0000-0000-0000B97E0000}"/>
    <cellStyle name="常规 9 2 3 2 2 5 3 5" xfId="26692" xr:uid="{00000000-0005-0000-0000-0000BA7E0000}"/>
    <cellStyle name="常规 9 2 3 2 2 5 4" xfId="3652" xr:uid="{00000000-0005-0000-0000-0000BB7E0000}"/>
    <cellStyle name="常规 9 2 3 2 2 5 4 2" xfId="9796" xr:uid="{00000000-0005-0000-0000-0000BC7E0000}"/>
    <cellStyle name="常规 9 2 3 2 2 5 4 2 2" xfId="22084" xr:uid="{00000000-0005-0000-0000-0000BD7E0000}"/>
    <cellStyle name="常规 9 2 3 2 2 5 4 2 2 2" xfId="46660" xr:uid="{00000000-0005-0000-0000-0000BE7E0000}"/>
    <cellStyle name="常规 9 2 3 2 2 5 4 2 3" xfId="34372" xr:uid="{00000000-0005-0000-0000-0000BF7E0000}"/>
    <cellStyle name="常规 9 2 3 2 2 5 4 3" xfId="15940" xr:uid="{00000000-0005-0000-0000-0000C07E0000}"/>
    <cellStyle name="常规 9 2 3 2 2 5 4 3 2" xfId="40516" xr:uid="{00000000-0005-0000-0000-0000C17E0000}"/>
    <cellStyle name="常规 9 2 3 2 2 5 4 4" xfId="28228" xr:uid="{00000000-0005-0000-0000-0000C27E0000}"/>
    <cellStyle name="常规 9 2 3 2 2 5 5" xfId="6724" xr:uid="{00000000-0005-0000-0000-0000C37E0000}"/>
    <cellStyle name="常规 9 2 3 2 2 5 5 2" xfId="19012" xr:uid="{00000000-0005-0000-0000-0000C47E0000}"/>
    <cellStyle name="常规 9 2 3 2 2 5 5 2 2" xfId="43588" xr:uid="{00000000-0005-0000-0000-0000C57E0000}"/>
    <cellStyle name="常规 9 2 3 2 2 5 5 3" xfId="31300" xr:uid="{00000000-0005-0000-0000-0000C67E0000}"/>
    <cellStyle name="常规 9 2 3 2 2 5 6" xfId="12868" xr:uid="{00000000-0005-0000-0000-0000C77E0000}"/>
    <cellStyle name="常规 9 2 3 2 2 5 6 2" xfId="37444" xr:uid="{00000000-0005-0000-0000-0000C87E0000}"/>
    <cellStyle name="常规 9 2 3 2 2 5 7" xfId="25156" xr:uid="{00000000-0005-0000-0000-0000C97E0000}"/>
    <cellStyle name="常规 9 2 3 2 2 6" xfId="960" xr:uid="{00000000-0005-0000-0000-0000CA7E0000}"/>
    <cellStyle name="常规 9 2 3 2 2 6 2" xfId="2496" xr:uid="{00000000-0005-0000-0000-0000CB7E0000}"/>
    <cellStyle name="常规 9 2 3 2 2 6 2 2" xfId="5572" xr:uid="{00000000-0005-0000-0000-0000CC7E0000}"/>
    <cellStyle name="常规 9 2 3 2 2 6 2 2 2" xfId="11716" xr:uid="{00000000-0005-0000-0000-0000CD7E0000}"/>
    <cellStyle name="常规 9 2 3 2 2 6 2 2 2 2" xfId="24004" xr:uid="{00000000-0005-0000-0000-0000CE7E0000}"/>
    <cellStyle name="常规 9 2 3 2 2 6 2 2 2 2 2" xfId="48580" xr:uid="{00000000-0005-0000-0000-0000CF7E0000}"/>
    <cellStyle name="常规 9 2 3 2 2 6 2 2 2 3" xfId="36292" xr:uid="{00000000-0005-0000-0000-0000D07E0000}"/>
    <cellStyle name="常规 9 2 3 2 2 6 2 2 3" xfId="17860" xr:uid="{00000000-0005-0000-0000-0000D17E0000}"/>
    <cellStyle name="常规 9 2 3 2 2 6 2 2 3 2" xfId="42436" xr:uid="{00000000-0005-0000-0000-0000D27E0000}"/>
    <cellStyle name="常规 9 2 3 2 2 6 2 2 4" xfId="30148" xr:uid="{00000000-0005-0000-0000-0000D37E0000}"/>
    <cellStyle name="常规 9 2 3 2 2 6 2 3" xfId="8644" xr:uid="{00000000-0005-0000-0000-0000D47E0000}"/>
    <cellStyle name="常规 9 2 3 2 2 6 2 3 2" xfId="20932" xr:uid="{00000000-0005-0000-0000-0000D57E0000}"/>
    <cellStyle name="常规 9 2 3 2 2 6 2 3 2 2" xfId="45508" xr:uid="{00000000-0005-0000-0000-0000D67E0000}"/>
    <cellStyle name="常规 9 2 3 2 2 6 2 3 3" xfId="33220" xr:uid="{00000000-0005-0000-0000-0000D77E0000}"/>
    <cellStyle name="常规 9 2 3 2 2 6 2 4" xfId="14788" xr:uid="{00000000-0005-0000-0000-0000D87E0000}"/>
    <cellStyle name="常规 9 2 3 2 2 6 2 4 2" xfId="39364" xr:uid="{00000000-0005-0000-0000-0000D97E0000}"/>
    <cellStyle name="常规 9 2 3 2 2 6 2 5" xfId="27076" xr:uid="{00000000-0005-0000-0000-0000DA7E0000}"/>
    <cellStyle name="常规 9 2 3 2 2 6 3" xfId="4036" xr:uid="{00000000-0005-0000-0000-0000DB7E0000}"/>
    <cellStyle name="常规 9 2 3 2 2 6 3 2" xfId="10180" xr:uid="{00000000-0005-0000-0000-0000DC7E0000}"/>
    <cellStyle name="常规 9 2 3 2 2 6 3 2 2" xfId="22468" xr:uid="{00000000-0005-0000-0000-0000DD7E0000}"/>
    <cellStyle name="常规 9 2 3 2 2 6 3 2 2 2" xfId="47044" xr:uid="{00000000-0005-0000-0000-0000DE7E0000}"/>
    <cellStyle name="常规 9 2 3 2 2 6 3 2 3" xfId="34756" xr:uid="{00000000-0005-0000-0000-0000DF7E0000}"/>
    <cellStyle name="常规 9 2 3 2 2 6 3 3" xfId="16324" xr:uid="{00000000-0005-0000-0000-0000E07E0000}"/>
    <cellStyle name="常规 9 2 3 2 2 6 3 3 2" xfId="40900" xr:uid="{00000000-0005-0000-0000-0000E17E0000}"/>
    <cellStyle name="常规 9 2 3 2 2 6 3 4" xfId="28612" xr:uid="{00000000-0005-0000-0000-0000E27E0000}"/>
    <cellStyle name="常规 9 2 3 2 2 6 4" xfId="7108" xr:uid="{00000000-0005-0000-0000-0000E37E0000}"/>
    <cellStyle name="常规 9 2 3 2 2 6 4 2" xfId="19396" xr:uid="{00000000-0005-0000-0000-0000E47E0000}"/>
    <cellStyle name="常规 9 2 3 2 2 6 4 2 2" xfId="43972" xr:uid="{00000000-0005-0000-0000-0000E57E0000}"/>
    <cellStyle name="常规 9 2 3 2 2 6 4 3" xfId="31684" xr:uid="{00000000-0005-0000-0000-0000E67E0000}"/>
    <cellStyle name="常规 9 2 3 2 2 6 5" xfId="13252" xr:uid="{00000000-0005-0000-0000-0000E77E0000}"/>
    <cellStyle name="常规 9 2 3 2 2 6 5 2" xfId="37828" xr:uid="{00000000-0005-0000-0000-0000E87E0000}"/>
    <cellStyle name="常规 9 2 3 2 2 6 6" xfId="25540" xr:uid="{00000000-0005-0000-0000-0000E97E0000}"/>
    <cellStyle name="常规 9 2 3 2 2 7" xfId="1728" xr:uid="{00000000-0005-0000-0000-0000EA7E0000}"/>
    <cellStyle name="常规 9 2 3 2 2 7 2" xfId="4804" xr:uid="{00000000-0005-0000-0000-0000EB7E0000}"/>
    <cellStyle name="常规 9 2 3 2 2 7 2 2" xfId="10948" xr:uid="{00000000-0005-0000-0000-0000EC7E0000}"/>
    <cellStyle name="常规 9 2 3 2 2 7 2 2 2" xfId="23236" xr:uid="{00000000-0005-0000-0000-0000ED7E0000}"/>
    <cellStyle name="常规 9 2 3 2 2 7 2 2 2 2" xfId="47812" xr:uid="{00000000-0005-0000-0000-0000EE7E0000}"/>
    <cellStyle name="常规 9 2 3 2 2 7 2 2 3" xfId="35524" xr:uid="{00000000-0005-0000-0000-0000EF7E0000}"/>
    <cellStyle name="常规 9 2 3 2 2 7 2 3" xfId="17092" xr:uid="{00000000-0005-0000-0000-0000F07E0000}"/>
    <cellStyle name="常规 9 2 3 2 2 7 2 3 2" xfId="41668" xr:uid="{00000000-0005-0000-0000-0000F17E0000}"/>
    <cellStyle name="常规 9 2 3 2 2 7 2 4" xfId="29380" xr:uid="{00000000-0005-0000-0000-0000F27E0000}"/>
    <cellStyle name="常规 9 2 3 2 2 7 3" xfId="7876" xr:uid="{00000000-0005-0000-0000-0000F37E0000}"/>
    <cellStyle name="常规 9 2 3 2 2 7 3 2" xfId="20164" xr:uid="{00000000-0005-0000-0000-0000F47E0000}"/>
    <cellStyle name="常规 9 2 3 2 2 7 3 2 2" xfId="44740" xr:uid="{00000000-0005-0000-0000-0000F57E0000}"/>
    <cellStyle name="常规 9 2 3 2 2 7 3 3" xfId="32452" xr:uid="{00000000-0005-0000-0000-0000F67E0000}"/>
    <cellStyle name="常规 9 2 3 2 2 7 4" xfId="14020" xr:uid="{00000000-0005-0000-0000-0000F77E0000}"/>
    <cellStyle name="常规 9 2 3 2 2 7 4 2" xfId="38596" xr:uid="{00000000-0005-0000-0000-0000F87E0000}"/>
    <cellStyle name="常规 9 2 3 2 2 7 5" xfId="26308" xr:uid="{00000000-0005-0000-0000-0000F97E0000}"/>
    <cellStyle name="常规 9 2 3 2 2 8" xfId="3268" xr:uid="{00000000-0005-0000-0000-0000FA7E0000}"/>
    <cellStyle name="常规 9 2 3 2 2 8 2" xfId="9412" xr:uid="{00000000-0005-0000-0000-0000FB7E0000}"/>
    <cellStyle name="常规 9 2 3 2 2 8 2 2" xfId="21700" xr:uid="{00000000-0005-0000-0000-0000FC7E0000}"/>
    <cellStyle name="常规 9 2 3 2 2 8 2 2 2" xfId="46276" xr:uid="{00000000-0005-0000-0000-0000FD7E0000}"/>
    <cellStyle name="常规 9 2 3 2 2 8 2 3" xfId="33988" xr:uid="{00000000-0005-0000-0000-0000FE7E0000}"/>
    <cellStyle name="常规 9 2 3 2 2 8 3" xfId="15556" xr:uid="{00000000-0005-0000-0000-0000FF7E0000}"/>
    <cellStyle name="常规 9 2 3 2 2 8 3 2" xfId="40132" xr:uid="{00000000-0005-0000-0000-0000007F0000}"/>
    <cellStyle name="常规 9 2 3 2 2 8 4" xfId="27844" xr:uid="{00000000-0005-0000-0000-0000017F0000}"/>
    <cellStyle name="常规 9 2 3 2 2 9" xfId="6340" xr:uid="{00000000-0005-0000-0000-0000027F0000}"/>
    <cellStyle name="常规 9 2 3 2 2 9 2" xfId="18628" xr:uid="{00000000-0005-0000-0000-0000037F0000}"/>
    <cellStyle name="常规 9 2 3 2 2 9 2 2" xfId="43204" xr:uid="{00000000-0005-0000-0000-0000047F0000}"/>
    <cellStyle name="常规 9 2 3 2 2 9 3" xfId="30916" xr:uid="{00000000-0005-0000-0000-0000057F0000}"/>
    <cellStyle name="常规 9 2 3 2 3" xfId="224" xr:uid="{00000000-0005-0000-0000-0000067F0000}"/>
    <cellStyle name="常规 9 2 3 2 3 2" xfId="416" xr:uid="{00000000-0005-0000-0000-0000077F0000}"/>
    <cellStyle name="常规 9 2 3 2 3 2 2" xfId="800" xr:uid="{00000000-0005-0000-0000-0000087F0000}"/>
    <cellStyle name="常规 9 2 3 2 3 2 2 2" xfId="1568" xr:uid="{00000000-0005-0000-0000-0000097F0000}"/>
    <cellStyle name="常规 9 2 3 2 3 2 2 2 2" xfId="3104" xr:uid="{00000000-0005-0000-0000-00000A7F0000}"/>
    <cellStyle name="常规 9 2 3 2 3 2 2 2 2 2" xfId="6180" xr:uid="{00000000-0005-0000-0000-00000B7F0000}"/>
    <cellStyle name="常规 9 2 3 2 3 2 2 2 2 2 2" xfId="12324" xr:uid="{00000000-0005-0000-0000-00000C7F0000}"/>
    <cellStyle name="常规 9 2 3 2 3 2 2 2 2 2 2 2" xfId="24612" xr:uid="{00000000-0005-0000-0000-00000D7F0000}"/>
    <cellStyle name="常规 9 2 3 2 3 2 2 2 2 2 2 2 2" xfId="49188" xr:uid="{00000000-0005-0000-0000-00000E7F0000}"/>
    <cellStyle name="常规 9 2 3 2 3 2 2 2 2 2 2 3" xfId="36900" xr:uid="{00000000-0005-0000-0000-00000F7F0000}"/>
    <cellStyle name="常规 9 2 3 2 3 2 2 2 2 2 3" xfId="18468" xr:uid="{00000000-0005-0000-0000-0000107F0000}"/>
    <cellStyle name="常规 9 2 3 2 3 2 2 2 2 2 3 2" xfId="43044" xr:uid="{00000000-0005-0000-0000-0000117F0000}"/>
    <cellStyle name="常规 9 2 3 2 3 2 2 2 2 2 4" xfId="30756" xr:uid="{00000000-0005-0000-0000-0000127F0000}"/>
    <cellStyle name="常规 9 2 3 2 3 2 2 2 2 3" xfId="9252" xr:uid="{00000000-0005-0000-0000-0000137F0000}"/>
    <cellStyle name="常规 9 2 3 2 3 2 2 2 2 3 2" xfId="21540" xr:uid="{00000000-0005-0000-0000-0000147F0000}"/>
    <cellStyle name="常规 9 2 3 2 3 2 2 2 2 3 2 2" xfId="46116" xr:uid="{00000000-0005-0000-0000-0000157F0000}"/>
    <cellStyle name="常规 9 2 3 2 3 2 2 2 2 3 3" xfId="33828" xr:uid="{00000000-0005-0000-0000-0000167F0000}"/>
    <cellStyle name="常规 9 2 3 2 3 2 2 2 2 4" xfId="15396" xr:uid="{00000000-0005-0000-0000-0000177F0000}"/>
    <cellStyle name="常规 9 2 3 2 3 2 2 2 2 4 2" xfId="39972" xr:uid="{00000000-0005-0000-0000-0000187F0000}"/>
    <cellStyle name="常规 9 2 3 2 3 2 2 2 2 5" xfId="27684" xr:uid="{00000000-0005-0000-0000-0000197F0000}"/>
    <cellStyle name="常规 9 2 3 2 3 2 2 2 3" xfId="4644" xr:uid="{00000000-0005-0000-0000-00001A7F0000}"/>
    <cellStyle name="常规 9 2 3 2 3 2 2 2 3 2" xfId="10788" xr:uid="{00000000-0005-0000-0000-00001B7F0000}"/>
    <cellStyle name="常规 9 2 3 2 3 2 2 2 3 2 2" xfId="23076" xr:uid="{00000000-0005-0000-0000-00001C7F0000}"/>
    <cellStyle name="常规 9 2 3 2 3 2 2 2 3 2 2 2" xfId="47652" xr:uid="{00000000-0005-0000-0000-00001D7F0000}"/>
    <cellStyle name="常规 9 2 3 2 3 2 2 2 3 2 3" xfId="35364" xr:uid="{00000000-0005-0000-0000-00001E7F0000}"/>
    <cellStyle name="常规 9 2 3 2 3 2 2 2 3 3" xfId="16932" xr:uid="{00000000-0005-0000-0000-00001F7F0000}"/>
    <cellStyle name="常规 9 2 3 2 3 2 2 2 3 3 2" xfId="41508" xr:uid="{00000000-0005-0000-0000-0000207F0000}"/>
    <cellStyle name="常规 9 2 3 2 3 2 2 2 3 4" xfId="29220" xr:uid="{00000000-0005-0000-0000-0000217F0000}"/>
    <cellStyle name="常规 9 2 3 2 3 2 2 2 4" xfId="7716" xr:uid="{00000000-0005-0000-0000-0000227F0000}"/>
    <cellStyle name="常规 9 2 3 2 3 2 2 2 4 2" xfId="20004" xr:uid="{00000000-0005-0000-0000-0000237F0000}"/>
    <cellStyle name="常规 9 2 3 2 3 2 2 2 4 2 2" xfId="44580" xr:uid="{00000000-0005-0000-0000-0000247F0000}"/>
    <cellStyle name="常规 9 2 3 2 3 2 2 2 4 3" xfId="32292" xr:uid="{00000000-0005-0000-0000-0000257F0000}"/>
    <cellStyle name="常规 9 2 3 2 3 2 2 2 5" xfId="13860" xr:uid="{00000000-0005-0000-0000-0000267F0000}"/>
    <cellStyle name="常规 9 2 3 2 3 2 2 2 5 2" xfId="38436" xr:uid="{00000000-0005-0000-0000-0000277F0000}"/>
    <cellStyle name="常规 9 2 3 2 3 2 2 2 6" xfId="26148" xr:uid="{00000000-0005-0000-0000-0000287F0000}"/>
    <cellStyle name="常规 9 2 3 2 3 2 2 3" xfId="2336" xr:uid="{00000000-0005-0000-0000-0000297F0000}"/>
    <cellStyle name="常规 9 2 3 2 3 2 2 3 2" xfId="5412" xr:uid="{00000000-0005-0000-0000-00002A7F0000}"/>
    <cellStyle name="常规 9 2 3 2 3 2 2 3 2 2" xfId="11556" xr:uid="{00000000-0005-0000-0000-00002B7F0000}"/>
    <cellStyle name="常规 9 2 3 2 3 2 2 3 2 2 2" xfId="23844" xr:uid="{00000000-0005-0000-0000-00002C7F0000}"/>
    <cellStyle name="常规 9 2 3 2 3 2 2 3 2 2 2 2" xfId="48420" xr:uid="{00000000-0005-0000-0000-00002D7F0000}"/>
    <cellStyle name="常规 9 2 3 2 3 2 2 3 2 2 3" xfId="36132" xr:uid="{00000000-0005-0000-0000-00002E7F0000}"/>
    <cellStyle name="常规 9 2 3 2 3 2 2 3 2 3" xfId="17700" xr:uid="{00000000-0005-0000-0000-00002F7F0000}"/>
    <cellStyle name="常规 9 2 3 2 3 2 2 3 2 3 2" xfId="42276" xr:uid="{00000000-0005-0000-0000-0000307F0000}"/>
    <cellStyle name="常规 9 2 3 2 3 2 2 3 2 4" xfId="29988" xr:uid="{00000000-0005-0000-0000-0000317F0000}"/>
    <cellStyle name="常规 9 2 3 2 3 2 2 3 3" xfId="8484" xr:uid="{00000000-0005-0000-0000-0000327F0000}"/>
    <cellStyle name="常规 9 2 3 2 3 2 2 3 3 2" xfId="20772" xr:uid="{00000000-0005-0000-0000-0000337F0000}"/>
    <cellStyle name="常规 9 2 3 2 3 2 2 3 3 2 2" xfId="45348" xr:uid="{00000000-0005-0000-0000-0000347F0000}"/>
    <cellStyle name="常规 9 2 3 2 3 2 2 3 3 3" xfId="33060" xr:uid="{00000000-0005-0000-0000-0000357F0000}"/>
    <cellStyle name="常规 9 2 3 2 3 2 2 3 4" xfId="14628" xr:uid="{00000000-0005-0000-0000-0000367F0000}"/>
    <cellStyle name="常规 9 2 3 2 3 2 2 3 4 2" xfId="39204" xr:uid="{00000000-0005-0000-0000-0000377F0000}"/>
    <cellStyle name="常规 9 2 3 2 3 2 2 3 5" xfId="26916" xr:uid="{00000000-0005-0000-0000-0000387F0000}"/>
    <cellStyle name="常规 9 2 3 2 3 2 2 4" xfId="3876" xr:uid="{00000000-0005-0000-0000-0000397F0000}"/>
    <cellStyle name="常规 9 2 3 2 3 2 2 4 2" xfId="10020" xr:uid="{00000000-0005-0000-0000-00003A7F0000}"/>
    <cellStyle name="常规 9 2 3 2 3 2 2 4 2 2" xfId="22308" xr:uid="{00000000-0005-0000-0000-00003B7F0000}"/>
    <cellStyle name="常规 9 2 3 2 3 2 2 4 2 2 2" xfId="46884" xr:uid="{00000000-0005-0000-0000-00003C7F0000}"/>
    <cellStyle name="常规 9 2 3 2 3 2 2 4 2 3" xfId="34596" xr:uid="{00000000-0005-0000-0000-00003D7F0000}"/>
    <cellStyle name="常规 9 2 3 2 3 2 2 4 3" xfId="16164" xr:uid="{00000000-0005-0000-0000-00003E7F0000}"/>
    <cellStyle name="常规 9 2 3 2 3 2 2 4 3 2" xfId="40740" xr:uid="{00000000-0005-0000-0000-00003F7F0000}"/>
    <cellStyle name="常规 9 2 3 2 3 2 2 4 4" xfId="28452" xr:uid="{00000000-0005-0000-0000-0000407F0000}"/>
    <cellStyle name="常规 9 2 3 2 3 2 2 5" xfId="6948" xr:uid="{00000000-0005-0000-0000-0000417F0000}"/>
    <cellStyle name="常规 9 2 3 2 3 2 2 5 2" xfId="19236" xr:uid="{00000000-0005-0000-0000-0000427F0000}"/>
    <cellStyle name="常规 9 2 3 2 3 2 2 5 2 2" xfId="43812" xr:uid="{00000000-0005-0000-0000-0000437F0000}"/>
    <cellStyle name="常规 9 2 3 2 3 2 2 5 3" xfId="31524" xr:uid="{00000000-0005-0000-0000-0000447F0000}"/>
    <cellStyle name="常规 9 2 3 2 3 2 2 6" xfId="13092" xr:uid="{00000000-0005-0000-0000-0000457F0000}"/>
    <cellStyle name="常规 9 2 3 2 3 2 2 6 2" xfId="37668" xr:uid="{00000000-0005-0000-0000-0000467F0000}"/>
    <cellStyle name="常规 9 2 3 2 3 2 2 7" xfId="25380" xr:uid="{00000000-0005-0000-0000-0000477F0000}"/>
    <cellStyle name="常规 9 2 3 2 3 2 3" xfId="1184" xr:uid="{00000000-0005-0000-0000-0000487F0000}"/>
    <cellStyle name="常规 9 2 3 2 3 2 3 2" xfId="2720" xr:uid="{00000000-0005-0000-0000-0000497F0000}"/>
    <cellStyle name="常规 9 2 3 2 3 2 3 2 2" xfId="5796" xr:uid="{00000000-0005-0000-0000-00004A7F0000}"/>
    <cellStyle name="常规 9 2 3 2 3 2 3 2 2 2" xfId="11940" xr:uid="{00000000-0005-0000-0000-00004B7F0000}"/>
    <cellStyle name="常规 9 2 3 2 3 2 3 2 2 2 2" xfId="24228" xr:uid="{00000000-0005-0000-0000-00004C7F0000}"/>
    <cellStyle name="常规 9 2 3 2 3 2 3 2 2 2 2 2" xfId="48804" xr:uid="{00000000-0005-0000-0000-00004D7F0000}"/>
    <cellStyle name="常规 9 2 3 2 3 2 3 2 2 2 3" xfId="36516" xr:uid="{00000000-0005-0000-0000-00004E7F0000}"/>
    <cellStyle name="常规 9 2 3 2 3 2 3 2 2 3" xfId="18084" xr:uid="{00000000-0005-0000-0000-00004F7F0000}"/>
    <cellStyle name="常规 9 2 3 2 3 2 3 2 2 3 2" xfId="42660" xr:uid="{00000000-0005-0000-0000-0000507F0000}"/>
    <cellStyle name="常规 9 2 3 2 3 2 3 2 2 4" xfId="30372" xr:uid="{00000000-0005-0000-0000-0000517F0000}"/>
    <cellStyle name="常规 9 2 3 2 3 2 3 2 3" xfId="8868" xr:uid="{00000000-0005-0000-0000-0000527F0000}"/>
    <cellStyle name="常规 9 2 3 2 3 2 3 2 3 2" xfId="21156" xr:uid="{00000000-0005-0000-0000-0000537F0000}"/>
    <cellStyle name="常规 9 2 3 2 3 2 3 2 3 2 2" xfId="45732" xr:uid="{00000000-0005-0000-0000-0000547F0000}"/>
    <cellStyle name="常规 9 2 3 2 3 2 3 2 3 3" xfId="33444" xr:uid="{00000000-0005-0000-0000-0000557F0000}"/>
    <cellStyle name="常规 9 2 3 2 3 2 3 2 4" xfId="15012" xr:uid="{00000000-0005-0000-0000-0000567F0000}"/>
    <cellStyle name="常规 9 2 3 2 3 2 3 2 4 2" xfId="39588" xr:uid="{00000000-0005-0000-0000-0000577F0000}"/>
    <cellStyle name="常规 9 2 3 2 3 2 3 2 5" xfId="27300" xr:uid="{00000000-0005-0000-0000-0000587F0000}"/>
    <cellStyle name="常规 9 2 3 2 3 2 3 3" xfId="4260" xr:uid="{00000000-0005-0000-0000-0000597F0000}"/>
    <cellStyle name="常规 9 2 3 2 3 2 3 3 2" xfId="10404" xr:uid="{00000000-0005-0000-0000-00005A7F0000}"/>
    <cellStyle name="常规 9 2 3 2 3 2 3 3 2 2" xfId="22692" xr:uid="{00000000-0005-0000-0000-00005B7F0000}"/>
    <cellStyle name="常规 9 2 3 2 3 2 3 3 2 2 2" xfId="47268" xr:uid="{00000000-0005-0000-0000-00005C7F0000}"/>
    <cellStyle name="常规 9 2 3 2 3 2 3 3 2 3" xfId="34980" xr:uid="{00000000-0005-0000-0000-00005D7F0000}"/>
    <cellStyle name="常规 9 2 3 2 3 2 3 3 3" xfId="16548" xr:uid="{00000000-0005-0000-0000-00005E7F0000}"/>
    <cellStyle name="常规 9 2 3 2 3 2 3 3 3 2" xfId="41124" xr:uid="{00000000-0005-0000-0000-00005F7F0000}"/>
    <cellStyle name="常规 9 2 3 2 3 2 3 3 4" xfId="28836" xr:uid="{00000000-0005-0000-0000-0000607F0000}"/>
    <cellStyle name="常规 9 2 3 2 3 2 3 4" xfId="7332" xr:uid="{00000000-0005-0000-0000-0000617F0000}"/>
    <cellStyle name="常规 9 2 3 2 3 2 3 4 2" xfId="19620" xr:uid="{00000000-0005-0000-0000-0000627F0000}"/>
    <cellStyle name="常规 9 2 3 2 3 2 3 4 2 2" xfId="44196" xr:uid="{00000000-0005-0000-0000-0000637F0000}"/>
    <cellStyle name="常规 9 2 3 2 3 2 3 4 3" xfId="31908" xr:uid="{00000000-0005-0000-0000-0000647F0000}"/>
    <cellStyle name="常规 9 2 3 2 3 2 3 5" xfId="13476" xr:uid="{00000000-0005-0000-0000-0000657F0000}"/>
    <cellStyle name="常规 9 2 3 2 3 2 3 5 2" xfId="38052" xr:uid="{00000000-0005-0000-0000-0000667F0000}"/>
    <cellStyle name="常规 9 2 3 2 3 2 3 6" xfId="25764" xr:uid="{00000000-0005-0000-0000-0000677F0000}"/>
    <cellStyle name="常规 9 2 3 2 3 2 4" xfId="1952" xr:uid="{00000000-0005-0000-0000-0000687F0000}"/>
    <cellStyle name="常规 9 2 3 2 3 2 4 2" xfId="5028" xr:uid="{00000000-0005-0000-0000-0000697F0000}"/>
    <cellStyle name="常规 9 2 3 2 3 2 4 2 2" xfId="11172" xr:uid="{00000000-0005-0000-0000-00006A7F0000}"/>
    <cellStyle name="常规 9 2 3 2 3 2 4 2 2 2" xfId="23460" xr:uid="{00000000-0005-0000-0000-00006B7F0000}"/>
    <cellStyle name="常规 9 2 3 2 3 2 4 2 2 2 2" xfId="48036" xr:uid="{00000000-0005-0000-0000-00006C7F0000}"/>
    <cellStyle name="常规 9 2 3 2 3 2 4 2 2 3" xfId="35748" xr:uid="{00000000-0005-0000-0000-00006D7F0000}"/>
    <cellStyle name="常规 9 2 3 2 3 2 4 2 3" xfId="17316" xr:uid="{00000000-0005-0000-0000-00006E7F0000}"/>
    <cellStyle name="常规 9 2 3 2 3 2 4 2 3 2" xfId="41892" xr:uid="{00000000-0005-0000-0000-00006F7F0000}"/>
    <cellStyle name="常规 9 2 3 2 3 2 4 2 4" xfId="29604" xr:uid="{00000000-0005-0000-0000-0000707F0000}"/>
    <cellStyle name="常规 9 2 3 2 3 2 4 3" xfId="8100" xr:uid="{00000000-0005-0000-0000-0000717F0000}"/>
    <cellStyle name="常规 9 2 3 2 3 2 4 3 2" xfId="20388" xr:uid="{00000000-0005-0000-0000-0000727F0000}"/>
    <cellStyle name="常规 9 2 3 2 3 2 4 3 2 2" xfId="44964" xr:uid="{00000000-0005-0000-0000-0000737F0000}"/>
    <cellStyle name="常规 9 2 3 2 3 2 4 3 3" xfId="32676" xr:uid="{00000000-0005-0000-0000-0000747F0000}"/>
    <cellStyle name="常规 9 2 3 2 3 2 4 4" xfId="14244" xr:uid="{00000000-0005-0000-0000-0000757F0000}"/>
    <cellStyle name="常规 9 2 3 2 3 2 4 4 2" xfId="38820" xr:uid="{00000000-0005-0000-0000-0000767F0000}"/>
    <cellStyle name="常规 9 2 3 2 3 2 4 5" xfId="26532" xr:uid="{00000000-0005-0000-0000-0000777F0000}"/>
    <cellStyle name="常规 9 2 3 2 3 2 5" xfId="3492" xr:uid="{00000000-0005-0000-0000-0000787F0000}"/>
    <cellStyle name="常规 9 2 3 2 3 2 5 2" xfId="9636" xr:uid="{00000000-0005-0000-0000-0000797F0000}"/>
    <cellStyle name="常规 9 2 3 2 3 2 5 2 2" xfId="21924" xr:uid="{00000000-0005-0000-0000-00007A7F0000}"/>
    <cellStyle name="常规 9 2 3 2 3 2 5 2 2 2" xfId="46500" xr:uid="{00000000-0005-0000-0000-00007B7F0000}"/>
    <cellStyle name="常规 9 2 3 2 3 2 5 2 3" xfId="34212" xr:uid="{00000000-0005-0000-0000-00007C7F0000}"/>
    <cellStyle name="常规 9 2 3 2 3 2 5 3" xfId="15780" xr:uid="{00000000-0005-0000-0000-00007D7F0000}"/>
    <cellStyle name="常规 9 2 3 2 3 2 5 3 2" xfId="40356" xr:uid="{00000000-0005-0000-0000-00007E7F0000}"/>
    <cellStyle name="常规 9 2 3 2 3 2 5 4" xfId="28068" xr:uid="{00000000-0005-0000-0000-00007F7F0000}"/>
    <cellStyle name="常规 9 2 3 2 3 2 6" xfId="6564" xr:uid="{00000000-0005-0000-0000-0000807F0000}"/>
    <cellStyle name="常规 9 2 3 2 3 2 6 2" xfId="18852" xr:uid="{00000000-0005-0000-0000-0000817F0000}"/>
    <cellStyle name="常规 9 2 3 2 3 2 6 2 2" xfId="43428" xr:uid="{00000000-0005-0000-0000-0000827F0000}"/>
    <cellStyle name="常规 9 2 3 2 3 2 6 3" xfId="31140" xr:uid="{00000000-0005-0000-0000-0000837F0000}"/>
    <cellStyle name="常规 9 2 3 2 3 2 7" xfId="12708" xr:uid="{00000000-0005-0000-0000-0000847F0000}"/>
    <cellStyle name="常规 9 2 3 2 3 2 7 2" xfId="37284" xr:uid="{00000000-0005-0000-0000-0000857F0000}"/>
    <cellStyle name="常规 9 2 3 2 3 2 8" xfId="24996" xr:uid="{00000000-0005-0000-0000-0000867F0000}"/>
    <cellStyle name="常规 9 2 3 2 3 3" xfId="608" xr:uid="{00000000-0005-0000-0000-0000877F0000}"/>
    <cellStyle name="常规 9 2 3 2 3 3 2" xfId="1376" xr:uid="{00000000-0005-0000-0000-0000887F0000}"/>
    <cellStyle name="常规 9 2 3 2 3 3 2 2" xfId="2912" xr:uid="{00000000-0005-0000-0000-0000897F0000}"/>
    <cellStyle name="常规 9 2 3 2 3 3 2 2 2" xfId="5988" xr:uid="{00000000-0005-0000-0000-00008A7F0000}"/>
    <cellStyle name="常规 9 2 3 2 3 3 2 2 2 2" xfId="12132" xr:uid="{00000000-0005-0000-0000-00008B7F0000}"/>
    <cellStyle name="常规 9 2 3 2 3 3 2 2 2 2 2" xfId="24420" xr:uid="{00000000-0005-0000-0000-00008C7F0000}"/>
    <cellStyle name="常规 9 2 3 2 3 3 2 2 2 2 2 2" xfId="48996" xr:uid="{00000000-0005-0000-0000-00008D7F0000}"/>
    <cellStyle name="常规 9 2 3 2 3 3 2 2 2 2 3" xfId="36708" xr:uid="{00000000-0005-0000-0000-00008E7F0000}"/>
    <cellStyle name="常规 9 2 3 2 3 3 2 2 2 3" xfId="18276" xr:uid="{00000000-0005-0000-0000-00008F7F0000}"/>
    <cellStyle name="常规 9 2 3 2 3 3 2 2 2 3 2" xfId="42852" xr:uid="{00000000-0005-0000-0000-0000907F0000}"/>
    <cellStyle name="常规 9 2 3 2 3 3 2 2 2 4" xfId="30564" xr:uid="{00000000-0005-0000-0000-0000917F0000}"/>
    <cellStyle name="常规 9 2 3 2 3 3 2 2 3" xfId="9060" xr:uid="{00000000-0005-0000-0000-0000927F0000}"/>
    <cellStyle name="常规 9 2 3 2 3 3 2 2 3 2" xfId="21348" xr:uid="{00000000-0005-0000-0000-0000937F0000}"/>
    <cellStyle name="常规 9 2 3 2 3 3 2 2 3 2 2" xfId="45924" xr:uid="{00000000-0005-0000-0000-0000947F0000}"/>
    <cellStyle name="常规 9 2 3 2 3 3 2 2 3 3" xfId="33636" xr:uid="{00000000-0005-0000-0000-0000957F0000}"/>
    <cellStyle name="常规 9 2 3 2 3 3 2 2 4" xfId="15204" xr:uid="{00000000-0005-0000-0000-0000967F0000}"/>
    <cellStyle name="常规 9 2 3 2 3 3 2 2 4 2" xfId="39780" xr:uid="{00000000-0005-0000-0000-0000977F0000}"/>
    <cellStyle name="常规 9 2 3 2 3 3 2 2 5" xfId="27492" xr:uid="{00000000-0005-0000-0000-0000987F0000}"/>
    <cellStyle name="常规 9 2 3 2 3 3 2 3" xfId="4452" xr:uid="{00000000-0005-0000-0000-0000997F0000}"/>
    <cellStyle name="常规 9 2 3 2 3 3 2 3 2" xfId="10596" xr:uid="{00000000-0005-0000-0000-00009A7F0000}"/>
    <cellStyle name="常规 9 2 3 2 3 3 2 3 2 2" xfId="22884" xr:uid="{00000000-0005-0000-0000-00009B7F0000}"/>
    <cellStyle name="常规 9 2 3 2 3 3 2 3 2 2 2" xfId="47460" xr:uid="{00000000-0005-0000-0000-00009C7F0000}"/>
    <cellStyle name="常规 9 2 3 2 3 3 2 3 2 3" xfId="35172" xr:uid="{00000000-0005-0000-0000-00009D7F0000}"/>
    <cellStyle name="常规 9 2 3 2 3 3 2 3 3" xfId="16740" xr:uid="{00000000-0005-0000-0000-00009E7F0000}"/>
    <cellStyle name="常规 9 2 3 2 3 3 2 3 3 2" xfId="41316" xr:uid="{00000000-0005-0000-0000-00009F7F0000}"/>
    <cellStyle name="常规 9 2 3 2 3 3 2 3 4" xfId="29028" xr:uid="{00000000-0005-0000-0000-0000A07F0000}"/>
    <cellStyle name="常规 9 2 3 2 3 3 2 4" xfId="7524" xr:uid="{00000000-0005-0000-0000-0000A17F0000}"/>
    <cellStyle name="常规 9 2 3 2 3 3 2 4 2" xfId="19812" xr:uid="{00000000-0005-0000-0000-0000A27F0000}"/>
    <cellStyle name="常规 9 2 3 2 3 3 2 4 2 2" xfId="44388" xr:uid="{00000000-0005-0000-0000-0000A37F0000}"/>
    <cellStyle name="常规 9 2 3 2 3 3 2 4 3" xfId="32100" xr:uid="{00000000-0005-0000-0000-0000A47F0000}"/>
    <cellStyle name="常规 9 2 3 2 3 3 2 5" xfId="13668" xr:uid="{00000000-0005-0000-0000-0000A57F0000}"/>
    <cellStyle name="常规 9 2 3 2 3 3 2 5 2" xfId="38244" xr:uid="{00000000-0005-0000-0000-0000A67F0000}"/>
    <cellStyle name="常规 9 2 3 2 3 3 2 6" xfId="25956" xr:uid="{00000000-0005-0000-0000-0000A77F0000}"/>
    <cellStyle name="常规 9 2 3 2 3 3 3" xfId="2144" xr:uid="{00000000-0005-0000-0000-0000A87F0000}"/>
    <cellStyle name="常规 9 2 3 2 3 3 3 2" xfId="5220" xr:uid="{00000000-0005-0000-0000-0000A97F0000}"/>
    <cellStyle name="常规 9 2 3 2 3 3 3 2 2" xfId="11364" xr:uid="{00000000-0005-0000-0000-0000AA7F0000}"/>
    <cellStyle name="常规 9 2 3 2 3 3 3 2 2 2" xfId="23652" xr:uid="{00000000-0005-0000-0000-0000AB7F0000}"/>
    <cellStyle name="常规 9 2 3 2 3 3 3 2 2 2 2" xfId="48228" xr:uid="{00000000-0005-0000-0000-0000AC7F0000}"/>
    <cellStyle name="常规 9 2 3 2 3 3 3 2 2 3" xfId="35940" xr:uid="{00000000-0005-0000-0000-0000AD7F0000}"/>
    <cellStyle name="常规 9 2 3 2 3 3 3 2 3" xfId="17508" xr:uid="{00000000-0005-0000-0000-0000AE7F0000}"/>
    <cellStyle name="常规 9 2 3 2 3 3 3 2 3 2" xfId="42084" xr:uid="{00000000-0005-0000-0000-0000AF7F0000}"/>
    <cellStyle name="常规 9 2 3 2 3 3 3 2 4" xfId="29796" xr:uid="{00000000-0005-0000-0000-0000B07F0000}"/>
    <cellStyle name="常规 9 2 3 2 3 3 3 3" xfId="8292" xr:uid="{00000000-0005-0000-0000-0000B17F0000}"/>
    <cellStyle name="常规 9 2 3 2 3 3 3 3 2" xfId="20580" xr:uid="{00000000-0005-0000-0000-0000B27F0000}"/>
    <cellStyle name="常规 9 2 3 2 3 3 3 3 2 2" xfId="45156" xr:uid="{00000000-0005-0000-0000-0000B37F0000}"/>
    <cellStyle name="常规 9 2 3 2 3 3 3 3 3" xfId="32868" xr:uid="{00000000-0005-0000-0000-0000B47F0000}"/>
    <cellStyle name="常规 9 2 3 2 3 3 3 4" xfId="14436" xr:uid="{00000000-0005-0000-0000-0000B57F0000}"/>
    <cellStyle name="常规 9 2 3 2 3 3 3 4 2" xfId="39012" xr:uid="{00000000-0005-0000-0000-0000B67F0000}"/>
    <cellStyle name="常规 9 2 3 2 3 3 3 5" xfId="26724" xr:uid="{00000000-0005-0000-0000-0000B77F0000}"/>
    <cellStyle name="常规 9 2 3 2 3 3 4" xfId="3684" xr:uid="{00000000-0005-0000-0000-0000B87F0000}"/>
    <cellStyle name="常规 9 2 3 2 3 3 4 2" xfId="9828" xr:uid="{00000000-0005-0000-0000-0000B97F0000}"/>
    <cellStyle name="常规 9 2 3 2 3 3 4 2 2" xfId="22116" xr:uid="{00000000-0005-0000-0000-0000BA7F0000}"/>
    <cellStyle name="常规 9 2 3 2 3 3 4 2 2 2" xfId="46692" xr:uid="{00000000-0005-0000-0000-0000BB7F0000}"/>
    <cellStyle name="常规 9 2 3 2 3 3 4 2 3" xfId="34404" xr:uid="{00000000-0005-0000-0000-0000BC7F0000}"/>
    <cellStyle name="常规 9 2 3 2 3 3 4 3" xfId="15972" xr:uid="{00000000-0005-0000-0000-0000BD7F0000}"/>
    <cellStyle name="常规 9 2 3 2 3 3 4 3 2" xfId="40548" xr:uid="{00000000-0005-0000-0000-0000BE7F0000}"/>
    <cellStyle name="常规 9 2 3 2 3 3 4 4" xfId="28260" xr:uid="{00000000-0005-0000-0000-0000BF7F0000}"/>
    <cellStyle name="常规 9 2 3 2 3 3 5" xfId="6756" xr:uid="{00000000-0005-0000-0000-0000C07F0000}"/>
    <cellStyle name="常规 9 2 3 2 3 3 5 2" xfId="19044" xr:uid="{00000000-0005-0000-0000-0000C17F0000}"/>
    <cellStyle name="常规 9 2 3 2 3 3 5 2 2" xfId="43620" xr:uid="{00000000-0005-0000-0000-0000C27F0000}"/>
    <cellStyle name="常规 9 2 3 2 3 3 5 3" xfId="31332" xr:uid="{00000000-0005-0000-0000-0000C37F0000}"/>
    <cellStyle name="常规 9 2 3 2 3 3 6" xfId="12900" xr:uid="{00000000-0005-0000-0000-0000C47F0000}"/>
    <cellStyle name="常规 9 2 3 2 3 3 6 2" xfId="37476" xr:uid="{00000000-0005-0000-0000-0000C57F0000}"/>
    <cellStyle name="常规 9 2 3 2 3 3 7" xfId="25188" xr:uid="{00000000-0005-0000-0000-0000C67F0000}"/>
    <cellStyle name="常规 9 2 3 2 3 4" xfId="992" xr:uid="{00000000-0005-0000-0000-0000C77F0000}"/>
    <cellStyle name="常规 9 2 3 2 3 4 2" xfId="2528" xr:uid="{00000000-0005-0000-0000-0000C87F0000}"/>
    <cellStyle name="常规 9 2 3 2 3 4 2 2" xfId="5604" xr:uid="{00000000-0005-0000-0000-0000C97F0000}"/>
    <cellStyle name="常规 9 2 3 2 3 4 2 2 2" xfId="11748" xr:uid="{00000000-0005-0000-0000-0000CA7F0000}"/>
    <cellStyle name="常规 9 2 3 2 3 4 2 2 2 2" xfId="24036" xr:uid="{00000000-0005-0000-0000-0000CB7F0000}"/>
    <cellStyle name="常规 9 2 3 2 3 4 2 2 2 2 2" xfId="48612" xr:uid="{00000000-0005-0000-0000-0000CC7F0000}"/>
    <cellStyle name="常规 9 2 3 2 3 4 2 2 2 3" xfId="36324" xr:uid="{00000000-0005-0000-0000-0000CD7F0000}"/>
    <cellStyle name="常规 9 2 3 2 3 4 2 2 3" xfId="17892" xr:uid="{00000000-0005-0000-0000-0000CE7F0000}"/>
    <cellStyle name="常规 9 2 3 2 3 4 2 2 3 2" xfId="42468" xr:uid="{00000000-0005-0000-0000-0000CF7F0000}"/>
    <cellStyle name="常规 9 2 3 2 3 4 2 2 4" xfId="30180" xr:uid="{00000000-0005-0000-0000-0000D07F0000}"/>
    <cellStyle name="常规 9 2 3 2 3 4 2 3" xfId="8676" xr:uid="{00000000-0005-0000-0000-0000D17F0000}"/>
    <cellStyle name="常规 9 2 3 2 3 4 2 3 2" xfId="20964" xr:uid="{00000000-0005-0000-0000-0000D27F0000}"/>
    <cellStyle name="常规 9 2 3 2 3 4 2 3 2 2" xfId="45540" xr:uid="{00000000-0005-0000-0000-0000D37F0000}"/>
    <cellStyle name="常规 9 2 3 2 3 4 2 3 3" xfId="33252" xr:uid="{00000000-0005-0000-0000-0000D47F0000}"/>
    <cellStyle name="常规 9 2 3 2 3 4 2 4" xfId="14820" xr:uid="{00000000-0005-0000-0000-0000D57F0000}"/>
    <cellStyle name="常规 9 2 3 2 3 4 2 4 2" xfId="39396" xr:uid="{00000000-0005-0000-0000-0000D67F0000}"/>
    <cellStyle name="常规 9 2 3 2 3 4 2 5" xfId="27108" xr:uid="{00000000-0005-0000-0000-0000D77F0000}"/>
    <cellStyle name="常规 9 2 3 2 3 4 3" xfId="4068" xr:uid="{00000000-0005-0000-0000-0000D87F0000}"/>
    <cellStyle name="常规 9 2 3 2 3 4 3 2" xfId="10212" xr:uid="{00000000-0005-0000-0000-0000D97F0000}"/>
    <cellStyle name="常规 9 2 3 2 3 4 3 2 2" xfId="22500" xr:uid="{00000000-0005-0000-0000-0000DA7F0000}"/>
    <cellStyle name="常规 9 2 3 2 3 4 3 2 2 2" xfId="47076" xr:uid="{00000000-0005-0000-0000-0000DB7F0000}"/>
    <cellStyle name="常规 9 2 3 2 3 4 3 2 3" xfId="34788" xr:uid="{00000000-0005-0000-0000-0000DC7F0000}"/>
    <cellStyle name="常规 9 2 3 2 3 4 3 3" xfId="16356" xr:uid="{00000000-0005-0000-0000-0000DD7F0000}"/>
    <cellStyle name="常规 9 2 3 2 3 4 3 3 2" xfId="40932" xr:uid="{00000000-0005-0000-0000-0000DE7F0000}"/>
    <cellStyle name="常规 9 2 3 2 3 4 3 4" xfId="28644" xr:uid="{00000000-0005-0000-0000-0000DF7F0000}"/>
    <cellStyle name="常规 9 2 3 2 3 4 4" xfId="7140" xr:uid="{00000000-0005-0000-0000-0000E07F0000}"/>
    <cellStyle name="常规 9 2 3 2 3 4 4 2" xfId="19428" xr:uid="{00000000-0005-0000-0000-0000E17F0000}"/>
    <cellStyle name="常规 9 2 3 2 3 4 4 2 2" xfId="44004" xr:uid="{00000000-0005-0000-0000-0000E27F0000}"/>
    <cellStyle name="常规 9 2 3 2 3 4 4 3" xfId="31716" xr:uid="{00000000-0005-0000-0000-0000E37F0000}"/>
    <cellStyle name="常规 9 2 3 2 3 4 5" xfId="13284" xr:uid="{00000000-0005-0000-0000-0000E47F0000}"/>
    <cellStyle name="常规 9 2 3 2 3 4 5 2" xfId="37860" xr:uid="{00000000-0005-0000-0000-0000E57F0000}"/>
    <cellStyle name="常规 9 2 3 2 3 4 6" xfId="25572" xr:uid="{00000000-0005-0000-0000-0000E67F0000}"/>
    <cellStyle name="常规 9 2 3 2 3 5" xfId="1760" xr:uid="{00000000-0005-0000-0000-0000E77F0000}"/>
    <cellStyle name="常规 9 2 3 2 3 5 2" xfId="4836" xr:uid="{00000000-0005-0000-0000-0000E87F0000}"/>
    <cellStyle name="常规 9 2 3 2 3 5 2 2" xfId="10980" xr:uid="{00000000-0005-0000-0000-0000E97F0000}"/>
    <cellStyle name="常规 9 2 3 2 3 5 2 2 2" xfId="23268" xr:uid="{00000000-0005-0000-0000-0000EA7F0000}"/>
    <cellStyle name="常规 9 2 3 2 3 5 2 2 2 2" xfId="47844" xr:uid="{00000000-0005-0000-0000-0000EB7F0000}"/>
    <cellStyle name="常规 9 2 3 2 3 5 2 2 3" xfId="35556" xr:uid="{00000000-0005-0000-0000-0000EC7F0000}"/>
    <cellStyle name="常规 9 2 3 2 3 5 2 3" xfId="17124" xr:uid="{00000000-0005-0000-0000-0000ED7F0000}"/>
    <cellStyle name="常规 9 2 3 2 3 5 2 3 2" xfId="41700" xr:uid="{00000000-0005-0000-0000-0000EE7F0000}"/>
    <cellStyle name="常规 9 2 3 2 3 5 2 4" xfId="29412" xr:uid="{00000000-0005-0000-0000-0000EF7F0000}"/>
    <cellStyle name="常规 9 2 3 2 3 5 3" xfId="7908" xr:uid="{00000000-0005-0000-0000-0000F07F0000}"/>
    <cellStyle name="常规 9 2 3 2 3 5 3 2" xfId="20196" xr:uid="{00000000-0005-0000-0000-0000F17F0000}"/>
    <cellStyle name="常规 9 2 3 2 3 5 3 2 2" xfId="44772" xr:uid="{00000000-0005-0000-0000-0000F27F0000}"/>
    <cellStyle name="常规 9 2 3 2 3 5 3 3" xfId="32484" xr:uid="{00000000-0005-0000-0000-0000F37F0000}"/>
    <cellStyle name="常规 9 2 3 2 3 5 4" xfId="14052" xr:uid="{00000000-0005-0000-0000-0000F47F0000}"/>
    <cellStyle name="常规 9 2 3 2 3 5 4 2" xfId="38628" xr:uid="{00000000-0005-0000-0000-0000F57F0000}"/>
    <cellStyle name="常规 9 2 3 2 3 5 5" xfId="26340" xr:uid="{00000000-0005-0000-0000-0000F67F0000}"/>
    <cellStyle name="常规 9 2 3 2 3 6" xfId="3300" xr:uid="{00000000-0005-0000-0000-0000F77F0000}"/>
    <cellStyle name="常规 9 2 3 2 3 6 2" xfId="9444" xr:uid="{00000000-0005-0000-0000-0000F87F0000}"/>
    <cellStyle name="常规 9 2 3 2 3 6 2 2" xfId="21732" xr:uid="{00000000-0005-0000-0000-0000F97F0000}"/>
    <cellStyle name="常规 9 2 3 2 3 6 2 2 2" xfId="46308" xr:uid="{00000000-0005-0000-0000-0000FA7F0000}"/>
    <cellStyle name="常规 9 2 3 2 3 6 2 3" xfId="34020" xr:uid="{00000000-0005-0000-0000-0000FB7F0000}"/>
    <cellStyle name="常规 9 2 3 2 3 6 3" xfId="15588" xr:uid="{00000000-0005-0000-0000-0000FC7F0000}"/>
    <cellStyle name="常规 9 2 3 2 3 6 3 2" xfId="40164" xr:uid="{00000000-0005-0000-0000-0000FD7F0000}"/>
    <cellStyle name="常规 9 2 3 2 3 6 4" xfId="27876" xr:uid="{00000000-0005-0000-0000-0000FE7F0000}"/>
    <cellStyle name="常规 9 2 3 2 3 7" xfId="6372" xr:uid="{00000000-0005-0000-0000-0000FF7F0000}"/>
    <cellStyle name="常规 9 2 3 2 3 7 2" xfId="18660" xr:uid="{00000000-0005-0000-0000-000000800000}"/>
    <cellStyle name="常规 9 2 3 2 3 7 2 2" xfId="43236" xr:uid="{00000000-0005-0000-0000-000001800000}"/>
    <cellStyle name="常规 9 2 3 2 3 7 3" xfId="30948" xr:uid="{00000000-0005-0000-0000-000002800000}"/>
    <cellStyle name="常规 9 2 3 2 3 8" xfId="12516" xr:uid="{00000000-0005-0000-0000-000003800000}"/>
    <cellStyle name="常规 9 2 3 2 3 8 2" xfId="37092" xr:uid="{00000000-0005-0000-0000-000004800000}"/>
    <cellStyle name="常规 9 2 3 2 3 9" xfId="24804" xr:uid="{00000000-0005-0000-0000-000005800000}"/>
    <cellStyle name="常规 9 2 3 2 4" xfId="288" xr:uid="{00000000-0005-0000-0000-000006800000}"/>
    <cellStyle name="常规 9 2 3 2 4 2" xfId="480" xr:uid="{00000000-0005-0000-0000-000007800000}"/>
    <cellStyle name="常规 9 2 3 2 4 2 2" xfId="864" xr:uid="{00000000-0005-0000-0000-000008800000}"/>
    <cellStyle name="常规 9 2 3 2 4 2 2 2" xfId="1632" xr:uid="{00000000-0005-0000-0000-000009800000}"/>
    <cellStyle name="常规 9 2 3 2 4 2 2 2 2" xfId="3168" xr:uid="{00000000-0005-0000-0000-00000A800000}"/>
    <cellStyle name="常规 9 2 3 2 4 2 2 2 2 2" xfId="6244" xr:uid="{00000000-0005-0000-0000-00000B800000}"/>
    <cellStyle name="常规 9 2 3 2 4 2 2 2 2 2 2" xfId="12388" xr:uid="{00000000-0005-0000-0000-00000C800000}"/>
    <cellStyle name="常规 9 2 3 2 4 2 2 2 2 2 2 2" xfId="24676" xr:uid="{00000000-0005-0000-0000-00000D800000}"/>
    <cellStyle name="常规 9 2 3 2 4 2 2 2 2 2 2 2 2" xfId="49252" xr:uid="{00000000-0005-0000-0000-00000E800000}"/>
    <cellStyle name="常规 9 2 3 2 4 2 2 2 2 2 2 3" xfId="36964" xr:uid="{00000000-0005-0000-0000-00000F800000}"/>
    <cellStyle name="常规 9 2 3 2 4 2 2 2 2 2 3" xfId="18532" xr:uid="{00000000-0005-0000-0000-000010800000}"/>
    <cellStyle name="常规 9 2 3 2 4 2 2 2 2 2 3 2" xfId="43108" xr:uid="{00000000-0005-0000-0000-000011800000}"/>
    <cellStyle name="常规 9 2 3 2 4 2 2 2 2 2 4" xfId="30820" xr:uid="{00000000-0005-0000-0000-000012800000}"/>
    <cellStyle name="常规 9 2 3 2 4 2 2 2 2 3" xfId="9316" xr:uid="{00000000-0005-0000-0000-000013800000}"/>
    <cellStyle name="常规 9 2 3 2 4 2 2 2 2 3 2" xfId="21604" xr:uid="{00000000-0005-0000-0000-000014800000}"/>
    <cellStyle name="常规 9 2 3 2 4 2 2 2 2 3 2 2" xfId="46180" xr:uid="{00000000-0005-0000-0000-000015800000}"/>
    <cellStyle name="常规 9 2 3 2 4 2 2 2 2 3 3" xfId="33892" xr:uid="{00000000-0005-0000-0000-000016800000}"/>
    <cellStyle name="常规 9 2 3 2 4 2 2 2 2 4" xfId="15460" xr:uid="{00000000-0005-0000-0000-000017800000}"/>
    <cellStyle name="常规 9 2 3 2 4 2 2 2 2 4 2" xfId="40036" xr:uid="{00000000-0005-0000-0000-000018800000}"/>
    <cellStyle name="常规 9 2 3 2 4 2 2 2 2 5" xfId="27748" xr:uid="{00000000-0005-0000-0000-000019800000}"/>
    <cellStyle name="常规 9 2 3 2 4 2 2 2 3" xfId="4708" xr:uid="{00000000-0005-0000-0000-00001A800000}"/>
    <cellStyle name="常规 9 2 3 2 4 2 2 2 3 2" xfId="10852" xr:uid="{00000000-0005-0000-0000-00001B800000}"/>
    <cellStyle name="常规 9 2 3 2 4 2 2 2 3 2 2" xfId="23140" xr:uid="{00000000-0005-0000-0000-00001C800000}"/>
    <cellStyle name="常规 9 2 3 2 4 2 2 2 3 2 2 2" xfId="47716" xr:uid="{00000000-0005-0000-0000-00001D800000}"/>
    <cellStyle name="常规 9 2 3 2 4 2 2 2 3 2 3" xfId="35428" xr:uid="{00000000-0005-0000-0000-00001E800000}"/>
    <cellStyle name="常规 9 2 3 2 4 2 2 2 3 3" xfId="16996" xr:uid="{00000000-0005-0000-0000-00001F800000}"/>
    <cellStyle name="常规 9 2 3 2 4 2 2 2 3 3 2" xfId="41572" xr:uid="{00000000-0005-0000-0000-000020800000}"/>
    <cellStyle name="常规 9 2 3 2 4 2 2 2 3 4" xfId="29284" xr:uid="{00000000-0005-0000-0000-000021800000}"/>
    <cellStyle name="常规 9 2 3 2 4 2 2 2 4" xfId="7780" xr:uid="{00000000-0005-0000-0000-000022800000}"/>
    <cellStyle name="常规 9 2 3 2 4 2 2 2 4 2" xfId="20068" xr:uid="{00000000-0005-0000-0000-000023800000}"/>
    <cellStyle name="常规 9 2 3 2 4 2 2 2 4 2 2" xfId="44644" xr:uid="{00000000-0005-0000-0000-000024800000}"/>
    <cellStyle name="常规 9 2 3 2 4 2 2 2 4 3" xfId="32356" xr:uid="{00000000-0005-0000-0000-000025800000}"/>
    <cellStyle name="常规 9 2 3 2 4 2 2 2 5" xfId="13924" xr:uid="{00000000-0005-0000-0000-000026800000}"/>
    <cellStyle name="常规 9 2 3 2 4 2 2 2 5 2" xfId="38500" xr:uid="{00000000-0005-0000-0000-000027800000}"/>
    <cellStyle name="常规 9 2 3 2 4 2 2 2 6" xfId="26212" xr:uid="{00000000-0005-0000-0000-000028800000}"/>
    <cellStyle name="常规 9 2 3 2 4 2 2 3" xfId="2400" xr:uid="{00000000-0005-0000-0000-000029800000}"/>
    <cellStyle name="常规 9 2 3 2 4 2 2 3 2" xfId="5476" xr:uid="{00000000-0005-0000-0000-00002A800000}"/>
    <cellStyle name="常规 9 2 3 2 4 2 2 3 2 2" xfId="11620" xr:uid="{00000000-0005-0000-0000-00002B800000}"/>
    <cellStyle name="常规 9 2 3 2 4 2 2 3 2 2 2" xfId="23908" xr:uid="{00000000-0005-0000-0000-00002C800000}"/>
    <cellStyle name="常规 9 2 3 2 4 2 2 3 2 2 2 2" xfId="48484" xr:uid="{00000000-0005-0000-0000-00002D800000}"/>
    <cellStyle name="常规 9 2 3 2 4 2 2 3 2 2 3" xfId="36196" xr:uid="{00000000-0005-0000-0000-00002E800000}"/>
    <cellStyle name="常规 9 2 3 2 4 2 2 3 2 3" xfId="17764" xr:uid="{00000000-0005-0000-0000-00002F800000}"/>
    <cellStyle name="常规 9 2 3 2 4 2 2 3 2 3 2" xfId="42340" xr:uid="{00000000-0005-0000-0000-000030800000}"/>
    <cellStyle name="常规 9 2 3 2 4 2 2 3 2 4" xfId="30052" xr:uid="{00000000-0005-0000-0000-000031800000}"/>
    <cellStyle name="常规 9 2 3 2 4 2 2 3 3" xfId="8548" xr:uid="{00000000-0005-0000-0000-000032800000}"/>
    <cellStyle name="常规 9 2 3 2 4 2 2 3 3 2" xfId="20836" xr:uid="{00000000-0005-0000-0000-000033800000}"/>
    <cellStyle name="常规 9 2 3 2 4 2 2 3 3 2 2" xfId="45412" xr:uid="{00000000-0005-0000-0000-000034800000}"/>
    <cellStyle name="常规 9 2 3 2 4 2 2 3 3 3" xfId="33124" xr:uid="{00000000-0005-0000-0000-000035800000}"/>
    <cellStyle name="常规 9 2 3 2 4 2 2 3 4" xfId="14692" xr:uid="{00000000-0005-0000-0000-000036800000}"/>
    <cellStyle name="常规 9 2 3 2 4 2 2 3 4 2" xfId="39268" xr:uid="{00000000-0005-0000-0000-000037800000}"/>
    <cellStyle name="常规 9 2 3 2 4 2 2 3 5" xfId="26980" xr:uid="{00000000-0005-0000-0000-000038800000}"/>
    <cellStyle name="常规 9 2 3 2 4 2 2 4" xfId="3940" xr:uid="{00000000-0005-0000-0000-000039800000}"/>
    <cellStyle name="常规 9 2 3 2 4 2 2 4 2" xfId="10084" xr:uid="{00000000-0005-0000-0000-00003A800000}"/>
    <cellStyle name="常规 9 2 3 2 4 2 2 4 2 2" xfId="22372" xr:uid="{00000000-0005-0000-0000-00003B800000}"/>
    <cellStyle name="常规 9 2 3 2 4 2 2 4 2 2 2" xfId="46948" xr:uid="{00000000-0005-0000-0000-00003C800000}"/>
    <cellStyle name="常规 9 2 3 2 4 2 2 4 2 3" xfId="34660" xr:uid="{00000000-0005-0000-0000-00003D800000}"/>
    <cellStyle name="常规 9 2 3 2 4 2 2 4 3" xfId="16228" xr:uid="{00000000-0005-0000-0000-00003E800000}"/>
    <cellStyle name="常规 9 2 3 2 4 2 2 4 3 2" xfId="40804" xr:uid="{00000000-0005-0000-0000-00003F800000}"/>
    <cellStyle name="常规 9 2 3 2 4 2 2 4 4" xfId="28516" xr:uid="{00000000-0005-0000-0000-000040800000}"/>
    <cellStyle name="常规 9 2 3 2 4 2 2 5" xfId="7012" xr:uid="{00000000-0005-0000-0000-000041800000}"/>
    <cellStyle name="常规 9 2 3 2 4 2 2 5 2" xfId="19300" xr:uid="{00000000-0005-0000-0000-000042800000}"/>
    <cellStyle name="常规 9 2 3 2 4 2 2 5 2 2" xfId="43876" xr:uid="{00000000-0005-0000-0000-000043800000}"/>
    <cellStyle name="常规 9 2 3 2 4 2 2 5 3" xfId="31588" xr:uid="{00000000-0005-0000-0000-000044800000}"/>
    <cellStyle name="常规 9 2 3 2 4 2 2 6" xfId="13156" xr:uid="{00000000-0005-0000-0000-000045800000}"/>
    <cellStyle name="常规 9 2 3 2 4 2 2 6 2" xfId="37732" xr:uid="{00000000-0005-0000-0000-000046800000}"/>
    <cellStyle name="常规 9 2 3 2 4 2 2 7" xfId="25444" xr:uid="{00000000-0005-0000-0000-000047800000}"/>
    <cellStyle name="常规 9 2 3 2 4 2 3" xfId="1248" xr:uid="{00000000-0005-0000-0000-000048800000}"/>
    <cellStyle name="常规 9 2 3 2 4 2 3 2" xfId="2784" xr:uid="{00000000-0005-0000-0000-000049800000}"/>
    <cellStyle name="常规 9 2 3 2 4 2 3 2 2" xfId="5860" xr:uid="{00000000-0005-0000-0000-00004A800000}"/>
    <cellStyle name="常规 9 2 3 2 4 2 3 2 2 2" xfId="12004" xr:uid="{00000000-0005-0000-0000-00004B800000}"/>
    <cellStyle name="常规 9 2 3 2 4 2 3 2 2 2 2" xfId="24292" xr:uid="{00000000-0005-0000-0000-00004C800000}"/>
    <cellStyle name="常规 9 2 3 2 4 2 3 2 2 2 2 2" xfId="48868" xr:uid="{00000000-0005-0000-0000-00004D800000}"/>
    <cellStyle name="常规 9 2 3 2 4 2 3 2 2 2 3" xfId="36580" xr:uid="{00000000-0005-0000-0000-00004E800000}"/>
    <cellStyle name="常规 9 2 3 2 4 2 3 2 2 3" xfId="18148" xr:uid="{00000000-0005-0000-0000-00004F800000}"/>
    <cellStyle name="常规 9 2 3 2 4 2 3 2 2 3 2" xfId="42724" xr:uid="{00000000-0005-0000-0000-000050800000}"/>
    <cellStyle name="常规 9 2 3 2 4 2 3 2 2 4" xfId="30436" xr:uid="{00000000-0005-0000-0000-000051800000}"/>
    <cellStyle name="常规 9 2 3 2 4 2 3 2 3" xfId="8932" xr:uid="{00000000-0005-0000-0000-000052800000}"/>
    <cellStyle name="常规 9 2 3 2 4 2 3 2 3 2" xfId="21220" xr:uid="{00000000-0005-0000-0000-000053800000}"/>
    <cellStyle name="常规 9 2 3 2 4 2 3 2 3 2 2" xfId="45796" xr:uid="{00000000-0005-0000-0000-000054800000}"/>
    <cellStyle name="常规 9 2 3 2 4 2 3 2 3 3" xfId="33508" xr:uid="{00000000-0005-0000-0000-000055800000}"/>
    <cellStyle name="常规 9 2 3 2 4 2 3 2 4" xfId="15076" xr:uid="{00000000-0005-0000-0000-000056800000}"/>
    <cellStyle name="常规 9 2 3 2 4 2 3 2 4 2" xfId="39652" xr:uid="{00000000-0005-0000-0000-000057800000}"/>
    <cellStyle name="常规 9 2 3 2 4 2 3 2 5" xfId="27364" xr:uid="{00000000-0005-0000-0000-000058800000}"/>
    <cellStyle name="常规 9 2 3 2 4 2 3 3" xfId="4324" xr:uid="{00000000-0005-0000-0000-000059800000}"/>
    <cellStyle name="常规 9 2 3 2 4 2 3 3 2" xfId="10468" xr:uid="{00000000-0005-0000-0000-00005A800000}"/>
    <cellStyle name="常规 9 2 3 2 4 2 3 3 2 2" xfId="22756" xr:uid="{00000000-0005-0000-0000-00005B800000}"/>
    <cellStyle name="常规 9 2 3 2 4 2 3 3 2 2 2" xfId="47332" xr:uid="{00000000-0005-0000-0000-00005C800000}"/>
    <cellStyle name="常规 9 2 3 2 4 2 3 3 2 3" xfId="35044" xr:uid="{00000000-0005-0000-0000-00005D800000}"/>
    <cellStyle name="常规 9 2 3 2 4 2 3 3 3" xfId="16612" xr:uid="{00000000-0005-0000-0000-00005E800000}"/>
    <cellStyle name="常规 9 2 3 2 4 2 3 3 3 2" xfId="41188" xr:uid="{00000000-0005-0000-0000-00005F800000}"/>
    <cellStyle name="常规 9 2 3 2 4 2 3 3 4" xfId="28900" xr:uid="{00000000-0005-0000-0000-000060800000}"/>
    <cellStyle name="常规 9 2 3 2 4 2 3 4" xfId="7396" xr:uid="{00000000-0005-0000-0000-000061800000}"/>
    <cellStyle name="常规 9 2 3 2 4 2 3 4 2" xfId="19684" xr:uid="{00000000-0005-0000-0000-000062800000}"/>
    <cellStyle name="常规 9 2 3 2 4 2 3 4 2 2" xfId="44260" xr:uid="{00000000-0005-0000-0000-000063800000}"/>
    <cellStyle name="常规 9 2 3 2 4 2 3 4 3" xfId="31972" xr:uid="{00000000-0005-0000-0000-000064800000}"/>
    <cellStyle name="常规 9 2 3 2 4 2 3 5" xfId="13540" xr:uid="{00000000-0005-0000-0000-000065800000}"/>
    <cellStyle name="常规 9 2 3 2 4 2 3 5 2" xfId="38116" xr:uid="{00000000-0005-0000-0000-000066800000}"/>
    <cellStyle name="常规 9 2 3 2 4 2 3 6" xfId="25828" xr:uid="{00000000-0005-0000-0000-000067800000}"/>
    <cellStyle name="常规 9 2 3 2 4 2 4" xfId="2016" xr:uid="{00000000-0005-0000-0000-000068800000}"/>
    <cellStyle name="常规 9 2 3 2 4 2 4 2" xfId="5092" xr:uid="{00000000-0005-0000-0000-000069800000}"/>
    <cellStyle name="常规 9 2 3 2 4 2 4 2 2" xfId="11236" xr:uid="{00000000-0005-0000-0000-00006A800000}"/>
    <cellStyle name="常规 9 2 3 2 4 2 4 2 2 2" xfId="23524" xr:uid="{00000000-0005-0000-0000-00006B800000}"/>
    <cellStyle name="常规 9 2 3 2 4 2 4 2 2 2 2" xfId="48100" xr:uid="{00000000-0005-0000-0000-00006C800000}"/>
    <cellStyle name="常规 9 2 3 2 4 2 4 2 2 3" xfId="35812" xr:uid="{00000000-0005-0000-0000-00006D800000}"/>
    <cellStyle name="常规 9 2 3 2 4 2 4 2 3" xfId="17380" xr:uid="{00000000-0005-0000-0000-00006E800000}"/>
    <cellStyle name="常规 9 2 3 2 4 2 4 2 3 2" xfId="41956" xr:uid="{00000000-0005-0000-0000-00006F800000}"/>
    <cellStyle name="常规 9 2 3 2 4 2 4 2 4" xfId="29668" xr:uid="{00000000-0005-0000-0000-000070800000}"/>
    <cellStyle name="常规 9 2 3 2 4 2 4 3" xfId="8164" xr:uid="{00000000-0005-0000-0000-000071800000}"/>
    <cellStyle name="常规 9 2 3 2 4 2 4 3 2" xfId="20452" xr:uid="{00000000-0005-0000-0000-000072800000}"/>
    <cellStyle name="常规 9 2 3 2 4 2 4 3 2 2" xfId="45028" xr:uid="{00000000-0005-0000-0000-000073800000}"/>
    <cellStyle name="常规 9 2 3 2 4 2 4 3 3" xfId="32740" xr:uid="{00000000-0005-0000-0000-000074800000}"/>
    <cellStyle name="常规 9 2 3 2 4 2 4 4" xfId="14308" xr:uid="{00000000-0005-0000-0000-000075800000}"/>
    <cellStyle name="常规 9 2 3 2 4 2 4 4 2" xfId="38884" xr:uid="{00000000-0005-0000-0000-000076800000}"/>
    <cellStyle name="常规 9 2 3 2 4 2 4 5" xfId="26596" xr:uid="{00000000-0005-0000-0000-000077800000}"/>
    <cellStyle name="常规 9 2 3 2 4 2 5" xfId="3556" xr:uid="{00000000-0005-0000-0000-000078800000}"/>
    <cellStyle name="常规 9 2 3 2 4 2 5 2" xfId="9700" xr:uid="{00000000-0005-0000-0000-000079800000}"/>
    <cellStyle name="常规 9 2 3 2 4 2 5 2 2" xfId="21988" xr:uid="{00000000-0005-0000-0000-00007A800000}"/>
    <cellStyle name="常规 9 2 3 2 4 2 5 2 2 2" xfId="46564" xr:uid="{00000000-0005-0000-0000-00007B800000}"/>
    <cellStyle name="常规 9 2 3 2 4 2 5 2 3" xfId="34276" xr:uid="{00000000-0005-0000-0000-00007C800000}"/>
    <cellStyle name="常规 9 2 3 2 4 2 5 3" xfId="15844" xr:uid="{00000000-0005-0000-0000-00007D800000}"/>
    <cellStyle name="常规 9 2 3 2 4 2 5 3 2" xfId="40420" xr:uid="{00000000-0005-0000-0000-00007E800000}"/>
    <cellStyle name="常规 9 2 3 2 4 2 5 4" xfId="28132" xr:uid="{00000000-0005-0000-0000-00007F800000}"/>
    <cellStyle name="常规 9 2 3 2 4 2 6" xfId="6628" xr:uid="{00000000-0005-0000-0000-000080800000}"/>
    <cellStyle name="常规 9 2 3 2 4 2 6 2" xfId="18916" xr:uid="{00000000-0005-0000-0000-000081800000}"/>
    <cellStyle name="常规 9 2 3 2 4 2 6 2 2" xfId="43492" xr:uid="{00000000-0005-0000-0000-000082800000}"/>
    <cellStyle name="常规 9 2 3 2 4 2 6 3" xfId="31204" xr:uid="{00000000-0005-0000-0000-000083800000}"/>
    <cellStyle name="常规 9 2 3 2 4 2 7" xfId="12772" xr:uid="{00000000-0005-0000-0000-000084800000}"/>
    <cellStyle name="常规 9 2 3 2 4 2 7 2" xfId="37348" xr:uid="{00000000-0005-0000-0000-000085800000}"/>
    <cellStyle name="常规 9 2 3 2 4 2 8" xfId="25060" xr:uid="{00000000-0005-0000-0000-000086800000}"/>
    <cellStyle name="常规 9 2 3 2 4 3" xfId="672" xr:uid="{00000000-0005-0000-0000-000087800000}"/>
    <cellStyle name="常规 9 2 3 2 4 3 2" xfId="1440" xr:uid="{00000000-0005-0000-0000-000088800000}"/>
    <cellStyle name="常规 9 2 3 2 4 3 2 2" xfId="2976" xr:uid="{00000000-0005-0000-0000-000089800000}"/>
    <cellStyle name="常规 9 2 3 2 4 3 2 2 2" xfId="6052" xr:uid="{00000000-0005-0000-0000-00008A800000}"/>
    <cellStyle name="常规 9 2 3 2 4 3 2 2 2 2" xfId="12196" xr:uid="{00000000-0005-0000-0000-00008B800000}"/>
    <cellStyle name="常规 9 2 3 2 4 3 2 2 2 2 2" xfId="24484" xr:uid="{00000000-0005-0000-0000-00008C800000}"/>
    <cellStyle name="常规 9 2 3 2 4 3 2 2 2 2 2 2" xfId="49060" xr:uid="{00000000-0005-0000-0000-00008D800000}"/>
    <cellStyle name="常规 9 2 3 2 4 3 2 2 2 2 3" xfId="36772" xr:uid="{00000000-0005-0000-0000-00008E800000}"/>
    <cellStyle name="常规 9 2 3 2 4 3 2 2 2 3" xfId="18340" xr:uid="{00000000-0005-0000-0000-00008F800000}"/>
    <cellStyle name="常规 9 2 3 2 4 3 2 2 2 3 2" xfId="42916" xr:uid="{00000000-0005-0000-0000-000090800000}"/>
    <cellStyle name="常规 9 2 3 2 4 3 2 2 2 4" xfId="30628" xr:uid="{00000000-0005-0000-0000-000091800000}"/>
    <cellStyle name="常规 9 2 3 2 4 3 2 2 3" xfId="9124" xr:uid="{00000000-0005-0000-0000-000092800000}"/>
    <cellStyle name="常规 9 2 3 2 4 3 2 2 3 2" xfId="21412" xr:uid="{00000000-0005-0000-0000-000093800000}"/>
    <cellStyle name="常规 9 2 3 2 4 3 2 2 3 2 2" xfId="45988" xr:uid="{00000000-0005-0000-0000-000094800000}"/>
    <cellStyle name="常规 9 2 3 2 4 3 2 2 3 3" xfId="33700" xr:uid="{00000000-0005-0000-0000-000095800000}"/>
    <cellStyle name="常规 9 2 3 2 4 3 2 2 4" xfId="15268" xr:uid="{00000000-0005-0000-0000-000096800000}"/>
    <cellStyle name="常规 9 2 3 2 4 3 2 2 4 2" xfId="39844" xr:uid="{00000000-0005-0000-0000-000097800000}"/>
    <cellStyle name="常规 9 2 3 2 4 3 2 2 5" xfId="27556" xr:uid="{00000000-0005-0000-0000-000098800000}"/>
    <cellStyle name="常规 9 2 3 2 4 3 2 3" xfId="4516" xr:uid="{00000000-0005-0000-0000-000099800000}"/>
    <cellStyle name="常规 9 2 3 2 4 3 2 3 2" xfId="10660" xr:uid="{00000000-0005-0000-0000-00009A800000}"/>
    <cellStyle name="常规 9 2 3 2 4 3 2 3 2 2" xfId="22948" xr:uid="{00000000-0005-0000-0000-00009B800000}"/>
    <cellStyle name="常规 9 2 3 2 4 3 2 3 2 2 2" xfId="47524" xr:uid="{00000000-0005-0000-0000-00009C800000}"/>
    <cellStyle name="常规 9 2 3 2 4 3 2 3 2 3" xfId="35236" xr:uid="{00000000-0005-0000-0000-00009D800000}"/>
    <cellStyle name="常规 9 2 3 2 4 3 2 3 3" xfId="16804" xr:uid="{00000000-0005-0000-0000-00009E800000}"/>
    <cellStyle name="常规 9 2 3 2 4 3 2 3 3 2" xfId="41380" xr:uid="{00000000-0005-0000-0000-00009F800000}"/>
    <cellStyle name="常规 9 2 3 2 4 3 2 3 4" xfId="29092" xr:uid="{00000000-0005-0000-0000-0000A0800000}"/>
    <cellStyle name="常规 9 2 3 2 4 3 2 4" xfId="7588" xr:uid="{00000000-0005-0000-0000-0000A1800000}"/>
    <cellStyle name="常规 9 2 3 2 4 3 2 4 2" xfId="19876" xr:uid="{00000000-0005-0000-0000-0000A2800000}"/>
    <cellStyle name="常规 9 2 3 2 4 3 2 4 2 2" xfId="44452" xr:uid="{00000000-0005-0000-0000-0000A3800000}"/>
    <cellStyle name="常规 9 2 3 2 4 3 2 4 3" xfId="32164" xr:uid="{00000000-0005-0000-0000-0000A4800000}"/>
    <cellStyle name="常规 9 2 3 2 4 3 2 5" xfId="13732" xr:uid="{00000000-0005-0000-0000-0000A5800000}"/>
    <cellStyle name="常规 9 2 3 2 4 3 2 5 2" xfId="38308" xr:uid="{00000000-0005-0000-0000-0000A6800000}"/>
    <cellStyle name="常规 9 2 3 2 4 3 2 6" xfId="26020" xr:uid="{00000000-0005-0000-0000-0000A7800000}"/>
    <cellStyle name="常规 9 2 3 2 4 3 3" xfId="2208" xr:uid="{00000000-0005-0000-0000-0000A8800000}"/>
    <cellStyle name="常规 9 2 3 2 4 3 3 2" xfId="5284" xr:uid="{00000000-0005-0000-0000-0000A9800000}"/>
    <cellStyle name="常规 9 2 3 2 4 3 3 2 2" xfId="11428" xr:uid="{00000000-0005-0000-0000-0000AA800000}"/>
    <cellStyle name="常规 9 2 3 2 4 3 3 2 2 2" xfId="23716" xr:uid="{00000000-0005-0000-0000-0000AB800000}"/>
    <cellStyle name="常规 9 2 3 2 4 3 3 2 2 2 2" xfId="48292" xr:uid="{00000000-0005-0000-0000-0000AC800000}"/>
    <cellStyle name="常规 9 2 3 2 4 3 3 2 2 3" xfId="36004" xr:uid="{00000000-0005-0000-0000-0000AD800000}"/>
    <cellStyle name="常规 9 2 3 2 4 3 3 2 3" xfId="17572" xr:uid="{00000000-0005-0000-0000-0000AE800000}"/>
    <cellStyle name="常规 9 2 3 2 4 3 3 2 3 2" xfId="42148" xr:uid="{00000000-0005-0000-0000-0000AF800000}"/>
    <cellStyle name="常规 9 2 3 2 4 3 3 2 4" xfId="29860" xr:uid="{00000000-0005-0000-0000-0000B0800000}"/>
    <cellStyle name="常规 9 2 3 2 4 3 3 3" xfId="8356" xr:uid="{00000000-0005-0000-0000-0000B1800000}"/>
    <cellStyle name="常规 9 2 3 2 4 3 3 3 2" xfId="20644" xr:uid="{00000000-0005-0000-0000-0000B2800000}"/>
    <cellStyle name="常规 9 2 3 2 4 3 3 3 2 2" xfId="45220" xr:uid="{00000000-0005-0000-0000-0000B3800000}"/>
    <cellStyle name="常规 9 2 3 2 4 3 3 3 3" xfId="32932" xr:uid="{00000000-0005-0000-0000-0000B4800000}"/>
    <cellStyle name="常规 9 2 3 2 4 3 3 4" xfId="14500" xr:uid="{00000000-0005-0000-0000-0000B5800000}"/>
    <cellStyle name="常规 9 2 3 2 4 3 3 4 2" xfId="39076" xr:uid="{00000000-0005-0000-0000-0000B6800000}"/>
    <cellStyle name="常规 9 2 3 2 4 3 3 5" xfId="26788" xr:uid="{00000000-0005-0000-0000-0000B7800000}"/>
    <cellStyle name="常规 9 2 3 2 4 3 4" xfId="3748" xr:uid="{00000000-0005-0000-0000-0000B8800000}"/>
    <cellStyle name="常规 9 2 3 2 4 3 4 2" xfId="9892" xr:uid="{00000000-0005-0000-0000-0000B9800000}"/>
    <cellStyle name="常规 9 2 3 2 4 3 4 2 2" xfId="22180" xr:uid="{00000000-0005-0000-0000-0000BA800000}"/>
    <cellStyle name="常规 9 2 3 2 4 3 4 2 2 2" xfId="46756" xr:uid="{00000000-0005-0000-0000-0000BB800000}"/>
    <cellStyle name="常规 9 2 3 2 4 3 4 2 3" xfId="34468" xr:uid="{00000000-0005-0000-0000-0000BC800000}"/>
    <cellStyle name="常规 9 2 3 2 4 3 4 3" xfId="16036" xr:uid="{00000000-0005-0000-0000-0000BD800000}"/>
    <cellStyle name="常规 9 2 3 2 4 3 4 3 2" xfId="40612" xr:uid="{00000000-0005-0000-0000-0000BE800000}"/>
    <cellStyle name="常规 9 2 3 2 4 3 4 4" xfId="28324" xr:uid="{00000000-0005-0000-0000-0000BF800000}"/>
    <cellStyle name="常规 9 2 3 2 4 3 5" xfId="6820" xr:uid="{00000000-0005-0000-0000-0000C0800000}"/>
    <cellStyle name="常规 9 2 3 2 4 3 5 2" xfId="19108" xr:uid="{00000000-0005-0000-0000-0000C1800000}"/>
    <cellStyle name="常规 9 2 3 2 4 3 5 2 2" xfId="43684" xr:uid="{00000000-0005-0000-0000-0000C2800000}"/>
    <cellStyle name="常规 9 2 3 2 4 3 5 3" xfId="31396" xr:uid="{00000000-0005-0000-0000-0000C3800000}"/>
    <cellStyle name="常规 9 2 3 2 4 3 6" xfId="12964" xr:uid="{00000000-0005-0000-0000-0000C4800000}"/>
    <cellStyle name="常规 9 2 3 2 4 3 6 2" xfId="37540" xr:uid="{00000000-0005-0000-0000-0000C5800000}"/>
    <cellStyle name="常规 9 2 3 2 4 3 7" xfId="25252" xr:uid="{00000000-0005-0000-0000-0000C6800000}"/>
    <cellStyle name="常规 9 2 3 2 4 4" xfId="1056" xr:uid="{00000000-0005-0000-0000-0000C7800000}"/>
    <cellStyle name="常规 9 2 3 2 4 4 2" xfId="2592" xr:uid="{00000000-0005-0000-0000-0000C8800000}"/>
    <cellStyle name="常规 9 2 3 2 4 4 2 2" xfId="5668" xr:uid="{00000000-0005-0000-0000-0000C9800000}"/>
    <cellStyle name="常规 9 2 3 2 4 4 2 2 2" xfId="11812" xr:uid="{00000000-0005-0000-0000-0000CA800000}"/>
    <cellStyle name="常规 9 2 3 2 4 4 2 2 2 2" xfId="24100" xr:uid="{00000000-0005-0000-0000-0000CB800000}"/>
    <cellStyle name="常规 9 2 3 2 4 4 2 2 2 2 2" xfId="48676" xr:uid="{00000000-0005-0000-0000-0000CC800000}"/>
    <cellStyle name="常规 9 2 3 2 4 4 2 2 2 3" xfId="36388" xr:uid="{00000000-0005-0000-0000-0000CD800000}"/>
    <cellStyle name="常规 9 2 3 2 4 4 2 2 3" xfId="17956" xr:uid="{00000000-0005-0000-0000-0000CE800000}"/>
    <cellStyle name="常规 9 2 3 2 4 4 2 2 3 2" xfId="42532" xr:uid="{00000000-0005-0000-0000-0000CF800000}"/>
    <cellStyle name="常规 9 2 3 2 4 4 2 2 4" xfId="30244" xr:uid="{00000000-0005-0000-0000-0000D0800000}"/>
    <cellStyle name="常规 9 2 3 2 4 4 2 3" xfId="8740" xr:uid="{00000000-0005-0000-0000-0000D1800000}"/>
    <cellStyle name="常规 9 2 3 2 4 4 2 3 2" xfId="21028" xr:uid="{00000000-0005-0000-0000-0000D2800000}"/>
    <cellStyle name="常规 9 2 3 2 4 4 2 3 2 2" xfId="45604" xr:uid="{00000000-0005-0000-0000-0000D3800000}"/>
    <cellStyle name="常规 9 2 3 2 4 4 2 3 3" xfId="33316" xr:uid="{00000000-0005-0000-0000-0000D4800000}"/>
    <cellStyle name="常规 9 2 3 2 4 4 2 4" xfId="14884" xr:uid="{00000000-0005-0000-0000-0000D5800000}"/>
    <cellStyle name="常规 9 2 3 2 4 4 2 4 2" xfId="39460" xr:uid="{00000000-0005-0000-0000-0000D6800000}"/>
    <cellStyle name="常规 9 2 3 2 4 4 2 5" xfId="27172" xr:uid="{00000000-0005-0000-0000-0000D7800000}"/>
    <cellStyle name="常规 9 2 3 2 4 4 3" xfId="4132" xr:uid="{00000000-0005-0000-0000-0000D8800000}"/>
    <cellStyle name="常规 9 2 3 2 4 4 3 2" xfId="10276" xr:uid="{00000000-0005-0000-0000-0000D9800000}"/>
    <cellStyle name="常规 9 2 3 2 4 4 3 2 2" xfId="22564" xr:uid="{00000000-0005-0000-0000-0000DA800000}"/>
    <cellStyle name="常规 9 2 3 2 4 4 3 2 2 2" xfId="47140" xr:uid="{00000000-0005-0000-0000-0000DB800000}"/>
    <cellStyle name="常规 9 2 3 2 4 4 3 2 3" xfId="34852" xr:uid="{00000000-0005-0000-0000-0000DC800000}"/>
    <cellStyle name="常规 9 2 3 2 4 4 3 3" xfId="16420" xr:uid="{00000000-0005-0000-0000-0000DD800000}"/>
    <cellStyle name="常规 9 2 3 2 4 4 3 3 2" xfId="40996" xr:uid="{00000000-0005-0000-0000-0000DE800000}"/>
    <cellStyle name="常规 9 2 3 2 4 4 3 4" xfId="28708" xr:uid="{00000000-0005-0000-0000-0000DF800000}"/>
    <cellStyle name="常规 9 2 3 2 4 4 4" xfId="7204" xr:uid="{00000000-0005-0000-0000-0000E0800000}"/>
    <cellStyle name="常规 9 2 3 2 4 4 4 2" xfId="19492" xr:uid="{00000000-0005-0000-0000-0000E1800000}"/>
    <cellStyle name="常规 9 2 3 2 4 4 4 2 2" xfId="44068" xr:uid="{00000000-0005-0000-0000-0000E2800000}"/>
    <cellStyle name="常规 9 2 3 2 4 4 4 3" xfId="31780" xr:uid="{00000000-0005-0000-0000-0000E3800000}"/>
    <cellStyle name="常规 9 2 3 2 4 4 5" xfId="13348" xr:uid="{00000000-0005-0000-0000-0000E4800000}"/>
    <cellStyle name="常规 9 2 3 2 4 4 5 2" xfId="37924" xr:uid="{00000000-0005-0000-0000-0000E5800000}"/>
    <cellStyle name="常规 9 2 3 2 4 4 6" xfId="25636" xr:uid="{00000000-0005-0000-0000-0000E6800000}"/>
    <cellStyle name="常规 9 2 3 2 4 5" xfId="1824" xr:uid="{00000000-0005-0000-0000-0000E7800000}"/>
    <cellStyle name="常规 9 2 3 2 4 5 2" xfId="4900" xr:uid="{00000000-0005-0000-0000-0000E8800000}"/>
    <cellStyle name="常规 9 2 3 2 4 5 2 2" xfId="11044" xr:uid="{00000000-0005-0000-0000-0000E9800000}"/>
    <cellStyle name="常规 9 2 3 2 4 5 2 2 2" xfId="23332" xr:uid="{00000000-0005-0000-0000-0000EA800000}"/>
    <cellStyle name="常规 9 2 3 2 4 5 2 2 2 2" xfId="47908" xr:uid="{00000000-0005-0000-0000-0000EB800000}"/>
    <cellStyle name="常规 9 2 3 2 4 5 2 2 3" xfId="35620" xr:uid="{00000000-0005-0000-0000-0000EC800000}"/>
    <cellStyle name="常规 9 2 3 2 4 5 2 3" xfId="17188" xr:uid="{00000000-0005-0000-0000-0000ED800000}"/>
    <cellStyle name="常规 9 2 3 2 4 5 2 3 2" xfId="41764" xr:uid="{00000000-0005-0000-0000-0000EE800000}"/>
    <cellStyle name="常规 9 2 3 2 4 5 2 4" xfId="29476" xr:uid="{00000000-0005-0000-0000-0000EF800000}"/>
    <cellStyle name="常规 9 2 3 2 4 5 3" xfId="7972" xr:uid="{00000000-0005-0000-0000-0000F0800000}"/>
    <cellStyle name="常规 9 2 3 2 4 5 3 2" xfId="20260" xr:uid="{00000000-0005-0000-0000-0000F1800000}"/>
    <cellStyle name="常规 9 2 3 2 4 5 3 2 2" xfId="44836" xr:uid="{00000000-0005-0000-0000-0000F2800000}"/>
    <cellStyle name="常规 9 2 3 2 4 5 3 3" xfId="32548" xr:uid="{00000000-0005-0000-0000-0000F3800000}"/>
    <cellStyle name="常规 9 2 3 2 4 5 4" xfId="14116" xr:uid="{00000000-0005-0000-0000-0000F4800000}"/>
    <cellStyle name="常规 9 2 3 2 4 5 4 2" xfId="38692" xr:uid="{00000000-0005-0000-0000-0000F5800000}"/>
    <cellStyle name="常规 9 2 3 2 4 5 5" xfId="26404" xr:uid="{00000000-0005-0000-0000-0000F6800000}"/>
    <cellStyle name="常规 9 2 3 2 4 6" xfId="3364" xr:uid="{00000000-0005-0000-0000-0000F7800000}"/>
    <cellStyle name="常规 9 2 3 2 4 6 2" xfId="9508" xr:uid="{00000000-0005-0000-0000-0000F8800000}"/>
    <cellStyle name="常规 9 2 3 2 4 6 2 2" xfId="21796" xr:uid="{00000000-0005-0000-0000-0000F9800000}"/>
    <cellStyle name="常规 9 2 3 2 4 6 2 2 2" xfId="46372" xr:uid="{00000000-0005-0000-0000-0000FA800000}"/>
    <cellStyle name="常规 9 2 3 2 4 6 2 3" xfId="34084" xr:uid="{00000000-0005-0000-0000-0000FB800000}"/>
    <cellStyle name="常规 9 2 3 2 4 6 3" xfId="15652" xr:uid="{00000000-0005-0000-0000-0000FC800000}"/>
    <cellStyle name="常规 9 2 3 2 4 6 3 2" xfId="40228" xr:uid="{00000000-0005-0000-0000-0000FD800000}"/>
    <cellStyle name="常规 9 2 3 2 4 6 4" xfId="27940" xr:uid="{00000000-0005-0000-0000-0000FE800000}"/>
    <cellStyle name="常规 9 2 3 2 4 7" xfId="6436" xr:uid="{00000000-0005-0000-0000-0000FF800000}"/>
    <cellStyle name="常规 9 2 3 2 4 7 2" xfId="18724" xr:uid="{00000000-0005-0000-0000-000000810000}"/>
    <cellStyle name="常规 9 2 3 2 4 7 2 2" xfId="43300" xr:uid="{00000000-0005-0000-0000-000001810000}"/>
    <cellStyle name="常规 9 2 3 2 4 7 3" xfId="31012" xr:uid="{00000000-0005-0000-0000-000002810000}"/>
    <cellStyle name="常规 9 2 3 2 4 8" xfId="12580" xr:uid="{00000000-0005-0000-0000-000003810000}"/>
    <cellStyle name="常规 9 2 3 2 4 8 2" xfId="37156" xr:uid="{00000000-0005-0000-0000-000004810000}"/>
    <cellStyle name="常规 9 2 3 2 4 9" xfId="24868" xr:uid="{00000000-0005-0000-0000-000005810000}"/>
    <cellStyle name="常规 9 2 3 2 5" xfId="352" xr:uid="{00000000-0005-0000-0000-000006810000}"/>
    <cellStyle name="常规 9 2 3 2 5 2" xfId="736" xr:uid="{00000000-0005-0000-0000-000007810000}"/>
    <cellStyle name="常规 9 2 3 2 5 2 2" xfId="1504" xr:uid="{00000000-0005-0000-0000-000008810000}"/>
    <cellStyle name="常规 9 2 3 2 5 2 2 2" xfId="3040" xr:uid="{00000000-0005-0000-0000-000009810000}"/>
    <cellStyle name="常规 9 2 3 2 5 2 2 2 2" xfId="6116" xr:uid="{00000000-0005-0000-0000-00000A810000}"/>
    <cellStyle name="常规 9 2 3 2 5 2 2 2 2 2" xfId="12260" xr:uid="{00000000-0005-0000-0000-00000B810000}"/>
    <cellStyle name="常规 9 2 3 2 5 2 2 2 2 2 2" xfId="24548" xr:uid="{00000000-0005-0000-0000-00000C810000}"/>
    <cellStyle name="常规 9 2 3 2 5 2 2 2 2 2 2 2" xfId="49124" xr:uid="{00000000-0005-0000-0000-00000D810000}"/>
    <cellStyle name="常规 9 2 3 2 5 2 2 2 2 2 3" xfId="36836" xr:uid="{00000000-0005-0000-0000-00000E810000}"/>
    <cellStyle name="常规 9 2 3 2 5 2 2 2 2 3" xfId="18404" xr:uid="{00000000-0005-0000-0000-00000F810000}"/>
    <cellStyle name="常规 9 2 3 2 5 2 2 2 2 3 2" xfId="42980" xr:uid="{00000000-0005-0000-0000-000010810000}"/>
    <cellStyle name="常规 9 2 3 2 5 2 2 2 2 4" xfId="30692" xr:uid="{00000000-0005-0000-0000-000011810000}"/>
    <cellStyle name="常规 9 2 3 2 5 2 2 2 3" xfId="9188" xr:uid="{00000000-0005-0000-0000-000012810000}"/>
    <cellStyle name="常规 9 2 3 2 5 2 2 2 3 2" xfId="21476" xr:uid="{00000000-0005-0000-0000-000013810000}"/>
    <cellStyle name="常规 9 2 3 2 5 2 2 2 3 2 2" xfId="46052" xr:uid="{00000000-0005-0000-0000-000014810000}"/>
    <cellStyle name="常规 9 2 3 2 5 2 2 2 3 3" xfId="33764" xr:uid="{00000000-0005-0000-0000-000015810000}"/>
    <cellStyle name="常规 9 2 3 2 5 2 2 2 4" xfId="15332" xr:uid="{00000000-0005-0000-0000-000016810000}"/>
    <cellStyle name="常规 9 2 3 2 5 2 2 2 4 2" xfId="39908" xr:uid="{00000000-0005-0000-0000-000017810000}"/>
    <cellStyle name="常规 9 2 3 2 5 2 2 2 5" xfId="27620" xr:uid="{00000000-0005-0000-0000-000018810000}"/>
    <cellStyle name="常规 9 2 3 2 5 2 2 3" xfId="4580" xr:uid="{00000000-0005-0000-0000-000019810000}"/>
    <cellStyle name="常规 9 2 3 2 5 2 2 3 2" xfId="10724" xr:uid="{00000000-0005-0000-0000-00001A810000}"/>
    <cellStyle name="常规 9 2 3 2 5 2 2 3 2 2" xfId="23012" xr:uid="{00000000-0005-0000-0000-00001B810000}"/>
    <cellStyle name="常规 9 2 3 2 5 2 2 3 2 2 2" xfId="47588" xr:uid="{00000000-0005-0000-0000-00001C810000}"/>
    <cellStyle name="常规 9 2 3 2 5 2 2 3 2 3" xfId="35300" xr:uid="{00000000-0005-0000-0000-00001D810000}"/>
    <cellStyle name="常规 9 2 3 2 5 2 2 3 3" xfId="16868" xr:uid="{00000000-0005-0000-0000-00001E810000}"/>
    <cellStyle name="常规 9 2 3 2 5 2 2 3 3 2" xfId="41444" xr:uid="{00000000-0005-0000-0000-00001F810000}"/>
    <cellStyle name="常规 9 2 3 2 5 2 2 3 4" xfId="29156" xr:uid="{00000000-0005-0000-0000-000020810000}"/>
    <cellStyle name="常规 9 2 3 2 5 2 2 4" xfId="7652" xr:uid="{00000000-0005-0000-0000-000021810000}"/>
    <cellStyle name="常规 9 2 3 2 5 2 2 4 2" xfId="19940" xr:uid="{00000000-0005-0000-0000-000022810000}"/>
    <cellStyle name="常规 9 2 3 2 5 2 2 4 2 2" xfId="44516" xr:uid="{00000000-0005-0000-0000-000023810000}"/>
    <cellStyle name="常规 9 2 3 2 5 2 2 4 3" xfId="32228" xr:uid="{00000000-0005-0000-0000-000024810000}"/>
    <cellStyle name="常规 9 2 3 2 5 2 2 5" xfId="13796" xr:uid="{00000000-0005-0000-0000-000025810000}"/>
    <cellStyle name="常规 9 2 3 2 5 2 2 5 2" xfId="38372" xr:uid="{00000000-0005-0000-0000-000026810000}"/>
    <cellStyle name="常规 9 2 3 2 5 2 2 6" xfId="26084" xr:uid="{00000000-0005-0000-0000-000027810000}"/>
    <cellStyle name="常规 9 2 3 2 5 2 3" xfId="2272" xr:uid="{00000000-0005-0000-0000-000028810000}"/>
    <cellStyle name="常规 9 2 3 2 5 2 3 2" xfId="5348" xr:uid="{00000000-0005-0000-0000-000029810000}"/>
    <cellStyle name="常规 9 2 3 2 5 2 3 2 2" xfId="11492" xr:uid="{00000000-0005-0000-0000-00002A810000}"/>
    <cellStyle name="常规 9 2 3 2 5 2 3 2 2 2" xfId="23780" xr:uid="{00000000-0005-0000-0000-00002B810000}"/>
    <cellStyle name="常规 9 2 3 2 5 2 3 2 2 2 2" xfId="48356" xr:uid="{00000000-0005-0000-0000-00002C810000}"/>
    <cellStyle name="常规 9 2 3 2 5 2 3 2 2 3" xfId="36068" xr:uid="{00000000-0005-0000-0000-00002D810000}"/>
    <cellStyle name="常规 9 2 3 2 5 2 3 2 3" xfId="17636" xr:uid="{00000000-0005-0000-0000-00002E810000}"/>
    <cellStyle name="常规 9 2 3 2 5 2 3 2 3 2" xfId="42212" xr:uid="{00000000-0005-0000-0000-00002F810000}"/>
    <cellStyle name="常规 9 2 3 2 5 2 3 2 4" xfId="29924" xr:uid="{00000000-0005-0000-0000-000030810000}"/>
    <cellStyle name="常规 9 2 3 2 5 2 3 3" xfId="8420" xr:uid="{00000000-0005-0000-0000-000031810000}"/>
    <cellStyle name="常规 9 2 3 2 5 2 3 3 2" xfId="20708" xr:uid="{00000000-0005-0000-0000-000032810000}"/>
    <cellStyle name="常规 9 2 3 2 5 2 3 3 2 2" xfId="45284" xr:uid="{00000000-0005-0000-0000-000033810000}"/>
    <cellStyle name="常规 9 2 3 2 5 2 3 3 3" xfId="32996" xr:uid="{00000000-0005-0000-0000-000034810000}"/>
    <cellStyle name="常规 9 2 3 2 5 2 3 4" xfId="14564" xr:uid="{00000000-0005-0000-0000-000035810000}"/>
    <cellStyle name="常规 9 2 3 2 5 2 3 4 2" xfId="39140" xr:uid="{00000000-0005-0000-0000-000036810000}"/>
    <cellStyle name="常规 9 2 3 2 5 2 3 5" xfId="26852" xr:uid="{00000000-0005-0000-0000-000037810000}"/>
    <cellStyle name="常规 9 2 3 2 5 2 4" xfId="3812" xr:uid="{00000000-0005-0000-0000-000038810000}"/>
    <cellStyle name="常规 9 2 3 2 5 2 4 2" xfId="9956" xr:uid="{00000000-0005-0000-0000-000039810000}"/>
    <cellStyle name="常规 9 2 3 2 5 2 4 2 2" xfId="22244" xr:uid="{00000000-0005-0000-0000-00003A810000}"/>
    <cellStyle name="常规 9 2 3 2 5 2 4 2 2 2" xfId="46820" xr:uid="{00000000-0005-0000-0000-00003B810000}"/>
    <cellStyle name="常规 9 2 3 2 5 2 4 2 3" xfId="34532" xr:uid="{00000000-0005-0000-0000-00003C810000}"/>
    <cellStyle name="常规 9 2 3 2 5 2 4 3" xfId="16100" xr:uid="{00000000-0005-0000-0000-00003D810000}"/>
    <cellStyle name="常规 9 2 3 2 5 2 4 3 2" xfId="40676" xr:uid="{00000000-0005-0000-0000-00003E810000}"/>
    <cellStyle name="常规 9 2 3 2 5 2 4 4" xfId="28388" xr:uid="{00000000-0005-0000-0000-00003F810000}"/>
    <cellStyle name="常规 9 2 3 2 5 2 5" xfId="6884" xr:uid="{00000000-0005-0000-0000-000040810000}"/>
    <cellStyle name="常规 9 2 3 2 5 2 5 2" xfId="19172" xr:uid="{00000000-0005-0000-0000-000041810000}"/>
    <cellStyle name="常规 9 2 3 2 5 2 5 2 2" xfId="43748" xr:uid="{00000000-0005-0000-0000-000042810000}"/>
    <cellStyle name="常规 9 2 3 2 5 2 5 3" xfId="31460" xr:uid="{00000000-0005-0000-0000-000043810000}"/>
    <cellStyle name="常规 9 2 3 2 5 2 6" xfId="13028" xr:uid="{00000000-0005-0000-0000-000044810000}"/>
    <cellStyle name="常规 9 2 3 2 5 2 6 2" xfId="37604" xr:uid="{00000000-0005-0000-0000-000045810000}"/>
    <cellStyle name="常规 9 2 3 2 5 2 7" xfId="25316" xr:uid="{00000000-0005-0000-0000-000046810000}"/>
    <cellStyle name="常规 9 2 3 2 5 3" xfId="1120" xr:uid="{00000000-0005-0000-0000-000047810000}"/>
    <cellStyle name="常规 9 2 3 2 5 3 2" xfId="2656" xr:uid="{00000000-0005-0000-0000-000048810000}"/>
    <cellStyle name="常规 9 2 3 2 5 3 2 2" xfId="5732" xr:uid="{00000000-0005-0000-0000-000049810000}"/>
    <cellStyle name="常规 9 2 3 2 5 3 2 2 2" xfId="11876" xr:uid="{00000000-0005-0000-0000-00004A810000}"/>
    <cellStyle name="常规 9 2 3 2 5 3 2 2 2 2" xfId="24164" xr:uid="{00000000-0005-0000-0000-00004B810000}"/>
    <cellStyle name="常规 9 2 3 2 5 3 2 2 2 2 2" xfId="48740" xr:uid="{00000000-0005-0000-0000-00004C810000}"/>
    <cellStyle name="常规 9 2 3 2 5 3 2 2 2 3" xfId="36452" xr:uid="{00000000-0005-0000-0000-00004D810000}"/>
    <cellStyle name="常规 9 2 3 2 5 3 2 2 3" xfId="18020" xr:uid="{00000000-0005-0000-0000-00004E810000}"/>
    <cellStyle name="常规 9 2 3 2 5 3 2 2 3 2" xfId="42596" xr:uid="{00000000-0005-0000-0000-00004F810000}"/>
    <cellStyle name="常规 9 2 3 2 5 3 2 2 4" xfId="30308" xr:uid="{00000000-0005-0000-0000-000050810000}"/>
    <cellStyle name="常规 9 2 3 2 5 3 2 3" xfId="8804" xr:uid="{00000000-0005-0000-0000-000051810000}"/>
    <cellStyle name="常规 9 2 3 2 5 3 2 3 2" xfId="21092" xr:uid="{00000000-0005-0000-0000-000052810000}"/>
    <cellStyle name="常规 9 2 3 2 5 3 2 3 2 2" xfId="45668" xr:uid="{00000000-0005-0000-0000-000053810000}"/>
    <cellStyle name="常规 9 2 3 2 5 3 2 3 3" xfId="33380" xr:uid="{00000000-0005-0000-0000-000054810000}"/>
    <cellStyle name="常规 9 2 3 2 5 3 2 4" xfId="14948" xr:uid="{00000000-0005-0000-0000-000055810000}"/>
    <cellStyle name="常规 9 2 3 2 5 3 2 4 2" xfId="39524" xr:uid="{00000000-0005-0000-0000-000056810000}"/>
    <cellStyle name="常规 9 2 3 2 5 3 2 5" xfId="27236" xr:uid="{00000000-0005-0000-0000-000057810000}"/>
    <cellStyle name="常规 9 2 3 2 5 3 3" xfId="4196" xr:uid="{00000000-0005-0000-0000-000058810000}"/>
    <cellStyle name="常规 9 2 3 2 5 3 3 2" xfId="10340" xr:uid="{00000000-0005-0000-0000-000059810000}"/>
    <cellStyle name="常规 9 2 3 2 5 3 3 2 2" xfId="22628" xr:uid="{00000000-0005-0000-0000-00005A810000}"/>
    <cellStyle name="常规 9 2 3 2 5 3 3 2 2 2" xfId="47204" xr:uid="{00000000-0005-0000-0000-00005B810000}"/>
    <cellStyle name="常规 9 2 3 2 5 3 3 2 3" xfId="34916" xr:uid="{00000000-0005-0000-0000-00005C810000}"/>
    <cellStyle name="常规 9 2 3 2 5 3 3 3" xfId="16484" xr:uid="{00000000-0005-0000-0000-00005D810000}"/>
    <cellStyle name="常规 9 2 3 2 5 3 3 3 2" xfId="41060" xr:uid="{00000000-0005-0000-0000-00005E810000}"/>
    <cellStyle name="常规 9 2 3 2 5 3 3 4" xfId="28772" xr:uid="{00000000-0005-0000-0000-00005F810000}"/>
    <cellStyle name="常规 9 2 3 2 5 3 4" xfId="7268" xr:uid="{00000000-0005-0000-0000-000060810000}"/>
    <cellStyle name="常规 9 2 3 2 5 3 4 2" xfId="19556" xr:uid="{00000000-0005-0000-0000-000061810000}"/>
    <cellStyle name="常规 9 2 3 2 5 3 4 2 2" xfId="44132" xr:uid="{00000000-0005-0000-0000-000062810000}"/>
    <cellStyle name="常规 9 2 3 2 5 3 4 3" xfId="31844" xr:uid="{00000000-0005-0000-0000-000063810000}"/>
    <cellStyle name="常规 9 2 3 2 5 3 5" xfId="13412" xr:uid="{00000000-0005-0000-0000-000064810000}"/>
    <cellStyle name="常规 9 2 3 2 5 3 5 2" xfId="37988" xr:uid="{00000000-0005-0000-0000-000065810000}"/>
    <cellStyle name="常规 9 2 3 2 5 3 6" xfId="25700" xr:uid="{00000000-0005-0000-0000-000066810000}"/>
    <cellStyle name="常规 9 2 3 2 5 4" xfId="1888" xr:uid="{00000000-0005-0000-0000-000067810000}"/>
    <cellStyle name="常规 9 2 3 2 5 4 2" xfId="4964" xr:uid="{00000000-0005-0000-0000-000068810000}"/>
    <cellStyle name="常规 9 2 3 2 5 4 2 2" xfId="11108" xr:uid="{00000000-0005-0000-0000-000069810000}"/>
    <cellStyle name="常规 9 2 3 2 5 4 2 2 2" xfId="23396" xr:uid="{00000000-0005-0000-0000-00006A810000}"/>
    <cellStyle name="常规 9 2 3 2 5 4 2 2 2 2" xfId="47972" xr:uid="{00000000-0005-0000-0000-00006B810000}"/>
    <cellStyle name="常规 9 2 3 2 5 4 2 2 3" xfId="35684" xr:uid="{00000000-0005-0000-0000-00006C810000}"/>
    <cellStyle name="常规 9 2 3 2 5 4 2 3" xfId="17252" xr:uid="{00000000-0005-0000-0000-00006D810000}"/>
    <cellStyle name="常规 9 2 3 2 5 4 2 3 2" xfId="41828" xr:uid="{00000000-0005-0000-0000-00006E810000}"/>
    <cellStyle name="常规 9 2 3 2 5 4 2 4" xfId="29540" xr:uid="{00000000-0005-0000-0000-00006F810000}"/>
    <cellStyle name="常规 9 2 3 2 5 4 3" xfId="8036" xr:uid="{00000000-0005-0000-0000-000070810000}"/>
    <cellStyle name="常规 9 2 3 2 5 4 3 2" xfId="20324" xr:uid="{00000000-0005-0000-0000-000071810000}"/>
    <cellStyle name="常规 9 2 3 2 5 4 3 2 2" xfId="44900" xr:uid="{00000000-0005-0000-0000-000072810000}"/>
    <cellStyle name="常规 9 2 3 2 5 4 3 3" xfId="32612" xr:uid="{00000000-0005-0000-0000-000073810000}"/>
    <cellStyle name="常规 9 2 3 2 5 4 4" xfId="14180" xr:uid="{00000000-0005-0000-0000-000074810000}"/>
    <cellStyle name="常规 9 2 3 2 5 4 4 2" xfId="38756" xr:uid="{00000000-0005-0000-0000-000075810000}"/>
    <cellStyle name="常规 9 2 3 2 5 4 5" xfId="26468" xr:uid="{00000000-0005-0000-0000-000076810000}"/>
    <cellStyle name="常规 9 2 3 2 5 5" xfId="3428" xr:uid="{00000000-0005-0000-0000-000077810000}"/>
    <cellStyle name="常规 9 2 3 2 5 5 2" xfId="9572" xr:uid="{00000000-0005-0000-0000-000078810000}"/>
    <cellStyle name="常规 9 2 3 2 5 5 2 2" xfId="21860" xr:uid="{00000000-0005-0000-0000-000079810000}"/>
    <cellStyle name="常规 9 2 3 2 5 5 2 2 2" xfId="46436" xr:uid="{00000000-0005-0000-0000-00007A810000}"/>
    <cellStyle name="常规 9 2 3 2 5 5 2 3" xfId="34148" xr:uid="{00000000-0005-0000-0000-00007B810000}"/>
    <cellStyle name="常规 9 2 3 2 5 5 3" xfId="15716" xr:uid="{00000000-0005-0000-0000-00007C810000}"/>
    <cellStyle name="常规 9 2 3 2 5 5 3 2" xfId="40292" xr:uid="{00000000-0005-0000-0000-00007D810000}"/>
    <cellStyle name="常规 9 2 3 2 5 5 4" xfId="28004" xr:uid="{00000000-0005-0000-0000-00007E810000}"/>
    <cellStyle name="常规 9 2 3 2 5 6" xfId="6500" xr:uid="{00000000-0005-0000-0000-00007F810000}"/>
    <cellStyle name="常规 9 2 3 2 5 6 2" xfId="18788" xr:uid="{00000000-0005-0000-0000-000080810000}"/>
    <cellStyle name="常规 9 2 3 2 5 6 2 2" xfId="43364" xr:uid="{00000000-0005-0000-0000-000081810000}"/>
    <cellStyle name="常规 9 2 3 2 5 6 3" xfId="31076" xr:uid="{00000000-0005-0000-0000-000082810000}"/>
    <cellStyle name="常规 9 2 3 2 5 7" xfId="12644" xr:uid="{00000000-0005-0000-0000-000083810000}"/>
    <cellStyle name="常规 9 2 3 2 5 7 2" xfId="37220" xr:uid="{00000000-0005-0000-0000-000084810000}"/>
    <cellStyle name="常规 9 2 3 2 5 8" xfId="24932" xr:uid="{00000000-0005-0000-0000-000085810000}"/>
    <cellStyle name="常规 9 2 3 2 6" xfId="544" xr:uid="{00000000-0005-0000-0000-000086810000}"/>
    <cellStyle name="常规 9 2 3 2 6 2" xfId="1312" xr:uid="{00000000-0005-0000-0000-000087810000}"/>
    <cellStyle name="常规 9 2 3 2 6 2 2" xfId="2848" xr:uid="{00000000-0005-0000-0000-000088810000}"/>
    <cellStyle name="常规 9 2 3 2 6 2 2 2" xfId="5924" xr:uid="{00000000-0005-0000-0000-000089810000}"/>
    <cellStyle name="常规 9 2 3 2 6 2 2 2 2" xfId="12068" xr:uid="{00000000-0005-0000-0000-00008A810000}"/>
    <cellStyle name="常规 9 2 3 2 6 2 2 2 2 2" xfId="24356" xr:uid="{00000000-0005-0000-0000-00008B810000}"/>
    <cellStyle name="常规 9 2 3 2 6 2 2 2 2 2 2" xfId="48932" xr:uid="{00000000-0005-0000-0000-00008C810000}"/>
    <cellStyle name="常规 9 2 3 2 6 2 2 2 2 3" xfId="36644" xr:uid="{00000000-0005-0000-0000-00008D810000}"/>
    <cellStyle name="常规 9 2 3 2 6 2 2 2 3" xfId="18212" xr:uid="{00000000-0005-0000-0000-00008E810000}"/>
    <cellStyle name="常规 9 2 3 2 6 2 2 2 3 2" xfId="42788" xr:uid="{00000000-0005-0000-0000-00008F810000}"/>
    <cellStyle name="常规 9 2 3 2 6 2 2 2 4" xfId="30500" xr:uid="{00000000-0005-0000-0000-000090810000}"/>
    <cellStyle name="常规 9 2 3 2 6 2 2 3" xfId="8996" xr:uid="{00000000-0005-0000-0000-000091810000}"/>
    <cellStyle name="常规 9 2 3 2 6 2 2 3 2" xfId="21284" xr:uid="{00000000-0005-0000-0000-000092810000}"/>
    <cellStyle name="常规 9 2 3 2 6 2 2 3 2 2" xfId="45860" xr:uid="{00000000-0005-0000-0000-000093810000}"/>
    <cellStyle name="常规 9 2 3 2 6 2 2 3 3" xfId="33572" xr:uid="{00000000-0005-0000-0000-000094810000}"/>
    <cellStyle name="常规 9 2 3 2 6 2 2 4" xfId="15140" xr:uid="{00000000-0005-0000-0000-000095810000}"/>
    <cellStyle name="常规 9 2 3 2 6 2 2 4 2" xfId="39716" xr:uid="{00000000-0005-0000-0000-000096810000}"/>
    <cellStyle name="常规 9 2 3 2 6 2 2 5" xfId="27428" xr:uid="{00000000-0005-0000-0000-000097810000}"/>
    <cellStyle name="常规 9 2 3 2 6 2 3" xfId="4388" xr:uid="{00000000-0005-0000-0000-000098810000}"/>
    <cellStyle name="常规 9 2 3 2 6 2 3 2" xfId="10532" xr:uid="{00000000-0005-0000-0000-000099810000}"/>
    <cellStyle name="常规 9 2 3 2 6 2 3 2 2" xfId="22820" xr:uid="{00000000-0005-0000-0000-00009A810000}"/>
    <cellStyle name="常规 9 2 3 2 6 2 3 2 2 2" xfId="47396" xr:uid="{00000000-0005-0000-0000-00009B810000}"/>
    <cellStyle name="常规 9 2 3 2 6 2 3 2 3" xfId="35108" xr:uid="{00000000-0005-0000-0000-00009C810000}"/>
    <cellStyle name="常规 9 2 3 2 6 2 3 3" xfId="16676" xr:uid="{00000000-0005-0000-0000-00009D810000}"/>
    <cellStyle name="常规 9 2 3 2 6 2 3 3 2" xfId="41252" xr:uid="{00000000-0005-0000-0000-00009E810000}"/>
    <cellStyle name="常规 9 2 3 2 6 2 3 4" xfId="28964" xr:uid="{00000000-0005-0000-0000-00009F810000}"/>
    <cellStyle name="常规 9 2 3 2 6 2 4" xfId="7460" xr:uid="{00000000-0005-0000-0000-0000A0810000}"/>
    <cellStyle name="常规 9 2 3 2 6 2 4 2" xfId="19748" xr:uid="{00000000-0005-0000-0000-0000A1810000}"/>
    <cellStyle name="常规 9 2 3 2 6 2 4 2 2" xfId="44324" xr:uid="{00000000-0005-0000-0000-0000A2810000}"/>
    <cellStyle name="常规 9 2 3 2 6 2 4 3" xfId="32036" xr:uid="{00000000-0005-0000-0000-0000A3810000}"/>
    <cellStyle name="常规 9 2 3 2 6 2 5" xfId="13604" xr:uid="{00000000-0005-0000-0000-0000A4810000}"/>
    <cellStyle name="常规 9 2 3 2 6 2 5 2" xfId="38180" xr:uid="{00000000-0005-0000-0000-0000A5810000}"/>
    <cellStyle name="常规 9 2 3 2 6 2 6" xfId="25892" xr:uid="{00000000-0005-0000-0000-0000A6810000}"/>
    <cellStyle name="常规 9 2 3 2 6 3" xfId="2080" xr:uid="{00000000-0005-0000-0000-0000A7810000}"/>
    <cellStyle name="常规 9 2 3 2 6 3 2" xfId="5156" xr:uid="{00000000-0005-0000-0000-0000A8810000}"/>
    <cellStyle name="常规 9 2 3 2 6 3 2 2" xfId="11300" xr:uid="{00000000-0005-0000-0000-0000A9810000}"/>
    <cellStyle name="常规 9 2 3 2 6 3 2 2 2" xfId="23588" xr:uid="{00000000-0005-0000-0000-0000AA810000}"/>
    <cellStyle name="常规 9 2 3 2 6 3 2 2 2 2" xfId="48164" xr:uid="{00000000-0005-0000-0000-0000AB810000}"/>
    <cellStyle name="常规 9 2 3 2 6 3 2 2 3" xfId="35876" xr:uid="{00000000-0005-0000-0000-0000AC810000}"/>
    <cellStyle name="常规 9 2 3 2 6 3 2 3" xfId="17444" xr:uid="{00000000-0005-0000-0000-0000AD810000}"/>
    <cellStyle name="常规 9 2 3 2 6 3 2 3 2" xfId="42020" xr:uid="{00000000-0005-0000-0000-0000AE810000}"/>
    <cellStyle name="常规 9 2 3 2 6 3 2 4" xfId="29732" xr:uid="{00000000-0005-0000-0000-0000AF810000}"/>
    <cellStyle name="常规 9 2 3 2 6 3 3" xfId="8228" xr:uid="{00000000-0005-0000-0000-0000B0810000}"/>
    <cellStyle name="常规 9 2 3 2 6 3 3 2" xfId="20516" xr:uid="{00000000-0005-0000-0000-0000B1810000}"/>
    <cellStyle name="常规 9 2 3 2 6 3 3 2 2" xfId="45092" xr:uid="{00000000-0005-0000-0000-0000B2810000}"/>
    <cellStyle name="常规 9 2 3 2 6 3 3 3" xfId="32804" xr:uid="{00000000-0005-0000-0000-0000B3810000}"/>
    <cellStyle name="常规 9 2 3 2 6 3 4" xfId="14372" xr:uid="{00000000-0005-0000-0000-0000B4810000}"/>
    <cellStyle name="常规 9 2 3 2 6 3 4 2" xfId="38948" xr:uid="{00000000-0005-0000-0000-0000B5810000}"/>
    <cellStyle name="常规 9 2 3 2 6 3 5" xfId="26660" xr:uid="{00000000-0005-0000-0000-0000B6810000}"/>
    <cellStyle name="常规 9 2 3 2 6 4" xfId="3620" xr:uid="{00000000-0005-0000-0000-0000B7810000}"/>
    <cellStyle name="常规 9 2 3 2 6 4 2" xfId="9764" xr:uid="{00000000-0005-0000-0000-0000B8810000}"/>
    <cellStyle name="常规 9 2 3 2 6 4 2 2" xfId="22052" xr:uid="{00000000-0005-0000-0000-0000B9810000}"/>
    <cellStyle name="常规 9 2 3 2 6 4 2 2 2" xfId="46628" xr:uid="{00000000-0005-0000-0000-0000BA810000}"/>
    <cellStyle name="常规 9 2 3 2 6 4 2 3" xfId="34340" xr:uid="{00000000-0005-0000-0000-0000BB810000}"/>
    <cellStyle name="常规 9 2 3 2 6 4 3" xfId="15908" xr:uid="{00000000-0005-0000-0000-0000BC810000}"/>
    <cellStyle name="常规 9 2 3 2 6 4 3 2" xfId="40484" xr:uid="{00000000-0005-0000-0000-0000BD810000}"/>
    <cellStyle name="常规 9 2 3 2 6 4 4" xfId="28196" xr:uid="{00000000-0005-0000-0000-0000BE810000}"/>
    <cellStyle name="常规 9 2 3 2 6 5" xfId="6692" xr:uid="{00000000-0005-0000-0000-0000BF810000}"/>
    <cellStyle name="常规 9 2 3 2 6 5 2" xfId="18980" xr:uid="{00000000-0005-0000-0000-0000C0810000}"/>
    <cellStyle name="常规 9 2 3 2 6 5 2 2" xfId="43556" xr:uid="{00000000-0005-0000-0000-0000C1810000}"/>
    <cellStyle name="常规 9 2 3 2 6 5 3" xfId="31268" xr:uid="{00000000-0005-0000-0000-0000C2810000}"/>
    <cellStyle name="常规 9 2 3 2 6 6" xfId="12836" xr:uid="{00000000-0005-0000-0000-0000C3810000}"/>
    <cellStyle name="常规 9 2 3 2 6 6 2" xfId="37412" xr:uid="{00000000-0005-0000-0000-0000C4810000}"/>
    <cellStyle name="常规 9 2 3 2 6 7" xfId="25124" xr:uid="{00000000-0005-0000-0000-0000C5810000}"/>
    <cellStyle name="常规 9 2 3 2 7" xfId="928" xr:uid="{00000000-0005-0000-0000-0000C6810000}"/>
    <cellStyle name="常规 9 2 3 2 7 2" xfId="2464" xr:uid="{00000000-0005-0000-0000-0000C7810000}"/>
    <cellStyle name="常规 9 2 3 2 7 2 2" xfId="5540" xr:uid="{00000000-0005-0000-0000-0000C8810000}"/>
    <cellStyle name="常规 9 2 3 2 7 2 2 2" xfId="11684" xr:uid="{00000000-0005-0000-0000-0000C9810000}"/>
    <cellStyle name="常规 9 2 3 2 7 2 2 2 2" xfId="23972" xr:uid="{00000000-0005-0000-0000-0000CA810000}"/>
    <cellStyle name="常规 9 2 3 2 7 2 2 2 2 2" xfId="48548" xr:uid="{00000000-0005-0000-0000-0000CB810000}"/>
    <cellStyle name="常规 9 2 3 2 7 2 2 2 3" xfId="36260" xr:uid="{00000000-0005-0000-0000-0000CC810000}"/>
    <cellStyle name="常规 9 2 3 2 7 2 2 3" xfId="17828" xr:uid="{00000000-0005-0000-0000-0000CD810000}"/>
    <cellStyle name="常规 9 2 3 2 7 2 2 3 2" xfId="42404" xr:uid="{00000000-0005-0000-0000-0000CE810000}"/>
    <cellStyle name="常规 9 2 3 2 7 2 2 4" xfId="30116" xr:uid="{00000000-0005-0000-0000-0000CF810000}"/>
    <cellStyle name="常规 9 2 3 2 7 2 3" xfId="8612" xr:uid="{00000000-0005-0000-0000-0000D0810000}"/>
    <cellStyle name="常规 9 2 3 2 7 2 3 2" xfId="20900" xr:uid="{00000000-0005-0000-0000-0000D1810000}"/>
    <cellStyle name="常规 9 2 3 2 7 2 3 2 2" xfId="45476" xr:uid="{00000000-0005-0000-0000-0000D2810000}"/>
    <cellStyle name="常规 9 2 3 2 7 2 3 3" xfId="33188" xr:uid="{00000000-0005-0000-0000-0000D3810000}"/>
    <cellStyle name="常规 9 2 3 2 7 2 4" xfId="14756" xr:uid="{00000000-0005-0000-0000-0000D4810000}"/>
    <cellStyle name="常规 9 2 3 2 7 2 4 2" xfId="39332" xr:uid="{00000000-0005-0000-0000-0000D5810000}"/>
    <cellStyle name="常规 9 2 3 2 7 2 5" xfId="27044" xr:uid="{00000000-0005-0000-0000-0000D6810000}"/>
    <cellStyle name="常规 9 2 3 2 7 3" xfId="4004" xr:uid="{00000000-0005-0000-0000-0000D7810000}"/>
    <cellStyle name="常规 9 2 3 2 7 3 2" xfId="10148" xr:uid="{00000000-0005-0000-0000-0000D8810000}"/>
    <cellStyle name="常规 9 2 3 2 7 3 2 2" xfId="22436" xr:uid="{00000000-0005-0000-0000-0000D9810000}"/>
    <cellStyle name="常规 9 2 3 2 7 3 2 2 2" xfId="47012" xr:uid="{00000000-0005-0000-0000-0000DA810000}"/>
    <cellStyle name="常规 9 2 3 2 7 3 2 3" xfId="34724" xr:uid="{00000000-0005-0000-0000-0000DB810000}"/>
    <cellStyle name="常规 9 2 3 2 7 3 3" xfId="16292" xr:uid="{00000000-0005-0000-0000-0000DC810000}"/>
    <cellStyle name="常规 9 2 3 2 7 3 3 2" xfId="40868" xr:uid="{00000000-0005-0000-0000-0000DD810000}"/>
    <cellStyle name="常规 9 2 3 2 7 3 4" xfId="28580" xr:uid="{00000000-0005-0000-0000-0000DE810000}"/>
    <cellStyle name="常规 9 2 3 2 7 4" xfId="7076" xr:uid="{00000000-0005-0000-0000-0000DF810000}"/>
    <cellStyle name="常规 9 2 3 2 7 4 2" xfId="19364" xr:uid="{00000000-0005-0000-0000-0000E0810000}"/>
    <cellStyle name="常规 9 2 3 2 7 4 2 2" xfId="43940" xr:uid="{00000000-0005-0000-0000-0000E1810000}"/>
    <cellStyle name="常规 9 2 3 2 7 4 3" xfId="31652" xr:uid="{00000000-0005-0000-0000-0000E2810000}"/>
    <cellStyle name="常规 9 2 3 2 7 5" xfId="13220" xr:uid="{00000000-0005-0000-0000-0000E3810000}"/>
    <cellStyle name="常规 9 2 3 2 7 5 2" xfId="37796" xr:uid="{00000000-0005-0000-0000-0000E4810000}"/>
    <cellStyle name="常规 9 2 3 2 7 6" xfId="25508" xr:uid="{00000000-0005-0000-0000-0000E5810000}"/>
    <cellStyle name="常规 9 2 3 2 8" xfId="1696" xr:uid="{00000000-0005-0000-0000-0000E6810000}"/>
    <cellStyle name="常规 9 2 3 2 8 2" xfId="4772" xr:uid="{00000000-0005-0000-0000-0000E7810000}"/>
    <cellStyle name="常规 9 2 3 2 8 2 2" xfId="10916" xr:uid="{00000000-0005-0000-0000-0000E8810000}"/>
    <cellStyle name="常规 9 2 3 2 8 2 2 2" xfId="23204" xr:uid="{00000000-0005-0000-0000-0000E9810000}"/>
    <cellStyle name="常规 9 2 3 2 8 2 2 2 2" xfId="47780" xr:uid="{00000000-0005-0000-0000-0000EA810000}"/>
    <cellStyle name="常规 9 2 3 2 8 2 2 3" xfId="35492" xr:uid="{00000000-0005-0000-0000-0000EB810000}"/>
    <cellStyle name="常规 9 2 3 2 8 2 3" xfId="17060" xr:uid="{00000000-0005-0000-0000-0000EC810000}"/>
    <cellStyle name="常规 9 2 3 2 8 2 3 2" xfId="41636" xr:uid="{00000000-0005-0000-0000-0000ED810000}"/>
    <cellStyle name="常规 9 2 3 2 8 2 4" xfId="29348" xr:uid="{00000000-0005-0000-0000-0000EE810000}"/>
    <cellStyle name="常规 9 2 3 2 8 3" xfId="7844" xr:uid="{00000000-0005-0000-0000-0000EF810000}"/>
    <cellStyle name="常规 9 2 3 2 8 3 2" xfId="20132" xr:uid="{00000000-0005-0000-0000-0000F0810000}"/>
    <cellStyle name="常规 9 2 3 2 8 3 2 2" xfId="44708" xr:uid="{00000000-0005-0000-0000-0000F1810000}"/>
    <cellStyle name="常规 9 2 3 2 8 3 3" xfId="32420" xr:uid="{00000000-0005-0000-0000-0000F2810000}"/>
    <cellStyle name="常规 9 2 3 2 8 4" xfId="13988" xr:uid="{00000000-0005-0000-0000-0000F3810000}"/>
    <cellStyle name="常规 9 2 3 2 8 4 2" xfId="38564" xr:uid="{00000000-0005-0000-0000-0000F4810000}"/>
    <cellStyle name="常规 9 2 3 2 8 5" xfId="26276" xr:uid="{00000000-0005-0000-0000-0000F5810000}"/>
    <cellStyle name="常规 9 2 3 2 9" xfId="3236" xr:uid="{00000000-0005-0000-0000-0000F6810000}"/>
    <cellStyle name="常规 9 2 3 2 9 2" xfId="9380" xr:uid="{00000000-0005-0000-0000-0000F7810000}"/>
    <cellStyle name="常规 9 2 3 2 9 2 2" xfId="21668" xr:uid="{00000000-0005-0000-0000-0000F8810000}"/>
    <cellStyle name="常规 9 2 3 2 9 2 2 2" xfId="46244" xr:uid="{00000000-0005-0000-0000-0000F9810000}"/>
    <cellStyle name="常规 9 2 3 2 9 2 3" xfId="33956" xr:uid="{00000000-0005-0000-0000-0000FA810000}"/>
    <cellStyle name="常规 9 2 3 2 9 3" xfId="15524" xr:uid="{00000000-0005-0000-0000-0000FB810000}"/>
    <cellStyle name="常规 9 2 3 2 9 3 2" xfId="40100" xr:uid="{00000000-0005-0000-0000-0000FC810000}"/>
    <cellStyle name="常规 9 2 3 2 9 4" xfId="27812" xr:uid="{00000000-0005-0000-0000-0000FD810000}"/>
    <cellStyle name="常规 9 2 3 3" xfId="175" xr:uid="{00000000-0005-0000-0000-0000FE810000}"/>
    <cellStyle name="常规 9 2 3 3 10" xfId="12468" xr:uid="{00000000-0005-0000-0000-0000FF810000}"/>
    <cellStyle name="常规 9 2 3 3 10 2" xfId="37044" xr:uid="{00000000-0005-0000-0000-000000820000}"/>
    <cellStyle name="常规 9 2 3 3 11" xfId="24756" xr:uid="{00000000-0005-0000-0000-000001820000}"/>
    <cellStyle name="常规 9 2 3 3 2" xfId="240" xr:uid="{00000000-0005-0000-0000-000002820000}"/>
    <cellStyle name="常规 9 2 3 3 2 2" xfId="432" xr:uid="{00000000-0005-0000-0000-000003820000}"/>
    <cellStyle name="常规 9 2 3 3 2 2 2" xfId="816" xr:uid="{00000000-0005-0000-0000-000004820000}"/>
    <cellStyle name="常规 9 2 3 3 2 2 2 2" xfId="1584" xr:uid="{00000000-0005-0000-0000-000005820000}"/>
    <cellStyle name="常规 9 2 3 3 2 2 2 2 2" xfId="3120" xr:uid="{00000000-0005-0000-0000-000006820000}"/>
    <cellStyle name="常规 9 2 3 3 2 2 2 2 2 2" xfId="6196" xr:uid="{00000000-0005-0000-0000-000007820000}"/>
    <cellStyle name="常规 9 2 3 3 2 2 2 2 2 2 2" xfId="12340" xr:uid="{00000000-0005-0000-0000-000008820000}"/>
    <cellStyle name="常规 9 2 3 3 2 2 2 2 2 2 2 2" xfId="24628" xr:uid="{00000000-0005-0000-0000-000009820000}"/>
    <cellStyle name="常规 9 2 3 3 2 2 2 2 2 2 2 2 2" xfId="49204" xr:uid="{00000000-0005-0000-0000-00000A820000}"/>
    <cellStyle name="常规 9 2 3 3 2 2 2 2 2 2 2 3" xfId="36916" xr:uid="{00000000-0005-0000-0000-00000B820000}"/>
    <cellStyle name="常规 9 2 3 3 2 2 2 2 2 2 3" xfId="18484" xr:uid="{00000000-0005-0000-0000-00000C820000}"/>
    <cellStyle name="常规 9 2 3 3 2 2 2 2 2 2 3 2" xfId="43060" xr:uid="{00000000-0005-0000-0000-00000D820000}"/>
    <cellStyle name="常规 9 2 3 3 2 2 2 2 2 2 4" xfId="30772" xr:uid="{00000000-0005-0000-0000-00000E820000}"/>
    <cellStyle name="常规 9 2 3 3 2 2 2 2 2 3" xfId="9268" xr:uid="{00000000-0005-0000-0000-00000F820000}"/>
    <cellStyle name="常规 9 2 3 3 2 2 2 2 2 3 2" xfId="21556" xr:uid="{00000000-0005-0000-0000-000010820000}"/>
    <cellStyle name="常规 9 2 3 3 2 2 2 2 2 3 2 2" xfId="46132" xr:uid="{00000000-0005-0000-0000-000011820000}"/>
    <cellStyle name="常规 9 2 3 3 2 2 2 2 2 3 3" xfId="33844" xr:uid="{00000000-0005-0000-0000-000012820000}"/>
    <cellStyle name="常规 9 2 3 3 2 2 2 2 2 4" xfId="15412" xr:uid="{00000000-0005-0000-0000-000013820000}"/>
    <cellStyle name="常规 9 2 3 3 2 2 2 2 2 4 2" xfId="39988" xr:uid="{00000000-0005-0000-0000-000014820000}"/>
    <cellStyle name="常规 9 2 3 3 2 2 2 2 2 5" xfId="27700" xr:uid="{00000000-0005-0000-0000-000015820000}"/>
    <cellStyle name="常规 9 2 3 3 2 2 2 2 3" xfId="4660" xr:uid="{00000000-0005-0000-0000-000016820000}"/>
    <cellStyle name="常规 9 2 3 3 2 2 2 2 3 2" xfId="10804" xr:uid="{00000000-0005-0000-0000-000017820000}"/>
    <cellStyle name="常规 9 2 3 3 2 2 2 2 3 2 2" xfId="23092" xr:uid="{00000000-0005-0000-0000-000018820000}"/>
    <cellStyle name="常规 9 2 3 3 2 2 2 2 3 2 2 2" xfId="47668" xr:uid="{00000000-0005-0000-0000-000019820000}"/>
    <cellStyle name="常规 9 2 3 3 2 2 2 2 3 2 3" xfId="35380" xr:uid="{00000000-0005-0000-0000-00001A820000}"/>
    <cellStyle name="常规 9 2 3 3 2 2 2 2 3 3" xfId="16948" xr:uid="{00000000-0005-0000-0000-00001B820000}"/>
    <cellStyle name="常规 9 2 3 3 2 2 2 2 3 3 2" xfId="41524" xr:uid="{00000000-0005-0000-0000-00001C820000}"/>
    <cellStyle name="常规 9 2 3 3 2 2 2 2 3 4" xfId="29236" xr:uid="{00000000-0005-0000-0000-00001D820000}"/>
    <cellStyle name="常规 9 2 3 3 2 2 2 2 4" xfId="7732" xr:uid="{00000000-0005-0000-0000-00001E820000}"/>
    <cellStyle name="常规 9 2 3 3 2 2 2 2 4 2" xfId="20020" xr:uid="{00000000-0005-0000-0000-00001F820000}"/>
    <cellStyle name="常规 9 2 3 3 2 2 2 2 4 2 2" xfId="44596" xr:uid="{00000000-0005-0000-0000-000020820000}"/>
    <cellStyle name="常规 9 2 3 3 2 2 2 2 4 3" xfId="32308" xr:uid="{00000000-0005-0000-0000-000021820000}"/>
    <cellStyle name="常规 9 2 3 3 2 2 2 2 5" xfId="13876" xr:uid="{00000000-0005-0000-0000-000022820000}"/>
    <cellStyle name="常规 9 2 3 3 2 2 2 2 5 2" xfId="38452" xr:uid="{00000000-0005-0000-0000-000023820000}"/>
    <cellStyle name="常规 9 2 3 3 2 2 2 2 6" xfId="26164" xr:uid="{00000000-0005-0000-0000-000024820000}"/>
    <cellStyle name="常规 9 2 3 3 2 2 2 3" xfId="2352" xr:uid="{00000000-0005-0000-0000-000025820000}"/>
    <cellStyle name="常规 9 2 3 3 2 2 2 3 2" xfId="5428" xr:uid="{00000000-0005-0000-0000-000026820000}"/>
    <cellStyle name="常规 9 2 3 3 2 2 2 3 2 2" xfId="11572" xr:uid="{00000000-0005-0000-0000-000027820000}"/>
    <cellStyle name="常规 9 2 3 3 2 2 2 3 2 2 2" xfId="23860" xr:uid="{00000000-0005-0000-0000-000028820000}"/>
    <cellStyle name="常规 9 2 3 3 2 2 2 3 2 2 2 2" xfId="48436" xr:uid="{00000000-0005-0000-0000-000029820000}"/>
    <cellStyle name="常规 9 2 3 3 2 2 2 3 2 2 3" xfId="36148" xr:uid="{00000000-0005-0000-0000-00002A820000}"/>
    <cellStyle name="常规 9 2 3 3 2 2 2 3 2 3" xfId="17716" xr:uid="{00000000-0005-0000-0000-00002B820000}"/>
    <cellStyle name="常规 9 2 3 3 2 2 2 3 2 3 2" xfId="42292" xr:uid="{00000000-0005-0000-0000-00002C820000}"/>
    <cellStyle name="常规 9 2 3 3 2 2 2 3 2 4" xfId="30004" xr:uid="{00000000-0005-0000-0000-00002D820000}"/>
    <cellStyle name="常规 9 2 3 3 2 2 2 3 3" xfId="8500" xr:uid="{00000000-0005-0000-0000-00002E820000}"/>
    <cellStyle name="常规 9 2 3 3 2 2 2 3 3 2" xfId="20788" xr:uid="{00000000-0005-0000-0000-00002F820000}"/>
    <cellStyle name="常规 9 2 3 3 2 2 2 3 3 2 2" xfId="45364" xr:uid="{00000000-0005-0000-0000-000030820000}"/>
    <cellStyle name="常规 9 2 3 3 2 2 2 3 3 3" xfId="33076" xr:uid="{00000000-0005-0000-0000-000031820000}"/>
    <cellStyle name="常规 9 2 3 3 2 2 2 3 4" xfId="14644" xr:uid="{00000000-0005-0000-0000-000032820000}"/>
    <cellStyle name="常规 9 2 3 3 2 2 2 3 4 2" xfId="39220" xr:uid="{00000000-0005-0000-0000-000033820000}"/>
    <cellStyle name="常规 9 2 3 3 2 2 2 3 5" xfId="26932" xr:uid="{00000000-0005-0000-0000-000034820000}"/>
    <cellStyle name="常规 9 2 3 3 2 2 2 4" xfId="3892" xr:uid="{00000000-0005-0000-0000-000035820000}"/>
    <cellStyle name="常规 9 2 3 3 2 2 2 4 2" xfId="10036" xr:uid="{00000000-0005-0000-0000-000036820000}"/>
    <cellStyle name="常规 9 2 3 3 2 2 2 4 2 2" xfId="22324" xr:uid="{00000000-0005-0000-0000-000037820000}"/>
    <cellStyle name="常规 9 2 3 3 2 2 2 4 2 2 2" xfId="46900" xr:uid="{00000000-0005-0000-0000-000038820000}"/>
    <cellStyle name="常规 9 2 3 3 2 2 2 4 2 3" xfId="34612" xr:uid="{00000000-0005-0000-0000-000039820000}"/>
    <cellStyle name="常规 9 2 3 3 2 2 2 4 3" xfId="16180" xr:uid="{00000000-0005-0000-0000-00003A820000}"/>
    <cellStyle name="常规 9 2 3 3 2 2 2 4 3 2" xfId="40756" xr:uid="{00000000-0005-0000-0000-00003B820000}"/>
    <cellStyle name="常规 9 2 3 3 2 2 2 4 4" xfId="28468" xr:uid="{00000000-0005-0000-0000-00003C820000}"/>
    <cellStyle name="常规 9 2 3 3 2 2 2 5" xfId="6964" xr:uid="{00000000-0005-0000-0000-00003D820000}"/>
    <cellStyle name="常规 9 2 3 3 2 2 2 5 2" xfId="19252" xr:uid="{00000000-0005-0000-0000-00003E820000}"/>
    <cellStyle name="常规 9 2 3 3 2 2 2 5 2 2" xfId="43828" xr:uid="{00000000-0005-0000-0000-00003F820000}"/>
    <cellStyle name="常规 9 2 3 3 2 2 2 5 3" xfId="31540" xr:uid="{00000000-0005-0000-0000-000040820000}"/>
    <cellStyle name="常规 9 2 3 3 2 2 2 6" xfId="13108" xr:uid="{00000000-0005-0000-0000-000041820000}"/>
    <cellStyle name="常规 9 2 3 3 2 2 2 6 2" xfId="37684" xr:uid="{00000000-0005-0000-0000-000042820000}"/>
    <cellStyle name="常规 9 2 3 3 2 2 2 7" xfId="25396" xr:uid="{00000000-0005-0000-0000-000043820000}"/>
    <cellStyle name="常规 9 2 3 3 2 2 3" xfId="1200" xr:uid="{00000000-0005-0000-0000-000044820000}"/>
    <cellStyle name="常规 9 2 3 3 2 2 3 2" xfId="2736" xr:uid="{00000000-0005-0000-0000-000045820000}"/>
    <cellStyle name="常规 9 2 3 3 2 2 3 2 2" xfId="5812" xr:uid="{00000000-0005-0000-0000-000046820000}"/>
    <cellStyle name="常规 9 2 3 3 2 2 3 2 2 2" xfId="11956" xr:uid="{00000000-0005-0000-0000-000047820000}"/>
    <cellStyle name="常规 9 2 3 3 2 2 3 2 2 2 2" xfId="24244" xr:uid="{00000000-0005-0000-0000-000048820000}"/>
    <cellStyle name="常规 9 2 3 3 2 2 3 2 2 2 2 2" xfId="48820" xr:uid="{00000000-0005-0000-0000-000049820000}"/>
    <cellStyle name="常规 9 2 3 3 2 2 3 2 2 2 3" xfId="36532" xr:uid="{00000000-0005-0000-0000-00004A820000}"/>
    <cellStyle name="常规 9 2 3 3 2 2 3 2 2 3" xfId="18100" xr:uid="{00000000-0005-0000-0000-00004B820000}"/>
    <cellStyle name="常规 9 2 3 3 2 2 3 2 2 3 2" xfId="42676" xr:uid="{00000000-0005-0000-0000-00004C820000}"/>
    <cellStyle name="常规 9 2 3 3 2 2 3 2 2 4" xfId="30388" xr:uid="{00000000-0005-0000-0000-00004D820000}"/>
    <cellStyle name="常规 9 2 3 3 2 2 3 2 3" xfId="8884" xr:uid="{00000000-0005-0000-0000-00004E820000}"/>
    <cellStyle name="常规 9 2 3 3 2 2 3 2 3 2" xfId="21172" xr:uid="{00000000-0005-0000-0000-00004F820000}"/>
    <cellStyle name="常规 9 2 3 3 2 2 3 2 3 2 2" xfId="45748" xr:uid="{00000000-0005-0000-0000-000050820000}"/>
    <cellStyle name="常规 9 2 3 3 2 2 3 2 3 3" xfId="33460" xr:uid="{00000000-0005-0000-0000-000051820000}"/>
    <cellStyle name="常规 9 2 3 3 2 2 3 2 4" xfId="15028" xr:uid="{00000000-0005-0000-0000-000052820000}"/>
    <cellStyle name="常规 9 2 3 3 2 2 3 2 4 2" xfId="39604" xr:uid="{00000000-0005-0000-0000-000053820000}"/>
    <cellStyle name="常规 9 2 3 3 2 2 3 2 5" xfId="27316" xr:uid="{00000000-0005-0000-0000-000054820000}"/>
    <cellStyle name="常规 9 2 3 3 2 2 3 3" xfId="4276" xr:uid="{00000000-0005-0000-0000-000055820000}"/>
    <cellStyle name="常规 9 2 3 3 2 2 3 3 2" xfId="10420" xr:uid="{00000000-0005-0000-0000-000056820000}"/>
    <cellStyle name="常规 9 2 3 3 2 2 3 3 2 2" xfId="22708" xr:uid="{00000000-0005-0000-0000-000057820000}"/>
    <cellStyle name="常规 9 2 3 3 2 2 3 3 2 2 2" xfId="47284" xr:uid="{00000000-0005-0000-0000-000058820000}"/>
    <cellStyle name="常规 9 2 3 3 2 2 3 3 2 3" xfId="34996" xr:uid="{00000000-0005-0000-0000-000059820000}"/>
    <cellStyle name="常规 9 2 3 3 2 2 3 3 3" xfId="16564" xr:uid="{00000000-0005-0000-0000-00005A820000}"/>
    <cellStyle name="常规 9 2 3 3 2 2 3 3 3 2" xfId="41140" xr:uid="{00000000-0005-0000-0000-00005B820000}"/>
    <cellStyle name="常规 9 2 3 3 2 2 3 3 4" xfId="28852" xr:uid="{00000000-0005-0000-0000-00005C820000}"/>
    <cellStyle name="常规 9 2 3 3 2 2 3 4" xfId="7348" xr:uid="{00000000-0005-0000-0000-00005D820000}"/>
    <cellStyle name="常规 9 2 3 3 2 2 3 4 2" xfId="19636" xr:uid="{00000000-0005-0000-0000-00005E820000}"/>
    <cellStyle name="常规 9 2 3 3 2 2 3 4 2 2" xfId="44212" xr:uid="{00000000-0005-0000-0000-00005F820000}"/>
    <cellStyle name="常规 9 2 3 3 2 2 3 4 3" xfId="31924" xr:uid="{00000000-0005-0000-0000-000060820000}"/>
    <cellStyle name="常规 9 2 3 3 2 2 3 5" xfId="13492" xr:uid="{00000000-0005-0000-0000-000061820000}"/>
    <cellStyle name="常规 9 2 3 3 2 2 3 5 2" xfId="38068" xr:uid="{00000000-0005-0000-0000-000062820000}"/>
    <cellStyle name="常规 9 2 3 3 2 2 3 6" xfId="25780" xr:uid="{00000000-0005-0000-0000-000063820000}"/>
    <cellStyle name="常规 9 2 3 3 2 2 4" xfId="1968" xr:uid="{00000000-0005-0000-0000-000064820000}"/>
    <cellStyle name="常规 9 2 3 3 2 2 4 2" xfId="5044" xr:uid="{00000000-0005-0000-0000-000065820000}"/>
    <cellStyle name="常规 9 2 3 3 2 2 4 2 2" xfId="11188" xr:uid="{00000000-0005-0000-0000-000066820000}"/>
    <cellStyle name="常规 9 2 3 3 2 2 4 2 2 2" xfId="23476" xr:uid="{00000000-0005-0000-0000-000067820000}"/>
    <cellStyle name="常规 9 2 3 3 2 2 4 2 2 2 2" xfId="48052" xr:uid="{00000000-0005-0000-0000-000068820000}"/>
    <cellStyle name="常规 9 2 3 3 2 2 4 2 2 3" xfId="35764" xr:uid="{00000000-0005-0000-0000-000069820000}"/>
    <cellStyle name="常规 9 2 3 3 2 2 4 2 3" xfId="17332" xr:uid="{00000000-0005-0000-0000-00006A820000}"/>
    <cellStyle name="常规 9 2 3 3 2 2 4 2 3 2" xfId="41908" xr:uid="{00000000-0005-0000-0000-00006B820000}"/>
    <cellStyle name="常规 9 2 3 3 2 2 4 2 4" xfId="29620" xr:uid="{00000000-0005-0000-0000-00006C820000}"/>
    <cellStyle name="常规 9 2 3 3 2 2 4 3" xfId="8116" xr:uid="{00000000-0005-0000-0000-00006D820000}"/>
    <cellStyle name="常规 9 2 3 3 2 2 4 3 2" xfId="20404" xr:uid="{00000000-0005-0000-0000-00006E820000}"/>
    <cellStyle name="常规 9 2 3 3 2 2 4 3 2 2" xfId="44980" xr:uid="{00000000-0005-0000-0000-00006F820000}"/>
    <cellStyle name="常规 9 2 3 3 2 2 4 3 3" xfId="32692" xr:uid="{00000000-0005-0000-0000-000070820000}"/>
    <cellStyle name="常规 9 2 3 3 2 2 4 4" xfId="14260" xr:uid="{00000000-0005-0000-0000-000071820000}"/>
    <cellStyle name="常规 9 2 3 3 2 2 4 4 2" xfId="38836" xr:uid="{00000000-0005-0000-0000-000072820000}"/>
    <cellStyle name="常规 9 2 3 3 2 2 4 5" xfId="26548" xr:uid="{00000000-0005-0000-0000-000073820000}"/>
    <cellStyle name="常规 9 2 3 3 2 2 5" xfId="3508" xr:uid="{00000000-0005-0000-0000-000074820000}"/>
    <cellStyle name="常规 9 2 3 3 2 2 5 2" xfId="9652" xr:uid="{00000000-0005-0000-0000-000075820000}"/>
    <cellStyle name="常规 9 2 3 3 2 2 5 2 2" xfId="21940" xr:uid="{00000000-0005-0000-0000-000076820000}"/>
    <cellStyle name="常规 9 2 3 3 2 2 5 2 2 2" xfId="46516" xr:uid="{00000000-0005-0000-0000-000077820000}"/>
    <cellStyle name="常规 9 2 3 3 2 2 5 2 3" xfId="34228" xr:uid="{00000000-0005-0000-0000-000078820000}"/>
    <cellStyle name="常规 9 2 3 3 2 2 5 3" xfId="15796" xr:uid="{00000000-0005-0000-0000-000079820000}"/>
    <cellStyle name="常规 9 2 3 3 2 2 5 3 2" xfId="40372" xr:uid="{00000000-0005-0000-0000-00007A820000}"/>
    <cellStyle name="常规 9 2 3 3 2 2 5 4" xfId="28084" xr:uid="{00000000-0005-0000-0000-00007B820000}"/>
    <cellStyle name="常规 9 2 3 3 2 2 6" xfId="6580" xr:uid="{00000000-0005-0000-0000-00007C820000}"/>
    <cellStyle name="常规 9 2 3 3 2 2 6 2" xfId="18868" xr:uid="{00000000-0005-0000-0000-00007D820000}"/>
    <cellStyle name="常规 9 2 3 3 2 2 6 2 2" xfId="43444" xr:uid="{00000000-0005-0000-0000-00007E820000}"/>
    <cellStyle name="常规 9 2 3 3 2 2 6 3" xfId="31156" xr:uid="{00000000-0005-0000-0000-00007F820000}"/>
    <cellStyle name="常规 9 2 3 3 2 2 7" xfId="12724" xr:uid="{00000000-0005-0000-0000-000080820000}"/>
    <cellStyle name="常规 9 2 3 3 2 2 7 2" xfId="37300" xr:uid="{00000000-0005-0000-0000-000081820000}"/>
    <cellStyle name="常规 9 2 3 3 2 2 8" xfId="25012" xr:uid="{00000000-0005-0000-0000-000082820000}"/>
    <cellStyle name="常规 9 2 3 3 2 3" xfId="624" xr:uid="{00000000-0005-0000-0000-000083820000}"/>
    <cellStyle name="常规 9 2 3 3 2 3 2" xfId="1392" xr:uid="{00000000-0005-0000-0000-000084820000}"/>
    <cellStyle name="常规 9 2 3 3 2 3 2 2" xfId="2928" xr:uid="{00000000-0005-0000-0000-000085820000}"/>
    <cellStyle name="常规 9 2 3 3 2 3 2 2 2" xfId="6004" xr:uid="{00000000-0005-0000-0000-000086820000}"/>
    <cellStyle name="常规 9 2 3 3 2 3 2 2 2 2" xfId="12148" xr:uid="{00000000-0005-0000-0000-000087820000}"/>
    <cellStyle name="常规 9 2 3 3 2 3 2 2 2 2 2" xfId="24436" xr:uid="{00000000-0005-0000-0000-000088820000}"/>
    <cellStyle name="常规 9 2 3 3 2 3 2 2 2 2 2 2" xfId="49012" xr:uid="{00000000-0005-0000-0000-000089820000}"/>
    <cellStyle name="常规 9 2 3 3 2 3 2 2 2 2 3" xfId="36724" xr:uid="{00000000-0005-0000-0000-00008A820000}"/>
    <cellStyle name="常规 9 2 3 3 2 3 2 2 2 3" xfId="18292" xr:uid="{00000000-0005-0000-0000-00008B820000}"/>
    <cellStyle name="常规 9 2 3 3 2 3 2 2 2 3 2" xfId="42868" xr:uid="{00000000-0005-0000-0000-00008C820000}"/>
    <cellStyle name="常规 9 2 3 3 2 3 2 2 2 4" xfId="30580" xr:uid="{00000000-0005-0000-0000-00008D820000}"/>
    <cellStyle name="常规 9 2 3 3 2 3 2 2 3" xfId="9076" xr:uid="{00000000-0005-0000-0000-00008E820000}"/>
    <cellStyle name="常规 9 2 3 3 2 3 2 2 3 2" xfId="21364" xr:uid="{00000000-0005-0000-0000-00008F820000}"/>
    <cellStyle name="常规 9 2 3 3 2 3 2 2 3 2 2" xfId="45940" xr:uid="{00000000-0005-0000-0000-000090820000}"/>
    <cellStyle name="常规 9 2 3 3 2 3 2 2 3 3" xfId="33652" xr:uid="{00000000-0005-0000-0000-000091820000}"/>
    <cellStyle name="常规 9 2 3 3 2 3 2 2 4" xfId="15220" xr:uid="{00000000-0005-0000-0000-000092820000}"/>
    <cellStyle name="常规 9 2 3 3 2 3 2 2 4 2" xfId="39796" xr:uid="{00000000-0005-0000-0000-000093820000}"/>
    <cellStyle name="常规 9 2 3 3 2 3 2 2 5" xfId="27508" xr:uid="{00000000-0005-0000-0000-000094820000}"/>
    <cellStyle name="常规 9 2 3 3 2 3 2 3" xfId="4468" xr:uid="{00000000-0005-0000-0000-000095820000}"/>
    <cellStyle name="常规 9 2 3 3 2 3 2 3 2" xfId="10612" xr:uid="{00000000-0005-0000-0000-000096820000}"/>
    <cellStyle name="常规 9 2 3 3 2 3 2 3 2 2" xfId="22900" xr:uid="{00000000-0005-0000-0000-000097820000}"/>
    <cellStyle name="常规 9 2 3 3 2 3 2 3 2 2 2" xfId="47476" xr:uid="{00000000-0005-0000-0000-000098820000}"/>
    <cellStyle name="常规 9 2 3 3 2 3 2 3 2 3" xfId="35188" xr:uid="{00000000-0005-0000-0000-000099820000}"/>
    <cellStyle name="常规 9 2 3 3 2 3 2 3 3" xfId="16756" xr:uid="{00000000-0005-0000-0000-00009A820000}"/>
    <cellStyle name="常规 9 2 3 3 2 3 2 3 3 2" xfId="41332" xr:uid="{00000000-0005-0000-0000-00009B820000}"/>
    <cellStyle name="常规 9 2 3 3 2 3 2 3 4" xfId="29044" xr:uid="{00000000-0005-0000-0000-00009C820000}"/>
    <cellStyle name="常规 9 2 3 3 2 3 2 4" xfId="7540" xr:uid="{00000000-0005-0000-0000-00009D820000}"/>
    <cellStyle name="常规 9 2 3 3 2 3 2 4 2" xfId="19828" xr:uid="{00000000-0005-0000-0000-00009E820000}"/>
    <cellStyle name="常规 9 2 3 3 2 3 2 4 2 2" xfId="44404" xr:uid="{00000000-0005-0000-0000-00009F820000}"/>
    <cellStyle name="常规 9 2 3 3 2 3 2 4 3" xfId="32116" xr:uid="{00000000-0005-0000-0000-0000A0820000}"/>
    <cellStyle name="常规 9 2 3 3 2 3 2 5" xfId="13684" xr:uid="{00000000-0005-0000-0000-0000A1820000}"/>
    <cellStyle name="常规 9 2 3 3 2 3 2 5 2" xfId="38260" xr:uid="{00000000-0005-0000-0000-0000A2820000}"/>
    <cellStyle name="常规 9 2 3 3 2 3 2 6" xfId="25972" xr:uid="{00000000-0005-0000-0000-0000A3820000}"/>
    <cellStyle name="常规 9 2 3 3 2 3 3" xfId="2160" xr:uid="{00000000-0005-0000-0000-0000A4820000}"/>
    <cellStyle name="常规 9 2 3 3 2 3 3 2" xfId="5236" xr:uid="{00000000-0005-0000-0000-0000A5820000}"/>
    <cellStyle name="常规 9 2 3 3 2 3 3 2 2" xfId="11380" xr:uid="{00000000-0005-0000-0000-0000A6820000}"/>
    <cellStyle name="常规 9 2 3 3 2 3 3 2 2 2" xfId="23668" xr:uid="{00000000-0005-0000-0000-0000A7820000}"/>
    <cellStyle name="常规 9 2 3 3 2 3 3 2 2 2 2" xfId="48244" xr:uid="{00000000-0005-0000-0000-0000A8820000}"/>
    <cellStyle name="常规 9 2 3 3 2 3 3 2 2 3" xfId="35956" xr:uid="{00000000-0005-0000-0000-0000A9820000}"/>
    <cellStyle name="常规 9 2 3 3 2 3 3 2 3" xfId="17524" xr:uid="{00000000-0005-0000-0000-0000AA820000}"/>
    <cellStyle name="常规 9 2 3 3 2 3 3 2 3 2" xfId="42100" xr:uid="{00000000-0005-0000-0000-0000AB820000}"/>
    <cellStyle name="常规 9 2 3 3 2 3 3 2 4" xfId="29812" xr:uid="{00000000-0005-0000-0000-0000AC820000}"/>
    <cellStyle name="常规 9 2 3 3 2 3 3 3" xfId="8308" xr:uid="{00000000-0005-0000-0000-0000AD820000}"/>
    <cellStyle name="常规 9 2 3 3 2 3 3 3 2" xfId="20596" xr:uid="{00000000-0005-0000-0000-0000AE820000}"/>
    <cellStyle name="常规 9 2 3 3 2 3 3 3 2 2" xfId="45172" xr:uid="{00000000-0005-0000-0000-0000AF820000}"/>
    <cellStyle name="常规 9 2 3 3 2 3 3 3 3" xfId="32884" xr:uid="{00000000-0005-0000-0000-0000B0820000}"/>
    <cellStyle name="常规 9 2 3 3 2 3 3 4" xfId="14452" xr:uid="{00000000-0005-0000-0000-0000B1820000}"/>
    <cellStyle name="常规 9 2 3 3 2 3 3 4 2" xfId="39028" xr:uid="{00000000-0005-0000-0000-0000B2820000}"/>
    <cellStyle name="常规 9 2 3 3 2 3 3 5" xfId="26740" xr:uid="{00000000-0005-0000-0000-0000B3820000}"/>
    <cellStyle name="常规 9 2 3 3 2 3 4" xfId="3700" xr:uid="{00000000-0005-0000-0000-0000B4820000}"/>
    <cellStyle name="常规 9 2 3 3 2 3 4 2" xfId="9844" xr:uid="{00000000-0005-0000-0000-0000B5820000}"/>
    <cellStyle name="常规 9 2 3 3 2 3 4 2 2" xfId="22132" xr:uid="{00000000-0005-0000-0000-0000B6820000}"/>
    <cellStyle name="常规 9 2 3 3 2 3 4 2 2 2" xfId="46708" xr:uid="{00000000-0005-0000-0000-0000B7820000}"/>
    <cellStyle name="常规 9 2 3 3 2 3 4 2 3" xfId="34420" xr:uid="{00000000-0005-0000-0000-0000B8820000}"/>
    <cellStyle name="常规 9 2 3 3 2 3 4 3" xfId="15988" xr:uid="{00000000-0005-0000-0000-0000B9820000}"/>
    <cellStyle name="常规 9 2 3 3 2 3 4 3 2" xfId="40564" xr:uid="{00000000-0005-0000-0000-0000BA820000}"/>
    <cellStyle name="常规 9 2 3 3 2 3 4 4" xfId="28276" xr:uid="{00000000-0005-0000-0000-0000BB820000}"/>
    <cellStyle name="常规 9 2 3 3 2 3 5" xfId="6772" xr:uid="{00000000-0005-0000-0000-0000BC820000}"/>
    <cellStyle name="常规 9 2 3 3 2 3 5 2" xfId="19060" xr:uid="{00000000-0005-0000-0000-0000BD820000}"/>
    <cellStyle name="常规 9 2 3 3 2 3 5 2 2" xfId="43636" xr:uid="{00000000-0005-0000-0000-0000BE820000}"/>
    <cellStyle name="常规 9 2 3 3 2 3 5 3" xfId="31348" xr:uid="{00000000-0005-0000-0000-0000BF820000}"/>
    <cellStyle name="常规 9 2 3 3 2 3 6" xfId="12916" xr:uid="{00000000-0005-0000-0000-0000C0820000}"/>
    <cellStyle name="常规 9 2 3 3 2 3 6 2" xfId="37492" xr:uid="{00000000-0005-0000-0000-0000C1820000}"/>
    <cellStyle name="常规 9 2 3 3 2 3 7" xfId="25204" xr:uid="{00000000-0005-0000-0000-0000C2820000}"/>
    <cellStyle name="常规 9 2 3 3 2 4" xfId="1008" xr:uid="{00000000-0005-0000-0000-0000C3820000}"/>
    <cellStyle name="常规 9 2 3 3 2 4 2" xfId="2544" xr:uid="{00000000-0005-0000-0000-0000C4820000}"/>
    <cellStyle name="常规 9 2 3 3 2 4 2 2" xfId="5620" xr:uid="{00000000-0005-0000-0000-0000C5820000}"/>
    <cellStyle name="常规 9 2 3 3 2 4 2 2 2" xfId="11764" xr:uid="{00000000-0005-0000-0000-0000C6820000}"/>
    <cellStyle name="常规 9 2 3 3 2 4 2 2 2 2" xfId="24052" xr:uid="{00000000-0005-0000-0000-0000C7820000}"/>
    <cellStyle name="常规 9 2 3 3 2 4 2 2 2 2 2" xfId="48628" xr:uid="{00000000-0005-0000-0000-0000C8820000}"/>
    <cellStyle name="常规 9 2 3 3 2 4 2 2 2 3" xfId="36340" xr:uid="{00000000-0005-0000-0000-0000C9820000}"/>
    <cellStyle name="常规 9 2 3 3 2 4 2 2 3" xfId="17908" xr:uid="{00000000-0005-0000-0000-0000CA820000}"/>
    <cellStyle name="常规 9 2 3 3 2 4 2 2 3 2" xfId="42484" xr:uid="{00000000-0005-0000-0000-0000CB820000}"/>
    <cellStyle name="常规 9 2 3 3 2 4 2 2 4" xfId="30196" xr:uid="{00000000-0005-0000-0000-0000CC820000}"/>
    <cellStyle name="常规 9 2 3 3 2 4 2 3" xfId="8692" xr:uid="{00000000-0005-0000-0000-0000CD820000}"/>
    <cellStyle name="常规 9 2 3 3 2 4 2 3 2" xfId="20980" xr:uid="{00000000-0005-0000-0000-0000CE820000}"/>
    <cellStyle name="常规 9 2 3 3 2 4 2 3 2 2" xfId="45556" xr:uid="{00000000-0005-0000-0000-0000CF820000}"/>
    <cellStyle name="常规 9 2 3 3 2 4 2 3 3" xfId="33268" xr:uid="{00000000-0005-0000-0000-0000D0820000}"/>
    <cellStyle name="常规 9 2 3 3 2 4 2 4" xfId="14836" xr:uid="{00000000-0005-0000-0000-0000D1820000}"/>
    <cellStyle name="常规 9 2 3 3 2 4 2 4 2" xfId="39412" xr:uid="{00000000-0005-0000-0000-0000D2820000}"/>
    <cellStyle name="常规 9 2 3 3 2 4 2 5" xfId="27124" xr:uid="{00000000-0005-0000-0000-0000D3820000}"/>
    <cellStyle name="常规 9 2 3 3 2 4 3" xfId="4084" xr:uid="{00000000-0005-0000-0000-0000D4820000}"/>
    <cellStyle name="常规 9 2 3 3 2 4 3 2" xfId="10228" xr:uid="{00000000-0005-0000-0000-0000D5820000}"/>
    <cellStyle name="常规 9 2 3 3 2 4 3 2 2" xfId="22516" xr:uid="{00000000-0005-0000-0000-0000D6820000}"/>
    <cellStyle name="常规 9 2 3 3 2 4 3 2 2 2" xfId="47092" xr:uid="{00000000-0005-0000-0000-0000D7820000}"/>
    <cellStyle name="常规 9 2 3 3 2 4 3 2 3" xfId="34804" xr:uid="{00000000-0005-0000-0000-0000D8820000}"/>
    <cellStyle name="常规 9 2 3 3 2 4 3 3" xfId="16372" xr:uid="{00000000-0005-0000-0000-0000D9820000}"/>
    <cellStyle name="常规 9 2 3 3 2 4 3 3 2" xfId="40948" xr:uid="{00000000-0005-0000-0000-0000DA820000}"/>
    <cellStyle name="常规 9 2 3 3 2 4 3 4" xfId="28660" xr:uid="{00000000-0005-0000-0000-0000DB820000}"/>
    <cellStyle name="常规 9 2 3 3 2 4 4" xfId="7156" xr:uid="{00000000-0005-0000-0000-0000DC820000}"/>
    <cellStyle name="常规 9 2 3 3 2 4 4 2" xfId="19444" xr:uid="{00000000-0005-0000-0000-0000DD820000}"/>
    <cellStyle name="常规 9 2 3 3 2 4 4 2 2" xfId="44020" xr:uid="{00000000-0005-0000-0000-0000DE820000}"/>
    <cellStyle name="常规 9 2 3 3 2 4 4 3" xfId="31732" xr:uid="{00000000-0005-0000-0000-0000DF820000}"/>
    <cellStyle name="常规 9 2 3 3 2 4 5" xfId="13300" xr:uid="{00000000-0005-0000-0000-0000E0820000}"/>
    <cellStyle name="常规 9 2 3 3 2 4 5 2" xfId="37876" xr:uid="{00000000-0005-0000-0000-0000E1820000}"/>
    <cellStyle name="常规 9 2 3 3 2 4 6" xfId="25588" xr:uid="{00000000-0005-0000-0000-0000E2820000}"/>
    <cellStyle name="常规 9 2 3 3 2 5" xfId="1776" xr:uid="{00000000-0005-0000-0000-0000E3820000}"/>
    <cellStyle name="常规 9 2 3 3 2 5 2" xfId="4852" xr:uid="{00000000-0005-0000-0000-0000E4820000}"/>
    <cellStyle name="常规 9 2 3 3 2 5 2 2" xfId="10996" xr:uid="{00000000-0005-0000-0000-0000E5820000}"/>
    <cellStyle name="常规 9 2 3 3 2 5 2 2 2" xfId="23284" xr:uid="{00000000-0005-0000-0000-0000E6820000}"/>
    <cellStyle name="常规 9 2 3 3 2 5 2 2 2 2" xfId="47860" xr:uid="{00000000-0005-0000-0000-0000E7820000}"/>
    <cellStyle name="常规 9 2 3 3 2 5 2 2 3" xfId="35572" xr:uid="{00000000-0005-0000-0000-0000E8820000}"/>
    <cellStyle name="常规 9 2 3 3 2 5 2 3" xfId="17140" xr:uid="{00000000-0005-0000-0000-0000E9820000}"/>
    <cellStyle name="常规 9 2 3 3 2 5 2 3 2" xfId="41716" xr:uid="{00000000-0005-0000-0000-0000EA820000}"/>
    <cellStyle name="常规 9 2 3 3 2 5 2 4" xfId="29428" xr:uid="{00000000-0005-0000-0000-0000EB820000}"/>
    <cellStyle name="常规 9 2 3 3 2 5 3" xfId="7924" xr:uid="{00000000-0005-0000-0000-0000EC820000}"/>
    <cellStyle name="常规 9 2 3 3 2 5 3 2" xfId="20212" xr:uid="{00000000-0005-0000-0000-0000ED820000}"/>
    <cellStyle name="常规 9 2 3 3 2 5 3 2 2" xfId="44788" xr:uid="{00000000-0005-0000-0000-0000EE820000}"/>
    <cellStyle name="常规 9 2 3 3 2 5 3 3" xfId="32500" xr:uid="{00000000-0005-0000-0000-0000EF820000}"/>
    <cellStyle name="常规 9 2 3 3 2 5 4" xfId="14068" xr:uid="{00000000-0005-0000-0000-0000F0820000}"/>
    <cellStyle name="常规 9 2 3 3 2 5 4 2" xfId="38644" xr:uid="{00000000-0005-0000-0000-0000F1820000}"/>
    <cellStyle name="常规 9 2 3 3 2 5 5" xfId="26356" xr:uid="{00000000-0005-0000-0000-0000F2820000}"/>
    <cellStyle name="常规 9 2 3 3 2 6" xfId="3316" xr:uid="{00000000-0005-0000-0000-0000F3820000}"/>
    <cellStyle name="常规 9 2 3 3 2 6 2" xfId="9460" xr:uid="{00000000-0005-0000-0000-0000F4820000}"/>
    <cellStyle name="常规 9 2 3 3 2 6 2 2" xfId="21748" xr:uid="{00000000-0005-0000-0000-0000F5820000}"/>
    <cellStyle name="常规 9 2 3 3 2 6 2 2 2" xfId="46324" xr:uid="{00000000-0005-0000-0000-0000F6820000}"/>
    <cellStyle name="常规 9 2 3 3 2 6 2 3" xfId="34036" xr:uid="{00000000-0005-0000-0000-0000F7820000}"/>
    <cellStyle name="常规 9 2 3 3 2 6 3" xfId="15604" xr:uid="{00000000-0005-0000-0000-0000F8820000}"/>
    <cellStyle name="常规 9 2 3 3 2 6 3 2" xfId="40180" xr:uid="{00000000-0005-0000-0000-0000F9820000}"/>
    <cellStyle name="常规 9 2 3 3 2 6 4" xfId="27892" xr:uid="{00000000-0005-0000-0000-0000FA820000}"/>
    <cellStyle name="常规 9 2 3 3 2 7" xfId="6388" xr:uid="{00000000-0005-0000-0000-0000FB820000}"/>
    <cellStyle name="常规 9 2 3 3 2 7 2" xfId="18676" xr:uid="{00000000-0005-0000-0000-0000FC820000}"/>
    <cellStyle name="常规 9 2 3 3 2 7 2 2" xfId="43252" xr:uid="{00000000-0005-0000-0000-0000FD820000}"/>
    <cellStyle name="常规 9 2 3 3 2 7 3" xfId="30964" xr:uid="{00000000-0005-0000-0000-0000FE820000}"/>
    <cellStyle name="常规 9 2 3 3 2 8" xfId="12532" xr:uid="{00000000-0005-0000-0000-0000FF820000}"/>
    <cellStyle name="常规 9 2 3 3 2 8 2" xfId="37108" xr:uid="{00000000-0005-0000-0000-000000830000}"/>
    <cellStyle name="常规 9 2 3 3 2 9" xfId="24820" xr:uid="{00000000-0005-0000-0000-000001830000}"/>
    <cellStyle name="常规 9 2 3 3 3" xfId="304" xr:uid="{00000000-0005-0000-0000-000002830000}"/>
    <cellStyle name="常规 9 2 3 3 3 2" xfId="496" xr:uid="{00000000-0005-0000-0000-000003830000}"/>
    <cellStyle name="常规 9 2 3 3 3 2 2" xfId="880" xr:uid="{00000000-0005-0000-0000-000004830000}"/>
    <cellStyle name="常规 9 2 3 3 3 2 2 2" xfId="1648" xr:uid="{00000000-0005-0000-0000-000005830000}"/>
    <cellStyle name="常规 9 2 3 3 3 2 2 2 2" xfId="3184" xr:uid="{00000000-0005-0000-0000-000006830000}"/>
    <cellStyle name="常规 9 2 3 3 3 2 2 2 2 2" xfId="6260" xr:uid="{00000000-0005-0000-0000-000007830000}"/>
    <cellStyle name="常规 9 2 3 3 3 2 2 2 2 2 2" xfId="12404" xr:uid="{00000000-0005-0000-0000-000008830000}"/>
    <cellStyle name="常规 9 2 3 3 3 2 2 2 2 2 2 2" xfId="24692" xr:uid="{00000000-0005-0000-0000-000009830000}"/>
    <cellStyle name="常规 9 2 3 3 3 2 2 2 2 2 2 2 2" xfId="49268" xr:uid="{00000000-0005-0000-0000-00000A830000}"/>
    <cellStyle name="常规 9 2 3 3 3 2 2 2 2 2 2 3" xfId="36980" xr:uid="{00000000-0005-0000-0000-00000B830000}"/>
    <cellStyle name="常规 9 2 3 3 3 2 2 2 2 2 3" xfId="18548" xr:uid="{00000000-0005-0000-0000-00000C830000}"/>
    <cellStyle name="常规 9 2 3 3 3 2 2 2 2 2 3 2" xfId="43124" xr:uid="{00000000-0005-0000-0000-00000D830000}"/>
    <cellStyle name="常规 9 2 3 3 3 2 2 2 2 2 4" xfId="30836" xr:uid="{00000000-0005-0000-0000-00000E830000}"/>
    <cellStyle name="常规 9 2 3 3 3 2 2 2 2 3" xfId="9332" xr:uid="{00000000-0005-0000-0000-00000F830000}"/>
    <cellStyle name="常规 9 2 3 3 3 2 2 2 2 3 2" xfId="21620" xr:uid="{00000000-0005-0000-0000-000010830000}"/>
    <cellStyle name="常规 9 2 3 3 3 2 2 2 2 3 2 2" xfId="46196" xr:uid="{00000000-0005-0000-0000-000011830000}"/>
    <cellStyle name="常规 9 2 3 3 3 2 2 2 2 3 3" xfId="33908" xr:uid="{00000000-0005-0000-0000-000012830000}"/>
    <cellStyle name="常规 9 2 3 3 3 2 2 2 2 4" xfId="15476" xr:uid="{00000000-0005-0000-0000-000013830000}"/>
    <cellStyle name="常规 9 2 3 3 3 2 2 2 2 4 2" xfId="40052" xr:uid="{00000000-0005-0000-0000-000014830000}"/>
    <cellStyle name="常规 9 2 3 3 3 2 2 2 2 5" xfId="27764" xr:uid="{00000000-0005-0000-0000-000015830000}"/>
    <cellStyle name="常规 9 2 3 3 3 2 2 2 3" xfId="4724" xr:uid="{00000000-0005-0000-0000-000016830000}"/>
    <cellStyle name="常规 9 2 3 3 3 2 2 2 3 2" xfId="10868" xr:uid="{00000000-0005-0000-0000-000017830000}"/>
    <cellStyle name="常规 9 2 3 3 3 2 2 2 3 2 2" xfId="23156" xr:uid="{00000000-0005-0000-0000-000018830000}"/>
    <cellStyle name="常规 9 2 3 3 3 2 2 2 3 2 2 2" xfId="47732" xr:uid="{00000000-0005-0000-0000-000019830000}"/>
    <cellStyle name="常规 9 2 3 3 3 2 2 2 3 2 3" xfId="35444" xr:uid="{00000000-0005-0000-0000-00001A830000}"/>
    <cellStyle name="常规 9 2 3 3 3 2 2 2 3 3" xfId="17012" xr:uid="{00000000-0005-0000-0000-00001B830000}"/>
    <cellStyle name="常规 9 2 3 3 3 2 2 2 3 3 2" xfId="41588" xr:uid="{00000000-0005-0000-0000-00001C830000}"/>
    <cellStyle name="常规 9 2 3 3 3 2 2 2 3 4" xfId="29300" xr:uid="{00000000-0005-0000-0000-00001D830000}"/>
    <cellStyle name="常规 9 2 3 3 3 2 2 2 4" xfId="7796" xr:uid="{00000000-0005-0000-0000-00001E830000}"/>
    <cellStyle name="常规 9 2 3 3 3 2 2 2 4 2" xfId="20084" xr:uid="{00000000-0005-0000-0000-00001F830000}"/>
    <cellStyle name="常规 9 2 3 3 3 2 2 2 4 2 2" xfId="44660" xr:uid="{00000000-0005-0000-0000-000020830000}"/>
    <cellStyle name="常规 9 2 3 3 3 2 2 2 4 3" xfId="32372" xr:uid="{00000000-0005-0000-0000-000021830000}"/>
    <cellStyle name="常规 9 2 3 3 3 2 2 2 5" xfId="13940" xr:uid="{00000000-0005-0000-0000-000022830000}"/>
    <cellStyle name="常规 9 2 3 3 3 2 2 2 5 2" xfId="38516" xr:uid="{00000000-0005-0000-0000-000023830000}"/>
    <cellStyle name="常规 9 2 3 3 3 2 2 2 6" xfId="26228" xr:uid="{00000000-0005-0000-0000-000024830000}"/>
    <cellStyle name="常规 9 2 3 3 3 2 2 3" xfId="2416" xr:uid="{00000000-0005-0000-0000-000025830000}"/>
    <cellStyle name="常规 9 2 3 3 3 2 2 3 2" xfId="5492" xr:uid="{00000000-0005-0000-0000-000026830000}"/>
    <cellStyle name="常规 9 2 3 3 3 2 2 3 2 2" xfId="11636" xr:uid="{00000000-0005-0000-0000-000027830000}"/>
    <cellStyle name="常规 9 2 3 3 3 2 2 3 2 2 2" xfId="23924" xr:uid="{00000000-0005-0000-0000-000028830000}"/>
    <cellStyle name="常规 9 2 3 3 3 2 2 3 2 2 2 2" xfId="48500" xr:uid="{00000000-0005-0000-0000-000029830000}"/>
    <cellStyle name="常规 9 2 3 3 3 2 2 3 2 2 3" xfId="36212" xr:uid="{00000000-0005-0000-0000-00002A830000}"/>
    <cellStyle name="常规 9 2 3 3 3 2 2 3 2 3" xfId="17780" xr:uid="{00000000-0005-0000-0000-00002B830000}"/>
    <cellStyle name="常规 9 2 3 3 3 2 2 3 2 3 2" xfId="42356" xr:uid="{00000000-0005-0000-0000-00002C830000}"/>
    <cellStyle name="常规 9 2 3 3 3 2 2 3 2 4" xfId="30068" xr:uid="{00000000-0005-0000-0000-00002D830000}"/>
    <cellStyle name="常规 9 2 3 3 3 2 2 3 3" xfId="8564" xr:uid="{00000000-0005-0000-0000-00002E830000}"/>
    <cellStyle name="常规 9 2 3 3 3 2 2 3 3 2" xfId="20852" xr:uid="{00000000-0005-0000-0000-00002F830000}"/>
    <cellStyle name="常规 9 2 3 3 3 2 2 3 3 2 2" xfId="45428" xr:uid="{00000000-0005-0000-0000-000030830000}"/>
    <cellStyle name="常规 9 2 3 3 3 2 2 3 3 3" xfId="33140" xr:uid="{00000000-0005-0000-0000-000031830000}"/>
    <cellStyle name="常规 9 2 3 3 3 2 2 3 4" xfId="14708" xr:uid="{00000000-0005-0000-0000-000032830000}"/>
    <cellStyle name="常规 9 2 3 3 3 2 2 3 4 2" xfId="39284" xr:uid="{00000000-0005-0000-0000-000033830000}"/>
    <cellStyle name="常规 9 2 3 3 3 2 2 3 5" xfId="26996" xr:uid="{00000000-0005-0000-0000-000034830000}"/>
    <cellStyle name="常规 9 2 3 3 3 2 2 4" xfId="3956" xr:uid="{00000000-0005-0000-0000-000035830000}"/>
    <cellStyle name="常规 9 2 3 3 3 2 2 4 2" xfId="10100" xr:uid="{00000000-0005-0000-0000-000036830000}"/>
    <cellStyle name="常规 9 2 3 3 3 2 2 4 2 2" xfId="22388" xr:uid="{00000000-0005-0000-0000-000037830000}"/>
    <cellStyle name="常规 9 2 3 3 3 2 2 4 2 2 2" xfId="46964" xr:uid="{00000000-0005-0000-0000-000038830000}"/>
    <cellStyle name="常规 9 2 3 3 3 2 2 4 2 3" xfId="34676" xr:uid="{00000000-0005-0000-0000-000039830000}"/>
    <cellStyle name="常规 9 2 3 3 3 2 2 4 3" xfId="16244" xr:uid="{00000000-0005-0000-0000-00003A830000}"/>
    <cellStyle name="常规 9 2 3 3 3 2 2 4 3 2" xfId="40820" xr:uid="{00000000-0005-0000-0000-00003B830000}"/>
    <cellStyle name="常规 9 2 3 3 3 2 2 4 4" xfId="28532" xr:uid="{00000000-0005-0000-0000-00003C830000}"/>
    <cellStyle name="常规 9 2 3 3 3 2 2 5" xfId="7028" xr:uid="{00000000-0005-0000-0000-00003D830000}"/>
    <cellStyle name="常规 9 2 3 3 3 2 2 5 2" xfId="19316" xr:uid="{00000000-0005-0000-0000-00003E830000}"/>
    <cellStyle name="常规 9 2 3 3 3 2 2 5 2 2" xfId="43892" xr:uid="{00000000-0005-0000-0000-00003F830000}"/>
    <cellStyle name="常规 9 2 3 3 3 2 2 5 3" xfId="31604" xr:uid="{00000000-0005-0000-0000-000040830000}"/>
    <cellStyle name="常规 9 2 3 3 3 2 2 6" xfId="13172" xr:uid="{00000000-0005-0000-0000-000041830000}"/>
    <cellStyle name="常规 9 2 3 3 3 2 2 6 2" xfId="37748" xr:uid="{00000000-0005-0000-0000-000042830000}"/>
    <cellStyle name="常规 9 2 3 3 3 2 2 7" xfId="25460" xr:uid="{00000000-0005-0000-0000-000043830000}"/>
    <cellStyle name="常规 9 2 3 3 3 2 3" xfId="1264" xr:uid="{00000000-0005-0000-0000-000044830000}"/>
    <cellStyle name="常规 9 2 3 3 3 2 3 2" xfId="2800" xr:uid="{00000000-0005-0000-0000-000045830000}"/>
    <cellStyle name="常规 9 2 3 3 3 2 3 2 2" xfId="5876" xr:uid="{00000000-0005-0000-0000-000046830000}"/>
    <cellStyle name="常规 9 2 3 3 3 2 3 2 2 2" xfId="12020" xr:uid="{00000000-0005-0000-0000-000047830000}"/>
    <cellStyle name="常规 9 2 3 3 3 2 3 2 2 2 2" xfId="24308" xr:uid="{00000000-0005-0000-0000-000048830000}"/>
    <cellStyle name="常规 9 2 3 3 3 2 3 2 2 2 2 2" xfId="48884" xr:uid="{00000000-0005-0000-0000-000049830000}"/>
    <cellStyle name="常规 9 2 3 3 3 2 3 2 2 2 3" xfId="36596" xr:uid="{00000000-0005-0000-0000-00004A830000}"/>
    <cellStyle name="常规 9 2 3 3 3 2 3 2 2 3" xfId="18164" xr:uid="{00000000-0005-0000-0000-00004B830000}"/>
    <cellStyle name="常规 9 2 3 3 3 2 3 2 2 3 2" xfId="42740" xr:uid="{00000000-0005-0000-0000-00004C830000}"/>
    <cellStyle name="常规 9 2 3 3 3 2 3 2 2 4" xfId="30452" xr:uid="{00000000-0005-0000-0000-00004D830000}"/>
    <cellStyle name="常规 9 2 3 3 3 2 3 2 3" xfId="8948" xr:uid="{00000000-0005-0000-0000-00004E830000}"/>
    <cellStyle name="常规 9 2 3 3 3 2 3 2 3 2" xfId="21236" xr:uid="{00000000-0005-0000-0000-00004F830000}"/>
    <cellStyle name="常规 9 2 3 3 3 2 3 2 3 2 2" xfId="45812" xr:uid="{00000000-0005-0000-0000-000050830000}"/>
    <cellStyle name="常规 9 2 3 3 3 2 3 2 3 3" xfId="33524" xr:uid="{00000000-0005-0000-0000-000051830000}"/>
    <cellStyle name="常规 9 2 3 3 3 2 3 2 4" xfId="15092" xr:uid="{00000000-0005-0000-0000-000052830000}"/>
    <cellStyle name="常规 9 2 3 3 3 2 3 2 4 2" xfId="39668" xr:uid="{00000000-0005-0000-0000-000053830000}"/>
    <cellStyle name="常规 9 2 3 3 3 2 3 2 5" xfId="27380" xr:uid="{00000000-0005-0000-0000-000054830000}"/>
    <cellStyle name="常规 9 2 3 3 3 2 3 3" xfId="4340" xr:uid="{00000000-0005-0000-0000-000055830000}"/>
    <cellStyle name="常规 9 2 3 3 3 2 3 3 2" xfId="10484" xr:uid="{00000000-0005-0000-0000-000056830000}"/>
    <cellStyle name="常规 9 2 3 3 3 2 3 3 2 2" xfId="22772" xr:uid="{00000000-0005-0000-0000-000057830000}"/>
    <cellStyle name="常规 9 2 3 3 3 2 3 3 2 2 2" xfId="47348" xr:uid="{00000000-0005-0000-0000-000058830000}"/>
    <cellStyle name="常规 9 2 3 3 3 2 3 3 2 3" xfId="35060" xr:uid="{00000000-0005-0000-0000-000059830000}"/>
    <cellStyle name="常规 9 2 3 3 3 2 3 3 3" xfId="16628" xr:uid="{00000000-0005-0000-0000-00005A830000}"/>
    <cellStyle name="常规 9 2 3 3 3 2 3 3 3 2" xfId="41204" xr:uid="{00000000-0005-0000-0000-00005B830000}"/>
    <cellStyle name="常规 9 2 3 3 3 2 3 3 4" xfId="28916" xr:uid="{00000000-0005-0000-0000-00005C830000}"/>
    <cellStyle name="常规 9 2 3 3 3 2 3 4" xfId="7412" xr:uid="{00000000-0005-0000-0000-00005D830000}"/>
    <cellStyle name="常规 9 2 3 3 3 2 3 4 2" xfId="19700" xr:uid="{00000000-0005-0000-0000-00005E830000}"/>
    <cellStyle name="常规 9 2 3 3 3 2 3 4 2 2" xfId="44276" xr:uid="{00000000-0005-0000-0000-00005F830000}"/>
    <cellStyle name="常规 9 2 3 3 3 2 3 4 3" xfId="31988" xr:uid="{00000000-0005-0000-0000-000060830000}"/>
    <cellStyle name="常规 9 2 3 3 3 2 3 5" xfId="13556" xr:uid="{00000000-0005-0000-0000-000061830000}"/>
    <cellStyle name="常规 9 2 3 3 3 2 3 5 2" xfId="38132" xr:uid="{00000000-0005-0000-0000-000062830000}"/>
    <cellStyle name="常规 9 2 3 3 3 2 3 6" xfId="25844" xr:uid="{00000000-0005-0000-0000-000063830000}"/>
    <cellStyle name="常规 9 2 3 3 3 2 4" xfId="2032" xr:uid="{00000000-0005-0000-0000-000064830000}"/>
    <cellStyle name="常规 9 2 3 3 3 2 4 2" xfId="5108" xr:uid="{00000000-0005-0000-0000-000065830000}"/>
    <cellStyle name="常规 9 2 3 3 3 2 4 2 2" xfId="11252" xr:uid="{00000000-0005-0000-0000-000066830000}"/>
    <cellStyle name="常规 9 2 3 3 3 2 4 2 2 2" xfId="23540" xr:uid="{00000000-0005-0000-0000-000067830000}"/>
    <cellStyle name="常规 9 2 3 3 3 2 4 2 2 2 2" xfId="48116" xr:uid="{00000000-0005-0000-0000-000068830000}"/>
    <cellStyle name="常规 9 2 3 3 3 2 4 2 2 3" xfId="35828" xr:uid="{00000000-0005-0000-0000-000069830000}"/>
    <cellStyle name="常规 9 2 3 3 3 2 4 2 3" xfId="17396" xr:uid="{00000000-0005-0000-0000-00006A830000}"/>
    <cellStyle name="常规 9 2 3 3 3 2 4 2 3 2" xfId="41972" xr:uid="{00000000-0005-0000-0000-00006B830000}"/>
    <cellStyle name="常规 9 2 3 3 3 2 4 2 4" xfId="29684" xr:uid="{00000000-0005-0000-0000-00006C830000}"/>
    <cellStyle name="常规 9 2 3 3 3 2 4 3" xfId="8180" xr:uid="{00000000-0005-0000-0000-00006D830000}"/>
    <cellStyle name="常规 9 2 3 3 3 2 4 3 2" xfId="20468" xr:uid="{00000000-0005-0000-0000-00006E830000}"/>
    <cellStyle name="常规 9 2 3 3 3 2 4 3 2 2" xfId="45044" xr:uid="{00000000-0005-0000-0000-00006F830000}"/>
    <cellStyle name="常规 9 2 3 3 3 2 4 3 3" xfId="32756" xr:uid="{00000000-0005-0000-0000-000070830000}"/>
    <cellStyle name="常规 9 2 3 3 3 2 4 4" xfId="14324" xr:uid="{00000000-0005-0000-0000-000071830000}"/>
    <cellStyle name="常规 9 2 3 3 3 2 4 4 2" xfId="38900" xr:uid="{00000000-0005-0000-0000-000072830000}"/>
    <cellStyle name="常规 9 2 3 3 3 2 4 5" xfId="26612" xr:uid="{00000000-0005-0000-0000-000073830000}"/>
    <cellStyle name="常规 9 2 3 3 3 2 5" xfId="3572" xr:uid="{00000000-0005-0000-0000-000074830000}"/>
    <cellStyle name="常规 9 2 3 3 3 2 5 2" xfId="9716" xr:uid="{00000000-0005-0000-0000-000075830000}"/>
    <cellStyle name="常规 9 2 3 3 3 2 5 2 2" xfId="22004" xr:uid="{00000000-0005-0000-0000-000076830000}"/>
    <cellStyle name="常规 9 2 3 3 3 2 5 2 2 2" xfId="46580" xr:uid="{00000000-0005-0000-0000-000077830000}"/>
    <cellStyle name="常规 9 2 3 3 3 2 5 2 3" xfId="34292" xr:uid="{00000000-0005-0000-0000-000078830000}"/>
    <cellStyle name="常规 9 2 3 3 3 2 5 3" xfId="15860" xr:uid="{00000000-0005-0000-0000-000079830000}"/>
    <cellStyle name="常规 9 2 3 3 3 2 5 3 2" xfId="40436" xr:uid="{00000000-0005-0000-0000-00007A830000}"/>
    <cellStyle name="常规 9 2 3 3 3 2 5 4" xfId="28148" xr:uid="{00000000-0005-0000-0000-00007B830000}"/>
    <cellStyle name="常规 9 2 3 3 3 2 6" xfId="6644" xr:uid="{00000000-0005-0000-0000-00007C830000}"/>
    <cellStyle name="常规 9 2 3 3 3 2 6 2" xfId="18932" xr:uid="{00000000-0005-0000-0000-00007D830000}"/>
    <cellStyle name="常规 9 2 3 3 3 2 6 2 2" xfId="43508" xr:uid="{00000000-0005-0000-0000-00007E830000}"/>
    <cellStyle name="常规 9 2 3 3 3 2 6 3" xfId="31220" xr:uid="{00000000-0005-0000-0000-00007F830000}"/>
    <cellStyle name="常规 9 2 3 3 3 2 7" xfId="12788" xr:uid="{00000000-0005-0000-0000-000080830000}"/>
    <cellStyle name="常规 9 2 3 3 3 2 7 2" xfId="37364" xr:uid="{00000000-0005-0000-0000-000081830000}"/>
    <cellStyle name="常规 9 2 3 3 3 2 8" xfId="25076" xr:uid="{00000000-0005-0000-0000-000082830000}"/>
    <cellStyle name="常规 9 2 3 3 3 3" xfId="688" xr:uid="{00000000-0005-0000-0000-000083830000}"/>
    <cellStyle name="常规 9 2 3 3 3 3 2" xfId="1456" xr:uid="{00000000-0005-0000-0000-000084830000}"/>
    <cellStyle name="常规 9 2 3 3 3 3 2 2" xfId="2992" xr:uid="{00000000-0005-0000-0000-000085830000}"/>
    <cellStyle name="常规 9 2 3 3 3 3 2 2 2" xfId="6068" xr:uid="{00000000-0005-0000-0000-000086830000}"/>
    <cellStyle name="常规 9 2 3 3 3 3 2 2 2 2" xfId="12212" xr:uid="{00000000-0005-0000-0000-000087830000}"/>
    <cellStyle name="常规 9 2 3 3 3 3 2 2 2 2 2" xfId="24500" xr:uid="{00000000-0005-0000-0000-000088830000}"/>
    <cellStyle name="常规 9 2 3 3 3 3 2 2 2 2 2 2" xfId="49076" xr:uid="{00000000-0005-0000-0000-000089830000}"/>
    <cellStyle name="常规 9 2 3 3 3 3 2 2 2 2 3" xfId="36788" xr:uid="{00000000-0005-0000-0000-00008A830000}"/>
    <cellStyle name="常规 9 2 3 3 3 3 2 2 2 3" xfId="18356" xr:uid="{00000000-0005-0000-0000-00008B830000}"/>
    <cellStyle name="常规 9 2 3 3 3 3 2 2 2 3 2" xfId="42932" xr:uid="{00000000-0005-0000-0000-00008C830000}"/>
    <cellStyle name="常规 9 2 3 3 3 3 2 2 2 4" xfId="30644" xr:uid="{00000000-0005-0000-0000-00008D830000}"/>
    <cellStyle name="常规 9 2 3 3 3 3 2 2 3" xfId="9140" xr:uid="{00000000-0005-0000-0000-00008E830000}"/>
    <cellStyle name="常规 9 2 3 3 3 3 2 2 3 2" xfId="21428" xr:uid="{00000000-0005-0000-0000-00008F830000}"/>
    <cellStyle name="常规 9 2 3 3 3 3 2 2 3 2 2" xfId="46004" xr:uid="{00000000-0005-0000-0000-000090830000}"/>
    <cellStyle name="常规 9 2 3 3 3 3 2 2 3 3" xfId="33716" xr:uid="{00000000-0005-0000-0000-000091830000}"/>
    <cellStyle name="常规 9 2 3 3 3 3 2 2 4" xfId="15284" xr:uid="{00000000-0005-0000-0000-000092830000}"/>
    <cellStyle name="常规 9 2 3 3 3 3 2 2 4 2" xfId="39860" xr:uid="{00000000-0005-0000-0000-000093830000}"/>
    <cellStyle name="常规 9 2 3 3 3 3 2 2 5" xfId="27572" xr:uid="{00000000-0005-0000-0000-000094830000}"/>
    <cellStyle name="常规 9 2 3 3 3 3 2 3" xfId="4532" xr:uid="{00000000-0005-0000-0000-000095830000}"/>
    <cellStyle name="常规 9 2 3 3 3 3 2 3 2" xfId="10676" xr:uid="{00000000-0005-0000-0000-000096830000}"/>
    <cellStyle name="常规 9 2 3 3 3 3 2 3 2 2" xfId="22964" xr:uid="{00000000-0005-0000-0000-000097830000}"/>
    <cellStyle name="常规 9 2 3 3 3 3 2 3 2 2 2" xfId="47540" xr:uid="{00000000-0005-0000-0000-000098830000}"/>
    <cellStyle name="常规 9 2 3 3 3 3 2 3 2 3" xfId="35252" xr:uid="{00000000-0005-0000-0000-000099830000}"/>
    <cellStyle name="常规 9 2 3 3 3 3 2 3 3" xfId="16820" xr:uid="{00000000-0005-0000-0000-00009A830000}"/>
    <cellStyle name="常规 9 2 3 3 3 3 2 3 3 2" xfId="41396" xr:uid="{00000000-0005-0000-0000-00009B830000}"/>
    <cellStyle name="常规 9 2 3 3 3 3 2 3 4" xfId="29108" xr:uid="{00000000-0005-0000-0000-00009C830000}"/>
    <cellStyle name="常规 9 2 3 3 3 3 2 4" xfId="7604" xr:uid="{00000000-0005-0000-0000-00009D830000}"/>
    <cellStyle name="常规 9 2 3 3 3 3 2 4 2" xfId="19892" xr:uid="{00000000-0005-0000-0000-00009E830000}"/>
    <cellStyle name="常规 9 2 3 3 3 3 2 4 2 2" xfId="44468" xr:uid="{00000000-0005-0000-0000-00009F830000}"/>
    <cellStyle name="常规 9 2 3 3 3 3 2 4 3" xfId="32180" xr:uid="{00000000-0005-0000-0000-0000A0830000}"/>
    <cellStyle name="常规 9 2 3 3 3 3 2 5" xfId="13748" xr:uid="{00000000-0005-0000-0000-0000A1830000}"/>
    <cellStyle name="常规 9 2 3 3 3 3 2 5 2" xfId="38324" xr:uid="{00000000-0005-0000-0000-0000A2830000}"/>
    <cellStyle name="常规 9 2 3 3 3 3 2 6" xfId="26036" xr:uid="{00000000-0005-0000-0000-0000A3830000}"/>
    <cellStyle name="常规 9 2 3 3 3 3 3" xfId="2224" xr:uid="{00000000-0005-0000-0000-0000A4830000}"/>
    <cellStyle name="常规 9 2 3 3 3 3 3 2" xfId="5300" xr:uid="{00000000-0005-0000-0000-0000A5830000}"/>
    <cellStyle name="常规 9 2 3 3 3 3 3 2 2" xfId="11444" xr:uid="{00000000-0005-0000-0000-0000A6830000}"/>
    <cellStyle name="常规 9 2 3 3 3 3 3 2 2 2" xfId="23732" xr:uid="{00000000-0005-0000-0000-0000A7830000}"/>
    <cellStyle name="常规 9 2 3 3 3 3 3 2 2 2 2" xfId="48308" xr:uid="{00000000-0005-0000-0000-0000A8830000}"/>
    <cellStyle name="常规 9 2 3 3 3 3 3 2 2 3" xfId="36020" xr:uid="{00000000-0005-0000-0000-0000A9830000}"/>
    <cellStyle name="常规 9 2 3 3 3 3 3 2 3" xfId="17588" xr:uid="{00000000-0005-0000-0000-0000AA830000}"/>
    <cellStyle name="常规 9 2 3 3 3 3 3 2 3 2" xfId="42164" xr:uid="{00000000-0005-0000-0000-0000AB830000}"/>
    <cellStyle name="常规 9 2 3 3 3 3 3 2 4" xfId="29876" xr:uid="{00000000-0005-0000-0000-0000AC830000}"/>
    <cellStyle name="常规 9 2 3 3 3 3 3 3" xfId="8372" xr:uid="{00000000-0005-0000-0000-0000AD830000}"/>
    <cellStyle name="常规 9 2 3 3 3 3 3 3 2" xfId="20660" xr:uid="{00000000-0005-0000-0000-0000AE830000}"/>
    <cellStyle name="常规 9 2 3 3 3 3 3 3 2 2" xfId="45236" xr:uid="{00000000-0005-0000-0000-0000AF830000}"/>
    <cellStyle name="常规 9 2 3 3 3 3 3 3 3" xfId="32948" xr:uid="{00000000-0005-0000-0000-0000B0830000}"/>
    <cellStyle name="常规 9 2 3 3 3 3 3 4" xfId="14516" xr:uid="{00000000-0005-0000-0000-0000B1830000}"/>
    <cellStyle name="常规 9 2 3 3 3 3 3 4 2" xfId="39092" xr:uid="{00000000-0005-0000-0000-0000B2830000}"/>
    <cellStyle name="常规 9 2 3 3 3 3 3 5" xfId="26804" xr:uid="{00000000-0005-0000-0000-0000B3830000}"/>
    <cellStyle name="常规 9 2 3 3 3 3 4" xfId="3764" xr:uid="{00000000-0005-0000-0000-0000B4830000}"/>
    <cellStyle name="常规 9 2 3 3 3 3 4 2" xfId="9908" xr:uid="{00000000-0005-0000-0000-0000B5830000}"/>
    <cellStyle name="常规 9 2 3 3 3 3 4 2 2" xfId="22196" xr:uid="{00000000-0005-0000-0000-0000B6830000}"/>
    <cellStyle name="常规 9 2 3 3 3 3 4 2 2 2" xfId="46772" xr:uid="{00000000-0005-0000-0000-0000B7830000}"/>
    <cellStyle name="常规 9 2 3 3 3 3 4 2 3" xfId="34484" xr:uid="{00000000-0005-0000-0000-0000B8830000}"/>
    <cellStyle name="常规 9 2 3 3 3 3 4 3" xfId="16052" xr:uid="{00000000-0005-0000-0000-0000B9830000}"/>
    <cellStyle name="常规 9 2 3 3 3 3 4 3 2" xfId="40628" xr:uid="{00000000-0005-0000-0000-0000BA830000}"/>
    <cellStyle name="常规 9 2 3 3 3 3 4 4" xfId="28340" xr:uid="{00000000-0005-0000-0000-0000BB830000}"/>
    <cellStyle name="常规 9 2 3 3 3 3 5" xfId="6836" xr:uid="{00000000-0005-0000-0000-0000BC830000}"/>
    <cellStyle name="常规 9 2 3 3 3 3 5 2" xfId="19124" xr:uid="{00000000-0005-0000-0000-0000BD830000}"/>
    <cellStyle name="常规 9 2 3 3 3 3 5 2 2" xfId="43700" xr:uid="{00000000-0005-0000-0000-0000BE830000}"/>
    <cellStyle name="常规 9 2 3 3 3 3 5 3" xfId="31412" xr:uid="{00000000-0005-0000-0000-0000BF830000}"/>
    <cellStyle name="常规 9 2 3 3 3 3 6" xfId="12980" xr:uid="{00000000-0005-0000-0000-0000C0830000}"/>
    <cellStyle name="常规 9 2 3 3 3 3 6 2" xfId="37556" xr:uid="{00000000-0005-0000-0000-0000C1830000}"/>
    <cellStyle name="常规 9 2 3 3 3 3 7" xfId="25268" xr:uid="{00000000-0005-0000-0000-0000C2830000}"/>
    <cellStyle name="常规 9 2 3 3 3 4" xfId="1072" xr:uid="{00000000-0005-0000-0000-0000C3830000}"/>
    <cellStyle name="常规 9 2 3 3 3 4 2" xfId="2608" xr:uid="{00000000-0005-0000-0000-0000C4830000}"/>
    <cellStyle name="常规 9 2 3 3 3 4 2 2" xfId="5684" xr:uid="{00000000-0005-0000-0000-0000C5830000}"/>
    <cellStyle name="常规 9 2 3 3 3 4 2 2 2" xfId="11828" xr:uid="{00000000-0005-0000-0000-0000C6830000}"/>
    <cellStyle name="常规 9 2 3 3 3 4 2 2 2 2" xfId="24116" xr:uid="{00000000-0005-0000-0000-0000C7830000}"/>
    <cellStyle name="常规 9 2 3 3 3 4 2 2 2 2 2" xfId="48692" xr:uid="{00000000-0005-0000-0000-0000C8830000}"/>
    <cellStyle name="常规 9 2 3 3 3 4 2 2 2 3" xfId="36404" xr:uid="{00000000-0005-0000-0000-0000C9830000}"/>
    <cellStyle name="常规 9 2 3 3 3 4 2 2 3" xfId="17972" xr:uid="{00000000-0005-0000-0000-0000CA830000}"/>
    <cellStyle name="常规 9 2 3 3 3 4 2 2 3 2" xfId="42548" xr:uid="{00000000-0005-0000-0000-0000CB830000}"/>
    <cellStyle name="常规 9 2 3 3 3 4 2 2 4" xfId="30260" xr:uid="{00000000-0005-0000-0000-0000CC830000}"/>
    <cellStyle name="常规 9 2 3 3 3 4 2 3" xfId="8756" xr:uid="{00000000-0005-0000-0000-0000CD830000}"/>
    <cellStyle name="常规 9 2 3 3 3 4 2 3 2" xfId="21044" xr:uid="{00000000-0005-0000-0000-0000CE830000}"/>
    <cellStyle name="常规 9 2 3 3 3 4 2 3 2 2" xfId="45620" xr:uid="{00000000-0005-0000-0000-0000CF830000}"/>
    <cellStyle name="常规 9 2 3 3 3 4 2 3 3" xfId="33332" xr:uid="{00000000-0005-0000-0000-0000D0830000}"/>
    <cellStyle name="常规 9 2 3 3 3 4 2 4" xfId="14900" xr:uid="{00000000-0005-0000-0000-0000D1830000}"/>
    <cellStyle name="常规 9 2 3 3 3 4 2 4 2" xfId="39476" xr:uid="{00000000-0005-0000-0000-0000D2830000}"/>
    <cellStyle name="常规 9 2 3 3 3 4 2 5" xfId="27188" xr:uid="{00000000-0005-0000-0000-0000D3830000}"/>
    <cellStyle name="常规 9 2 3 3 3 4 3" xfId="4148" xr:uid="{00000000-0005-0000-0000-0000D4830000}"/>
    <cellStyle name="常规 9 2 3 3 3 4 3 2" xfId="10292" xr:uid="{00000000-0005-0000-0000-0000D5830000}"/>
    <cellStyle name="常规 9 2 3 3 3 4 3 2 2" xfId="22580" xr:uid="{00000000-0005-0000-0000-0000D6830000}"/>
    <cellStyle name="常规 9 2 3 3 3 4 3 2 2 2" xfId="47156" xr:uid="{00000000-0005-0000-0000-0000D7830000}"/>
    <cellStyle name="常规 9 2 3 3 3 4 3 2 3" xfId="34868" xr:uid="{00000000-0005-0000-0000-0000D8830000}"/>
    <cellStyle name="常规 9 2 3 3 3 4 3 3" xfId="16436" xr:uid="{00000000-0005-0000-0000-0000D9830000}"/>
    <cellStyle name="常规 9 2 3 3 3 4 3 3 2" xfId="41012" xr:uid="{00000000-0005-0000-0000-0000DA830000}"/>
    <cellStyle name="常规 9 2 3 3 3 4 3 4" xfId="28724" xr:uid="{00000000-0005-0000-0000-0000DB830000}"/>
    <cellStyle name="常规 9 2 3 3 3 4 4" xfId="7220" xr:uid="{00000000-0005-0000-0000-0000DC830000}"/>
    <cellStyle name="常规 9 2 3 3 3 4 4 2" xfId="19508" xr:uid="{00000000-0005-0000-0000-0000DD830000}"/>
    <cellStyle name="常规 9 2 3 3 3 4 4 2 2" xfId="44084" xr:uid="{00000000-0005-0000-0000-0000DE830000}"/>
    <cellStyle name="常规 9 2 3 3 3 4 4 3" xfId="31796" xr:uid="{00000000-0005-0000-0000-0000DF830000}"/>
    <cellStyle name="常规 9 2 3 3 3 4 5" xfId="13364" xr:uid="{00000000-0005-0000-0000-0000E0830000}"/>
    <cellStyle name="常规 9 2 3 3 3 4 5 2" xfId="37940" xr:uid="{00000000-0005-0000-0000-0000E1830000}"/>
    <cellStyle name="常规 9 2 3 3 3 4 6" xfId="25652" xr:uid="{00000000-0005-0000-0000-0000E2830000}"/>
    <cellStyle name="常规 9 2 3 3 3 5" xfId="1840" xr:uid="{00000000-0005-0000-0000-0000E3830000}"/>
    <cellStyle name="常规 9 2 3 3 3 5 2" xfId="4916" xr:uid="{00000000-0005-0000-0000-0000E4830000}"/>
    <cellStyle name="常规 9 2 3 3 3 5 2 2" xfId="11060" xr:uid="{00000000-0005-0000-0000-0000E5830000}"/>
    <cellStyle name="常规 9 2 3 3 3 5 2 2 2" xfId="23348" xr:uid="{00000000-0005-0000-0000-0000E6830000}"/>
    <cellStyle name="常规 9 2 3 3 3 5 2 2 2 2" xfId="47924" xr:uid="{00000000-0005-0000-0000-0000E7830000}"/>
    <cellStyle name="常规 9 2 3 3 3 5 2 2 3" xfId="35636" xr:uid="{00000000-0005-0000-0000-0000E8830000}"/>
    <cellStyle name="常规 9 2 3 3 3 5 2 3" xfId="17204" xr:uid="{00000000-0005-0000-0000-0000E9830000}"/>
    <cellStyle name="常规 9 2 3 3 3 5 2 3 2" xfId="41780" xr:uid="{00000000-0005-0000-0000-0000EA830000}"/>
    <cellStyle name="常规 9 2 3 3 3 5 2 4" xfId="29492" xr:uid="{00000000-0005-0000-0000-0000EB830000}"/>
    <cellStyle name="常规 9 2 3 3 3 5 3" xfId="7988" xr:uid="{00000000-0005-0000-0000-0000EC830000}"/>
    <cellStyle name="常规 9 2 3 3 3 5 3 2" xfId="20276" xr:uid="{00000000-0005-0000-0000-0000ED830000}"/>
    <cellStyle name="常规 9 2 3 3 3 5 3 2 2" xfId="44852" xr:uid="{00000000-0005-0000-0000-0000EE830000}"/>
    <cellStyle name="常规 9 2 3 3 3 5 3 3" xfId="32564" xr:uid="{00000000-0005-0000-0000-0000EF830000}"/>
    <cellStyle name="常规 9 2 3 3 3 5 4" xfId="14132" xr:uid="{00000000-0005-0000-0000-0000F0830000}"/>
    <cellStyle name="常规 9 2 3 3 3 5 4 2" xfId="38708" xr:uid="{00000000-0005-0000-0000-0000F1830000}"/>
    <cellStyle name="常规 9 2 3 3 3 5 5" xfId="26420" xr:uid="{00000000-0005-0000-0000-0000F2830000}"/>
    <cellStyle name="常规 9 2 3 3 3 6" xfId="3380" xr:uid="{00000000-0005-0000-0000-0000F3830000}"/>
    <cellStyle name="常规 9 2 3 3 3 6 2" xfId="9524" xr:uid="{00000000-0005-0000-0000-0000F4830000}"/>
    <cellStyle name="常规 9 2 3 3 3 6 2 2" xfId="21812" xr:uid="{00000000-0005-0000-0000-0000F5830000}"/>
    <cellStyle name="常规 9 2 3 3 3 6 2 2 2" xfId="46388" xr:uid="{00000000-0005-0000-0000-0000F6830000}"/>
    <cellStyle name="常规 9 2 3 3 3 6 2 3" xfId="34100" xr:uid="{00000000-0005-0000-0000-0000F7830000}"/>
    <cellStyle name="常规 9 2 3 3 3 6 3" xfId="15668" xr:uid="{00000000-0005-0000-0000-0000F8830000}"/>
    <cellStyle name="常规 9 2 3 3 3 6 3 2" xfId="40244" xr:uid="{00000000-0005-0000-0000-0000F9830000}"/>
    <cellStyle name="常规 9 2 3 3 3 6 4" xfId="27956" xr:uid="{00000000-0005-0000-0000-0000FA830000}"/>
    <cellStyle name="常规 9 2 3 3 3 7" xfId="6452" xr:uid="{00000000-0005-0000-0000-0000FB830000}"/>
    <cellStyle name="常规 9 2 3 3 3 7 2" xfId="18740" xr:uid="{00000000-0005-0000-0000-0000FC830000}"/>
    <cellStyle name="常规 9 2 3 3 3 7 2 2" xfId="43316" xr:uid="{00000000-0005-0000-0000-0000FD830000}"/>
    <cellStyle name="常规 9 2 3 3 3 7 3" xfId="31028" xr:uid="{00000000-0005-0000-0000-0000FE830000}"/>
    <cellStyle name="常规 9 2 3 3 3 8" xfId="12596" xr:uid="{00000000-0005-0000-0000-0000FF830000}"/>
    <cellStyle name="常规 9 2 3 3 3 8 2" xfId="37172" xr:uid="{00000000-0005-0000-0000-000000840000}"/>
    <cellStyle name="常规 9 2 3 3 3 9" xfId="24884" xr:uid="{00000000-0005-0000-0000-000001840000}"/>
    <cellStyle name="常规 9 2 3 3 4" xfId="368" xr:uid="{00000000-0005-0000-0000-000002840000}"/>
    <cellStyle name="常规 9 2 3 3 4 2" xfId="752" xr:uid="{00000000-0005-0000-0000-000003840000}"/>
    <cellStyle name="常规 9 2 3 3 4 2 2" xfId="1520" xr:uid="{00000000-0005-0000-0000-000004840000}"/>
    <cellStyle name="常规 9 2 3 3 4 2 2 2" xfId="3056" xr:uid="{00000000-0005-0000-0000-000005840000}"/>
    <cellStyle name="常规 9 2 3 3 4 2 2 2 2" xfId="6132" xr:uid="{00000000-0005-0000-0000-000006840000}"/>
    <cellStyle name="常规 9 2 3 3 4 2 2 2 2 2" xfId="12276" xr:uid="{00000000-0005-0000-0000-000007840000}"/>
    <cellStyle name="常规 9 2 3 3 4 2 2 2 2 2 2" xfId="24564" xr:uid="{00000000-0005-0000-0000-000008840000}"/>
    <cellStyle name="常规 9 2 3 3 4 2 2 2 2 2 2 2" xfId="49140" xr:uid="{00000000-0005-0000-0000-000009840000}"/>
    <cellStyle name="常规 9 2 3 3 4 2 2 2 2 2 3" xfId="36852" xr:uid="{00000000-0005-0000-0000-00000A840000}"/>
    <cellStyle name="常规 9 2 3 3 4 2 2 2 2 3" xfId="18420" xr:uid="{00000000-0005-0000-0000-00000B840000}"/>
    <cellStyle name="常规 9 2 3 3 4 2 2 2 2 3 2" xfId="42996" xr:uid="{00000000-0005-0000-0000-00000C840000}"/>
    <cellStyle name="常规 9 2 3 3 4 2 2 2 2 4" xfId="30708" xr:uid="{00000000-0005-0000-0000-00000D840000}"/>
    <cellStyle name="常规 9 2 3 3 4 2 2 2 3" xfId="9204" xr:uid="{00000000-0005-0000-0000-00000E840000}"/>
    <cellStyle name="常规 9 2 3 3 4 2 2 2 3 2" xfId="21492" xr:uid="{00000000-0005-0000-0000-00000F840000}"/>
    <cellStyle name="常规 9 2 3 3 4 2 2 2 3 2 2" xfId="46068" xr:uid="{00000000-0005-0000-0000-000010840000}"/>
    <cellStyle name="常规 9 2 3 3 4 2 2 2 3 3" xfId="33780" xr:uid="{00000000-0005-0000-0000-000011840000}"/>
    <cellStyle name="常规 9 2 3 3 4 2 2 2 4" xfId="15348" xr:uid="{00000000-0005-0000-0000-000012840000}"/>
    <cellStyle name="常规 9 2 3 3 4 2 2 2 4 2" xfId="39924" xr:uid="{00000000-0005-0000-0000-000013840000}"/>
    <cellStyle name="常规 9 2 3 3 4 2 2 2 5" xfId="27636" xr:uid="{00000000-0005-0000-0000-000014840000}"/>
    <cellStyle name="常规 9 2 3 3 4 2 2 3" xfId="4596" xr:uid="{00000000-0005-0000-0000-000015840000}"/>
    <cellStyle name="常规 9 2 3 3 4 2 2 3 2" xfId="10740" xr:uid="{00000000-0005-0000-0000-000016840000}"/>
    <cellStyle name="常规 9 2 3 3 4 2 2 3 2 2" xfId="23028" xr:uid="{00000000-0005-0000-0000-000017840000}"/>
    <cellStyle name="常规 9 2 3 3 4 2 2 3 2 2 2" xfId="47604" xr:uid="{00000000-0005-0000-0000-000018840000}"/>
    <cellStyle name="常规 9 2 3 3 4 2 2 3 2 3" xfId="35316" xr:uid="{00000000-0005-0000-0000-000019840000}"/>
    <cellStyle name="常规 9 2 3 3 4 2 2 3 3" xfId="16884" xr:uid="{00000000-0005-0000-0000-00001A840000}"/>
    <cellStyle name="常规 9 2 3 3 4 2 2 3 3 2" xfId="41460" xr:uid="{00000000-0005-0000-0000-00001B840000}"/>
    <cellStyle name="常规 9 2 3 3 4 2 2 3 4" xfId="29172" xr:uid="{00000000-0005-0000-0000-00001C840000}"/>
    <cellStyle name="常规 9 2 3 3 4 2 2 4" xfId="7668" xr:uid="{00000000-0005-0000-0000-00001D840000}"/>
    <cellStyle name="常规 9 2 3 3 4 2 2 4 2" xfId="19956" xr:uid="{00000000-0005-0000-0000-00001E840000}"/>
    <cellStyle name="常规 9 2 3 3 4 2 2 4 2 2" xfId="44532" xr:uid="{00000000-0005-0000-0000-00001F840000}"/>
    <cellStyle name="常规 9 2 3 3 4 2 2 4 3" xfId="32244" xr:uid="{00000000-0005-0000-0000-000020840000}"/>
    <cellStyle name="常规 9 2 3 3 4 2 2 5" xfId="13812" xr:uid="{00000000-0005-0000-0000-000021840000}"/>
    <cellStyle name="常规 9 2 3 3 4 2 2 5 2" xfId="38388" xr:uid="{00000000-0005-0000-0000-000022840000}"/>
    <cellStyle name="常规 9 2 3 3 4 2 2 6" xfId="26100" xr:uid="{00000000-0005-0000-0000-000023840000}"/>
    <cellStyle name="常规 9 2 3 3 4 2 3" xfId="2288" xr:uid="{00000000-0005-0000-0000-000024840000}"/>
    <cellStyle name="常规 9 2 3 3 4 2 3 2" xfId="5364" xr:uid="{00000000-0005-0000-0000-000025840000}"/>
    <cellStyle name="常规 9 2 3 3 4 2 3 2 2" xfId="11508" xr:uid="{00000000-0005-0000-0000-000026840000}"/>
    <cellStyle name="常规 9 2 3 3 4 2 3 2 2 2" xfId="23796" xr:uid="{00000000-0005-0000-0000-000027840000}"/>
    <cellStyle name="常规 9 2 3 3 4 2 3 2 2 2 2" xfId="48372" xr:uid="{00000000-0005-0000-0000-000028840000}"/>
    <cellStyle name="常规 9 2 3 3 4 2 3 2 2 3" xfId="36084" xr:uid="{00000000-0005-0000-0000-000029840000}"/>
    <cellStyle name="常规 9 2 3 3 4 2 3 2 3" xfId="17652" xr:uid="{00000000-0005-0000-0000-00002A840000}"/>
    <cellStyle name="常规 9 2 3 3 4 2 3 2 3 2" xfId="42228" xr:uid="{00000000-0005-0000-0000-00002B840000}"/>
    <cellStyle name="常规 9 2 3 3 4 2 3 2 4" xfId="29940" xr:uid="{00000000-0005-0000-0000-00002C840000}"/>
    <cellStyle name="常规 9 2 3 3 4 2 3 3" xfId="8436" xr:uid="{00000000-0005-0000-0000-00002D840000}"/>
    <cellStyle name="常规 9 2 3 3 4 2 3 3 2" xfId="20724" xr:uid="{00000000-0005-0000-0000-00002E840000}"/>
    <cellStyle name="常规 9 2 3 3 4 2 3 3 2 2" xfId="45300" xr:uid="{00000000-0005-0000-0000-00002F840000}"/>
    <cellStyle name="常规 9 2 3 3 4 2 3 3 3" xfId="33012" xr:uid="{00000000-0005-0000-0000-000030840000}"/>
    <cellStyle name="常规 9 2 3 3 4 2 3 4" xfId="14580" xr:uid="{00000000-0005-0000-0000-000031840000}"/>
    <cellStyle name="常规 9 2 3 3 4 2 3 4 2" xfId="39156" xr:uid="{00000000-0005-0000-0000-000032840000}"/>
    <cellStyle name="常规 9 2 3 3 4 2 3 5" xfId="26868" xr:uid="{00000000-0005-0000-0000-000033840000}"/>
    <cellStyle name="常规 9 2 3 3 4 2 4" xfId="3828" xr:uid="{00000000-0005-0000-0000-000034840000}"/>
    <cellStyle name="常规 9 2 3 3 4 2 4 2" xfId="9972" xr:uid="{00000000-0005-0000-0000-000035840000}"/>
    <cellStyle name="常规 9 2 3 3 4 2 4 2 2" xfId="22260" xr:uid="{00000000-0005-0000-0000-000036840000}"/>
    <cellStyle name="常规 9 2 3 3 4 2 4 2 2 2" xfId="46836" xr:uid="{00000000-0005-0000-0000-000037840000}"/>
    <cellStyle name="常规 9 2 3 3 4 2 4 2 3" xfId="34548" xr:uid="{00000000-0005-0000-0000-000038840000}"/>
    <cellStyle name="常规 9 2 3 3 4 2 4 3" xfId="16116" xr:uid="{00000000-0005-0000-0000-000039840000}"/>
    <cellStyle name="常规 9 2 3 3 4 2 4 3 2" xfId="40692" xr:uid="{00000000-0005-0000-0000-00003A840000}"/>
    <cellStyle name="常规 9 2 3 3 4 2 4 4" xfId="28404" xr:uid="{00000000-0005-0000-0000-00003B840000}"/>
    <cellStyle name="常规 9 2 3 3 4 2 5" xfId="6900" xr:uid="{00000000-0005-0000-0000-00003C840000}"/>
    <cellStyle name="常规 9 2 3 3 4 2 5 2" xfId="19188" xr:uid="{00000000-0005-0000-0000-00003D840000}"/>
    <cellStyle name="常规 9 2 3 3 4 2 5 2 2" xfId="43764" xr:uid="{00000000-0005-0000-0000-00003E840000}"/>
    <cellStyle name="常规 9 2 3 3 4 2 5 3" xfId="31476" xr:uid="{00000000-0005-0000-0000-00003F840000}"/>
    <cellStyle name="常规 9 2 3 3 4 2 6" xfId="13044" xr:uid="{00000000-0005-0000-0000-000040840000}"/>
    <cellStyle name="常规 9 2 3 3 4 2 6 2" xfId="37620" xr:uid="{00000000-0005-0000-0000-000041840000}"/>
    <cellStyle name="常规 9 2 3 3 4 2 7" xfId="25332" xr:uid="{00000000-0005-0000-0000-000042840000}"/>
    <cellStyle name="常规 9 2 3 3 4 3" xfId="1136" xr:uid="{00000000-0005-0000-0000-000043840000}"/>
    <cellStyle name="常规 9 2 3 3 4 3 2" xfId="2672" xr:uid="{00000000-0005-0000-0000-000044840000}"/>
    <cellStyle name="常规 9 2 3 3 4 3 2 2" xfId="5748" xr:uid="{00000000-0005-0000-0000-000045840000}"/>
    <cellStyle name="常规 9 2 3 3 4 3 2 2 2" xfId="11892" xr:uid="{00000000-0005-0000-0000-000046840000}"/>
    <cellStyle name="常规 9 2 3 3 4 3 2 2 2 2" xfId="24180" xr:uid="{00000000-0005-0000-0000-000047840000}"/>
    <cellStyle name="常规 9 2 3 3 4 3 2 2 2 2 2" xfId="48756" xr:uid="{00000000-0005-0000-0000-000048840000}"/>
    <cellStyle name="常规 9 2 3 3 4 3 2 2 2 3" xfId="36468" xr:uid="{00000000-0005-0000-0000-000049840000}"/>
    <cellStyle name="常规 9 2 3 3 4 3 2 2 3" xfId="18036" xr:uid="{00000000-0005-0000-0000-00004A840000}"/>
    <cellStyle name="常规 9 2 3 3 4 3 2 2 3 2" xfId="42612" xr:uid="{00000000-0005-0000-0000-00004B840000}"/>
    <cellStyle name="常规 9 2 3 3 4 3 2 2 4" xfId="30324" xr:uid="{00000000-0005-0000-0000-00004C840000}"/>
    <cellStyle name="常规 9 2 3 3 4 3 2 3" xfId="8820" xr:uid="{00000000-0005-0000-0000-00004D840000}"/>
    <cellStyle name="常规 9 2 3 3 4 3 2 3 2" xfId="21108" xr:uid="{00000000-0005-0000-0000-00004E840000}"/>
    <cellStyle name="常规 9 2 3 3 4 3 2 3 2 2" xfId="45684" xr:uid="{00000000-0005-0000-0000-00004F840000}"/>
    <cellStyle name="常规 9 2 3 3 4 3 2 3 3" xfId="33396" xr:uid="{00000000-0005-0000-0000-000050840000}"/>
    <cellStyle name="常规 9 2 3 3 4 3 2 4" xfId="14964" xr:uid="{00000000-0005-0000-0000-000051840000}"/>
    <cellStyle name="常规 9 2 3 3 4 3 2 4 2" xfId="39540" xr:uid="{00000000-0005-0000-0000-000052840000}"/>
    <cellStyle name="常规 9 2 3 3 4 3 2 5" xfId="27252" xr:uid="{00000000-0005-0000-0000-000053840000}"/>
    <cellStyle name="常规 9 2 3 3 4 3 3" xfId="4212" xr:uid="{00000000-0005-0000-0000-000054840000}"/>
    <cellStyle name="常规 9 2 3 3 4 3 3 2" xfId="10356" xr:uid="{00000000-0005-0000-0000-000055840000}"/>
    <cellStyle name="常规 9 2 3 3 4 3 3 2 2" xfId="22644" xr:uid="{00000000-0005-0000-0000-000056840000}"/>
    <cellStyle name="常规 9 2 3 3 4 3 3 2 2 2" xfId="47220" xr:uid="{00000000-0005-0000-0000-000057840000}"/>
    <cellStyle name="常规 9 2 3 3 4 3 3 2 3" xfId="34932" xr:uid="{00000000-0005-0000-0000-000058840000}"/>
    <cellStyle name="常规 9 2 3 3 4 3 3 3" xfId="16500" xr:uid="{00000000-0005-0000-0000-000059840000}"/>
    <cellStyle name="常规 9 2 3 3 4 3 3 3 2" xfId="41076" xr:uid="{00000000-0005-0000-0000-00005A840000}"/>
    <cellStyle name="常规 9 2 3 3 4 3 3 4" xfId="28788" xr:uid="{00000000-0005-0000-0000-00005B840000}"/>
    <cellStyle name="常规 9 2 3 3 4 3 4" xfId="7284" xr:uid="{00000000-0005-0000-0000-00005C840000}"/>
    <cellStyle name="常规 9 2 3 3 4 3 4 2" xfId="19572" xr:uid="{00000000-0005-0000-0000-00005D840000}"/>
    <cellStyle name="常规 9 2 3 3 4 3 4 2 2" xfId="44148" xr:uid="{00000000-0005-0000-0000-00005E840000}"/>
    <cellStyle name="常规 9 2 3 3 4 3 4 3" xfId="31860" xr:uid="{00000000-0005-0000-0000-00005F840000}"/>
    <cellStyle name="常规 9 2 3 3 4 3 5" xfId="13428" xr:uid="{00000000-0005-0000-0000-000060840000}"/>
    <cellStyle name="常规 9 2 3 3 4 3 5 2" xfId="38004" xr:uid="{00000000-0005-0000-0000-000061840000}"/>
    <cellStyle name="常规 9 2 3 3 4 3 6" xfId="25716" xr:uid="{00000000-0005-0000-0000-000062840000}"/>
    <cellStyle name="常规 9 2 3 3 4 4" xfId="1904" xr:uid="{00000000-0005-0000-0000-000063840000}"/>
    <cellStyle name="常规 9 2 3 3 4 4 2" xfId="4980" xr:uid="{00000000-0005-0000-0000-000064840000}"/>
    <cellStyle name="常规 9 2 3 3 4 4 2 2" xfId="11124" xr:uid="{00000000-0005-0000-0000-000065840000}"/>
    <cellStyle name="常规 9 2 3 3 4 4 2 2 2" xfId="23412" xr:uid="{00000000-0005-0000-0000-000066840000}"/>
    <cellStyle name="常规 9 2 3 3 4 4 2 2 2 2" xfId="47988" xr:uid="{00000000-0005-0000-0000-000067840000}"/>
    <cellStyle name="常规 9 2 3 3 4 4 2 2 3" xfId="35700" xr:uid="{00000000-0005-0000-0000-000068840000}"/>
    <cellStyle name="常规 9 2 3 3 4 4 2 3" xfId="17268" xr:uid="{00000000-0005-0000-0000-000069840000}"/>
    <cellStyle name="常规 9 2 3 3 4 4 2 3 2" xfId="41844" xr:uid="{00000000-0005-0000-0000-00006A840000}"/>
    <cellStyle name="常规 9 2 3 3 4 4 2 4" xfId="29556" xr:uid="{00000000-0005-0000-0000-00006B840000}"/>
    <cellStyle name="常规 9 2 3 3 4 4 3" xfId="8052" xr:uid="{00000000-0005-0000-0000-00006C840000}"/>
    <cellStyle name="常规 9 2 3 3 4 4 3 2" xfId="20340" xr:uid="{00000000-0005-0000-0000-00006D840000}"/>
    <cellStyle name="常规 9 2 3 3 4 4 3 2 2" xfId="44916" xr:uid="{00000000-0005-0000-0000-00006E840000}"/>
    <cellStyle name="常规 9 2 3 3 4 4 3 3" xfId="32628" xr:uid="{00000000-0005-0000-0000-00006F840000}"/>
    <cellStyle name="常规 9 2 3 3 4 4 4" xfId="14196" xr:uid="{00000000-0005-0000-0000-000070840000}"/>
    <cellStyle name="常规 9 2 3 3 4 4 4 2" xfId="38772" xr:uid="{00000000-0005-0000-0000-000071840000}"/>
    <cellStyle name="常规 9 2 3 3 4 4 5" xfId="26484" xr:uid="{00000000-0005-0000-0000-000072840000}"/>
    <cellStyle name="常规 9 2 3 3 4 5" xfId="3444" xr:uid="{00000000-0005-0000-0000-000073840000}"/>
    <cellStyle name="常规 9 2 3 3 4 5 2" xfId="9588" xr:uid="{00000000-0005-0000-0000-000074840000}"/>
    <cellStyle name="常规 9 2 3 3 4 5 2 2" xfId="21876" xr:uid="{00000000-0005-0000-0000-000075840000}"/>
    <cellStyle name="常规 9 2 3 3 4 5 2 2 2" xfId="46452" xr:uid="{00000000-0005-0000-0000-000076840000}"/>
    <cellStyle name="常规 9 2 3 3 4 5 2 3" xfId="34164" xr:uid="{00000000-0005-0000-0000-000077840000}"/>
    <cellStyle name="常规 9 2 3 3 4 5 3" xfId="15732" xr:uid="{00000000-0005-0000-0000-000078840000}"/>
    <cellStyle name="常规 9 2 3 3 4 5 3 2" xfId="40308" xr:uid="{00000000-0005-0000-0000-000079840000}"/>
    <cellStyle name="常规 9 2 3 3 4 5 4" xfId="28020" xr:uid="{00000000-0005-0000-0000-00007A840000}"/>
    <cellStyle name="常规 9 2 3 3 4 6" xfId="6516" xr:uid="{00000000-0005-0000-0000-00007B840000}"/>
    <cellStyle name="常规 9 2 3 3 4 6 2" xfId="18804" xr:uid="{00000000-0005-0000-0000-00007C840000}"/>
    <cellStyle name="常规 9 2 3 3 4 6 2 2" xfId="43380" xr:uid="{00000000-0005-0000-0000-00007D840000}"/>
    <cellStyle name="常规 9 2 3 3 4 6 3" xfId="31092" xr:uid="{00000000-0005-0000-0000-00007E840000}"/>
    <cellStyle name="常规 9 2 3 3 4 7" xfId="12660" xr:uid="{00000000-0005-0000-0000-00007F840000}"/>
    <cellStyle name="常规 9 2 3 3 4 7 2" xfId="37236" xr:uid="{00000000-0005-0000-0000-000080840000}"/>
    <cellStyle name="常规 9 2 3 3 4 8" xfId="24948" xr:uid="{00000000-0005-0000-0000-000081840000}"/>
    <cellStyle name="常规 9 2 3 3 5" xfId="560" xr:uid="{00000000-0005-0000-0000-000082840000}"/>
    <cellStyle name="常规 9 2 3 3 5 2" xfId="1328" xr:uid="{00000000-0005-0000-0000-000083840000}"/>
    <cellStyle name="常规 9 2 3 3 5 2 2" xfId="2864" xr:uid="{00000000-0005-0000-0000-000084840000}"/>
    <cellStyle name="常规 9 2 3 3 5 2 2 2" xfId="5940" xr:uid="{00000000-0005-0000-0000-000085840000}"/>
    <cellStyle name="常规 9 2 3 3 5 2 2 2 2" xfId="12084" xr:uid="{00000000-0005-0000-0000-000086840000}"/>
    <cellStyle name="常规 9 2 3 3 5 2 2 2 2 2" xfId="24372" xr:uid="{00000000-0005-0000-0000-000087840000}"/>
    <cellStyle name="常规 9 2 3 3 5 2 2 2 2 2 2" xfId="48948" xr:uid="{00000000-0005-0000-0000-000088840000}"/>
    <cellStyle name="常规 9 2 3 3 5 2 2 2 2 3" xfId="36660" xr:uid="{00000000-0005-0000-0000-000089840000}"/>
    <cellStyle name="常规 9 2 3 3 5 2 2 2 3" xfId="18228" xr:uid="{00000000-0005-0000-0000-00008A840000}"/>
    <cellStyle name="常规 9 2 3 3 5 2 2 2 3 2" xfId="42804" xr:uid="{00000000-0005-0000-0000-00008B840000}"/>
    <cellStyle name="常规 9 2 3 3 5 2 2 2 4" xfId="30516" xr:uid="{00000000-0005-0000-0000-00008C840000}"/>
    <cellStyle name="常规 9 2 3 3 5 2 2 3" xfId="9012" xr:uid="{00000000-0005-0000-0000-00008D840000}"/>
    <cellStyle name="常规 9 2 3 3 5 2 2 3 2" xfId="21300" xr:uid="{00000000-0005-0000-0000-00008E840000}"/>
    <cellStyle name="常规 9 2 3 3 5 2 2 3 2 2" xfId="45876" xr:uid="{00000000-0005-0000-0000-00008F840000}"/>
    <cellStyle name="常规 9 2 3 3 5 2 2 3 3" xfId="33588" xr:uid="{00000000-0005-0000-0000-000090840000}"/>
    <cellStyle name="常规 9 2 3 3 5 2 2 4" xfId="15156" xr:uid="{00000000-0005-0000-0000-000091840000}"/>
    <cellStyle name="常规 9 2 3 3 5 2 2 4 2" xfId="39732" xr:uid="{00000000-0005-0000-0000-000092840000}"/>
    <cellStyle name="常规 9 2 3 3 5 2 2 5" xfId="27444" xr:uid="{00000000-0005-0000-0000-000093840000}"/>
    <cellStyle name="常规 9 2 3 3 5 2 3" xfId="4404" xr:uid="{00000000-0005-0000-0000-000094840000}"/>
    <cellStyle name="常规 9 2 3 3 5 2 3 2" xfId="10548" xr:uid="{00000000-0005-0000-0000-000095840000}"/>
    <cellStyle name="常规 9 2 3 3 5 2 3 2 2" xfId="22836" xr:uid="{00000000-0005-0000-0000-000096840000}"/>
    <cellStyle name="常规 9 2 3 3 5 2 3 2 2 2" xfId="47412" xr:uid="{00000000-0005-0000-0000-000097840000}"/>
    <cellStyle name="常规 9 2 3 3 5 2 3 2 3" xfId="35124" xr:uid="{00000000-0005-0000-0000-000098840000}"/>
    <cellStyle name="常规 9 2 3 3 5 2 3 3" xfId="16692" xr:uid="{00000000-0005-0000-0000-000099840000}"/>
    <cellStyle name="常规 9 2 3 3 5 2 3 3 2" xfId="41268" xr:uid="{00000000-0005-0000-0000-00009A840000}"/>
    <cellStyle name="常规 9 2 3 3 5 2 3 4" xfId="28980" xr:uid="{00000000-0005-0000-0000-00009B840000}"/>
    <cellStyle name="常规 9 2 3 3 5 2 4" xfId="7476" xr:uid="{00000000-0005-0000-0000-00009C840000}"/>
    <cellStyle name="常规 9 2 3 3 5 2 4 2" xfId="19764" xr:uid="{00000000-0005-0000-0000-00009D840000}"/>
    <cellStyle name="常规 9 2 3 3 5 2 4 2 2" xfId="44340" xr:uid="{00000000-0005-0000-0000-00009E840000}"/>
    <cellStyle name="常规 9 2 3 3 5 2 4 3" xfId="32052" xr:uid="{00000000-0005-0000-0000-00009F840000}"/>
    <cellStyle name="常规 9 2 3 3 5 2 5" xfId="13620" xr:uid="{00000000-0005-0000-0000-0000A0840000}"/>
    <cellStyle name="常规 9 2 3 3 5 2 5 2" xfId="38196" xr:uid="{00000000-0005-0000-0000-0000A1840000}"/>
    <cellStyle name="常规 9 2 3 3 5 2 6" xfId="25908" xr:uid="{00000000-0005-0000-0000-0000A2840000}"/>
    <cellStyle name="常规 9 2 3 3 5 3" xfId="2096" xr:uid="{00000000-0005-0000-0000-0000A3840000}"/>
    <cellStyle name="常规 9 2 3 3 5 3 2" xfId="5172" xr:uid="{00000000-0005-0000-0000-0000A4840000}"/>
    <cellStyle name="常规 9 2 3 3 5 3 2 2" xfId="11316" xr:uid="{00000000-0005-0000-0000-0000A5840000}"/>
    <cellStyle name="常规 9 2 3 3 5 3 2 2 2" xfId="23604" xr:uid="{00000000-0005-0000-0000-0000A6840000}"/>
    <cellStyle name="常规 9 2 3 3 5 3 2 2 2 2" xfId="48180" xr:uid="{00000000-0005-0000-0000-0000A7840000}"/>
    <cellStyle name="常规 9 2 3 3 5 3 2 2 3" xfId="35892" xr:uid="{00000000-0005-0000-0000-0000A8840000}"/>
    <cellStyle name="常规 9 2 3 3 5 3 2 3" xfId="17460" xr:uid="{00000000-0005-0000-0000-0000A9840000}"/>
    <cellStyle name="常规 9 2 3 3 5 3 2 3 2" xfId="42036" xr:uid="{00000000-0005-0000-0000-0000AA840000}"/>
    <cellStyle name="常规 9 2 3 3 5 3 2 4" xfId="29748" xr:uid="{00000000-0005-0000-0000-0000AB840000}"/>
    <cellStyle name="常规 9 2 3 3 5 3 3" xfId="8244" xr:uid="{00000000-0005-0000-0000-0000AC840000}"/>
    <cellStyle name="常规 9 2 3 3 5 3 3 2" xfId="20532" xr:uid="{00000000-0005-0000-0000-0000AD840000}"/>
    <cellStyle name="常规 9 2 3 3 5 3 3 2 2" xfId="45108" xr:uid="{00000000-0005-0000-0000-0000AE840000}"/>
    <cellStyle name="常规 9 2 3 3 5 3 3 3" xfId="32820" xr:uid="{00000000-0005-0000-0000-0000AF840000}"/>
    <cellStyle name="常规 9 2 3 3 5 3 4" xfId="14388" xr:uid="{00000000-0005-0000-0000-0000B0840000}"/>
    <cellStyle name="常规 9 2 3 3 5 3 4 2" xfId="38964" xr:uid="{00000000-0005-0000-0000-0000B1840000}"/>
    <cellStyle name="常规 9 2 3 3 5 3 5" xfId="26676" xr:uid="{00000000-0005-0000-0000-0000B2840000}"/>
    <cellStyle name="常规 9 2 3 3 5 4" xfId="3636" xr:uid="{00000000-0005-0000-0000-0000B3840000}"/>
    <cellStyle name="常规 9 2 3 3 5 4 2" xfId="9780" xr:uid="{00000000-0005-0000-0000-0000B4840000}"/>
    <cellStyle name="常规 9 2 3 3 5 4 2 2" xfId="22068" xr:uid="{00000000-0005-0000-0000-0000B5840000}"/>
    <cellStyle name="常规 9 2 3 3 5 4 2 2 2" xfId="46644" xr:uid="{00000000-0005-0000-0000-0000B6840000}"/>
    <cellStyle name="常规 9 2 3 3 5 4 2 3" xfId="34356" xr:uid="{00000000-0005-0000-0000-0000B7840000}"/>
    <cellStyle name="常规 9 2 3 3 5 4 3" xfId="15924" xr:uid="{00000000-0005-0000-0000-0000B8840000}"/>
    <cellStyle name="常规 9 2 3 3 5 4 3 2" xfId="40500" xr:uid="{00000000-0005-0000-0000-0000B9840000}"/>
    <cellStyle name="常规 9 2 3 3 5 4 4" xfId="28212" xr:uid="{00000000-0005-0000-0000-0000BA840000}"/>
    <cellStyle name="常规 9 2 3 3 5 5" xfId="6708" xr:uid="{00000000-0005-0000-0000-0000BB840000}"/>
    <cellStyle name="常规 9 2 3 3 5 5 2" xfId="18996" xr:uid="{00000000-0005-0000-0000-0000BC840000}"/>
    <cellStyle name="常规 9 2 3 3 5 5 2 2" xfId="43572" xr:uid="{00000000-0005-0000-0000-0000BD840000}"/>
    <cellStyle name="常规 9 2 3 3 5 5 3" xfId="31284" xr:uid="{00000000-0005-0000-0000-0000BE840000}"/>
    <cellStyle name="常规 9 2 3 3 5 6" xfId="12852" xr:uid="{00000000-0005-0000-0000-0000BF840000}"/>
    <cellStyle name="常规 9 2 3 3 5 6 2" xfId="37428" xr:uid="{00000000-0005-0000-0000-0000C0840000}"/>
    <cellStyle name="常规 9 2 3 3 5 7" xfId="25140" xr:uid="{00000000-0005-0000-0000-0000C1840000}"/>
    <cellStyle name="常规 9 2 3 3 6" xfId="944" xr:uid="{00000000-0005-0000-0000-0000C2840000}"/>
    <cellStyle name="常规 9 2 3 3 6 2" xfId="2480" xr:uid="{00000000-0005-0000-0000-0000C3840000}"/>
    <cellStyle name="常规 9 2 3 3 6 2 2" xfId="5556" xr:uid="{00000000-0005-0000-0000-0000C4840000}"/>
    <cellStyle name="常规 9 2 3 3 6 2 2 2" xfId="11700" xr:uid="{00000000-0005-0000-0000-0000C5840000}"/>
    <cellStyle name="常规 9 2 3 3 6 2 2 2 2" xfId="23988" xr:uid="{00000000-0005-0000-0000-0000C6840000}"/>
    <cellStyle name="常规 9 2 3 3 6 2 2 2 2 2" xfId="48564" xr:uid="{00000000-0005-0000-0000-0000C7840000}"/>
    <cellStyle name="常规 9 2 3 3 6 2 2 2 3" xfId="36276" xr:uid="{00000000-0005-0000-0000-0000C8840000}"/>
    <cellStyle name="常规 9 2 3 3 6 2 2 3" xfId="17844" xr:uid="{00000000-0005-0000-0000-0000C9840000}"/>
    <cellStyle name="常规 9 2 3 3 6 2 2 3 2" xfId="42420" xr:uid="{00000000-0005-0000-0000-0000CA840000}"/>
    <cellStyle name="常规 9 2 3 3 6 2 2 4" xfId="30132" xr:uid="{00000000-0005-0000-0000-0000CB840000}"/>
    <cellStyle name="常规 9 2 3 3 6 2 3" xfId="8628" xr:uid="{00000000-0005-0000-0000-0000CC840000}"/>
    <cellStyle name="常规 9 2 3 3 6 2 3 2" xfId="20916" xr:uid="{00000000-0005-0000-0000-0000CD840000}"/>
    <cellStyle name="常规 9 2 3 3 6 2 3 2 2" xfId="45492" xr:uid="{00000000-0005-0000-0000-0000CE840000}"/>
    <cellStyle name="常规 9 2 3 3 6 2 3 3" xfId="33204" xr:uid="{00000000-0005-0000-0000-0000CF840000}"/>
    <cellStyle name="常规 9 2 3 3 6 2 4" xfId="14772" xr:uid="{00000000-0005-0000-0000-0000D0840000}"/>
    <cellStyle name="常规 9 2 3 3 6 2 4 2" xfId="39348" xr:uid="{00000000-0005-0000-0000-0000D1840000}"/>
    <cellStyle name="常规 9 2 3 3 6 2 5" xfId="27060" xr:uid="{00000000-0005-0000-0000-0000D2840000}"/>
    <cellStyle name="常规 9 2 3 3 6 3" xfId="4020" xr:uid="{00000000-0005-0000-0000-0000D3840000}"/>
    <cellStyle name="常规 9 2 3 3 6 3 2" xfId="10164" xr:uid="{00000000-0005-0000-0000-0000D4840000}"/>
    <cellStyle name="常规 9 2 3 3 6 3 2 2" xfId="22452" xr:uid="{00000000-0005-0000-0000-0000D5840000}"/>
    <cellStyle name="常规 9 2 3 3 6 3 2 2 2" xfId="47028" xr:uid="{00000000-0005-0000-0000-0000D6840000}"/>
    <cellStyle name="常规 9 2 3 3 6 3 2 3" xfId="34740" xr:uid="{00000000-0005-0000-0000-0000D7840000}"/>
    <cellStyle name="常规 9 2 3 3 6 3 3" xfId="16308" xr:uid="{00000000-0005-0000-0000-0000D8840000}"/>
    <cellStyle name="常规 9 2 3 3 6 3 3 2" xfId="40884" xr:uid="{00000000-0005-0000-0000-0000D9840000}"/>
    <cellStyle name="常规 9 2 3 3 6 3 4" xfId="28596" xr:uid="{00000000-0005-0000-0000-0000DA840000}"/>
    <cellStyle name="常规 9 2 3 3 6 4" xfId="7092" xr:uid="{00000000-0005-0000-0000-0000DB840000}"/>
    <cellStyle name="常规 9 2 3 3 6 4 2" xfId="19380" xr:uid="{00000000-0005-0000-0000-0000DC840000}"/>
    <cellStyle name="常规 9 2 3 3 6 4 2 2" xfId="43956" xr:uid="{00000000-0005-0000-0000-0000DD840000}"/>
    <cellStyle name="常规 9 2 3 3 6 4 3" xfId="31668" xr:uid="{00000000-0005-0000-0000-0000DE840000}"/>
    <cellStyle name="常规 9 2 3 3 6 5" xfId="13236" xr:uid="{00000000-0005-0000-0000-0000DF840000}"/>
    <cellStyle name="常规 9 2 3 3 6 5 2" xfId="37812" xr:uid="{00000000-0005-0000-0000-0000E0840000}"/>
    <cellStyle name="常规 9 2 3 3 6 6" xfId="25524" xr:uid="{00000000-0005-0000-0000-0000E1840000}"/>
    <cellStyle name="常规 9 2 3 3 7" xfId="1712" xr:uid="{00000000-0005-0000-0000-0000E2840000}"/>
    <cellStyle name="常规 9 2 3 3 7 2" xfId="4788" xr:uid="{00000000-0005-0000-0000-0000E3840000}"/>
    <cellStyle name="常规 9 2 3 3 7 2 2" xfId="10932" xr:uid="{00000000-0005-0000-0000-0000E4840000}"/>
    <cellStyle name="常规 9 2 3 3 7 2 2 2" xfId="23220" xr:uid="{00000000-0005-0000-0000-0000E5840000}"/>
    <cellStyle name="常规 9 2 3 3 7 2 2 2 2" xfId="47796" xr:uid="{00000000-0005-0000-0000-0000E6840000}"/>
    <cellStyle name="常规 9 2 3 3 7 2 2 3" xfId="35508" xr:uid="{00000000-0005-0000-0000-0000E7840000}"/>
    <cellStyle name="常规 9 2 3 3 7 2 3" xfId="17076" xr:uid="{00000000-0005-0000-0000-0000E8840000}"/>
    <cellStyle name="常规 9 2 3 3 7 2 3 2" xfId="41652" xr:uid="{00000000-0005-0000-0000-0000E9840000}"/>
    <cellStyle name="常规 9 2 3 3 7 2 4" xfId="29364" xr:uid="{00000000-0005-0000-0000-0000EA840000}"/>
    <cellStyle name="常规 9 2 3 3 7 3" xfId="7860" xr:uid="{00000000-0005-0000-0000-0000EB840000}"/>
    <cellStyle name="常规 9 2 3 3 7 3 2" xfId="20148" xr:uid="{00000000-0005-0000-0000-0000EC840000}"/>
    <cellStyle name="常规 9 2 3 3 7 3 2 2" xfId="44724" xr:uid="{00000000-0005-0000-0000-0000ED840000}"/>
    <cellStyle name="常规 9 2 3 3 7 3 3" xfId="32436" xr:uid="{00000000-0005-0000-0000-0000EE840000}"/>
    <cellStyle name="常规 9 2 3 3 7 4" xfId="14004" xr:uid="{00000000-0005-0000-0000-0000EF840000}"/>
    <cellStyle name="常规 9 2 3 3 7 4 2" xfId="38580" xr:uid="{00000000-0005-0000-0000-0000F0840000}"/>
    <cellStyle name="常规 9 2 3 3 7 5" xfId="26292" xr:uid="{00000000-0005-0000-0000-0000F1840000}"/>
    <cellStyle name="常规 9 2 3 3 8" xfId="3252" xr:uid="{00000000-0005-0000-0000-0000F2840000}"/>
    <cellStyle name="常规 9 2 3 3 8 2" xfId="9396" xr:uid="{00000000-0005-0000-0000-0000F3840000}"/>
    <cellStyle name="常规 9 2 3 3 8 2 2" xfId="21684" xr:uid="{00000000-0005-0000-0000-0000F4840000}"/>
    <cellStyle name="常规 9 2 3 3 8 2 2 2" xfId="46260" xr:uid="{00000000-0005-0000-0000-0000F5840000}"/>
    <cellStyle name="常规 9 2 3 3 8 2 3" xfId="33972" xr:uid="{00000000-0005-0000-0000-0000F6840000}"/>
    <cellStyle name="常规 9 2 3 3 8 3" xfId="15540" xr:uid="{00000000-0005-0000-0000-0000F7840000}"/>
    <cellStyle name="常规 9 2 3 3 8 3 2" xfId="40116" xr:uid="{00000000-0005-0000-0000-0000F8840000}"/>
    <cellStyle name="常规 9 2 3 3 8 4" xfId="27828" xr:uid="{00000000-0005-0000-0000-0000F9840000}"/>
    <cellStyle name="常规 9 2 3 3 9" xfId="6324" xr:uid="{00000000-0005-0000-0000-0000FA840000}"/>
    <cellStyle name="常规 9 2 3 3 9 2" xfId="18612" xr:uid="{00000000-0005-0000-0000-0000FB840000}"/>
    <cellStyle name="常规 9 2 3 3 9 2 2" xfId="43188" xr:uid="{00000000-0005-0000-0000-0000FC840000}"/>
    <cellStyle name="常规 9 2 3 3 9 3" xfId="30900" xr:uid="{00000000-0005-0000-0000-0000FD840000}"/>
    <cellStyle name="常规 9 2 3 4" xfId="208" xr:uid="{00000000-0005-0000-0000-0000FE840000}"/>
    <cellStyle name="常规 9 2 3 4 2" xfId="400" xr:uid="{00000000-0005-0000-0000-0000FF840000}"/>
    <cellStyle name="常规 9 2 3 4 2 2" xfId="784" xr:uid="{00000000-0005-0000-0000-000000850000}"/>
    <cellStyle name="常规 9 2 3 4 2 2 2" xfId="1552" xr:uid="{00000000-0005-0000-0000-000001850000}"/>
    <cellStyle name="常规 9 2 3 4 2 2 2 2" xfId="3088" xr:uid="{00000000-0005-0000-0000-000002850000}"/>
    <cellStyle name="常规 9 2 3 4 2 2 2 2 2" xfId="6164" xr:uid="{00000000-0005-0000-0000-000003850000}"/>
    <cellStyle name="常规 9 2 3 4 2 2 2 2 2 2" xfId="12308" xr:uid="{00000000-0005-0000-0000-000004850000}"/>
    <cellStyle name="常规 9 2 3 4 2 2 2 2 2 2 2" xfId="24596" xr:uid="{00000000-0005-0000-0000-000005850000}"/>
    <cellStyle name="常规 9 2 3 4 2 2 2 2 2 2 2 2" xfId="49172" xr:uid="{00000000-0005-0000-0000-000006850000}"/>
    <cellStyle name="常规 9 2 3 4 2 2 2 2 2 2 3" xfId="36884" xr:uid="{00000000-0005-0000-0000-000007850000}"/>
    <cellStyle name="常规 9 2 3 4 2 2 2 2 2 3" xfId="18452" xr:uid="{00000000-0005-0000-0000-000008850000}"/>
    <cellStyle name="常规 9 2 3 4 2 2 2 2 2 3 2" xfId="43028" xr:uid="{00000000-0005-0000-0000-000009850000}"/>
    <cellStyle name="常规 9 2 3 4 2 2 2 2 2 4" xfId="30740" xr:uid="{00000000-0005-0000-0000-00000A850000}"/>
    <cellStyle name="常规 9 2 3 4 2 2 2 2 3" xfId="9236" xr:uid="{00000000-0005-0000-0000-00000B850000}"/>
    <cellStyle name="常规 9 2 3 4 2 2 2 2 3 2" xfId="21524" xr:uid="{00000000-0005-0000-0000-00000C850000}"/>
    <cellStyle name="常规 9 2 3 4 2 2 2 2 3 2 2" xfId="46100" xr:uid="{00000000-0005-0000-0000-00000D850000}"/>
    <cellStyle name="常规 9 2 3 4 2 2 2 2 3 3" xfId="33812" xr:uid="{00000000-0005-0000-0000-00000E850000}"/>
    <cellStyle name="常规 9 2 3 4 2 2 2 2 4" xfId="15380" xr:uid="{00000000-0005-0000-0000-00000F850000}"/>
    <cellStyle name="常规 9 2 3 4 2 2 2 2 4 2" xfId="39956" xr:uid="{00000000-0005-0000-0000-000010850000}"/>
    <cellStyle name="常规 9 2 3 4 2 2 2 2 5" xfId="27668" xr:uid="{00000000-0005-0000-0000-000011850000}"/>
    <cellStyle name="常规 9 2 3 4 2 2 2 3" xfId="4628" xr:uid="{00000000-0005-0000-0000-000012850000}"/>
    <cellStyle name="常规 9 2 3 4 2 2 2 3 2" xfId="10772" xr:uid="{00000000-0005-0000-0000-000013850000}"/>
    <cellStyle name="常规 9 2 3 4 2 2 2 3 2 2" xfId="23060" xr:uid="{00000000-0005-0000-0000-000014850000}"/>
    <cellStyle name="常规 9 2 3 4 2 2 2 3 2 2 2" xfId="47636" xr:uid="{00000000-0005-0000-0000-000015850000}"/>
    <cellStyle name="常规 9 2 3 4 2 2 2 3 2 3" xfId="35348" xr:uid="{00000000-0005-0000-0000-000016850000}"/>
    <cellStyle name="常规 9 2 3 4 2 2 2 3 3" xfId="16916" xr:uid="{00000000-0005-0000-0000-000017850000}"/>
    <cellStyle name="常规 9 2 3 4 2 2 2 3 3 2" xfId="41492" xr:uid="{00000000-0005-0000-0000-000018850000}"/>
    <cellStyle name="常规 9 2 3 4 2 2 2 3 4" xfId="29204" xr:uid="{00000000-0005-0000-0000-000019850000}"/>
    <cellStyle name="常规 9 2 3 4 2 2 2 4" xfId="7700" xr:uid="{00000000-0005-0000-0000-00001A850000}"/>
    <cellStyle name="常规 9 2 3 4 2 2 2 4 2" xfId="19988" xr:uid="{00000000-0005-0000-0000-00001B850000}"/>
    <cellStyle name="常规 9 2 3 4 2 2 2 4 2 2" xfId="44564" xr:uid="{00000000-0005-0000-0000-00001C850000}"/>
    <cellStyle name="常规 9 2 3 4 2 2 2 4 3" xfId="32276" xr:uid="{00000000-0005-0000-0000-00001D850000}"/>
    <cellStyle name="常规 9 2 3 4 2 2 2 5" xfId="13844" xr:uid="{00000000-0005-0000-0000-00001E850000}"/>
    <cellStyle name="常规 9 2 3 4 2 2 2 5 2" xfId="38420" xr:uid="{00000000-0005-0000-0000-00001F850000}"/>
    <cellStyle name="常规 9 2 3 4 2 2 2 6" xfId="26132" xr:uid="{00000000-0005-0000-0000-000020850000}"/>
    <cellStyle name="常规 9 2 3 4 2 2 3" xfId="2320" xr:uid="{00000000-0005-0000-0000-000021850000}"/>
    <cellStyle name="常规 9 2 3 4 2 2 3 2" xfId="5396" xr:uid="{00000000-0005-0000-0000-000022850000}"/>
    <cellStyle name="常规 9 2 3 4 2 2 3 2 2" xfId="11540" xr:uid="{00000000-0005-0000-0000-000023850000}"/>
    <cellStyle name="常规 9 2 3 4 2 2 3 2 2 2" xfId="23828" xr:uid="{00000000-0005-0000-0000-000024850000}"/>
    <cellStyle name="常规 9 2 3 4 2 2 3 2 2 2 2" xfId="48404" xr:uid="{00000000-0005-0000-0000-000025850000}"/>
    <cellStyle name="常规 9 2 3 4 2 2 3 2 2 3" xfId="36116" xr:uid="{00000000-0005-0000-0000-000026850000}"/>
    <cellStyle name="常规 9 2 3 4 2 2 3 2 3" xfId="17684" xr:uid="{00000000-0005-0000-0000-000027850000}"/>
    <cellStyle name="常规 9 2 3 4 2 2 3 2 3 2" xfId="42260" xr:uid="{00000000-0005-0000-0000-000028850000}"/>
    <cellStyle name="常规 9 2 3 4 2 2 3 2 4" xfId="29972" xr:uid="{00000000-0005-0000-0000-000029850000}"/>
    <cellStyle name="常规 9 2 3 4 2 2 3 3" xfId="8468" xr:uid="{00000000-0005-0000-0000-00002A850000}"/>
    <cellStyle name="常规 9 2 3 4 2 2 3 3 2" xfId="20756" xr:uid="{00000000-0005-0000-0000-00002B850000}"/>
    <cellStyle name="常规 9 2 3 4 2 2 3 3 2 2" xfId="45332" xr:uid="{00000000-0005-0000-0000-00002C850000}"/>
    <cellStyle name="常规 9 2 3 4 2 2 3 3 3" xfId="33044" xr:uid="{00000000-0005-0000-0000-00002D850000}"/>
    <cellStyle name="常规 9 2 3 4 2 2 3 4" xfId="14612" xr:uid="{00000000-0005-0000-0000-00002E850000}"/>
    <cellStyle name="常规 9 2 3 4 2 2 3 4 2" xfId="39188" xr:uid="{00000000-0005-0000-0000-00002F850000}"/>
    <cellStyle name="常规 9 2 3 4 2 2 3 5" xfId="26900" xr:uid="{00000000-0005-0000-0000-000030850000}"/>
    <cellStyle name="常规 9 2 3 4 2 2 4" xfId="3860" xr:uid="{00000000-0005-0000-0000-000031850000}"/>
    <cellStyle name="常规 9 2 3 4 2 2 4 2" xfId="10004" xr:uid="{00000000-0005-0000-0000-000032850000}"/>
    <cellStyle name="常规 9 2 3 4 2 2 4 2 2" xfId="22292" xr:uid="{00000000-0005-0000-0000-000033850000}"/>
    <cellStyle name="常规 9 2 3 4 2 2 4 2 2 2" xfId="46868" xr:uid="{00000000-0005-0000-0000-000034850000}"/>
    <cellStyle name="常规 9 2 3 4 2 2 4 2 3" xfId="34580" xr:uid="{00000000-0005-0000-0000-000035850000}"/>
    <cellStyle name="常规 9 2 3 4 2 2 4 3" xfId="16148" xr:uid="{00000000-0005-0000-0000-000036850000}"/>
    <cellStyle name="常规 9 2 3 4 2 2 4 3 2" xfId="40724" xr:uid="{00000000-0005-0000-0000-000037850000}"/>
    <cellStyle name="常规 9 2 3 4 2 2 4 4" xfId="28436" xr:uid="{00000000-0005-0000-0000-000038850000}"/>
    <cellStyle name="常规 9 2 3 4 2 2 5" xfId="6932" xr:uid="{00000000-0005-0000-0000-000039850000}"/>
    <cellStyle name="常规 9 2 3 4 2 2 5 2" xfId="19220" xr:uid="{00000000-0005-0000-0000-00003A850000}"/>
    <cellStyle name="常规 9 2 3 4 2 2 5 2 2" xfId="43796" xr:uid="{00000000-0005-0000-0000-00003B850000}"/>
    <cellStyle name="常规 9 2 3 4 2 2 5 3" xfId="31508" xr:uid="{00000000-0005-0000-0000-00003C850000}"/>
    <cellStyle name="常规 9 2 3 4 2 2 6" xfId="13076" xr:uid="{00000000-0005-0000-0000-00003D850000}"/>
    <cellStyle name="常规 9 2 3 4 2 2 6 2" xfId="37652" xr:uid="{00000000-0005-0000-0000-00003E850000}"/>
    <cellStyle name="常规 9 2 3 4 2 2 7" xfId="25364" xr:uid="{00000000-0005-0000-0000-00003F850000}"/>
    <cellStyle name="常规 9 2 3 4 2 3" xfId="1168" xr:uid="{00000000-0005-0000-0000-000040850000}"/>
    <cellStyle name="常规 9 2 3 4 2 3 2" xfId="2704" xr:uid="{00000000-0005-0000-0000-000041850000}"/>
    <cellStyle name="常规 9 2 3 4 2 3 2 2" xfId="5780" xr:uid="{00000000-0005-0000-0000-000042850000}"/>
    <cellStyle name="常规 9 2 3 4 2 3 2 2 2" xfId="11924" xr:uid="{00000000-0005-0000-0000-000043850000}"/>
    <cellStyle name="常规 9 2 3 4 2 3 2 2 2 2" xfId="24212" xr:uid="{00000000-0005-0000-0000-000044850000}"/>
    <cellStyle name="常规 9 2 3 4 2 3 2 2 2 2 2" xfId="48788" xr:uid="{00000000-0005-0000-0000-000045850000}"/>
    <cellStyle name="常规 9 2 3 4 2 3 2 2 2 3" xfId="36500" xr:uid="{00000000-0005-0000-0000-000046850000}"/>
    <cellStyle name="常规 9 2 3 4 2 3 2 2 3" xfId="18068" xr:uid="{00000000-0005-0000-0000-000047850000}"/>
    <cellStyle name="常规 9 2 3 4 2 3 2 2 3 2" xfId="42644" xr:uid="{00000000-0005-0000-0000-000048850000}"/>
    <cellStyle name="常规 9 2 3 4 2 3 2 2 4" xfId="30356" xr:uid="{00000000-0005-0000-0000-000049850000}"/>
    <cellStyle name="常规 9 2 3 4 2 3 2 3" xfId="8852" xr:uid="{00000000-0005-0000-0000-00004A850000}"/>
    <cellStyle name="常规 9 2 3 4 2 3 2 3 2" xfId="21140" xr:uid="{00000000-0005-0000-0000-00004B850000}"/>
    <cellStyle name="常规 9 2 3 4 2 3 2 3 2 2" xfId="45716" xr:uid="{00000000-0005-0000-0000-00004C850000}"/>
    <cellStyle name="常规 9 2 3 4 2 3 2 3 3" xfId="33428" xr:uid="{00000000-0005-0000-0000-00004D850000}"/>
    <cellStyle name="常规 9 2 3 4 2 3 2 4" xfId="14996" xr:uid="{00000000-0005-0000-0000-00004E850000}"/>
    <cellStyle name="常规 9 2 3 4 2 3 2 4 2" xfId="39572" xr:uid="{00000000-0005-0000-0000-00004F850000}"/>
    <cellStyle name="常规 9 2 3 4 2 3 2 5" xfId="27284" xr:uid="{00000000-0005-0000-0000-000050850000}"/>
    <cellStyle name="常规 9 2 3 4 2 3 3" xfId="4244" xr:uid="{00000000-0005-0000-0000-000051850000}"/>
    <cellStyle name="常规 9 2 3 4 2 3 3 2" xfId="10388" xr:uid="{00000000-0005-0000-0000-000052850000}"/>
    <cellStyle name="常规 9 2 3 4 2 3 3 2 2" xfId="22676" xr:uid="{00000000-0005-0000-0000-000053850000}"/>
    <cellStyle name="常规 9 2 3 4 2 3 3 2 2 2" xfId="47252" xr:uid="{00000000-0005-0000-0000-000054850000}"/>
    <cellStyle name="常规 9 2 3 4 2 3 3 2 3" xfId="34964" xr:uid="{00000000-0005-0000-0000-000055850000}"/>
    <cellStyle name="常规 9 2 3 4 2 3 3 3" xfId="16532" xr:uid="{00000000-0005-0000-0000-000056850000}"/>
    <cellStyle name="常规 9 2 3 4 2 3 3 3 2" xfId="41108" xr:uid="{00000000-0005-0000-0000-000057850000}"/>
    <cellStyle name="常规 9 2 3 4 2 3 3 4" xfId="28820" xr:uid="{00000000-0005-0000-0000-000058850000}"/>
    <cellStyle name="常规 9 2 3 4 2 3 4" xfId="7316" xr:uid="{00000000-0005-0000-0000-000059850000}"/>
    <cellStyle name="常规 9 2 3 4 2 3 4 2" xfId="19604" xr:uid="{00000000-0005-0000-0000-00005A850000}"/>
    <cellStyle name="常规 9 2 3 4 2 3 4 2 2" xfId="44180" xr:uid="{00000000-0005-0000-0000-00005B850000}"/>
    <cellStyle name="常规 9 2 3 4 2 3 4 3" xfId="31892" xr:uid="{00000000-0005-0000-0000-00005C850000}"/>
    <cellStyle name="常规 9 2 3 4 2 3 5" xfId="13460" xr:uid="{00000000-0005-0000-0000-00005D850000}"/>
    <cellStyle name="常规 9 2 3 4 2 3 5 2" xfId="38036" xr:uid="{00000000-0005-0000-0000-00005E850000}"/>
    <cellStyle name="常规 9 2 3 4 2 3 6" xfId="25748" xr:uid="{00000000-0005-0000-0000-00005F850000}"/>
    <cellStyle name="常规 9 2 3 4 2 4" xfId="1936" xr:uid="{00000000-0005-0000-0000-000060850000}"/>
    <cellStyle name="常规 9 2 3 4 2 4 2" xfId="5012" xr:uid="{00000000-0005-0000-0000-000061850000}"/>
    <cellStyle name="常规 9 2 3 4 2 4 2 2" xfId="11156" xr:uid="{00000000-0005-0000-0000-000062850000}"/>
    <cellStyle name="常规 9 2 3 4 2 4 2 2 2" xfId="23444" xr:uid="{00000000-0005-0000-0000-000063850000}"/>
    <cellStyle name="常规 9 2 3 4 2 4 2 2 2 2" xfId="48020" xr:uid="{00000000-0005-0000-0000-000064850000}"/>
    <cellStyle name="常规 9 2 3 4 2 4 2 2 3" xfId="35732" xr:uid="{00000000-0005-0000-0000-000065850000}"/>
    <cellStyle name="常规 9 2 3 4 2 4 2 3" xfId="17300" xr:uid="{00000000-0005-0000-0000-000066850000}"/>
    <cellStyle name="常规 9 2 3 4 2 4 2 3 2" xfId="41876" xr:uid="{00000000-0005-0000-0000-000067850000}"/>
    <cellStyle name="常规 9 2 3 4 2 4 2 4" xfId="29588" xr:uid="{00000000-0005-0000-0000-000068850000}"/>
    <cellStyle name="常规 9 2 3 4 2 4 3" xfId="8084" xr:uid="{00000000-0005-0000-0000-000069850000}"/>
    <cellStyle name="常规 9 2 3 4 2 4 3 2" xfId="20372" xr:uid="{00000000-0005-0000-0000-00006A850000}"/>
    <cellStyle name="常规 9 2 3 4 2 4 3 2 2" xfId="44948" xr:uid="{00000000-0005-0000-0000-00006B850000}"/>
    <cellStyle name="常规 9 2 3 4 2 4 3 3" xfId="32660" xr:uid="{00000000-0005-0000-0000-00006C850000}"/>
    <cellStyle name="常规 9 2 3 4 2 4 4" xfId="14228" xr:uid="{00000000-0005-0000-0000-00006D850000}"/>
    <cellStyle name="常规 9 2 3 4 2 4 4 2" xfId="38804" xr:uid="{00000000-0005-0000-0000-00006E850000}"/>
    <cellStyle name="常规 9 2 3 4 2 4 5" xfId="26516" xr:uid="{00000000-0005-0000-0000-00006F850000}"/>
    <cellStyle name="常规 9 2 3 4 2 5" xfId="3476" xr:uid="{00000000-0005-0000-0000-000070850000}"/>
    <cellStyle name="常规 9 2 3 4 2 5 2" xfId="9620" xr:uid="{00000000-0005-0000-0000-000071850000}"/>
    <cellStyle name="常规 9 2 3 4 2 5 2 2" xfId="21908" xr:uid="{00000000-0005-0000-0000-000072850000}"/>
    <cellStyle name="常规 9 2 3 4 2 5 2 2 2" xfId="46484" xr:uid="{00000000-0005-0000-0000-000073850000}"/>
    <cellStyle name="常规 9 2 3 4 2 5 2 3" xfId="34196" xr:uid="{00000000-0005-0000-0000-000074850000}"/>
    <cellStyle name="常规 9 2 3 4 2 5 3" xfId="15764" xr:uid="{00000000-0005-0000-0000-000075850000}"/>
    <cellStyle name="常规 9 2 3 4 2 5 3 2" xfId="40340" xr:uid="{00000000-0005-0000-0000-000076850000}"/>
    <cellStyle name="常规 9 2 3 4 2 5 4" xfId="28052" xr:uid="{00000000-0005-0000-0000-000077850000}"/>
    <cellStyle name="常规 9 2 3 4 2 6" xfId="6548" xr:uid="{00000000-0005-0000-0000-000078850000}"/>
    <cellStyle name="常规 9 2 3 4 2 6 2" xfId="18836" xr:uid="{00000000-0005-0000-0000-000079850000}"/>
    <cellStyle name="常规 9 2 3 4 2 6 2 2" xfId="43412" xr:uid="{00000000-0005-0000-0000-00007A850000}"/>
    <cellStyle name="常规 9 2 3 4 2 6 3" xfId="31124" xr:uid="{00000000-0005-0000-0000-00007B850000}"/>
    <cellStyle name="常规 9 2 3 4 2 7" xfId="12692" xr:uid="{00000000-0005-0000-0000-00007C850000}"/>
    <cellStyle name="常规 9 2 3 4 2 7 2" xfId="37268" xr:uid="{00000000-0005-0000-0000-00007D850000}"/>
    <cellStyle name="常规 9 2 3 4 2 8" xfId="24980" xr:uid="{00000000-0005-0000-0000-00007E850000}"/>
    <cellStyle name="常规 9 2 3 4 3" xfId="592" xr:uid="{00000000-0005-0000-0000-00007F850000}"/>
    <cellStyle name="常规 9 2 3 4 3 2" xfId="1360" xr:uid="{00000000-0005-0000-0000-000080850000}"/>
    <cellStyle name="常规 9 2 3 4 3 2 2" xfId="2896" xr:uid="{00000000-0005-0000-0000-000081850000}"/>
    <cellStyle name="常规 9 2 3 4 3 2 2 2" xfId="5972" xr:uid="{00000000-0005-0000-0000-000082850000}"/>
    <cellStyle name="常规 9 2 3 4 3 2 2 2 2" xfId="12116" xr:uid="{00000000-0005-0000-0000-000083850000}"/>
    <cellStyle name="常规 9 2 3 4 3 2 2 2 2 2" xfId="24404" xr:uid="{00000000-0005-0000-0000-000084850000}"/>
    <cellStyle name="常规 9 2 3 4 3 2 2 2 2 2 2" xfId="48980" xr:uid="{00000000-0005-0000-0000-000085850000}"/>
    <cellStyle name="常规 9 2 3 4 3 2 2 2 2 3" xfId="36692" xr:uid="{00000000-0005-0000-0000-000086850000}"/>
    <cellStyle name="常规 9 2 3 4 3 2 2 2 3" xfId="18260" xr:uid="{00000000-0005-0000-0000-000087850000}"/>
    <cellStyle name="常规 9 2 3 4 3 2 2 2 3 2" xfId="42836" xr:uid="{00000000-0005-0000-0000-000088850000}"/>
    <cellStyle name="常规 9 2 3 4 3 2 2 2 4" xfId="30548" xr:uid="{00000000-0005-0000-0000-000089850000}"/>
    <cellStyle name="常规 9 2 3 4 3 2 2 3" xfId="9044" xr:uid="{00000000-0005-0000-0000-00008A850000}"/>
    <cellStyle name="常规 9 2 3 4 3 2 2 3 2" xfId="21332" xr:uid="{00000000-0005-0000-0000-00008B850000}"/>
    <cellStyle name="常规 9 2 3 4 3 2 2 3 2 2" xfId="45908" xr:uid="{00000000-0005-0000-0000-00008C850000}"/>
    <cellStyle name="常规 9 2 3 4 3 2 2 3 3" xfId="33620" xr:uid="{00000000-0005-0000-0000-00008D850000}"/>
    <cellStyle name="常规 9 2 3 4 3 2 2 4" xfId="15188" xr:uid="{00000000-0005-0000-0000-00008E850000}"/>
    <cellStyle name="常规 9 2 3 4 3 2 2 4 2" xfId="39764" xr:uid="{00000000-0005-0000-0000-00008F850000}"/>
    <cellStyle name="常规 9 2 3 4 3 2 2 5" xfId="27476" xr:uid="{00000000-0005-0000-0000-000090850000}"/>
    <cellStyle name="常规 9 2 3 4 3 2 3" xfId="4436" xr:uid="{00000000-0005-0000-0000-000091850000}"/>
    <cellStyle name="常规 9 2 3 4 3 2 3 2" xfId="10580" xr:uid="{00000000-0005-0000-0000-000092850000}"/>
    <cellStyle name="常规 9 2 3 4 3 2 3 2 2" xfId="22868" xr:uid="{00000000-0005-0000-0000-000093850000}"/>
    <cellStyle name="常规 9 2 3 4 3 2 3 2 2 2" xfId="47444" xr:uid="{00000000-0005-0000-0000-000094850000}"/>
    <cellStyle name="常规 9 2 3 4 3 2 3 2 3" xfId="35156" xr:uid="{00000000-0005-0000-0000-000095850000}"/>
    <cellStyle name="常规 9 2 3 4 3 2 3 3" xfId="16724" xr:uid="{00000000-0005-0000-0000-000096850000}"/>
    <cellStyle name="常规 9 2 3 4 3 2 3 3 2" xfId="41300" xr:uid="{00000000-0005-0000-0000-000097850000}"/>
    <cellStyle name="常规 9 2 3 4 3 2 3 4" xfId="29012" xr:uid="{00000000-0005-0000-0000-000098850000}"/>
    <cellStyle name="常规 9 2 3 4 3 2 4" xfId="7508" xr:uid="{00000000-0005-0000-0000-000099850000}"/>
    <cellStyle name="常规 9 2 3 4 3 2 4 2" xfId="19796" xr:uid="{00000000-0005-0000-0000-00009A850000}"/>
    <cellStyle name="常规 9 2 3 4 3 2 4 2 2" xfId="44372" xr:uid="{00000000-0005-0000-0000-00009B850000}"/>
    <cellStyle name="常规 9 2 3 4 3 2 4 3" xfId="32084" xr:uid="{00000000-0005-0000-0000-00009C850000}"/>
    <cellStyle name="常规 9 2 3 4 3 2 5" xfId="13652" xr:uid="{00000000-0005-0000-0000-00009D850000}"/>
    <cellStyle name="常规 9 2 3 4 3 2 5 2" xfId="38228" xr:uid="{00000000-0005-0000-0000-00009E850000}"/>
    <cellStyle name="常规 9 2 3 4 3 2 6" xfId="25940" xr:uid="{00000000-0005-0000-0000-00009F850000}"/>
    <cellStyle name="常规 9 2 3 4 3 3" xfId="2128" xr:uid="{00000000-0005-0000-0000-0000A0850000}"/>
    <cellStyle name="常规 9 2 3 4 3 3 2" xfId="5204" xr:uid="{00000000-0005-0000-0000-0000A1850000}"/>
    <cellStyle name="常规 9 2 3 4 3 3 2 2" xfId="11348" xr:uid="{00000000-0005-0000-0000-0000A2850000}"/>
    <cellStyle name="常规 9 2 3 4 3 3 2 2 2" xfId="23636" xr:uid="{00000000-0005-0000-0000-0000A3850000}"/>
    <cellStyle name="常规 9 2 3 4 3 3 2 2 2 2" xfId="48212" xr:uid="{00000000-0005-0000-0000-0000A4850000}"/>
    <cellStyle name="常规 9 2 3 4 3 3 2 2 3" xfId="35924" xr:uid="{00000000-0005-0000-0000-0000A5850000}"/>
    <cellStyle name="常规 9 2 3 4 3 3 2 3" xfId="17492" xr:uid="{00000000-0005-0000-0000-0000A6850000}"/>
    <cellStyle name="常规 9 2 3 4 3 3 2 3 2" xfId="42068" xr:uid="{00000000-0005-0000-0000-0000A7850000}"/>
    <cellStyle name="常规 9 2 3 4 3 3 2 4" xfId="29780" xr:uid="{00000000-0005-0000-0000-0000A8850000}"/>
    <cellStyle name="常规 9 2 3 4 3 3 3" xfId="8276" xr:uid="{00000000-0005-0000-0000-0000A9850000}"/>
    <cellStyle name="常规 9 2 3 4 3 3 3 2" xfId="20564" xr:uid="{00000000-0005-0000-0000-0000AA850000}"/>
    <cellStyle name="常规 9 2 3 4 3 3 3 2 2" xfId="45140" xr:uid="{00000000-0005-0000-0000-0000AB850000}"/>
    <cellStyle name="常规 9 2 3 4 3 3 3 3" xfId="32852" xr:uid="{00000000-0005-0000-0000-0000AC850000}"/>
    <cellStyle name="常规 9 2 3 4 3 3 4" xfId="14420" xr:uid="{00000000-0005-0000-0000-0000AD850000}"/>
    <cellStyle name="常规 9 2 3 4 3 3 4 2" xfId="38996" xr:uid="{00000000-0005-0000-0000-0000AE850000}"/>
    <cellStyle name="常规 9 2 3 4 3 3 5" xfId="26708" xr:uid="{00000000-0005-0000-0000-0000AF850000}"/>
    <cellStyle name="常规 9 2 3 4 3 4" xfId="3668" xr:uid="{00000000-0005-0000-0000-0000B0850000}"/>
    <cellStyle name="常规 9 2 3 4 3 4 2" xfId="9812" xr:uid="{00000000-0005-0000-0000-0000B1850000}"/>
    <cellStyle name="常规 9 2 3 4 3 4 2 2" xfId="22100" xr:uid="{00000000-0005-0000-0000-0000B2850000}"/>
    <cellStyle name="常规 9 2 3 4 3 4 2 2 2" xfId="46676" xr:uid="{00000000-0005-0000-0000-0000B3850000}"/>
    <cellStyle name="常规 9 2 3 4 3 4 2 3" xfId="34388" xr:uid="{00000000-0005-0000-0000-0000B4850000}"/>
    <cellStyle name="常规 9 2 3 4 3 4 3" xfId="15956" xr:uid="{00000000-0005-0000-0000-0000B5850000}"/>
    <cellStyle name="常规 9 2 3 4 3 4 3 2" xfId="40532" xr:uid="{00000000-0005-0000-0000-0000B6850000}"/>
    <cellStyle name="常规 9 2 3 4 3 4 4" xfId="28244" xr:uid="{00000000-0005-0000-0000-0000B7850000}"/>
    <cellStyle name="常规 9 2 3 4 3 5" xfId="6740" xr:uid="{00000000-0005-0000-0000-0000B8850000}"/>
    <cellStyle name="常规 9 2 3 4 3 5 2" xfId="19028" xr:uid="{00000000-0005-0000-0000-0000B9850000}"/>
    <cellStyle name="常规 9 2 3 4 3 5 2 2" xfId="43604" xr:uid="{00000000-0005-0000-0000-0000BA850000}"/>
    <cellStyle name="常规 9 2 3 4 3 5 3" xfId="31316" xr:uid="{00000000-0005-0000-0000-0000BB850000}"/>
    <cellStyle name="常规 9 2 3 4 3 6" xfId="12884" xr:uid="{00000000-0005-0000-0000-0000BC850000}"/>
    <cellStyle name="常规 9 2 3 4 3 6 2" xfId="37460" xr:uid="{00000000-0005-0000-0000-0000BD850000}"/>
    <cellStyle name="常规 9 2 3 4 3 7" xfId="25172" xr:uid="{00000000-0005-0000-0000-0000BE850000}"/>
    <cellStyle name="常规 9 2 3 4 4" xfId="976" xr:uid="{00000000-0005-0000-0000-0000BF850000}"/>
    <cellStyle name="常规 9 2 3 4 4 2" xfId="2512" xr:uid="{00000000-0005-0000-0000-0000C0850000}"/>
    <cellStyle name="常规 9 2 3 4 4 2 2" xfId="5588" xr:uid="{00000000-0005-0000-0000-0000C1850000}"/>
    <cellStyle name="常规 9 2 3 4 4 2 2 2" xfId="11732" xr:uid="{00000000-0005-0000-0000-0000C2850000}"/>
    <cellStyle name="常规 9 2 3 4 4 2 2 2 2" xfId="24020" xr:uid="{00000000-0005-0000-0000-0000C3850000}"/>
    <cellStyle name="常规 9 2 3 4 4 2 2 2 2 2" xfId="48596" xr:uid="{00000000-0005-0000-0000-0000C4850000}"/>
    <cellStyle name="常规 9 2 3 4 4 2 2 2 3" xfId="36308" xr:uid="{00000000-0005-0000-0000-0000C5850000}"/>
    <cellStyle name="常规 9 2 3 4 4 2 2 3" xfId="17876" xr:uid="{00000000-0005-0000-0000-0000C6850000}"/>
    <cellStyle name="常规 9 2 3 4 4 2 2 3 2" xfId="42452" xr:uid="{00000000-0005-0000-0000-0000C7850000}"/>
    <cellStyle name="常规 9 2 3 4 4 2 2 4" xfId="30164" xr:uid="{00000000-0005-0000-0000-0000C8850000}"/>
    <cellStyle name="常规 9 2 3 4 4 2 3" xfId="8660" xr:uid="{00000000-0005-0000-0000-0000C9850000}"/>
    <cellStyle name="常规 9 2 3 4 4 2 3 2" xfId="20948" xr:uid="{00000000-0005-0000-0000-0000CA850000}"/>
    <cellStyle name="常规 9 2 3 4 4 2 3 2 2" xfId="45524" xr:uid="{00000000-0005-0000-0000-0000CB850000}"/>
    <cellStyle name="常规 9 2 3 4 4 2 3 3" xfId="33236" xr:uid="{00000000-0005-0000-0000-0000CC850000}"/>
    <cellStyle name="常规 9 2 3 4 4 2 4" xfId="14804" xr:uid="{00000000-0005-0000-0000-0000CD850000}"/>
    <cellStyle name="常规 9 2 3 4 4 2 4 2" xfId="39380" xr:uid="{00000000-0005-0000-0000-0000CE850000}"/>
    <cellStyle name="常规 9 2 3 4 4 2 5" xfId="27092" xr:uid="{00000000-0005-0000-0000-0000CF850000}"/>
    <cellStyle name="常规 9 2 3 4 4 3" xfId="4052" xr:uid="{00000000-0005-0000-0000-0000D0850000}"/>
    <cellStyle name="常规 9 2 3 4 4 3 2" xfId="10196" xr:uid="{00000000-0005-0000-0000-0000D1850000}"/>
    <cellStyle name="常规 9 2 3 4 4 3 2 2" xfId="22484" xr:uid="{00000000-0005-0000-0000-0000D2850000}"/>
    <cellStyle name="常规 9 2 3 4 4 3 2 2 2" xfId="47060" xr:uid="{00000000-0005-0000-0000-0000D3850000}"/>
    <cellStyle name="常规 9 2 3 4 4 3 2 3" xfId="34772" xr:uid="{00000000-0005-0000-0000-0000D4850000}"/>
    <cellStyle name="常规 9 2 3 4 4 3 3" xfId="16340" xr:uid="{00000000-0005-0000-0000-0000D5850000}"/>
    <cellStyle name="常规 9 2 3 4 4 3 3 2" xfId="40916" xr:uid="{00000000-0005-0000-0000-0000D6850000}"/>
    <cellStyle name="常规 9 2 3 4 4 3 4" xfId="28628" xr:uid="{00000000-0005-0000-0000-0000D7850000}"/>
    <cellStyle name="常规 9 2 3 4 4 4" xfId="7124" xr:uid="{00000000-0005-0000-0000-0000D8850000}"/>
    <cellStyle name="常规 9 2 3 4 4 4 2" xfId="19412" xr:uid="{00000000-0005-0000-0000-0000D9850000}"/>
    <cellStyle name="常规 9 2 3 4 4 4 2 2" xfId="43988" xr:uid="{00000000-0005-0000-0000-0000DA850000}"/>
    <cellStyle name="常规 9 2 3 4 4 4 3" xfId="31700" xr:uid="{00000000-0005-0000-0000-0000DB850000}"/>
    <cellStyle name="常规 9 2 3 4 4 5" xfId="13268" xr:uid="{00000000-0005-0000-0000-0000DC850000}"/>
    <cellStyle name="常规 9 2 3 4 4 5 2" xfId="37844" xr:uid="{00000000-0005-0000-0000-0000DD850000}"/>
    <cellStyle name="常规 9 2 3 4 4 6" xfId="25556" xr:uid="{00000000-0005-0000-0000-0000DE850000}"/>
    <cellStyle name="常规 9 2 3 4 5" xfId="1744" xr:uid="{00000000-0005-0000-0000-0000DF850000}"/>
    <cellStyle name="常规 9 2 3 4 5 2" xfId="4820" xr:uid="{00000000-0005-0000-0000-0000E0850000}"/>
    <cellStyle name="常规 9 2 3 4 5 2 2" xfId="10964" xr:uid="{00000000-0005-0000-0000-0000E1850000}"/>
    <cellStyle name="常规 9 2 3 4 5 2 2 2" xfId="23252" xr:uid="{00000000-0005-0000-0000-0000E2850000}"/>
    <cellStyle name="常规 9 2 3 4 5 2 2 2 2" xfId="47828" xr:uid="{00000000-0005-0000-0000-0000E3850000}"/>
    <cellStyle name="常规 9 2 3 4 5 2 2 3" xfId="35540" xr:uid="{00000000-0005-0000-0000-0000E4850000}"/>
    <cellStyle name="常规 9 2 3 4 5 2 3" xfId="17108" xr:uid="{00000000-0005-0000-0000-0000E5850000}"/>
    <cellStyle name="常规 9 2 3 4 5 2 3 2" xfId="41684" xr:uid="{00000000-0005-0000-0000-0000E6850000}"/>
    <cellStyle name="常规 9 2 3 4 5 2 4" xfId="29396" xr:uid="{00000000-0005-0000-0000-0000E7850000}"/>
    <cellStyle name="常规 9 2 3 4 5 3" xfId="7892" xr:uid="{00000000-0005-0000-0000-0000E8850000}"/>
    <cellStyle name="常规 9 2 3 4 5 3 2" xfId="20180" xr:uid="{00000000-0005-0000-0000-0000E9850000}"/>
    <cellStyle name="常规 9 2 3 4 5 3 2 2" xfId="44756" xr:uid="{00000000-0005-0000-0000-0000EA850000}"/>
    <cellStyle name="常规 9 2 3 4 5 3 3" xfId="32468" xr:uid="{00000000-0005-0000-0000-0000EB850000}"/>
    <cellStyle name="常规 9 2 3 4 5 4" xfId="14036" xr:uid="{00000000-0005-0000-0000-0000EC850000}"/>
    <cellStyle name="常规 9 2 3 4 5 4 2" xfId="38612" xr:uid="{00000000-0005-0000-0000-0000ED850000}"/>
    <cellStyle name="常规 9 2 3 4 5 5" xfId="26324" xr:uid="{00000000-0005-0000-0000-0000EE850000}"/>
    <cellStyle name="常规 9 2 3 4 6" xfId="3284" xr:uid="{00000000-0005-0000-0000-0000EF850000}"/>
    <cellStyle name="常规 9 2 3 4 6 2" xfId="9428" xr:uid="{00000000-0005-0000-0000-0000F0850000}"/>
    <cellStyle name="常规 9 2 3 4 6 2 2" xfId="21716" xr:uid="{00000000-0005-0000-0000-0000F1850000}"/>
    <cellStyle name="常规 9 2 3 4 6 2 2 2" xfId="46292" xr:uid="{00000000-0005-0000-0000-0000F2850000}"/>
    <cellStyle name="常规 9 2 3 4 6 2 3" xfId="34004" xr:uid="{00000000-0005-0000-0000-0000F3850000}"/>
    <cellStyle name="常规 9 2 3 4 6 3" xfId="15572" xr:uid="{00000000-0005-0000-0000-0000F4850000}"/>
    <cellStyle name="常规 9 2 3 4 6 3 2" xfId="40148" xr:uid="{00000000-0005-0000-0000-0000F5850000}"/>
    <cellStyle name="常规 9 2 3 4 6 4" xfId="27860" xr:uid="{00000000-0005-0000-0000-0000F6850000}"/>
    <cellStyle name="常规 9 2 3 4 7" xfId="6356" xr:uid="{00000000-0005-0000-0000-0000F7850000}"/>
    <cellStyle name="常规 9 2 3 4 7 2" xfId="18644" xr:uid="{00000000-0005-0000-0000-0000F8850000}"/>
    <cellStyle name="常规 9 2 3 4 7 2 2" xfId="43220" xr:uid="{00000000-0005-0000-0000-0000F9850000}"/>
    <cellStyle name="常规 9 2 3 4 7 3" xfId="30932" xr:uid="{00000000-0005-0000-0000-0000FA850000}"/>
    <cellStyle name="常规 9 2 3 4 8" xfId="12500" xr:uid="{00000000-0005-0000-0000-0000FB850000}"/>
    <cellStyle name="常规 9 2 3 4 8 2" xfId="37076" xr:uid="{00000000-0005-0000-0000-0000FC850000}"/>
    <cellStyle name="常规 9 2 3 4 9" xfId="24788" xr:uid="{00000000-0005-0000-0000-0000FD850000}"/>
    <cellStyle name="常规 9 2 3 5" xfId="272" xr:uid="{00000000-0005-0000-0000-0000FE850000}"/>
    <cellStyle name="常规 9 2 3 5 2" xfId="464" xr:uid="{00000000-0005-0000-0000-0000FF850000}"/>
    <cellStyle name="常规 9 2 3 5 2 2" xfId="848" xr:uid="{00000000-0005-0000-0000-000000860000}"/>
    <cellStyle name="常规 9 2 3 5 2 2 2" xfId="1616" xr:uid="{00000000-0005-0000-0000-000001860000}"/>
    <cellStyle name="常规 9 2 3 5 2 2 2 2" xfId="3152" xr:uid="{00000000-0005-0000-0000-000002860000}"/>
    <cellStyle name="常规 9 2 3 5 2 2 2 2 2" xfId="6228" xr:uid="{00000000-0005-0000-0000-000003860000}"/>
    <cellStyle name="常规 9 2 3 5 2 2 2 2 2 2" xfId="12372" xr:uid="{00000000-0005-0000-0000-000004860000}"/>
    <cellStyle name="常规 9 2 3 5 2 2 2 2 2 2 2" xfId="24660" xr:uid="{00000000-0005-0000-0000-000005860000}"/>
    <cellStyle name="常规 9 2 3 5 2 2 2 2 2 2 2 2" xfId="49236" xr:uid="{00000000-0005-0000-0000-000006860000}"/>
    <cellStyle name="常规 9 2 3 5 2 2 2 2 2 2 3" xfId="36948" xr:uid="{00000000-0005-0000-0000-000007860000}"/>
    <cellStyle name="常规 9 2 3 5 2 2 2 2 2 3" xfId="18516" xr:uid="{00000000-0005-0000-0000-000008860000}"/>
    <cellStyle name="常规 9 2 3 5 2 2 2 2 2 3 2" xfId="43092" xr:uid="{00000000-0005-0000-0000-000009860000}"/>
    <cellStyle name="常规 9 2 3 5 2 2 2 2 2 4" xfId="30804" xr:uid="{00000000-0005-0000-0000-00000A860000}"/>
    <cellStyle name="常规 9 2 3 5 2 2 2 2 3" xfId="9300" xr:uid="{00000000-0005-0000-0000-00000B860000}"/>
    <cellStyle name="常规 9 2 3 5 2 2 2 2 3 2" xfId="21588" xr:uid="{00000000-0005-0000-0000-00000C860000}"/>
    <cellStyle name="常规 9 2 3 5 2 2 2 2 3 2 2" xfId="46164" xr:uid="{00000000-0005-0000-0000-00000D860000}"/>
    <cellStyle name="常规 9 2 3 5 2 2 2 2 3 3" xfId="33876" xr:uid="{00000000-0005-0000-0000-00000E860000}"/>
    <cellStyle name="常规 9 2 3 5 2 2 2 2 4" xfId="15444" xr:uid="{00000000-0005-0000-0000-00000F860000}"/>
    <cellStyle name="常规 9 2 3 5 2 2 2 2 4 2" xfId="40020" xr:uid="{00000000-0005-0000-0000-000010860000}"/>
    <cellStyle name="常规 9 2 3 5 2 2 2 2 5" xfId="27732" xr:uid="{00000000-0005-0000-0000-000011860000}"/>
    <cellStyle name="常规 9 2 3 5 2 2 2 3" xfId="4692" xr:uid="{00000000-0005-0000-0000-000012860000}"/>
    <cellStyle name="常规 9 2 3 5 2 2 2 3 2" xfId="10836" xr:uid="{00000000-0005-0000-0000-000013860000}"/>
    <cellStyle name="常规 9 2 3 5 2 2 2 3 2 2" xfId="23124" xr:uid="{00000000-0005-0000-0000-000014860000}"/>
    <cellStyle name="常规 9 2 3 5 2 2 2 3 2 2 2" xfId="47700" xr:uid="{00000000-0005-0000-0000-000015860000}"/>
    <cellStyle name="常规 9 2 3 5 2 2 2 3 2 3" xfId="35412" xr:uid="{00000000-0005-0000-0000-000016860000}"/>
    <cellStyle name="常规 9 2 3 5 2 2 2 3 3" xfId="16980" xr:uid="{00000000-0005-0000-0000-000017860000}"/>
    <cellStyle name="常规 9 2 3 5 2 2 2 3 3 2" xfId="41556" xr:uid="{00000000-0005-0000-0000-000018860000}"/>
    <cellStyle name="常规 9 2 3 5 2 2 2 3 4" xfId="29268" xr:uid="{00000000-0005-0000-0000-000019860000}"/>
    <cellStyle name="常规 9 2 3 5 2 2 2 4" xfId="7764" xr:uid="{00000000-0005-0000-0000-00001A860000}"/>
    <cellStyle name="常规 9 2 3 5 2 2 2 4 2" xfId="20052" xr:uid="{00000000-0005-0000-0000-00001B860000}"/>
    <cellStyle name="常规 9 2 3 5 2 2 2 4 2 2" xfId="44628" xr:uid="{00000000-0005-0000-0000-00001C860000}"/>
    <cellStyle name="常规 9 2 3 5 2 2 2 4 3" xfId="32340" xr:uid="{00000000-0005-0000-0000-00001D860000}"/>
    <cellStyle name="常规 9 2 3 5 2 2 2 5" xfId="13908" xr:uid="{00000000-0005-0000-0000-00001E860000}"/>
    <cellStyle name="常规 9 2 3 5 2 2 2 5 2" xfId="38484" xr:uid="{00000000-0005-0000-0000-00001F860000}"/>
    <cellStyle name="常规 9 2 3 5 2 2 2 6" xfId="26196" xr:uid="{00000000-0005-0000-0000-000020860000}"/>
    <cellStyle name="常规 9 2 3 5 2 2 3" xfId="2384" xr:uid="{00000000-0005-0000-0000-000021860000}"/>
    <cellStyle name="常规 9 2 3 5 2 2 3 2" xfId="5460" xr:uid="{00000000-0005-0000-0000-000022860000}"/>
    <cellStyle name="常规 9 2 3 5 2 2 3 2 2" xfId="11604" xr:uid="{00000000-0005-0000-0000-000023860000}"/>
    <cellStyle name="常规 9 2 3 5 2 2 3 2 2 2" xfId="23892" xr:uid="{00000000-0005-0000-0000-000024860000}"/>
    <cellStyle name="常规 9 2 3 5 2 2 3 2 2 2 2" xfId="48468" xr:uid="{00000000-0005-0000-0000-000025860000}"/>
    <cellStyle name="常规 9 2 3 5 2 2 3 2 2 3" xfId="36180" xr:uid="{00000000-0005-0000-0000-000026860000}"/>
    <cellStyle name="常规 9 2 3 5 2 2 3 2 3" xfId="17748" xr:uid="{00000000-0005-0000-0000-000027860000}"/>
    <cellStyle name="常规 9 2 3 5 2 2 3 2 3 2" xfId="42324" xr:uid="{00000000-0005-0000-0000-000028860000}"/>
    <cellStyle name="常规 9 2 3 5 2 2 3 2 4" xfId="30036" xr:uid="{00000000-0005-0000-0000-000029860000}"/>
    <cellStyle name="常规 9 2 3 5 2 2 3 3" xfId="8532" xr:uid="{00000000-0005-0000-0000-00002A860000}"/>
    <cellStyle name="常规 9 2 3 5 2 2 3 3 2" xfId="20820" xr:uid="{00000000-0005-0000-0000-00002B860000}"/>
    <cellStyle name="常规 9 2 3 5 2 2 3 3 2 2" xfId="45396" xr:uid="{00000000-0005-0000-0000-00002C860000}"/>
    <cellStyle name="常规 9 2 3 5 2 2 3 3 3" xfId="33108" xr:uid="{00000000-0005-0000-0000-00002D860000}"/>
    <cellStyle name="常规 9 2 3 5 2 2 3 4" xfId="14676" xr:uid="{00000000-0005-0000-0000-00002E860000}"/>
    <cellStyle name="常规 9 2 3 5 2 2 3 4 2" xfId="39252" xr:uid="{00000000-0005-0000-0000-00002F860000}"/>
    <cellStyle name="常规 9 2 3 5 2 2 3 5" xfId="26964" xr:uid="{00000000-0005-0000-0000-000030860000}"/>
    <cellStyle name="常规 9 2 3 5 2 2 4" xfId="3924" xr:uid="{00000000-0005-0000-0000-000031860000}"/>
    <cellStyle name="常规 9 2 3 5 2 2 4 2" xfId="10068" xr:uid="{00000000-0005-0000-0000-000032860000}"/>
    <cellStyle name="常规 9 2 3 5 2 2 4 2 2" xfId="22356" xr:uid="{00000000-0005-0000-0000-000033860000}"/>
    <cellStyle name="常规 9 2 3 5 2 2 4 2 2 2" xfId="46932" xr:uid="{00000000-0005-0000-0000-000034860000}"/>
    <cellStyle name="常规 9 2 3 5 2 2 4 2 3" xfId="34644" xr:uid="{00000000-0005-0000-0000-000035860000}"/>
    <cellStyle name="常规 9 2 3 5 2 2 4 3" xfId="16212" xr:uid="{00000000-0005-0000-0000-000036860000}"/>
    <cellStyle name="常规 9 2 3 5 2 2 4 3 2" xfId="40788" xr:uid="{00000000-0005-0000-0000-000037860000}"/>
    <cellStyle name="常规 9 2 3 5 2 2 4 4" xfId="28500" xr:uid="{00000000-0005-0000-0000-000038860000}"/>
    <cellStyle name="常规 9 2 3 5 2 2 5" xfId="6996" xr:uid="{00000000-0005-0000-0000-000039860000}"/>
    <cellStyle name="常规 9 2 3 5 2 2 5 2" xfId="19284" xr:uid="{00000000-0005-0000-0000-00003A860000}"/>
    <cellStyle name="常规 9 2 3 5 2 2 5 2 2" xfId="43860" xr:uid="{00000000-0005-0000-0000-00003B860000}"/>
    <cellStyle name="常规 9 2 3 5 2 2 5 3" xfId="31572" xr:uid="{00000000-0005-0000-0000-00003C860000}"/>
    <cellStyle name="常规 9 2 3 5 2 2 6" xfId="13140" xr:uid="{00000000-0005-0000-0000-00003D860000}"/>
    <cellStyle name="常规 9 2 3 5 2 2 6 2" xfId="37716" xr:uid="{00000000-0005-0000-0000-00003E860000}"/>
    <cellStyle name="常规 9 2 3 5 2 2 7" xfId="25428" xr:uid="{00000000-0005-0000-0000-00003F860000}"/>
    <cellStyle name="常规 9 2 3 5 2 3" xfId="1232" xr:uid="{00000000-0005-0000-0000-000040860000}"/>
    <cellStyle name="常规 9 2 3 5 2 3 2" xfId="2768" xr:uid="{00000000-0005-0000-0000-000041860000}"/>
    <cellStyle name="常规 9 2 3 5 2 3 2 2" xfId="5844" xr:uid="{00000000-0005-0000-0000-000042860000}"/>
    <cellStyle name="常规 9 2 3 5 2 3 2 2 2" xfId="11988" xr:uid="{00000000-0005-0000-0000-000043860000}"/>
    <cellStyle name="常规 9 2 3 5 2 3 2 2 2 2" xfId="24276" xr:uid="{00000000-0005-0000-0000-000044860000}"/>
    <cellStyle name="常规 9 2 3 5 2 3 2 2 2 2 2" xfId="48852" xr:uid="{00000000-0005-0000-0000-000045860000}"/>
    <cellStyle name="常规 9 2 3 5 2 3 2 2 2 3" xfId="36564" xr:uid="{00000000-0005-0000-0000-000046860000}"/>
    <cellStyle name="常规 9 2 3 5 2 3 2 2 3" xfId="18132" xr:uid="{00000000-0005-0000-0000-000047860000}"/>
    <cellStyle name="常规 9 2 3 5 2 3 2 2 3 2" xfId="42708" xr:uid="{00000000-0005-0000-0000-000048860000}"/>
    <cellStyle name="常规 9 2 3 5 2 3 2 2 4" xfId="30420" xr:uid="{00000000-0005-0000-0000-000049860000}"/>
    <cellStyle name="常规 9 2 3 5 2 3 2 3" xfId="8916" xr:uid="{00000000-0005-0000-0000-00004A860000}"/>
    <cellStyle name="常规 9 2 3 5 2 3 2 3 2" xfId="21204" xr:uid="{00000000-0005-0000-0000-00004B860000}"/>
    <cellStyle name="常规 9 2 3 5 2 3 2 3 2 2" xfId="45780" xr:uid="{00000000-0005-0000-0000-00004C860000}"/>
    <cellStyle name="常规 9 2 3 5 2 3 2 3 3" xfId="33492" xr:uid="{00000000-0005-0000-0000-00004D860000}"/>
    <cellStyle name="常规 9 2 3 5 2 3 2 4" xfId="15060" xr:uid="{00000000-0005-0000-0000-00004E860000}"/>
    <cellStyle name="常规 9 2 3 5 2 3 2 4 2" xfId="39636" xr:uid="{00000000-0005-0000-0000-00004F860000}"/>
    <cellStyle name="常规 9 2 3 5 2 3 2 5" xfId="27348" xr:uid="{00000000-0005-0000-0000-000050860000}"/>
    <cellStyle name="常规 9 2 3 5 2 3 3" xfId="4308" xr:uid="{00000000-0005-0000-0000-000051860000}"/>
    <cellStyle name="常规 9 2 3 5 2 3 3 2" xfId="10452" xr:uid="{00000000-0005-0000-0000-000052860000}"/>
    <cellStyle name="常规 9 2 3 5 2 3 3 2 2" xfId="22740" xr:uid="{00000000-0005-0000-0000-000053860000}"/>
    <cellStyle name="常规 9 2 3 5 2 3 3 2 2 2" xfId="47316" xr:uid="{00000000-0005-0000-0000-000054860000}"/>
    <cellStyle name="常规 9 2 3 5 2 3 3 2 3" xfId="35028" xr:uid="{00000000-0005-0000-0000-000055860000}"/>
    <cellStyle name="常规 9 2 3 5 2 3 3 3" xfId="16596" xr:uid="{00000000-0005-0000-0000-000056860000}"/>
    <cellStyle name="常规 9 2 3 5 2 3 3 3 2" xfId="41172" xr:uid="{00000000-0005-0000-0000-000057860000}"/>
    <cellStyle name="常规 9 2 3 5 2 3 3 4" xfId="28884" xr:uid="{00000000-0005-0000-0000-000058860000}"/>
    <cellStyle name="常规 9 2 3 5 2 3 4" xfId="7380" xr:uid="{00000000-0005-0000-0000-000059860000}"/>
    <cellStyle name="常规 9 2 3 5 2 3 4 2" xfId="19668" xr:uid="{00000000-0005-0000-0000-00005A860000}"/>
    <cellStyle name="常规 9 2 3 5 2 3 4 2 2" xfId="44244" xr:uid="{00000000-0005-0000-0000-00005B860000}"/>
    <cellStyle name="常规 9 2 3 5 2 3 4 3" xfId="31956" xr:uid="{00000000-0005-0000-0000-00005C860000}"/>
    <cellStyle name="常规 9 2 3 5 2 3 5" xfId="13524" xr:uid="{00000000-0005-0000-0000-00005D860000}"/>
    <cellStyle name="常规 9 2 3 5 2 3 5 2" xfId="38100" xr:uid="{00000000-0005-0000-0000-00005E860000}"/>
    <cellStyle name="常规 9 2 3 5 2 3 6" xfId="25812" xr:uid="{00000000-0005-0000-0000-00005F860000}"/>
    <cellStyle name="常规 9 2 3 5 2 4" xfId="2000" xr:uid="{00000000-0005-0000-0000-000060860000}"/>
    <cellStyle name="常规 9 2 3 5 2 4 2" xfId="5076" xr:uid="{00000000-0005-0000-0000-000061860000}"/>
    <cellStyle name="常规 9 2 3 5 2 4 2 2" xfId="11220" xr:uid="{00000000-0005-0000-0000-000062860000}"/>
    <cellStyle name="常规 9 2 3 5 2 4 2 2 2" xfId="23508" xr:uid="{00000000-0005-0000-0000-000063860000}"/>
    <cellStyle name="常规 9 2 3 5 2 4 2 2 2 2" xfId="48084" xr:uid="{00000000-0005-0000-0000-000064860000}"/>
    <cellStyle name="常规 9 2 3 5 2 4 2 2 3" xfId="35796" xr:uid="{00000000-0005-0000-0000-000065860000}"/>
    <cellStyle name="常规 9 2 3 5 2 4 2 3" xfId="17364" xr:uid="{00000000-0005-0000-0000-000066860000}"/>
    <cellStyle name="常规 9 2 3 5 2 4 2 3 2" xfId="41940" xr:uid="{00000000-0005-0000-0000-000067860000}"/>
    <cellStyle name="常规 9 2 3 5 2 4 2 4" xfId="29652" xr:uid="{00000000-0005-0000-0000-000068860000}"/>
    <cellStyle name="常规 9 2 3 5 2 4 3" xfId="8148" xr:uid="{00000000-0005-0000-0000-000069860000}"/>
    <cellStyle name="常规 9 2 3 5 2 4 3 2" xfId="20436" xr:uid="{00000000-0005-0000-0000-00006A860000}"/>
    <cellStyle name="常规 9 2 3 5 2 4 3 2 2" xfId="45012" xr:uid="{00000000-0005-0000-0000-00006B860000}"/>
    <cellStyle name="常规 9 2 3 5 2 4 3 3" xfId="32724" xr:uid="{00000000-0005-0000-0000-00006C860000}"/>
    <cellStyle name="常规 9 2 3 5 2 4 4" xfId="14292" xr:uid="{00000000-0005-0000-0000-00006D860000}"/>
    <cellStyle name="常规 9 2 3 5 2 4 4 2" xfId="38868" xr:uid="{00000000-0005-0000-0000-00006E860000}"/>
    <cellStyle name="常规 9 2 3 5 2 4 5" xfId="26580" xr:uid="{00000000-0005-0000-0000-00006F860000}"/>
    <cellStyle name="常规 9 2 3 5 2 5" xfId="3540" xr:uid="{00000000-0005-0000-0000-000070860000}"/>
    <cellStyle name="常规 9 2 3 5 2 5 2" xfId="9684" xr:uid="{00000000-0005-0000-0000-000071860000}"/>
    <cellStyle name="常规 9 2 3 5 2 5 2 2" xfId="21972" xr:uid="{00000000-0005-0000-0000-000072860000}"/>
    <cellStyle name="常规 9 2 3 5 2 5 2 2 2" xfId="46548" xr:uid="{00000000-0005-0000-0000-000073860000}"/>
    <cellStyle name="常规 9 2 3 5 2 5 2 3" xfId="34260" xr:uid="{00000000-0005-0000-0000-000074860000}"/>
    <cellStyle name="常规 9 2 3 5 2 5 3" xfId="15828" xr:uid="{00000000-0005-0000-0000-000075860000}"/>
    <cellStyle name="常规 9 2 3 5 2 5 3 2" xfId="40404" xr:uid="{00000000-0005-0000-0000-000076860000}"/>
    <cellStyle name="常规 9 2 3 5 2 5 4" xfId="28116" xr:uid="{00000000-0005-0000-0000-000077860000}"/>
    <cellStyle name="常规 9 2 3 5 2 6" xfId="6612" xr:uid="{00000000-0005-0000-0000-000078860000}"/>
    <cellStyle name="常规 9 2 3 5 2 6 2" xfId="18900" xr:uid="{00000000-0005-0000-0000-000079860000}"/>
    <cellStyle name="常规 9 2 3 5 2 6 2 2" xfId="43476" xr:uid="{00000000-0005-0000-0000-00007A860000}"/>
    <cellStyle name="常规 9 2 3 5 2 6 3" xfId="31188" xr:uid="{00000000-0005-0000-0000-00007B860000}"/>
    <cellStyle name="常规 9 2 3 5 2 7" xfId="12756" xr:uid="{00000000-0005-0000-0000-00007C860000}"/>
    <cellStyle name="常规 9 2 3 5 2 7 2" xfId="37332" xr:uid="{00000000-0005-0000-0000-00007D860000}"/>
    <cellStyle name="常规 9 2 3 5 2 8" xfId="25044" xr:uid="{00000000-0005-0000-0000-00007E860000}"/>
    <cellStyle name="常规 9 2 3 5 3" xfId="656" xr:uid="{00000000-0005-0000-0000-00007F860000}"/>
    <cellStyle name="常规 9 2 3 5 3 2" xfId="1424" xr:uid="{00000000-0005-0000-0000-000080860000}"/>
    <cellStyle name="常规 9 2 3 5 3 2 2" xfId="2960" xr:uid="{00000000-0005-0000-0000-000081860000}"/>
    <cellStyle name="常规 9 2 3 5 3 2 2 2" xfId="6036" xr:uid="{00000000-0005-0000-0000-000082860000}"/>
    <cellStyle name="常规 9 2 3 5 3 2 2 2 2" xfId="12180" xr:uid="{00000000-0005-0000-0000-000083860000}"/>
    <cellStyle name="常规 9 2 3 5 3 2 2 2 2 2" xfId="24468" xr:uid="{00000000-0005-0000-0000-000084860000}"/>
    <cellStyle name="常规 9 2 3 5 3 2 2 2 2 2 2" xfId="49044" xr:uid="{00000000-0005-0000-0000-000085860000}"/>
    <cellStyle name="常规 9 2 3 5 3 2 2 2 2 3" xfId="36756" xr:uid="{00000000-0005-0000-0000-000086860000}"/>
    <cellStyle name="常规 9 2 3 5 3 2 2 2 3" xfId="18324" xr:uid="{00000000-0005-0000-0000-000087860000}"/>
    <cellStyle name="常规 9 2 3 5 3 2 2 2 3 2" xfId="42900" xr:uid="{00000000-0005-0000-0000-000088860000}"/>
    <cellStyle name="常规 9 2 3 5 3 2 2 2 4" xfId="30612" xr:uid="{00000000-0005-0000-0000-000089860000}"/>
    <cellStyle name="常规 9 2 3 5 3 2 2 3" xfId="9108" xr:uid="{00000000-0005-0000-0000-00008A860000}"/>
    <cellStyle name="常规 9 2 3 5 3 2 2 3 2" xfId="21396" xr:uid="{00000000-0005-0000-0000-00008B860000}"/>
    <cellStyle name="常规 9 2 3 5 3 2 2 3 2 2" xfId="45972" xr:uid="{00000000-0005-0000-0000-00008C860000}"/>
    <cellStyle name="常规 9 2 3 5 3 2 2 3 3" xfId="33684" xr:uid="{00000000-0005-0000-0000-00008D860000}"/>
    <cellStyle name="常规 9 2 3 5 3 2 2 4" xfId="15252" xr:uid="{00000000-0005-0000-0000-00008E860000}"/>
    <cellStyle name="常规 9 2 3 5 3 2 2 4 2" xfId="39828" xr:uid="{00000000-0005-0000-0000-00008F860000}"/>
    <cellStyle name="常规 9 2 3 5 3 2 2 5" xfId="27540" xr:uid="{00000000-0005-0000-0000-000090860000}"/>
    <cellStyle name="常规 9 2 3 5 3 2 3" xfId="4500" xr:uid="{00000000-0005-0000-0000-000091860000}"/>
    <cellStyle name="常规 9 2 3 5 3 2 3 2" xfId="10644" xr:uid="{00000000-0005-0000-0000-000092860000}"/>
    <cellStyle name="常规 9 2 3 5 3 2 3 2 2" xfId="22932" xr:uid="{00000000-0005-0000-0000-000093860000}"/>
    <cellStyle name="常规 9 2 3 5 3 2 3 2 2 2" xfId="47508" xr:uid="{00000000-0005-0000-0000-000094860000}"/>
    <cellStyle name="常规 9 2 3 5 3 2 3 2 3" xfId="35220" xr:uid="{00000000-0005-0000-0000-000095860000}"/>
    <cellStyle name="常规 9 2 3 5 3 2 3 3" xfId="16788" xr:uid="{00000000-0005-0000-0000-000096860000}"/>
    <cellStyle name="常规 9 2 3 5 3 2 3 3 2" xfId="41364" xr:uid="{00000000-0005-0000-0000-000097860000}"/>
    <cellStyle name="常规 9 2 3 5 3 2 3 4" xfId="29076" xr:uid="{00000000-0005-0000-0000-000098860000}"/>
    <cellStyle name="常规 9 2 3 5 3 2 4" xfId="7572" xr:uid="{00000000-0005-0000-0000-000099860000}"/>
    <cellStyle name="常规 9 2 3 5 3 2 4 2" xfId="19860" xr:uid="{00000000-0005-0000-0000-00009A860000}"/>
    <cellStyle name="常规 9 2 3 5 3 2 4 2 2" xfId="44436" xr:uid="{00000000-0005-0000-0000-00009B860000}"/>
    <cellStyle name="常规 9 2 3 5 3 2 4 3" xfId="32148" xr:uid="{00000000-0005-0000-0000-00009C860000}"/>
    <cellStyle name="常规 9 2 3 5 3 2 5" xfId="13716" xr:uid="{00000000-0005-0000-0000-00009D860000}"/>
    <cellStyle name="常规 9 2 3 5 3 2 5 2" xfId="38292" xr:uid="{00000000-0005-0000-0000-00009E860000}"/>
    <cellStyle name="常规 9 2 3 5 3 2 6" xfId="26004" xr:uid="{00000000-0005-0000-0000-00009F860000}"/>
    <cellStyle name="常规 9 2 3 5 3 3" xfId="2192" xr:uid="{00000000-0005-0000-0000-0000A0860000}"/>
    <cellStyle name="常规 9 2 3 5 3 3 2" xfId="5268" xr:uid="{00000000-0005-0000-0000-0000A1860000}"/>
    <cellStyle name="常规 9 2 3 5 3 3 2 2" xfId="11412" xr:uid="{00000000-0005-0000-0000-0000A2860000}"/>
    <cellStyle name="常规 9 2 3 5 3 3 2 2 2" xfId="23700" xr:uid="{00000000-0005-0000-0000-0000A3860000}"/>
    <cellStyle name="常规 9 2 3 5 3 3 2 2 2 2" xfId="48276" xr:uid="{00000000-0005-0000-0000-0000A4860000}"/>
    <cellStyle name="常规 9 2 3 5 3 3 2 2 3" xfId="35988" xr:uid="{00000000-0005-0000-0000-0000A5860000}"/>
    <cellStyle name="常规 9 2 3 5 3 3 2 3" xfId="17556" xr:uid="{00000000-0005-0000-0000-0000A6860000}"/>
    <cellStyle name="常规 9 2 3 5 3 3 2 3 2" xfId="42132" xr:uid="{00000000-0005-0000-0000-0000A7860000}"/>
    <cellStyle name="常规 9 2 3 5 3 3 2 4" xfId="29844" xr:uid="{00000000-0005-0000-0000-0000A8860000}"/>
    <cellStyle name="常规 9 2 3 5 3 3 3" xfId="8340" xr:uid="{00000000-0005-0000-0000-0000A9860000}"/>
    <cellStyle name="常规 9 2 3 5 3 3 3 2" xfId="20628" xr:uid="{00000000-0005-0000-0000-0000AA860000}"/>
    <cellStyle name="常规 9 2 3 5 3 3 3 2 2" xfId="45204" xr:uid="{00000000-0005-0000-0000-0000AB860000}"/>
    <cellStyle name="常规 9 2 3 5 3 3 3 3" xfId="32916" xr:uid="{00000000-0005-0000-0000-0000AC860000}"/>
    <cellStyle name="常规 9 2 3 5 3 3 4" xfId="14484" xr:uid="{00000000-0005-0000-0000-0000AD860000}"/>
    <cellStyle name="常规 9 2 3 5 3 3 4 2" xfId="39060" xr:uid="{00000000-0005-0000-0000-0000AE860000}"/>
    <cellStyle name="常规 9 2 3 5 3 3 5" xfId="26772" xr:uid="{00000000-0005-0000-0000-0000AF860000}"/>
    <cellStyle name="常规 9 2 3 5 3 4" xfId="3732" xr:uid="{00000000-0005-0000-0000-0000B0860000}"/>
    <cellStyle name="常规 9 2 3 5 3 4 2" xfId="9876" xr:uid="{00000000-0005-0000-0000-0000B1860000}"/>
    <cellStyle name="常规 9 2 3 5 3 4 2 2" xfId="22164" xr:uid="{00000000-0005-0000-0000-0000B2860000}"/>
    <cellStyle name="常规 9 2 3 5 3 4 2 2 2" xfId="46740" xr:uid="{00000000-0005-0000-0000-0000B3860000}"/>
    <cellStyle name="常规 9 2 3 5 3 4 2 3" xfId="34452" xr:uid="{00000000-0005-0000-0000-0000B4860000}"/>
    <cellStyle name="常规 9 2 3 5 3 4 3" xfId="16020" xr:uid="{00000000-0005-0000-0000-0000B5860000}"/>
    <cellStyle name="常规 9 2 3 5 3 4 3 2" xfId="40596" xr:uid="{00000000-0005-0000-0000-0000B6860000}"/>
    <cellStyle name="常规 9 2 3 5 3 4 4" xfId="28308" xr:uid="{00000000-0005-0000-0000-0000B7860000}"/>
    <cellStyle name="常规 9 2 3 5 3 5" xfId="6804" xr:uid="{00000000-0005-0000-0000-0000B8860000}"/>
    <cellStyle name="常规 9 2 3 5 3 5 2" xfId="19092" xr:uid="{00000000-0005-0000-0000-0000B9860000}"/>
    <cellStyle name="常规 9 2 3 5 3 5 2 2" xfId="43668" xr:uid="{00000000-0005-0000-0000-0000BA860000}"/>
    <cellStyle name="常规 9 2 3 5 3 5 3" xfId="31380" xr:uid="{00000000-0005-0000-0000-0000BB860000}"/>
    <cellStyle name="常规 9 2 3 5 3 6" xfId="12948" xr:uid="{00000000-0005-0000-0000-0000BC860000}"/>
    <cellStyle name="常规 9 2 3 5 3 6 2" xfId="37524" xr:uid="{00000000-0005-0000-0000-0000BD860000}"/>
    <cellStyle name="常规 9 2 3 5 3 7" xfId="25236" xr:uid="{00000000-0005-0000-0000-0000BE860000}"/>
    <cellStyle name="常规 9 2 3 5 4" xfId="1040" xr:uid="{00000000-0005-0000-0000-0000BF860000}"/>
    <cellStyle name="常规 9 2 3 5 4 2" xfId="2576" xr:uid="{00000000-0005-0000-0000-0000C0860000}"/>
    <cellStyle name="常规 9 2 3 5 4 2 2" xfId="5652" xr:uid="{00000000-0005-0000-0000-0000C1860000}"/>
    <cellStyle name="常规 9 2 3 5 4 2 2 2" xfId="11796" xr:uid="{00000000-0005-0000-0000-0000C2860000}"/>
    <cellStyle name="常规 9 2 3 5 4 2 2 2 2" xfId="24084" xr:uid="{00000000-0005-0000-0000-0000C3860000}"/>
    <cellStyle name="常规 9 2 3 5 4 2 2 2 2 2" xfId="48660" xr:uid="{00000000-0005-0000-0000-0000C4860000}"/>
    <cellStyle name="常规 9 2 3 5 4 2 2 2 3" xfId="36372" xr:uid="{00000000-0005-0000-0000-0000C5860000}"/>
    <cellStyle name="常规 9 2 3 5 4 2 2 3" xfId="17940" xr:uid="{00000000-0005-0000-0000-0000C6860000}"/>
    <cellStyle name="常规 9 2 3 5 4 2 2 3 2" xfId="42516" xr:uid="{00000000-0005-0000-0000-0000C7860000}"/>
    <cellStyle name="常规 9 2 3 5 4 2 2 4" xfId="30228" xr:uid="{00000000-0005-0000-0000-0000C8860000}"/>
    <cellStyle name="常规 9 2 3 5 4 2 3" xfId="8724" xr:uid="{00000000-0005-0000-0000-0000C9860000}"/>
    <cellStyle name="常规 9 2 3 5 4 2 3 2" xfId="21012" xr:uid="{00000000-0005-0000-0000-0000CA860000}"/>
    <cellStyle name="常规 9 2 3 5 4 2 3 2 2" xfId="45588" xr:uid="{00000000-0005-0000-0000-0000CB860000}"/>
    <cellStyle name="常规 9 2 3 5 4 2 3 3" xfId="33300" xr:uid="{00000000-0005-0000-0000-0000CC860000}"/>
    <cellStyle name="常规 9 2 3 5 4 2 4" xfId="14868" xr:uid="{00000000-0005-0000-0000-0000CD860000}"/>
    <cellStyle name="常规 9 2 3 5 4 2 4 2" xfId="39444" xr:uid="{00000000-0005-0000-0000-0000CE860000}"/>
    <cellStyle name="常规 9 2 3 5 4 2 5" xfId="27156" xr:uid="{00000000-0005-0000-0000-0000CF860000}"/>
    <cellStyle name="常规 9 2 3 5 4 3" xfId="4116" xr:uid="{00000000-0005-0000-0000-0000D0860000}"/>
    <cellStyle name="常规 9 2 3 5 4 3 2" xfId="10260" xr:uid="{00000000-0005-0000-0000-0000D1860000}"/>
    <cellStyle name="常规 9 2 3 5 4 3 2 2" xfId="22548" xr:uid="{00000000-0005-0000-0000-0000D2860000}"/>
    <cellStyle name="常规 9 2 3 5 4 3 2 2 2" xfId="47124" xr:uid="{00000000-0005-0000-0000-0000D3860000}"/>
    <cellStyle name="常规 9 2 3 5 4 3 2 3" xfId="34836" xr:uid="{00000000-0005-0000-0000-0000D4860000}"/>
    <cellStyle name="常规 9 2 3 5 4 3 3" xfId="16404" xr:uid="{00000000-0005-0000-0000-0000D5860000}"/>
    <cellStyle name="常规 9 2 3 5 4 3 3 2" xfId="40980" xr:uid="{00000000-0005-0000-0000-0000D6860000}"/>
    <cellStyle name="常规 9 2 3 5 4 3 4" xfId="28692" xr:uid="{00000000-0005-0000-0000-0000D7860000}"/>
    <cellStyle name="常规 9 2 3 5 4 4" xfId="7188" xr:uid="{00000000-0005-0000-0000-0000D8860000}"/>
    <cellStyle name="常规 9 2 3 5 4 4 2" xfId="19476" xr:uid="{00000000-0005-0000-0000-0000D9860000}"/>
    <cellStyle name="常规 9 2 3 5 4 4 2 2" xfId="44052" xr:uid="{00000000-0005-0000-0000-0000DA860000}"/>
    <cellStyle name="常规 9 2 3 5 4 4 3" xfId="31764" xr:uid="{00000000-0005-0000-0000-0000DB860000}"/>
    <cellStyle name="常规 9 2 3 5 4 5" xfId="13332" xr:uid="{00000000-0005-0000-0000-0000DC860000}"/>
    <cellStyle name="常规 9 2 3 5 4 5 2" xfId="37908" xr:uid="{00000000-0005-0000-0000-0000DD860000}"/>
    <cellStyle name="常规 9 2 3 5 4 6" xfId="25620" xr:uid="{00000000-0005-0000-0000-0000DE860000}"/>
    <cellStyle name="常规 9 2 3 5 5" xfId="1808" xr:uid="{00000000-0005-0000-0000-0000DF860000}"/>
    <cellStyle name="常规 9 2 3 5 5 2" xfId="4884" xr:uid="{00000000-0005-0000-0000-0000E0860000}"/>
    <cellStyle name="常规 9 2 3 5 5 2 2" xfId="11028" xr:uid="{00000000-0005-0000-0000-0000E1860000}"/>
    <cellStyle name="常规 9 2 3 5 5 2 2 2" xfId="23316" xr:uid="{00000000-0005-0000-0000-0000E2860000}"/>
    <cellStyle name="常规 9 2 3 5 5 2 2 2 2" xfId="47892" xr:uid="{00000000-0005-0000-0000-0000E3860000}"/>
    <cellStyle name="常规 9 2 3 5 5 2 2 3" xfId="35604" xr:uid="{00000000-0005-0000-0000-0000E4860000}"/>
    <cellStyle name="常规 9 2 3 5 5 2 3" xfId="17172" xr:uid="{00000000-0005-0000-0000-0000E5860000}"/>
    <cellStyle name="常规 9 2 3 5 5 2 3 2" xfId="41748" xr:uid="{00000000-0005-0000-0000-0000E6860000}"/>
    <cellStyle name="常规 9 2 3 5 5 2 4" xfId="29460" xr:uid="{00000000-0005-0000-0000-0000E7860000}"/>
    <cellStyle name="常规 9 2 3 5 5 3" xfId="7956" xr:uid="{00000000-0005-0000-0000-0000E8860000}"/>
    <cellStyle name="常规 9 2 3 5 5 3 2" xfId="20244" xr:uid="{00000000-0005-0000-0000-0000E9860000}"/>
    <cellStyle name="常规 9 2 3 5 5 3 2 2" xfId="44820" xr:uid="{00000000-0005-0000-0000-0000EA860000}"/>
    <cellStyle name="常规 9 2 3 5 5 3 3" xfId="32532" xr:uid="{00000000-0005-0000-0000-0000EB860000}"/>
    <cellStyle name="常规 9 2 3 5 5 4" xfId="14100" xr:uid="{00000000-0005-0000-0000-0000EC860000}"/>
    <cellStyle name="常规 9 2 3 5 5 4 2" xfId="38676" xr:uid="{00000000-0005-0000-0000-0000ED860000}"/>
    <cellStyle name="常规 9 2 3 5 5 5" xfId="26388" xr:uid="{00000000-0005-0000-0000-0000EE860000}"/>
    <cellStyle name="常规 9 2 3 5 6" xfId="3348" xr:uid="{00000000-0005-0000-0000-0000EF860000}"/>
    <cellStyle name="常规 9 2 3 5 6 2" xfId="9492" xr:uid="{00000000-0005-0000-0000-0000F0860000}"/>
    <cellStyle name="常规 9 2 3 5 6 2 2" xfId="21780" xr:uid="{00000000-0005-0000-0000-0000F1860000}"/>
    <cellStyle name="常规 9 2 3 5 6 2 2 2" xfId="46356" xr:uid="{00000000-0005-0000-0000-0000F2860000}"/>
    <cellStyle name="常规 9 2 3 5 6 2 3" xfId="34068" xr:uid="{00000000-0005-0000-0000-0000F3860000}"/>
    <cellStyle name="常规 9 2 3 5 6 3" xfId="15636" xr:uid="{00000000-0005-0000-0000-0000F4860000}"/>
    <cellStyle name="常规 9 2 3 5 6 3 2" xfId="40212" xr:uid="{00000000-0005-0000-0000-0000F5860000}"/>
    <cellStyle name="常规 9 2 3 5 6 4" xfId="27924" xr:uid="{00000000-0005-0000-0000-0000F6860000}"/>
    <cellStyle name="常规 9 2 3 5 7" xfId="6420" xr:uid="{00000000-0005-0000-0000-0000F7860000}"/>
    <cellStyle name="常规 9 2 3 5 7 2" xfId="18708" xr:uid="{00000000-0005-0000-0000-0000F8860000}"/>
    <cellStyle name="常规 9 2 3 5 7 2 2" xfId="43284" xr:uid="{00000000-0005-0000-0000-0000F9860000}"/>
    <cellStyle name="常规 9 2 3 5 7 3" xfId="30996" xr:uid="{00000000-0005-0000-0000-0000FA860000}"/>
    <cellStyle name="常规 9 2 3 5 8" xfId="12564" xr:uid="{00000000-0005-0000-0000-0000FB860000}"/>
    <cellStyle name="常规 9 2 3 5 8 2" xfId="37140" xr:uid="{00000000-0005-0000-0000-0000FC860000}"/>
    <cellStyle name="常规 9 2 3 5 9" xfId="24852" xr:uid="{00000000-0005-0000-0000-0000FD860000}"/>
    <cellStyle name="常规 9 2 3 6" xfId="336" xr:uid="{00000000-0005-0000-0000-0000FE860000}"/>
    <cellStyle name="常规 9 2 3 6 2" xfId="720" xr:uid="{00000000-0005-0000-0000-0000FF860000}"/>
    <cellStyle name="常规 9 2 3 6 2 2" xfId="1488" xr:uid="{00000000-0005-0000-0000-000000870000}"/>
    <cellStyle name="常规 9 2 3 6 2 2 2" xfId="3024" xr:uid="{00000000-0005-0000-0000-000001870000}"/>
    <cellStyle name="常规 9 2 3 6 2 2 2 2" xfId="6100" xr:uid="{00000000-0005-0000-0000-000002870000}"/>
    <cellStyle name="常规 9 2 3 6 2 2 2 2 2" xfId="12244" xr:uid="{00000000-0005-0000-0000-000003870000}"/>
    <cellStyle name="常规 9 2 3 6 2 2 2 2 2 2" xfId="24532" xr:uid="{00000000-0005-0000-0000-000004870000}"/>
    <cellStyle name="常规 9 2 3 6 2 2 2 2 2 2 2" xfId="49108" xr:uid="{00000000-0005-0000-0000-000005870000}"/>
    <cellStyle name="常规 9 2 3 6 2 2 2 2 2 3" xfId="36820" xr:uid="{00000000-0005-0000-0000-000006870000}"/>
    <cellStyle name="常规 9 2 3 6 2 2 2 2 3" xfId="18388" xr:uid="{00000000-0005-0000-0000-000007870000}"/>
    <cellStyle name="常规 9 2 3 6 2 2 2 2 3 2" xfId="42964" xr:uid="{00000000-0005-0000-0000-000008870000}"/>
    <cellStyle name="常规 9 2 3 6 2 2 2 2 4" xfId="30676" xr:uid="{00000000-0005-0000-0000-000009870000}"/>
    <cellStyle name="常规 9 2 3 6 2 2 2 3" xfId="9172" xr:uid="{00000000-0005-0000-0000-00000A870000}"/>
    <cellStyle name="常规 9 2 3 6 2 2 2 3 2" xfId="21460" xr:uid="{00000000-0005-0000-0000-00000B870000}"/>
    <cellStyle name="常规 9 2 3 6 2 2 2 3 2 2" xfId="46036" xr:uid="{00000000-0005-0000-0000-00000C870000}"/>
    <cellStyle name="常规 9 2 3 6 2 2 2 3 3" xfId="33748" xr:uid="{00000000-0005-0000-0000-00000D870000}"/>
    <cellStyle name="常规 9 2 3 6 2 2 2 4" xfId="15316" xr:uid="{00000000-0005-0000-0000-00000E870000}"/>
    <cellStyle name="常规 9 2 3 6 2 2 2 4 2" xfId="39892" xr:uid="{00000000-0005-0000-0000-00000F870000}"/>
    <cellStyle name="常规 9 2 3 6 2 2 2 5" xfId="27604" xr:uid="{00000000-0005-0000-0000-000010870000}"/>
    <cellStyle name="常规 9 2 3 6 2 2 3" xfId="4564" xr:uid="{00000000-0005-0000-0000-000011870000}"/>
    <cellStyle name="常规 9 2 3 6 2 2 3 2" xfId="10708" xr:uid="{00000000-0005-0000-0000-000012870000}"/>
    <cellStyle name="常规 9 2 3 6 2 2 3 2 2" xfId="22996" xr:uid="{00000000-0005-0000-0000-000013870000}"/>
    <cellStyle name="常规 9 2 3 6 2 2 3 2 2 2" xfId="47572" xr:uid="{00000000-0005-0000-0000-000014870000}"/>
    <cellStyle name="常规 9 2 3 6 2 2 3 2 3" xfId="35284" xr:uid="{00000000-0005-0000-0000-000015870000}"/>
    <cellStyle name="常规 9 2 3 6 2 2 3 3" xfId="16852" xr:uid="{00000000-0005-0000-0000-000016870000}"/>
    <cellStyle name="常规 9 2 3 6 2 2 3 3 2" xfId="41428" xr:uid="{00000000-0005-0000-0000-000017870000}"/>
    <cellStyle name="常规 9 2 3 6 2 2 3 4" xfId="29140" xr:uid="{00000000-0005-0000-0000-000018870000}"/>
    <cellStyle name="常规 9 2 3 6 2 2 4" xfId="7636" xr:uid="{00000000-0005-0000-0000-000019870000}"/>
    <cellStyle name="常规 9 2 3 6 2 2 4 2" xfId="19924" xr:uid="{00000000-0005-0000-0000-00001A870000}"/>
    <cellStyle name="常规 9 2 3 6 2 2 4 2 2" xfId="44500" xr:uid="{00000000-0005-0000-0000-00001B870000}"/>
    <cellStyle name="常规 9 2 3 6 2 2 4 3" xfId="32212" xr:uid="{00000000-0005-0000-0000-00001C870000}"/>
    <cellStyle name="常规 9 2 3 6 2 2 5" xfId="13780" xr:uid="{00000000-0005-0000-0000-00001D870000}"/>
    <cellStyle name="常规 9 2 3 6 2 2 5 2" xfId="38356" xr:uid="{00000000-0005-0000-0000-00001E870000}"/>
    <cellStyle name="常规 9 2 3 6 2 2 6" xfId="26068" xr:uid="{00000000-0005-0000-0000-00001F870000}"/>
    <cellStyle name="常规 9 2 3 6 2 3" xfId="2256" xr:uid="{00000000-0005-0000-0000-000020870000}"/>
    <cellStyle name="常规 9 2 3 6 2 3 2" xfId="5332" xr:uid="{00000000-0005-0000-0000-000021870000}"/>
    <cellStyle name="常规 9 2 3 6 2 3 2 2" xfId="11476" xr:uid="{00000000-0005-0000-0000-000022870000}"/>
    <cellStyle name="常规 9 2 3 6 2 3 2 2 2" xfId="23764" xr:uid="{00000000-0005-0000-0000-000023870000}"/>
    <cellStyle name="常规 9 2 3 6 2 3 2 2 2 2" xfId="48340" xr:uid="{00000000-0005-0000-0000-000024870000}"/>
    <cellStyle name="常规 9 2 3 6 2 3 2 2 3" xfId="36052" xr:uid="{00000000-0005-0000-0000-000025870000}"/>
    <cellStyle name="常规 9 2 3 6 2 3 2 3" xfId="17620" xr:uid="{00000000-0005-0000-0000-000026870000}"/>
    <cellStyle name="常规 9 2 3 6 2 3 2 3 2" xfId="42196" xr:uid="{00000000-0005-0000-0000-000027870000}"/>
    <cellStyle name="常规 9 2 3 6 2 3 2 4" xfId="29908" xr:uid="{00000000-0005-0000-0000-000028870000}"/>
    <cellStyle name="常规 9 2 3 6 2 3 3" xfId="8404" xr:uid="{00000000-0005-0000-0000-000029870000}"/>
    <cellStyle name="常规 9 2 3 6 2 3 3 2" xfId="20692" xr:uid="{00000000-0005-0000-0000-00002A870000}"/>
    <cellStyle name="常规 9 2 3 6 2 3 3 2 2" xfId="45268" xr:uid="{00000000-0005-0000-0000-00002B870000}"/>
    <cellStyle name="常规 9 2 3 6 2 3 3 3" xfId="32980" xr:uid="{00000000-0005-0000-0000-00002C870000}"/>
    <cellStyle name="常规 9 2 3 6 2 3 4" xfId="14548" xr:uid="{00000000-0005-0000-0000-00002D870000}"/>
    <cellStyle name="常规 9 2 3 6 2 3 4 2" xfId="39124" xr:uid="{00000000-0005-0000-0000-00002E870000}"/>
    <cellStyle name="常规 9 2 3 6 2 3 5" xfId="26836" xr:uid="{00000000-0005-0000-0000-00002F870000}"/>
    <cellStyle name="常规 9 2 3 6 2 4" xfId="3796" xr:uid="{00000000-0005-0000-0000-000030870000}"/>
    <cellStyle name="常规 9 2 3 6 2 4 2" xfId="9940" xr:uid="{00000000-0005-0000-0000-000031870000}"/>
    <cellStyle name="常规 9 2 3 6 2 4 2 2" xfId="22228" xr:uid="{00000000-0005-0000-0000-000032870000}"/>
    <cellStyle name="常规 9 2 3 6 2 4 2 2 2" xfId="46804" xr:uid="{00000000-0005-0000-0000-000033870000}"/>
    <cellStyle name="常规 9 2 3 6 2 4 2 3" xfId="34516" xr:uid="{00000000-0005-0000-0000-000034870000}"/>
    <cellStyle name="常规 9 2 3 6 2 4 3" xfId="16084" xr:uid="{00000000-0005-0000-0000-000035870000}"/>
    <cellStyle name="常规 9 2 3 6 2 4 3 2" xfId="40660" xr:uid="{00000000-0005-0000-0000-000036870000}"/>
    <cellStyle name="常规 9 2 3 6 2 4 4" xfId="28372" xr:uid="{00000000-0005-0000-0000-000037870000}"/>
    <cellStyle name="常规 9 2 3 6 2 5" xfId="6868" xr:uid="{00000000-0005-0000-0000-000038870000}"/>
    <cellStyle name="常规 9 2 3 6 2 5 2" xfId="19156" xr:uid="{00000000-0005-0000-0000-000039870000}"/>
    <cellStyle name="常规 9 2 3 6 2 5 2 2" xfId="43732" xr:uid="{00000000-0005-0000-0000-00003A870000}"/>
    <cellStyle name="常规 9 2 3 6 2 5 3" xfId="31444" xr:uid="{00000000-0005-0000-0000-00003B870000}"/>
    <cellStyle name="常规 9 2 3 6 2 6" xfId="13012" xr:uid="{00000000-0005-0000-0000-00003C870000}"/>
    <cellStyle name="常规 9 2 3 6 2 6 2" xfId="37588" xr:uid="{00000000-0005-0000-0000-00003D870000}"/>
    <cellStyle name="常规 9 2 3 6 2 7" xfId="25300" xr:uid="{00000000-0005-0000-0000-00003E870000}"/>
    <cellStyle name="常规 9 2 3 6 3" xfId="1104" xr:uid="{00000000-0005-0000-0000-00003F870000}"/>
    <cellStyle name="常规 9 2 3 6 3 2" xfId="2640" xr:uid="{00000000-0005-0000-0000-000040870000}"/>
    <cellStyle name="常规 9 2 3 6 3 2 2" xfId="5716" xr:uid="{00000000-0005-0000-0000-000041870000}"/>
    <cellStyle name="常规 9 2 3 6 3 2 2 2" xfId="11860" xr:uid="{00000000-0005-0000-0000-000042870000}"/>
    <cellStyle name="常规 9 2 3 6 3 2 2 2 2" xfId="24148" xr:uid="{00000000-0005-0000-0000-000043870000}"/>
    <cellStyle name="常规 9 2 3 6 3 2 2 2 2 2" xfId="48724" xr:uid="{00000000-0005-0000-0000-000044870000}"/>
    <cellStyle name="常规 9 2 3 6 3 2 2 2 3" xfId="36436" xr:uid="{00000000-0005-0000-0000-000045870000}"/>
    <cellStyle name="常规 9 2 3 6 3 2 2 3" xfId="18004" xr:uid="{00000000-0005-0000-0000-000046870000}"/>
    <cellStyle name="常规 9 2 3 6 3 2 2 3 2" xfId="42580" xr:uid="{00000000-0005-0000-0000-000047870000}"/>
    <cellStyle name="常规 9 2 3 6 3 2 2 4" xfId="30292" xr:uid="{00000000-0005-0000-0000-000048870000}"/>
    <cellStyle name="常规 9 2 3 6 3 2 3" xfId="8788" xr:uid="{00000000-0005-0000-0000-000049870000}"/>
    <cellStyle name="常规 9 2 3 6 3 2 3 2" xfId="21076" xr:uid="{00000000-0005-0000-0000-00004A870000}"/>
    <cellStyle name="常规 9 2 3 6 3 2 3 2 2" xfId="45652" xr:uid="{00000000-0005-0000-0000-00004B870000}"/>
    <cellStyle name="常规 9 2 3 6 3 2 3 3" xfId="33364" xr:uid="{00000000-0005-0000-0000-00004C870000}"/>
    <cellStyle name="常规 9 2 3 6 3 2 4" xfId="14932" xr:uid="{00000000-0005-0000-0000-00004D870000}"/>
    <cellStyle name="常规 9 2 3 6 3 2 4 2" xfId="39508" xr:uid="{00000000-0005-0000-0000-00004E870000}"/>
    <cellStyle name="常规 9 2 3 6 3 2 5" xfId="27220" xr:uid="{00000000-0005-0000-0000-00004F870000}"/>
    <cellStyle name="常规 9 2 3 6 3 3" xfId="4180" xr:uid="{00000000-0005-0000-0000-000050870000}"/>
    <cellStyle name="常规 9 2 3 6 3 3 2" xfId="10324" xr:uid="{00000000-0005-0000-0000-000051870000}"/>
    <cellStyle name="常规 9 2 3 6 3 3 2 2" xfId="22612" xr:uid="{00000000-0005-0000-0000-000052870000}"/>
    <cellStyle name="常规 9 2 3 6 3 3 2 2 2" xfId="47188" xr:uid="{00000000-0005-0000-0000-000053870000}"/>
    <cellStyle name="常规 9 2 3 6 3 3 2 3" xfId="34900" xr:uid="{00000000-0005-0000-0000-000054870000}"/>
    <cellStyle name="常规 9 2 3 6 3 3 3" xfId="16468" xr:uid="{00000000-0005-0000-0000-000055870000}"/>
    <cellStyle name="常规 9 2 3 6 3 3 3 2" xfId="41044" xr:uid="{00000000-0005-0000-0000-000056870000}"/>
    <cellStyle name="常规 9 2 3 6 3 3 4" xfId="28756" xr:uid="{00000000-0005-0000-0000-000057870000}"/>
    <cellStyle name="常规 9 2 3 6 3 4" xfId="7252" xr:uid="{00000000-0005-0000-0000-000058870000}"/>
    <cellStyle name="常规 9 2 3 6 3 4 2" xfId="19540" xr:uid="{00000000-0005-0000-0000-000059870000}"/>
    <cellStyle name="常规 9 2 3 6 3 4 2 2" xfId="44116" xr:uid="{00000000-0005-0000-0000-00005A870000}"/>
    <cellStyle name="常规 9 2 3 6 3 4 3" xfId="31828" xr:uid="{00000000-0005-0000-0000-00005B870000}"/>
    <cellStyle name="常规 9 2 3 6 3 5" xfId="13396" xr:uid="{00000000-0005-0000-0000-00005C870000}"/>
    <cellStyle name="常规 9 2 3 6 3 5 2" xfId="37972" xr:uid="{00000000-0005-0000-0000-00005D870000}"/>
    <cellStyle name="常规 9 2 3 6 3 6" xfId="25684" xr:uid="{00000000-0005-0000-0000-00005E870000}"/>
    <cellStyle name="常规 9 2 3 6 4" xfId="1872" xr:uid="{00000000-0005-0000-0000-00005F870000}"/>
    <cellStyle name="常规 9 2 3 6 4 2" xfId="4948" xr:uid="{00000000-0005-0000-0000-000060870000}"/>
    <cellStyle name="常规 9 2 3 6 4 2 2" xfId="11092" xr:uid="{00000000-0005-0000-0000-000061870000}"/>
    <cellStyle name="常规 9 2 3 6 4 2 2 2" xfId="23380" xr:uid="{00000000-0005-0000-0000-000062870000}"/>
    <cellStyle name="常规 9 2 3 6 4 2 2 2 2" xfId="47956" xr:uid="{00000000-0005-0000-0000-000063870000}"/>
    <cellStyle name="常规 9 2 3 6 4 2 2 3" xfId="35668" xr:uid="{00000000-0005-0000-0000-000064870000}"/>
    <cellStyle name="常规 9 2 3 6 4 2 3" xfId="17236" xr:uid="{00000000-0005-0000-0000-000065870000}"/>
    <cellStyle name="常规 9 2 3 6 4 2 3 2" xfId="41812" xr:uid="{00000000-0005-0000-0000-000066870000}"/>
    <cellStyle name="常规 9 2 3 6 4 2 4" xfId="29524" xr:uid="{00000000-0005-0000-0000-000067870000}"/>
    <cellStyle name="常规 9 2 3 6 4 3" xfId="8020" xr:uid="{00000000-0005-0000-0000-000068870000}"/>
    <cellStyle name="常规 9 2 3 6 4 3 2" xfId="20308" xr:uid="{00000000-0005-0000-0000-000069870000}"/>
    <cellStyle name="常规 9 2 3 6 4 3 2 2" xfId="44884" xr:uid="{00000000-0005-0000-0000-00006A870000}"/>
    <cellStyle name="常规 9 2 3 6 4 3 3" xfId="32596" xr:uid="{00000000-0005-0000-0000-00006B870000}"/>
    <cellStyle name="常规 9 2 3 6 4 4" xfId="14164" xr:uid="{00000000-0005-0000-0000-00006C870000}"/>
    <cellStyle name="常规 9 2 3 6 4 4 2" xfId="38740" xr:uid="{00000000-0005-0000-0000-00006D870000}"/>
    <cellStyle name="常规 9 2 3 6 4 5" xfId="26452" xr:uid="{00000000-0005-0000-0000-00006E870000}"/>
    <cellStyle name="常规 9 2 3 6 5" xfId="3412" xr:uid="{00000000-0005-0000-0000-00006F870000}"/>
    <cellStyle name="常规 9 2 3 6 5 2" xfId="9556" xr:uid="{00000000-0005-0000-0000-000070870000}"/>
    <cellStyle name="常规 9 2 3 6 5 2 2" xfId="21844" xr:uid="{00000000-0005-0000-0000-000071870000}"/>
    <cellStyle name="常规 9 2 3 6 5 2 2 2" xfId="46420" xr:uid="{00000000-0005-0000-0000-000072870000}"/>
    <cellStyle name="常规 9 2 3 6 5 2 3" xfId="34132" xr:uid="{00000000-0005-0000-0000-000073870000}"/>
    <cellStyle name="常规 9 2 3 6 5 3" xfId="15700" xr:uid="{00000000-0005-0000-0000-000074870000}"/>
    <cellStyle name="常规 9 2 3 6 5 3 2" xfId="40276" xr:uid="{00000000-0005-0000-0000-000075870000}"/>
    <cellStyle name="常规 9 2 3 6 5 4" xfId="27988" xr:uid="{00000000-0005-0000-0000-000076870000}"/>
    <cellStyle name="常规 9 2 3 6 6" xfId="6484" xr:uid="{00000000-0005-0000-0000-000077870000}"/>
    <cellStyle name="常规 9 2 3 6 6 2" xfId="18772" xr:uid="{00000000-0005-0000-0000-000078870000}"/>
    <cellStyle name="常规 9 2 3 6 6 2 2" xfId="43348" xr:uid="{00000000-0005-0000-0000-000079870000}"/>
    <cellStyle name="常规 9 2 3 6 6 3" xfId="31060" xr:uid="{00000000-0005-0000-0000-00007A870000}"/>
    <cellStyle name="常规 9 2 3 6 7" xfId="12628" xr:uid="{00000000-0005-0000-0000-00007B870000}"/>
    <cellStyle name="常规 9 2 3 6 7 2" xfId="37204" xr:uid="{00000000-0005-0000-0000-00007C870000}"/>
    <cellStyle name="常规 9 2 3 6 8" xfId="24916" xr:uid="{00000000-0005-0000-0000-00007D870000}"/>
    <cellStyle name="常规 9 2 3 7" xfId="528" xr:uid="{00000000-0005-0000-0000-00007E870000}"/>
    <cellStyle name="常规 9 2 3 7 2" xfId="1296" xr:uid="{00000000-0005-0000-0000-00007F870000}"/>
    <cellStyle name="常规 9 2 3 7 2 2" xfId="2832" xr:uid="{00000000-0005-0000-0000-000080870000}"/>
    <cellStyle name="常规 9 2 3 7 2 2 2" xfId="5908" xr:uid="{00000000-0005-0000-0000-000081870000}"/>
    <cellStyle name="常规 9 2 3 7 2 2 2 2" xfId="12052" xr:uid="{00000000-0005-0000-0000-000082870000}"/>
    <cellStyle name="常规 9 2 3 7 2 2 2 2 2" xfId="24340" xr:uid="{00000000-0005-0000-0000-000083870000}"/>
    <cellStyle name="常规 9 2 3 7 2 2 2 2 2 2" xfId="48916" xr:uid="{00000000-0005-0000-0000-000084870000}"/>
    <cellStyle name="常规 9 2 3 7 2 2 2 2 3" xfId="36628" xr:uid="{00000000-0005-0000-0000-000085870000}"/>
    <cellStyle name="常规 9 2 3 7 2 2 2 3" xfId="18196" xr:uid="{00000000-0005-0000-0000-000086870000}"/>
    <cellStyle name="常规 9 2 3 7 2 2 2 3 2" xfId="42772" xr:uid="{00000000-0005-0000-0000-000087870000}"/>
    <cellStyle name="常规 9 2 3 7 2 2 2 4" xfId="30484" xr:uid="{00000000-0005-0000-0000-000088870000}"/>
    <cellStyle name="常规 9 2 3 7 2 2 3" xfId="8980" xr:uid="{00000000-0005-0000-0000-000089870000}"/>
    <cellStyle name="常规 9 2 3 7 2 2 3 2" xfId="21268" xr:uid="{00000000-0005-0000-0000-00008A870000}"/>
    <cellStyle name="常规 9 2 3 7 2 2 3 2 2" xfId="45844" xr:uid="{00000000-0005-0000-0000-00008B870000}"/>
    <cellStyle name="常规 9 2 3 7 2 2 3 3" xfId="33556" xr:uid="{00000000-0005-0000-0000-00008C870000}"/>
    <cellStyle name="常规 9 2 3 7 2 2 4" xfId="15124" xr:uid="{00000000-0005-0000-0000-00008D870000}"/>
    <cellStyle name="常规 9 2 3 7 2 2 4 2" xfId="39700" xr:uid="{00000000-0005-0000-0000-00008E870000}"/>
    <cellStyle name="常规 9 2 3 7 2 2 5" xfId="27412" xr:uid="{00000000-0005-0000-0000-00008F870000}"/>
    <cellStyle name="常规 9 2 3 7 2 3" xfId="4372" xr:uid="{00000000-0005-0000-0000-000090870000}"/>
    <cellStyle name="常规 9 2 3 7 2 3 2" xfId="10516" xr:uid="{00000000-0005-0000-0000-000091870000}"/>
    <cellStyle name="常规 9 2 3 7 2 3 2 2" xfId="22804" xr:uid="{00000000-0005-0000-0000-000092870000}"/>
    <cellStyle name="常规 9 2 3 7 2 3 2 2 2" xfId="47380" xr:uid="{00000000-0005-0000-0000-000093870000}"/>
    <cellStyle name="常规 9 2 3 7 2 3 2 3" xfId="35092" xr:uid="{00000000-0005-0000-0000-000094870000}"/>
    <cellStyle name="常规 9 2 3 7 2 3 3" xfId="16660" xr:uid="{00000000-0005-0000-0000-000095870000}"/>
    <cellStyle name="常规 9 2 3 7 2 3 3 2" xfId="41236" xr:uid="{00000000-0005-0000-0000-000096870000}"/>
    <cellStyle name="常规 9 2 3 7 2 3 4" xfId="28948" xr:uid="{00000000-0005-0000-0000-000097870000}"/>
    <cellStyle name="常规 9 2 3 7 2 4" xfId="7444" xr:uid="{00000000-0005-0000-0000-000098870000}"/>
    <cellStyle name="常规 9 2 3 7 2 4 2" xfId="19732" xr:uid="{00000000-0005-0000-0000-000099870000}"/>
    <cellStyle name="常规 9 2 3 7 2 4 2 2" xfId="44308" xr:uid="{00000000-0005-0000-0000-00009A870000}"/>
    <cellStyle name="常规 9 2 3 7 2 4 3" xfId="32020" xr:uid="{00000000-0005-0000-0000-00009B870000}"/>
    <cellStyle name="常规 9 2 3 7 2 5" xfId="13588" xr:uid="{00000000-0005-0000-0000-00009C870000}"/>
    <cellStyle name="常规 9 2 3 7 2 5 2" xfId="38164" xr:uid="{00000000-0005-0000-0000-00009D870000}"/>
    <cellStyle name="常规 9 2 3 7 2 6" xfId="25876" xr:uid="{00000000-0005-0000-0000-00009E870000}"/>
    <cellStyle name="常规 9 2 3 7 3" xfId="2064" xr:uid="{00000000-0005-0000-0000-00009F870000}"/>
    <cellStyle name="常规 9 2 3 7 3 2" xfId="5140" xr:uid="{00000000-0005-0000-0000-0000A0870000}"/>
    <cellStyle name="常规 9 2 3 7 3 2 2" xfId="11284" xr:uid="{00000000-0005-0000-0000-0000A1870000}"/>
    <cellStyle name="常规 9 2 3 7 3 2 2 2" xfId="23572" xr:uid="{00000000-0005-0000-0000-0000A2870000}"/>
    <cellStyle name="常规 9 2 3 7 3 2 2 2 2" xfId="48148" xr:uid="{00000000-0005-0000-0000-0000A3870000}"/>
    <cellStyle name="常规 9 2 3 7 3 2 2 3" xfId="35860" xr:uid="{00000000-0005-0000-0000-0000A4870000}"/>
    <cellStyle name="常规 9 2 3 7 3 2 3" xfId="17428" xr:uid="{00000000-0005-0000-0000-0000A5870000}"/>
    <cellStyle name="常规 9 2 3 7 3 2 3 2" xfId="42004" xr:uid="{00000000-0005-0000-0000-0000A6870000}"/>
    <cellStyle name="常规 9 2 3 7 3 2 4" xfId="29716" xr:uid="{00000000-0005-0000-0000-0000A7870000}"/>
    <cellStyle name="常规 9 2 3 7 3 3" xfId="8212" xr:uid="{00000000-0005-0000-0000-0000A8870000}"/>
    <cellStyle name="常规 9 2 3 7 3 3 2" xfId="20500" xr:uid="{00000000-0005-0000-0000-0000A9870000}"/>
    <cellStyle name="常规 9 2 3 7 3 3 2 2" xfId="45076" xr:uid="{00000000-0005-0000-0000-0000AA870000}"/>
    <cellStyle name="常规 9 2 3 7 3 3 3" xfId="32788" xr:uid="{00000000-0005-0000-0000-0000AB870000}"/>
    <cellStyle name="常规 9 2 3 7 3 4" xfId="14356" xr:uid="{00000000-0005-0000-0000-0000AC870000}"/>
    <cellStyle name="常规 9 2 3 7 3 4 2" xfId="38932" xr:uid="{00000000-0005-0000-0000-0000AD870000}"/>
    <cellStyle name="常规 9 2 3 7 3 5" xfId="26644" xr:uid="{00000000-0005-0000-0000-0000AE870000}"/>
    <cellStyle name="常规 9 2 3 7 4" xfId="3604" xr:uid="{00000000-0005-0000-0000-0000AF870000}"/>
    <cellStyle name="常规 9 2 3 7 4 2" xfId="9748" xr:uid="{00000000-0005-0000-0000-0000B0870000}"/>
    <cellStyle name="常规 9 2 3 7 4 2 2" xfId="22036" xr:uid="{00000000-0005-0000-0000-0000B1870000}"/>
    <cellStyle name="常规 9 2 3 7 4 2 2 2" xfId="46612" xr:uid="{00000000-0005-0000-0000-0000B2870000}"/>
    <cellStyle name="常规 9 2 3 7 4 2 3" xfId="34324" xr:uid="{00000000-0005-0000-0000-0000B3870000}"/>
    <cellStyle name="常规 9 2 3 7 4 3" xfId="15892" xr:uid="{00000000-0005-0000-0000-0000B4870000}"/>
    <cellStyle name="常规 9 2 3 7 4 3 2" xfId="40468" xr:uid="{00000000-0005-0000-0000-0000B5870000}"/>
    <cellStyle name="常规 9 2 3 7 4 4" xfId="28180" xr:uid="{00000000-0005-0000-0000-0000B6870000}"/>
    <cellStyle name="常规 9 2 3 7 5" xfId="6676" xr:uid="{00000000-0005-0000-0000-0000B7870000}"/>
    <cellStyle name="常规 9 2 3 7 5 2" xfId="18964" xr:uid="{00000000-0005-0000-0000-0000B8870000}"/>
    <cellStyle name="常规 9 2 3 7 5 2 2" xfId="43540" xr:uid="{00000000-0005-0000-0000-0000B9870000}"/>
    <cellStyle name="常规 9 2 3 7 5 3" xfId="31252" xr:uid="{00000000-0005-0000-0000-0000BA870000}"/>
    <cellStyle name="常规 9 2 3 7 6" xfId="12820" xr:uid="{00000000-0005-0000-0000-0000BB870000}"/>
    <cellStyle name="常规 9 2 3 7 6 2" xfId="37396" xr:uid="{00000000-0005-0000-0000-0000BC870000}"/>
    <cellStyle name="常规 9 2 3 7 7" xfId="25108" xr:uid="{00000000-0005-0000-0000-0000BD870000}"/>
    <cellStyle name="常规 9 2 3 8" xfId="912" xr:uid="{00000000-0005-0000-0000-0000BE870000}"/>
    <cellStyle name="常规 9 2 3 8 2" xfId="2448" xr:uid="{00000000-0005-0000-0000-0000BF870000}"/>
    <cellStyle name="常规 9 2 3 8 2 2" xfId="5524" xr:uid="{00000000-0005-0000-0000-0000C0870000}"/>
    <cellStyle name="常规 9 2 3 8 2 2 2" xfId="11668" xr:uid="{00000000-0005-0000-0000-0000C1870000}"/>
    <cellStyle name="常规 9 2 3 8 2 2 2 2" xfId="23956" xr:uid="{00000000-0005-0000-0000-0000C2870000}"/>
    <cellStyle name="常规 9 2 3 8 2 2 2 2 2" xfId="48532" xr:uid="{00000000-0005-0000-0000-0000C3870000}"/>
    <cellStyle name="常规 9 2 3 8 2 2 2 3" xfId="36244" xr:uid="{00000000-0005-0000-0000-0000C4870000}"/>
    <cellStyle name="常规 9 2 3 8 2 2 3" xfId="17812" xr:uid="{00000000-0005-0000-0000-0000C5870000}"/>
    <cellStyle name="常规 9 2 3 8 2 2 3 2" xfId="42388" xr:uid="{00000000-0005-0000-0000-0000C6870000}"/>
    <cellStyle name="常规 9 2 3 8 2 2 4" xfId="30100" xr:uid="{00000000-0005-0000-0000-0000C7870000}"/>
    <cellStyle name="常规 9 2 3 8 2 3" xfId="8596" xr:uid="{00000000-0005-0000-0000-0000C8870000}"/>
    <cellStyle name="常规 9 2 3 8 2 3 2" xfId="20884" xr:uid="{00000000-0005-0000-0000-0000C9870000}"/>
    <cellStyle name="常规 9 2 3 8 2 3 2 2" xfId="45460" xr:uid="{00000000-0005-0000-0000-0000CA870000}"/>
    <cellStyle name="常规 9 2 3 8 2 3 3" xfId="33172" xr:uid="{00000000-0005-0000-0000-0000CB870000}"/>
    <cellStyle name="常规 9 2 3 8 2 4" xfId="14740" xr:uid="{00000000-0005-0000-0000-0000CC870000}"/>
    <cellStyle name="常规 9 2 3 8 2 4 2" xfId="39316" xr:uid="{00000000-0005-0000-0000-0000CD870000}"/>
    <cellStyle name="常规 9 2 3 8 2 5" xfId="27028" xr:uid="{00000000-0005-0000-0000-0000CE870000}"/>
    <cellStyle name="常规 9 2 3 8 3" xfId="3988" xr:uid="{00000000-0005-0000-0000-0000CF870000}"/>
    <cellStyle name="常规 9 2 3 8 3 2" xfId="10132" xr:uid="{00000000-0005-0000-0000-0000D0870000}"/>
    <cellStyle name="常规 9 2 3 8 3 2 2" xfId="22420" xr:uid="{00000000-0005-0000-0000-0000D1870000}"/>
    <cellStyle name="常规 9 2 3 8 3 2 2 2" xfId="46996" xr:uid="{00000000-0005-0000-0000-0000D2870000}"/>
    <cellStyle name="常规 9 2 3 8 3 2 3" xfId="34708" xr:uid="{00000000-0005-0000-0000-0000D3870000}"/>
    <cellStyle name="常规 9 2 3 8 3 3" xfId="16276" xr:uid="{00000000-0005-0000-0000-0000D4870000}"/>
    <cellStyle name="常规 9 2 3 8 3 3 2" xfId="40852" xr:uid="{00000000-0005-0000-0000-0000D5870000}"/>
    <cellStyle name="常规 9 2 3 8 3 4" xfId="28564" xr:uid="{00000000-0005-0000-0000-0000D6870000}"/>
    <cellStyle name="常规 9 2 3 8 4" xfId="7060" xr:uid="{00000000-0005-0000-0000-0000D7870000}"/>
    <cellStyle name="常规 9 2 3 8 4 2" xfId="19348" xr:uid="{00000000-0005-0000-0000-0000D8870000}"/>
    <cellStyle name="常规 9 2 3 8 4 2 2" xfId="43924" xr:uid="{00000000-0005-0000-0000-0000D9870000}"/>
    <cellStyle name="常规 9 2 3 8 4 3" xfId="31636" xr:uid="{00000000-0005-0000-0000-0000DA870000}"/>
    <cellStyle name="常规 9 2 3 8 5" xfId="13204" xr:uid="{00000000-0005-0000-0000-0000DB870000}"/>
    <cellStyle name="常规 9 2 3 8 5 2" xfId="37780" xr:uid="{00000000-0005-0000-0000-0000DC870000}"/>
    <cellStyle name="常规 9 2 3 8 6" xfId="25492" xr:uid="{00000000-0005-0000-0000-0000DD870000}"/>
    <cellStyle name="常规 9 2 3 9" xfId="1680" xr:uid="{00000000-0005-0000-0000-0000DE870000}"/>
    <cellStyle name="常规 9 2 3 9 2" xfId="4756" xr:uid="{00000000-0005-0000-0000-0000DF870000}"/>
    <cellStyle name="常规 9 2 3 9 2 2" xfId="10900" xr:uid="{00000000-0005-0000-0000-0000E0870000}"/>
    <cellStyle name="常规 9 2 3 9 2 2 2" xfId="23188" xr:uid="{00000000-0005-0000-0000-0000E1870000}"/>
    <cellStyle name="常规 9 2 3 9 2 2 2 2" xfId="47764" xr:uid="{00000000-0005-0000-0000-0000E2870000}"/>
    <cellStyle name="常规 9 2 3 9 2 2 3" xfId="35476" xr:uid="{00000000-0005-0000-0000-0000E3870000}"/>
    <cellStyle name="常规 9 2 3 9 2 3" xfId="17044" xr:uid="{00000000-0005-0000-0000-0000E4870000}"/>
    <cellStyle name="常规 9 2 3 9 2 3 2" xfId="41620" xr:uid="{00000000-0005-0000-0000-0000E5870000}"/>
    <cellStyle name="常规 9 2 3 9 2 4" xfId="29332" xr:uid="{00000000-0005-0000-0000-0000E6870000}"/>
    <cellStyle name="常规 9 2 3 9 3" xfId="7828" xr:uid="{00000000-0005-0000-0000-0000E7870000}"/>
    <cellStyle name="常规 9 2 3 9 3 2" xfId="20116" xr:uid="{00000000-0005-0000-0000-0000E8870000}"/>
    <cellStyle name="常规 9 2 3 9 3 2 2" xfId="44692" xr:uid="{00000000-0005-0000-0000-0000E9870000}"/>
    <cellStyle name="常规 9 2 3 9 3 3" xfId="32404" xr:uid="{00000000-0005-0000-0000-0000EA870000}"/>
    <cellStyle name="常规 9 2 3 9 4" xfId="13972" xr:uid="{00000000-0005-0000-0000-0000EB870000}"/>
    <cellStyle name="常规 9 2 3 9 4 2" xfId="38548" xr:uid="{00000000-0005-0000-0000-0000EC870000}"/>
    <cellStyle name="常规 9 2 3 9 5" xfId="26260" xr:uid="{00000000-0005-0000-0000-0000ED870000}"/>
    <cellStyle name="常规 9 2 4" xfId="111" xr:uid="{00000000-0005-0000-0000-0000EE870000}"/>
    <cellStyle name="常规 9 2 4 10" xfId="6300" xr:uid="{00000000-0005-0000-0000-0000EF870000}"/>
    <cellStyle name="常规 9 2 4 10 2" xfId="18588" xr:uid="{00000000-0005-0000-0000-0000F0870000}"/>
    <cellStyle name="常规 9 2 4 10 2 2" xfId="43164" xr:uid="{00000000-0005-0000-0000-0000F1870000}"/>
    <cellStyle name="常规 9 2 4 10 3" xfId="30876" xr:uid="{00000000-0005-0000-0000-0000F2870000}"/>
    <cellStyle name="常规 9 2 4 11" xfId="12444" xr:uid="{00000000-0005-0000-0000-0000F3870000}"/>
    <cellStyle name="常规 9 2 4 11 2" xfId="37020" xr:uid="{00000000-0005-0000-0000-0000F4870000}"/>
    <cellStyle name="常规 9 2 4 12" xfId="24732" xr:uid="{00000000-0005-0000-0000-0000F5870000}"/>
    <cellStyle name="常规 9 2 4 2" xfId="183" xr:uid="{00000000-0005-0000-0000-0000F6870000}"/>
    <cellStyle name="常规 9 2 4 2 10" xfId="12476" xr:uid="{00000000-0005-0000-0000-0000F7870000}"/>
    <cellStyle name="常规 9 2 4 2 10 2" xfId="37052" xr:uid="{00000000-0005-0000-0000-0000F8870000}"/>
    <cellStyle name="常规 9 2 4 2 11" xfId="24764" xr:uid="{00000000-0005-0000-0000-0000F9870000}"/>
    <cellStyle name="常规 9 2 4 2 2" xfId="248" xr:uid="{00000000-0005-0000-0000-0000FA870000}"/>
    <cellStyle name="常规 9 2 4 2 2 2" xfId="440" xr:uid="{00000000-0005-0000-0000-0000FB870000}"/>
    <cellStyle name="常规 9 2 4 2 2 2 2" xfId="824" xr:uid="{00000000-0005-0000-0000-0000FC870000}"/>
    <cellStyle name="常规 9 2 4 2 2 2 2 2" xfId="1592" xr:uid="{00000000-0005-0000-0000-0000FD870000}"/>
    <cellStyle name="常规 9 2 4 2 2 2 2 2 2" xfId="3128" xr:uid="{00000000-0005-0000-0000-0000FE870000}"/>
    <cellStyle name="常规 9 2 4 2 2 2 2 2 2 2" xfId="6204" xr:uid="{00000000-0005-0000-0000-0000FF870000}"/>
    <cellStyle name="常规 9 2 4 2 2 2 2 2 2 2 2" xfId="12348" xr:uid="{00000000-0005-0000-0000-000000880000}"/>
    <cellStyle name="常规 9 2 4 2 2 2 2 2 2 2 2 2" xfId="24636" xr:uid="{00000000-0005-0000-0000-000001880000}"/>
    <cellStyle name="常规 9 2 4 2 2 2 2 2 2 2 2 2 2" xfId="49212" xr:uid="{00000000-0005-0000-0000-000002880000}"/>
    <cellStyle name="常规 9 2 4 2 2 2 2 2 2 2 2 3" xfId="36924" xr:uid="{00000000-0005-0000-0000-000003880000}"/>
    <cellStyle name="常规 9 2 4 2 2 2 2 2 2 2 3" xfId="18492" xr:uid="{00000000-0005-0000-0000-000004880000}"/>
    <cellStyle name="常规 9 2 4 2 2 2 2 2 2 2 3 2" xfId="43068" xr:uid="{00000000-0005-0000-0000-000005880000}"/>
    <cellStyle name="常规 9 2 4 2 2 2 2 2 2 2 4" xfId="30780" xr:uid="{00000000-0005-0000-0000-000006880000}"/>
    <cellStyle name="常规 9 2 4 2 2 2 2 2 2 3" xfId="9276" xr:uid="{00000000-0005-0000-0000-000007880000}"/>
    <cellStyle name="常规 9 2 4 2 2 2 2 2 2 3 2" xfId="21564" xr:uid="{00000000-0005-0000-0000-000008880000}"/>
    <cellStyle name="常规 9 2 4 2 2 2 2 2 2 3 2 2" xfId="46140" xr:uid="{00000000-0005-0000-0000-000009880000}"/>
    <cellStyle name="常规 9 2 4 2 2 2 2 2 2 3 3" xfId="33852" xr:uid="{00000000-0005-0000-0000-00000A880000}"/>
    <cellStyle name="常规 9 2 4 2 2 2 2 2 2 4" xfId="15420" xr:uid="{00000000-0005-0000-0000-00000B880000}"/>
    <cellStyle name="常规 9 2 4 2 2 2 2 2 2 4 2" xfId="39996" xr:uid="{00000000-0005-0000-0000-00000C880000}"/>
    <cellStyle name="常规 9 2 4 2 2 2 2 2 2 5" xfId="27708" xr:uid="{00000000-0005-0000-0000-00000D880000}"/>
    <cellStyle name="常规 9 2 4 2 2 2 2 2 3" xfId="4668" xr:uid="{00000000-0005-0000-0000-00000E880000}"/>
    <cellStyle name="常规 9 2 4 2 2 2 2 2 3 2" xfId="10812" xr:uid="{00000000-0005-0000-0000-00000F880000}"/>
    <cellStyle name="常规 9 2 4 2 2 2 2 2 3 2 2" xfId="23100" xr:uid="{00000000-0005-0000-0000-000010880000}"/>
    <cellStyle name="常规 9 2 4 2 2 2 2 2 3 2 2 2" xfId="47676" xr:uid="{00000000-0005-0000-0000-000011880000}"/>
    <cellStyle name="常规 9 2 4 2 2 2 2 2 3 2 3" xfId="35388" xr:uid="{00000000-0005-0000-0000-000012880000}"/>
    <cellStyle name="常规 9 2 4 2 2 2 2 2 3 3" xfId="16956" xr:uid="{00000000-0005-0000-0000-000013880000}"/>
    <cellStyle name="常规 9 2 4 2 2 2 2 2 3 3 2" xfId="41532" xr:uid="{00000000-0005-0000-0000-000014880000}"/>
    <cellStyle name="常规 9 2 4 2 2 2 2 2 3 4" xfId="29244" xr:uid="{00000000-0005-0000-0000-000015880000}"/>
    <cellStyle name="常规 9 2 4 2 2 2 2 2 4" xfId="7740" xr:uid="{00000000-0005-0000-0000-000016880000}"/>
    <cellStyle name="常规 9 2 4 2 2 2 2 2 4 2" xfId="20028" xr:uid="{00000000-0005-0000-0000-000017880000}"/>
    <cellStyle name="常规 9 2 4 2 2 2 2 2 4 2 2" xfId="44604" xr:uid="{00000000-0005-0000-0000-000018880000}"/>
    <cellStyle name="常规 9 2 4 2 2 2 2 2 4 3" xfId="32316" xr:uid="{00000000-0005-0000-0000-000019880000}"/>
    <cellStyle name="常规 9 2 4 2 2 2 2 2 5" xfId="13884" xr:uid="{00000000-0005-0000-0000-00001A880000}"/>
    <cellStyle name="常规 9 2 4 2 2 2 2 2 5 2" xfId="38460" xr:uid="{00000000-0005-0000-0000-00001B880000}"/>
    <cellStyle name="常规 9 2 4 2 2 2 2 2 6" xfId="26172" xr:uid="{00000000-0005-0000-0000-00001C880000}"/>
    <cellStyle name="常规 9 2 4 2 2 2 2 3" xfId="2360" xr:uid="{00000000-0005-0000-0000-00001D880000}"/>
    <cellStyle name="常规 9 2 4 2 2 2 2 3 2" xfId="5436" xr:uid="{00000000-0005-0000-0000-00001E880000}"/>
    <cellStyle name="常规 9 2 4 2 2 2 2 3 2 2" xfId="11580" xr:uid="{00000000-0005-0000-0000-00001F880000}"/>
    <cellStyle name="常规 9 2 4 2 2 2 2 3 2 2 2" xfId="23868" xr:uid="{00000000-0005-0000-0000-000020880000}"/>
    <cellStyle name="常规 9 2 4 2 2 2 2 3 2 2 2 2" xfId="48444" xr:uid="{00000000-0005-0000-0000-000021880000}"/>
    <cellStyle name="常规 9 2 4 2 2 2 2 3 2 2 3" xfId="36156" xr:uid="{00000000-0005-0000-0000-000022880000}"/>
    <cellStyle name="常规 9 2 4 2 2 2 2 3 2 3" xfId="17724" xr:uid="{00000000-0005-0000-0000-000023880000}"/>
    <cellStyle name="常规 9 2 4 2 2 2 2 3 2 3 2" xfId="42300" xr:uid="{00000000-0005-0000-0000-000024880000}"/>
    <cellStyle name="常规 9 2 4 2 2 2 2 3 2 4" xfId="30012" xr:uid="{00000000-0005-0000-0000-000025880000}"/>
    <cellStyle name="常规 9 2 4 2 2 2 2 3 3" xfId="8508" xr:uid="{00000000-0005-0000-0000-000026880000}"/>
    <cellStyle name="常规 9 2 4 2 2 2 2 3 3 2" xfId="20796" xr:uid="{00000000-0005-0000-0000-000027880000}"/>
    <cellStyle name="常规 9 2 4 2 2 2 2 3 3 2 2" xfId="45372" xr:uid="{00000000-0005-0000-0000-000028880000}"/>
    <cellStyle name="常规 9 2 4 2 2 2 2 3 3 3" xfId="33084" xr:uid="{00000000-0005-0000-0000-000029880000}"/>
    <cellStyle name="常规 9 2 4 2 2 2 2 3 4" xfId="14652" xr:uid="{00000000-0005-0000-0000-00002A880000}"/>
    <cellStyle name="常规 9 2 4 2 2 2 2 3 4 2" xfId="39228" xr:uid="{00000000-0005-0000-0000-00002B880000}"/>
    <cellStyle name="常规 9 2 4 2 2 2 2 3 5" xfId="26940" xr:uid="{00000000-0005-0000-0000-00002C880000}"/>
    <cellStyle name="常规 9 2 4 2 2 2 2 4" xfId="3900" xr:uid="{00000000-0005-0000-0000-00002D880000}"/>
    <cellStyle name="常规 9 2 4 2 2 2 2 4 2" xfId="10044" xr:uid="{00000000-0005-0000-0000-00002E880000}"/>
    <cellStyle name="常规 9 2 4 2 2 2 2 4 2 2" xfId="22332" xr:uid="{00000000-0005-0000-0000-00002F880000}"/>
    <cellStyle name="常规 9 2 4 2 2 2 2 4 2 2 2" xfId="46908" xr:uid="{00000000-0005-0000-0000-000030880000}"/>
    <cellStyle name="常规 9 2 4 2 2 2 2 4 2 3" xfId="34620" xr:uid="{00000000-0005-0000-0000-000031880000}"/>
    <cellStyle name="常规 9 2 4 2 2 2 2 4 3" xfId="16188" xr:uid="{00000000-0005-0000-0000-000032880000}"/>
    <cellStyle name="常规 9 2 4 2 2 2 2 4 3 2" xfId="40764" xr:uid="{00000000-0005-0000-0000-000033880000}"/>
    <cellStyle name="常规 9 2 4 2 2 2 2 4 4" xfId="28476" xr:uid="{00000000-0005-0000-0000-000034880000}"/>
    <cellStyle name="常规 9 2 4 2 2 2 2 5" xfId="6972" xr:uid="{00000000-0005-0000-0000-000035880000}"/>
    <cellStyle name="常规 9 2 4 2 2 2 2 5 2" xfId="19260" xr:uid="{00000000-0005-0000-0000-000036880000}"/>
    <cellStyle name="常规 9 2 4 2 2 2 2 5 2 2" xfId="43836" xr:uid="{00000000-0005-0000-0000-000037880000}"/>
    <cellStyle name="常规 9 2 4 2 2 2 2 5 3" xfId="31548" xr:uid="{00000000-0005-0000-0000-000038880000}"/>
    <cellStyle name="常规 9 2 4 2 2 2 2 6" xfId="13116" xr:uid="{00000000-0005-0000-0000-000039880000}"/>
    <cellStyle name="常规 9 2 4 2 2 2 2 6 2" xfId="37692" xr:uid="{00000000-0005-0000-0000-00003A880000}"/>
    <cellStyle name="常规 9 2 4 2 2 2 2 7" xfId="25404" xr:uid="{00000000-0005-0000-0000-00003B880000}"/>
    <cellStyle name="常规 9 2 4 2 2 2 3" xfId="1208" xr:uid="{00000000-0005-0000-0000-00003C880000}"/>
    <cellStyle name="常规 9 2 4 2 2 2 3 2" xfId="2744" xr:uid="{00000000-0005-0000-0000-00003D880000}"/>
    <cellStyle name="常规 9 2 4 2 2 2 3 2 2" xfId="5820" xr:uid="{00000000-0005-0000-0000-00003E880000}"/>
    <cellStyle name="常规 9 2 4 2 2 2 3 2 2 2" xfId="11964" xr:uid="{00000000-0005-0000-0000-00003F880000}"/>
    <cellStyle name="常规 9 2 4 2 2 2 3 2 2 2 2" xfId="24252" xr:uid="{00000000-0005-0000-0000-000040880000}"/>
    <cellStyle name="常规 9 2 4 2 2 2 3 2 2 2 2 2" xfId="48828" xr:uid="{00000000-0005-0000-0000-000041880000}"/>
    <cellStyle name="常规 9 2 4 2 2 2 3 2 2 2 3" xfId="36540" xr:uid="{00000000-0005-0000-0000-000042880000}"/>
    <cellStyle name="常规 9 2 4 2 2 2 3 2 2 3" xfId="18108" xr:uid="{00000000-0005-0000-0000-000043880000}"/>
    <cellStyle name="常规 9 2 4 2 2 2 3 2 2 3 2" xfId="42684" xr:uid="{00000000-0005-0000-0000-000044880000}"/>
    <cellStyle name="常规 9 2 4 2 2 2 3 2 2 4" xfId="30396" xr:uid="{00000000-0005-0000-0000-000045880000}"/>
    <cellStyle name="常规 9 2 4 2 2 2 3 2 3" xfId="8892" xr:uid="{00000000-0005-0000-0000-000046880000}"/>
    <cellStyle name="常规 9 2 4 2 2 2 3 2 3 2" xfId="21180" xr:uid="{00000000-0005-0000-0000-000047880000}"/>
    <cellStyle name="常规 9 2 4 2 2 2 3 2 3 2 2" xfId="45756" xr:uid="{00000000-0005-0000-0000-000048880000}"/>
    <cellStyle name="常规 9 2 4 2 2 2 3 2 3 3" xfId="33468" xr:uid="{00000000-0005-0000-0000-000049880000}"/>
    <cellStyle name="常规 9 2 4 2 2 2 3 2 4" xfId="15036" xr:uid="{00000000-0005-0000-0000-00004A880000}"/>
    <cellStyle name="常规 9 2 4 2 2 2 3 2 4 2" xfId="39612" xr:uid="{00000000-0005-0000-0000-00004B880000}"/>
    <cellStyle name="常规 9 2 4 2 2 2 3 2 5" xfId="27324" xr:uid="{00000000-0005-0000-0000-00004C880000}"/>
    <cellStyle name="常规 9 2 4 2 2 2 3 3" xfId="4284" xr:uid="{00000000-0005-0000-0000-00004D880000}"/>
    <cellStyle name="常规 9 2 4 2 2 2 3 3 2" xfId="10428" xr:uid="{00000000-0005-0000-0000-00004E880000}"/>
    <cellStyle name="常规 9 2 4 2 2 2 3 3 2 2" xfId="22716" xr:uid="{00000000-0005-0000-0000-00004F880000}"/>
    <cellStyle name="常规 9 2 4 2 2 2 3 3 2 2 2" xfId="47292" xr:uid="{00000000-0005-0000-0000-000050880000}"/>
    <cellStyle name="常规 9 2 4 2 2 2 3 3 2 3" xfId="35004" xr:uid="{00000000-0005-0000-0000-000051880000}"/>
    <cellStyle name="常规 9 2 4 2 2 2 3 3 3" xfId="16572" xr:uid="{00000000-0005-0000-0000-000052880000}"/>
    <cellStyle name="常规 9 2 4 2 2 2 3 3 3 2" xfId="41148" xr:uid="{00000000-0005-0000-0000-000053880000}"/>
    <cellStyle name="常规 9 2 4 2 2 2 3 3 4" xfId="28860" xr:uid="{00000000-0005-0000-0000-000054880000}"/>
    <cellStyle name="常规 9 2 4 2 2 2 3 4" xfId="7356" xr:uid="{00000000-0005-0000-0000-000055880000}"/>
    <cellStyle name="常规 9 2 4 2 2 2 3 4 2" xfId="19644" xr:uid="{00000000-0005-0000-0000-000056880000}"/>
    <cellStyle name="常规 9 2 4 2 2 2 3 4 2 2" xfId="44220" xr:uid="{00000000-0005-0000-0000-000057880000}"/>
    <cellStyle name="常规 9 2 4 2 2 2 3 4 3" xfId="31932" xr:uid="{00000000-0005-0000-0000-000058880000}"/>
    <cellStyle name="常规 9 2 4 2 2 2 3 5" xfId="13500" xr:uid="{00000000-0005-0000-0000-000059880000}"/>
    <cellStyle name="常规 9 2 4 2 2 2 3 5 2" xfId="38076" xr:uid="{00000000-0005-0000-0000-00005A880000}"/>
    <cellStyle name="常规 9 2 4 2 2 2 3 6" xfId="25788" xr:uid="{00000000-0005-0000-0000-00005B880000}"/>
    <cellStyle name="常规 9 2 4 2 2 2 4" xfId="1976" xr:uid="{00000000-0005-0000-0000-00005C880000}"/>
    <cellStyle name="常规 9 2 4 2 2 2 4 2" xfId="5052" xr:uid="{00000000-0005-0000-0000-00005D880000}"/>
    <cellStyle name="常规 9 2 4 2 2 2 4 2 2" xfId="11196" xr:uid="{00000000-0005-0000-0000-00005E880000}"/>
    <cellStyle name="常规 9 2 4 2 2 2 4 2 2 2" xfId="23484" xr:uid="{00000000-0005-0000-0000-00005F880000}"/>
    <cellStyle name="常规 9 2 4 2 2 2 4 2 2 2 2" xfId="48060" xr:uid="{00000000-0005-0000-0000-000060880000}"/>
    <cellStyle name="常规 9 2 4 2 2 2 4 2 2 3" xfId="35772" xr:uid="{00000000-0005-0000-0000-000061880000}"/>
    <cellStyle name="常规 9 2 4 2 2 2 4 2 3" xfId="17340" xr:uid="{00000000-0005-0000-0000-000062880000}"/>
    <cellStyle name="常规 9 2 4 2 2 2 4 2 3 2" xfId="41916" xr:uid="{00000000-0005-0000-0000-000063880000}"/>
    <cellStyle name="常规 9 2 4 2 2 2 4 2 4" xfId="29628" xr:uid="{00000000-0005-0000-0000-000064880000}"/>
    <cellStyle name="常规 9 2 4 2 2 2 4 3" xfId="8124" xr:uid="{00000000-0005-0000-0000-000065880000}"/>
    <cellStyle name="常规 9 2 4 2 2 2 4 3 2" xfId="20412" xr:uid="{00000000-0005-0000-0000-000066880000}"/>
    <cellStyle name="常规 9 2 4 2 2 2 4 3 2 2" xfId="44988" xr:uid="{00000000-0005-0000-0000-000067880000}"/>
    <cellStyle name="常规 9 2 4 2 2 2 4 3 3" xfId="32700" xr:uid="{00000000-0005-0000-0000-000068880000}"/>
    <cellStyle name="常规 9 2 4 2 2 2 4 4" xfId="14268" xr:uid="{00000000-0005-0000-0000-000069880000}"/>
    <cellStyle name="常规 9 2 4 2 2 2 4 4 2" xfId="38844" xr:uid="{00000000-0005-0000-0000-00006A880000}"/>
    <cellStyle name="常规 9 2 4 2 2 2 4 5" xfId="26556" xr:uid="{00000000-0005-0000-0000-00006B880000}"/>
    <cellStyle name="常规 9 2 4 2 2 2 5" xfId="3516" xr:uid="{00000000-0005-0000-0000-00006C880000}"/>
    <cellStyle name="常规 9 2 4 2 2 2 5 2" xfId="9660" xr:uid="{00000000-0005-0000-0000-00006D880000}"/>
    <cellStyle name="常规 9 2 4 2 2 2 5 2 2" xfId="21948" xr:uid="{00000000-0005-0000-0000-00006E880000}"/>
    <cellStyle name="常规 9 2 4 2 2 2 5 2 2 2" xfId="46524" xr:uid="{00000000-0005-0000-0000-00006F880000}"/>
    <cellStyle name="常规 9 2 4 2 2 2 5 2 3" xfId="34236" xr:uid="{00000000-0005-0000-0000-000070880000}"/>
    <cellStyle name="常规 9 2 4 2 2 2 5 3" xfId="15804" xr:uid="{00000000-0005-0000-0000-000071880000}"/>
    <cellStyle name="常规 9 2 4 2 2 2 5 3 2" xfId="40380" xr:uid="{00000000-0005-0000-0000-000072880000}"/>
    <cellStyle name="常规 9 2 4 2 2 2 5 4" xfId="28092" xr:uid="{00000000-0005-0000-0000-000073880000}"/>
    <cellStyle name="常规 9 2 4 2 2 2 6" xfId="6588" xr:uid="{00000000-0005-0000-0000-000074880000}"/>
    <cellStyle name="常规 9 2 4 2 2 2 6 2" xfId="18876" xr:uid="{00000000-0005-0000-0000-000075880000}"/>
    <cellStyle name="常规 9 2 4 2 2 2 6 2 2" xfId="43452" xr:uid="{00000000-0005-0000-0000-000076880000}"/>
    <cellStyle name="常规 9 2 4 2 2 2 6 3" xfId="31164" xr:uid="{00000000-0005-0000-0000-000077880000}"/>
    <cellStyle name="常规 9 2 4 2 2 2 7" xfId="12732" xr:uid="{00000000-0005-0000-0000-000078880000}"/>
    <cellStyle name="常规 9 2 4 2 2 2 7 2" xfId="37308" xr:uid="{00000000-0005-0000-0000-000079880000}"/>
    <cellStyle name="常规 9 2 4 2 2 2 8" xfId="25020" xr:uid="{00000000-0005-0000-0000-00007A880000}"/>
    <cellStyle name="常规 9 2 4 2 2 3" xfId="632" xr:uid="{00000000-0005-0000-0000-00007B880000}"/>
    <cellStyle name="常规 9 2 4 2 2 3 2" xfId="1400" xr:uid="{00000000-0005-0000-0000-00007C880000}"/>
    <cellStyle name="常规 9 2 4 2 2 3 2 2" xfId="2936" xr:uid="{00000000-0005-0000-0000-00007D880000}"/>
    <cellStyle name="常规 9 2 4 2 2 3 2 2 2" xfId="6012" xr:uid="{00000000-0005-0000-0000-00007E880000}"/>
    <cellStyle name="常规 9 2 4 2 2 3 2 2 2 2" xfId="12156" xr:uid="{00000000-0005-0000-0000-00007F880000}"/>
    <cellStyle name="常规 9 2 4 2 2 3 2 2 2 2 2" xfId="24444" xr:uid="{00000000-0005-0000-0000-000080880000}"/>
    <cellStyle name="常规 9 2 4 2 2 3 2 2 2 2 2 2" xfId="49020" xr:uid="{00000000-0005-0000-0000-000081880000}"/>
    <cellStyle name="常规 9 2 4 2 2 3 2 2 2 2 3" xfId="36732" xr:uid="{00000000-0005-0000-0000-000082880000}"/>
    <cellStyle name="常规 9 2 4 2 2 3 2 2 2 3" xfId="18300" xr:uid="{00000000-0005-0000-0000-000083880000}"/>
    <cellStyle name="常规 9 2 4 2 2 3 2 2 2 3 2" xfId="42876" xr:uid="{00000000-0005-0000-0000-000084880000}"/>
    <cellStyle name="常规 9 2 4 2 2 3 2 2 2 4" xfId="30588" xr:uid="{00000000-0005-0000-0000-000085880000}"/>
    <cellStyle name="常规 9 2 4 2 2 3 2 2 3" xfId="9084" xr:uid="{00000000-0005-0000-0000-000086880000}"/>
    <cellStyle name="常规 9 2 4 2 2 3 2 2 3 2" xfId="21372" xr:uid="{00000000-0005-0000-0000-000087880000}"/>
    <cellStyle name="常规 9 2 4 2 2 3 2 2 3 2 2" xfId="45948" xr:uid="{00000000-0005-0000-0000-000088880000}"/>
    <cellStyle name="常规 9 2 4 2 2 3 2 2 3 3" xfId="33660" xr:uid="{00000000-0005-0000-0000-000089880000}"/>
    <cellStyle name="常规 9 2 4 2 2 3 2 2 4" xfId="15228" xr:uid="{00000000-0005-0000-0000-00008A880000}"/>
    <cellStyle name="常规 9 2 4 2 2 3 2 2 4 2" xfId="39804" xr:uid="{00000000-0005-0000-0000-00008B880000}"/>
    <cellStyle name="常规 9 2 4 2 2 3 2 2 5" xfId="27516" xr:uid="{00000000-0005-0000-0000-00008C880000}"/>
    <cellStyle name="常规 9 2 4 2 2 3 2 3" xfId="4476" xr:uid="{00000000-0005-0000-0000-00008D880000}"/>
    <cellStyle name="常规 9 2 4 2 2 3 2 3 2" xfId="10620" xr:uid="{00000000-0005-0000-0000-00008E880000}"/>
    <cellStyle name="常规 9 2 4 2 2 3 2 3 2 2" xfId="22908" xr:uid="{00000000-0005-0000-0000-00008F880000}"/>
    <cellStyle name="常规 9 2 4 2 2 3 2 3 2 2 2" xfId="47484" xr:uid="{00000000-0005-0000-0000-000090880000}"/>
    <cellStyle name="常规 9 2 4 2 2 3 2 3 2 3" xfId="35196" xr:uid="{00000000-0005-0000-0000-000091880000}"/>
    <cellStyle name="常规 9 2 4 2 2 3 2 3 3" xfId="16764" xr:uid="{00000000-0005-0000-0000-000092880000}"/>
    <cellStyle name="常规 9 2 4 2 2 3 2 3 3 2" xfId="41340" xr:uid="{00000000-0005-0000-0000-000093880000}"/>
    <cellStyle name="常规 9 2 4 2 2 3 2 3 4" xfId="29052" xr:uid="{00000000-0005-0000-0000-000094880000}"/>
    <cellStyle name="常规 9 2 4 2 2 3 2 4" xfId="7548" xr:uid="{00000000-0005-0000-0000-000095880000}"/>
    <cellStyle name="常规 9 2 4 2 2 3 2 4 2" xfId="19836" xr:uid="{00000000-0005-0000-0000-000096880000}"/>
    <cellStyle name="常规 9 2 4 2 2 3 2 4 2 2" xfId="44412" xr:uid="{00000000-0005-0000-0000-000097880000}"/>
    <cellStyle name="常规 9 2 4 2 2 3 2 4 3" xfId="32124" xr:uid="{00000000-0005-0000-0000-000098880000}"/>
    <cellStyle name="常规 9 2 4 2 2 3 2 5" xfId="13692" xr:uid="{00000000-0005-0000-0000-000099880000}"/>
    <cellStyle name="常规 9 2 4 2 2 3 2 5 2" xfId="38268" xr:uid="{00000000-0005-0000-0000-00009A880000}"/>
    <cellStyle name="常规 9 2 4 2 2 3 2 6" xfId="25980" xr:uid="{00000000-0005-0000-0000-00009B880000}"/>
    <cellStyle name="常规 9 2 4 2 2 3 3" xfId="2168" xr:uid="{00000000-0005-0000-0000-00009C880000}"/>
    <cellStyle name="常规 9 2 4 2 2 3 3 2" xfId="5244" xr:uid="{00000000-0005-0000-0000-00009D880000}"/>
    <cellStyle name="常规 9 2 4 2 2 3 3 2 2" xfId="11388" xr:uid="{00000000-0005-0000-0000-00009E880000}"/>
    <cellStyle name="常规 9 2 4 2 2 3 3 2 2 2" xfId="23676" xr:uid="{00000000-0005-0000-0000-00009F880000}"/>
    <cellStyle name="常规 9 2 4 2 2 3 3 2 2 2 2" xfId="48252" xr:uid="{00000000-0005-0000-0000-0000A0880000}"/>
    <cellStyle name="常规 9 2 4 2 2 3 3 2 2 3" xfId="35964" xr:uid="{00000000-0005-0000-0000-0000A1880000}"/>
    <cellStyle name="常规 9 2 4 2 2 3 3 2 3" xfId="17532" xr:uid="{00000000-0005-0000-0000-0000A2880000}"/>
    <cellStyle name="常规 9 2 4 2 2 3 3 2 3 2" xfId="42108" xr:uid="{00000000-0005-0000-0000-0000A3880000}"/>
    <cellStyle name="常规 9 2 4 2 2 3 3 2 4" xfId="29820" xr:uid="{00000000-0005-0000-0000-0000A4880000}"/>
    <cellStyle name="常规 9 2 4 2 2 3 3 3" xfId="8316" xr:uid="{00000000-0005-0000-0000-0000A5880000}"/>
    <cellStyle name="常规 9 2 4 2 2 3 3 3 2" xfId="20604" xr:uid="{00000000-0005-0000-0000-0000A6880000}"/>
    <cellStyle name="常规 9 2 4 2 2 3 3 3 2 2" xfId="45180" xr:uid="{00000000-0005-0000-0000-0000A7880000}"/>
    <cellStyle name="常规 9 2 4 2 2 3 3 3 3" xfId="32892" xr:uid="{00000000-0005-0000-0000-0000A8880000}"/>
    <cellStyle name="常规 9 2 4 2 2 3 3 4" xfId="14460" xr:uid="{00000000-0005-0000-0000-0000A9880000}"/>
    <cellStyle name="常规 9 2 4 2 2 3 3 4 2" xfId="39036" xr:uid="{00000000-0005-0000-0000-0000AA880000}"/>
    <cellStyle name="常规 9 2 4 2 2 3 3 5" xfId="26748" xr:uid="{00000000-0005-0000-0000-0000AB880000}"/>
    <cellStyle name="常规 9 2 4 2 2 3 4" xfId="3708" xr:uid="{00000000-0005-0000-0000-0000AC880000}"/>
    <cellStyle name="常规 9 2 4 2 2 3 4 2" xfId="9852" xr:uid="{00000000-0005-0000-0000-0000AD880000}"/>
    <cellStyle name="常规 9 2 4 2 2 3 4 2 2" xfId="22140" xr:uid="{00000000-0005-0000-0000-0000AE880000}"/>
    <cellStyle name="常规 9 2 4 2 2 3 4 2 2 2" xfId="46716" xr:uid="{00000000-0005-0000-0000-0000AF880000}"/>
    <cellStyle name="常规 9 2 4 2 2 3 4 2 3" xfId="34428" xr:uid="{00000000-0005-0000-0000-0000B0880000}"/>
    <cellStyle name="常规 9 2 4 2 2 3 4 3" xfId="15996" xr:uid="{00000000-0005-0000-0000-0000B1880000}"/>
    <cellStyle name="常规 9 2 4 2 2 3 4 3 2" xfId="40572" xr:uid="{00000000-0005-0000-0000-0000B2880000}"/>
    <cellStyle name="常规 9 2 4 2 2 3 4 4" xfId="28284" xr:uid="{00000000-0005-0000-0000-0000B3880000}"/>
    <cellStyle name="常规 9 2 4 2 2 3 5" xfId="6780" xr:uid="{00000000-0005-0000-0000-0000B4880000}"/>
    <cellStyle name="常规 9 2 4 2 2 3 5 2" xfId="19068" xr:uid="{00000000-0005-0000-0000-0000B5880000}"/>
    <cellStyle name="常规 9 2 4 2 2 3 5 2 2" xfId="43644" xr:uid="{00000000-0005-0000-0000-0000B6880000}"/>
    <cellStyle name="常规 9 2 4 2 2 3 5 3" xfId="31356" xr:uid="{00000000-0005-0000-0000-0000B7880000}"/>
    <cellStyle name="常规 9 2 4 2 2 3 6" xfId="12924" xr:uid="{00000000-0005-0000-0000-0000B8880000}"/>
    <cellStyle name="常规 9 2 4 2 2 3 6 2" xfId="37500" xr:uid="{00000000-0005-0000-0000-0000B9880000}"/>
    <cellStyle name="常规 9 2 4 2 2 3 7" xfId="25212" xr:uid="{00000000-0005-0000-0000-0000BA880000}"/>
    <cellStyle name="常规 9 2 4 2 2 4" xfId="1016" xr:uid="{00000000-0005-0000-0000-0000BB880000}"/>
    <cellStyle name="常规 9 2 4 2 2 4 2" xfId="2552" xr:uid="{00000000-0005-0000-0000-0000BC880000}"/>
    <cellStyle name="常规 9 2 4 2 2 4 2 2" xfId="5628" xr:uid="{00000000-0005-0000-0000-0000BD880000}"/>
    <cellStyle name="常规 9 2 4 2 2 4 2 2 2" xfId="11772" xr:uid="{00000000-0005-0000-0000-0000BE880000}"/>
    <cellStyle name="常规 9 2 4 2 2 4 2 2 2 2" xfId="24060" xr:uid="{00000000-0005-0000-0000-0000BF880000}"/>
    <cellStyle name="常规 9 2 4 2 2 4 2 2 2 2 2" xfId="48636" xr:uid="{00000000-0005-0000-0000-0000C0880000}"/>
    <cellStyle name="常规 9 2 4 2 2 4 2 2 2 3" xfId="36348" xr:uid="{00000000-0005-0000-0000-0000C1880000}"/>
    <cellStyle name="常规 9 2 4 2 2 4 2 2 3" xfId="17916" xr:uid="{00000000-0005-0000-0000-0000C2880000}"/>
    <cellStyle name="常规 9 2 4 2 2 4 2 2 3 2" xfId="42492" xr:uid="{00000000-0005-0000-0000-0000C3880000}"/>
    <cellStyle name="常规 9 2 4 2 2 4 2 2 4" xfId="30204" xr:uid="{00000000-0005-0000-0000-0000C4880000}"/>
    <cellStyle name="常规 9 2 4 2 2 4 2 3" xfId="8700" xr:uid="{00000000-0005-0000-0000-0000C5880000}"/>
    <cellStyle name="常规 9 2 4 2 2 4 2 3 2" xfId="20988" xr:uid="{00000000-0005-0000-0000-0000C6880000}"/>
    <cellStyle name="常规 9 2 4 2 2 4 2 3 2 2" xfId="45564" xr:uid="{00000000-0005-0000-0000-0000C7880000}"/>
    <cellStyle name="常规 9 2 4 2 2 4 2 3 3" xfId="33276" xr:uid="{00000000-0005-0000-0000-0000C8880000}"/>
    <cellStyle name="常规 9 2 4 2 2 4 2 4" xfId="14844" xr:uid="{00000000-0005-0000-0000-0000C9880000}"/>
    <cellStyle name="常规 9 2 4 2 2 4 2 4 2" xfId="39420" xr:uid="{00000000-0005-0000-0000-0000CA880000}"/>
    <cellStyle name="常规 9 2 4 2 2 4 2 5" xfId="27132" xr:uid="{00000000-0005-0000-0000-0000CB880000}"/>
    <cellStyle name="常规 9 2 4 2 2 4 3" xfId="4092" xr:uid="{00000000-0005-0000-0000-0000CC880000}"/>
    <cellStyle name="常规 9 2 4 2 2 4 3 2" xfId="10236" xr:uid="{00000000-0005-0000-0000-0000CD880000}"/>
    <cellStyle name="常规 9 2 4 2 2 4 3 2 2" xfId="22524" xr:uid="{00000000-0005-0000-0000-0000CE880000}"/>
    <cellStyle name="常规 9 2 4 2 2 4 3 2 2 2" xfId="47100" xr:uid="{00000000-0005-0000-0000-0000CF880000}"/>
    <cellStyle name="常规 9 2 4 2 2 4 3 2 3" xfId="34812" xr:uid="{00000000-0005-0000-0000-0000D0880000}"/>
    <cellStyle name="常规 9 2 4 2 2 4 3 3" xfId="16380" xr:uid="{00000000-0005-0000-0000-0000D1880000}"/>
    <cellStyle name="常规 9 2 4 2 2 4 3 3 2" xfId="40956" xr:uid="{00000000-0005-0000-0000-0000D2880000}"/>
    <cellStyle name="常规 9 2 4 2 2 4 3 4" xfId="28668" xr:uid="{00000000-0005-0000-0000-0000D3880000}"/>
    <cellStyle name="常规 9 2 4 2 2 4 4" xfId="7164" xr:uid="{00000000-0005-0000-0000-0000D4880000}"/>
    <cellStyle name="常规 9 2 4 2 2 4 4 2" xfId="19452" xr:uid="{00000000-0005-0000-0000-0000D5880000}"/>
    <cellStyle name="常规 9 2 4 2 2 4 4 2 2" xfId="44028" xr:uid="{00000000-0005-0000-0000-0000D6880000}"/>
    <cellStyle name="常规 9 2 4 2 2 4 4 3" xfId="31740" xr:uid="{00000000-0005-0000-0000-0000D7880000}"/>
    <cellStyle name="常规 9 2 4 2 2 4 5" xfId="13308" xr:uid="{00000000-0005-0000-0000-0000D8880000}"/>
    <cellStyle name="常规 9 2 4 2 2 4 5 2" xfId="37884" xr:uid="{00000000-0005-0000-0000-0000D9880000}"/>
    <cellStyle name="常规 9 2 4 2 2 4 6" xfId="25596" xr:uid="{00000000-0005-0000-0000-0000DA880000}"/>
    <cellStyle name="常规 9 2 4 2 2 5" xfId="1784" xr:uid="{00000000-0005-0000-0000-0000DB880000}"/>
    <cellStyle name="常规 9 2 4 2 2 5 2" xfId="4860" xr:uid="{00000000-0005-0000-0000-0000DC880000}"/>
    <cellStyle name="常规 9 2 4 2 2 5 2 2" xfId="11004" xr:uid="{00000000-0005-0000-0000-0000DD880000}"/>
    <cellStyle name="常规 9 2 4 2 2 5 2 2 2" xfId="23292" xr:uid="{00000000-0005-0000-0000-0000DE880000}"/>
    <cellStyle name="常规 9 2 4 2 2 5 2 2 2 2" xfId="47868" xr:uid="{00000000-0005-0000-0000-0000DF880000}"/>
    <cellStyle name="常规 9 2 4 2 2 5 2 2 3" xfId="35580" xr:uid="{00000000-0005-0000-0000-0000E0880000}"/>
    <cellStyle name="常规 9 2 4 2 2 5 2 3" xfId="17148" xr:uid="{00000000-0005-0000-0000-0000E1880000}"/>
    <cellStyle name="常规 9 2 4 2 2 5 2 3 2" xfId="41724" xr:uid="{00000000-0005-0000-0000-0000E2880000}"/>
    <cellStyle name="常规 9 2 4 2 2 5 2 4" xfId="29436" xr:uid="{00000000-0005-0000-0000-0000E3880000}"/>
    <cellStyle name="常规 9 2 4 2 2 5 3" xfId="7932" xr:uid="{00000000-0005-0000-0000-0000E4880000}"/>
    <cellStyle name="常规 9 2 4 2 2 5 3 2" xfId="20220" xr:uid="{00000000-0005-0000-0000-0000E5880000}"/>
    <cellStyle name="常规 9 2 4 2 2 5 3 2 2" xfId="44796" xr:uid="{00000000-0005-0000-0000-0000E6880000}"/>
    <cellStyle name="常规 9 2 4 2 2 5 3 3" xfId="32508" xr:uid="{00000000-0005-0000-0000-0000E7880000}"/>
    <cellStyle name="常规 9 2 4 2 2 5 4" xfId="14076" xr:uid="{00000000-0005-0000-0000-0000E8880000}"/>
    <cellStyle name="常规 9 2 4 2 2 5 4 2" xfId="38652" xr:uid="{00000000-0005-0000-0000-0000E9880000}"/>
    <cellStyle name="常规 9 2 4 2 2 5 5" xfId="26364" xr:uid="{00000000-0005-0000-0000-0000EA880000}"/>
    <cellStyle name="常规 9 2 4 2 2 6" xfId="3324" xr:uid="{00000000-0005-0000-0000-0000EB880000}"/>
    <cellStyle name="常规 9 2 4 2 2 6 2" xfId="9468" xr:uid="{00000000-0005-0000-0000-0000EC880000}"/>
    <cellStyle name="常规 9 2 4 2 2 6 2 2" xfId="21756" xr:uid="{00000000-0005-0000-0000-0000ED880000}"/>
    <cellStyle name="常规 9 2 4 2 2 6 2 2 2" xfId="46332" xr:uid="{00000000-0005-0000-0000-0000EE880000}"/>
    <cellStyle name="常规 9 2 4 2 2 6 2 3" xfId="34044" xr:uid="{00000000-0005-0000-0000-0000EF880000}"/>
    <cellStyle name="常规 9 2 4 2 2 6 3" xfId="15612" xr:uid="{00000000-0005-0000-0000-0000F0880000}"/>
    <cellStyle name="常规 9 2 4 2 2 6 3 2" xfId="40188" xr:uid="{00000000-0005-0000-0000-0000F1880000}"/>
    <cellStyle name="常规 9 2 4 2 2 6 4" xfId="27900" xr:uid="{00000000-0005-0000-0000-0000F2880000}"/>
    <cellStyle name="常规 9 2 4 2 2 7" xfId="6396" xr:uid="{00000000-0005-0000-0000-0000F3880000}"/>
    <cellStyle name="常规 9 2 4 2 2 7 2" xfId="18684" xr:uid="{00000000-0005-0000-0000-0000F4880000}"/>
    <cellStyle name="常规 9 2 4 2 2 7 2 2" xfId="43260" xr:uid="{00000000-0005-0000-0000-0000F5880000}"/>
    <cellStyle name="常规 9 2 4 2 2 7 3" xfId="30972" xr:uid="{00000000-0005-0000-0000-0000F6880000}"/>
    <cellStyle name="常规 9 2 4 2 2 8" xfId="12540" xr:uid="{00000000-0005-0000-0000-0000F7880000}"/>
    <cellStyle name="常规 9 2 4 2 2 8 2" xfId="37116" xr:uid="{00000000-0005-0000-0000-0000F8880000}"/>
    <cellStyle name="常规 9 2 4 2 2 9" xfId="24828" xr:uid="{00000000-0005-0000-0000-0000F9880000}"/>
    <cellStyle name="常规 9 2 4 2 3" xfId="312" xr:uid="{00000000-0005-0000-0000-0000FA880000}"/>
    <cellStyle name="常规 9 2 4 2 3 2" xfId="504" xr:uid="{00000000-0005-0000-0000-0000FB880000}"/>
    <cellStyle name="常规 9 2 4 2 3 2 2" xfId="888" xr:uid="{00000000-0005-0000-0000-0000FC880000}"/>
    <cellStyle name="常规 9 2 4 2 3 2 2 2" xfId="1656" xr:uid="{00000000-0005-0000-0000-0000FD880000}"/>
    <cellStyle name="常规 9 2 4 2 3 2 2 2 2" xfId="3192" xr:uid="{00000000-0005-0000-0000-0000FE880000}"/>
    <cellStyle name="常规 9 2 4 2 3 2 2 2 2 2" xfId="6268" xr:uid="{00000000-0005-0000-0000-0000FF880000}"/>
    <cellStyle name="常规 9 2 4 2 3 2 2 2 2 2 2" xfId="12412" xr:uid="{00000000-0005-0000-0000-000000890000}"/>
    <cellStyle name="常规 9 2 4 2 3 2 2 2 2 2 2 2" xfId="24700" xr:uid="{00000000-0005-0000-0000-000001890000}"/>
    <cellStyle name="常规 9 2 4 2 3 2 2 2 2 2 2 2 2" xfId="49276" xr:uid="{00000000-0005-0000-0000-000002890000}"/>
    <cellStyle name="常规 9 2 4 2 3 2 2 2 2 2 2 3" xfId="36988" xr:uid="{00000000-0005-0000-0000-000003890000}"/>
    <cellStyle name="常规 9 2 4 2 3 2 2 2 2 2 3" xfId="18556" xr:uid="{00000000-0005-0000-0000-000004890000}"/>
    <cellStyle name="常规 9 2 4 2 3 2 2 2 2 2 3 2" xfId="43132" xr:uid="{00000000-0005-0000-0000-000005890000}"/>
    <cellStyle name="常规 9 2 4 2 3 2 2 2 2 2 4" xfId="30844" xr:uid="{00000000-0005-0000-0000-000006890000}"/>
    <cellStyle name="常规 9 2 4 2 3 2 2 2 2 3" xfId="9340" xr:uid="{00000000-0005-0000-0000-000007890000}"/>
    <cellStyle name="常规 9 2 4 2 3 2 2 2 2 3 2" xfId="21628" xr:uid="{00000000-0005-0000-0000-000008890000}"/>
    <cellStyle name="常规 9 2 4 2 3 2 2 2 2 3 2 2" xfId="46204" xr:uid="{00000000-0005-0000-0000-000009890000}"/>
    <cellStyle name="常规 9 2 4 2 3 2 2 2 2 3 3" xfId="33916" xr:uid="{00000000-0005-0000-0000-00000A890000}"/>
    <cellStyle name="常规 9 2 4 2 3 2 2 2 2 4" xfId="15484" xr:uid="{00000000-0005-0000-0000-00000B890000}"/>
    <cellStyle name="常规 9 2 4 2 3 2 2 2 2 4 2" xfId="40060" xr:uid="{00000000-0005-0000-0000-00000C890000}"/>
    <cellStyle name="常规 9 2 4 2 3 2 2 2 2 5" xfId="27772" xr:uid="{00000000-0005-0000-0000-00000D890000}"/>
    <cellStyle name="常规 9 2 4 2 3 2 2 2 3" xfId="4732" xr:uid="{00000000-0005-0000-0000-00000E890000}"/>
    <cellStyle name="常规 9 2 4 2 3 2 2 2 3 2" xfId="10876" xr:uid="{00000000-0005-0000-0000-00000F890000}"/>
    <cellStyle name="常规 9 2 4 2 3 2 2 2 3 2 2" xfId="23164" xr:uid="{00000000-0005-0000-0000-000010890000}"/>
    <cellStyle name="常规 9 2 4 2 3 2 2 2 3 2 2 2" xfId="47740" xr:uid="{00000000-0005-0000-0000-000011890000}"/>
    <cellStyle name="常规 9 2 4 2 3 2 2 2 3 2 3" xfId="35452" xr:uid="{00000000-0005-0000-0000-000012890000}"/>
    <cellStyle name="常规 9 2 4 2 3 2 2 2 3 3" xfId="17020" xr:uid="{00000000-0005-0000-0000-000013890000}"/>
    <cellStyle name="常规 9 2 4 2 3 2 2 2 3 3 2" xfId="41596" xr:uid="{00000000-0005-0000-0000-000014890000}"/>
    <cellStyle name="常规 9 2 4 2 3 2 2 2 3 4" xfId="29308" xr:uid="{00000000-0005-0000-0000-000015890000}"/>
    <cellStyle name="常规 9 2 4 2 3 2 2 2 4" xfId="7804" xr:uid="{00000000-0005-0000-0000-000016890000}"/>
    <cellStyle name="常规 9 2 4 2 3 2 2 2 4 2" xfId="20092" xr:uid="{00000000-0005-0000-0000-000017890000}"/>
    <cellStyle name="常规 9 2 4 2 3 2 2 2 4 2 2" xfId="44668" xr:uid="{00000000-0005-0000-0000-000018890000}"/>
    <cellStyle name="常规 9 2 4 2 3 2 2 2 4 3" xfId="32380" xr:uid="{00000000-0005-0000-0000-000019890000}"/>
    <cellStyle name="常规 9 2 4 2 3 2 2 2 5" xfId="13948" xr:uid="{00000000-0005-0000-0000-00001A890000}"/>
    <cellStyle name="常规 9 2 4 2 3 2 2 2 5 2" xfId="38524" xr:uid="{00000000-0005-0000-0000-00001B890000}"/>
    <cellStyle name="常规 9 2 4 2 3 2 2 2 6" xfId="26236" xr:uid="{00000000-0005-0000-0000-00001C890000}"/>
    <cellStyle name="常规 9 2 4 2 3 2 2 3" xfId="2424" xr:uid="{00000000-0005-0000-0000-00001D890000}"/>
    <cellStyle name="常规 9 2 4 2 3 2 2 3 2" xfId="5500" xr:uid="{00000000-0005-0000-0000-00001E890000}"/>
    <cellStyle name="常规 9 2 4 2 3 2 2 3 2 2" xfId="11644" xr:uid="{00000000-0005-0000-0000-00001F890000}"/>
    <cellStyle name="常规 9 2 4 2 3 2 2 3 2 2 2" xfId="23932" xr:uid="{00000000-0005-0000-0000-000020890000}"/>
    <cellStyle name="常规 9 2 4 2 3 2 2 3 2 2 2 2" xfId="48508" xr:uid="{00000000-0005-0000-0000-000021890000}"/>
    <cellStyle name="常规 9 2 4 2 3 2 2 3 2 2 3" xfId="36220" xr:uid="{00000000-0005-0000-0000-000022890000}"/>
    <cellStyle name="常规 9 2 4 2 3 2 2 3 2 3" xfId="17788" xr:uid="{00000000-0005-0000-0000-000023890000}"/>
    <cellStyle name="常规 9 2 4 2 3 2 2 3 2 3 2" xfId="42364" xr:uid="{00000000-0005-0000-0000-000024890000}"/>
    <cellStyle name="常规 9 2 4 2 3 2 2 3 2 4" xfId="30076" xr:uid="{00000000-0005-0000-0000-000025890000}"/>
    <cellStyle name="常规 9 2 4 2 3 2 2 3 3" xfId="8572" xr:uid="{00000000-0005-0000-0000-000026890000}"/>
    <cellStyle name="常规 9 2 4 2 3 2 2 3 3 2" xfId="20860" xr:uid="{00000000-0005-0000-0000-000027890000}"/>
    <cellStyle name="常规 9 2 4 2 3 2 2 3 3 2 2" xfId="45436" xr:uid="{00000000-0005-0000-0000-000028890000}"/>
    <cellStyle name="常规 9 2 4 2 3 2 2 3 3 3" xfId="33148" xr:uid="{00000000-0005-0000-0000-000029890000}"/>
    <cellStyle name="常规 9 2 4 2 3 2 2 3 4" xfId="14716" xr:uid="{00000000-0005-0000-0000-00002A890000}"/>
    <cellStyle name="常规 9 2 4 2 3 2 2 3 4 2" xfId="39292" xr:uid="{00000000-0005-0000-0000-00002B890000}"/>
    <cellStyle name="常规 9 2 4 2 3 2 2 3 5" xfId="27004" xr:uid="{00000000-0005-0000-0000-00002C890000}"/>
    <cellStyle name="常规 9 2 4 2 3 2 2 4" xfId="3964" xr:uid="{00000000-0005-0000-0000-00002D890000}"/>
    <cellStyle name="常规 9 2 4 2 3 2 2 4 2" xfId="10108" xr:uid="{00000000-0005-0000-0000-00002E890000}"/>
    <cellStyle name="常规 9 2 4 2 3 2 2 4 2 2" xfId="22396" xr:uid="{00000000-0005-0000-0000-00002F890000}"/>
    <cellStyle name="常规 9 2 4 2 3 2 2 4 2 2 2" xfId="46972" xr:uid="{00000000-0005-0000-0000-000030890000}"/>
    <cellStyle name="常规 9 2 4 2 3 2 2 4 2 3" xfId="34684" xr:uid="{00000000-0005-0000-0000-000031890000}"/>
    <cellStyle name="常规 9 2 4 2 3 2 2 4 3" xfId="16252" xr:uid="{00000000-0005-0000-0000-000032890000}"/>
    <cellStyle name="常规 9 2 4 2 3 2 2 4 3 2" xfId="40828" xr:uid="{00000000-0005-0000-0000-000033890000}"/>
    <cellStyle name="常规 9 2 4 2 3 2 2 4 4" xfId="28540" xr:uid="{00000000-0005-0000-0000-000034890000}"/>
    <cellStyle name="常规 9 2 4 2 3 2 2 5" xfId="7036" xr:uid="{00000000-0005-0000-0000-000035890000}"/>
    <cellStyle name="常规 9 2 4 2 3 2 2 5 2" xfId="19324" xr:uid="{00000000-0005-0000-0000-000036890000}"/>
    <cellStyle name="常规 9 2 4 2 3 2 2 5 2 2" xfId="43900" xr:uid="{00000000-0005-0000-0000-000037890000}"/>
    <cellStyle name="常规 9 2 4 2 3 2 2 5 3" xfId="31612" xr:uid="{00000000-0005-0000-0000-000038890000}"/>
    <cellStyle name="常规 9 2 4 2 3 2 2 6" xfId="13180" xr:uid="{00000000-0005-0000-0000-000039890000}"/>
    <cellStyle name="常规 9 2 4 2 3 2 2 6 2" xfId="37756" xr:uid="{00000000-0005-0000-0000-00003A890000}"/>
    <cellStyle name="常规 9 2 4 2 3 2 2 7" xfId="25468" xr:uid="{00000000-0005-0000-0000-00003B890000}"/>
    <cellStyle name="常规 9 2 4 2 3 2 3" xfId="1272" xr:uid="{00000000-0005-0000-0000-00003C890000}"/>
    <cellStyle name="常规 9 2 4 2 3 2 3 2" xfId="2808" xr:uid="{00000000-0005-0000-0000-00003D890000}"/>
    <cellStyle name="常规 9 2 4 2 3 2 3 2 2" xfId="5884" xr:uid="{00000000-0005-0000-0000-00003E890000}"/>
    <cellStyle name="常规 9 2 4 2 3 2 3 2 2 2" xfId="12028" xr:uid="{00000000-0005-0000-0000-00003F890000}"/>
    <cellStyle name="常规 9 2 4 2 3 2 3 2 2 2 2" xfId="24316" xr:uid="{00000000-0005-0000-0000-000040890000}"/>
    <cellStyle name="常规 9 2 4 2 3 2 3 2 2 2 2 2" xfId="48892" xr:uid="{00000000-0005-0000-0000-000041890000}"/>
    <cellStyle name="常规 9 2 4 2 3 2 3 2 2 2 3" xfId="36604" xr:uid="{00000000-0005-0000-0000-000042890000}"/>
    <cellStyle name="常规 9 2 4 2 3 2 3 2 2 3" xfId="18172" xr:uid="{00000000-0005-0000-0000-000043890000}"/>
    <cellStyle name="常规 9 2 4 2 3 2 3 2 2 3 2" xfId="42748" xr:uid="{00000000-0005-0000-0000-000044890000}"/>
    <cellStyle name="常规 9 2 4 2 3 2 3 2 2 4" xfId="30460" xr:uid="{00000000-0005-0000-0000-000045890000}"/>
    <cellStyle name="常规 9 2 4 2 3 2 3 2 3" xfId="8956" xr:uid="{00000000-0005-0000-0000-000046890000}"/>
    <cellStyle name="常规 9 2 4 2 3 2 3 2 3 2" xfId="21244" xr:uid="{00000000-0005-0000-0000-000047890000}"/>
    <cellStyle name="常规 9 2 4 2 3 2 3 2 3 2 2" xfId="45820" xr:uid="{00000000-0005-0000-0000-000048890000}"/>
    <cellStyle name="常规 9 2 4 2 3 2 3 2 3 3" xfId="33532" xr:uid="{00000000-0005-0000-0000-000049890000}"/>
    <cellStyle name="常规 9 2 4 2 3 2 3 2 4" xfId="15100" xr:uid="{00000000-0005-0000-0000-00004A890000}"/>
    <cellStyle name="常规 9 2 4 2 3 2 3 2 4 2" xfId="39676" xr:uid="{00000000-0005-0000-0000-00004B890000}"/>
    <cellStyle name="常规 9 2 4 2 3 2 3 2 5" xfId="27388" xr:uid="{00000000-0005-0000-0000-00004C890000}"/>
    <cellStyle name="常规 9 2 4 2 3 2 3 3" xfId="4348" xr:uid="{00000000-0005-0000-0000-00004D890000}"/>
    <cellStyle name="常规 9 2 4 2 3 2 3 3 2" xfId="10492" xr:uid="{00000000-0005-0000-0000-00004E890000}"/>
    <cellStyle name="常规 9 2 4 2 3 2 3 3 2 2" xfId="22780" xr:uid="{00000000-0005-0000-0000-00004F890000}"/>
    <cellStyle name="常规 9 2 4 2 3 2 3 3 2 2 2" xfId="47356" xr:uid="{00000000-0005-0000-0000-000050890000}"/>
    <cellStyle name="常规 9 2 4 2 3 2 3 3 2 3" xfId="35068" xr:uid="{00000000-0005-0000-0000-000051890000}"/>
    <cellStyle name="常规 9 2 4 2 3 2 3 3 3" xfId="16636" xr:uid="{00000000-0005-0000-0000-000052890000}"/>
    <cellStyle name="常规 9 2 4 2 3 2 3 3 3 2" xfId="41212" xr:uid="{00000000-0005-0000-0000-000053890000}"/>
    <cellStyle name="常规 9 2 4 2 3 2 3 3 4" xfId="28924" xr:uid="{00000000-0005-0000-0000-000054890000}"/>
    <cellStyle name="常规 9 2 4 2 3 2 3 4" xfId="7420" xr:uid="{00000000-0005-0000-0000-000055890000}"/>
    <cellStyle name="常规 9 2 4 2 3 2 3 4 2" xfId="19708" xr:uid="{00000000-0005-0000-0000-000056890000}"/>
    <cellStyle name="常规 9 2 4 2 3 2 3 4 2 2" xfId="44284" xr:uid="{00000000-0005-0000-0000-000057890000}"/>
    <cellStyle name="常规 9 2 4 2 3 2 3 4 3" xfId="31996" xr:uid="{00000000-0005-0000-0000-000058890000}"/>
    <cellStyle name="常规 9 2 4 2 3 2 3 5" xfId="13564" xr:uid="{00000000-0005-0000-0000-000059890000}"/>
    <cellStyle name="常规 9 2 4 2 3 2 3 5 2" xfId="38140" xr:uid="{00000000-0005-0000-0000-00005A890000}"/>
    <cellStyle name="常规 9 2 4 2 3 2 3 6" xfId="25852" xr:uid="{00000000-0005-0000-0000-00005B890000}"/>
    <cellStyle name="常规 9 2 4 2 3 2 4" xfId="2040" xr:uid="{00000000-0005-0000-0000-00005C890000}"/>
    <cellStyle name="常规 9 2 4 2 3 2 4 2" xfId="5116" xr:uid="{00000000-0005-0000-0000-00005D890000}"/>
    <cellStyle name="常规 9 2 4 2 3 2 4 2 2" xfId="11260" xr:uid="{00000000-0005-0000-0000-00005E890000}"/>
    <cellStyle name="常规 9 2 4 2 3 2 4 2 2 2" xfId="23548" xr:uid="{00000000-0005-0000-0000-00005F890000}"/>
    <cellStyle name="常规 9 2 4 2 3 2 4 2 2 2 2" xfId="48124" xr:uid="{00000000-0005-0000-0000-000060890000}"/>
    <cellStyle name="常规 9 2 4 2 3 2 4 2 2 3" xfId="35836" xr:uid="{00000000-0005-0000-0000-000061890000}"/>
    <cellStyle name="常规 9 2 4 2 3 2 4 2 3" xfId="17404" xr:uid="{00000000-0005-0000-0000-000062890000}"/>
    <cellStyle name="常规 9 2 4 2 3 2 4 2 3 2" xfId="41980" xr:uid="{00000000-0005-0000-0000-000063890000}"/>
    <cellStyle name="常规 9 2 4 2 3 2 4 2 4" xfId="29692" xr:uid="{00000000-0005-0000-0000-000064890000}"/>
    <cellStyle name="常规 9 2 4 2 3 2 4 3" xfId="8188" xr:uid="{00000000-0005-0000-0000-000065890000}"/>
    <cellStyle name="常规 9 2 4 2 3 2 4 3 2" xfId="20476" xr:uid="{00000000-0005-0000-0000-000066890000}"/>
    <cellStyle name="常规 9 2 4 2 3 2 4 3 2 2" xfId="45052" xr:uid="{00000000-0005-0000-0000-000067890000}"/>
    <cellStyle name="常规 9 2 4 2 3 2 4 3 3" xfId="32764" xr:uid="{00000000-0005-0000-0000-000068890000}"/>
    <cellStyle name="常规 9 2 4 2 3 2 4 4" xfId="14332" xr:uid="{00000000-0005-0000-0000-000069890000}"/>
    <cellStyle name="常规 9 2 4 2 3 2 4 4 2" xfId="38908" xr:uid="{00000000-0005-0000-0000-00006A890000}"/>
    <cellStyle name="常规 9 2 4 2 3 2 4 5" xfId="26620" xr:uid="{00000000-0005-0000-0000-00006B890000}"/>
    <cellStyle name="常规 9 2 4 2 3 2 5" xfId="3580" xr:uid="{00000000-0005-0000-0000-00006C890000}"/>
    <cellStyle name="常规 9 2 4 2 3 2 5 2" xfId="9724" xr:uid="{00000000-0005-0000-0000-00006D890000}"/>
    <cellStyle name="常规 9 2 4 2 3 2 5 2 2" xfId="22012" xr:uid="{00000000-0005-0000-0000-00006E890000}"/>
    <cellStyle name="常规 9 2 4 2 3 2 5 2 2 2" xfId="46588" xr:uid="{00000000-0005-0000-0000-00006F890000}"/>
    <cellStyle name="常规 9 2 4 2 3 2 5 2 3" xfId="34300" xr:uid="{00000000-0005-0000-0000-000070890000}"/>
    <cellStyle name="常规 9 2 4 2 3 2 5 3" xfId="15868" xr:uid="{00000000-0005-0000-0000-000071890000}"/>
    <cellStyle name="常规 9 2 4 2 3 2 5 3 2" xfId="40444" xr:uid="{00000000-0005-0000-0000-000072890000}"/>
    <cellStyle name="常规 9 2 4 2 3 2 5 4" xfId="28156" xr:uid="{00000000-0005-0000-0000-000073890000}"/>
    <cellStyle name="常规 9 2 4 2 3 2 6" xfId="6652" xr:uid="{00000000-0005-0000-0000-000074890000}"/>
    <cellStyle name="常规 9 2 4 2 3 2 6 2" xfId="18940" xr:uid="{00000000-0005-0000-0000-000075890000}"/>
    <cellStyle name="常规 9 2 4 2 3 2 6 2 2" xfId="43516" xr:uid="{00000000-0005-0000-0000-000076890000}"/>
    <cellStyle name="常规 9 2 4 2 3 2 6 3" xfId="31228" xr:uid="{00000000-0005-0000-0000-000077890000}"/>
    <cellStyle name="常规 9 2 4 2 3 2 7" xfId="12796" xr:uid="{00000000-0005-0000-0000-000078890000}"/>
    <cellStyle name="常规 9 2 4 2 3 2 7 2" xfId="37372" xr:uid="{00000000-0005-0000-0000-000079890000}"/>
    <cellStyle name="常规 9 2 4 2 3 2 8" xfId="25084" xr:uid="{00000000-0005-0000-0000-00007A890000}"/>
    <cellStyle name="常规 9 2 4 2 3 3" xfId="696" xr:uid="{00000000-0005-0000-0000-00007B890000}"/>
    <cellStyle name="常规 9 2 4 2 3 3 2" xfId="1464" xr:uid="{00000000-0005-0000-0000-00007C890000}"/>
    <cellStyle name="常规 9 2 4 2 3 3 2 2" xfId="3000" xr:uid="{00000000-0005-0000-0000-00007D890000}"/>
    <cellStyle name="常规 9 2 4 2 3 3 2 2 2" xfId="6076" xr:uid="{00000000-0005-0000-0000-00007E890000}"/>
    <cellStyle name="常规 9 2 4 2 3 3 2 2 2 2" xfId="12220" xr:uid="{00000000-0005-0000-0000-00007F890000}"/>
    <cellStyle name="常规 9 2 4 2 3 3 2 2 2 2 2" xfId="24508" xr:uid="{00000000-0005-0000-0000-000080890000}"/>
    <cellStyle name="常规 9 2 4 2 3 3 2 2 2 2 2 2" xfId="49084" xr:uid="{00000000-0005-0000-0000-000081890000}"/>
    <cellStyle name="常规 9 2 4 2 3 3 2 2 2 2 3" xfId="36796" xr:uid="{00000000-0005-0000-0000-000082890000}"/>
    <cellStyle name="常规 9 2 4 2 3 3 2 2 2 3" xfId="18364" xr:uid="{00000000-0005-0000-0000-000083890000}"/>
    <cellStyle name="常规 9 2 4 2 3 3 2 2 2 3 2" xfId="42940" xr:uid="{00000000-0005-0000-0000-000084890000}"/>
    <cellStyle name="常规 9 2 4 2 3 3 2 2 2 4" xfId="30652" xr:uid="{00000000-0005-0000-0000-000085890000}"/>
    <cellStyle name="常规 9 2 4 2 3 3 2 2 3" xfId="9148" xr:uid="{00000000-0005-0000-0000-000086890000}"/>
    <cellStyle name="常规 9 2 4 2 3 3 2 2 3 2" xfId="21436" xr:uid="{00000000-0005-0000-0000-000087890000}"/>
    <cellStyle name="常规 9 2 4 2 3 3 2 2 3 2 2" xfId="46012" xr:uid="{00000000-0005-0000-0000-000088890000}"/>
    <cellStyle name="常规 9 2 4 2 3 3 2 2 3 3" xfId="33724" xr:uid="{00000000-0005-0000-0000-000089890000}"/>
    <cellStyle name="常规 9 2 4 2 3 3 2 2 4" xfId="15292" xr:uid="{00000000-0005-0000-0000-00008A890000}"/>
    <cellStyle name="常规 9 2 4 2 3 3 2 2 4 2" xfId="39868" xr:uid="{00000000-0005-0000-0000-00008B890000}"/>
    <cellStyle name="常规 9 2 4 2 3 3 2 2 5" xfId="27580" xr:uid="{00000000-0005-0000-0000-00008C890000}"/>
    <cellStyle name="常规 9 2 4 2 3 3 2 3" xfId="4540" xr:uid="{00000000-0005-0000-0000-00008D890000}"/>
    <cellStyle name="常规 9 2 4 2 3 3 2 3 2" xfId="10684" xr:uid="{00000000-0005-0000-0000-00008E890000}"/>
    <cellStyle name="常规 9 2 4 2 3 3 2 3 2 2" xfId="22972" xr:uid="{00000000-0005-0000-0000-00008F890000}"/>
    <cellStyle name="常规 9 2 4 2 3 3 2 3 2 2 2" xfId="47548" xr:uid="{00000000-0005-0000-0000-000090890000}"/>
    <cellStyle name="常规 9 2 4 2 3 3 2 3 2 3" xfId="35260" xr:uid="{00000000-0005-0000-0000-000091890000}"/>
    <cellStyle name="常规 9 2 4 2 3 3 2 3 3" xfId="16828" xr:uid="{00000000-0005-0000-0000-000092890000}"/>
    <cellStyle name="常规 9 2 4 2 3 3 2 3 3 2" xfId="41404" xr:uid="{00000000-0005-0000-0000-000093890000}"/>
    <cellStyle name="常规 9 2 4 2 3 3 2 3 4" xfId="29116" xr:uid="{00000000-0005-0000-0000-000094890000}"/>
    <cellStyle name="常规 9 2 4 2 3 3 2 4" xfId="7612" xr:uid="{00000000-0005-0000-0000-000095890000}"/>
    <cellStyle name="常规 9 2 4 2 3 3 2 4 2" xfId="19900" xr:uid="{00000000-0005-0000-0000-000096890000}"/>
    <cellStyle name="常规 9 2 4 2 3 3 2 4 2 2" xfId="44476" xr:uid="{00000000-0005-0000-0000-000097890000}"/>
    <cellStyle name="常规 9 2 4 2 3 3 2 4 3" xfId="32188" xr:uid="{00000000-0005-0000-0000-000098890000}"/>
    <cellStyle name="常规 9 2 4 2 3 3 2 5" xfId="13756" xr:uid="{00000000-0005-0000-0000-000099890000}"/>
    <cellStyle name="常规 9 2 4 2 3 3 2 5 2" xfId="38332" xr:uid="{00000000-0005-0000-0000-00009A890000}"/>
    <cellStyle name="常规 9 2 4 2 3 3 2 6" xfId="26044" xr:uid="{00000000-0005-0000-0000-00009B890000}"/>
    <cellStyle name="常规 9 2 4 2 3 3 3" xfId="2232" xr:uid="{00000000-0005-0000-0000-00009C890000}"/>
    <cellStyle name="常规 9 2 4 2 3 3 3 2" xfId="5308" xr:uid="{00000000-0005-0000-0000-00009D890000}"/>
    <cellStyle name="常规 9 2 4 2 3 3 3 2 2" xfId="11452" xr:uid="{00000000-0005-0000-0000-00009E890000}"/>
    <cellStyle name="常规 9 2 4 2 3 3 3 2 2 2" xfId="23740" xr:uid="{00000000-0005-0000-0000-00009F890000}"/>
    <cellStyle name="常规 9 2 4 2 3 3 3 2 2 2 2" xfId="48316" xr:uid="{00000000-0005-0000-0000-0000A0890000}"/>
    <cellStyle name="常规 9 2 4 2 3 3 3 2 2 3" xfId="36028" xr:uid="{00000000-0005-0000-0000-0000A1890000}"/>
    <cellStyle name="常规 9 2 4 2 3 3 3 2 3" xfId="17596" xr:uid="{00000000-0005-0000-0000-0000A2890000}"/>
    <cellStyle name="常规 9 2 4 2 3 3 3 2 3 2" xfId="42172" xr:uid="{00000000-0005-0000-0000-0000A3890000}"/>
    <cellStyle name="常规 9 2 4 2 3 3 3 2 4" xfId="29884" xr:uid="{00000000-0005-0000-0000-0000A4890000}"/>
    <cellStyle name="常规 9 2 4 2 3 3 3 3" xfId="8380" xr:uid="{00000000-0005-0000-0000-0000A5890000}"/>
    <cellStyle name="常规 9 2 4 2 3 3 3 3 2" xfId="20668" xr:uid="{00000000-0005-0000-0000-0000A6890000}"/>
    <cellStyle name="常规 9 2 4 2 3 3 3 3 2 2" xfId="45244" xr:uid="{00000000-0005-0000-0000-0000A7890000}"/>
    <cellStyle name="常规 9 2 4 2 3 3 3 3 3" xfId="32956" xr:uid="{00000000-0005-0000-0000-0000A8890000}"/>
    <cellStyle name="常规 9 2 4 2 3 3 3 4" xfId="14524" xr:uid="{00000000-0005-0000-0000-0000A9890000}"/>
    <cellStyle name="常规 9 2 4 2 3 3 3 4 2" xfId="39100" xr:uid="{00000000-0005-0000-0000-0000AA890000}"/>
    <cellStyle name="常规 9 2 4 2 3 3 3 5" xfId="26812" xr:uid="{00000000-0005-0000-0000-0000AB890000}"/>
    <cellStyle name="常规 9 2 4 2 3 3 4" xfId="3772" xr:uid="{00000000-0005-0000-0000-0000AC890000}"/>
    <cellStyle name="常规 9 2 4 2 3 3 4 2" xfId="9916" xr:uid="{00000000-0005-0000-0000-0000AD890000}"/>
    <cellStyle name="常规 9 2 4 2 3 3 4 2 2" xfId="22204" xr:uid="{00000000-0005-0000-0000-0000AE890000}"/>
    <cellStyle name="常规 9 2 4 2 3 3 4 2 2 2" xfId="46780" xr:uid="{00000000-0005-0000-0000-0000AF890000}"/>
    <cellStyle name="常规 9 2 4 2 3 3 4 2 3" xfId="34492" xr:uid="{00000000-0005-0000-0000-0000B0890000}"/>
    <cellStyle name="常规 9 2 4 2 3 3 4 3" xfId="16060" xr:uid="{00000000-0005-0000-0000-0000B1890000}"/>
    <cellStyle name="常规 9 2 4 2 3 3 4 3 2" xfId="40636" xr:uid="{00000000-0005-0000-0000-0000B2890000}"/>
    <cellStyle name="常规 9 2 4 2 3 3 4 4" xfId="28348" xr:uid="{00000000-0005-0000-0000-0000B3890000}"/>
    <cellStyle name="常规 9 2 4 2 3 3 5" xfId="6844" xr:uid="{00000000-0005-0000-0000-0000B4890000}"/>
    <cellStyle name="常规 9 2 4 2 3 3 5 2" xfId="19132" xr:uid="{00000000-0005-0000-0000-0000B5890000}"/>
    <cellStyle name="常规 9 2 4 2 3 3 5 2 2" xfId="43708" xr:uid="{00000000-0005-0000-0000-0000B6890000}"/>
    <cellStyle name="常规 9 2 4 2 3 3 5 3" xfId="31420" xr:uid="{00000000-0005-0000-0000-0000B7890000}"/>
    <cellStyle name="常规 9 2 4 2 3 3 6" xfId="12988" xr:uid="{00000000-0005-0000-0000-0000B8890000}"/>
    <cellStyle name="常规 9 2 4 2 3 3 6 2" xfId="37564" xr:uid="{00000000-0005-0000-0000-0000B9890000}"/>
    <cellStyle name="常规 9 2 4 2 3 3 7" xfId="25276" xr:uid="{00000000-0005-0000-0000-0000BA890000}"/>
    <cellStyle name="常规 9 2 4 2 3 4" xfId="1080" xr:uid="{00000000-0005-0000-0000-0000BB890000}"/>
    <cellStyle name="常规 9 2 4 2 3 4 2" xfId="2616" xr:uid="{00000000-0005-0000-0000-0000BC890000}"/>
    <cellStyle name="常规 9 2 4 2 3 4 2 2" xfId="5692" xr:uid="{00000000-0005-0000-0000-0000BD890000}"/>
    <cellStyle name="常规 9 2 4 2 3 4 2 2 2" xfId="11836" xr:uid="{00000000-0005-0000-0000-0000BE890000}"/>
    <cellStyle name="常规 9 2 4 2 3 4 2 2 2 2" xfId="24124" xr:uid="{00000000-0005-0000-0000-0000BF890000}"/>
    <cellStyle name="常规 9 2 4 2 3 4 2 2 2 2 2" xfId="48700" xr:uid="{00000000-0005-0000-0000-0000C0890000}"/>
    <cellStyle name="常规 9 2 4 2 3 4 2 2 2 3" xfId="36412" xr:uid="{00000000-0005-0000-0000-0000C1890000}"/>
    <cellStyle name="常规 9 2 4 2 3 4 2 2 3" xfId="17980" xr:uid="{00000000-0005-0000-0000-0000C2890000}"/>
    <cellStyle name="常规 9 2 4 2 3 4 2 2 3 2" xfId="42556" xr:uid="{00000000-0005-0000-0000-0000C3890000}"/>
    <cellStyle name="常规 9 2 4 2 3 4 2 2 4" xfId="30268" xr:uid="{00000000-0005-0000-0000-0000C4890000}"/>
    <cellStyle name="常规 9 2 4 2 3 4 2 3" xfId="8764" xr:uid="{00000000-0005-0000-0000-0000C5890000}"/>
    <cellStyle name="常规 9 2 4 2 3 4 2 3 2" xfId="21052" xr:uid="{00000000-0005-0000-0000-0000C6890000}"/>
    <cellStyle name="常规 9 2 4 2 3 4 2 3 2 2" xfId="45628" xr:uid="{00000000-0005-0000-0000-0000C7890000}"/>
    <cellStyle name="常规 9 2 4 2 3 4 2 3 3" xfId="33340" xr:uid="{00000000-0005-0000-0000-0000C8890000}"/>
    <cellStyle name="常规 9 2 4 2 3 4 2 4" xfId="14908" xr:uid="{00000000-0005-0000-0000-0000C9890000}"/>
    <cellStyle name="常规 9 2 4 2 3 4 2 4 2" xfId="39484" xr:uid="{00000000-0005-0000-0000-0000CA890000}"/>
    <cellStyle name="常规 9 2 4 2 3 4 2 5" xfId="27196" xr:uid="{00000000-0005-0000-0000-0000CB890000}"/>
    <cellStyle name="常规 9 2 4 2 3 4 3" xfId="4156" xr:uid="{00000000-0005-0000-0000-0000CC890000}"/>
    <cellStyle name="常规 9 2 4 2 3 4 3 2" xfId="10300" xr:uid="{00000000-0005-0000-0000-0000CD890000}"/>
    <cellStyle name="常规 9 2 4 2 3 4 3 2 2" xfId="22588" xr:uid="{00000000-0005-0000-0000-0000CE890000}"/>
    <cellStyle name="常规 9 2 4 2 3 4 3 2 2 2" xfId="47164" xr:uid="{00000000-0005-0000-0000-0000CF890000}"/>
    <cellStyle name="常规 9 2 4 2 3 4 3 2 3" xfId="34876" xr:uid="{00000000-0005-0000-0000-0000D0890000}"/>
    <cellStyle name="常规 9 2 4 2 3 4 3 3" xfId="16444" xr:uid="{00000000-0005-0000-0000-0000D1890000}"/>
    <cellStyle name="常规 9 2 4 2 3 4 3 3 2" xfId="41020" xr:uid="{00000000-0005-0000-0000-0000D2890000}"/>
    <cellStyle name="常规 9 2 4 2 3 4 3 4" xfId="28732" xr:uid="{00000000-0005-0000-0000-0000D3890000}"/>
    <cellStyle name="常规 9 2 4 2 3 4 4" xfId="7228" xr:uid="{00000000-0005-0000-0000-0000D4890000}"/>
    <cellStyle name="常规 9 2 4 2 3 4 4 2" xfId="19516" xr:uid="{00000000-0005-0000-0000-0000D5890000}"/>
    <cellStyle name="常规 9 2 4 2 3 4 4 2 2" xfId="44092" xr:uid="{00000000-0005-0000-0000-0000D6890000}"/>
    <cellStyle name="常规 9 2 4 2 3 4 4 3" xfId="31804" xr:uid="{00000000-0005-0000-0000-0000D7890000}"/>
    <cellStyle name="常规 9 2 4 2 3 4 5" xfId="13372" xr:uid="{00000000-0005-0000-0000-0000D8890000}"/>
    <cellStyle name="常规 9 2 4 2 3 4 5 2" xfId="37948" xr:uid="{00000000-0005-0000-0000-0000D9890000}"/>
    <cellStyle name="常规 9 2 4 2 3 4 6" xfId="25660" xr:uid="{00000000-0005-0000-0000-0000DA890000}"/>
    <cellStyle name="常规 9 2 4 2 3 5" xfId="1848" xr:uid="{00000000-0005-0000-0000-0000DB890000}"/>
    <cellStyle name="常规 9 2 4 2 3 5 2" xfId="4924" xr:uid="{00000000-0005-0000-0000-0000DC890000}"/>
    <cellStyle name="常规 9 2 4 2 3 5 2 2" xfId="11068" xr:uid="{00000000-0005-0000-0000-0000DD890000}"/>
    <cellStyle name="常规 9 2 4 2 3 5 2 2 2" xfId="23356" xr:uid="{00000000-0005-0000-0000-0000DE890000}"/>
    <cellStyle name="常规 9 2 4 2 3 5 2 2 2 2" xfId="47932" xr:uid="{00000000-0005-0000-0000-0000DF890000}"/>
    <cellStyle name="常规 9 2 4 2 3 5 2 2 3" xfId="35644" xr:uid="{00000000-0005-0000-0000-0000E0890000}"/>
    <cellStyle name="常规 9 2 4 2 3 5 2 3" xfId="17212" xr:uid="{00000000-0005-0000-0000-0000E1890000}"/>
    <cellStyle name="常规 9 2 4 2 3 5 2 3 2" xfId="41788" xr:uid="{00000000-0005-0000-0000-0000E2890000}"/>
    <cellStyle name="常规 9 2 4 2 3 5 2 4" xfId="29500" xr:uid="{00000000-0005-0000-0000-0000E3890000}"/>
    <cellStyle name="常规 9 2 4 2 3 5 3" xfId="7996" xr:uid="{00000000-0005-0000-0000-0000E4890000}"/>
    <cellStyle name="常规 9 2 4 2 3 5 3 2" xfId="20284" xr:uid="{00000000-0005-0000-0000-0000E5890000}"/>
    <cellStyle name="常规 9 2 4 2 3 5 3 2 2" xfId="44860" xr:uid="{00000000-0005-0000-0000-0000E6890000}"/>
    <cellStyle name="常规 9 2 4 2 3 5 3 3" xfId="32572" xr:uid="{00000000-0005-0000-0000-0000E7890000}"/>
    <cellStyle name="常规 9 2 4 2 3 5 4" xfId="14140" xr:uid="{00000000-0005-0000-0000-0000E8890000}"/>
    <cellStyle name="常规 9 2 4 2 3 5 4 2" xfId="38716" xr:uid="{00000000-0005-0000-0000-0000E9890000}"/>
    <cellStyle name="常规 9 2 4 2 3 5 5" xfId="26428" xr:uid="{00000000-0005-0000-0000-0000EA890000}"/>
    <cellStyle name="常规 9 2 4 2 3 6" xfId="3388" xr:uid="{00000000-0005-0000-0000-0000EB890000}"/>
    <cellStyle name="常规 9 2 4 2 3 6 2" xfId="9532" xr:uid="{00000000-0005-0000-0000-0000EC890000}"/>
    <cellStyle name="常规 9 2 4 2 3 6 2 2" xfId="21820" xr:uid="{00000000-0005-0000-0000-0000ED890000}"/>
    <cellStyle name="常规 9 2 4 2 3 6 2 2 2" xfId="46396" xr:uid="{00000000-0005-0000-0000-0000EE890000}"/>
    <cellStyle name="常规 9 2 4 2 3 6 2 3" xfId="34108" xr:uid="{00000000-0005-0000-0000-0000EF890000}"/>
    <cellStyle name="常规 9 2 4 2 3 6 3" xfId="15676" xr:uid="{00000000-0005-0000-0000-0000F0890000}"/>
    <cellStyle name="常规 9 2 4 2 3 6 3 2" xfId="40252" xr:uid="{00000000-0005-0000-0000-0000F1890000}"/>
    <cellStyle name="常规 9 2 4 2 3 6 4" xfId="27964" xr:uid="{00000000-0005-0000-0000-0000F2890000}"/>
    <cellStyle name="常规 9 2 4 2 3 7" xfId="6460" xr:uid="{00000000-0005-0000-0000-0000F3890000}"/>
    <cellStyle name="常规 9 2 4 2 3 7 2" xfId="18748" xr:uid="{00000000-0005-0000-0000-0000F4890000}"/>
    <cellStyle name="常规 9 2 4 2 3 7 2 2" xfId="43324" xr:uid="{00000000-0005-0000-0000-0000F5890000}"/>
    <cellStyle name="常规 9 2 4 2 3 7 3" xfId="31036" xr:uid="{00000000-0005-0000-0000-0000F6890000}"/>
    <cellStyle name="常规 9 2 4 2 3 8" xfId="12604" xr:uid="{00000000-0005-0000-0000-0000F7890000}"/>
    <cellStyle name="常规 9 2 4 2 3 8 2" xfId="37180" xr:uid="{00000000-0005-0000-0000-0000F8890000}"/>
    <cellStyle name="常规 9 2 4 2 3 9" xfId="24892" xr:uid="{00000000-0005-0000-0000-0000F9890000}"/>
    <cellStyle name="常规 9 2 4 2 4" xfId="376" xr:uid="{00000000-0005-0000-0000-0000FA890000}"/>
    <cellStyle name="常规 9 2 4 2 4 2" xfId="760" xr:uid="{00000000-0005-0000-0000-0000FB890000}"/>
    <cellStyle name="常规 9 2 4 2 4 2 2" xfId="1528" xr:uid="{00000000-0005-0000-0000-0000FC890000}"/>
    <cellStyle name="常规 9 2 4 2 4 2 2 2" xfId="3064" xr:uid="{00000000-0005-0000-0000-0000FD890000}"/>
    <cellStyle name="常规 9 2 4 2 4 2 2 2 2" xfId="6140" xr:uid="{00000000-0005-0000-0000-0000FE890000}"/>
    <cellStyle name="常规 9 2 4 2 4 2 2 2 2 2" xfId="12284" xr:uid="{00000000-0005-0000-0000-0000FF890000}"/>
    <cellStyle name="常规 9 2 4 2 4 2 2 2 2 2 2" xfId="24572" xr:uid="{00000000-0005-0000-0000-0000008A0000}"/>
    <cellStyle name="常规 9 2 4 2 4 2 2 2 2 2 2 2" xfId="49148" xr:uid="{00000000-0005-0000-0000-0000018A0000}"/>
    <cellStyle name="常规 9 2 4 2 4 2 2 2 2 2 3" xfId="36860" xr:uid="{00000000-0005-0000-0000-0000028A0000}"/>
    <cellStyle name="常规 9 2 4 2 4 2 2 2 2 3" xfId="18428" xr:uid="{00000000-0005-0000-0000-0000038A0000}"/>
    <cellStyle name="常规 9 2 4 2 4 2 2 2 2 3 2" xfId="43004" xr:uid="{00000000-0005-0000-0000-0000048A0000}"/>
    <cellStyle name="常规 9 2 4 2 4 2 2 2 2 4" xfId="30716" xr:uid="{00000000-0005-0000-0000-0000058A0000}"/>
    <cellStyle name="常规 9 2 4 2 4 2 2 2 3" xfId="9212" xr:uid="{00000000-0005-0000-0000-0000068A0000}"/>
    <cellStyle name="常规 9 2 4 2 4 2 2 2 3 2" xfId="21500" xr:uid="{00000000-0005-0000-0000-0000078A0000}"/>
    <cellStyle name="常规 9 2 4 2 4 2 2 2 3 2 2" xfId="46076" xr:uid="{00000000-0005-0000-0000-0000088A0000}"/>
    <cellStyle name="常规 9 2 4 2 4 2 2 2 3 3" xfId="33788" xr:uid="{00000000-0005-0000-0000-0000098A0000}"/>
    <cellStyle name="常规 9 2 4 2 4 2 2 2 4" xfId="15356" xr:uid="{00000000-0005-0000-0000-00000A8A0000}"/>
    <cellStyle name="常规 9 2 4 2 4 2 2 2 4 2" xfId="39932" xr:uid="{00000000-0005-0000-0000-00000B8A0000}"/>
    <cellStyle name="常规 9 2 4 2 4 2 2 2 5" xfId="27644" xr:uid="{00000000-0005-0000-0000-00000C8A0000}"/>
    <cellStyle name="常规 9 2 4 2 4 2 2 3" xfId="4604" xr:uid="{00000000-0005-0000-0000-00000D8A0000}"/>
    <cellStyle name="常规 9 2 4 2 4 2 2 3 2" xfId="10748" xr:uid="{00000000-0005-0000-0000-00000E8A0000}"/>
    <cellStyle name="常规 9 2 4 2 4 2 2 3 2 2" xfId="23036" xr:uid="{00000000-0005-0000-0000-00000F8A0000}"/>
    <cellStyle name="常规 9 2 4 2 4 2 2 3 2 2 2" xfId="47612" xr:uid="{00000000-0005-0000-0000-0000108A0000}"/>
    <cellStyle name="常规 9 2 4 2 4 2 2 3 2 3" xfId="35324" xr:uid="{00000000-0005-0000-0000-0000118A0000}"/>
    <cellStyle name="常规 9 2 4 2 4 2 2 3 3" xfId="16892" xr:uid="{00000000-0005-0000-0000-0000128A0000}"/>
    <cellStyle name="常规 9 2 4 2 4 2 2 3 3 2" xfId="41468" xr:uid="{00000000-0005-0000-0000-0000138A0000}"/>
    <cellStyle name="常规 9 2 4 2 4 2 2 3 4" xfId="29180" xr:uid="{00000000-0005-0000-0000-0000148A0000}"/>
    <cellStyle name="常规 9 2 4 2 4 2 2 4" xfId="7676" xr:uid="{00000000-0005-0000-0000-0000158A0000}"/>
    <cellStyle name="常规 9 2 4 2 4 2 2 4 2" xfId="19964" xr:uid="{00000000-0005-0000-0000-0000168A0000}"/>
    <cellStyle name="常规 9 2 4 2 4 2 2 4 2 2" xfId="44540" xr:uid="{00000000-0005-0000-0000-0000178A0000}"/>
    <cellStyle name="常规 9 2 4 2 4 2 2 4 3" xfId="32252" xr:uid="{00000000-0005-0000-0000-0000188A0000}"/>
    <cellStyle name="常规 9 2 4 2 4 2 2 5" xfId="13820" xr:uid="{00000000-0005-0000-0000-0000198A0000}"/>
    <cellStyle name="常规 9 2 4 2 4 2 2 5 2" xfId="38396" xr:uid="{00000000-0005-0000-0000-00001A8A0000}"/>
    <cellStyle name="常规 9 2 4 2 4 2 2 6" xfId="26108" xr:uid="{00000000-0005-0000-0000-00001B8A0000}"/>
    <cellStyle name="常规 9 2 4 2 4 2 3" xfId="2296" xr:uid="{00000000-0005-0000-0000-00001C8A0000}"/>
    <cellStyle name="常规 9 2 4 2 4 2 3 2" xfId="5372" xr:uid="{00000000-0005-0000-0000-00001D8A0000}"/>
    <cellStyle name="常规 9 2 4 2 4 2 3 2 2" xfId="11516" xr:uid="{00000000-0005-0000-0000-00001E8A0000}"/>
    <cellStyle name="常规 9 2 4 2 4 2 3 2 2 2" xfId="23804" xr:uid="{00000000-0005-0000-0000-00001F8A0000}"/>
    <cellStyle name="常规 9 2 4 2 4 2 3 2 2 2 2" xfId="48380" xr:uid="{00000000-0005-0000-0000-0000208A0000}"/>
    <cellStyle name="常规 9 2 4 2 4 2 3 2 2 3" xfId="36092" xr:uid="{00000000-0005-0000-0000-0000218A0000}"/>
    <cellStyle name="常规 9 2 4 2 4 2 3 2 3" xfId="17660" xr:uid="{00000000-0005-0000-0000-0000228A0000}"/>
    <cellStyle name="常规 9 2 4 2 4 2 3 2 3 2" xfId="42236" xr:uid="{00000000-0005-0000-0000-0000238A0000}"/>
    <cellStyle name="常规 9 2 4 2 4 2 3 2 4" xfId="29948" xr:uid="{00000000-0005-0000-0000-0000248A0000}"/>
    <cellStyle name="常规 9 2 4 2 4 2 3 3" xfId="8444" xr:uid="{00000000-0005-0000-0000-0000258A0000}"/>
    <cellStyle name="常规 9 2 4 2 4 2 3 3 2" xfId="20732" xr:uid="{00000000-0005-0000-0000-0000268A0000}"/>
    <cellStyle name="常规 9 2 4 2 4 2 3 3 2 2" xfId="45308" xr:uid="{00000000-0005-0000-0000-0000278A0000}"/>
    <cellStyle name="常规 9 2 4 2 4 2 3 3 3" xfId="33020" xr:uid="{00000000-0005-0000-0000-0000288A0000}"/>
    <cellStyle name="常规 9 2 4 2 4 2 3 4" xfId="14588" xr:uid="{00000000-0005-0000-0000-0000298A0000}"/>
    <cellStyle name="常规 9 2 4 2 4 2 3 4 2" xfId="39164" xr:uid="{00000000-0005-0000-0000-00002A8A0000}"/>
    <cellStyle name="常规 9 2 4 2 4 2 3 5" xfId="26876" xr:uid="{00000000-0005-0000-0000-00002B8A0000}"/>
    <cellStyle name="常规 9 2 4 2 4 2 4" xfId="3836" xr:uid="{00000000-0005-0000-0000-00002C8A0000}"/>
    <cellStyle name="常规 9 2 4 2 4 2 4 2" xfId="9980" xr:uid="{00000000-0005-0000-0000-00002D8A0000}"/>
    <cellStyle name="常规 9 2 4 2 4 2 4 2 2" xfId="22268" xr:uid="{00000000-0005-0000-0000-00002E8A0000}"/>
    <cellStyle name="常规 9 2 4 2 4 2 4 2 2 2" xfId="46844" xr:uid="{00000000-0005-0000-0000-00002F8A0000}"/>
    <cellStyle name="常规 9 2 4 2 4 2 4 2 3" xfId="34556" xr:uid="{00000000-0005-0000-0000-0000308A0000}"/>
    <cellStyle name="常规 9 2 4 2 4 2 4 3" xfId="16124" xr:uid="{00000000-0005-0000-0000-0000318A0000}"/>
    <cellStyle name="常规 9 2 4 2 4 2 4 3 2" xfId="40700" xr:uid="{00000000-0005-0000-0000-0000328A0000}"/>
    <cellStyle name="常规 9 2 4 2 4 2 4 4" xfId="28412" xr:uid="{00000000-0005-0000-0000-0000338A0000}"/>
    <cellStyle name="常规 9 2 4 2 4 2 5" xfId="6908" xr:uid="{00000000-0005-0000-0000-0000348A0000}"/>
    <cellStyle name="常规 9 2 4 2 4 2 5 2" xfId="19196" xr:uid="{00000000-0005-0000-0000-0000358A0000}"/>
    <cellStyle name="常规 9 2 4 2 4 2 5 2 2" xfId="43772" xr:uid="{00000000-0005-0000-0000-0000368A0000}"/>
    <cellStyle name="常规 9 2 4 2 4 2 5 3" xfId="31484" xr:uid="{00000000-0005-0000-0000-0000378A0000}"/>
    <cellStyle name="常规 9 2 4 2 4 2 6" xfId="13052" xr:uid="{00000000-0005-0000-0000-0000388A0000}"/>
    <cellStyle name="常规 9 2 4 2 4 2 6 2" xfId="37628" xr:uid="{00000000-0005-0000-0000-0000398A0000}"/>
    <cellStyle name="常规 9 2 4 2 4 2 7" xfId="25340" xr:uid="{00000000-0005-0000-0000-00003A8A0000}"/>
    <cellStyle name="常规 9 2 4 2 4 3" xfId="1144" xr:uid="{00000000-0005-0000-0000-00003B8A0000}"/>
    <cellStyle name="常规 9 2 4 2 4 3 2" xfId="2680" xr:uid="{00000000-0005-0000-0000-00003C8A0000}"/>
    <cellStyle name="常规 9 2 4 2 4 3 2 2" xfId="5756" xr:uid="{00000000-0005-0000-0000-00003D8A0000}"/>
    <cellStyle name="常规 9 2 4 2 4 3 2 2 2" xfId="11900" xr:uid="{00000000-0005-0000-0000-00003E8A0000}"/>
    <cellStyle name="常规 9 2 4 2 4 3 2 2 2 2" xfId="24188" xr:uid="{00000000-0005-0000-0000-00003F8A0000}"/>
    <cellStyle name="常规 9 2 4 2 4 3 2 2 2 2 2" xfId="48764" xr:uid="{00000000-0005-0000-0000-0000408A0000}"/>
    <cellStyle name="常规 9 2 4 2 4 3 2 2 2 3" xfId="36476" xr:uid="{00000000-0005-0000-0000-0000418A0000}"/>
    <cellStyle name="常规 9 2 4 2 4 3 2 2 3" xfId="18044" xr:uid="{00000000-0005-0000-0000-0000428A0000}"/>
    <cellStyle name="常规 9 2 4 2 4 3 2 2 3 2" xfId="42620" xr:uid="{00000000-0005-0000-0000-0000438A0000}"/>
    <cellStyle name="常规 9 2 4 2 4 3 2 2 4" xfId="30332" xr:uid="{00000000-0005-0000-0000-0000448A0000}"/>
    <cellStyle name="常规 9 2 4 2 4 3 2 3" xfId="8828" xr:uid="{00000000-0005-0000-0000-0000458A0000}"/>
    <cellStyle name="常规 9 2 4 2 4 3 2 3 2" xfId="21116" xr:uid="{00000000-0005-0000-0000-0000468A0000}"/>
    <cellStyle name="常规 9 2 4 2 4 3 2 3 2 2" xfId="45692" xr:uid="{00000000-0005-0000-0000-0000478A0000}"/>
    <cellStyle name="常规 9 2 4 2 4 3 2 3 3" xfId="33404" xr:uid="{00000000-0005-0000-0000-0000488A0000}"/>
    <cellStyle name="常规 9 2 4 2 4 3 2 4" xfId="14972" xr:uid="{00000000-0005-0000-0000-0000498A0000}"/>
    <cellStyle name="常规 9 2 4 2 4 3 2 4 2" xfId="39548" xr:uid="{00000000-0005-0000-0000-00004A8A0000}"/>
    <cellStyle name="常规 9 2 4 2 4 3 2 5" xfId="27260" xr:uid="{00000000-0005-0000-0000-00004B8A0000}"/>
    <cellStyle name="常规 9 2 4 2 4 3 3" xfId="4220" xr:uid="{00000000-0005-0000-0000-00004C8A0000}"/>
    <cellStyle name="常规 9 2 4 2 4 3 3 2" xfId="10364" xr:uid="{00000000-0005-0000-0000-00004D8A0000}"/>
    <cellStyle name="常规 9 2 4 2 4 3 3 2 2" xfId="22652" xr:uid="{00000000-0005-0000-0000-00004E8A0000}"/>
    <cellStyle name="常规 9 2 4 2 4 3 3 2 2 2" xfId="47228" xr:uid="{00000000-0005-0000-0000-00004F8A0000}"/>
    <cellStyle name="常规 9 2 4 2 4 3 3 2 3" xfId="34940" xr:uid="{00000000-0005-0000-0000-0000508A0000}"/>
    <cellStyle name="常规 9 2 4 2 4 3 3 3" xfId="16508" xr:uid="{00000000-0005-0000-0000-0000518A0000}"/>
    <cellStyle name="常规 9 2 4 2 4 3 3 3 2" xfId="41084" xr:uid="{00000000-0005-0000-0000-0000528A0000}"/>
    <cellStyle name="常规 9 2 4 2 4 3 3 4" xfId="28796" xr:uid="{00000000-0005-0000-0000-0000538A0000}"/>
    <cellStyle name="常规 9 2 4 2 4 3 4" xfId="7292" xr:uid="{00000000-0005-0000-0000-0000548A0000}"/>
    <cellStyle name="常规 9 2 4 2 4 3 4 2" xfId="19580" xr:uid="{00000000-0005-0000-0000-0000558A0000}"/>
    <cellStyle name="常规 9 2 4 2 4 3 4 2 2" xfId="44156" xr:uid="{00000000-0005-0000-0000-0000568A0000}"/>
    <cellStyle name="常规 9 2 4 2 4 3 4 3" xfId="31868" xr:uid="{00000000-0005-0000-0000-0000578A0000}"/>
    <cellStyle name="常规 9 2 4 2 4 3 5" xfId="13436" xr:uid="{00000000-0005-0000-0000-0000588A0000}"/>
    <cellStyle name="常规 9 2 4 2 4 3 5 2" xfId="38012" xr:uid="{00000000-0005-0000-0000-0000598A0000}"/>
    <cellStyle name="常规 9 2 4 2 4 3 6" xfId="25724" xr:uid="{00000000-0005-0000-0000-00005A8A0000}"/>
    <cellStyle name="常规 9 2 4 2 4 4" xfId="1912" xr:uid="{00000000-0005-0000-0000-00005B8A0000}"/>
    <cellStyle name="常规 9 2 4 2 4 4 2" xfId="4988" xr:uid="{00000000-0005-0000-0000-00005C8A0000}"/>
    <cellStyle name="常规 9 2 4 2 4 4 2 2" xfId="11132" xr:uid="{00000000-0005-0000-0000-00005D8A0000}"/>
    <cellStyle name="常规 9 2 4 2 4 4 2 2 2" xfId="23420" xr:uid="{00000000-0005-0000-0000-00005E8A0000}"/>
    <cellStyle name="常规 9 2 4 2 4 4 2 2 2 2" xfId="47996" xr:uid="{00000000-0005-0000-0000-00005F8A0000}"/>
    <cellStyle name="常规 9 2 4 2 4 4 2 2 3" xfId="35708" xr:uid="{00000000-0005-0000-0000-0000608A0000}"/>
    <cellStyle name="常规 9 2 4 2 4 4 2 3" xfId="17276" xr:uid="{00000000-0005-0000-0000-0000618A0000}"/>
    <cellStyle name="常规 9 2 4 2 4 4 2 3 2" xfId="41852" xr:uid="{00000000-0005-0000-0000-0000628A0000}"/>
    <cellStyle name="常规 9 2 4 2 4 4 2 4" xfId="29564" xr:uid="{00000000-0005-0000-0000-0000638A0000}"/>
    <cellStyle name="常规 9 2 4 2 4 4 3" xfId="8060" xr:uid="{00000000-0005-0000-0000-0000648A0000}"/>
    <cellStyle name="常规 9 2 4 2 4 4 3 2" xfId="20348" xr:uid="{00000000-0005-0000-0000-0000658A0000}"/>
    <cellStyle name="常规 9 2 4 2 4 4 3 2 2" xfId="44924" xr:uid="{00000000-0005-0000-0000-0000668A0000}"/>
    <cellStyle name="常规 9 2 4 2 4 4 3 3" xfId="32636" xr:uid="{00000000-0005-0000-0000-0000678A0000}"/>
    <cellStyle name="常规 9 2 4 2 4 4 4" xfId="14204" xr:uid="{00000000-0005-0000-0000-0000688A0000}"/>
    <cellStyle name="常规 9 2 4 2 4 4 4 2" xfId="38780" xr:uid="{00000000-0005-0000-0000-0000698A0000}"/>
    <cellStyle name="常规 9 2 4 2 4 4 5" xfId="26492" xr:uid="{00000000-0005-0000-0000-00006A8A0000}"/>
    <cellStyle name="常规 9 2 4 2 4 5" xfId="3452" xr:uid="{00000000-0005-0000-0000-00006B8A0000}"/>
    <cellStyle name="常规 9 2 4 2 4 5 2" xfId="9596" xr:uid="{00000000-0005-0000-0000-00006C8A0000}"/>
    <cellStyle name="常规 9 2 4 2 4 5 2 2" xfId="21884" xr:uid="{00000000-0005-0000-0000-00006D8A0000}"/>
    <cellStyle name="常规 9 2 4 2 4 5 2 2 2" xfId="46460" xr:uid="{00000000-0005-0000-0000-00006E8A0000}"/>
    <cellStyle name="常规 9 2 4 2 4 5 2 3" xfId="34172" xr:uid="{00000000-0005-0000-0000-00006F8A0000}"/>
    <cellStyle name="常规 9 2 4 2 4 5 3" xfId="15740" xr:uid="{00000000-0005-0000-0000-0000708A0000}"/>
    <cellStyle name="常规 9 2 4 2 4 5 3 2" xfId="40316" xr:uid="{00000000-0005-0000-0000-0000718A0000}"/>
    <cellStyle name="常规 9 2 4 2 4 5 4" xfId="28028" xr:uid="{00000000-0005-0000-0000-0000728A0000}"/>
    <cellStyle name="常规 9 2 4 2 4 6" xfId="6524" xr:uid="{00000000-0005-0000-0000-0000738A0000}"/>
    <cellStyle name="常规 9 2 4 2 4 6 2" xfId="18812" xr:uid="{00000000-0005-0000-0000-0000748A0000}"/>
    <cellStyle name="常规 9 2 4 2 4 6 2 2" xfId="43388" xr:uid="{00000000-0005-0000-0000-0000758A0000}"/>
    <cellStyle name="常规 9 2 4 2 4 6 3" xfId="31100" xr:uid="{00000000-0005-0000-0000-0000768A0000}"/>
    <cellStyle name="常规 9 2 4 2 4 7" xfId="12668" xr:uid="{00000000-0005-0000-0000-0000778A0000}"/>
    <cellStyle name="常规 9 2 4 2 4 7 2" xfId="37244" xr:uid="{00000000-0005-0000-0000-0000788A0000}"/>
    <cellStyle name="常规 9 2 4 2 4 8" xfId="24956" xr:uid="{00000000-0005-0000-0000-0000798A0000}"/>
    <cellStyle name="常规 9 2 4 2 5" xfId="568" xr:uid="{00000000-0005-0000-0000-00007A8A0000}"/>
    <cellStyle name="常规 9 2 4 2 5 2" xfId="1336" xr:uid="{00000000-0005-0000-0000-00007B8A0000}"/>
    <cellStyle name="常规 9 2 4 2 5 2 2" xfId="2872" xr:uid="{00000000-0005-0000-0000-00007C8A0000}"/>
    <cellStyle name="常规 9 2 4 2 5 2 2 2" xfId="5948" xr:uid="{00000000-0005-0000-0000-00007D8A0000}"/>
    <cellStyle name="常规 9 2 4 2 5 2 2 2 2" xfId="12092" xr:uid="{00000000-0005-0000-0000-00007E8A0000}"/>
    <cellStyle name="常规 9 2 4 2 5 2 2 2 2 2" xfId="24380" xr:uid="{00000000-0005-0000-0000-00007F8A0000}"/>
    <cellStyle name="常规 9 2 4 2 5 2 2 2 2 2 2" xfId="48956" xr:uid="{00000000-0005-0000-0000-0000808A0000}"/>
    <cellStyle name="常规 9 2 4 2 5 2 2 2 2 3" xfId="36668" xr:uid="{00000000-0005-0000-0000-0000818A0000}"/>
    <cellStyle name="常规 9 2 4 2 5 2 2 2 3" xfId="18236" xr:uid="{00000000-0005-0000-0000-0000828A0000}"/>
    <cellStyle name="常规 9 2 4 2 5 2 2 2 3 2" xfId="42812" xr:uid="{00000000-0005-0000-0000-0000838A0000}"/>
    <cellStyle name="常规 9 2 4 2 5 2 2 2 4" xfId="30524" xr:uid="{00000000-0005-0000-0000-0000848A0000}"/>
    <cellStyle name="常规 9 2 4 2 5 2 2 3" xfId="9020" xr:uid="{00000000-0005-0000-0000-0000858A0000}"/>
    <cellStyle name="常规 9 2 4 2 5 2 2 3 2" xfId="21308" xr:uid="{00000000-0005-0000-0000-0000868A0000}"/>
    <cellStyle name="常规 9 2 4 2 5 2 2 3 2 2" xfId="45884" xr:uid="{00000000-0005-0000-0000-0000878A0000}"/>
    <cellStyle name="常规 9 2 4 2 5 2 2 3 3" xfId="33596" xr:uid="{00000000-0005-0000-0000-0000888A0000}"/>
    <cellStyle name="常规 9 2 4 2 5 2 2 4" xfId="15164" xr:uid="{00000000-0005-0000-0000-0000898A0000}"/>
    <cellStyle name="常规 9 2 4 2 5 2 2 4 2" xfId="39740" xr:uid="{00000000-0005-0000-0000-00008A8A0000}"/>
    <cellStyle name="常规 9 2 4 2 5 2 2 5" xfId="27452" xr:uid="{00000000-0005-0000-0000-00008B8A0000}"/>
    <cellStyle name="常规 9 2 4 2 5 2 3" xfId="4412" xr:uid="{00000000-0005-0000-0000-00008C8A0000}"/>
    <cellStyle name="常规 9 2 4 2 5 2 3 2" xfId="10556" xr:uid="{00000000-0005-0000-0000-00008D8A0000}"/>
    <cellStyle name="常规 9 2 4 2 5 2 3 2 2" xfId="22844" xr:uid="{00000000-0005-0000-0000-00008E8A0000}"/>
    <cellStyle name="常规 9 2 4 2 5 2 3 2 2 2" xfId="47420" xr:uid="{00000000-0005-0000-0000-00008F8A0000}"/>
    <cellStyle name="常规 9 2 4 2 5 2 3 2 3" xfId="35132" xr:uid="{00000000-0005-0000-0000-0000908A0000}"/>
    <cellStyle name="常规 9 2 4 2 5 2 3 3" xfId="16700" xr:uid="{00000000-0005-0000-0000-0000918A0000}"/>
    <cellStyle name="常规 9 2 4 2 5 2 3 3 2" xfId="41276" xr:uid="{00000000-0005-0000-0000-0000928A0000}"/>
    <cellStyle name="常规 9 2 4 2 5 2 3 4" xfId="28988" xr:uid="{00000000-0005-0000-0000-0000938A0000}"/>
    <cellStyle name="常规 9 2 4 2 5 2 4" xfId="7484" xr:uid="{00000000-0005-0000-0000-0000948A0000}"/>
    <cellStyle name="常规 9 2 4 2 5 2 4 2" xfId="19772" xr:uid="{00000000-0005-0000-0000-0000958A0000}"/>
    <cellStyle name="常规 9 2 4 2 5 2 4 2 2" xfId="44348" xr:uid="{00000000-0005-0000-0000-0000968A0000}"/>
    <cellStyle name="常规 9 2 4 2 5 2 4 3" xfId="32060" xr:uid="{00000000-0005-0000-0000-0000978A0000}"/>
    <cellStyle name="常规 9 2 4 2 5 2 5" xfId="13628" xr:uid="{00000000-0005-0000-0000-0000988A0000}"/>
    <cellStyle name="常规 9 2 4 2 5 2 5 2" xfId="38204" xr:uid="{00000000-0005-0000-0000-0000998A0000}"/>
    <cellStyle name="常规 9 2 4 2 5 2 6" xfId="25916" xr:uid="{00000000-0005-0000-0000-00009A8A0000}"/>
    <cellStyle name="常规 9 2 4 2 5 3" xfId="2104" xr:uid="{00000000-0005-0000-0000-00009B8A0000}"/>
    <cellStyle name="常规 9 2 4 2 5 3 2" xfId="5180" xr:uid="{00000000-0005-0000-0000-00009C8A0000}"/>
    <cellStyle name="常规 9 2 4 2 5 3 2 2" xfId="11324" xr:uid="{00000000-0005-0000-0000-00009D8A0000}"/>
    <cellStyle name="常规 9 2 4 2 5 3 2 2 2" xfId="23612" xr:uid="{00000000-0005-0000-0000-00009E8A0000}"/>
    <cellStyle name="常规 9 2 4 2 5 3 2 2 2 2" xfId="48188" xr:uid="{00000000-0005-0000-0000-00009F8A0000}"/>
    <cellStyle name="常规 9 2 4 2 5 3 2 2 3" xfId="35900" xr:uid="{00000000-0005-0000-0000-0000A08A0000}"/>
    <cellStyle name="常规 9 2 4 2 5 3 2 3" xfId="17468" xr:uid="{00000000-0005-0000-0000-0000A18A0000}"/>
    <cellStyle name="常规 9 2 4 2 5 3 2 3 2" xfId="42044" xr:uid="{00000000-0005-0000-0000-0000A28A0000}"/>
    <cellStyle name="常规 9 2 4 2 5 3 2 4" xfId="29756" xr:uid="{00000000-0005-0000-0000-0000A38A0000}"/>
    <cellStyle name="常规 9 2 4 2 5 3 3" xfId="8252" xr:uid="{00000000-0005-0000-0000-0000A48A0000}"/>
    <cellStyle name="常规 9 2 4 2 5 3 3 2" xfId="20540" xr:uid="{00000000-0005-0000-0000-0000A58A0000}"/>
    <cellStyle name="常规 9 2 4 2 5 3 3 2 2" xfId="45116" xr:uid="{00000000-0005-0000-0000-0000A68A0000}"/>
    <cellStyle name="常规 9 2 4 2 5 3 3 3" xfId="32828" xr:uid="{00000000-0005-0000-0000-0000A78A0000}"/>
    <cellStyle name="常规 9 2 4 2 5 3 4" xfId="14396" xr:uid="{00000000-0005-0000-0000-0000A88A0000}"/>
    <cellStyle name="常规 9 2 4 2 5 3 4 2" xfId="38972" xr:uid="{00000000-0005-0000-0000-0000A98A0000}"/>
    <cellStyle name="常规 9 2 4 2 5 3 5" xfId="26684" xr:uid="{00000000-0005-0000-0000-0000AA8A0000}"/>
    <cellStyle name="常规 9 2 4 2 5 4" xfId="3644" xr:uid="{00000000-0005-0000-0000-0000AB8A0000}"/>
    <cellStyle name="常规 9 2 4 2 5 4 2" xfId="9788" xr:uid="{00000000-0005-0000-0000-0000AC8A0000}"/>
    <cellStyle name="常规 9 2 4 2 5 4 2 2" xfId="22076" xr:uid="{00000000-0005-0000-0000-0000AD8A0000}"/>
    <cellStyle name="常规 9 2 4 2 5 4 2 2 2" xfId="46652" xr:uid="{00000000-0005-0000-0000-0000AE8A0000}"/>
    <cellStyle name="常规 9 2 4 2 5 4 2 3" xfId="34364" xr:uid="{00000000-0005-0000-0000-0000AF8A0000}"/>
    <cellStyle name="常规 9 2 4 2 5 4 3" xfId="15932" xr:uid="{00000000-0005-0000-0000-0000B08A0000}"/>
    <cellStyle name="常规 9 2 4 2 5 4 3 2" xfId="40508" xr:uid="{00000000-0005-0000-0000-0000B18A0000}"/>
    <cellStyle name="常规 9 2 4 2 5 4 4" xfId="28220" xr:uid="{00000000-0005-0000-0000-0000B28A0000}"/>
    <cellStyle name="常规 9 2 4 2 5 5" xfId="6716" xr:uid="{00000000-0005-0000-0000-0000B38A0000}"/>
    <cellStyle name="常规 9 2 4 2 5 5 2" xfId="19004" xr:uid="{00000000-0005-0000-0000-0000B48A0000}"/>
    <cellStyle name="常规 9 2 4 2 5 5 2 2" xfId="43580" xr:uid="{00000000-0005-0000-0000-0000B58A0000}"/>
    <cellStyle name="常规 9 2 4 2 5 5 3" xfId="31292" xr:uid="{00000000-0005-0000-0000-0000B68A0000}"/>
    <cellStyle name="常规 9 2 4 2 5 6" xfId="12860" xr:uid="{00000000-0005-0000-0000-0000B78A0000}"/>
    <cellStyle name="常规 9 2 4 2 5 6 2" xfId="37436" xr:uid="{00000000-0005-0000-0000-0000B88A0000}"/>
    <cellStyle name="常规 9 2 4 2 5 7" xfId="25148" xr:uid="{00000000-0005-0000-0000-0000B98A0000}"/>
    <cellStyle name="常规 9 2 4 2 6" xfId="952" xr:uid="{00000000-0005-0000-0000-0000BA8A0000}"/>
    <cellStyle name="常规 9 2 4 2 6 2" xfId="2488" xr:uid="{00000000-0005-0000-0000-0000BB8A0000}"/>
    <cellStyle name="常规 9 2 4 2 6 2 2" xfId="5564" xr:uid="{00000000-0005-0000-0000-0000BC8A0000}"/>
    <cellStyle name="常规 9 2 4 2 6 2 2 2" xfId="11708" xr:uid="{00000000-0005-0000-0000-0000BD8A0000}"/>
    <cellStyle name="常规 9 2 4 2 6 2 2 2 2" xfId="23996" xr:uid="{00000000-0005-0000-0000-0000BE8A0000}"/>
    <cellStyle name="常规 9 2 4 2 6 2 2 2 2 2" xfId="48572" xr:uid="{00000000-0005-0000-0000-0000BF8A0000}"/>
    <cellStyle name="常规 9 2 4 2 6 2 2 2 3" xfId="36284" xr:uid="{00000000-0005-0000-0000-0000C08A0000}"/>
    <cellStyle name="常规 9 2 4 2 6 2 2 3" xfId="17852" xr:uid="{00000000-0005-0000-0000-0000C18A0000}"/>
    <cellStyle name="常规 9 2 4 2 6 2 2 3 2" xfId="42428" xr:uid="{00000000-0005-0000-0000-0000C28A0000}"/>
    <cellStyle name="常规 9 2 4 2 6 2 2 4" xfId="30140" xr:uid="{00000000-0005-0000-0000-0000C38A0000}"/>
    <cellStyle name="常规 9 2 4 2 6 2 3" xfId="8636" xr:uid="{00000000-0005-0000-0000-0000C48A0000}"/>
    <cellStyle name="常规 9 2 4 2 6 2 3 2" xfId="20924" xr:uid="{00000000-0005-0000-0000-0000C58A0000}"/>
    <cellStyle name="常规 9 2 4 2 6 2 3 2 2" xfId="45500" xr:uid="{00000000-0005-0000-0000-0000C68A0000}"/>
    <cellStyle name="常规 9 2 4 2 6 2 3 3" xfId="33212" xr:uid="{00000000-0005-0000-0000-0000C78A0000}"/>
    <cellStyle name="常规 9 2 4 2 6 2 4" xfId="14780" xr:uid="{00000000-0005-0000-0000-0000C88A0000}"/>
    <cellStyle name="常规 9 2 4 2 6 2 4 2" xfId="39356" xr:uid="{00000000-0005-0000-0000-0000C98A0000}"/>
    <cellStyle name="常规 9 2 4 2 6 2 5" xfId="27068" xr:uid="{00000000-0005-0000-0000-0000CA8A0000}"/>
    <cellStyle name="常规 9 2 4 2 6 3" xfId="4028" xr:uid="{00000000-0005-0000-0000-0000CB8A0000}"/>
    <cellStyle name="常规 9 2 4 2 6 3 2" xfId="10172" xr:uid="{00000000-0005-0000-0000-0000CC8A0000}"/>
    <cellStyle name="常规 9 2 4 2 6 3 2 2" xfId="22460" xr:uid="{00000000-0005-0000-0000-0000CD8A0000}"/>
    <cellStyle name="常规 9 2 4 2 6 3 2 2 2" xfId="47036" xr:uid="{00000000-0005-0000-0000-0000CE8A0000}"/>
    <cellStyle name="常规 9 2 4 2 6 3 2 3" xfId="34748" xr:uid="{00000000-0005-0000-0000-0000CF8A0000}"/>
    <cellStyle name="常规 9 2 4 2 6 3 3" xfId="16316" xr:uid="{00000000-0005-0000-0000-0000D08A0000}"/>
    <cellStyle name="常规 9 2 4 2 6 3 3 2" xfId="40892" xr:uid="{00000000-0005-0000-0000-0000D18A0000}"/>
    <cellStyle name="常规 9 2 4 2 6 3 4" xfId="28604" xr:uid="{00000000-0005-0000-0000-0000D28A0000}"/>
    <cellStyle name="常规 9 2 4 2 6 4" xfId="7100" xr:uid="{00000000-0005-0000-0000-0000D38A0000}"/>
    <cellStyle name="常规 9 2 4 2 6 4 2" xfId="19388" xr:uid="{00000000-0005-0000-0000-0000D48A0000}"/>
    <cellStyle name="常规 9 2 4 2 6 4 2 2" xfId="43964" xr:uid="{00000000-0005-0000-0000-0000D58A0000}"/>
    <cellStyle name="常规 9 2 4 2 6 4 3" xfId="31676" xr:uid="{00000000-0005-0000-0000-0000D68A0000}"/>
    <cellStyle name="常规 9 2 4 2 6 5" xfId="13244" xr:uid="{00000000-0005-0000-0000-0000D78A0000}"/>
    <cellStyle name="常规 9 2 4 2 6 5 2" xfId="37820" xr:uid="{00000000-0005-0000-0000-0000D88A0000}"/>
    <cellStyle name="常规 9 2 4 2 6 6" xfId="25532" xr:uid="{00000000-0005-0000-0000-0000D98A0000}"/>
    <cellStyle name="常规 9 2 4 2 7" xfId="1720" xr:uid="{00000000-0005-0000-0000-0000DA8A0000}"/>
    <cellStyle name="常规 9 2 4 2 7 2" xfId="4796" xr:uid="{00000000-0005-0000-0000-0000DB8A0000}"/>
    <cellStyle name="常规 9 2 4 2 7 2 2" xfId="10940" xr:uid="{00000000-0005-0000-0000-0000DC8A0000}"/>
    <cellStyle name="常规 9 2 4 2 7 2 2 2" xfId="23228" xr:uid="{00000000-0005-0000-0000-0000DD8A0000}"/>
    <cellStyle name="常规 9 2 4 2 7 2 2 2 2" xfId="47804" xr:uid="{00000000-0005-0000-0000-0000DE8A0000}"/>
    <cellStyle name="常规 9 2 4 2 7 2 2 3" xfId="35516" xr:uid="{00000000-0005-0000-0000-0000DF8A0000}"/>
    <cellStyle name="常规 9 2 4 2 7 2 3" xfId="17084" xr:uid="{00000000-0005-0000-0000-0000E08A0000}"/>
    <cellStyle name="常规 9 2 4 2 7 2 3 2" xfId="41660" xr:uid="{00000000-0005-0000-0000-0000E18A0000}"/>
    <cellStyle name="常规 9 2 4 2 7 2 4" xfId="29372" xr:uid="{00000000-0005-0000-0000-0000E28A0000}"/>
    <cellStyle name="常规 9 2 4 2 7 3" xfId="7868" xr:uid="{00000000-0005-0000-0000-0000E38A0000}"/>
    <cellStyle name="常规 9 2 4 2 7 3 2" xfId="20156" xr:uid="{00000000-0005-0000-0000-0000E48A0000}"/>
    <cellStyle name="常规 9 2 4 2 7 3 2 2" xfId="44732" xr:uid="{00000000-0005-0000-0000-0000E58A0000}"/>
    <cellStyle name="常规 9 2 4 2 7 3 3" xfId="32444" xr:uid="{00000000-0005-0000-0000-0000E68A0000}"/>
    <cellStyle name="常规 9 2 4 2 7 4" xfId="14012" xr:uid="{00000000-0005-0000-0000-0000E78A0000}"/>
    <cellStyle name="常规 9 2 4 2 7 4 2" xfId="38588" xr:uid="{00000000-0005-0000-0000-0000E88A0000}"/>
    <cellStyle name="常规 9 2 4 2 7 5" xfId="26300" xr:uid="{00000000-0005-0000-0000-0000E98A0000}"/>
    <cellStyle name="常规 9 2 4 2 8" xfId="3260" xr:uid="{00000000-0005-0000-0000-0000EA8A0000}"/>
    <cellStyle name="常规 9 2 4 2 8 2" xfId="9404" xr:uid="{00000000-0005-0000-0000-0000EB8A0000}"/>
    <cellStyle name="常规 9 2 4 2 8 2 2" xfId="21692" xr:uid="{00000000-0005-0000-0000-0000EC8A0000}"/>
    <cellStyle name="常规 9 2 4 2 8 2 2 2" xfId="46268" xr:uid="{00000000-0005-0000-0000-0000ED8A0000}"/>
    <cellStyle name="常规 9 2 4 2 8 2 3" xfId="33980" xr:uid="{00000000-0005-0000-0000-0000EE8A0000}"/>
    <cellStyle name="常规 9 2 4 2 8 3" xfId="15548" xr:uid="{00000000-0005-0000-0000-0000EF8A0000}"/>
    <cellStyle name="常规 9 2 4 2 8 3 2" xfId="40124" xr:uid="{00000000-0005-0000-0000-0000F08A0000}"/>
    <cellStyle name="常规 9 2 4 2 8 4" xfId="27836" xr:uid="{00000000-0005-0000-0000-0000F18A0000}"/>
    <cellStyle name="常规 9 2 4 2 9" xfId="6332" xr:uid="{00000000-0005-0000-0000-0000F28A0000}"/>
    <cellStyle name="常规 9 2 4 2 9 2" xfId="18620" xr:uid="{00000000-0005-0000-0000-0000F38A0000}"/>
    <cellStyle name="常规 9 2 4 2 9 2 2" xfId="43196" xr:uid="{00000000-0005-0000-0000-0000F48A0000}"/>
    <cellStyle name="常规 9 2 4 2 9 3" xfId="30908" xr:uid="{00000000-0005-0000-0000-0000F58A0000}"/>
    <cellStyle name="常规 9 2 4 3" xfId="216" xr:uid="{00000000-0005-0000-0000-0000F68A0000}"/>
    <cellStyle name="常规 9 2 4 3 2" xfId="408" xr:uid="{00000000-0005-0000-0000-0000F78A0000}"/>
    <cellStyle name="常规 9 2 4 3 2 2" xfId="792" xr:uid="{00000000-0005-0000-0000-0000F88A0000}"/>
    <cellStyle name="常规 9 2 4 3 2 2 2" xfId="1560" xr:uid="{00000000-0005-0000-0000-0000F98A0000}"/>
    <cellStyle name="常规 9 2 4 3 2 2 2 2" xfId="3096" xr:uid="{00000000-0005-0000-0000-0000FA8A0000}"/>
    <cellStyle name="常规 9 2 4 3 2 2 2 2 2" xfId="6172" xr:uid="{00000000-0005-0000-0000-0000FB8A0000}"/>
    <cellStyle name="常规 9 2 4 3 2 2 2 2 2 2" xfId="12316" xr:uid="{00000000-0005-0000-0000-0000FC8A0000}"/>
    <cellStyle name="常规 9 2 4 3 2 2 2 2 2 2 2" xfId="24604" xr:uid="{00000000-0005-0000-0000-0000FD8A0000}"/>
    <cellStyle name="常规 9 2 4 3 2 2 2 2 2 2 2 2" xfId="49180" xr:uid="{00000000-0005-0000-0000-0000FE8A0000}"/>
    <cellStyle name="常规 9 2 4 3 2 2 2 2 2 2 3" xfId="36892" xr:uid="{00000000-0005-0000-0000-0000FF8A0000}"/>
    <cellStyle name="常规 9 2 4 3 2 2 2 2 2 3" xfId="18460" xr:uid="{00000000-0005-0000-0000-0000008B0000}"/>
    <cellStyle name="常规 9 2 4 3 2 2 2 2 2 3 2" xfId="43036" xr:uid="{00000000-0005-0000-0000-0000018B0000}"/>
    <cellStyle name="常规 9 2 4 3 2 2 2 2 2 4" xfId="30748" xr:uid="{00000000-0005-0000-0000-0000028B0000}"/>
    <cellStyle name="常规 9 2 4 3 2 2 2 2 3" xfId="9244" xr:uid="{00000000-0005-0000-0000-0000038B0000}"/>
    <cellStyle name="常规 9 2 4 3 2 2 2 2 3 2" xfId="21532" xr:uid="{00000000-0005-0000-0000-0000048B0000}"/>
    <cellStyle name="常规 9 2 4 3 2 2 2 2 3 2 2" xfId="46108" xr:uid="{00000000-0005-0000-0000-0000058B0000}"/>
    <cellStyle name="常规 9 2 4 3 2 2 2 2 3 3" xfId="33820" xr:uid="{00000000-0005-0000-0000-0000068B0000}"/>
    <cellStyle name="常规 9 2 4 3 2 2 2 2 4" xfId="15388" xr:uid="{00000000-0005-0000-0000-0000078B0000}"/>
    <cellStyle name="常规 9 2 4 3 2 2 2 2 4 2" xfId="39964" xr:uid="{00000000-0005-0000-0000-0000088B0000}"/>
    <cellStyle name="常规 9 2 4 3 2 2 2 2 5" xfId="27676" xr:uid="{00000000-0005-0000-0000-0000098B0000}"/>
    <cellStyle name="常规 9 2 4 3 2 2 2 3" xfId="4636" xr:uid="{00000000-0005-0000-0000-00000A8B0000}"/>
    <cellStyle name="常规 9 2 4 3 2 2 2 3 2" xfId="10780" xr:uid="{00000000-0005-0000-0000-00000B8B0000}"/>
    <cellStyle name="常规 9 2 4 3 2 2 2 3 2 2" xfId="23068" xr:uid="{00000000-0005-0000-0000-00000C8B0000}"/>
    <cellStyle name="常规 9 2 4 3 2 2 2 3 2 2 2" xfId="47644" xr:uid="{00000000-0005-0000-0000-00000D8B0000}"/>
    <cellStyle name="常规 9 2 4 3 2 2 2 3 2 3" xfId="35356" xr:uid="{00000000-0005-0000-0000-00000E8B0000}"/>
    <cellStyle name="常规 9 2 4 3 2 2 2 3 3" xfId="16924" xr:uid="{00000000-0005-0000-0000-00000F8B0000}"/>
    <cellStyle name="常规 9 2 4 3 2 2 2 3 3 2" xfId="41500" xr:uid="{00000000-0005-0000-0000-0000108B0000}"/>
    <cellStyle name="常规 9 2 4 3 2 2 2 3 4" xfId="29212" xr:uid="{00000000-0005-0000-0000-0000118B0000}"/>
    <cellStyle name="常规 9 2 4 3 2 2 2 4" xfId="7708" xr:uid="{00000000-0005-0000-0000-0000128B0000}"/>
    <cellStyle name="常规 9 2 4 3 2 2 2 4 2" xfId="19996" xr:uid="{00000000-0005-0000-0000-0000138B0000}"/>
    <cellStyle name="常规 9 2 4 3 2 2 2 4 2 2" xfId="44572" xr:uid="{00000000-0005-0000-0000-0000148B0000}"/>
    <cellStyle name="常规 9 2 4 3 2 2 2 4 3" xfId="32284" xr:uid="{00000000-0005-0000-0000-0000158B0000}"/>
    <cellStyle name="常规 9 2 4 3 2 2 2 5" xfId="13852" xr:uid="{00000000-0005-0000-0000-0000168B0000}"/>
    <cellStyle name="常规 9 2 4 3 2 2 2 5 2" xfId="38428" xr:uid="{00000000-0005-0000-0000-0000178B0000}"/>
    <cellStyle name="常规 9 2 4 3 2 2 2 6" xfId="26140" xr:uid="{00000000-0005-0000-0000-0000188B0000}"/>
    <cellStyle name="常规 9 2 4 3 2 2 3" xfId="2328" xr:uid="{00000000-0005-0000-0000-0000198B0000}"/>
    <cellStyle name="常规 9 2 4 3 2 2 3 2" xfId="5404" xr:uid="{00000000-0005-0000-0000-00001A8B0000}"/>
    <cellStyle name="常规 9 2 4 3 2 2 3 2 2" xfId="11548" xr:uid="{00000000-0005-0000-0000-00001B8B0000}"/>
    <cellStyle name="常规 9 2 4 3 2 2 3 2 2 2" xfId="23836" xr:uid="{00000000-0005-0000-0000-00001C8B0000}"/>
    <cellStyle name="常规 9 2 4 3 2 2 3 2 2 2 2" xfId="48412" xr:uid="{00000000-0005-0000-0000-00001D8B0000}"/>
    <cellStyle name="常规 9 2 4 3 2 2 3 2 2 3" xfId="36124" xr:uid="{00000000-0005-0000-0000-00001E8B0000}"/>
    <cellStyle name="常规 9 2 4 3 2 2 3 2 3" xfId="17692" xr:uid="{00000000-0005-0000-0000-00001F8B0000}"/>
    <cellStyle name="常规 9 2 4 3 2 2 3 2 3 2" xfId="42268" xr:uid="{00000000-0005-0000-0000-0000208B0000}"/>
    <cellStyle name="常规 9 2 4 3 2 2 3 2 4" xfId="29980" xr:uid="{00000000-0005-0000-0000-0000218B0000}"/>
    <cellStyle name="常规 9 2 4 3 2 2 3 3" xfId="8476" xr:uid="{00000000-0005-0000-0000-0000228B0000}"/>
    <cellStyle name="常规 9 2 4 3 2 2 3 3 2" xfId="20764" xr:uid="{00000000-0005-0000-0000-0000238B0000}"/>
    <cellStyle name="常规 9 2 4 3 2 2 3 3 2 2" xfId="45340" xr:uid="{00000000-0005-0000-0000-0000248B0000}"/>
    <cellStyle name="常规 9 2 4 3 2 2 3 3 3" xfId="33052" xr:uid="{00000000-0005-0000-0000-0000258B0000}"/>
    <cellStyle name="常规 9 2 4 3 2 2 3 4" xfId="14620" xr:uid="{00000000-0005-0000-0000-0000268B0000}"/>
    <cellStyle name="常规 9 2 4 3 2 2 3 4 2" xfId="39196" xr:uid="{00000000-0005-0000-0000-0000278B0000}"/>
    <cellStyle name="常规 9 2 4 3 2 2 3 5" xfId="26908" xr:uid="{00000000-0005-0000-0000-0000288B0000}"/>
    <cellStyle name="常规 9 2 4 3 2 2 4" xfId="3868" xr:uid="{00000000-0005-0000-0000-0000298B0000}"/>
    <cellStyle name="常规 9 2 4 3 2 2 4 2" xfId="10012" xr:uid="{00000000-0005-0000-0000-00002A8B0000}"/>
    <cellStyle name="常规 9 2 4 3 2 2 4 2 2" xfId="22300" xr:uid="{00000000-0005-0000-0000-00002B8B0000}"/>
    <cellStyle name="常规 9 2 4 3 2 2 4 2 2 2" xfId="46876" xr:uid="{00000000-0005-0000-0000-00002C8B0000}"/>
    <cellStyle name="常规 9 2 4 3 2 2 4 2 3" xfId="34588" xr:uid="{00000000-0005-0000-0000-00002D8B0000}"/>
    <cellStyle name="常规 9 2 4 3 2 2 4 3" xfId="16156" xr:uid="{00000000-0005-0000-0000-00002E8B0000}"/>
    <cellStyle name="常规 9 2 4 3 2 2 4 3 2" xfId="40732" xr:uid="{00000000-0005-0000-0000-00002F8B0000}"/>
    <cellStyle name="常规 9 2 4 3 2 2 4 4" xfId="28444" xr:uid="{00000000-0005-0000-0000-0000308B0000}"/>
    <cellStyle name="常规 9 2 4 3 2 2 5" xfId="6940" xr:uid="{00000000-0005-0000-0000-0000318B0000}"/>
    <cellStyle name="常规 9 2 4 3 2 2 5 2" xfId="19228" xr:uid="{00000000-0005-0000-0000-0000328B0000}"/>
    <cellStyle name="常规 9 2 4 3 2 2 5 2 2" xfId="43804" xr:uid="{00000000-0005-0000-0000-0000338B0000}"/>
    <cellStyle name="常规 9 2 4 3 2 2 5 3" xfId="31516" xr:uid="{00000000-0005-0000-0000-0000348B0000}"/>
    <cellStyle name="常规 9 2 4 3 2 2 6" xfId="13084" xr:uid="{00000000-0005-0000-0000-0000358B0000}"/>
    <cellStyle name="常规 9 2 4 3 2 2 6 2" xfId="37660" xr:uid="{00000000-0005-0000-0000-0000368B0000}"/>
    <cellStyle name="常规 9 2 4 3 2 2 7" xfId="25372" xr:uid="{00000000-0005-0000-0000-0000378B0000}"/>
    <cellStyle name="常规 9 2 4 3 2 3" xfId="1176" xr:uid="{00000000-0005-0000-0000-0000388B0000}"/>
    <cellStyle name="常规 9 2 4 3 2 3 2" xfId="2712" xr:uid="{00000000-0005-0000-0000-0000398B0000}"/>
    <cellStyle name="常规 9 2 4 3 2 3 2 2" xfId="5788" xr:uid="{00000000-0005-0000-0000-00003A8B0000}"/>
    <cellStyle name="常规 9 2 4 3 2 3 2 2 2" xfId="11932" xr:uid="{00000000-0005-0000-0000-00003B8B0000}"/>
    <cellStyle name="常规 9 2 4 3 2 3 2 2 2 2" xfId="24220" xr:uid="{00000000-0005-0000-0000-00003C8B0000}"/>
    <cellStyle name="常规 9 2 4 3 2 3 2 2 2 2 2" xfId="48796" xr:uid="{00000000-0005-0000-0000-00003D8B0000}"/>
    <cellStyle name="常规 9 2 4 3 2 3 2 2 2 3" xfId="36508" xr:uid="{00000000-0005-0000-0000-00003E8B0000}"/>
    <cellStyle name="常规 9 2 4 3 2 3 2 2 3" xfId="18076" xr:uid="{00000000-0005-0000-0000-00003F8B0000}"/>
    <cellStyle name="常规 9 2 4 3 2 3 2 2 3 2" xfId="42652" xr:uid="{00000000-0005-0000-0000-0000408B0000}"/>
    <cellStyle name="常规 9 2 4 3 2 3 2 2 4" xfId="30364" xr:uid="{00000000-0005-0000-0000-0000418B0000}"/>
    <cellStyle name="常规 9 2 4 3 2 3 2 3" xfId="8860" xr:uid="{00000000-0005-0000-0000-0000428B0000}"/>
    <cellStyle name="常规 9 2 4 3 2 3 2 3 2" xfId="21148" xr:uid="{00000000-0005-0000-0000-0000438B0000}"/>
    <cellStyle name="常规 9 2 4 3 2 3 2 3 2 2" xfId="45724" xr:uid="{00000000-0005-0000-0000-0000448B0000}"/>
    <cellStyle name="常规 9 2 4 3 2 3 2 3 3" xfId="33436" xr:uid="{00000000-0005-0000-0000-0000458B0000}"/>
    <cellStyle name="常规 9 2 4 3 2 3 2 4" xfId="15004" xr:uid="{00000000-0005-0000-0000-0000468B0000}"/>
    <cellStyle name="常规 9 2 4 3 2 3 2 4 2" xfId="39580" xr:uid="{00000000-0005-0000-0000-0000478B0000}"/>
    <cellStyle name="常规 9 2 4 3 2 3 2 5" xfId="27292" xr:uid="{00000000-0005-0000-0000-0000488B0000}"/>
    <cellStyle name="常规 9 2 4 3 2 3 3" xfId="4252" xr:uid="{00000000-0005-0000-0000-0000498B0000}"/>
    <cellStyle name="常规 9 2 4 3 2 3 3 2" xfId="10396" xr:uid="{00000000-0005-0000-0000-00004A8B0000}"/>
    <cellStyle name="常规 9 2 4 3 2 3 3 2 2" xfId="22684" xr:uid="{00000000-0005-0000-0000-00004B8B0000}"/>
    <cellStyle name="常规 9 2 4 3 2 3 3 2 2 2" xfId="47260" xr:uid="{00000000-0005-0000-0000-00004C8B0000}"/>
    <cellStyle name="常规 9 2 4 3 2 3 3 2 3" xfId="34972" xr:uid="{00000000-0005-0000-0000-00004D8B0000}"/>
    <cellStyle name="常规 9 2 4 3 2 3 3 3" xfId="16540" xr:uid="{00000000-0005-0000-0000-00004E8B0000}"/>
    <cellStyle name="常规 9 2 4 3 2 3 3 3 2" xfId="41116" xr:uid="{00000000-0005-0000-0000-00004F8B0000}"/>
    <cellStyle name="常规 9 2 4 3 2 3 3 4" xfId="28828" xr:uid="{00000000-0005-0000-0000-0000508B0000}"/>
    <cellStyle name="常规 9 2 4 3 2 3 4" xfId="7324" xr:uid="{00000000-0005-0000-0000-0000518B0000}"/>
    <cellStyle name="常规 9 2 4 3 2 3 4 2" xfId="19612" xr:uid="{00000000-0005-0000-0000-0000528B0000}"/>
    <cellStyle name="常规 9 2 4 3 2 3 4 2 2" xfId="44188" xr:uid="{00000000-0005-0000-0000-0000538B0000}"/>
    <cellStyle name="常规 9 2 4 3 2 3 4 3" xfId="31900" xr:uid="{00000000-0005-0000-0000-0000548B0000}"/>
    <cellStyle name="常规 9 2 4 3 2 3 5" xfId="13468" xr:uid="{00000000-0005-0000-0000-0000558B0000}"/>
    <cellStyle name="常规 9 2 4 3 2 3 5 2" xfId="38044" xr:uid="{00000000-0005-0000-0000-0000568B0000}"/>
    <cellStyle name="常规 9 2 4 3 2 3 6" xfId="25756" xr:uid="{00000000-0005-0000-0000-0000578B0000}"/>
    <cellStyle name="常规 9 2 4 3 2 4" xfId="1944" xr:uid="{00000000-0005-0000-0000-0000588B0000}"/>
    <cellStyle name="常规 9 2 4 3 2 4 2" xfId="5020" xr:uid="{00000000-0005-0000-0000-0000598B0000}"/>
    <cellStyle name="常规 9 2 4 3 2 4 2 2" xfId="11164" xr:uid="{00000000-0005-0000-0000-00005A8B0000}"/>
    <cellStyle name="常规 9 2 4 3 2 4 2 2 2" xfId="23452" xr:uid="{00000000-0005-0000-0000-00005B8B0000}"/>
    <cellStyle name="常规 9 2 4 3 2 4 2 2 2 2" xfId="48028" xr:uid="{00000000-0005-0000-0000-00005C8B0000}"/>
    <cellStyle name="常规 9 2 4 3 2 4 2 2 3" xfId="35740" xr:uid="{00000000-0005-0000-0000-00005D8B0000}"/>
    <cellStyle name="常规 9 2 4 3 2 4 2 3" xfId="17308" xr:uid="{00000000-0005-0000-0000-00005E8B0000}"/>
    <cellStyle name="常规 9 2 4 3 2 4 2 3 2" xfId="41884" xr:uid="{00000000-0005-0000-0000-00005F8B0000}"/>
    <cellStyle name="常规 9 2 4 3 2 4 2 4" xfId="29596" xr:uid="{00000000-0005-0000-0000-0000608B0000}"/>
    <cellStyle name="常规 9 2 4 3 2 4 3" xfId="8092" xr:uid="{00000000-0005-0000-0000-0000618B0000}"/>
    <cellStyle name="常规 9 2 4 3 2 4 3 2" xfId="20380" xr:uid="{00000000-0005-0000-0000-0000628B0000}"/>
    <cellStyle name="常规 9 2 4 3 2 4 3 2 2" xfId="44956" xr:uid="{00000000-0005-0000-0000-0000638B0000}"/>
    <cellStyle name="常规 9 2 4 3 2 4 3 3" xfId="32668" xr:uid="{00000000-0005-0000-0000-0000648B0000}"/>
    <cellStyle name="常规 9 2 4 3 2 4 4" xfId="14236" xr:uid="{00000000-0005-0000-0000-0000658B0000}"/>
    <cellStyle name="常规 9 2 4 3 2 4 4 2" xfId="38812" xr:uid="{00000000-0005-0000-0000-0000668B0000}"/>
    <cellStyle name="常规 9 2 4 3 2 4 5" xfId="26524" xr:uid="{00000000-0005-0000-0000-0000678B0000}"/>
    <cellStyle name="常规 9 2 4 3 2 5" xfId="3484" xr:uid="{00000000-0005-0000-0000-0000688B0000}"/>
    <cellStyle name="常规 9 2 4 3 2 5 2" xfId="9628" xr:uid="{00000000-0005-0000-0000-0000698B0000}"/>
    <cellStyle name="常规 9 2 4 3 2 5 2 2" xfId="21916" xr:uid="{00000000-0005-0000-0000-00006A8B0000}"/>
    <cellStyle name="常规 9 2 4 3 2 5 2 2 2" xfId="46492" xr:uid="{00000000-0005-0000-0000-00006B8B0000}"/>
    <cellStyle name="常规 9 2 4 3 2 5 2 3" xfId="34204" xr:uid="{00000000-0005-0000-0000-00006C8B0000}"/>
    <cellStyle name="常规 9 2 4 3 2 5 3" xfId="15772" xr:uid="{00000000-0005-0000-0000-00006D8B0000}"/>
    <cellStyle name="常规 9 2 4 3 2 5 3 2" xfId="40348" xr:uid="{00000000-0005-0000-0000-00006E8B0000}"/>
    <cellStyle name="常规 9 2 4 3 2 5 4" xfId="28060" xr:uid="{00000000-0005-0000-0000-00006F8B0000}"/>
    <cellStyle name="常规 9 2 4 3 2 6" xfId="6556" xr:uid="{00000000-0005-0000-0000-0000708B0000}"/>
    <cellStyle name="常规 9 2 4 3 2 6 2" xfId="18844" xr:uid="{00000000-0005-0000-0000-0000718B0000}"/>
    <cellStyle name="常规 9 2 4 3 2 6 2 2" xfId="43420" xr:uid="{00000000-0005-0000-0000-0000728B0000}"/>
    <cellStyle name="常规 9 2 4 3 2 6 3" xfId="31132" xr:uid="{00000000-0005-0000-0000-0000738B0000}"/>
    <cellStyle name="常规 9 2 4 3 2 7" xfId="12700" xr:uid="{00000000-0005-0000-0000-0000748B0000}"/>
    <cellStyle name="常规 9 2 4 3 2 7 2" xfId="37276" xr:uid="{00000000-0005-0000-0000-0000758B0000}"/>
    <cellStyle name="常规 9 2 4 3 2 8" xfId="24988" xr:uid="{00000000-0005-0000-0000-0000768B0000}"/>
    <cellStyle name="常规 9 2 4 3 3" xfId="600" xr:uid="{00000000-0005-0000-0000-0000778B0000}"/>
    <cellStyle name="常规 9 2 4 3 3 2" xfId="1368" xr:uid="{00000000-0005-0000-0000-0000788B0000}"/>
    <cellStyle name="常规 9 2 4 3 3 2 2" xfId="2904" xr:uid="{00000000-0005-0000-0000-0000798B0000}"/>
    <cellStyle name="常规 9 2 4 3 3 2 2 2" xfId="5980" xr:uid="{00000000-0005-0000-0000-00007A8B0000}"/>
    <cellStyle name="常规 9 2 4 3 3 2 2 2 2" xfId="12124" xr:uid="{00000000-0005-0000-0000-00007B8B0000}"/>
    <cellStyle name="常规 9 2 4 3 3 2 2 2 2 2" xfId="24412" xr:uid="{00000000-0005-0000-0000-00007C8B0000}"/>
    <cellStyle name="常规 9 2 4 3 3 2 2 2 2 2 2" xfId="48988" xr:uid="{00000000-0005-0000-0000-00007D8B0000}"/>
    <cellStyle name="常规 9 2 4 3 3 2 2 2 2 3" xfId="36700" xr:uid="{00000000-0005-0000-0000-00007E8B0000}"/>
    <cellStyle name="常规 9 2 4 3 3 2 2 2 3" xfId="18268" xr:uid="{00000000-0005-0000-0000-00007F8B0000}"/>
    <cellStyle name="常规 9 2 4 3 3 2 2 2 3 2" xfId="42844" xr:uid="{00000000-0005-0000-0000-0000808B0000}"/>
    <cellStyle name="常规 9 2 4 3 3 2 2 2 4" xfId="30556" xr:uid="{00000000-0005-0000-0000-0000818B0000}"/>
    <cellStyle name="常规 9 2 4 3 3 2 2 3" xfId="9052" xr:uid="{00000000-0005-0000-0000-0000828B0000}"/>
    <cellStyle name="常规 9 2 4 3 3 2 2 3 2" xfId="21340" xr:uid="{00000000-0005-0000-0000-0000838B0000}"/>
    <cellStyle name="常规 9 2 4 3 3 2 2 3 2 2" xfId="45916" xr:uid="{00000000-0005-0000-0000-0000848B0000}"/>
    <cellStyle name="常规 9 2 4 3 3 2 2 3 3" xfId="33628" xr:uid="{00000000-0005-0000-0000-0000858B0000}"/>
    <cellStyle name="常规 9 2 4 3 3 2 2 4" xfId="15196" xr:uid="{00000000-0005-0000-0000-0000868B0000}"/>
    <cellStyle name="常规 9 2 4 3 3 2 2 4 2" xfId="39772" xr:uid="{00000000-0005-0000-0000-0000878B0000}"/>
    <cellStyle name="常规 9 2 4 3 3 2 2 5" xfId="27484" xr:uid="{00000000-0005-0000-0000-0000888B0000}"/>
    <cellStyle name="常规 9 2 4 3 3 2 3" xfId="4444" xr:uid="{00000000-0005-0000-0000-0000898B0000}"/>
    <cellStyle name="常规 9 2 4 3 3 2 3 2" xfId="10588" xr:uid="{00000000-0005-0000-0000-00008A8B0000}"/>
    <cellStyle name="常规 9 2 4 3 3 2 3 2 2" xfId="22876" xr:uid="{00000000-0005-0000-0000-00008B8B0000}"/>
    <cellStyle name="常规 9 2 4 3 3 2 3 2 2 2" xfId="47452" xr:uid="{00000000-0005-0000-0000-00008C8B0000}"/>
    <cellStyle name="常规 9 2 4 3 3 2 3 2 3" xfId="35164" xr:uid="{00000000-0005-0000-0000-00008D8B0000}"/>
    <cellStyle name="常规 9 2 4 3 3 2 3 3" xfId="16732" xr:uid="{00000000-0005-0000-0000-00008E8B0000}"/>
    <cellStyle name="常规 9 2 4 3 3 2 3 3 2" xfId="41308" xr:uid="{00000000-0005-0000-0000-00008F8B0000}"/>
    <cellStyle name="常规 9 2 4 3 3 2 3 4" xfId="29020" xr:uid="{00000000-0005-0000-0000-0000908B0000}"/>
    <cellStyle name="常规 9 2 4 3 3 2 4" xfId="7516" xr:uid="{00000000-0005-0000-0000-0000918B0000}"/>
    <cellStyle name="常规 9 2 4 3 3 2 4 2" xfId="19804" xr:uid="{00000000-0005-0000-0000-0000928B0000}"/>
    <cellStyle name="常规 9 2 4 3 3 2 4 2 2" xfId="44380" xr:uid="{00000000-0005-0000-0000-0000938B0000}"/>
    <cellStyle name="常规 9 2 4 3 3 2 4 3" xfId="32092" xr:uid="{00000000-0005-0000-0000-0000948B0000}"/>
    <cellStyle name="常规 9 2 4 3 3 2 5" xfId="13660" xr:uid="{00000000-0005-0000-0000-0000958B0000}"/>
    <cellStyle name="常规 9 2 4 3 3 2 5 2" xfId="38236" xr:uid="{00000000-0005-0000-0000-0000968B0000}"/>
    <cellStyle name="常规 9 2 4 3 3 2 6" xfId="25948" xr:uid="{00000000-0005-0000-0000-0000978B0000}"/>
    <cellStyle name="常规 9 2 4 3 3 3" xfId="2136" xr:uid="{00000000-0005-0000-0000-0000988B0000}"/>
    <cellStyle name="常规 9 2 4 3 3 3 2" xfId="5212" xr:uid="{00000000-0005-0000-0000-0000998B0000}"/>
    <cellStyle name="常规 9 2 4 3 3 3 2 2" xfId="11356" xr:uid="{00000000-0005-0000-0000-00009A8B0000}"/>
    <cellStyle name="常规 9 2 4 3 3 3 2 2 2" xfId="23644" xr:uid="{00000000-0005-0000-0000-00009B8B0000}"/>
    <cellStyle name="常规 9 2 4 3 3 3 2 2 2 2" xfId="48220" xr:uid="{00000000-0005-0000-0000-00009C8B0000}"/>
    <cellStyle name="常规 9 2 4 3 3 3 2 2 3" xfId="35932" xr:uid="{00000000-0005-0000-0000-00009D8B0000}"/>
    <cellStyle name="常规 9 2 4 3 3 3 2 3" xfId="17500" xr:uid="{00000000-0005-0000-0000-00009E8B0000}"/>
    <cellStyle name="常规 9 2 4 3 3 3 2 3 2" xfId="42076" xr:uid="{00000000-0005-0000-0000-00009F8B0000}"/>
    <cellStyle name="常规 9 2 4 3 3 3 2 4" xfId="29788" xr:uid="{00000000-0005-0000-0000-0000A08B0000}"/>
    <cellStyle name="常规 9 2 4 3 3 3 3" xfId="8284" xr:uid="{00000000-0005-0000-0000-0000A18B0000}"/>
    <cellStyle name="常规 9 2 4 3 3 3 3 2" xfId="20572" xr:uid="{00000000-0005-0000-0000-0000A28B0000}"/>
    <cellStyle name="常规 9 2 4 3 3 3 3 2 2" xfId="45148" xr:uid="{00000000-0005-0000-0000-0000A38B0000}"/>
    <cellStyle name="常规 9 2 4 3 3 3 3 3" xfId="32860" xr:uid="{00000000-0005-0000-0000-0000A48B0000}"/>
    <cellStyle name="常规 9 2 4 3 3 3 4" xfId="14428" xr:uid="{00000000-0005-0000-0000-0000A58B0000}"/>
    <cellStyle name="常规 9 2 4 3 3 3 4 2" xfId="39004" xr:uid="{00000000-0005-0000-0000-0000A68B0000}"/>
    <cellStyle name="常规 9 2 4 3 3 3 5" xfId="26716" xr:uid="{00000000-0005-0000-0000-0000A78B0000}"/>
    <cellStyle name="常规 9 2 4 3 3 4" xfId="3676" xr:uid="{00000000-0005-0000-0000-0000A88B0000}"/>
    <cellStyle name="常规 9 2 4 3 3 4 2" xfId="9820" xr:uid="{00000000-0005-0000-0000-0000A98B0000}"/>
    <cellStyle name="常规 9 2 4 3 3 4 2 2" xfId="22108" xr:uid="{00000000-0005-0000-0000-0000AA8B0000}"/>
    <cellStyle name="常规 9 2 4 3 3 4 2 2 2" xfId="46684" xr:uid="{00000000-0005-0000-0000-0000AB8B0000}"/>
    <cellStyle name="常规 9 2 4 3 3 4 2 3" xfId="34396" xr:uid="{00000000-0005-0000-0000-0000AC8B0000}"/>
    <cellStyle name="常规 9 2 4 3 3 4 3" xfId="15964" xr:uid="{00000000-0005-0000-0000-0000AD8B0000}"/>
    <cellStyle name="常规 9 2 4 3 3 4 3 2" xfId="40540" xr:uid="{00000000-0005-0000-0000-0000AE8B0000}"/>
    <cellStyle name="常规 9 2 4 3 3 4 4" xfId="28252" xr:uid="{00000000-0005-0000-0000-0000AF8B0000}"/>
    <cellStyle name="常规 9 2 4 3 3 5" xfId="6748" xr:uid="{00000000-0005-0000-0000-0000B08B0000}"/>
    <cellStyle name="常规 9 2 4 3 3 5 2" xfId="19036" xr:uid="{00000000-0005-0000-0000-0000B18B0000}"/>
    <cellStyle name="常规 9 2 4 3 3 5 2 2" xfId="43612" xr:uid="{00000000-0005-0000-0000-0000B28B0000}"/>
    <cellStyle name="常规 9 2 4 3 3 5 3" xfId="31324" xr:uid="{00000000-0005-0000-0000-0000B38B0000}"/>
    <cellStyle name="常规 9 2 4 3 3 6" xfId="12892" xr:uid="{00000000-0005-0000-0000-0000B48B0000}"/>
    <cellStyle name="常规 9 2 4 3 3 6 2" xfId="37468" xr:uid="{00000000-0005-0000-0000-0000B58B0000}"/>
    <cellStyle name="常规 9 2 4 3 3 7" xfId="25180" xr:uid="{00000000-0005-0000-0000-0000B68B0000}"/>
    <cellStyle name="常规 9 2 4 3 4" xfId="984" xr:uid="{00000000-0005-0000-0000-0000B78B0000}"/>
    <cellStyle name="常规 9 2 4 3 4 2" xfId="2520" xr:uid="{00000000-0005-0000-0000-0000B88B0000}"/>
    <cellStyle name="常规 9 2 4 3 4 2 2" xfId="5596" xr:uid="{00000000-0005-0000-0000-0000B98B0000}"/>
    <cellStyle name="常规 9 2 4 3 4 2 2 2" xfId="11740" xr:uid="{00000000-0005-0000-0000-0000BA8B0000}"/>
    <cellStyle name="常规 9 2 4 3 4 2 2 2 2" xfId="24028" xr:uid="{00000000-0005-0000-0000-0000BB8B0000}"/>
    <cellStyle name="常规 9 2 4 3 4 2 2 2 2 2" xfId="48604" xr:uid="{00000000-0005-0000-0000-0000BC8B0000}"/>
    <cellStyle name="常规 9 2 4 3 4 2 2 2 3" xfId="36316" xr:uid="{00000000-0005-0000-0000-0000BD8B0000}"/>
    <cellStyle name="常规 9 2 4 3 4 2 2 3" xfId="17884" xr:uid="{00000000-0005-0000-0000-0000BE8B0000}"/>
    <cellStyle name="常规 9 2 4 3 4 2 2 3 2" xfId="42460" xr:uid="{00000000-0005-0000-0000-0000BF8B0000}"/>
    <cellStyle name="常规 9 2 4 3 4 2 2 4" xfId="30172" xr:uid="{00000000-0005-0000-0000-0000C08B0000}"/>
    <cellStyle name="常规 9 2 4 3 4 2 3" xfId="8668" xr:uid="{00000000-0005-0000-0000-0000C18B0000}"/>
    <cellStyle name="常规 9 2 4 3 4 2 3 2" xfId="20956" xr:uid="{00000000-0005-0000-0000-0000C28B0000}"/>
    <cellStyle name="常规 9 2 4 3 4 2 3 2 2" xfId="45532" xr:uid="{00000000-0005-0000-0000-0000C38B0000}"/>
    <cellStyle name="常规 9 2 4 3 4 2 3 3" xfId="33244" xr:uid="{00000000-0005-0000-0000-0000C48B0000}"/>
    <cellStyle name="常规 9 2 4 3 4 2 4" xfId="14812" xr:uid="{00000000-0005-0000-0000-0000C58B0000}"/>
    <cellStyle name="常规 9 2 4 3 4 2 4 2" xfId="39388" xr:uid="{00000000-0005-0000-0000-0000C68B0000}"/>
    <cellStyle name="常规 9 2 4 3 4 2 5" xfId="27100" xr:uid="{00000000-0005-0000-0000-0000C78B0000}"/>
    <cellStyle name="常规 9 2 4 3 4 3" xfId="4060" xr:uid="{00000000-0005-0000-0000-0000C88B0000}"/>
    <cellStyle name="常规 9 2 4 3 4 3 2" xfId="10204" xr:uid="{00000000-0005-0000-0000-0000C98B0000}"/>
    <cellStyle name="常规 9 2 4 3 4 3 2 2" xfId="22492" xr:uid="{00000000-0005-0000-0000-0000CA8B0000}"/>
    <cellStyle name="常规 9 2 4 3 4 3 2 2 2" xfId="47068" xr:uid="{00000000-0005-0000-0000-0000CB8B0000}"/>
    <cellStyle name="常规 9 2 4 3 4 3 2 3" xfId="34780" xr:uid="{00000000-0005-0000-0000-0000CC8B0000}"/>
    <cellStyle name="常规 9 2 4 3 4 3 3" xfId="16348" xr:uid="{00000000-0005-0000-0000-0000CD8B0000}"/>
    <cellStyle name="常规 9 2 4 3 4 3 3 2" xfId="40924" xr:uid="{00000000-0005-0000-0000-0000CE8B0000}"/>
    <cellStyle name="常规 9 2 4 3 4 3 4" xfId="28636" xr:uid="{00000000-0005-0000-0000-0000CF8B0000}"/>
    <cellStyle name="常规 9 2 4 3 4 4" xfId="7132" xr:uid="{00000000-0005-0000-0000-0000D08B0000}"/>
    <cellStyle name="常规 9 2 4 3 4 4 2" xfId="19420" xr:uid="{00000000-0005-0000-0000-0000D18B0000}"/>
    <cellStyle name="常规 9 2 4 3 4 4 2 2" xfId="43996" xr:uid="{00000000-0005-0000-0000-0000D28B0000}"/>
    <cellStyle name="常规 9 2 4 3 4 4 3" xfId="31708" xr:uid="{00000000-0005-0000-0000-0000D38B0000}"/>
    <cellStyle name="常规 9 2 4 3 4 5" xfId="13276" xr:uid="{00000000-0005-0000-0000-0000D48B0000}"/>
    <cellStyle name="常规 9 2 4 3 4 5 2" xfId="37852" xr:uid="{00000000-0005-0000-0000-0000D58B0000}"/>
    <cellStyle name="常规 9 2 4 3 4 6" xfId="25564" xr:uid="{00000000-0005-0000-0000-0000D68B0000}"/>
    <cellStyle name="常规 9 2 4 3 5" xfId="1752" xr:uid="{00000000-0005-0000-0000-0000D78B0000}"/>
    <cellStyle name="常规 9 2 4 3 5 2" xfId="4828" xr:uid="{00000000-0005-0000-0000-0000D88B0000}"/>
    <cellStyle name="常规 9 2 4 3 5 2 2" xfId="10972" xr:uid="{00000000-0005-0000-0000-0000D98B0000}"/>
    <cellStyle name="常规 9 2 4 3 5 2 2 2" xfId="23260" xr:uid="{00000000-0005-0000-0000-0000DA8B0000}"/>
    <cellStyle name="常规 9 2 4 3 5 2 2 2 2" xfId="47836" xr:uid="{00000000-0005-0000-0000-0000DB8B0000}"/>
    <cellStyle name="常规 9 2 4 3 5 2 2 3" xfId="35548" xr:uid="{00000000-0005-0000-0000-0000DC8B0000}"/>
    <cellStyle name="常规 9 2 4 3 5 2 3" xfId="17116" xr:uid="{00000000-0005-0000-0000-0000DD8B0000}"/>
    <cellStyle name="常规 9 2 4 3 5 2 3 2" xfId="41692" xr:uid="{00000000-0005-0000-0000-0000DE8B0000}"/>
    <cellStyle name="常规 9 2 4 3 5 2 4" xfId="29404" xr:uid="{00000000-0005-0000-0000-0000DF8B0000}"/>
    <cellStyle name="常规 9 2 4 3 5 3" xfId="7900" xr:uid="{00000000-0005-0000-0000-0000E08B0000}"/>
    <cellStyle name="常规 9 2 4 3 5 3 2" xfId="20188" xr:uid="{00000000-0005-0000-0000-0000E18B0000}"/>
    <cellStyle name="常规 9 2 4 3 5 3 2 2" xfId="44764" xr:uid="{00000000-0005-0000-0000-0000E28B0000}"/>
    <cellStyle name="常规 9 2 4 3 5 3 3" xfId="32476" xr:uid="{00000000-0005-0000-0000-0000E38B0000}"/>
    <cellStyle name="常规 9 2 4 3 5 4" xfId="14044" xr:uid="{00000000-0005-0000-0000-0000E48B0000}"/>
    <cellStyle name="常规 9 2 4 3 5 4 2" xfId="38620" xr:uid="{00000000-0005-0000-0000-0000E58B0000}"/>
    <cellStyle name="常规 9 2 4 3 5 5" xfId="26332" xr:uid="{00000000-0005-0000-0000-0000E68B0000}"/>
    <cellStyle name="常规 9 2 4 3 6" xfId="3292" xr:uid="{00000000-0005-0000-0000-0000E78B0000}"/>
    <cellStyle name="常规 9 2 4 3 6 2" xfId="9436" xr:uid="{00000000-0005-0000-0000-0000E88B0000}"/>
    <cellStyle name="常规 9 2 4 3 6 2 2" xfId="21724" xr:uid="{00000000-0005-0000-0000-0000E98B0000}"/>
    <cellStyle name="常规 9 2 4 3 6 2 2 2" xfId="46300" xr:uid="{00000000-0005-0000-0000-0000EA8B0000}"/>
    <cellStyle name="常规 9 2 4 3 6 2 3" xfId="34012" xr:uid="{00000000-0005-0000-0000-0000EB8B0000}"/>
    <cellStyle name="常规 9 2 4 3 6 3" xfId="15580" xr:uid="{00000000-0005-0000-0000-0000EC8B0000}"/>
    <cellStyle name="常规 9 2 4 3 6 3 2" xfId="40156" xr:uid="{00000000-0005-0000-0000-0000ED8B0000}"/>
    <cellStyle name="常规 9 2 4 3 6 4" xfId="27868" xr:uid="{00000000-0005-0000-0000-0000EE8B0000}"/>
    <cellStyle name="常规 9 2 4 3 7" xfId="6364" xr:uid="{00000000-0005-0000-0000-0000EF8B0000}"/>
    <cellStyle name="常规 9 2 4 3 7 2" xfId="18652" xr:uid="{00000000-0005-0000-0000-0000F08B0000}"/>
    <cellStyle name="常规 9 2 4 3 7 2 2" xfId="43228" xr:uid="{00000000-0005-0000-0000-0000F18B0000}"/>
    <cellStyle name="常规 9 2 4 3 7 3" xfId="30940" xr:uid="{00000000-0005-0000-0000-0000F28B0000}"/>
    <cellStyle name="常规 9 2 4 3 8" xfId="12508" xr:uid="{00000000-0005-0000-0000-0000F38B0000}"/>
    <cellStyle name="常规 9 2 4 3 8 2" xfId="37084" xr:uid="{00000000-0005-0000-0000-0000F48B0000}"/>
    <cellStyle name="常规 9 2 4 3 9" xfId="24796" xr:uid="{00000000-0005-0000-0000-0000F58B0000}"/>
    <cellStyle name="常规 9 2 4 4" xfId="280" xr:uid="{00000000-0005-0000-0000-0000F68B0000}"/>
    <cellStyle name="常规 9 2 4 4 2" xfId="472" xr:uid="{00000000-0005-0000-0000-0000F78B0000}"/>
    <cellStyle name="常规 9 2 4 4 2 2" xfId="856" xr:uid="{00000000-0005-0000-0000-0000F88B0000}"/>
    <cellStyle name="常规 9 2 4 4 2 2 2" xfId="1624" xr:uid="{00000000-0005-0000-0000-0000F98B0000}"/>
    <cellStyle name="常规 9 2 4 4 2 2 2 2" xfId="3160" xr:uid="{00000000-0005-0000-0000-0000FA8B0000}"/>
    <cellStyle name="常规 9 2 4 4 2 2 2 2 2" xfId="6236" xr:uid="{00000000-0005-0000-0000-0000FB8B0000}"/>
    <cellStyle name="常规 9 2 4 4 2 2 2 2 2 2" xfId="12380" xr:uid="{00000000-0005-0000-0000-0000FC8B0000}"/>
    <cellStyle name="常规 9 2 4 4 2 2 2 2 2 2 2" xfId="24668" xr:uid="{00000000-0005-0000-0000-0000FD8B0000}"/>
    <cellStyle name="常规 9 2 4 4 2 2 2 2 2 2 2 2" xfId="49244" xr:uid="{00000000-0005-0000-0000-0000FE8B0000}"/>
    <cellStyle name="常规 9 2 4 4 2 2 2 2 2 2 3" xfId="36956" xr:uid="{00000000-0005-0000-0000-0000FF8B0000}"/>
    <cellStyle name="常规 9 2 4 4 2 2 2 2 2 3" xfId="18524" xr:uid="{00000000-0005-0000-0000-0000008C0000}"/>
    <cellStyle name="常规 9 2 4 4 2 2 2 2 2 3 2" xfId="43100" xr:uid="{00000000-0005-0000-0000-0000018C0000}"/>
    <cellStyle name="常规 9 2 4 4 2 2 2 2 2 4" xfId="30812" xr:uid="{00000000-0005-0000-0000-0000028C0000}"/>
    <cellStyle name="常规 9 2 4 4 2 2 2 2 3" xfId="9308" xr:uid="{00000000-0005-0000-0000-0000038C0000}"/>
    <cellStyle name="常规 9 2 4 4 2 2 2 2 3 2" xfId="21596" xr:uid="{00000000-0005-0000-0000-0000048C0000}"/>
    <cellStyle name="常规 9 2 4 4 2 2 2 2 3 2 2" xfId="46172" xr:uid="{00000000-0005-0000-0000-0000058C0000}"/>
    <cellStyle name="常规 9 2 4 4 2 2 2 2 3 3" xfId="33884" xr:uid="{00000000-0005-0000-0000-0000068C0000}"/>
    <cellStyle name="常规 9 2 4 4 2 2 2 2 4" xfId="15452" xr:uid="{00000000-0005-0000-0000-0000078C0000}"/>
    <cellStyle name="常规 9 2 4 4 2 2 2 2 4 2" xfId="40028" xr:uid="{00000000-0005-0000-0000-0000088C0000}"/>
    <cellStyle name="常规 9 2 4 4 2 2 2 2 5" xfId="27740" xr:uid="{00000000-0005-0000-0000-0000098C0000}"/>
    <cellStyle name="常规 9 2 4 4 2 2 2 3" xfId="4700" xr:uid="{00000000-0005-0000-0000-00000A8C0000}"/>
    <cellStyle name="常规 9 2 4 4 2 2 2 3 2" xfId="10844" xr:uid="{00000000-0005-0000-0000-00000B8C0000}"/>
    <cellStyle name="常规 9 2 4 4 2 2 2 3 2 2" xfId="23132" xr:uid="{00000000-0005-0000-0000-00000C8C0000}"/>
    <cellStyle name="常规 9 2 4 4 2 2 2 3 2 2 2" xfId="47708" xr:uid="{00000000-0005-0000-0000-00000D8C0000}"/>
    <cellStyle name="常规 9 2 4 4 2 2 2 3 2 3" xfId="35420" xr:uid="{00000000-0005-0000-0000-00000E8C0000}"/>
    <cellStyle name="常规 9 2 4 4 2 2 2 3 3" xfId="16988" xr:uid="{00000000-0005-0000-0000-00000F8C0000}"/>
    <cellStyle name="常规 9 2 4 4 2 2 2 3 3 2" xfId="41564" xr:uid="{00000000-0005-0000-0000-0000108C0000}"/>
    <cellStyle name="常规 9 2 4 4 2 2 2 3 4" xfId="29276" xr:uid="{00000000-0005-0000-0000-0000118C0000}"/>
    <cellStyle name="常规 9 2 4 4 2 2 2 4" xfId="7772" xr:uid="{00000000-0005-0000-0000-0000128C0000}"/>
    <cellStyle name="常规 9 2 4 4 2 2 2 4 2" xfId="20060" xr:uid="{00000000-0005-0000-0000-0000138C0000}"/>
    <cellStyle name="常规 9 2 4 4 2 2 2 4 2 2" xfId="44636" xr:uid="{00000000-0005-0000-0000-0000148C0000}"/>
    <cellStyle name="常规 9 2 4 4 2 2 2 4 3" xfId="32348" xr:uid="{00000000-0005-0000-0000-0000158C0000}"/>
    <cellStyle name="常规 9 2 4 4 2 2 2 5" xfId="13916" xr:uid="{00000000-0005-0000-0000-0000168C0000}"/>
    <cellStyle name="常规 9 2 4 4 2 2 2 5 2" xfId="38492" xr:uid="{00000000-0005-0000-0000-0000178C0000}"/>
    <cellStyle name="常规 9 2 4 4 2 2 2 6" xfId="26204" xr:uid="{00000000-0005-0000-0000-0000188C0000}"/>
    <cellStyle name="常规 9 2 4 4 2 2 3" xfId="2392" xr:uid="{00000000-0005-0000-0000-0000198C0000}"/>
    <cellStyle name="常规 9 2 4 4 2 2 3 2" xfId="5468" xr:uid="{00000000-0005-0000-0000-00001A8C0000}"/>
    <cellStyle name="常规 9 2 4 4 2 2 3 2 2" xfId="11612" xr:uid="{00000000-0005-0000-0000-00001B8C0000}"/>
    <cellStyle name="常规 9 2 4 4 2 2 3 2 2 2" xfId="23900" xr:uid="{00000000-0005-0000-0000-00001C8C0000}"/>
    <cellStyle name="常规 9 2 4 4 2 2 3 2 2 2 2" xfId="48476" xr:uid="{00000000-0005-0000-0000-00001D8C0000}"/>
    <cellStyle name="常规 9 2 4 4 2 2 3 2 2 3" xfId="36188" xr:uid="{00000000-0005-0000-0000-00001E8C0000}"/>
    <cellStyle name="常规 9 2 4 4 2 2 3 2 3" xfId="17756" xr:uid="{00000000-0005-0000-0000-00001F8C0000}"/>
    <cellStyle name="常规 9 2 4 4 2 2 3 2 3 2" xfId="42332" xr:uid="{00000000-0005-0000-0000-0000208C0000}"/>
    <cellStyle name="常规 9 2 4 4 2 2 3 2 4" xfId="30044" xr:uid="{00000000-0005-0000-0000-0000218C0000}"/>
    <cellStyle name="常规 9 2 4 4 2 2 3 3" xfId="8540" xr:uid="{00000000-0005-0000-0000-0000228C0000}"/>
    <cellStyle name="常规 9 2 4 4 2 2 3 3 2" xfId="20828" xr:uid="{00000000-0005-0000-0000-0000238C0000}"/>
    <cellStyle name="常规 9 2 4 4 2 2 3 3 2 2" xfId="45404" xr:uid="{00000000-0005-0000-0000-0000248C0000}"/>
    <cellStyle name="常规 9 2 4 4 2 2 3 3 3" xfId="33116" xr:uid="{00000000-0005-0000-0000-0000258C0000}"/>
    <cellStyle name="常规 9 2 4 4 2 2 3 4" xfId="14684" xr:uid="{00000000-0005-0000-0000-0000268C0000}"/>
    <cellStyle name="常规 9 2 4 4 2 2 3 4 2" xfId="39260" xr:uid="{00000000-0005-0000-0000-0000278C0000}"/>
    <cellStyle name="常规 9 2 4 4 2 2 3 5" xfId="26972" xr:uid="{00000000-0005-0000-0000-0000288C0000}"/>
    <cellStyle name="常规 9 2 4 4 2 2 4" xfId="3932" xr:uid="{00000000-0005-0000-0000-0000298C0000}"/>
    <cellStyle name="常规 9 2 4 4 2 2 4 2" xfId="10076" xr:uid="{00000000-0005-0000-0000-00002A8C0000}"/>
    <cellStyle name="常规 9 2 4 4 2 2 4 2 2" xfId="22364" xr:uid="{00000000-0005-0000-0000-00002B8C0000}"/>
    <cellStyle name="常规 9 2 4 4 2 2 4 2 2 2" xfId="46940" xr:uid="{00000000-0005-0000-0000-00002C8C0000}"/>
    <cellStyle name="常规 9 2 4 4 2 2 4 2 3" xfId="34652" xr:uid="{00000000-0005-0000-0000-00002D8C0000}"/>
    <cellStyle name="常规 9 2 4 4 2 2 4 3" xfId="16220" xr:uid="{00000000-0005-0000-0000-00002E8C0000}"/>
    <cellStyle name="常规 9 2 4 4 2 2 4 3 2" xfId="40796" xr:uid="{00000000-0005-0000-0000-00002F8C0000}"/>
    <cellStyle name="常规 9 2 4 4 2 2 4 4" xfId="28508" xr:uid="{00000000-0005-0000-0000-0000308C0000}"/>
    <cellStyle name="常规 9 2 4 4 2 2 5" xfId="7004" xr:uid="{00000000-0005-0000-0000-0000318C0000}"/>
    <cellStyle name="常规 9 2 4 4 2 2 5 2" xfId="19292" xr:uid="{00000000-0005-0000-0000-0000328C0000}"/>
    <cellStyle name="常规 9 2 4 4 2 2 5 2 2" xfId="43868" xr:uid="{00000000-0005-0000-0000-0000338C0000}"/>
    <cellStyle name="常规 9 2 4 4 2 2 5 3" xfId="31580" xr:uid="{00000000-0005-0000-0000-0000348C0000}"/>
    <cellStyle name="常规 9 2 4 4 2 2 6" xfId="13148" xr:uid="{00000000-0005-0000-0000-0000358C0000}"/>
    <cellStyle name="常规 9 2 4 4 2 2 6 2" xfId="37724" xr:uid="{00000000-0005-0000-0000-0000368C0000}"/>
    <cellStyle name="常规 9 2 4 4 2 2 7" xfId="25436" xr:uid="{00000000-0005-0000-0000-0000378C0000}"/>
    <cellStyle name="常规 9 2 4 4 2 3" xfId="1240" xr:uid="{00000000-0005-0000-0000-0000388C0000}"/>
    <cellStyle name="常规 9 2 4 4 2 3 2" xfId="2776" xr:uid="{00000000-0005-0000-0000-0000398C0000}"/>
    <cellStyle name="常规 9 2 4 4 2 3 2 2" xfId="5852" xr:uid="{00000000-0005-0000-0000-00003A8C0000}"/>
    <cellStyle name="常规 9 2 4 4 2 3 2 2 2" xfId="11996" xr:uid="{00000000-0005-0000-0000-00003B8C0000}"/>
    <cellStyle name="常规 9 2 4 4 2 3 2 2 2 2" xfId="24284" xr:uid="{00000000-0005-0000-0000-00003C8C0000}"/>
    <cellStyle name="常规 9 2 4 4 2 3 2 2 2 2 2" xfId="48860" xr:uid="{00000000-0005-0000-0000-00003D8C0000}"/>
    <cellStyle name="常规 9 2 4 4 2 3 2 2 2 3" xfId="36572" xr:uid="{00000000-0005-0000-0000-00003E8C0000}"/>
    <cellStyle name="常规 9 2 4 4 2 3 2 2 3" xfId="18140" xr:uid="{00000000-0005-0000-0000-00003F8C0000}"/>
    <cellStyle name="常规 9 2 4 4 2 3 2 2 3 2" xfId="42716" xr:uid="{00000000-0005-0000-0000-0000408C0000}"/>
    <cellStyle name="常规 9 2 4 4 2 3 2 2 4" xfId="30428" xr:uid="{00000000-0005-0000-0000-0000418C0000}"/>
    <cellStyle name="常规 9 2 4 4 2 3 2 3" xfId="8924" xr:uid="{00000000-0005-0000-0000-0000428C0000}"/>
    <cellStyle name="常规 9 2 4 4 2 3 2 3 2" xfId="21212" xr:uid="{00000000-0005-0000-0000-0000438C0000}"/>
    <cellStyle name="常规 9 2 4 4 2 3 2 3 2 2" xfId="45788" xr:uid="{00000000-0005-0000-0000-0000448C0000}"/>
    <cellStyle name="常规 9 2 4 4 2 3 2 3 3" xfId="33500" xr:uid="{00000000-0005-0000-0000-0000458C0000}"/>
    <cellStyle name="常规 9 2 4 4 2 3 2 4" xfId="15068" xr:uid="{00000000-0005-0000-0000-0000468C0000}"/>
    <cellStyle name="常规 9 2 4 4 2 3 2 4 2" xfId="39644" xr:uid="{00000000-0005-0000-0000-0000478C0000}"/>
    <cellStyle name="常规 9 2 4 4 2 3 2 5" xfId="27356" xr:uid="{00000000-0005-0000-0000-0000488C0000}"/>
    <cellStyle name="常规 9 2 4 4 2 3 3" xfId="4316" xr:uid="{00000000-0005-0000-0000-0000498C0000}"/>
    <cellStyle name="常规 9 2 4 4 2 3 3 2" xfId="10460" xr:uid="{00000000-0005-0000-0000-00004A8C0000}"/>
    <cellStyle name="常规 9 2 4 4 2 3 3 2 2" xfId="22748" xr:uid="{00000000-0005-0000-0000-00004B8C0000}"/>
    <cellStyle name="常规 9 2 4 4 2 3 3 2 2 2" xfId="47324" xr:uid="{00000000-0005-0000-0000-00004C8C0000}"/>
    <cellStyle name="常规 9 2 4 4 2 3 3 2 3" xfId="35036" xr:uid="{00000000-0005-0000-0000-00004D8C0000}"/>
    <cellStyle name="常规 9 2 4 4 2 3 3 3" xfId="16604" xr:uid="{00000000-0005-0000-0000-00004E8C0000}"/>
    <cellStyle name="常规 9 2 4 4 2 3 3 3 2" xfId="41180" xr:uid="{00000000-0005-0000-0000-00004F8C0000}"/>
    <cellStyle name="常规 9 2 4 4 2 3 3 4" xfId="28892" xr:uid="{00000000-0005-0000-0000-0000508C0000}"/>
    <cellStyle name="常规 9 2 4 4 2 3 4" xfId="7388" xr:uid="{00000000-0005-0000-0000-0000518C0000}"/>
    <cellStyle name="常规 9 2 4 4 2 3 4 2" xfId="19676" xr:uid="{00000000-0005-0000-0000-0000528C0000}"/>
    <cellStyle name="常规 9 2 4 4 2 3 4 2 2" xfId="44252" xr:uid="{00000000-0005-0000-0000-0000538C0000}"/>
    <cellStyle name="常规 9 2 4 4 2 3 4 3" xfId="31964" xr:uid="{00000000-0005-0000-0000-0000548C0000}"/>
    <cellStyle name="常规 9 2 4 4 2 3 5" xfId="13532" xr:uid="{00000000-0005-0000-0000-0000558C0000}"/>
    <cellStyle name="常规 9 2 4 4 2 3 5 2" xfId="38108" xr:uid="{00000000-0005-0000-0000-0000568C0000}"/>
    <cellStyle name="常规 9 2 4 4 2 3 6" xfId="25820" xr:uid="{00000000-0005-0000-0000-0000578C0000}"/>
    <cellStyle name="常规 9 2 4 4 2 4" xfId="2008" xr:uid="{00000000-0005-0000-0000-0000588C0000}"/>
    <cellStyle name="常规 9 2 4 4 2 4 2" xfId="5084" xr:uid="{00000000-0005-0000-0000-0000598C0000}"/>
    <cellStyle name="常规 9 2 4 4 2 4 2 2" xfId="11228" xr:uid="{00000000-0005-0000-0000-00005A8C0000}"/>
    <cellStyle name="常规 9 2 4 4 2 4 2 2 2" xfId="23516" xr:uid="{00000000-0005-0000-0000-00005B8C0000}"/>
    <cellStyle name="常规 9 2 4 4 2 4 2 2 2 2" xfId="48092" xr:uid="{00000000-0005-0000-0000-00005C8C0000}"/>
    <cellStyle name="常规 9 2 4 4 2 4 2 2 3" xfId="35804" xr:uid="{00000000-0005-0000-0000-00005D8C0000}"/>
    <cellStyle name="常规 9 2 4 4 2 4 2 3" xfId="17372" xr:uid="{00000000-0005-0000-0000-00005E8C0000}"/>
    <cellStyle name="常规 9 2 4 4 2 4 2 3 2" xfId="41948" xr:uid="{00000000-0005-0000-0000-00005F8C0000}"/>
    <cellStyle name="常规 9 2 4 4 2 4 2 4" xfId="29660" xr:uid="{00000000-0005-0000-0000-0000608C0000}"/>
    <cellStyle name="常规 9 2 4 4 2 4 3" xfId="8156" xr:uid="{00000000-0005-0000-0000-0000618C0000}"/>
    <cellStyle name="常规 9 2 4 4 2 4 3 2" xfId="20444" xr:uid="{00000000-0005-0000-0000-0000628C0000}"/>
    <cellStyle name="常规 9 2 4 4 2 4 3 2 2" xfId="45020" xr:uid="{00000000-0005-0000-0000-0000638C0000}"/>
    <cellStyle name="常规 9 2 4 4 2 4 3 3" xfId="32732" xr:uid="{00000000-0005-0000-0000-0000648C0000}"/>
    <cellStyle name="常规 9 2 4 4 2 4 4" xfId="14300" xr:uid="{00000000-0005-0000-0000-0000658C0000}"/>
    <cellStyle name="常规 9 2 4 4 2 4 4 2" xfId="38876" xr:uid="{00000000-0005-0000-0000-0000668C0000}"/>
    <cellStyle name="常规 9 2 4 4 2 4 5" xfId="26588" xr:uid="{00000000-0005-0000-0000-0000678C0000}"/>
    <cellStyle name="常规 9 2 4 4 2 5" xfId="3548" xr:uid="{00000000-0005-0000-0000-0000688C0000}"/>
    <cellStyle name="常规 9 2 4 4 2 5 2" xfId="9692" xr:uid="{00000000-0005-0000-0000-0000698C0000}"/>
    <cellStyle name="常规 9 2 4 4 2 5 2 2" xfId="21980" xr:uid="{00000000-0005-0000-0000-00006A8C0000}"/>
    <cellStyle name="常规 9 2 4 4 2 5 2 2 2" xfId="46556" xr:uid="{00000000-0005-0000-0000-00006B8C0000}"/>
    <cellStyle name="常规 9 2 4 4 2 5 2 3" xfId="34268" xr:uid="{00000000-0005-0000-0000-00006C8C0000}"/>
    <cellStyle name="常规 9 2 4 4 2 5 3" xfId="15836" xr:uid="{00000000-0005-0000-0000-00006D8C0000}"/>
    <cellStyle name="常规 9 2 4 4 2 5 3 2" xfId="40412" xr:uid="{00000000-0005-0000-0000-00006E8C0000}"/>
    <cellStyle name="常规 9 2 4 4 2 5 4" xfId="28124" xr:uid="{00000000-0005-0000-0000-00006F8C0000}"/>
    <cellStyle name="常规 9 2 4 4 2 6" xfId="6620" xr:uid="{00000000-0005-0000-0000-0000708C0000}"/>
    <cellStyle name="常规 9 2 4 4 2 6 2" xfId="18908" xr:uid="{00000000-0005-0000-0000-0000718C0000}"/>
    <cellStyle name="常规 9 2 4 4 2 6 2 2" xfId="43484" xr:uid="{00000000-0005-0000-0000-0000728C0000}"/>
    <cellStyle name="常规 9 2 4 4 2 6 3" xfId="31196" xr:uid="{00000000-0005-0000-0000-0000738C0000}"/>
    <cellStyle name="常规 9 2 4 4 2 7" xfId="12764" xr:uid="{00000000-0005-0000-0000-0000748C0000}"/>
    <cellStyle name="常规 9 2 4 4 2 7 2" xfId="37340" xr:uid="{00000000-0005-0000-0000-0000758C0000}"/>
    <cellStyle name="常规 9 2 4 4 2 8" xfId="25052" xr:uid="{00000000-0005-0000-0000-0000768C0000}"/>
    <cellStyle name="常规 9 2 4 4 3" xfId="664" xr:uid="{00000000-0005-0000-0000-0000778C0000}"/>
    <cellStyle name="常规 9 2 4 4 3 2" xfId="1432" xr:uid="{00000000-0005-0000-0000-0000788C0000}"/>
    <cellStyle name="常规 9 2 4 4 3 2 2" xfId="2968" xr:uid="{00000000-0005-0000-0000-0000798C0000}"/>
    <cellStyle name="常规 9 2 4 4 3 2 2 2" xfId="6044" xr:uid="{00000000-0005-0000-0000-00007A8C0000}"/>
    <cellStyle name="常规 9 2 4 4 3 2 2 2 2" xfId="12188" xr:uid="{00000000-0005-0000-0000-00007B8C0000}"/>
    <cellStyle name="常规 9 2 4 4 3 2 2 2 2 2" xfId="24476" xr:uid="{00000000-0005-0000-0000-00007C8C0000}"/>
    <cellStyle name="常规 9 2 4 4 3 2 2 2 2 2 2" xfId="49052" xr:uid="{00000000-0005-0000-0000-00007D8C0000}"/>
    <cellStyle name="常规 9 2 4 4 3 2 2 2 2 3" xfId="36764" xr:uid="{00000000-0005-0000-0000-00007E8C0000}"/>
    <cellStyle name="常规 9 2 4 4 3 2 2 2 3" xfId="18332" xr:uid="{00000000-0005-0000-0000-00007F8C0000}"/>
    <cellStyle name="常规 9 2 4 4 3 2 2 2 3 2" xfId="42908" xr:uid="{00000000-0005-0000-0000-0000808C0000}"/>
    <cellStyle name="常规 9 2 4 4 3 2 2 2 4" xfId="30620" xr:uid="{00000000-0005-0000-0000-0000818C0000}"/>
    <cellStyle name="常规 9 2 4 4 3 2 2 3" xfId="9116" xr:uid="{00000000-0005-0000-0000-0000828C0000}"/>
    <cellStyle name="常规 9 2 4 4 3 2 2 3 2" xfId="21404" xr:uid="{00000000-0005-0000-0000-0000838C0000}"/>
    <cellStyle name="常规 9 2 4 4 3 2 2 3 2 2" xfId="45980" xr:uid="{00000000-0005-0000-0000-0000848C0000}"/>
    <cellStyle name="常规 9 2 4 4 3 2 2 3 3" xfId="33692" xr:uid="{00000000-0005-0000-0000-0000858C0000}"/>
    <cellStyle name="常规 9 2 4 4 3 2 2 4" xfId="15260" xr:uid="{00000000-0005-0000-0000-0000868C0000}"/>
    <cellStyle name="常规 9 2 4 4 3 2 2 4 2" xfId="39836" xr:uid="{00000000-0005-0000-0000-0000878C0000}"/>
    <cellStyle name="常规 9 2 4 4 3 2 2 5" xfId="27548" xr:uid="{00000000-0005-0000-0000-0000888C0000}"/>
    <cellStyle name="常规 9 2 4 4 3 2 3" xfId="4508" xr:uid="{00000000-0005-0000-0000-0000898C0000}"/>
    <cellStyle name="常规 9 2 4 4 3 2 3 2" xfId="10652" xr:uid="{00000000-0005-0000-0000-00008A8C0000}"/>
    <cellStyle name="常规 9 2 4 4 3 2 3 2 2" xfId="22940" xr:uid="{00000000-0005-0000-0000-00008B8C0000}"/>
    <cellStyle name="常规 9 2 4 4 3 2 3 2 2 2" xfId="47516" xr:uid="{00000000-0005-0000-0000-00008C8C0000}"/>
    <cellStyle name="常规 9 2 4 4 3 2 3 2 3" xfId="35228" xr:uid="{00000000-0005-0000-0000-00008D8C0000}"/>
    <cellStyle name="常规 9 2 4 4 3 2 3 3" xfId="16796" xr:uid="{00000000-0005-0000-0000-00008E8C0000}"/>
    <cellStyle name="常规 9 2 4 4 3 2 3 3 2" xfId="41372" xr:uid="{00000000-0005-0000-0000-00008F8C0000}"/>
    <cellStyle name="常规 9 2 4 4 3 2 3 4" xfId="29084" xr:uid="{00000000-0005-0000-0000-0000908C0000}"/>
    <cellStyle name="常规 9 2 4 4 3 2 4" xfId="7580" xr:uid="{00000000-0005-0000-0000-0000918C0000}"/>
    <cellStyle name="常规 9 2 4 4 3 2 4 2" xfId="19868" xr:uid="{00000000-0005-0000-0000-0000928C0000}"/>
    <cellStyle name="常规 9 2 4 4 3 2 4 2 2" xfId="44444" xr:uid="{00000000-0005-0000-0000-0000938C0000}"/>
    <cellStyle name="常规 9 2 4 4 3 2 4 3" xfId="32156" xr:uid="{00000000-0005-0000-0000-0000948C0000}"/>
    <cellStyle name="常规 9 2 4 4 3 2 5" xfId="13724" xr:uid="{00000000-0005-0000-0000-0000958C0000}"/>
    <cellStyle name="常规 9 2 4 4 3 2 5 2" xfId="38300" xr:uid="{00000000-0005-0000-0000-0000968C0000}"/>
    <cellStyle name="常规 9 2 4 4 3 2 6" xfId="26012" xr:uid="{00000000-0005-0000-0000-0000978C0000}"/>
    <cellStyle name="常规 9 2 4 4 3 3" xfId="2200" xr:uid="{00000000-0005-0000-0000-0000988C0000}"/>
    <cellStyle name="常规 9 2 4 4 3 3 2" xfId="5276" xr:uid="{00000000-0005-0000-0000-0000998C0000}"/>
    <cellStyle name="常规 9 2 4 4 3 3 2 2" xfId="11420" xr:uid="{00000000-0005-0000-0000-00009A8C0000}"/>
    <cellStyle name="常规 9 2 4 4 3 3 2 2 2" xfId="23708" xr:uid="{00000000-0005-0000-0000-00009B8C0000}"/>
    <cellStyle name="常规 9 2 4 4 3 3 2 2 2 2" xfId="48284" xr:uid="{00000000-0005-0000-0000-00009C8C0000}"/>
    <cellStyle name="常规 9 2 4 4 3 3 2 2 3" xfId="35996" xr:uid="{00000000-0005-0000-0000-00009D8C0000}"/>
    <cellStyle name="常规 9 2 4 4 3 3 2 3" xfId="17564" xr:uid="{00000000-0005-0000-0000-00009E8C0000}"/>
    <cellStyle name="常规 9 2 4 4 3 3 2 3 2" xfId="42140" xr:uid="{00000000-0005-0000-0000-00009F8C0000}"/>
    <cellStyle name="常规 9 2 4 4 3 3 2 4" xfId="29852" xr:uid="{00000000-0005-0000-0000-0000A08C0000}"/>
    <cellStyle name="常规 9 2 4 4 3 3 3" xfId="8348" xr:uid="{00000000-0005-0000-0000-0000A18C0000}"/>
    <cellStyle name="常规 9 2 4 4 3 3 3 2" xfId="20636" xr:uid="{00000000-0005-0000-0000-0000A28C0000}"/>
    <cellStyle name="常规 9 2 4 4 3 3 3 2 2" xfId="45212" xr:uid="{00000000-0005-0000-0000-0000A38C0000}"/>
    <cellStyle name="常规 9 2 4 4 3 3 3 3" xfId="32924" xr:uid="{00000000-0005-0000-0000-0000A48C0000}"/>
    <cellStyle name="常规 9 2 4 4 3 3 4" xfId="14492" xr:uid="{00000000-0005-0000-0000-0000A58C0000}"/>
    <cellStyle name="常规 9 2 4 4 3 3 4 2" xfId="39068" xr:uid="{00000000-0005-0000-0000-0000A68C0000}"/>
    <cellStyle name="常规 9 2 4 4 3 3 5" xfId="26780" xr:uid="{00000000-0005-0000-0000-0000A78C0000}"/>
    <cellStyle name="常规 9 2 4 4 3 4" xfId="3740" xr:uid="{00000000-0005-0000-0000-0000A88C0000}"/>
    <cellStyle name="常规 9 2 4 4 3 4 2" xfId="9884" xr:uid="{00000000-0005-0000-0000-0000A98C0000}"/>
    <cellStyle name="常规 9 2 4 4 3 4 2 2" xfId="22172" xr:uid="{00000000-0005-0000-0000-0000AA8C0000}"/>
    <cellStyle name="常规 9 2 4 4 3 4 2 2 2" xfId="46748" xr:uid="{00000000-0005-0000-0000-0000AB8C0000}"/>
    <cellStyle name="常规 9 2 4 4 3 4 2 3" xfId="34460" xr:uid="{00000000-0005-0000-0000-0000AC8C0000}"/>
    <cellStyle name="常规 9 2 4 4 3 4 3" xfId="16028" xr:uid="{00000000-0005-0000-0000-0000AD8C0000}"/>
    <cellStyle name="常规 9 2 4 4 3 4 3 2" xfId="40604" xr:uid="{00000000-0005-0000-0000-0000AE8C0000}"/>
    <cellStyle name="常规 9 2 4 4 3 4 4" xfId="28316" xr:uid="{00000000-0005-0000-0000-0000AF8C0000}"/>
    <cellStyle name="常规 9 2 4 4 3 5" xfId="6812" xr:uid="{00000000-0005-0000-0000-0000B08C0000}"/>
    <cellStyle name="常规 9 2 4 4 3 5 2" xfId="19100" xr:uid="{00000000-0005-0000-0000-0000B18C0000}"/>
    <cellStyle name="常规 9 2 4 4 3 5 2 2" xfId="43676" xr:uid="{00000000-0005-0000-0000-0000B28C0000}"/>
    <cellStyle name="常规 9 2 4 4 3 5 3" xfId="31388" xr:uid="{00000000-0005-0000-0000-0000B38C0000}"/>
    <cellStyle name="常规 9 2 4 4 3 6" xfId="12956" xr:uid="{00000000-0005-0000-0000-0000B48C0000}"/>
    <cellStyle name="常规 9 2 4 4 3 6 2" xfId="37532" xr:uid="{00000000-0005-0000-0000-0000B58C0000}"/>
    <cellStyle name="常规 9 2 4 4 3 7" xfId="25244" xr:uid="{00000000-0005-0000-0000-0000B68C0000}"/>
    <cellStyle name="常规 9 2 4 4 4" xfId="1048" xr:uid="{00000000-0005-0000-0000-0000B78C0000}"/>
    <cellStyle name="常规 9 2 4 4 4 2" xfId="2584" xr:uid="{00000000-0005-0000-0000-0000B88C0000}"/>
    <cellStyle name="常规 9 2 4 4 4 2 2" xfId="5660" xr:uid="{00000000-0005-0000-0000-0000B98C0000}"/>
    <cellStyle name="常规 9 2 4 4 4 2 2 2" xfId="11804" xr:uid="{00000000-0005-0000-0000-0000BA8C0000}"/>
    <cellStyle name="常规 9 2 4 4 4 2 2 2 2" xfId="24092" xr:uid="{00000000-0005-0000-0000-0000BB8C0000}"/>
    <cellStyle name="常规 9 2 4 4 4 2 2 2 2 2" xfId="48668" xr:uid="{00000000-0005-0000-0000-0000BC8C0000}"/>
    <cellStyle name="常规 9 2 4 4 4 2 2 2 3" xfId="36380" xr:uid="{00000000-0005-0000-0000-0000BD8C0000}"/>
    <cellStyle name="常规 9 2 4 4 4 2 2 3" xfId="17948" xr:uid="{00000000-0005-0000-0000-0000BE8C0000}"/>
    <cellStyle name="常规 9 2 4 4 4 2 2 3 2" xfId="42524" xr:uid="{00000000-0005-0000-0000-0000BF8C0000}"/>
    <cellStyle name="常规 9 2 4 4 4 2 2 4" xfId="30236" xr:uid="{00000000-0005-0000-0000-0000C08C0000}"/>
    <cellStyle name="常规 9 2 4 4 4 2 3" xfId="8732" xr:uid="{00000000-0005-0000-0000-0000C18C0000}"/>
    <cellStyle name="常规 9 2 4 4 4 2 3 2" xfId="21020" xr:uid="{00000000-0005-0000-0000-0000C28C0000}"/>
    <cellStyle name="常规 9 2 4 4 4 2 3 2 2" xfId="45596" xr:uid="{00000000-0005-0000-0000-0000C38C0000}"/>
    <cellStyle name="常规 9 2 4 4 4 2 3 3" xfId="33308" xr:uid="{00000000-0005-0000-0000-0000C48C0000}"/>
    <cellStyle name="常规 9 2 4 4 4 2 4" xfId="14876" xr:uid="{00000000-0005-0000-0000-0000C58C0000}"/>
    <cellStyle name="常规 9 2 4 4 4 2 4 2" xfId="39452" xr:uid="{00000000-0005-0000-0000-0000C68C0000}"/>
    <cellStyle name="常规 9 2 4 4 4 2 5" xfId="27164" xr:uid="{00000000-0005-0000-0000-0000C78C0000}"/>
    <cellStyle name="常规 9 2 4 4 4 3" xfId="4124" xr:uid="{00000000-0005-0000-0000-0000C88C0000}"/>
    <cellStyle name="常规 9 2 4 4 4 3 2" xfId="10268" xr:uid="{00000000-0005-0000-0000-0000C98C0000}"/>
    <cellStyle name="常规 9 2 4 4 4 3 2 2" xfId="22556" xr:uid="{00000000-0005-0000-0000-0000CA8C0000}"/>
    <cellStyle name="常规 9 2 4 4 4 3 2 2 2" xfId="47132" xr:uid="{00000000-0005-0000-0000-0000CB8C0000}"/>
    <cellStyle name="常规 9 2 4 4 4 3 2 3" xfId="34844" xr:uid="{00000000-0005-0000-0000-0000CC8C0000}"/>
    <cellStyle name="常规 9 2 4 4 4 3 3" xfId="16412" xr:uid="{00000000-0005-0000-0000-0000CD8C0000}"/>
    <cellStyle name="常规 9 2 4 4 4 3 3 2" xfId="40988" xr:uid="{00000000-0005-0000-0000-0000CE8C0000}"/>
    <cellStyle name="常规 9 2 4 4 4 3 4" xfId="28700" xr:uid="{00000000-0005-0000-0000-0000CF8C0000}"/>
    <cellStyle name="常规 9 2 4 4 4 4" xfId="7196" xr:uid="{00000000-0005-0000-0000-0000D08C0000}"/>
    <cellStyle name="常规 9 2 4 4 4 4 2" xfId="19484" xr:uid="{00000000-0005-0000-0000-0000D18C0000}"/>
    <cellStyle name="常规 9 2 4 4 4 4 2 2" xfId="44060" xr:uid="{00000000-0005-0000-0000-0000D28C0000}"/>
    <cellStyle name="常规 9 2 4 4 4 4 3" xfId="31772" xr:uid="{00000000-0005-0000-0000-0000D38C0000}"/>
    <cellStyle name="常规 9 2 4 4 4 5" xfId="13340" xr:uid="{00000000-0005-0000-0000-0000D48C0000}"/>
    <cellStyle name="常规 9 2 4 4 4 5 2" xfId="37916" xr:uid="{00000000-0005-0000-0000-0000D58C0000}"/>
    <cellStyle name="常规 9 2 4 4 4 6" xfId="25628" xr:uid="{00000000-0005-0000-0000-0000D68C0000}"/>
    <cellStyle name="常规 9 2 4 4 5" xfId="1816" xr:uid="{00000000-0005-0000-0000-0000D78C0000}"/>
    <cellStyle name="常规 9 2 4 4 5 2" xfId="4892" xr:uid="{00000000-0005-0000-0000-0000D88C0000}"/>
    <cellStyle name="常规 9 2 4 4 5 2 2" xfId="11036" xr:uid="{00000000-0005-0000-0000-0000D98C0000}"/>
    <cellStyle name="常规 9 2 4 4 5 2 2 2" xfId="23324" xr:uid="{00000000-0005-0000-0000-0000DA8C0000}"/>
    <cellStyle name="常规 9 2 4 4 5 2 2 2 2" xfId="47900" xr:uid="{00000000-0005-0000-0000-0000DB8C0000}"/>
    <cellStyle name="常规 9 2 4 4 5 2 2 3" xfId="35612" xr:uid="{00000000-0005-0000-0000-0000DC8C0000}"/>
    <cellStyle name="常规 9 2 4 4 5 2 3" xfId="17180" xr:uid="{00000000-0005-0000-0000-0000DD8C0000}"/>
    <cellStyle name="常规 9 2 4 4 5 2 3 2" xfId="41756" xr:uid="{00000000-0005-0000-0000-0000DE8C0000}"/>
    <cellStyle name="常规 9 2 4 4 5 2 4" xfId="29468" xr:uid="{00000000-0005-0000-0000-0000DF8C0000}"/>
    <cellStyle name="常规 9 2 4 4 5 3" xfId="7964" xr:uid="{00000000-0005-0000-0000-0000E08C0000}"/>
    <cellStyle name="常规 9 2 4 4 5 3 2" xfId="20252" xr:uid="{00000000-0005-0000-0000-0000E18C0000}"/>
    <cellStyle name="常规 9 2 4 4 5 3 2 2" xfId="44828" xr:uid="{00000000-0005-0000-0000-0000E28C0000}"/>
    <cellStyle name="常规 9 2 4 4 5 3 3" xfId="32540" xr:uid="{00000000-0005-0000-0000-0000E38C0000}"/>
    <cellStyle name="常规 9 2 4 4 5 4" xfId="14108" xr:uid="{00000000-0005-0000-0000-0000E48C0000}"/>
    <cellStyle name="常规 9 2 4 4 5 4 2" xfId="38684" xr:uid="{00000000-0005-0000-0000-0000E58C0000}"/>
    <cellStyle name="常规 9 2 4 4 5 5" xfId="26396" xr:uid="{00000000-0005-0000-0000-0000E68C0000}"/>
    <cellStyle name="常规 9 2 4 4 6" xfId="3356" xr:uid="{00000000-0005-0000-0000-0000E78C0000}"/>
    <cellStyle name="常规 9 2 4 4 6 2" xfId="9500" xr:uid="{00000000-0005-0000-0000-0000E88C0000}"/>
    <cellStyle name="常规 9 2 4 4 6 2 2" xfId="21788" xr:uid="{00000000-0005-0000-0000-0000E98C0000}"/>
    <cellStyle name="常规 9 2 4 4 6 2 2 2" xfId="46364" xr:uid="{00000000-0005-0000-0000-0000EA8C0000}"/>
    <cellStyle name="常规 9 2 4 4 6 2 3" xfId="34076" xr:uid="{00000000-0005-0000-0000-0000EB8C0000}"/>
    <cellStyle name="常规 9 2 4 4 6 3" xfId="15644" xr:uid="{00000000-0005-0000-0000-0000EC8C0000}"/>
    <cellStyle name="常规 9 2 4 4 6 3 2" xfId="40220" xr:uid="{00000000-0005-0000-0000-0000ED8C0000}"/>
    <cellStyle name="常规 9 2 4 4 6 4" xfId="27932" xr:uid="{00000000-0005-0000-0000-0000EE8C0000}"/>
    <cellStyle name="常规 9 2 4 4 7" xfId="6428" xr:uid="{00000000-0005-0000-0000-0000EF8C0000}"/>
    <cellStyle name="常规 9 2 4 4 7 2" xfId="18716" xr:uid="{00000000-0005-0000-0000-0000F08C0000}"/>
    <cellStyle name="常规 9 2 4 4 7 2 2" xfId="43292" xr:uid="{00000000-0005-0000-0000-0000F18C0000}"/>
    <cellStyle name="常规 9 2 4 4 7 3" xfId="31004" xr:uid="{00000000-0005-0000-0000-0000F28C0000}"/>
    <cellStyle name="常规 9 2 4 4 8" xfId="12572" xr:uid="{00000000-0005-0000-0000-0000F38C0000}"/>
    <cellStyle name="常规 9 2 4 4 8 2" xfId="37148" xr:uid="{00000000-0005-0000-0000-0000F48C0000}"/>
    <cellStyle name="常规 9 2 4 4 9" xfId="24860" xr:uid="{00000000-0005-0000-0000-0000F58C0000}"/>
    <cellStyle name="常规 9 2 4 5" xfId="344" xr:uid="{00000000-0005-0000-0000-0000F68C0000}"/>
    <cellStyle name="常规 9 2 4 5 2" xfId="728" xr:uid="{00000000-0005-0000-0000-0000F78C0000}"/>
    <cellStyle name="常规 9 2 4 5 2 2" xfId="1496" xr:uid="{00000000-0005-0000-0000-0000F88C0000}"/>
    <cellStyle name="常规 9 2 4 5 2 2 2" xfId="3032" xr:uid="{00000000-0005-0000-0000-0000F98C0000}"/>
    <cellStyle name="常规 9 2 4 5 2 2 2 2" xfId="6108" xr:uid="{00000000-0005-0000-0000-0000FA8C0000}"/>
    <cellStyle name="常规 9 2 4 5 2 2 2 2 2" xfId="12252" xr:uid="{00000000-0005-0000-0000-0000FB8C0000}"/>
    <cellStyle name="常规 9 2 4 5 2 2 2 2 2 2" xfId="24540" xr:uid="{00000000-0005-0000-0000-0000FC8C0000}"/>
    <cellStyle name="常规 9 2 4 5 2 2 2 2 2 2 2" xfId="49116" xr:uid="{00000000-0005-0000-0000-0000FD8C0000}"/>
    <cellStyle name="常规 9 2 4 5 2 2 2 2 2 3" xfId="36828" xr:uid="{00000000-0005-0000-0000-0000FE8C0000}"/>
    <cellStyle name="常规 9 2 4 5 2 2 2 2 3" xfId="18396" xr:uid="{00000000-0005-0000-0000-0000FF8C0000}"/>
    <cellStyle name="常规 9 2 4 5 2 2 2 2 3 2" xfId="42972" xr:uid="{00000000-0005-0000-0000-0000008D0000}"/>
    <cellStyle name="常规 9 2 4 5 2 2 2 2 4" xfId="30684" xr:uid="{00000000-0005-0000-0000-0000018D0000}"/>
    <cellStyle name="常规 9 2 4 5 2 2 2 3" xfId="9180" xr:uid="{00000000-0005-0000-0000-0000028D0000}"/>
    <cellStyle name="常规 9 2 4 5 2 2 2 3 2" xfId="21468" xr:uid="{00000000-0005-0000-0000-0000038D0000}"/>
    <cellStyle name="常规 9 2 4 5 2 2 2 3 2 2" xfId="46044" xr:uid="{00000000-0005-0000-0000-0000048D0000}"/>
    <cellStyle name="常规 9 2 4 5 2 2 2 3 3" xfId="33756" xr:uid="{00000000-0005-0000-0000-0000058D0000}"/>
    <cellStyle name="常规 9 2 4 5 2 2 2 4" xfId="15324" xr:uid="{00000000-0005-0000-0000-0000068D0000}"/>
    <cellStyle name="常规 9 2 4 5 2 2 2 4 2" xfId="39900" xr:uid="{00000000-0005-0000-0000-0000078D0000}"/>
    <cellStyle name="常规 9 2 4 5 2 2 2 5" xfId="27612" xr:uid="{00000000-0005-0000-0000-0000088D0000}"/>
    <cellStyle name="常规 9 2 4 5 2 2 3" xfId="4572" xr:uid="{00000000-0005-0000-0000-0000098D0000}"/>
    <cellStyle name="常规 9 2 4 5 2 2 3 2" xfId="10716" xr:uid="{00000000-0005-0000-0000-00000A8D0000}"/>
    <cellStyle name="常规 9 2 4 5 2 2 3 2 2" xfId="23004" xr:uid="{00000000-0005-0000-0000-00000B8D0000}"/>
    <cellStyle name="常规 9 2 4 5 2 2 3 2 2 2" xfId="47580" xr:uid="{00000000-0005-0000-0000-00000C8D0000}"/>
    <cellStyle name="常规 9 2 4 5 2 2 3 2 3" xfId="35292" xr:uid="{00000000-0005-0000-0000-00000D8D0000}"/>
    <cellStyle name="常规 9 2 4 5 2 2 3 3" xfId="16860" xr:uid="{00000000-0005-0000-0000-00000E8D0000}"/>
    <cellStyle name="常规 9 2 4 5 2 2 3 3 2" xfId="41436" xr:uid="{00000000-0005-0000-0000-00000F8D0000}"/>
    <cellStyle name="常规 9 2 4 5 2 2 3 4" xfId="29148" xr:uid="{00000000-0005-0000-0000-0000108D0000}"/>
    <cellStyle name="常规 9 2 4 5 2 2 4" xfId="7644" xr:uid="{00000000-0005-0000-0000-0000118D0000}"/>
    <cellStyle name="常规 9 2 4 5 2 2 4 2" xfId="19932" xr:uid="{00000000-0005-0000-0000-0000128D0000}"/>
    <cellStyle name="常规 9 2 4 5 2 2 4 2 2" xfId="44508" xr:uid="{00000000-0005-0000-0000-0000138D0000}"/>
    <cellStyle name="常规 9 2 4 5 2 2 4 3" xfId="32220" xr:uid="{00000000-0005-0000-0000-0000148D0000}"/>
    <cellStyle name="常规 9 2 4 5 2 2 5" xfId="13788" xr:uid="{00000000-0005-0000-0000-0000158D0000}"/>
    <cellStyle name="常规 9 2 4 5 2 2 5 2" xfId="38364" xr:uid="{00000000-0005-0000-0000-0000168D0000}"/>
    <cellStyle name="常规 9 2 4 5 2 2 6" xfId="26076" xr:uid="{00000000-0005-0000-0000-0000178D0000}"/>
    <cellStyle name="常规 9 2 4 5 2 3" xfId="2264" xr:uid="{00000000-0005-0000-0000-0000188D0000}"/>
    <cellStyle name="常规 9 2 4 5 2 3 2" xfId="5340" xr:uid="{00000000-0005-0000-0000-0000198D0000}"/>
    <cellStyle name="常规 9 2 4 5 2 3 2 2" xfId="11484" xr:uid="{00000000-0005-0000-0000-00001A8D0000}"/>
    <cellStyle name="常规 9 2 4 5 2 3 2 2 2" xfId="23772" xr:uid="{00000000-0005-0000-0000-00001B8D0000}"/>
    <cellStyle name="常规 9 2 4 5 2 3 2 2 2 2" xfId="48348" xr:uid="{00000000-0005-0000-0000-00001C8D0000}"/>
    <cellStyle name="常规 9 2 4 5 2 3 2 2 3" xfId="36060" xr:uid="{00000000-0005-0000-0000-00001D8D0000}"/>
    <cellStyle name="常规 9 2 4 5 2 3 2 3" xfId="17628" xr:uid="{00000000-0005-0000-0000-00001E8D0000}"/>
    <cellStyle name="常规 9 2 4 5 2 3 2 3 2" xfId="42204" xr:uid="{00000000-0005-0000-0000-00001F8D0000}"/>
    <cellStyle name="常规 9 2 4 5 2 3 2 4" xfId="29916" xr:uid="{00000000-0005-0000-0000-0000208D0000}"/>
    <cellStyle name="常规 9 2 4 5 2 3 3" xfId="8412" xr:uid="{00000000-0005-0000-0000-0000218D0000}"/>
    <cellStyle name="常规 9 2 4 5 2 3 3 2" xfId="20700" xr:uid="{00000000-0005-0000-0000-0000228D0000}"/>
    <cellStyle name="常规 9 2 4 5 2 3 3 2 2" xfId="45276" xr:uid="{00000000-0005-0000-0000-0000238D0000}"/>
    <cellStyle name="常规 9 2 4 5 2 3 3 3" xfId="32988" xr:uid="{00000000-0005-0000-0000-0000248D0000}"/>
    <cellStyle name="常规 9 2 4 5 2 3 4" xfId="14556" xr:uid="{00000000-0005-0000-0000-0000258D0000}"/>
    <cellStyle name="常规 9 2 4 5 2 3 4 2" xfId="39132" xr:uid="{00000000-0005-0000-0000-0000268D0000}"/>
    <cellStyle name="常规 9 2 4 5 2 3 5" xfId="26844" xr:uid="{00000000-0005-0000-0000-0000278D0000}"/>
    <cellStyle name="常规 9 2 4 5 2 4" xfId="3804" xr:uid="{00000000-0005-0000-0000-0000288D0000}"/>
    <cellStyle name="常规 9 2 4 5 2 4 2" xfId="9948" xr:uid="{00000000-0005-0000-0000-0000298D0000}"/>
    <cellStyle name="常规 9 2 4 5 2 4 2 2" xfId="22236" xr:uid="{00000000-0005-0000-0000-00002A8D0000}"/>
    <cellStyle name="常规 9 2 4 5 2 4 2 2 2" xfId="46812" xr:uid="{00000000-0005-0000-0000-00002B8D0000}"/>
    <cellStyle name="常规 9 2 4 5 2 4 2 3" xfId="34524" xr:uid="{00000000-0005-0000-0000-00002C8D0000}"/>
    <cellStyle name="常规 9 2 4 5 2 4 3" xfId="16092" xr:uid="{00000000-0005-0000-0000-00002D8D0000}"/>
    <cellStyle name="常规 9 2 4 5 2 4 3 2" xfId="40668" xr:uid="{00000000-0005-0000-0000-00002E8D0000}"/>
    <cellStyle name="常规 9 2 4 5 2 4 4" xfId="28380" xr:uid="{00000000-0005-0000-0000-00002F8D0000}"/>
    <cellStyle name="常规 9 2 4 5 2 5" xfId="6876" xr:uid="{00000000-0005-0000-0000-0000308D0000}"/>
    <cellStyle name="常规 9 2 4 5 2 5 2" xfId="19164" xr:uid="{00000000-0005-0000-0000-0000318D0000}"/>
    <cellStyle name="常规 9 2 4 5 2 5 2 2" xfId="43740" xr:uid="{00000000-0005-0000-0000-0000328D0000}"/>
    <cellStyle name="常规 9 2 4 5 2 5 3" xfId="31452" xr:uid="{00000000-0005-0000-0000-0000338D0000}"/>
    <cellStyle name="常规 9 2 4 5 2 6" xfId="13020" xr:uid="{00000000-0005-0000-0000-0000348D0000}"/>
    <cellStyle name="常规 9 2 4 5 2 6 2" xfId="37596" xr:uid="{00000000-0005-0000-0000-0000358D0000}"/>
    <cellStyle name="常规 9 2 4 5 2 7" xfId="25308" xr:uid="{00000000-0005-0000-0000-0000368D0000}"/>
    <cellStyle name="常规 9 2 4 5 3" xfId="1112" xr:uid="{00000000-0005-0000-0000-0000378D0000}"/>
    <cellStyle name="常规 9 2 4 5 3 2" xfId="2648" xr:uid="{00000000-0005-0000-0000-0000388D0000}"/>
    <cellStyle name="常规 9 2 4 5 3 2 2" xfId="5724" xr:uid="{00000000-0005-0000-0000-0000398D0000}"/>
    <cellStyle name="常规 9 2 4 5 3 2 2 2" xfId="11868" xr:uid="{00000000-0005-0000-0000-00003A8D0000}"/>
    <cellStyle name="常规 9 2 4 5 3 2 2 2 2" xfId="24156" xr:uid="{00000000-0005-0000-0000-00003B8D0000}"/>
    <cellStyle name="常规 9 2 4 5 3 2 2 2 2 2" xfId="48732" xr:uid="{00000000-0005-0000-0000-00003C8D0000}"/>
    <cellStyle name="常规 9 2 4 5 3 2 2 2 3" xfId="36444" xr:uid="{00000000-0005-0000-0000-00003D8D0000}"/>
    <cellStyle name="常规 9 2 4 5 3 2 2 3" xfId="18012" xr:uid="{00000000-0005-0000-0000-00003E8D0000}"/>
    <cellStyle name="常规 9 2 4 5 3 2 2 3 2" xfId="42588" xr:uid="{00000000-0005-0000-0000-00003F8D0000}"/>
    <cellStyle name="常规 9 2 4 5 3 2 2 4" xfId="30300" xr:uid="{00000000-0005-0000-0000-0000408D0000}"/>
    <cellStyle name="常规 9 2 4 5 3 2 3" xfId="8796" xr:uid="{00000000-0005-0000-0000-0000418D0000}"/>
    <cellStyle name="常规 9 2 4 5 3 2 3 2" xfId="21084" xr:uid="{00000000-0005-0000-0000-0000428D0000}"/>
    <cellStyle name="常规 9 2 4 5 3 2 3 2 2" xfId="45660" xr:uid="{00000000-0005-0000-0000-0000438D0000}"/>
    <cellStyle name="常规 9 2 4 5 3 2 3 3" xfId="33372" xr:uid="{00000000-0005-0000-0000-0000448D0000}"/>
    <cellStyle name="常规 9 2 4 5 3 2 4" xfId="14940" xr:uid="{00000000-0005-0000-0000-0000458D0000}"/>
    <cellStyle name="常规 9 2 4 5 3 2 4 2" xfId="39516" xr:uid="{00000000-0005-0000-0000-0000468D0000}"/>
    <cellStyle name="常规 9 2 4 5 3 2 5" xfId="27228" xr:uid="{00000000-0005-0000-0000-0000478D0000}"/>
    <cellStyle name="常规 9 2 4 5 3 3" xfId="4188" xr:uid="{00000000-0005-0000-0000-0000488D0000}"/>
    <cellStyle name="常规 9 2 4 5 3 3 2" xfId="10332" xr:uid="{00000000-0005-0000-0000-0000498D0000}"/>
    <cellStyle name="常规 9 2 4 5 3 3 2 2" xfId="22620" xr:uid="{00000000-0005-0000-0000-00004A8D0000}"/>
    <cellStyle name="常规 9 2 4 5 3 3 2 2 2" xfId="47196" xr:uid="{00000000-0005-0000-0000-00004B8D0000}"/>
    <cellStyle name="常规 9 2 4 5 3 3 2 3" xfId="34908" xr:uid="{00000000-0005-0000-0000-00004C8D0000}"/>
    <cellStyle name="常规 9 2 4 5 3 3 3" xfId="16476" xr:uid="{00000000-0005-0000-0000-00004D8D0000}"/>
    <cellStyle name="常规 9 2 4 5 3 3 3 2" xfId="41052" xr:uid="{00000000-0005-0000-0000-00004E8D0000}"/>
    <cellStyle name="常规 9 2 4 5 3 3 4" xfId="28764" xr:uid="{00000000-0005-0000-0000-00004F8D0000}"/>
    <cellStyle name="常规 9 2 4 5 3 4" xfId="7260" xr:uid="{00000000-0005-0000-0000-0000508D0000}"/>
    <cellStyle name="常规 9 2 4 5 3 4 2" xfId="19548" xr:uid="{00000000-0005-0000-0000-0000518D0000}"/>
    <cellStyle name="常规 9 2 4 5 3 4 2 2" xfId="44124" xr:uid="{00000000-0005-0000-0000-0000528D0000}"/>
    <cellStyle name="常规 9 2 4 5 3 4 3" xfId="31836" xr:uid="{00000000-0005-0000-0000-0000538D0000}"/>
    <cellStyle name="常规 9 2 4 5 3 5" xfId="13404" xr:uid="{00000000-0005-0000-0000-0000548D0000}"/>
    <cellStyle name="常规 9 2 4 5 3 5 2" xfId="37980" xr:uid="{00000000-0005-0000-0000-0000558D0000}"/>
    <cellStyle name="常规 9 2 4 5 3 6" xfId="25692" xr:uid="{00000000-0005-0000-0000-0000568D0000}"/>
    <cellStyle name="常规 9 2 4 5 4" xfId="1880" xr:uid="{00000000-0005-0000-0000-0000578D0000}"/>
    <cellStyle name="常规 9 2 4 5 4 2" xfId="4956" xr:uid="{00000000-0005-0000-0000-0000588D0000}"/>
    <cellStyle name="常规 9 2 4 5 4 2 2" xfId="11100" xr:uid="{00000000-0005-0000-0000-0000598D0000}"/>
    <cellStyle name="常规 9 2 4 5 4 2 2 2" xfId="23388" xr:uid="{00000000-0005-0000-0000-00005A8D0000}"/>
    <cellStyle name="常规 9 2 4 5 4 2 2 2 2" xfId="47964" xr:uid="{00000000-0005-0000-0000-00005B8D0000}"/>
    <cellStyle name="常规 9 2 4 5 4 2 2 3" xfId="35676" xr:uid="{00000000-0005-0000-0000-00005C8D0000}"/>
    <cellStyle name="常规 9 2 4 5 4 2 3" xfId="17244" xr:uid="{00000000-0005-0000-0000-00005D8D0000}"/>
    <cellStyle name="常规 9 2 4 5 4 2 3 2" xfId="41820" xr:uid="{00000000-0005-0000-0000-00005E8D0000}"/>
    <cellStyle name="常规 9 2 4 5 4 2 4" xfId="29532" xr:uid="{00000000-0005-0000-0000-00005F8D0000}"/>
    <cellStyle name="常规 9 2 4 5 4 3" xfId="8028" xr:uid="{00000000-0005-0000-0000-0000608D0000}"/>
    <cellStyle name="常规 9 2 4 5 4 3 2" xfId="20316" xr:uid="{00000000-0005-0000-0000-0000618D0000}"/>
    <cellStyle name="常规 9 2 4 5 4 3 2 2" xfId="44892" xr:uid="{00000000-0005-0000-0000-0000628D0000}"/>
    <cellStyle name="常规 9 2 4 5 4 3 3" xfId="32604" xr:uid="{00000000-0005-0000-0000-0000638D0000}"/>
    <cellStyle name="常规 9 2 4 5 4 4" xfId="14172" xr:uid="{00000000-0005-0000-0000-0000648D0000}"/>
    <cellStyle name="常规 9 2 4 5 4 4 2" xfId="38748" xr:uid="{00000000-0005-0000-0000-0000658D0000}"/>
    <cellStyle name="常规 9 2 4 5 4 5" xfId="26460" xr:uid="{00000000-0005-0000-0000-0000668D0000}"/>
    <cellStyle name="常规 9 2 4 5 5" xfId="3420" xr:uid="{00000000-0005-0000-0000-0000678D0000}"/>
    <cellStyle name="常规 9 2 4 5 5 2" xfId="9564" xr:uid="{00000000-0005-0000-0000-0000688D0000}"/>
    <cellStyle name="常规 9 2 4 5 5 2 2" xfId="21852" xr:uid="{00000000-0005-0000-0000-0000698D0000}"/>
    <cellStyle name="常规 9 2 4 5 5 2 2 2" xfId="46428" xr:uid="{00000000-0005-0000-0000-00006A8D0000}"/>
    <cellStyle name="常规 9 2 4 5 5 2 3" xfId="34140" xr:uid="{00000000-0005-0000-0000-00006B8D0000}"/>
    <cellStyle name="常规 9 2 4 5 5 3" xfId="15708" xr:uid="{00000000-0005-0000-0000-00006C8D0000}"/>
    <cellStyle name="常规 9 2 4 5 5 3 2" xfId="40284" xr:uid="{00000000-0005-0000-0000-00006D8D0000}"/>
    <cellStyle name="常规 9 2 4 5 5 4" xfId="27996" xr:uid="{00000000-0005-0000-0000-00006E8D0000}"/>
    <cellStyle name="常规 9 2 4 5 6" xfId="6492" xr:uid="{00000000-0005-0000-0000-00006F8D0000}"/>
    <cellStyle name="常规 9 2 4 5 6 2" xfId="18780" xr:uid="{00000000-0005-0000-0000-0000708D0000}"/>
    <cellStyle name="常规 9 2 4 5 6 2 2" xfId="43356" xr:uid="{00000000-0005-0000-0000-0000718D0000}"/>
    <cellStyle name="常规 9 2 4 5 6 3" xfId="31068" xr:uid="{00000000-0005-0000-0000-0000728D0000}"/>
    <cellStyle name="常规 9 2 4 5 7" xfId="12636" xr:uid="{00000000-0005-0000-0000-0000738D0000}"/>
    <cellStyle name="常规 9 2 4 5 7 2" xfId="37212" xr:uid="{00000000-0005-0000-0000-0000748D0000}"/>
    <cellStyle name="常规 9 2 4 5 8" xfId="24924" xr:uid="{00000000-0005-0000-0000-0000758D0000}"/>
    <cellStyle name="常规 9 2 4 6" xfId="536" xr:uid="{00000000-0005-0000-0000-0000768D0000}"/>
    <cellStyle name="常规 9 2 4 6 2" xfId="1304" xr:uid="{00000000-0005-0000-0000-0000778D0000}"/>
    <cellStyle name="常规 9 2 4 6 2 2" xfId="2840" xr:uid="{00000000-0005-0000-0000-0000788D0000}"/>
    <cellStyle name="常规 9 2 4 6 2 2 2" xfId="5916" xr:uid="{00000000-0005-0000-0000-0000798D0000}"/>
    <cellStyle name="常规 9 2 4 6 2 2 2 2" xfId="12060" xr:uid="{00000000-0005-0000-0000-00007A8D0000}"/>
    <cellStyle name="常规 9 2 4 6 2 2 2 2 2" xfId="24348" xr:uid="{00000000-0005-0000-0000-00007B8D0000}"/>
    <cellStyle name="常规 9 2 4 6 2 2 2 2 2 2" xfId="48924" xr:uid="{00000000-0005-0000-0000-00007C8D0000}"/>
    <cellStyle name="常规 9 2 4 6 2 2 2 2 3" xfId="36636" xr:uid="{00000000-0005-0000-0000-00007D8D0000}"/>
    <cellStyle name="常规 9 2 4 6 2 2 2 3" xfId="18204" xr:uid="{00000000-0005-0000-0000-00007E8D0000}"/>
    <cellStyle name="常规 9 2 4 6 2 2 2 3 2" xfId="42780" xr:uid="{00000000-0005-0000-0000-00007F8D0000}"/>
    <cellStyle name="常规 9 2 4 6 2 2 2 4" xfId="30492" xr:uid="{00000000-0005-0000-0000-0000808D0000}"/>
    <cellStyle name="常规 9 2 4 6 2 2 3" xfId="8988" xr:uid="{00000000-0005-0000-0000-0000818D0000}"/>
    <cellStyle name="常规 9 2 4 6 2 2 3 2" xfId="21276" xr:uid="{00000000-0005-0000-0000-0000828D0000}"/>
    <cellStyle name="常规 9 2 4 6 2 2 3 2 2" xfId="45852" xr:uid="{00000000-0005-0000-0000-0000838D0000}"/>
    <cellStyle name="常规 9 2 4 6 2 2 3 3" xfId="33564" xr:uid="{00000000-0005-0000-0000-0000848D0000}"/>
    <cellStyle name="常规 9 2 4 6 2 2 4" xfId="15132" xr:uid="{00000000-0005-0000-0000-0000858D0000}"/>
    <cellStyle name="常规 9 2 4 6 2 2 4 2" xfId="39708" xr:uid="{00000000-0005-0000-0000-0000868D0000}"/>
    <cellStyle name="常规 9 2 4 6 2 2 5" xfId="27420" xr:uid="{00000000-0005-0000-0000-0000878D0000}"/>
    <cellStyle name="常规 9 2 4 6 2 3" xfId="4380" xr:uid="{00000000-0005-0000-0000-0000888D0000}"/>
    <cellStyle name="常规 9 2 4 6 2 3 2" xfId="10524" xr:uid="{00000000-0005-0000-0000-0000898D0000}"/>
    <cellStyle name="常规 9 2 4 6 2 3 2 2" xfId="22812" xr:uid="{00000000-0005-0000-0000-00008A8D0000}"/>
    <cellStyle name="常规 9 2 4 6 2 3 2 2 2" xfId="47388" xr:uid="{00000000-0005-0000-0000-00008B8D0000}"/>
    <cellStyle name="常规 9 2 4 6 2 3 2 3" xfId="35100" xr:uid="{00000000-0005-0000-0000-00008C8D0000}"/>
    <cellStyle name="常规 9 2 4 6 2 3 3" xfId="16668" xr:uid="{00000000-0005-0000-0000-00008D8D0000}"/>
    <cellStyle name="常规 9 2 4 6 2 3 3 2" xfId="41244" xr:uid="{00000000-0005-0000-0000-00008E8D0000}"/>
    <cellStyle name="常规 9 2 4 6 2 3 4" xfId="28956" xr:uid="{00000000-0005-0000-0000-00008F8D0000}"/>
    <cellStyle name="常规 9 2 4 6 2 4" xfId="7452" xr:uid="{00000000-0005-0000-0000-0000908D0000}"/>
    <cellStyle name="常规 9 2 4 6 2 4 2" xfId="19740" xr:uid="{00000000-0005-0000-0000-0000918D0000}"/>
    <cellStyle name="常规 9 2 4 6 2 4 2 2" xfId="44316" xr:uid="{00000000-0005-0000-0000-0000928D0000}"/>
    <cellStyle name="常规 9 2 4 6 2 4 3" xfId="32028" xr:uid="{00000000-0005-0000-0000-0000938D0000}"/>
    <cellStyle name="常规 9 2 4 6 2 5" xfId="13596" xr:uid="{00000000-0005-0000-0000-0000948D0000}"/>
    <cellStyle name="常规 9 2 4 6 2 5 2" xfId="38172" xr:uid="{00000000-0005-0000-0000-0000958D0000}"/>
    <cellStyle name="常规 9 2 4 6 2 6" xfId="25884" xr:uid="{00000000-0005-0000-0000-0000968D0000}"/>
    <cellStyle name="常规 9 2 4 6 3" xfId="2072" xr:uid="{00000000-0005-0000-0000-0000978D0000}"/>
    <cellStyle name="常规 9 2 4 6 3 2" xfId="5148" xr:uid="{00000000-0005-0000-0000-0000988D0000}"/>
    <cellStyle name="常规 9 2 4 6 3 2 2" xfId="11292" xr:uid="{00000000-0005-0000-0000-0000998D0000}"/>
    <cellStyle name="常规 9 2 4 6 3 2 2 2" xfId="23580" xr:uid="{00000000-0005-0000-0000-00009A8D0000}"/>
    <cellStyle name="常规 9 2 4 6 3 2 2 2 2" xfId="48156" xr:uid="{00000000-0005-0000-0000-00009B8D0000}"/>
    <cellStyle name="常规 9 2 4 6 3 2 2 3" xfId="35868" xr:uid="{00000000-0005-0000-0000-00009C8D0000}"/>
    <cellStyle name="常规 9 2 4 6 3 2 3" xfId="17436" xr:uid="{00000000-0005-0000-0000-00009D8D0000}"/>
    <cellStyle name="常规 9 2 4 6 3 2 3 2" xfId="42012" xr:uid="{00000000-0005-0000-0000-00009E8D0000}"/>
    <cellStyle name="常规 9 2 4 6 3 2 4" xfId="29724" xr:uid="{00000000-0005-0000-0000-00009F8D0000}"/>
    <cellStyle name="常规 9 2 4 6 3 3" xfId="8220" xr:uid="{00000000-0005-0000-0000-0000A08D0000}"/>
    <cellStyle name="常规 9 2 4 6 3 3 2" xfId="20508" xr:uid="{00000000-0005-0000-0000-0000A18D0000}"/>
    <cellStyle name="常规 9 2 4 6 3 3 2 2" xfId="45084" xr:uid="{00000000-0005-0000-0000-0000A28D0000}"/>
    <cellStyle name="常规 9 2 4 6 3 3 3" xfId="32796" xr:uid="{00000000-0005-0000-0000-0000A38D0000}"/>
    <cellStyle name="常规 9 2 4 6 3 4" xfId="14364" xr:uid="{00000000-0005-0000-0000-0000A48D0000}"/>
    <cellStyle name="常规 9 2 4 6 3 4 2" xfId="38940" xr:uid="{00000000-0005-0000-0000-0000A58D0000}"/>
    <cellStyle name="常规 9 2 4 6 3 5" xfId="26652" xr:uid="{00000000-0005-0000-0000-0000A68D0000}"/>
    <cellStyle name="常规 9 2 4 6 4" xfId="3612" xr:uid="{00000000-0005-0000-0000-0000A78D0000}"/>
    <cellStyle name="常规 9 2 4 6 4 2" xfId="9756" xr:uid="{00000000-0005-0000-0000-0000A88D0000}"/>
    <cellStyle name="常规 9 2 4 6 4 2 2" xfId="22044" xr:uid="{00000000-0005-0000-0000-0000A98D0000}"/>
    <cellStyle name="常规 9 2 4 6 4 2 2 2" xfId="46620" xr:uid="{00000000-0005-0000-0000-0000AA8D0000}"/>
    <cellStyle name="常规 9 2 4 6 4 2 3" xfId="34332" xr:uid="{00000000-0005-0000-0000-0000AB8D0000}"/>
    <cellStyle name="常规 9 2 4 6 4 3" xfId="15900" xr:uid="{00000000-0005-0000-0000-0000AC8D0000}"/>
    <cellStyle name="常规 9 2 4 6 4 3 2" xfId="40476" xr:uid="{00000000-0005-0000-0000-0000AD8D0000}"/>
    <cellStyle name="常规 9 2 4 6 4 4" xfId="28188" xr:uid="{00000000-0005-0000-0000-0000AE8D0000}"/>
    <cellStyle name="常规 9 2 4 6 5" xfId="6684" xr:uid="{00000000-0005-0000-0000-0000AF8D0000}"/>
    <cellStyle name="常规 9 2 4 6 5 2" xfId="18972" xr:uid="{00000000-0005-0000-0000-0000B08D0000}"/>
    <cellStyle name="常规 9 2 4 6 5 2 2" xfId="43548" xr:uid="{00000000-0005-0000-0000-0000B18D0000}"/>
    <cellStyle name="常规 9 2 4 6 5 3" xfId="31260" xr:uid="{00000000-0005-0000-0000-0000B28D0000}"/>
    <cellStyle name="常规 9 2 4 6 6" xfId="12828" xr:uid="{00000000-0005-0000-0000-0000B38D0000}"/>
    <cellStyle name="常规 9 2 4 6 6 2" xfId="37404" xr:uid="{00000000-0005-0000-0000-0000B48D0000}"/>
    <cellStyle name="常规 9 2 4 6 7" xfId="25116" xr:uid="{00000000-0005-0000-0000-0000B58D0000}"/>
    <cellStyle name="常规 9 2 4 7" xfId="920" xr:uid="{00000000-0005-0000-0000-0000B68D0000}"/>
    <cellStyle name="常规 9 2 4 7 2" xfId="2456" xr:uid="{00000000-0005-0000-0000-0000B78D0000}"/>
    <cellStyle name="常规 9 2 4 7 2 2" xfId="5532" xr:uid="{00000000-0005-0000-0000-0000B88D0000}"/>
    <cellStyle name="常规 9 2 4 7 2 2 2" xfId="11676" xr:uid="{00000000-0005-0000-0000-0000B98D0000}"/>
    <cellStyle name="常规 9 2 4 7 2 2 2 2" xfId="23964" xr:uid="{00000000-0005-0000-0000-0000BA8D0000}"/>
    <cellStyle name="常规 9 2 4 7 2 2 2 2 2" xfId="48540" xr:uid="{00000000-0005-0000-0000-0000BB8D0000}"/>
    <cellStyle name="常规 9 2 4 7 2 2 2 3" xfId="36252" xr:uid="{00000000-0005-0000-0000-0000BC8D0000}"/>
    <cellStyle name="常规 9 2 4 7 2 2 3" xfId="17820" xr:uid="{00000000-0005-0000-0000-0000BD8D0000}"/>
    <cellStyle name="常规 9 2 4 7 2 2 3 2" xfId="42396" xr:uid="{00000000-0005-0000-0000-0000BE8D0000}"/>
    <cellStyle name="常规 9 2 4 7 2 2 4" xfId="30108" xr:uid="{00000000-0005-0000-0000-0000BF8D0000}"/>
    <cellStyle name="常规 9 2 4 7 2 3" xfId="8604" xr:uid="{00000000-0005-0000-0000-0000C08D0000}"/>
    <cellStyle name="常规 9 2 4 7 2 3 2" xfId="20892" xr:uid="{00000000-0005-0000-0000-0000C18D0000}"/>
    <cellStyle name="常规 9 2 4 7 2 3 2 2" xfId="45468" xr:uid="{00000000-0005-0000-0000-0000C28D0000}"/>
    <cellStyle name="常规 9 2 4 7 2 3 3" xfId="33180" xr:uid="{00000000-0005-0000-0000-0000C38D0000}"/>
    <cellStyle name="常规 9 2 4 7 2 4" xfId="14748" xr:uid="{00000000-0005-0000-0000-0000C48D0000}"/>
    <cellStyle name="常规 9 2 4 7 2 4 2" xfId="39324" xr:uid="{00000000-0005-0000-0000-0000C58D0000}"/>
    <cellStyle name="常规 9 2 4 7 2 5" xfId="27036" xr:uid="{00000000-0005-0000-0000-0000C68D0000}"/>
    <cellStyle name="常规 9 2 4 7 3" xfId="3996" xr:uid="{00000000-0005-0000-0000-0000C78D0000}"/>
    <cellStyle name="常规 9 2 4 7 3 2" xfId="10140" xr:uid="{00000000-0005-0000-0000-0000C88D0000}"/>
    <cellStyle name="常规 9 2 4 7 3 2 2" xfId="22428" xr:uid="{00000000-0005-0000-0000-0000C98D0000}"/>
    <cellStyle name="常规 9 2 4 7 3 2 2 2" xfId="47004" xr:uid="{00000000-0005-0000-0000-0000CA8D0000}"/>
    <cellStyle name="常规 9 2 4 7 3 2 3" xfId="34716" xr:uid="{00000000-0005-0000-0000-0000CB8D0000}"/>
    <cellStyle name="常规 9 2 4 7 3 3" xfId="16284" xr:uid="{00000000-0005-0000-0000-0000CC8D0000}"/>
    <cellStyle name="常规 9 2 4 7 3 3 2" xfId="40860" xr:uid="{00000000-0005-0000-0000-0000CD8D0000}"/>
    <cellStyle name="常规 9 2 4 7 3 4" xfId="28572" xr:uid="{00000000-0005-0000-0000-0000CE8D0000}"/>
    <cellStyle name="常规 9 2 4 7 4" xfId="7068" xr:uid="{00000000-0005-0000-0000-0000CF8D0000}"/>
    <cellStyle name="常规 9 2 4 7 4 2" xfId="19356" xr:uid="{00000000-0005-0000-0000-0000D08D0000}"/>
    <cellStyle name="常规 9 2 4 7 4 2 2" xfId="43932" xr:uid="{00000000-0005-0000-0000-0000D18D0000}"/>
    <cellStyle name="常规 9 2 4 7 4 3" xfId="31644" xr:uid="{00000000-0005-0000-0000-0000D28D0000}"/>
    <cellStyle name="常规 9 2 4 7 5" xfId="13212" xr:uid="{00000000-0005-0000-0000-0000D38D0000}"/>
    <cellStyle name="常规 9 2 4 7 5 2" xfId="37788" xr:uid="{00000000-0005-0000-0000-0000D48D0000}"/>
    <cellStyle name="常规 9 2 4 7 6" xfId="25500" xr:uid="{00000000-0005-0000-0000-0000D58D0000}"/>
    <cellStyle name="常规 9 2 4 8" xfId="1688" xr:uid="{00000000-0005-0000-0000-0000D68D0000}"/>
    <cellStyle name="常规 9 2 4 8 2" xfId="4764" xr:uid="{00000000-0005-0000-0000-0000D78D0000}"/>
    <cellStyle name="常规 9 2 4 8 2 2" xfId="10908" xr:uid="{00000000-0005-0000-0000-0000D88D0000}"/>
    <cellStyle name="常规 9 2 4 8 2 2 2" xfId="23196" xr:uid="{00000000-0005-0000-0000-0000D98D0000}"/>
    <cellStyle name="常规 9 2 4 8 2 2 2 2" xfId="47772" xr:uid="{00000000-0005-0000-0000-0000DA8D0000}"/>
    <cellStyle name="常规 9 2 4 8 2 2 3" xfId="35484" xr:uid="{00000000-0005-0000-0000-0000DB8D0000}"/>
    <cellStyle name="常规 9 2 4 8 2 3" xfId="17052" xr:uid="{00000000-0005-0000-0000-0000DC8D0000}"/>
    <cellStyle name="常规 9 2 4 8 2 3 2" xfId="41628" xr:uid="{00000000-0005-0000-0000-0000DD8D0000}"/>
    <cellStyle name="常规 9 2 4 8 2 4" xfId="29340" xr:uid="{00000000-0005-0000-0000-0000DE8D0000}"/>
    <cellStyle name="常规 9 2 4 8 3" xfId="7836" xr:uid="{00000000-0005-0000-0000-0000DF8D0000}"/>
    <cellStyle name="常规 9 2 4 8 3 2" xfId="20124" xr:uid="{00000000-0005-0000-0000-0000E08D0000}"/>
    <cellStyle name="常规 9 2 4 8 3 2 2" xfId="44700" xr:uid="{00000000-0005-0000-0000-0000E18D0000}"/>
    <cellStyle name="常规 9 2 4 8 3 3" xfId="32412" xr:uid="{00000000-0005-0000-0000-0000E28D0000}"/>
    <cellStyle name="常规 9 2 4 8 4" xfId="13980" xr:uid="{00000000-0005-0000-0000-0000E38D0000}"/>
    <cellStyle name="常规 9 2 4 8 4 2" xfId="38556" xr:uid="{00000000-0005-0000-0000-0000E48D0000}"/>
    <cellStyle name="常规 9 2 4 8 5" xfId="26268" xr:uid="{00000000-0005-0000-0000-0000E58D0000}"/>
    <cellStyle name="常规 9 2 4 9" xfId="3228" xr:uid="{00000000-0005-0000-0000-0000E68D0000}"/>
    <cellStyle name="常规 9 2 4 9 2" xfId="9372" xr:uid="{00000000-0005-0000-0000-0000E78D0000}"/>
    <cellStyle name="常规 9 2 4 9 2 2" xfId="21660" xr:uid="{00000000-0005-0000-0000-0000E88D0000}"/>
    <cellStyle name="常规 9 2 4 9 2 2 2" xfId="46236" xr:uid="{00000000-0005-0000-0000-0000E98D0000}"/>
    <cellStyle name="常规 9 2 4 9 2 3" xfId="33948" xr:uid="{00000000-0005-0000-0000-0000EA8D0000}"/>
    <cellStyle name="常规 9 2 4 9 3" xfId="15516" xr:uid="{00000000-0005-0000-0000-0000EB8D0000}"/>
    <cellStyle name="常规 9 2 4 9 3 2" xfId="40092" xr:uid="{00000000-0005-0000-0000-0000EC8D0000}"/>
    <cellStyle name="常规 9 2 4 9 4" xfId="27804" xr:uid="{00000000-0005-0000-0000-0000ED8D0000}"/>
    <cellStyle name="常规 9 2 5" xfId="167" xr:uid="{00000000-0005-0000-0000-0000EE8D0000}"/>
    <cellStyle name="常规 9 2 5 10" xfId="12460" xr:uid="{00000000-0005-0000-0000-0000EF8D0000}"/>
    <cellStyle name="常规 9 2 5 10 2" xfId="37036" xr:uid="{00000000-0005-0000-0000-0000F08D0000}"/>
    <cellStyle name="常规 9 2 5 11" xfId="24748" xr:uid="{00000000-0005-0000-0000-0000F18D0000}"/>
    <cellStyle name="常规 9 2 5 2" xfId="232" xr:uid="{00000000-0005-0000-0000-0000F28D0000}"/>
    <cellStyle name="常规 9 2 5 2 2" xfId="424" xr:uid="{00000000-0005-0000-0000-0000F38D0000}"/>
    <cellStyle name="常规 9 2 5 2 2 2" xfId="808" xr:uid="{00000000-0005-0000-0000-0000F48D0000}"/>
    <cellStyle name="常规 9 2 5 2 2 2 2" xfId="1576" xr:uid="{00000000-0005-0000-0000-0000F58D0000}"/>
    <cellStyle name="常规 9 2 5 2 2 2 2 2" xfId="3112" xr:uid="{00000000-0005-0000-0000-0000F68D0000}"/>
    <cellStyle name="常规 9 2 5 2 2 2 2 2 2" xfId="6188" xr:uid="{00000000-0005-0000-0000-0000F78D0000}"/>
    <cellStyle name="常规 9 2 5 2 2 2 2 2 2 2" xfId="12332" xr:uid="{00000000-0005-0000-0000-0000F88D0000}"/>
    <cellStyle name="常规 9 2 5 2 2 2 2 2 2 2 2" xfId="24620" xr:uid="{00000000-0005-0000-0000-0000F98D0000}"/>
    <cellStyle name="常规 9 2 5 2 2 2 2 2 2 2 2 2" xfId="49196" xr:uid="{00000000-0005-0000-0000-0000FA8D0000}"/>
    <cellStyle name="常规 9 2 5 2 2 2 2 2 2 2 3" xfId="36908" xr:uid="{00000000-0005-0000-0000-0000FB8D0000}"/>
    <cellStyle name="常规 9 2 5 2 2 2 2 2 2 3" xfId="18476" xr:uid="{00000000-0005-0000-0000-0000FC8D0000}"/>
    <cellStyle name="常规 9 2 5 2 2 2 2 2 2 3 2" xfId="43052" xr:uid="{00000000-0005-0000-0000-0000FD8D0000}"/>
    <cellStyle name="常规 9 2 5 2 2 2 2 2 2 4" xfId="30764" xr:uid="{00000000-0005-0000-0000-0000FE8D0000}"/>
    <cellStyle name="常规 9 2 5 2 2 2 2 2 3" xfId="9260" xr:uid="{00000000-0005-0000-0000-0000FF8D0000}"/>
    <cellStyle name="常规 9 2 5 2 2 2 2 2 3 2" xfId="21548" xr:uid="{00000000-0005-0000-0000-0000008E0000}"/>
    <cellStyle name="常规 9 2 5 2 2 2 2 2 3 2 2" xfId="46124" xr:uid="{00000000-0005-0000-0000-0000018E0000}"/>
    <cellStyle name="常规 9 2 5 2 2 2 2 2 3 3" xfId="33836" xr:uid="{00000000-0005-0000-0000-0000028E0000}"/>
    <cellStyle name="常规 9 2 5 2 2 2 2 2 4" xfId="15404" xr:uid="{00000000-0005-0000-0000-0000038E0000}"/>
    <cellStyle name="常规 9 2 5 2 2 2 2 2 4 2" xfId="39980" xr:uid="{00000000-0005-0000-0000-0000048E0000}"/>
    <cellStyle name="常规 9 2 5 2 2 2 2 2 5" xfId="27692" xr:uid="{00000000-0005-0000-0000-0000058E0000}"/>
    <cellStyle name="常规 9 2 5 2 2 2 2 3" xfId="4652" xr:uid="{00000000-0005-0000-0000-0000068E0000}"/>
    <cellStyle name="常规 9 2 5 2 2 2 2 3 2" xfId="10796" xr:uid="{00000000-0005-0000-0000-0000078E0000}"/>
    <cellStyle name="常规 9 2 5 2 2 2 2 3 2 2" xfId="23084" xr:uid="{00000000-0005-0000-0000-0000088E0000}"/>
    <cellStyle name="常规 9 2 5 2 2 2 2 3 2 2 2" xfId="47660" xr:uid="{00000000-0005-0000-0000-0000098E0000}"/>
    <cellStyle name="常规 9 2 5 2 2 2 2 3 2 3" xfId="35372" xr:uid="{00000000-0005-0000-0000-00000A8E0000}"/>
    <cellStyle name="常规 9 2 5 2 2 2 2 3 3" xfId="16940" xr:uid="{00000000-0005-0000-0000-00000B8E0000}"/>
    <cellStyle name="常规 9 2 5 2 2 2 2 3 3 2" xfId="41516" xr:uid="{00000000-0005-0000-0000-00000C8E0000}"/>
    <cellStyle name="常规 9 2 5 2 2 2 2 3 4" xfId="29228" xr:uid="{00000000-0005-0000-0000-00000D8E0000}"/>
    <cellStyle name="常规 9 2 5 2 2 2 2 4" xfId="7724" xr:uid="{00000000-0005-0000-0000-00000E8E0000}"/>
    <cellStyle name="常规 9 2 5 2 2 2 2 4 2" xfId="20012" xr:uid="{00000000-0005-0000-0000-00000F8E0000}"/>
    <cellStyle name="常规 9 2 5 2 2 2 2 4 2 2" xfId="44588" xr:uid="{00000000-0005-0000-0000-0000108E0000}"/>
    <cellStyle name="常规 9 2 5 2 2 2 2 4 3" xfId="32300" xr:uid="{00000000-0005-0000-0000-0000118E0000}"/>
    <cellStyle name="常规 9 2 5 2 2 2 2 5" xfId="13868" xr:uid="{00000000-0005-0000-0000-0000128E0000}"/>
    <cellStyle name="常规 9 2 5 2 2 2 2 5 2" xfId="38444" xr:uid="{00000000-0005-0000-0000-0000138E0000}"/>
    <cellStyle name="常规 9 2 5 2 2 2 2 6" xfId="26156" xr:uid="{00000000-0005-0000-0000-0000148E0000}"/>
    <cellStyle name="常规 9 2 5 2 2 2 3" xfId="2344" xr:uid="{00000000-0005-0000-0000-0000158E0000}"/>
    <cellStyle name="常规 9 2 5 2 2 2 3 2" xfId="5420" xr:uid="{00000000-0005-0000-0000-0000168E0000}"/>
    <cellStyle name="常规 9 2 5 2 2 2 3 2 2" xfId="11564" xr:uid="{00000000-0005-0000-0000-0000178E0000}"/>
    <cellStyle name="常规 9 2 5 2 2 2 3 2 2 2" xfId="23852" xr:uid="{00000000-0005-0000-0000-0000188E0000}"/>
    <cellStyle name="常规 9 2 5 2 2 2 3 2 2 2 2" xfId="48428" xr:uid="{00000000-0005-0000-0000-0000198E0000}"/>
    <cellStyle name="常规 9 2 5 2 2 2 3 2 2 3" xfId="36140" xr:uid="{00000000-0005-0000-0000-00001A8E0000}"/>
    <cellStyle name="常规 9 2 5 2 2 2 3 2 3" xfId="17708" xr:uid="{00000000-0005-0000-0000-00001B8E0000}"/>
    <cellStyle name="常规 9 2 5 2 2 2 3 2 3 2" xfId="42284" xr:uid="{00000000-0005-0000-0000-00001C8E0000}"/>
    <cellStyle name="常规 9 2 5 2 2 2 3 2 4" xfId="29996" xr:uid="{00000000-0005-0000-0000-00001D8E0000}"/>
    <cellStyle name="常规 9 2 5 2 2 2 3 3" xfId="8492" xr:uid="{00000000-0005-0000-0000-00001E8E0000}"/>
    <cellStyle name="常规 9 2 5 2 2 2 3 3 2" xfId="20780" xr:uid="{00000000-0005-0000-0000-00001F8E0000}"/>
    <cellStyle name="常规 9 2 5 2 2 2 3 3 2 2" xfId="45356" xr:uid="{00000000-0005-0000-0000-0000208E0000}"/>
    <cellStyle name="常规 9 2 5 2 2 2 3 3 3" xfId="33068" xr:uid="{00000000-0005-0000-0000-0000218E0000}"/>
    <cellStyle name="常规 9 2 5 2 2 2 3 4" xfId="14636" xr:uid="{00000000-0005-0000-0000-0000228E0000}"/>
    <cellStyle name="常规 9 2 5 2 2 2 3 4 2" xfId="39212" xr:uid="{00000000-0005-0000-0000-0000238E0000}"/>
    <cellStyle name="常规 9 2 5 2 2 2 3 5" xfId="26924" xr:uid="{00000000-0005-0000-0000-0000248E0000}"/>
    <cellStyle name="常规 9 2 5 2 2 2 4" xfId="3884" xr:uid="{00000000-0005-0000-0000-0000258E0000}"/>
    <cellStyle name="常规 9 2 5 2 2 2 4 2" xfId="10028" xr:uid="{00000000-0005-0000-0000-0000268E0000}"/>
    <cellStyle name="常规 9 2 5 2 2 2 4 2 2" xfId="22316" xr:uid="{00000000-0005-0000-0000-0000278E0000}"/>
    <cellStyle name="常规 9 2 5 2 2 2 4 2 2 2" xfId="46892" xr:uid="{00000000-0005-0000-0000-0000288E0000}"/>
    <cellStyle name="常规 9 2 5 2 2 2 4 2 3" xfId="34604" xr:uid="{00000000-0005-0000-0000-0000298E0000}"/>
    <cellStyle name="常规 9 2 5 2 2 2 4 3" xfId="16172" xr:uid="{00000000-0005-0000-0000-00002A8E0000}"/>
    <cellStyle name="常规 9 2 5 2 2 2 4 3 2" xfId="40748" xr:uid="{00000000-0005-0000-0000-00002B8E0000}"/>
    <cellStyle name="常规 9 2 5 2 2 2 4 4" xfId="28460" xr:uid="{00000000-0005-0000-0000-00002C8E0000}"/>
    <cellStyle name="常规 9 2 5 2 2 2 5" xfId="6956" xr:uid="{00000000-0005-0000-0000-00002D8E0000}"/>
    <cellStyle name="常规 9 2 5 2 2 2 5 2" xfId="19244" xr:uid="{00000000-0005-0000-0000-00002E8E0000}"/>
    <cellStyle name="常规 9 2 5 2 2 2 5 2 2" xfId="43820" xr:uid="{00000000-0005-0000-0000-00002F8E0000}"/>
    <cellStyle name="常规 9 2 5 2 2 2 5 3" xfId="31532" xr:uid="{00000000-0005-0000-0000-0000308E0000}"/>
    <cellStyle name="常规 9 2 5 2 2 2 6" xfId="13100" xr:uid="{00000000-0005-0000-0000-0000318E0000}"/>
    <cellStyle name="常规 9 2 5 2 2 2 6 2" xfId="37676" xr:uid="{00000000-0005-0000-0000-0000328E0000}"/>
    <cellStyle name="常规 9 2 5 2 2 2 7" xfId="25388" xr:uid="{00000000-0005-0000-0000-0000338E0000}"/>
    <cellStyle name="常规 9 2 5 2 2 3" xfId="1192" xr:uid="{00000000-0005-0000-0000-0000348E0000}"/>
    <cellStyle name="常规 9 2 5 2 2 3 2" xfId="2728" xr:uid="{00000000-0005-0000-0000-0000358E0000}"/>
    <cellStyle name="常规 9 2 5 2 2 3 2 2" xfId="5804" xr:uid="{00000000-0005-0000-0000-0000368E0000}"/>
    <cellStyle name="常规 9 2 5 2 2 3 2 2 2" xfId="11948" xr:uid="{00000000-0005-0000-0000-0000378E0000}"/>
    <cellStyle name="常规 9 2 5 2 2 3 2 2 2 2" xfId="24236" xr:uid="{00000000-0005-0000-0000-0000388E0000}"/>
    <cellStyle name="常规 9 2 5 2 2 3 2 2 2 2 2" xfId="48812" xr:uid="{00000000-0005-0000-0000-0000398E0000}"/>
    <cellStyle name="常规 9 2 5 2 2 3 2 2 2 3" xfId="36524" xr:uid="{00000000-0005-0000-0000-00003A8E0000}"/>
    <cellStyle name="常规 9 2 5 2 2 3 2 2 3" xfId="18092" xr:uid="{00000000-0005-0000-0000-00003B8E0000}"/>
    <cellStyle name="常规 9 2 5 2 2 3 2 2 3 2" xfId="42668" xr:uid="{00000000-0005-0000-0000-00003C8E0000}"/>
    <cellStyle name="常规 9 2 5 2 2 3 2 2 4" xfId="30380" xr:uid="{00000000-0005-0000-0000-00003D8E0000}"/>
    <cellStyle name="常规 9 2 5 2 2 3 2 3" xfId="8876" xr:uid="{00000000-0005-0000-0000-00003E8E0000}"/>
    <cellStyle name="常规 9 2 5 2 2 3 2 3 2" xfId="21164" xr:uid="{00000000-0005-0000-0000-00003F8E0000}"/>
    <cellStyle name="常规 9 2 5 2 2 3 2 3 2 2" xfId="45740" xr:uid="{00000000-0005-0000-0000-0000408E0000}"/>
    <cellStyle name="常规 9 2 5 2 2 3 2 3 3" xfId="33452" xr:uid="{00000000-0005-0000-0000-0000418E0000}"/>
    <cellStyle name="常规 9 2 5 2 2 3 2 4" xfId="15020" xr:uid="{00000000-0005-0000-0000-0000428E0000}"/>
    <cellStyle name="常规 9 2 5 2 2 3 2 4 2" xfId="39596" xr:uid="{00000000-0005-0000-0000-0000438E0000}"/>
    <cellStyle name="常规 9 2 5 2 2 3 2 5" xfId="27308" xr:uid="{00000000-0005-0000-0000-0000448E0000}"/>
    <cellStyle name="常规 9 2 5 2 2 3 3" xfId="4268" xr:uid="{00000000-0005-0000-0000-0000458E0000}"/>
    <cellStyle name="常规 9 2 5 2 2 3 3 2" xfId="10412" xr:uid="{00000000-0005-0000-0000-0000468E0000}"/>
    <cellStyle name="常规 9 2 5 2 2 3 3 2 2" xfId="22700" xr:uid="{00000000-0005-0000-0000-0000478E0000}"/>
    <cellStyle name="常规 9 2 5 2 2 3 3 2 2 2" xfId="47276" xr:uid="{00000000-0005-0000-0000-0000488E0000}"/>
    <cellStyle name="常规 9 2 5 2 2 3 3 2 3" xfId="34988" xr:uid="{00000000-0005-0000-0000-0000498E0000}"/>
    <cellStyle name="常规 9 2 5 2 2 3 3 3" xfId="16556" xr:uid="{00000000-0005-0000-0000-00004A8E0000}"/>
    <cellStyle name="常规 9 2 5 2 2 3 3 3 2" xfId="41132" xr:uid="{00000000-0005-0000-0000-00004B8E0000}"/>
    <cellStyle name="常规 9 2 5 2 2 3 3 4" xfId="28844" xr:uid="{00000000-0005-0000-0000-00004C8E0000}"/>
    <cellStyle name="常规 9 2 5 2 2 3 4" xfId="7340" xr:uid="{00000000-0005-0000-0000-00004D8E0000}"/>
    <cellStyle name="常规 9 2 5 2 2 3 4 2" xfId="19628" xr:uid="{00000000-0005-0000-0000-00004E8E0000}"/>
    <cellStyle name="常规 9 2 5 2 2 3 4 2 2" xfId="44204" xr:uid="{00000000-0005-0000-0000-00004F8E0000}"/>
    <cellStyle name="常规 9 2 5 2 2 3 4 3" xfId="31916" xr:uid="{00000000-0005-0000-0000-0000508E0000}"/>
    <cellStyle name="常规 9 2 5 2 2 3 5" xfId="13484" xr:uid="{00000000-0005-0000-0000-0000518E0000}"/>
    <cellStyle name="常规 9 2 5 2 2 3 5 2" xfId="38060" xr:uid="{00000000-0005-0000-0000-0000528E0000}"/>
    <cellStyle name="常规 9 2 5 2 2 3 6" xfId="25772" xr:uid="{00000000-0005-0000-0000-0000538E0000}"/>
    <cellStyle name="常规 9 2 5 2 2 4" xfId="1960" xr:uid="{00000000-0005-0000-0000-0000548E0000}"/>
    <cellStyle name="常规 9 2 5 2 2 4 2" xfId="5036" xr:uid="{00000000-0005-0000-0000-0000558E0000}"/>
    <cellStyle name="常规 9 2 5 2 2 4 2 2" xfId="11180" xr:uid="{00000000-0005-0000-0000-0000568E0000}"/>
    <cellStyle name="常规 9 2 5 2 2 4 2 2 2" xfId="23468" xr:uid="{00000000-0005-0000-0000-0000578E0000}"/>
    <cellStyle name="常规 9 2 5 2 2 4 2 2 2 2" xfId="48044" xr:uid="{00000000-0005-0000-0000-0000588E0000}"/>
    <cellStyle name="常规 9 2 5 2 2 4 2 2 3" xfId="35756" xr:uid="{00000000-0005-0000-0000-0000598E0000}"/>
    <cellStyle name="常规 9 2 5 2 2 4 2 3" xfId="17324" xr:uid="{00000000-0005-0000-0000-00005A8E0000}"/>
    <cellStyle name="常规 9 2 5 2 2 4 2 3 2" xfId="41900" xr:uid="{00000000-0005-0000-0000-00005B8E0000}"/>
    <cellStyle name="常规 9 2 5 2 2 4 2 4" xfId="29612" xr:uid="{00000000-0005-0000-0000-00005C8E0000}"/>
    <cellStyle name="常规 9 2 5 2 2 4 3" xfId="8108" xr:uid="{00000000-0005-0000-0000-00005D8E0000}"/>
    <cellStyle name="常规 9 2 5 2 2 4 3 2" xfId="20396" xr:uid="{00000000-0005-0000-0000-00005E8E0000}"/>
    <cellStyle name="常规 9 2 5 2 2 4 3 2 2" xfId="44972" xr:uid="{00000000-0005-0000-0000-00005F8E0000}"/>
    <cellStyle name="常规 9 2 5 2 2 4 3 3" xfId="32684" xr:uid="{00000000-0005-0000-0000-0000608E0000}"/>
    <cellStyle name="常规 9 2 5 2 2 4 4" xfId="14252" xr:uid="{00000000-0005-0000-0000-0000618E0000}"/>
    <cellStyle name="常规 9 2 5 2 2 4 4 2" xfId="38828" xr:uid="{00000000-0005-0000-0000-0000628E0000}"/>
    <cellStyle name="常规 9 2 5 2 2 4 5" xfId="26540" xr:uid="{00000000-0005-0000-0000-0000638E0000}"/>
    <cellStyle name="常规 9 2 5 2 2 5" xfId="3500" xr:uid="{00000000-0005-0000-0000-0000648E0000}"/>
    <cellStyle name="常规 9 2 5 2 2 5 2" xfId="9644" xr:uid="{00000000-0005-0000-0000-0000658E0000}"/>
    <cellStyle name="常规 9 2 5 2 2 5 2 2" xfId="21932" xr:uid="{00000000-0005-0000-0000-0000668E0000}"/>
    <cellStyle name="常规 9 2 5 2 2 5 2 2 2" xfId="46508" xr:uid="{00000000-0005-0000-0000-0000678E0000}"/>
    <cellStyle name="常规 9 2 5 2 2 5 2 3" xfId="34220" xr:uid="{00000000-0005-0000-0000-0000688E0000}"/>
    <cellStyle name="常规 9 2 5 2 2 5 3" xfId="15788" xr:uid="{00000000-0005-0000-0000-0000698E0000}"/>
    <cellStyle name="常规 9 2 5 2 2 5 3 2" xfId="40364" xr:uid="{00000000-0005-0000-0000-00006A8E0000}"/>
    <cellStyle name="常规 9 2 5 2 2 5 4" xfId="28076" xr:uid="{00000000-0005-0000-0000-00006B8E0000}"/>
    <cellStyle name="常规 9 2 5 2 2 6" xfId="6572" xr:uid="{00000000-0005-0000-0000-00006C8E0000}"/>
    <cellStyle name="常规 9 2 5 2 2 6 2" xfId="18860" xr:uid="{00000000-0005-0000-0000-00006D8E0000}"/>
    <cellStyle name="常规 9 2 5 2 2 6 2 2" xfId="43436" xr:uid="{00000000-0005-0000-0000-00006E8E0000}"/>
    <cellStyle name="常规 9 2 5 2 2 6 3" xfId="31148" xr:uid="{00000000-0005-0000-0000-00006F8E0000}"/>
    <cellStyle name="常规 9 2 5 2 2 7" xfId="12716" xr:uid="{00000000-0005-0000-0000-0000708E0000}"/>
    <cellStyle name="常规 9 2 5 2 2 7 2" xfId="37292" xr:uid="{00000000-0005-0000-0000-0000718E0000}"/>
    <cellStyle name="常规 9 2 5 2 2 8" xfId="25004" xr:uid="{00000000-0005-0000-0000-0000728E0000}"/>
    <cellStyle name="常规 9 2 5 2 3" xfId="616" xr:uid="{00000000-0005-0000-0000-0000738E0000}"/>
    <cellStyle name="常规 9 2 5 2 3 2" xfId="1384" xr:uid="{00000000-0005-0000-0000-0000748E0000}"/>
    <cellStyle name="常规 9 2 5 2 3 2 2" xfId="2920" xr:uid="{00000000-0005-0000-0000-0000758E0000}"/>
    <cellStyle name="常规 9 2 5 2 3 2 2 2" xfId="5996" xr:uid="{00000000-0005-0000-0000-0000768E0000}"/>
    <cellStyle name="常规 9 2 5 2 3 2 2 2 2" xfId="12140" xr:uid="{00000000-0005-0000-0000-0000778E0000}"/>
    <cellStyle name="常规 9 2 5 2 3 2 2 2 2 2" xfId="24428" xr:uid="{00000000-0005-0000-0000-0000788E0000}"/>
    <cellStyle name="常规 9 2 5 2 3 2 2 2 2 2 2" xfId="49004" xr:uid="{00000000-0005-0000-0000-0000798E0000}"/>
    <cellStyle name="常规 9 2 5 2 3 2 2 2 2 3" xfId="36716" xr:uid="{00000000-0005-0000-0000-00007A8E0000}"/>
    <cellStyle name="常规 9 2 5 2 3 2 2 2 3" xfId="18284" xr:uid="{00000000-0005-0000-0000-00007B8E0000}"/>
    <cellStyle name="常规 9 2 5 2 3 2 2 2 3 2" xfId="42860" xr:uid="{00000000-0005-0000-0000-00007C8E0000}"/>
    <cellStyle name="常规 9 2 5 2 3 2 2 2 4" xfId="30572" xr:uid="{00000000-0005-0000-0000-00007D8E0000}"/>
    <cellStyle name="常规 9 2 5 2 3 2 2 3" xfId="9068" xr:uid="{00000000-0005-0000-0000-00007E8E0000}"/>
    <cellStyle name="常规 9 2 5 2 3 2 2 3 2" xfId="21356" xr:uid="{00000000-0005-0000-0000-00007F8E0000}"/>
    <cellStyle name="常规 9 2 5 2 3 2 2 3 2 2" xfId="45932" xr:uid="{00000000-0005-0000-0000-0000808E0000}"/>
    <cellStyle name="常规 9 2 5 2 3 2 2 3 3" xfId="33644" xr:uid="{00000000-0005-0000-0000-0000818E0000}"/>
    <cellStyle name="常规 9 2 5 2 3 2 2 4" xfId="15212" xr:uid="{00000000-0005-0000-0000-0000828E0000}"/>
    <cellStyle name="常规 9 2 5 2 3 2 2 4 2" xfId="39788" xr:uid="{00000000-0005-0000-0000-0000838E0000}"/>
    <cellStyle name="常规 9 2 5 2 3 2 2 5" xfId="27500" xr:uid="{00000000-0005-0000-0000-0000848E0000}"/>
    <cellStyle name="常规 9 2 5 2 3 2 3" xfId="4460" xr:uid="{00000000-0005-0000-0000-0000858E0000}"/>
    <cellStyle name="常规 9 2 5 2 3 2 3 2" xfId="10604" xr:uid="{00000000-0005-0000-0000-0000868E0000}"/>
    <cellStyle name="常规 9 2 5 2 3 2 3 2 2" xfId="22892" xr:uid="{00000000-0005-0000-0000-0000878E0000}"/>
    <cellStyle name="常规 9 2 5 2 3 2 3 2 2 2" xfId="47468" xr:uid="{00000000-0005-0000-0000-0000888E0000}"/>
    <cellStyle name="常规 9 2 5 2 3 2 3 2 3" xfId="35180" xr:uid="{00000000-0005-0000-0000-0000898E0000}"/>
    <cellStyle name="常规 9 2 5 2 3 2 3 3" xfId="16748" xr:uid="{00000000-0005-0000-0000-00008A8E0000}"/>
    <cellStyle name="常规 9 2 5 2 3 2 3 3 2" xfId="41324" xr:uid="{00000000-0005-0000-0000-00008B8E0000}"/>
    <cellStyle name="常规 9 2 5 2 3 2 3 4" xfId="29036" xr:uid="{00000000-0005-0000-0000-00008C8E0000}"/>
    <cellStyle name="常规 9 2 5 2 3 2 4" xfId="7532" xr:uid="{00000000-0005-0000-0000-00008D8E0000}"/>
    <cellStyle name="常规 9 2 5 2 3 2 4 2" xfId="19820" xr:uid="{00000000-0005-0000-0000-00008E8E0000}"/>
    <cellStyle name="常规 9 2 5 2 3 2 4 2 2" xfId="44396" xr:uid="{00000000-0005-0000-0000-00008F8E0000}"/>
    <cellStyle name="常规 9 2 5 2 3 2 4 3" xfId="32108" xr:uid="{00000000-0005-0000-0000-0000908E0000}"/>
    <cellStyle name="常规 9 2 5 2 3 2 5" xfId="13676" xr:uid="{00000000-0005-0000-0000-0000918E0000}"/>
    <cellStyle name="常规 9 2 5 2 3 2 5 2" xfId="38252" xr:uid="{00000000-0005-0000-0000-0000928E0000}"/>
    <cellStyle name="常规 9 2 5 2 3 2 6" xfId="25964" xr:uid="{00000000-0005-0000-0000-0000938E0000}"/>
    <cellStyle name="常规 9 2 5 2 3 3" xfId="2152" xr:uid="{00000000-0005-0000-0000-0000948E0000}"/>
    <cellStyle name="常规 9 2 5 2 3 3 2" xfId="5228" xr:uid="{00000000-0005-0000-0000-0000958E0000}"/>
    <cellStyle name="常规 9 2 5 2 3 3 2 2" xfId="11372" xr:uid="{00000000-0005-0000-0000-0000968E0000}"/>
    <cellStyle name="常规 9 2 5 2 3 3 2 2 2" xfId="23660" xr:uid="{00000000-0005-0000-0000-0000978E0000}"/>
    <cellStyle name="常规 9 2 5 2 3 3 2 2 2 2" xfId="48236" xr:uid="{00000000-0005-0000-0000-0000988E0000}"/>
    <cellStyle name="常规 9 2 5 2 3 3 2 2 3" xfId="35948" xr:uid="{00000000-0005-0000-0000-0000998E0000}"/>
    <cellStyle name="常规 9 2 5 2 3 3 2 3" xfId="17516" xr:uid="{00000000-0005-0000-0000-00009A8E0000}"/>
    <cellStyle name="常规 9 2 5 2 3 3 2 3 2" xfId="42092" xr:uid="{00000000-0005-0000-0000-00009B8E0000}"/>
    <cellStyle name="常规 9 2 5 2 3 3 2 4" xfId="29804" xr:uid="{00000000-0005-0000-0000-00009C8E0000}"/>
    <cellStyle name="常规 9 2 5 2 3 3 3" xfId="8300" xr:uid="{00000000-0005-0000-0000-00009D8E0000}"/>
    <cellStyle name="常规 9 2 5 2 3 3 3 2" xfId="20588" xr:uid="{00000000-0005-0000-0000-00009E8E0000}"/>
    <cellStyle name="常规 9 2 5 2 3 3 3 2 2" xfId="45164" xr:uid="{00000000-0005-0000-0000-00009F8E0000}"/>
    <cellStyle name="常规 9 2 5 2 3 3 3 3" xfId="32876" xr:uid="{00000000-0005-0000-0000-0000A08E0000}"/>
    <cellStyle name="常规 9 2 5 2 3 3 4" xfId="14444" xr:uid="{00000000-0005-0000-0000-0000A18E0000}"/>
    <cellStyle name="常规 9 2 5 2 3 3 4 2" xfId="39020" xr:uid="{00000000-0005-0000-0000-0000A28E0000}"/>
    <cellStyle name="常规 9 2 5 2 3 3 5" xfId="26732" xr:uid="{00000000-0005-0000-0000-0000A38E0000}"/>
    <cellStyle name="常规 9 2 5 2 3 4" xfId="3692" xr:uid="{00000000-0005-0000-0000-0000A48E0000}"/>
    <cellStyle name="常规 9 2 5 2 3 4 2" xfId="9836" xr:uid="{00000000-0005-0000-0000-0000A58E0000}"/>
    <cellStyle name="常规 9 2 5 2 3 4 2 2" xfId="22124" xr:uid="{00000000-0005-0000-0000-0000A68E0000}"/>
    <cellStyle name="常规 9 2 5 2 3 4 2 2 2" xfId="46700" xr:uid="{00000000-0005-0000-0000-0000A78E0000}"/>
    <cellStyle name="常规 9 2 5 2 3 4 2 3" xfId="34412" xr:uid="{00000000-0005-0000-0000-0000A88E0000}"/>
    <cellStyle name="常规 9 2 5 2 3 4 3" xfId="15980" xr:uid="{00000000-0005-0000-0000-0000A98E0000}"/>
    <cellStyle name="常规 9 2 5 2 3 4 3 2" xfId="40556" xr:uid="{00000000-0005-0000-0000-0000AA8E0000}"/>
    <cellStyle name="常规 9 2 5 2 3 4 4" xfId="28268" xr:uid="{00000000-0005-0000-0000-0000AB8E0000}"/>
    <cellStyle name="常规 9 2 5 2 3 5" xfId="6764" xr:uid="{00000000-0005-0000-0000-0000AC8E0000}"/>
    <cellStyle name="常规 9 2 5 2 3 5 2" xfId="19052" xr:uid="{00000000-0005-0000-0000-0000AD8E0000}"/>
    <cellStyle name="常规 9 2 5 2 3 5 2 2" xfId="43628" xr:uid="{00000000-0005-0000-0000-0000AE8E0000}"/>
    <cellStyle name="常规 9 2 5 2 3 5 3" xfId="31340" xr:uid="{00000000-0005-0000-0000-0000AF8E0000}"/>
    <cellStyle name="常规 9 2 5 2 3 6" xfId="12908" xr:uid="{00000000-0005-0000-0000-0000B08E0000}"/>
    <cellStyle name="常规 9 2 5 2 3 6 2" xfId="37484" xr:uid="{00000000-0005-0000-0000-0000B18E0000}"/>
    <cellStyle name="常规 9 2 5 2 3 7" xfId="25196" xr:uid="{00000000-0005-0000-0000-0000B28E0000}"/>
    <cellStyle name="常规 9 2 5 2 4" xfId="1000" xr:uid="{00000000-0005-0000-0000-0000B38E0000}"/>
    <cellStyle name="常规 9 2 5 2 4 2" xfId="2536" xr:uid="{00000000-0005-0000-0000-0000B48E0000}"/>
    <cellStyle name="常规 9 2 5 2 4 2 2" xfId="5612" xr:uid="{00000000-0005-0000-0000-0000B58E0000}"/>
    <cellStyle name="常规 9 2 5 2 4 2 2 2" xfId="11756" xr:uid="{00000000-0005-0000-0000-0000B68E0000}"/>
    <cellStyle name="常规 9 2 5 2 4 2 2 2 2" xfId="24044" xr:uid="{00000000-0005-0000-0000-0000B78E0000}"/>
    <cellStyle name="常规 9 2 5 2 4 2 2 2 2 2" xfId="48620" xr:uid="{00000000-0005-0000-0000-0000B88E0000}"/>
    <cellStyle name="常规 9 2 5 2 4 2 2 2 3" xfId="36332" xr:uid="{00000000-0005-0000-0000-0000B98E0000}"/>
    <cellStyle name="常规 9 2 5 2 4 2 2 3" xfId="17900" xr:uid="{00000000-0005-0000-0000-0000BA8E0000}"/>
    <cellStyle name="常规 9 2 5 2 4 2 2 3 2" xfId="42476" xr:uid="{00000000-0005-0000-0000-0000BB8E0000}"/>
    <cellStyle name="常规 9 2 5 2 4 2 2 4" xfId="30188" xr:uid="{00000000-0005-0000-0000-0000BC8E0000}"/>
    <cellStyle name="常规 9 2 5 2 4 2 3" xfId="8684" xr:uid="{00000000-0005-0000-0000-0000BD8E0000}"/>
    <cellStyle name="常规 9 2 5 2 4 2 3 2" xfId="20972" xr:uid="{00000000-0005-0000-0000-0000BE8E0000}"/>
    <cellStyle name="常规 9 2 5 2 4 2 3 2 2" xfId="45548" xr:uid="{00000000-0005-0000-0000-0000BF8E0000}"/>
    <cellStyle name="常规 9 2 5 2 4 2 3 3" xfId="33260" xr:uid="{00000000-0005-0000-0000-0000C08E0000}"/>
    <cellStyle name="常规 9 2 5 2 4 2 4" xfId="14828" xr:uid="{00000000-0005-0000-0000-0000C18E0000}"/>
    <cellStyle name="常规 9 2 5 2 4 2 4 2" xfId="39404" xr:uid="{00000000-0005-0000-0000-0000C28E0000}"/>
    <cellStyle name="常规 9 2 5 2 4 2 5" xfId="27116" xr:uid="{00000000-0005-0000-0000-0000C38E0000}"/>
    <cellStyle name="常规 9 2 5 2 4 3" xfId="4076" xr:uid="{00000000-0005-0000-0000-0000C48E0000}"/>
    <cellStyle name="常规 9 2 5 2 4 3 2" xfId="10220" xr:uid="{00000000-0005-0000-0000-0000C58E0000}"/>
    <cellStyle name="常规 9 2 5 2 4 3 2 2" xfId="22508" xr:uid="{00000000-0005-0000-0000-0000C68E0000}"/>
    <cellStyle name="常规 9 2 5 2 4 3 2 2 2" xfId="47084" xr:uid="{00000000-0005-0000-0000-0000C78E0000}"/>
    <cellStyle name="常规 9 2 5 2 4 3 2 3" xfId="34796" xr:uid="{00000000-0005-0000-0000-0000C88E0000}"/>
    <cellStyle name="常规 9 2 5 2 4 3 3" xfId="16364" xr:uid="{00000000-0005-0000-0000-0000C98E0000}"/>
    <cellStyle name="常规 9 2 5 2 4 3 3 2" xfId="40940" xr:uid="{00000000-0005-0000-0000-0000CA8E0000}"/>
    <cellStyle name="常规 9 2 5 2 4 3 4" xfId="28652" xr:uid="{00000000-0005-0000-0000-0000CB8E0000}"/>
    <cellStyle name="常规 9 2 5 2 4 4" xfId="7148" xr:uid="{00000000-0005-0000-0000-0000CC8E0000}"/>
    <cellStyle name="常规 9 2 5 2 4 4 2" xfId="19436" xr:uid="{00000000-0005-0000-0000-0000CD8E0000}"/>
    <cellStyle name="常规 9 2 5 2 4 4 2 2" xfId="44012" xr:uid="{00000000-0005-0000-0000-0000CE8E0000}"/>
    <cellStyle name="常规 9 2 5 2 4 4 3" xfId="31724" xr:uid="{00000000-0005-0000-0000-0000CF8E0000}"/>
    <cellStyle name="常规 9 2 5 2 4 5" xfId="13292" xr:uid="{00000000-0005-0000-0000-0000D08E0000}"/>
    <cellStyle name="常规 9 2 5 2 4 5 2" xfId="37868" xr:uid="{00000000-0005-0000-0000-0000D18E0000}"/>
    <cellStyle name="常规 9 2 5 2 4 6" xfId="25580" xr:uid="{00000000-0005-0000-0000-0000D28E0000}"/>
    <cellStyle name="常规 9 2 5 2 5" xfId="1768" xr:uid="{00000000-0005-0000-0000-0000D38E0000}"/>
    <cellStyle name="常规 9 2 5 2 5 2" xfId="4844" xr:uid="{00000000-0005-0000-0000-0000D48E0000}"/>
    <cellStyle name="常规 9 2 5 2 5 2 2" xfId="10988" xr:uid="{00000000-0005-0000-0000-0000D58E0000}"/>
    <cellStyle name="常规 9 2 5 2 5 2 2 2" xfId="23276" xr:uid="{00000000-0005-0000-0000-0000D68E0000}"/>
    <cellStyle name="常规 9 2 5 2 5 2 2 2 2" xfId="47852" xr:uid="{00000000-0005-0000-0000-0000D78E0000}"/>
    <cellStyle name="常规 9 2 5 2 5 2 2 3" xfId="35564" xr:uid="{00000000-0005-0000-0000-0000D88E0000}"/>
    <cellStyle name="常规 9 2 5 2 5 2 3" xfId="17132" xr:uid="{00000000-0005-0000-0000-0000D98E0000}"/>
    <cellStyle name="常规 9 2 5 2 5 2 3 2" xfId="41708" xr:uid="{00000000-0005-0000-0000-0000DA8E0000}"/>
    <cellStyle name="常规 9 2 5 2 5 2 4" xfId="29420" xr:uid="{00000000-0005-0000-0000-0000DB8E0000}"/>
    <cellStyle name="常规 9 2 5 2 5 3" xfId="7916" xr:uid="{00000000-0005-0000-0000-0000DC8E0000}"/>
    <cellStyle name="常规 9 2 5 2 5 3 2" xfId="20204" xr:uid="{00000000-0005-0000-0000-0000DD8E0000}"/>
    <cellStyle name="常规 9 2 5 2 5 3 2 2" xfId="44780" xr:uid="{00000000-0005-0000-0000-0000DE8E0000}"/>
    <cellStyle name="常规 9 2 5 2 5 3 3" xfId="32492" xr:uid="{00000000-0005-0000-0000-0000DF8E0000}"/>
    <cellStyle name="常规 9 2 5 2 5 4" xfId="14060" xr:uid="{00000000-0005-0000-0000-0000E08E0000}"/>
    <cellStyle name="常规 9 2 5 2 5 4 2" xfId="38636" xr:uid="{00000000-0005-0000-0000-0000E18E0000}"/>
    <cellStyle name="常规 9 2 5 2 5 5" xfId="26348" xr:uid="{00000000-0005-0000-0000-0000E28E0000}"/>
    <cellStyle name="常规 9 2 5 2 6" xfId="3308" xr:uid="{00000000-0005-0000-0000-0000E38E0000}"/>
    <cellStyle name="常规 9 2 5 2 6 2" xfId="9452" xr:uid="{00000000-0005-0000-0000-0000E48E0000}"/>
    <cellStyle name="常规 9 2 5 2 6 2 2" xfId="21740" xr:uid="{00000000-0005-0000-0000-0000E58E0000}"/>
    <cellStyle name="常规 9 2 5 2 6 2 2 2" xfId="46316" xr:uid="{00000000-0005-0000-0000-0000E68E0000}"/>
    <cellStyle name="常规 9 2 5 2 6 2 3" xfId="34028" xr:uid="{00000000-0005-0000-0000-0000E78E0000}"/>
    <cellStyle name="常规 9 2 5 2 6 3" xfId="15596" xr:uid="{00000000-0005-0000-0000-0000E88E0000}"/>
    <cellStyle name="常规 9 2 5 2 6 3 2" xfId="40172" xr:uid="{00000000-0005-0000-0000-0000E98E0000}"/>
    <cellStyle name="常规 9 2 5 2 6 4" xfId="27884" xr:uid="{00000000-0005-0000-0000-0000EA8E0000}"/>
    <cellStyle name="常规 9 2 5 2 7" xfId="6380" xr:uid="{00000000-0005-0000-0000-0000EB8E0000}"/>
    <cellStyle name="常规 9 2 5 2 7 2" xfId="18668" xr:uid="{00000000-0005-0000-0000-0000EC8E0000}"/>
    <cellStyle name="常规 9 2 5 2 7 2 2" xfId="43244" xr:uid="{00000000-0005-0000-0000-0000ED8E0000}"/>
    <cellStyle name="常规 9 2 5 2 7 3" xfId="30956" xr:uid="{00000000-0005-0000-0000-0000EE8E0000}"/>
    <cellStyle name="常规 9 2 5 2 8" xfId="12524" xr:uid="{00000000-0005-0000-0000-0000EF8E0000}"/>
    <cellStyle name="常规 9 2 5 2 8 2" xfId="37100" xr:uid="{00000000-0005-0000-0000-0000F08E0000}"/>
    <cellStyle name="常规 9 2 5 2 9" xfId="24812" xr:uid="{00000000-0005-0000-0000-0000F18E0000}"/>
    <cellStyle name="常规 9 2 5 3" xfId="296" xr:uid="{00000000-0005-0000-0000-0000F28E0000}"/>
    <cellStyle name="常规 9 2 5 3 2" xfId="488" xr:uid="{00000000-0005-0000-0000-0000F38E0000}"/>
    <cellStyle name="常规 9 2 5 3 2 2" xfId="872" xr:uid="{00000000-0005-0000-0000-0000F48E0000}"/>
    <cellStyle name="常规 9 2 5 3 2 2 2" xfId="1640" xr:uid="{00000000-0005-0000-0000-0000F58E0000}"/>
    <cellStyle name="常规 9 2 5 3 2 2 2 2" xfId="3176" xr:uid="{00000000-0005-0000-0000-0000F68E0000}"/>
    <cellStyle name="常规 9 2 5 3 2 2 2 2 2" xfId="6252" xr:uid="{00000000-0005-0000-0000-0000F78E0000}"/>
    <cellStyle name="常规 9 2 5 3 2 2 2 2 2 2" xfId="12396" xr:uid="{00000000-0005-0000-0000-0000F88E0000}"/>
    <cellStyle name="常规 9 2 5 3 2 2 2 2 2 2 2" xfId="24684" xr:uid="{00000000-0005-0000-0000-0000F98E0000}"/>
    <cellStyle name="常规 9 2 5 3 2 2 2 2 2 2 2 2" xfId="49260" xr:uid="{00000000-0005-0000-0000-0000FA8E0000}"/>
    <cellStyle name="常规 9 2 5 3 2 2 2 2 2 2 3" xfId="36972" xr:uid="{00000000-0005-0000-0000-0000FB8E0000}"/>
    <cellStyle name="常规 9 2 5 3 2 2 2 2 2 3" xfId="18540" xr:uid="{00000000-0005-0000-0000-0000FC8E0000}"/>
    <cellStyle name="常规 9 2 5 3 2 2 2 2 2 3 2" xfId="43116" xr:uid="{00000000-0005-0000-0000-0000FD8E0000}"/>
    <cellStyle name="常规 9 2 5 3 2 2 2 2 2 4" xfId="30828" xr:uid="{00000000-0005-0000-0000-0000FE8E0000}"/>
    <cellStyle name="常规 9 2 5 3 2 2 2 2 3" xfId="9324" xr:uid="{00000000-0005-0000-0000-0000FF8E0000}"/>
    <cellStyle name="常规 9 2 5 3 2 2 2 2 3 2" xfId="21612" xr:uid="{00000000-0005-0000-0000-0000008F0000}"/>
    <cellStyle name="常规 9 2 5 3 2 2 2 2 3 2 2" xfId="46188" xr:uid="{00000000-0005-0000-0000-0000018F0000}"/>
    <cellStyle name="常规 9 2 5 3 2 2 2 2 3 3" xfId="33900" xr:uid="{00000000-0005-0000-0000-0000028F0000}"/>
    <cellStyle name="常规 9 2 5 3 2 2 2 2 4" xfId="15468" xr:uid="{00000000-0005-0000-0000-0000038F0000}"/>
    <cellStyle name="常规 9 2 5 3 2 2 2 2 4 2" xfId="40044" xr:uid="{00000000-0005-0000-0000-0000048F0000}"/>
    <cellStyle name="常规 9 2 5 3 2 2 2 2 5" xfId="27756" xr:uid="{00000000-0005-0000-0000-0000058F0000}"/>
    <cellStyle name="常规 9 2 5 3 2 2 2 3" xfId="4716" xr:uid="{00000000-0005-0000-0000-0000068F0000}"/>
    <cellStyle name="常规 9 2 5 3 2 2 2 3 2" xfId="10860" xr:uid="{00000000-0005-0000-0000-0000078F0000}"/>
    <cellStyle name="常规 9 2 5 3 2 2 2 3 2 2" xfId="23148" xr:uid="{00000000-0005-0000-0000-0000088F0000}"/>
    <cellStyle name="常规 9 2 5 3 2 2 2 3 2 2 2" xfId="47724" xr:uid="{00000000-0005-0000-0000-0000098F0000}"/>
    <cellStyle name="常规 9 2 5 3 2 2 2 3 2 3" xfId="35436" xr:uid="{00000000-0005-0000-0000-00000A8F0000}"/>
    <cellStyle name="常规 9 2 5 3 2 2 2 3 3" xfId="17004" xr:uid="{00000000-0005-0000-0000-00000B8F0000}"/>
    <cellStyle name="常规 9 2 5 3 2 2 2 3 3 2" xfId="41580" xr:uid="{00000000-0005-0000-0000-00000C8F0000}"/>
    <cellStyle name="常规 9 2 5 3 2 2 2 3 4" xfId="29292" xr:uid="{00000000-0005-0000-0000-00000D8F0000}"/>
    <cellStyle name="常规 9 2 5 3 2 2 2 4" xfId="7788" xr:uid="{00000000-0005-0000-0000-00000E8F0000}"/>
    <cellStyle name="常规 9 2 5 3 2 2 2 4 2" xfId="20076" xr:uid="{00000000-0005-0000-0000-00000F8F0000}"/>
    <cellStyle name="常规 9 2 5 3 2 2 2 4 2 2" xfId="44652" xr:uid="{00000000-0005-0000-0000-0000108F0000}"/>
    <cellStyle name="常规 9 2 5 3 2 2 2 4 3" xfId="32364" xr:uid="{00000000-0005-0000-0000-0000118F0000}"/>
    <cellStyle name="常规 9 2 5 3 2 2 2 5" xfId="13932" xr:uid="{00000000-0005-0000-0000-0000128F0000}"/>
    <cellStyle name="常规 9 2 5 3 2 2 2 5 2" xfId="38508" xr:uid="{00000000-0005-0000-0000-0000138F0000}"/>
    <cellStyle name="常规 9 2 5 3 2 2 2 6" xfId="26220" xr:uid="{00000000-0005-0000-0000-0000148F0000}"/>
    <cellStyle name="常规 9 2 5 3 2 2 3" xfId="2408" xr:uid="{00000000-0005-0000-0000-0000158F0000}"/>
    <cellStyle name="常规 9 2 5 3 2 2 3 2" xfId="5484" xr:uid="{00000000-0005-0000-0000-0000168F0000}"/>
    <cellStyle name="常规 9 2 5 3 2 2 3 2 2" xfId="11628" xr:uid="{00000000-0005-0000-0000-0000178F0000}"/>
    <cellStyle name="常规 9 2 5 3 2 2 3 2 2 2" xfId="23916" xr:uid="{00000000-0005-0000-0000-0000188F0000}"/>
    <cellStyle name="常规 9 2 5 3 2 2 3 2 2 2 2" xfId="48492" xr:uid="{00000000-0005-0000-0000-0000198F0000}"/>
    <cellStyle name="常规 9 2 5 3 2 2 3 2 2 3" xfId="36204" xr:uid="{00000000-0005-0000-0000-00001A8F0000}"/>
    <cellStyle name="常规 9 2 5 3 2 2 3 2 3" xfId="17772" xr:uid="{00000000-0005-0000-0000-00001B8F0000}"/>
    <cellStyle name="常规 9 2 5 3 2 2 3 2 3 2" xfId="42348" xr:uid="{00000000-0005-0000-0000-00001C8F0000}"/>
    <cellStyle name="常规 9 2 5 3 2 2 3 2 4" xfId="30060" xr:uid="{00000000-0005-0000-0000-00001D8F0000}"/>
    <cellStyle name="常规 9 2 5 3 2 2 3 3" xfId="8556" xr:uid="{00000000-0005-0000-0000-00001E8F0000}"/>
    <cellStyle name="常规 9 2 5 3 2 2 3 3 2" xfId="20844" xr:uid="{00000000-0005-0000-0000-00001F8F0000}"/>
    <cellStyle name="常规 9 2 5 3 2 2 3 3 2 2" xfId="45420" xr:uid="{00000000-0005-0000-0000-0000208F0000}"/>
    <cellStyle name="常规 9 2 5 3 2 2 3 3 3" xfId="33132" xr:uid="{00000000-0005-0000-0000-0000218F0000}"/>
    <cellStyle name="常规 9 2 5 3 2 2 3 4" xfId="14700" xr:uid="{00000000-0005-0000-0000-0000228F0000}"/>
    <cellStyle name="常规 9 2 5 3 2 2 3 4 2" xfId="39276" xr:uid="{00000000-0005-0000-0000-0000238F0000}"/>
    <cellStyle name="常规 9 2 5 3 2 2 3 5" xfId="26988" xr:uid="{00000000-0005-0000-0000-0000248F0000}"/>
    <cellStyle name="常规 9 2 5 3 2 2 4" xfId="3948" xr:uid="{00000000-0005-0000-0000-0000258F0000}"/>
    <cellStyle name="常规 9 2 5 3 2 2 4 2" xfId="10092" xr:uid="{00000000-0005-0000-0000-0000268F0000}"/>
    <cellStyle name="常规 9 2 5 3 2 2 4 2 2" xfId="22380" xr:uid="{00000000-0005-0000-0000-0000278F0000}"/>
    <cellStyle name="常规 9 2 5 3 2 2 4 2 2 2" xfId="46956" xr:uid="{00000000-0005-0000-0000-0000288F0000}"/>
    <cellStyle name="常规 9 2 5 3 2 2 4 2 3" xfId="34668" xr:uid="{00000000-0005-0000-0000-0000298F0000}"/>
    <cellStyle name="常规 9 2 5 3 2 2 4 3" xfId="16236" xr:uid="{00000000-0005-0000-0000-00002A8F0000}"/>
    <cellStyle name="常规 9 2 5 3 2 2 4 3 2" xfId="40812" xr:uid="{00000000-0005-0000-0000-00002B8F0000}"/>
    <cellStyle name="常规 9 2 5 3 2 2 4 4" xfId="28524" xr:uid="{00000000-0005-0000-0000-00002C8F0000}"/>
    <cellStyle name="常规 9 2 5 3 2 2 5" xfId="7020" xr:uid="{00000000-0005-0000-0000-00002D8F0000}"/>
    <cellStyle name="常规 9 2 5 3 2 2 5 2" xfId="19308" xr:uid="{00000000-0005-0000-0000-00002E8F0000}"/>
    <cellStyle name="常规 9 2 5 3 2 2 5 2 2" xfId="43884" xr:uid="{00000000-0005-0000-0000-00002F8F0000}"/>
    <cellStyle name="常规 9 2 5 3 2 2 5 3" xfId="31596" xr:uid="{00000000-0005-0000-0000-0000308F0000}"/>
    <cellStyle name="常规 9 2 5 3 2 2 6" xfId="13164" xr:uid="{00000000-0005-0000-0000-0000318F0000}"/>
    <cellStyle name="常规 9 2 5 3 2 2 6 2" xfId="37740" xr:uid="{00000000-0005-0000-0000-0000328F0000}"/>
    <cellStyle name="常规 9 2 5 3 2 2 7" xfId="25452" xr:uid="{00000000-0005-0000-0000-0000338F0000}"/>
    <cellStyle name="常规 9 2 5 3 2 3" xfId="1256" xr:uid="{00000000-0005-0000-0000-0000348F0000}"/>
    <cellStyle name="常规 9 2 5 3 2 3 2" xfId="2792" xr:uid="{00000000-0005-0000-0000-0000358F0000}"/>
    <cellStyle name="常规 9 2 5 3 2 3 2 2" xfId="5868" xr:uid="{00000000-0005-0000-0000-0000368F0000}"/>
    <cellStyle name="常规 9 2 5 3 2 3 2 2 2" xfId="12012" xr:uid="{00000000-0005-0000-0000-0000378F0000}"/>
    <cellStyle name="常规 9 2 5 3 2 3 2 2 2 2" xfId="24300" xr:uid="{00000000-0005-0000-0000-0000388F0000}"/>
    <cellStyle name="常规 9 2 5 3 2 3 2 2 2 2 2" xfId="48876" xr:uid="{00000000-0005-0000-0000-0000398F0000}"/>
    <cellStyle name="常规 9 2 5 3 2 3 2 2 2 3" xfId="36588" xr:uid="{00000000-0005-0000-0000-00003A8F0000}"/>
    <cellStyle name="常规 9 2 5 3 2 3 2 2 3" xfId="18156" xr:uid="{00000000-0005-0000-0000-00003B8F0000}"/>
    <cellStyle name="常规 9 2 5 3 2 3 2 2 3 2" xfId="42732" xr:uid="{00000000-0005-0000-0000-00003C8F0000}"/>
    <cellStyle name="常规 9 2 5 3 2 3 2 2 4" xfId="30444" xr:uid="{00000000-0005-0000-0000-00003D8F0000}"/>
    <cellStyle name="常规 9 2 5 3 2 3 2 3" xfId="8940" xr:uid="{00000000-0005-0000-0000-00003E8F0000}"/>
    <cellStyle name="常规 9 2 5 3 2 3 2 3 2" xfId="21228" xr:uid="{00000000-0005-0000-0000-00003F8F0000}"/>
    <cellStyle name="常规 9 2 5 3 2 3 2 3 2 2" xfId="45804" xr:uid="{00000000-0005-0000-0000-0000408F0000}"/>
    <cellStyle name="常规 9 2 5 3 2 3 2 3 3" xfId="33516" xr:uid="{00000000-0005-0000-0000-0000418F0000}"/>
    <cellStyle name="常规 9 2 5 3 2 3 2 4" xfId="15084" xr:uid="{00000000-0005-0000-0000-0000428F0000}"/>
    <cellStyle name="常规 9 2 5 3 2 3 2 4 2" xfId="39660" xr:uid="{00000000-0005-0000-0000-0000438F0000}"/>
    <cellStyle name="常规 9 2 5 3 2 3 2 5" xfId="27372" xr:uid="{00000000-0005-0000-0000-0000448F0000}"/>
    <cellStyle name="常规 9 2 5 3 2 3 3" xfId="4332" xr:uid="{00000000-0005-0000-0000-0000458F0000}"/>
    <cellStyle name="常规 9 2 5 3 2 3 3 2" xfId="10476" xr:uid="{00000000-0005-0000-0000-0000468F0000}"/>
    <cellStyle name="常规 9 2 5 3 2 3 3 2 2" xfId="22764" xr:uid="{00000000-0005-0000-0000-0000478F0000}"/>
    <cellStyle name="常规 9 2 5 3 2 3 3 2 2 2" xfId="47340" xr:uid="{00000000-0005-0000-0000-0000488F0000}"/>
    <cellStyle name="常规 9 2 5 3 2 3 3 2 3" xfId="35052" xr:uid="{00000000-0005-0000-0000-0000498F0000}"/>
    <cellStyle name="常规 9 2 5 3 2 3 3 3" xfId="16620" xr:uid="{00000000-0005-0000-0000-00004A8F0000}"/>
    <cellStyle name="常规 9 2 5 3 2 3 3 3 2" xfId="41196" xr:uid="{00000000-0005-0000-0000-00004B8F0000}"/>
    <cellStyle name="常规 9 2 5 3 2 3 3 4" xfId="28908" xr:uid="{00000000-0005-0000-0000-00004C8F0000}"/>
    <cellStyle name="常规 9 2 5 3 2 3 4" xfId="7404" xr:uid="{00000000-0005-0000-0000-00004D8F0000}"/>
    <cellStyle name="常规 9 2 5 3 2 3 4 2" xfId="19692" xr:uid="{00000000-0005-0000-0000-00004E8F0000}"/>
    <cellStyle name="常规 9 2 5 3 2 3 4 2 2" xfId="44268" xr:uid="{00000000-0005-0000-0000-00004F8F0000}"/>
    <cellStyle name="常规 9 2 5 3 2 3 4 3" xfId="31980" xr:uid="{00000000-0005-0000-0000-0000508F0000}"/>
    <cellStyle name="常规 9 2 5 3 2 3 5" xfId="13548" xr:uid="{00000000-0005-0000-0000-0000518F0000}"/>
    <cellStyle name="常规 9 2 5 3 2 3 5 2" xfId="38124" xr:uid="{00000000-0005-0000-0000-0000528F0000}"/>
    <cellStyle name="常规 9 2 5 3 2 3 6" xfId="25836" xr:uid="{00000000-0005-0000-0000-0000538F0000}"/>
    <cellStyle name="常规 9 2 5 3 2 4" xfId="2024" xr:uid="{00000000-0005-0000-0000-0000548F0000}"/>
    <cellStyle name="常规 9 2 5 3 2 4 2" xfId="5100" xr:uid="{00000000-0005-0000-0000-0000558F0000}"/>
    <cellStyle name="常规 9 2 5 3 2 4 2 2" xfId="11244" xr:uid="{00000000-0005-0000-0000-0000568F0000}"/>
    <cellStyle name="常规 9 2 5 3 2 4 2 2 2" xfId="23532" xr:uid="{00000000-0005-0000-0000-0000578F0000}"/>
    <cellStyle name="常规 9 2 5 3 2 4 2 2 2 2" xfId="48108" xr:uid="{00000000-0005-0000-0000-0000588F0000}"/>
    <cellStyle name="常规 9 2 5 3 2 4 2 2 3" xfId="35820" xr:uid="{00000000-0005-0000-0000-0000598F0000}"/>
    <cellStyle name="常规 9 2 5 3 2 4 2 3" xfId="17388" xr:uid="{00000000-0005-0000-0000-00005A8F0000}"/>
    <cellStyle name="常规 9 2 5 3 2 4 2 3 2" xfId="41964" xr:uid="{00000000-0005-0000-0000-00005B8F0000}"/>
    <cellStyle name="常规 9 2 5 3 2 4 2 4" xfId="29676" xr:uid="{00000000-0005-0000-0000-00005C8F0000}"/>
    <cellStyle name="常规 9 2 5 3 2 4 3" xfId="8172" xr:uid="{00000000-0005-0000-0000-00005D8F0000}"/>
    <cellStyle name="常规 9 2 5 3 2 4 3 2" xfId="20460" xr:uid="{00000000-0005-0000-0000-00005E8F0000}"/>
    <cellStyle name="常规 9 2 5 3 2 4 3 2 2" xfId="45036" xr:uid="{00000000-0005-0000-0000-00005F8F0000}"/>
    <cellStyle name="常规 9 2 5 3 2 4 3 3" xfId="32748" xr:uid="{00000000-0005-0000-0000-0000608F0000}"/>
    <cellStyle name="常规 9 2 5 3 2 4 4" xfId="14316" xr:uid="{00000000-0005-0000-0000-0000618F0000}"/>
    <cellStyle name="常规 9 2 5 3 2 4 4 2" xfId="38892" xr:uid="{00000000-0005-0000-0000-0000628F0000}"/>
    <cellStyle name="常规 9 2 5 3 2 4 5" xfId="26604" xr:uid="{00000000-0005-0000-0000-0000638F0000}"/>
    <cellStyle name="常规 9 2 5 3 2 5" xfId="3564" xr:uid="{00000000-0005-0000-0000-0000648F0000}"/>
    <cellStyle name="常规 9 2 5 3 2 5 2" xfId="9708" xr:uid="{00000000-0005-0000-0000-0000658F0000}"/>
    <cellStyle name="常规 9 2 5 3 2 5 2 2" xfId="21996" xr:uid="{00000000-0005-0000-0000-0000668F0000}"/>
    <cellStyle name="常规 9 2 5 3 2 5 2 2 2" xfId="46572" xr:uid="{00000000-0005-0000-0000-0000678F0000}"/>
    <cellStyle name="常规 9 2 5 3 2 5 2 3" xfId="34284" xr:uid="{00000000-0005-0000-0000-0000688F0000}"/>
    <cellStyle name="常规 9 2 5 3 2 5 3" xfId="15852" xr:uid="{00000000-0005-0000-0000-0000698F0000}"/>
    <cellStyle name="常规 9 2 5 3 2 5 3 2" xfId="40428" xr:uid="{00000000-0005-0000-0000-00006A8F0000}"/>
    <cellStyle name="常规 9 2 5 3 2 5 4" xfId="28140" xr:uid="{00000000-0005-0000-0000-00006B8F0000}"/>
    <cellStyle name="常规 9 2 5 3 2 6" xfId="6636" xr:uid="{00000000-0005-0000-0000-00006C8F0000}"/>
    <cellStyle name="常规 9 2 5 3 2 6 2" xfId="18924" xr:uid="{00000000-0005-0000-0000-00006D8F0000}"/>
    <cellStyle name="常规 9 2 5 3 2 6 2 2" xfId="43500" xr:uid="{00000000-0005-0000-0000-00006E8F0000}"/>
    <cellStyle name="常规 9 2 5 3 2 6 3" xfId="31212" xr:uid="{00000000-0005-0000-0000-00006F8F0000}"/>
    <cellStyle name="常规 9 2 5 3 2 7" xfId="12780" xr:uid="{00000000-0005-0000-0000-0000708F0000}"/>
    <cellStyle name="常规 9 2 5 3 2 7 2" xfId="37356" xr:uid="{00000000-0005-0000-0000-0000718F0000}"/>
    <cellStyle name="常规 9 2 5 3 2 8" xfId="25068" xr:uid="{00000000-0005-0000-0000-0000728F0000}"/>
    <cellStyle name="常规 9 2 5 3 3" xfId="680" xr:uid="{00000000-0005-0000-0000-0000738F0000}"/>
    <cellStyle name="常规 9 2 5 3 3 2" xfId="1448" xr:uid="{00000000-0005-0000-0000-0000748F0000}"/>
    <cellStyle name="常规 9 2 5 3 3 2 2" xfId="2984" xr:uid="{00000000-0005-0000-0000-0000758F0000}"/>
    <cellStyle name="常规 9 2 5 3 3 2 2 2" xfId="6060" xr:uid="{00000000-0005-0000-0000-0000768F0000}"/>
    <cellStyle name="常规 9 2 5 3 3 2 2 2 2" xfId="12204" xr:uid="{00000000-0005-0000-0000-0000778F0000}"/>
    <cellStyle name="常规 9 2 5 3 3 2 2 2 2 2" xfId="24492" xr:uid="{00000000-0005-0000-0000-0000788F0000}"/>
    <cellStyle name="常规 9 2 5 3 3 2 2 2 2 2 2" xfId="49068" xr:uid="{00000000-0005-0000-0000-0000798F0000}"/>
    <cellStyle name="常规 9 2 5 3 3 2 2 2 2 3" xfId="36780" xr:uid="{00000000-0005-0000-0000-00007A8F0000}"/>
    <cellStyle name="常规 9 2 5 3 3 2 2 2 3" xfId="18348" xr:uid="{00000000-0005-0000-0000-00007B8F0000}"/>
    <cellStyle name="常规 9 2 5 3 3 2 2 2 3 2" xfId="42924" xr:uid="{00000000-0005-0000-0000-00007C8F0000}"/>
    <cellStyle name="常规 9 2 5 3 3 2 2 2 4" xfId="30636" xr:uid="{00000000-0005-0000-0000-00007D8F0000}"/>
    <cellStyle name="常规 9 2 5 3 3 2 2 3" xfId="9132" xr:uid="{00000000-0005-0000-0000-00007E8F0000}"/>
    <cellStyle name="常规 9 2 5 3 3 2 2 3 2" xfId="21420" xr:uid="{00000000-0005-0000-0000-00007F8F0000}"/>
    <cellStyle name="常规 9 2 5 3 3 2 2 3 2 2" xfId="45996" xr:uid="{00000000-0005-0000-0000-0000808F0000}"/>
    <cellStyle name="常规 9 2 5 3 3 2 2 3 3" xfId="33708" xr:uid="{00000000-0005-0000-0000-0000818F0000}"/>
    <cellStyle name="常规 9 2 5 3 3 2 2 4" xfId="15276" xr:uid="{00000000-0005-0000-0000-0000828F0000}"/>
    <cellStyle name="常规 9 2 5 3 3 2 2 4 2" xfId="39852" xr:uid="{00000000-0005-0000-0000-0000838F0000}"/>
    <cellStyle name="常规 9 2 5 3 3 2 2 5" xfId="27564" xr:uid="{00000000-0005-0000-0000-0000848F0000}"/>
    <cellStyle name="常规 9 2 5 3 3 2 3" xfId="4524" xr:uid="{00000000-0005-0000-0000-0000858F0000}"/>
    <cellStyle name="常规 9 2 5 3 3 2 3 2" xfId="10668" xr:uid="{00000000-0005-0000-0000-0000868F0000}"/>
    <cellStyle name="常规 9 2 5 3 3 2 3 2 2" xfId="22956" xr:uid="{00000000-0005-0000-0000-0000878F0000}"/>
    <cellStyle name="常规 9 2 5 3 3 2 3 2 2 2" xfId="47532" xr:uid="{00000000-0005-0000-0000-0000888F0000}"/>
    <cellStyle name="常规 9 2 5 3 3 2 3 2 3" xfId="35244" xr:uid="{00000000-0005-0000-0000-0000898F0000}"/>
    <cellStyle name="常规 9 2 5 3 3 2 3 3" xfId="16812" xr:uid="{00000000-0005-0000-0000-00008A8F0000}"/>
    <cellStyle name="常规 9 2 5 3 3 2 3 3 2" xfId="41388" xr:uid="{00000000-0005-0000-0000-00008B8F0000}"/>
    <cellStyle name="常规 9 2 5 3 3 2 3 4" xfId="29100" xr:uid="{00000000-0005-0000-0000-00008C8F0000}"/>
    <cellStyle name="常规 9 2 5 3 3 2 4" xfId="7596" xr:uid="{00000000-0005-0000-0000-00008D8F0000}"/>
    <cellStyle name="常规 9 2 5 3 3 2 4 2" xfId="19884" xr:uid="{00000000-0005-0000-0000-00008E8F0000}"/>
    <cellStyle name="常规 9 2 5 3 3 2 4 2 2" xfId="44460" xr:uid="{00000000-0005-0000-0000-00008F8F0000}"/>
    <cellStyle name="常规 9 2 5 3 3 2 4 3" xfId="32172" xr:uid="{00000000-0005-0000-0000-0000908F0000}"/>
    <cellStyle name="常规 9 2 5 3 3 2 5" xfId="13740" xr:uid="{00000000-0005-0000-0000-0000918F0000}"/>
    <cellStyle name="常规 9 2 5 3 3 2 5 2" xfId="38316" xr:uid="{00000000-0005-0000-0000-0000928F0000}"/>
    <cellStyle name="常规 9 2 5 3 3 2 6" xfId="26028" xr:uid="{00000000-0005-0000-0000-0000938F0000}"/>
    <cellStyle name="常规 9 2 5 3 3 3" xfId="2216" xr:uid="{00000000-0005-0000-0000-0000948F0000}"/>
    <cellStyle name="常规 9 2 5 3 3 3 2" xfId="5292" xr:uid="{00000000-0005-0000-0000-0000958F0000}"/>
    <cellStyle name="常规 9 2 5 3 3 3 2 2" xfId="11436" xr:uid="{00000000-0005-0000-0000-0000968F0000}"/>
    <cellStyle name="常规 9 2 5 3 3 3 2 2 2" xfId="23724" xr:uid="{00000000-0005-0000-0000-0000978F0000}"/>
    <cellStyle name="常规 9 2 5 3 3 3 2 2 2 2" xfId="48300" xr:uid="{00000000-0005-0000-0000-0000988F0000}"/>
    <cellStyle name="常规 9 2 5 3 3 3 2 2 3" xfId="36012" xr:uid="{00000000-0005-0000-0000-0000998F0000}"/>
    <cellStyle name="常规 9 2 5 3 3 3 2 3" xfId="17580" xr:uid="{00000000-0005-0000-0000-00009A8F0000}"/>
    <cellStyle name="常规 9 2 5 3 3 3 2 3 2" xfId="42156" xr:uid="{00000000-0005-0000-0000-00009B8F0000}"/>
    <cellStyle name="常规 9 2 5 3 3 3 2 4" xfId="29868" xr:uid="{00000000-0005-0000-0000-00009C8F0000}"/>
    <cellStyle name="常规 9 2 5 3 3 3 3" xfId="8364" xr:uid="{00000000-0005-0000-0000-00009D8F0000}"/>
    <cellStyle name="常规 9 2 5 3 3 3 3 2" xfId="20652" xr:uid="{00000000-0005-0000-0000-00009E8F0000}"/>
    <cellStyle name="常规 9 2 5 3 3 3 3 2 2" xfId="45228" xr:uid="{00000000-0005-0000-0000-00009F8F0000}"/>
    <cellStyle name="常规 9 2 5 3 3 3 3 3" xfId="32940" xr:uid="{00000000-0005-0000-0000-0000A08F0000}"/>
    <cellStyle name="常规 9 2 5 3 3 3 4" xfId="14508" xr:uid="{00000000-0005-0000-0000-0000A18F0000}"/>
    <cellStyle name="常规 9 2 5 3 3 3 4 2" xfId="39084" xr:uid="{00000000-0005-0000-0000-0000A28F0000}"/>
    <cellStyle name="常规 9 2 5 3 3 3 5" xfId="26796" xr:uid="{00000000-0005-0000-0000-0000A38F0000}"/>
    <cellStyle name="常规 9 2 5 3 3 4" xfId="3756" xr:uid="{00000000-0005-0000-0000-0000A48F0000}"/>
    <cellStyle name="常规 9 2 5 3 3 4 2" xfId="9900" xr:uid="{00000000-0005-0000-0000-0000A58F0000}"/>
    <cellStyle name="常规 9 2 5 3 3 4 2 2" xfId="22188" xr:uid="{00000000-0005-0000-0000-0000A68F0000}"/>
    <cellStyle name="常规 9 2 5 3 3 4 2 2 2" xfId="46764" xr:uid="{00000000-0005-0000-0000-0000A78F0000}"/>
    <cellStyle name="常规 9 2 5 3 3 4 2 3" xfId="34476" xr:uid="{00000000-0005-0000-0000-0000A88F0000}"/>
    <cellStyle name="常规 9 2 5 3 3 4 3" xfId="16044" xr:uid="{00000000-0005-0000-0000-0000A98F0000}"/>
    <cellStyle name="常规 9 2 5 3 3 4 3 2" xfId="40620" xr:uid="{00000000-0005-0000-0000-0000AA8F0000}"/>
    <cellStyle name="常规 9 2 5 3 3 4 4" xfId="28332" xr:uid="{00000000-0005-0000-0000-0000AB8F0000}"/>
    <cellStyle name="常规 9 2 5 3 3 5" xfId="6828" xr:uid="{00000000-0005-0000-0000-0000AC8F0000}"/>
    <cellStyle name="常规 9 2 5 3 3 5 2" xfId="19116" xr:uid="{00000000-0005-0000-0000-0000AD8F0000}"/>
    <cellStyle name="常规 9 2 5 3 3 5 2 2" xfId="43692" xr:uid="{00000000-0005-0000-0000-0000AE8F0000}"/>
    <cellStyle name="常规 9 2 5 3 3 5 3" xfId="31404" xr:uid="{00000000-0005-0000-0000-0000AF8F0000}"/>
    <cellStyle name="常规 9 2 5 3 3 6" xfId="12972" xr:uid="{00000000-0005-0000-0000-0000B08F0000}"/>
    <cellStyle name="常规 9 2 5 3 3 6 2" xfId="37548" xr:uid="{00000000-0005-0000-0000-0000B18F0000}"/>
    <cellStyle name="常规 9 2 5 3 3 7" xfId="25260" xr:uid="{00000000-0005-0000-0000-0000B28F0000}"/>
    <cellStyle name="常规 9 2 5 3 4" xfId="1064" xr:uid="{00000000-0005-0000-0000-0000B38F0000}"/>
    <cellStyle name="常规 9 2 5 3 4 2" xfId="2600" xr:uid="{00000000-0005-0000-0000-0000B48F0000}"/>
    <cellStyle name="常规 9 2 5 3 4 2 2" xfId="5676" xr:uid="{00000000-0005-0000-0000-0000B58F0000}"/>
    <cellStyle name="常规 9 2 5 3 4 2 2 2" xfId="11820" xr:uid="{00000000-0005-0000-0000-0000B68F0000}"/>
    <cellStyle name="常规 9 2 5 3 4 2 2 2 2" xfId="24108" xr:uid="{00000000-0005-0000-0000-0000B78F0000}"/>
    <cellStyle name="常规 9 2 5 3 4 2 2 2 2 2" xfId="48684" xr:uid="{00000000-0005-0000-0000-0000B88F0000}"/>
    <cellStyle name="常规 9 2 5 3 4 2 2 2 3" xfId="36396" xr:uid="{00000000-0005-0000-0000-0000B98F0000}"/>
    <cellStyle name="常规 9 2 5 3 4 2 2 3" xfId="17964" xr:uid="{00000000-0005-0000-0000-0000BA8F0000}"/>
    <cellStyle name="常规 9 2 5 3 4 2 2 3 2" xfId="42540" xr:uid="{00000000-0005-0000-0000-0000BB8F0000}"/>
    <cellStyle name="常规 9 2 5 3 4 2 2 4" xfId="30252" xr:uid="{00000000-0005-0000-0000-0000BC8F0000}"/>
    <cellStyle name="常规 9 2 5 3 4 2 3" xfId="8748" xr:uid="{00000000-0005-0000-0000-0000BD8F0000}"/>
    <cellStyle name="常规 9 2 5 3 4 2 3 2" xfId="21036" xr:uid="{00000000-0005-0000-0000-0000BE8F0000}"/>
    <cellStyle name="常规 9 2 5 3 4 2 3 2 2" xfId="45612" xr:uid="{00000000-0005-0000-0000-0000BF8F0000}"/>
    <cellStyle name="常规 9 2 5 3 4 2 3 3" xfId="33324" xr:uid="{00000000-0005-0000-0000-0000C08F0000}"/>
    <cellStyle name="常规 9 2 5 3 4 2 4" xfId="14892" xr:uid="{00000000-0005-0000-0000-0000C18F0000}"/>
    <cellStyle name="常规 9 2 5 3 4 2 4 2" xfId="39468" xr:uid="{00000000-0005-0000-0000-0000C28F0000}"/>
    <cellStyle name="常规 9 2 5 3 4 2 5" xfId="27180" xr:uid="{00000000-0005-0000-0000-0000C38F0000}"/>
    <cellStyle name="常规 9 2 5 3 4 3" xfId="4140" xr:uid="{00000000-0005-0000-0000-0000C48F0000}"/>
    <cellStyle name="常规 9 2 5 3 4 3 2" xfId="10284" xr:uid="{00000000-0005-0000-0000-0000C58F0000}"/>
    <cellStyle name="常规 9 2 5 3 4 3 2 2" xfId="22572" xr:uid="{00000000-0005-0000-0000-0000C68F0000}"/>
    <cellStyle name="常规 9 2 5 3 4 3 2 2 2" xfId="47148" xr:uid="{00000000-0005-0000-0000-0000C78F0000}"/>
    <cellStyle name="常规 9 2 5 3 4 3 2 3" xfId="34860" xr:uid="{00000000-0005-0000-0000-0000C88F0000}"/>
    <cellStyle name="常规 9 2 5 3 4 3 3" xfId="16428" xr:uid="{00000000-0005-0000-0000-0000C98F0000}"/>
    <cellStyle name="常规 9 2 5 3 4 3 3 2" xfId="41004" xr:uid="{00000000-0005-0000-0000-0000CA8F0000}"/>
    <cellStyle name="常规 9 2 5 3 4 3 4" xfId="28716" xr:uid="{00000000-0005-0000-0000-0000CB8F0000}"/>
    <cellStyle name="常规 9 2 5 3 4 4" xfId="7212" xr:uid="{00000000-0005-0000-0000-0000CC8F0000}"/>
    <cellStyle name="常规 9 2 5 3 4 4 2" xfId="19500" xr:uid="{00000000-0005-0000-0000-0000CD8F0000}"/>
    <cellStyle name="常规 9 2 5 3 4 4 2 2" xfId="44076" xr:uid="{00000000-0005-0000-0000-0000CE8F0000}"/>
    <cellStyle name="常规 9 2 5 3 4 4 3" xfId="31788" xr:uid="{00000000-0005-0000-0000-0000CF8F0000}"/>
    <cellStyle name="常规 9 2 5 3 4 5" xfId="13356" xr:uid="{00000000-0005-0000-0000-0000D08F0000}"/>
    <cellStyle name="常规 9 2 5 3 4 5 2" xfId="37932" xr:uid="{00000000-0005-0000-0000-0000D18F0000}"/>
    <cellStyle name="常规 9 2 5 3 4 6" xfId="25644" xr:uid="{00000000-0005-0000-0000-0000D28F0000}"/>
    <cellStyle name="常规 9 2 5 3 5" xfId="1832" xr:uid="{00000000-0005-0000-0000-0000D38F0000}"/>
    <cellStyle name="常规 9 2 5 3 5 2" xfId="4908" xr:uid="{00000000-0005-0000-0000-0000D48F0000}"/>
    <cellStyle name="常规 9 2 5 3 5 2 2" xfId="11052" xr:uid="{00000000-0005-0000-0000-0000D58F0000}"/>
    <cellStyle name="常规 9 2 5 3 5 2 2 2" xfId="23340" xr:uid="{00000000-0005-0000-0000-0000D68F0000}"/>
    <cellStyle name="常规 9 2 5 3 5 2 2 2 2" xfId="47916" xr:uid="{00000000-0005-0000-0000-0000D78F0000}"/>
    <cellStyle name="常规 9 2 5 3 5 2 2 3" xfId="35628" xr:uid="{00000000-0005-0000-0000-0000D88F0000}"/>
    <cellStyle name="常规 9 2 5 3 5 2 3" xfId="17196" xr:uid="{00000000-0005-0000-0000-0000D98F0000}"/>
    <cellStyle name="常规 9 2 5 3 5 2 3 2" xfId="41772" xr:uid="{00000000-0005-0000-0000-0000DA8F0000}"/>
    <cellStyle name="常规 9 2 5 3 5 2 4" xfId="29484" xr:uid="{00000000-0005-0000-0000-0000DB8F0000}"/>
    <cellStyle name="常规 9 2 5 3 5 3" xfId="7980" xr:uid="{00000000-0005-0000-0000-0000DC8F0000}"/>
    <cellStyle name="常规 9 2 5 3 5 3 2" xfId="20268" xr:uid="{00000000-0005-0000-0000-0000DD8F0000}"/>
    <cellStyle name="常规 9 2 5 3 5 3 2 2" xfId="44844" xr:uid="{00000000-0005-0000-0000-0000DE8F0000}"/>
    <cellStyle name="常规 9 2 5 3 5 3 3" xfId="32556" xr:uid="{00000000-0005-0000-0000-0000DF8F0000}"/>
    <cellStyle name="常规 9 2 5 3 5 4" xfId="14124" xr:uid="{00000000-0005-0000-0000-0000E08F0000}"/>
    <cellStyle name="常规 9 2 5 3 5 4 2" xfId="38700" xr:uid="{00000000-0005-0000-0000-0000E18F0000}"/>
    <cellStyle name="常规 9 2 5 3 5 5" xfId="26412" xr:uid="{00000000-0005-0000-0000-0000E28F0000}"/>
    <cellStyle name="常规 9 2 5 3 6" xfId="3372" xr:uid="{00000000-0005-0000-0000-0000E38F0000}"/>
    <cellStyle name="常规 9 2 5 3 6 2" xfId="9516" xr:uid="{00000000-0005-0000-0000-0000E48F0000}"/>
    <cellStyle name="常规 9 2 5 3 6 2 2" xfId="21804" xr:uid="{00000000-0005-0000-0000-0000E58F0000}"/>
    <cellStyle name="常规 9 2 5 3 6 2 2 2" xfId="46380" xr:uid="{00000000-0005-0000-0000-0000E68F0000}"/>
    <cellStyle name="常规 9 2 5 3 6 2 3" xfId="34092" xr:uid="{00000000-0005-0000-0000-0000E78F0000}"/>
    <cellStyle name="常规 9 2 5 3 6 3" xfId="15660" xr:uid="{00000000-0005-0000-0000-0000E88F0000}"/>
    <cellStyle name="常规 9 2 5 3 6 3 2" xfId="40236" xr:uid="{00000000-0005-0000-0000-0000E98F0000}"/>
    <cellStyle name="常规 9 2 5 3 6 4" xfId="27948" xr:uid="{00000000-0005-0000-0000-0000EA8F0000}"/>
    <cellStyle name="常规 9 2 5 3 7" xfId="6444" xr:uid="{00000000-0005-0000-0000-0000EB8F0000}"/>
    <cellStyle name="常规 9 2 5 3 7 2" xfId="18732" xr:uid="{00000000-0005-0000-0000-0000EC8F0000}"/>
    <cellStyle name="常规 9 2 5 3 7 2 2" xfId="43308" xr:uid="{00000000-0005-0000-0000-0000ED8F0000}"/>
    <cellStyle name="常规 9 2 5 3 7 3" xfId="31020" xr:uid="{00000000-0005-0000-0000-0000EE8F0000}"/>
    <cellStyle name="常规 9 2 5 3 8" xfId="12588" xr:uid="{00000000-0005-0000-0000-0000EF8F0000}"/>
    <cellStyle name="常规 9 2 5 3 8 2" xfId="37164" xr:uid="{00000000-0005-0000-0000-0000F08F0000}"/>
    <cellStyle name="常规 9 2 5 3 9" xfId="24876" xr:uid="{00000000-0005-0000-0000-0000F18F0000}"/>
    <cellStyle name="常规 9 2 5 4" xfId="360" xr:uid="{00000000-0005-0000-0000-0000F28F0000}"/>
    <cellStyle name="常规 9 2 5 4 2" xfId="744" xr:uid="{00000000-0005-0000-0000-0000F38F0000}"/>
    <cellStyle name="常规 9 2 5 4 2 2" xfId="1512" xr:uid="{00000000-0005-0000-0000-0000F48F0000}"/>
    <cellStyle name="常规 9 2 5 4 2 2 2" xfId="3048" xr:uid="{00000000-0005-0000-0000-0000F58F0000}"/>
    <cellStyle name="常规 9 2 5 4 2 2 2 2" xfId="6124" xr:uid="{00000000-0005-0000-0000-0000F68F0000}"/>
    <cellStyle name="常规 9 2 5 4 2 2 2 2 2" xfId="12268" xr:uid="{00000000-0005-0000-0000-0000F78F0000}"/>
    <cellStyle name="常规 9 2 5 4 2 2 2 2 2 2" xfId="24556" xr:uid="{00000000-0005-0000-0000-0000F88F0000}"/>
    <cellStyle name="常规 9 2 5 4 2 2 2 2 2 2 2" xfId="49132" xr:uid="{00000000-0005-0000-0000-0000F98F0000}"/>
    <cellStyle name="常规 9 2 5 4 2 2 2 2 2 3" xfId="36844" xr:uid="{00000000-0005-0000-0000-0000FA8F0000}"/>
    <cellStyle name="常规 9 2 5 4 2 2 2 2 3" xfId="18412" xr:uid="{00000000-0005-0000-0000-0000FB8F0000}"/>
    <cellStyle name="常规 9 2 5 4 2 2 2 2 3 2" xfId="42988" xr:uid="{00000000-0005-0000-0000-0000FC8F0000}"/>
    <cellStyle name="常规 9 2 5 4 2 2 2 2 4" xfId="30700" xr:uid="{00000000-0005-0000-0000-0000FD8F0000}"/>
    <cellStyle name="常规 9 2 5 4 2 2 2 3" xfId="9196" xr:uid="{00000000-0005-0000-0000-0000FE8F0000}"/>
    <cellStyle name="常规 9 2 5 4 2 2 2 3 2" xfId="21484" xr:uid="{00000000-0005-0000-0000-0000FF8F0000}"/>
    <cellStyle name="常规 9 2 5 4 2 2 2 3 2 2" xfId="46060" xr:uid="{00000000-0005-0000-0000-000000900000}"/>
    <cellStyle name="常规 9 2 5 4 2 2 2 3 3" xfId="33772" xr:uid="{00000000-0005-0000-0000-000001900000}"/>
    <cellStyle name="常规 9 2 5 4 2 2 2 4" xfId="15340" xr:uid="{00000000-0005-0000-0000-000002900000}"/>
    <cellStyle name="常规 9 2 5 4 2 2 2 4 2" xfId="39916" xr:uid="{00000000-0005-0000-0000-000003900000}"/>
    <cellStyle name="常规 9 2 5 4 2 2 2 5" xfId="27628" xr:uid="{00000000-0005-0000-0000-000004900000}"/>
    <cellStyle name="常规 9 2 5 4 2 2 3" xfId="4588" xr:uid="{00000000-0005-0000-0000-000005900000}"/>
    <cellStyle name="常规 9 2 5 4 2 2 3 2" xfId="10732" xr:uid="{00000000-0005-0000-0000-000006900000}"/>
    <cellStyle name="常规 9 2 5 4 2 2 3 2 2" xfId="23020" xr:uid="{00000000-0005-0000-0000-000007900000}"/>
    <cellStyle name="常规 9 2 5 4 2 2 3 2 2 2" xfId="47596" xr:uid="{00000000-0005-0000-0000-000008900000}"/>
    <cellStyle name="常规 9 2 5 4 2 2 3 2 3" xfId="35308" xr:uid="{00000000-0005-0000-0000-000009900000}"/>
    <cellStyle name="常规 9 2 5 4 2 2 3 3" xfId="16876" xr:uid="{00000000-0005-0000-0000-00000A900000}"/>
    <cellStyle name="常规 9 2 5 4 2 2 3 3 2" xfId="41452" xr:uid="{00000000-0005-0000-0000-00000B900000}"/>
    <cellStyle name="常规 9 2 5 4 2 2 3 4" xfId="29164" xr:uid="{00000000-0005-0000-0000-00000C900000}"/>
    <cellStyle name="常规 9 2 5 4 2 2 4" xfId="7660" xr:uid="{00000000-0005-0000-0000-00000D900000}"/>
    <cellStyle name="常规 9 2 5 4 2 2 4 2" xfId="19948" xr:uid="{00000000-0005-0000-0000-00000E900000}"/>
    <cellStyle name="常规 9 2 5 4 2 2 4 2 2" xfId="44524" xr:uid="{00000000-0005-0000-0000-00000F900000}"/>
    <cellStyle name="常规 9 2 5 4 2 2 4 3" xfId="32236" xr:uid="{00000000-0005-0000-0000-000010900000}"/>
    <cellStyle name="常规 9 2 5 4 2 2 5" xfId="13804" xr:uid="{00000000-0005-0000-0000-000011900000}"/>
    <cellStyle name="常规 9 2 5 4 2 2 5 2" xfId="38380" xr:uid="{00000000-0005-0000-0000-000012900000}"/>
    <cellStyle name="常规 9 2 5 4 2 2 6" xfId="26092" xr:uid="{00000000-0005-0000-0000-000013900000}"/>
    <cellStyle name="常规 9 2 5 4 2 3" xfId="2280" xr:uid="{00000000-0005-0000-0000-000014900000}"/>
    <cellStyle name="常规 9 2 5 4 2 3 2" xfId="5356" xr:uid="{00000000-0005-0000-0000-000015900000}"/>
    <cellStyle name="常规 9 2 5 4 2 3 2 2" xfId="11500" xr:uid="{00000000-0005-0000-0000-000016900000}"/>
    <cellStyle name="常规 9 2 5 4 2 3 2 2 2" xfId="23788" xr:uid="{00000000-0005-0000-0000-000017900000}"/>
    <cellStyle name="常规 9 2 5 4 2 3 2 2 2 2" xfId="48364" xr:uid="{00000000-0005-0000-0000-000018900000}"/>
    <cellStyle name="常规 9 2 5 4 2 3 2 2 3" xfId="36076" xr:uid="{00000000-0005-0000-0000-000019900000}"/>
    <cellStyle name="常规 9 2 5 4 2 3 2 3" xfId="17644" xr:uid="{00000000-0005-0000-0000-00001A900000}"/>
    <cellStyle name="常规 9 2 5 4 2 3 2 3 2" xfId="42220" xr:uid="{00000000-0005-0000-0000-00001B900000}"/>
    <cellStyle name="常规 9 2 5 4 2 3 2 4" xfId="29932" xr:uid="{00000000-0005-0000-0000-00001C900000}"/>
    <cellStyle name="常规 9 2 5 4 2 3 3" xfId="8428" xr:uid="{00000000-0005-0000-0000-00001D900000}"/>
    <cellStyle name="常规 9 2 5 4 2 3 3 2" xfId="20716" xr:uid="{00000000-0005-0000-0000-00001E900000}"/>
    <cellStyle name="常规 9 2 5 4 2 3 3 2 2" xfId="45292" xr:uid="{00000000-0005-0000-0000-00001F900000}"/>
    <cellStyle name="常规 9 2 5 4 2 3 3 3" xfId="33004" xr:uid="{00000000-0005-0000-0000-000020900000}"/>
    <cellStyle name="常规 9 2 5 4 2 3 4" xfId="14572" xr:uid="{00000000-0005-0000-0000-000021900000}"/>
    <cellStyle name="常规 9 2 5 4 2 3 4 2" xfId="39148" xr:uid="{00000000-0005-0000-0000-000022900000}"/>
    <cellStyle name="常规 9 2 5 4 2 3 5" xfId="26860" xr:uid="{00000000-0005-0000-0000-000023900000}"/>
    <cellStyle name="常规 9 2 5 4 2 4" xfId="3820" xr:uid="{00000000-0005-0000-0000-000024900000}"/>
    <cellStyle name="常规 9 2 5 4 2 4 2" xfId="9964" xr:uid="{00000000-0005-0000-0000-000025900000}"/>
    <cellStyle name="常规 9 2 5 4 2 4 2 2" xfId="22252" xr:uid="{00000000-0005-0000-0000-000026900000}"/>
    <cellStyle name="常规 9 2 5 4 2 4 2 2 2" xfId="46828" xr:uid="{00000000-0005-0000-0000-000027900000}"/>
    <cellStyle name="常规 9 2 5 4 2 4 2 3" xfId="34540" xr:uid="{00000000-0005-0000-0000-000028900000}"/>
    <cellStyle name="常规 9 2 5 4 2 4 3" xfId="16108" xr:uid="{00000000-0005-0000-0000-000029900000}"/>
    <cellStyle name="常规 9 2 5 4 2 4 3 2" xfId="40684" xr:uid="{00000000-0005-0000-0000-00002A900000}"/>
    <cellStyle name="常规 9 2 5 4 2 4 4" xfId="28396" xr:uid="{00000000-0005-0000-0000-00002B900000}"/>
    <cellStyle name="常规 9 2 5 4 2 5" xfId="6892" xr:uid="{00000000-0005-0000-0000-00002C900000}"/>
    <cellStyle name="常规 9 2 5 4 2 5 2" xfId="19180" xr:uid="{00000000-0005-0000-0000-00002D900000}"/>
    <cellStyle name="常规 9 2 5 4 2 5 2 2" xfId="43756" xr:uid="{00000000-0005-0000-0000-00002E900000}"/>
    <cellStyle name="常规 9 2 5 4 2 5 3" xfId="31468" xr:uid="{00000000-0005-0000-0000-00002F900000}"/>
    <cellStyle name="常规 9 2 5 4 2 6" xfId="13036" xr:uid="{00000000-0005-0000-0000-000030900000}"/>
    <cellStyle name="常规 9 2 5 4 2 6 2" xfId="37612" xr:uid="{00000000-0005-0000-0000-000031900000}"/>
    <cellStyle name="常规 9 2 5 4 2 7" xfId="25324" xr:uid="{00000000-0005-0000-0000-000032900000}"/>
    <cellStyle name="常规 9 2 5 4 3" xfId="1128" xr:uid="{00000000-0005-0000-0000-000033900000}"/>
    <cellStyle name="常规 9 2 5 4 3 2" xfId="2664" xr:uid="{00000000-0005-0000-0000-000034900000}"/>
    <cellStyle name="常规 9 2 5 4 3 2 2" xfId="5740" xr:uid="{00000000-0005-0000-0000-000035900000}"/>
    <cellStyle name="常规 9 2 5 4 3 2 2 2" xfId="11884" xr:uid="{00000000-0005-0000-0000-000036900000}"/>
    <cellStyle name="常规 9 2 5 4 3 2 2 2 2" xfId="24172" xr:uid="{00000000-0005-0000-0000-000037900000}"/>
    <cellStyle name="常规 9 2 5 4 3 2 2 2 2 2" xfId="48748" xr:uid="{00000000-0005-0000-0000-000038900000}"/>
    <cellStyle name="常规 9 2 5 4 3 2 2 2 3" xfId="36460" xr:uid="{00000000-0005-0000-0000-000039900000}"/>
    <cellStyle name="常规 9 2 5 4 3 2 2 3" xfId="18028" xr:uid="{00000000-0005-0000-0000-00003A900000}"/>
    <cellStyle name="常规 9 2 5 4 3 2 2 3 2" xfId="42604" xr:uid="{00000000-0005-0000-0000-00003B900000}"/>
    <cellStyle name="常规 9 2 5 4 3 2 2 4" xfId="30316" xr:uid="{00000000-0005-0000-0000-00003C900000}"/>
    <cellStyle name="常规 9 2 5 4 3 2 3" xfId="8812" xr:uid="{00000000-0005-0000-0000-00003D900000}"/>
    <cellStyle name="常规 9 2 5 4 3 2 3 2" xfId="21100" xr:uid="{00000000-0005-0000-0000-00003E900000}"/>
    <cellStyle name="常规 9 2 5 4 3 2 3 2 2" xfId="45676" xr:uid="{00000000-0005-0000-0000-00003F900000}"/>
    <cellStyle name="常规 9 2 5 4 3 2 3 3" xfId="33388" xr:uid="{00000000-0005-0000-0000-000040900000}"/>
    <cellStyle name="常规 9 2 5 4 3 2 4" xfId="14956" xr:uid="{00000000-0005-0000-0000-000041900000}"/>
    <cellStyle name="常规 9 2 5 4 3 2 4 2" xfId="39532" xr:uid="{00000000-0005-0000-0000-000042900000}"/>
    <cellStyle name="常规 9 2 5 4 3 2 5" xfId="27244" xr:uid="{00000000-0005-0000-0000-000043900000}"/>
    <cellStyle name="常规 9 2 5 4 3 3" xfId="4204" xr:uid="{00000000-0005-0000-0000-000044900000}"/>
    <cellStyle name="常规 9 2 5 4 3 3 2" xfId="10348" xr:uid="{00000000-0005-0000-0000-000045900000}"/>
    <cellStyle name="常规 9 2 5 4 3 3 2 2" xfId="22636" xr:uid="{00000000-0005-0000-0000-000046900000}"/>
    <cellStyle name="常规 9 2 5 4 3 3 2 2 2" xfId="47212" xr:uid="{00000000-0005-0000-0000-000047900000}"/>
    <cellStyle name="常规 9 2 5 4 3 3 2 3" xfId="34924" xr:uid="{00000000-0005-0000-0000-000048900000}"/>
    <cellStyle name="常规 9 2 5 4 3 3 3" xfId="16492" xr:uid="{00000000-0005-0000-0000-000049900000}"/>
    <cellStyle name="常规 9 2 5 4 3 3 3 2" xfId="41068" xr:uid="{00000000-0005-0000-0000-00004A900000}"/>
    <cellStyle name="常规 9 2 5 4 3 3 4" xfId="28780" xr:uid="{00000000-0005-0000-0000-00004B900000}"/>
    <cellStyle name="常规 9 2 5 4 3 4" xfId="7276" xr:uid="{00000000-0005-0000-0000-00004C900000}"/>
    <cellStyle name="常规 9 2 5 4 3 4 2" xfId="19564" xr:uid="{00000000-0005-0000-0000-00004D900000}"/>
    <cellStyle name="常规 9 2 5 4 3 4 2 2" xfId="44140" xr:uid="{00000000-0005-0000-0000-00004E900000}"/>
    <cellStyle name="常规 9 2 5 4 3 4 3" xfId="31852" xr:uid="{00000000-0005-0000-0000-00004F900000}"/>
    <cellStyle name="常规 9 2 5 4 3 5" xfId="13420" xr:uid="{00000000-0005-0000-0000-000050900000}"/>
    <cellStyle name="常规 9 2 5 4 3 5 2" xfId="37996" xr:uid="{00000000-0005-0000-0000-000051900000}"/>
    <cellStyle name="常规 9 2 5 4 3 6" xfId="25708" xr:uid="{00000000-0005-0000-0000-000052900000}"/>
    <cellStyle name="常规 9 2 5 4 4" xfId="1896" xr:uid="{00000000-0005-0000-0000-000053900000}"/>
    <cellStyle name="常规 9 2 5 4 4 2" xfId="4972" xr:uid="{00000000-0005-0000-0000-000054900000}"/>
    <cellStyle name="常规 9 2 5 4 4 2 2" xfId="11116" xr:uid="{00000000-0005-0000-0000-000055900000}"/>
    <cellStyle name="常规 9 2 5 4 4 2 2 2" xfId="23404" xr:uid="{00000000-0005-0000-0000-000056900000}"/>
    <cellStyle name="常规 9 2 5 4 4 2 2 2 2" xfId="47980" xr:uid="{00000000-0005-0000-0000-000057900000}"/>
    <cellStyle name="常规 9 2 5 4 4 2 2 3" xfId="35692" xr:uid="{00000000-0005-0000-0000-000058900000}"/>
    <cellStyle name="常规 9 2 5 4 4 2 3" xfId="17260" xr:uid="{00000000-0005-0000-0000-000059900000}"/>
    <cellStyle name="常规 9 2 5 4 4 2 3 2" xfId="41836" xr:uid="{00000000-0005-0000-0000-00005A900000}"/>
    <cellStyle name="常规 9 2 5 4 4 2 4" xfId="29548" xr:uid="{00000000-0005-0000-0000-00005B900000}"/>
    <cellStyle name="常规 9 2 5 4 4 3" xfId="8044" xr:uid="{00000000-0005-0000-0000-00005C900000}"/>
    <cellStyle name="常规 9 2 5 4 4 3 2" xfId="20332" xr:uid="{00000000-0005-0000-0000-00005D900000}"/>
    <cellStyle name="常规 9 2 5 4 4 3 2 2" xfId="44908" xr:uid="{00000000-0005-0000-0000-00005E900000}"/>
    <cellStyle name="常规 9 2 5 4 4 3 3" xfId="32620" xr:uid="{00000000-0005-0000-0000-00005F900000}"/>
    <cellStyle name="常规 9 2 5 4 4 4" xfId="14188" xr:uid="{00000000-0005-0000-0000-000060900000}"/>
    <cellStyle name="常规 9 2 5 4 4 4 2" xfId="38764" xr:uid="{00000000-0005-0000-0000-000061900000}"/>
    <cellStyle name="常规 9 2 5 4 4 5" xfId="26476" xr:uid="{00000000-0005-0000-0000-000062900000}"/>
    <cellStyle name="常规 9 2 5 4 5" xfId="3436" xr:uid="{00000000-0005-0000-0000-000063900000}"/>
    <cellStyle name="常规 9 2 5 4 5 2" xfId="9580" xr:uid="{00000000-0005-0000-0000-000064900000}"/>
    <cellStyle name="常规 9 2 5 4 5 2 2" xfId="21868" xr:uid="{00000000-0005-0000-0000-000065900000}"/>
    <cellStyle name="常规 9 2 5 4 5 2 2 2" xfId="46444" xr:uid="{00000000-0005-0000-0000-000066900000}"/>
    <cellStyle name="常规 9 2 5 4 5 2 3" xfId="34156" xr:uid="{00000000-0005-0000-0000-000067900000}"/>
    <cellStyle name="常规 9 2 5 4 5 3" xfId="15724" xr:uid="{00000000-0005-0000-0000-000068900000}"/>
    <cellStyle name="常规 9 2 5 4 5 3 2" xfId="40300" xr:uid="{00000000-0005-0000-0000-000069900000}"/>
    <cellStyle name="常规 9 2 5 4 5 4" xfId="28012" xr:uid="{00000000-0005-0000-0000-00006A900000}"/>
    <cellStyle name="常规 9 2 5 4 6" xfId="6508" xr:uid="{00000000-0005-0000-0000-00006B900000}"/>
    <cellStyle name="常规 9 2 5 4 6 2" xfId="18796" xr:uid="{00000000-0005-0000-0000-00006C900000}"/>
    <cellStyle name="常规 9 2 5 4 6 2 2" xfId="43372" xr:uid="{00000000-0005-0000-0000-00006D900000}"/>
    <cellStyle name="常规 9 2 5 4 6 3" xfId="31084" xr:uid="{00000000-0005-0000-0000-00006E900000}"/>
    <cellStyle name="常规 9 2 5 4 7" xfId="12652" xr:uid="{00000000-0005-0000-0000-00006F900000}"/>
    <cellStyle name="常规 9 2 5 4 7 2" xfId="37228" xr:uid="{00000000-0005-0000-0000-000070900000}"/>
    <cellStyle name="常规 9 2 5 4 8" xfId="24940" xr:uid="{00000000-0005-0000-0000-000071900000}"/>
    <cellStyle name="常规 9 2 5 5" xfId="552" xr:uid="{00000000-0005-0000-0000-000072900000}"/>
    <cellStyle name="常规 9 2 5 5 2" xfId="1320" xr:uid="{00000000-0005-0000-0000-000073900000}"/>
    <cellStyle name="常规 9 2 5 5 2 2" xfId="2856" xr:uid="{00000000-0005-0000-0000-000074900000}"/>
    <cellStyle name="常规 9 2 5 5 2 2 2" xfId="5932" xr:uid="{00000000-0005-0000-0000-000075900000}"/>
    <cellStyle name="常规 9 2 5 5 2 2 2 2" xfId="12076" xr:uid="{00000000-0005-0000-0000-000076900000}"/>
    <cellStyle name="常规 9 2 5 5 2 2 2 2 2" xfId="24364" xr:uid="{00000000-0005-0000-0000-000077900000}"/>
    <cellStyle name="常规 9 2 5 5 2 2 2 2 2 2" xfId="48940" xr:uid="{00000000-0005-0000-0000-000078900000}"/>
    <cellStyle name="常规 9 2 5 5 2 2 2 2 3" xfId="36652" xr:uid="{00000000-0005-0000-0000-000079900000}"/>
    <cellStyle name="常规 9 2 5 5 2 2 2 3" xfId="18220" xr:uid="{00000000-0005-0000-0000-00007A900000}"/>
    <cellStyle name="常规 9 2 5 5 2 2 2 3 2" xfId="42796" xr:uid="{00000000-0005-0000-0000-00007B900000}"/>
    <cellStyle name="常规 9 2 5 5 2 2 2 4" xfId="30508" xr:uid="{00000000-0005-0000-0000-00007C900000}"/>
    <cellStyle name="常规 9 2 5 5 2 2 3" xfId="9004" xr:uid="{00000000-0005-0000-0000-00007D900000}"/>
    <cellStyle name="常规 9 2 5 5 2 2 3 2" xfId="21292" xr:uid="{00000000-0005-0000-0000-00007E900000}"/>
    <cellStyle name="常规 9 2 5 5 2 2 3 2 2" xfId="45868" xr:uid="{00000000-0005-0000-0000-00007F900000}"/>
    <cellStyle name="常规 9 2 5 5 2 2 3 3" xfId="33580" xr:uid="{00000000-0005-0000-0000-000080900000}"/>
    <cellStyle name="常规 9 2 5 5 2 2 4" xfId="15148" xr:uid="{00000000-0005-0000-0000-000081900000}"/>
    <cellStyle name="常规 9 2 5 5 2 2 4 2" xfId="39724" xr:uid="{00000000-0005-0000-0000-000082900000}"/>
    <cellStyle name="常规 9 2 5 5 2 2 5" xfId="27436" xr:uid="{00000000-0005-0000-0000-000083900000}"/>
    <cellStyle name="常规 9 2 5 5 2 3" xfId="4396" xr:uid="{00000000-0005-0000-0000-000084900000}"/>
    <cellStyle name="常规 9 2 5 5 2 3 2" xfId="10540" xr:uid="{00000000-0005-0000-0000-000085900000}"/>
    <cellStyle name="常规 9 2 5 5 2 3 2 2" xfId="22828" xr:uid="{00000000-0005-0000-0000-000086900000}"/>
    <cellStyle name="常规 9 2 5 5 2 3 2 2 2" xfId="47404" xr:uid="{00000000-0005-0000-0000-000087900000}"/>
    <cellStyle name="常规 9 2 5 5 2 3 2 3" xfId="35116" xr:uid="{00000000-0005-0000-0000-000088900000}"/>
    <cellStyle name="常规 9 2 5 5 2 3 3" xfId="16684" xr:uid="{00000000-0005-0000-0000-000089900000}"/>
    <cellStyle name="常规 9 2 5 5 2 3 3 2" xfId="41260" xr:uid="{00000000-0005-0000-0000-00008A900000}"/>
    <cellStyle name="常规 9 2 5 5 2 3 4" xfId="28972" xr:uid="{00000000-0005-0000-0000-00008B900000}"/>
    <cellStyle name="常规 9 2 5 5 2 4" xfId="7468" xr:uid="{00000000-0005-0000-0000-00008C900000}"/>
    <cellStyle name="常规 9 2 5 5 2 4 2" xfId="19756" xr:uid="{00000000-0005-0000-0000-00008D900000}"/>
    <cellStyle name="常规 9 2 5 5 2 4 2 2" xfId="44332" xr:uid="{00000000-0005-0000-0000-00008E900000}"/>
    <cellStyle name="常规 9 2 5 5 2 4 3" xfId="32044" xr:uid="{00000000-0005-0000-0000-00008F900000}"/>
    <cellStyle name="常规 9 2 5 5 2 5" xfId="13612" xr:uid="{00000000-0005-0000-0000-000090900000}"/>
    <cellStyle name="常规 9 2 5 5 2 5 2" xfId="38188" xr:uid="{00000000-0005-0000-0000-000091900000}"/>
    <cellStyle name="常规 9 2 5 5 2 6" xfId="25900" xr:uid="{00000000-0005-0000-0000-000092900000}"/>
    <cellStyle name="常规 9 2 5 5 3" xfId="2088" xr:uid="{00000000-0005-0000-0000-000093900000}"/>
    <cellStyle name="常规 9 2 5 5 3 2" xfId="5164" xr:uid="{00000000-0005-0000-0000-000094900000}"/>
    <cellStyle name="常规 9 2 5 5 3 2 2" xfId="11308" xr:uid="{00000000-0005-0000-0000-000095900000}"/>
    <cellStyle name="常规 9 2 5 5 3 2 2 2" xfId="23596" xr:uid="{00000000-0005-0000-0000-000096900000}"/>
    <cellStyle name="常规 9 2 5 5 3 2 2 2 2" xfId="48172" xr:uid="{00000000-0005-0000-0000-000097900000}"/>
    <cellStyle name="常规 9 2 5 5 3 2 2 3" xfId="35884" xr:uid="{00000000-0005-0000-0000-000098900000}"/>
    <cellStyle name="常规 9 2 5 5 3 2 3" xfId="17452" xr:uid="{00000000-0005-0000-0000-000099900000}"/>
    <cellStyle name="常规 9 2 5 5 3 2 3 2" xfId="42028" xr:uid="{00000000-0005-0000-0000-00009A900000}"/>
    <cellStyle name="常规 9 2 5 5 3 2 4" xfId="29740" xr:uid="{00000000-0005-0000-0000-00009B900000}"/>
    <cellStyle name="常规 9 2 5 5 3 3" xfId="8236" xr:uid="{00000000-0005-0000-0000-00009C900000}"/>
    <cellStyle name="常规 9 2 5 5 3 3 2" xfId="20524" xr:uid="{00000000-0005-0000-0000-00009D900000}"/>
    <cellStyle name="常规 9 2 5 5 3 3 2 2" xfId="45100" xr:uid="{00000000-0005-0000-0000-00009E900000}"/>
    <cellStyle name="常规 9 2 5 5 3 3 3" xfId="32812" xr:uid="{00000000-0005-0000-0000-00009F900000}"/>
    <cellStyle name="常规 9 2 5 5 3 4" xfId="14380" xr:uid="{00000000-0005-0000-0000-0000A0900000}"/>
    <cellStyle name="常规 9 2 5 5 3 4 2" xfId="38956" xr:uid="{00000000-0005-0000-0000-0000A1900000}"/>
    <cellStyle name="常规 9 2 5 5 3 5" xfId="26668" xr:uid="{00000000-0005-0000-0000-0000A2900000}"/>
    <cellStyle name="常规 9 2 5 5 4" xfId="3628" xr:uid="{00000000-0005-0000-0000-0000A3900000}"/>
    <cellStyle name="常规 9 2 5 5 4 2" xfId="9772" xr:uid="{00000000-0005-0000-0000-0000A4900000}"/>
    <cellStyle name="常规 9 2 5 5 4 2 2" xfId="22060" xr:uid="{00000000-0005-0000-0000-0000A5900000}"/>
    <cellStyle name="常规 9 2 5 5 4 2 2 2" xfId="46636" xr:uid="{00000000-0005-0000-0000-0000A6900000}"/>
    <cellStyle name="常规 9 2 5 5 4 2 3" xfId="34348" xr:uid="{00000000-0005-0000-0000-0000A7900000}"/>
    <cellStyle name="常规 9 2 5 5 4 3" xfId="15916" xr:uid="{00000000-0005-0000-0000-0000A8900000}"/>
    <cellStyle name="常规 9 2 5 5 4 3 2" xfId="40492" xr:uid="{00000000-0005-0000-0000-0000A9900000}"/>
    <cellStyle name="常规 9 2 5 5 4 4" xfId="28204" xr:uid="{00000000-0005-0000-0000-0000AA900000}"/>
    <cellStyle name="常规 9 2 5 5 5" xfId="6700" xr:uid="{00000000-0005-0000-0000-0000AB900000}"/>
    <cellStyle name="常规 9 2 5 5 5 2" xfId="18988" xr:uid="{00000000-0005-0000-0000-0000AC900000}"/>
    <cellStyle name="常规 9 2 5 5 5 2 2" xfId="43564" xr:uid="{00000000-0005-0000-0000-0000AD900000}"/>
    <cellStyle name="常规 9 2 5 5 5 3" xfId="31276" xr:uid="{00000000-0005-0000-0000-0000AE900000}"/>
    <cellStyle name="常规 9 2 5 5 6" xfId="12844" xr:uid="{00000000-0005-0000-0000-0000AF900000}"/>
    <cellStyle name="常规 9 2 5 5 6 2" xfId="37420" xr:uid="{00000000-0005-0000-0000-0000B0900000}"/>
    <cellStyle name="常规 9 2 5 5 7" xfId="25132" xr:uid="{00000000-0005-0000-0000-0000B1900000}"/>
    <cellStyle name="常规 9 2 5 6" xfId="936" xr:uid="{00000000-0005-0000-0000-0000B2900000}"/>
    <cellStyle name="常规 9 2 5 6 2" xfId="2472" xr:uid="{00000000-0005-0000-0000-0000B3900000}"/>
    <cellStyle name="常规 9 2 5 6 2 2" xfId="5548" xr:uid="{00000000-0005-0000-0000-0000B4900000}"/>
    <cellStyle name="常规 9 2 5 6 2 2 2" xfId="11692" xr:uid="{00000000-0005-0000-0000-0000B5900000}"/>
    <cellStyle name="常规 9 2 5 6 2 2 2 2" xfId="23980" xr:uid="{00000000-0005-0000-0000-0000B6900000}"/>
    <cellStyle name="常规 9 2 5 6 2 2 2 2 2" xfId="48556" xr:uid="{00000000-0005-0000-0000-0000B7900000}"/>
    <cellStyle name="常规 9 2 5 6 2 2 2 3" xfId="36268" xr:uid="{00000000-0005-0000-0000-0000B8900000}"/>
    <cellStyle name="常规 9 2 5 6 2 2 3" xfId="17836" xr:uid="{00000000-0005-0000-0000-0000B9900000}"/>
    <cellStyle name="常规 9 2 5 6 2 2 3 2" xfId="42412" xr:uid="{00000000-0005-0000-0000-0000BA900000}"/>
    <cellStyle name="常规 9 2 5 6 2 2 4" xfId="30124" xr:uid="{00000000-0005-0000-0000-0000BB900000}"/>
    <cellStyle name="常规 9 2 5 6 2 3" xfId="8620" xr:uid="{00000000-0005-0000-0000-0000BC900000}"/>
    <cellStyle name="常规 9 2 5 6 2 3 2" xfId="20908" xr:uid="{00000000-0005-0000-0000-0000BD900000}"/>
    <cellStyle name="常规 9 2 5 6 2 3 2 2" xfId="45484" xr:uid="{00000000-0005-0000-0000-0000BE900000}"/>
    <cellStyle name="常规 9 2 5 6 2 3 3" xfId="33196" xr:uid="{00000000-0005-0000-0000-0000BF900000}"/>
    <cellStyle name="常规 9 2 5 6 2 4" xfId="14764" xr:uid="{00000000-0005-0000-0000-0000C0900000}"/>
    <cellStyle name="常规 9 2 5 6 2 4 2" xfId="39340" xr:uid="{00000000-0005-0000-0000-0000C1900000}"/>
    <cellStyle name="常规 9 2 5 6 2 5" xfId="27052" xr:uid="{00000000-0005-0000-0000-0000C2900000}"/>
    <cellStyle name="常规 9 2 5 6 3" xfId="4012" xr:uid="{00000000-0005-0000-0000-0000C3900000}"/>
    <cellStyle name="常规 9 2 5 6 3 2" xfId="10156" xr:uid="{00000000-0005-0000-0000-0000C4900000}"/>
    <cellStyle name="常规 9 2 5 6 3 2 2" xfId="22444" xr:uid="{00000000-0005-0000-0000-0000C5900000}"/>
    <cellStyle name="常规 9 2 5 6 3 2 2 2" xfId="47020" xr:uid="{00000000-0005-0000-0000-0000C6900000}"/>
    <cellStyle name="常规 9 2 5 6 3 2 3" xfId="34732" xr:uid="{00000000-0005-0000-0000-0000C7900000}"/>
    <cellStyle name="常规 9 2 5 6 3 3" xfId="16300" xr:uid="{00000000-0005-0000-0000-0000C8900000}"/>
    <cellStyle name="常规 9 2 5 6 3 3 2" xfId="40876" xr:uid="{00000000-0005-0000-0000-0000C9900000}"/>
    <cellStyle name="常规 9 2 5 6 3 4" xfId="28588" xr:uid="{00000000-0005-0000-0000-0000CA900000}"/>
    <cellStyle name="常规 9 2 5 6 4" xfId="7084" xr:uid="{00000000-0005-0000-0000-0000CB900000}"/>
    <cellStyle name="常规 9 2 5 6 4 2" xfId="19372" xr:uid="{00000000-0005-0000-0000-0000CC900000}"/>
    <cellStyle name="常规 9 2 5 6 4 2 2" xfId="43948" xr:uid="{00000000-0005-0000-0000-0000CD900000}"/>
    <cellStyle name="常规 9 2 5 6 4 3" xfId="31660" xr:uid="{00000000-0005-0000-0000-0000CE900000}"/>
    <cellStyle name="常规 9 2 5 6 5" xfId="13228" xr:uid="{00000000-0005-0000-0000-0000CF900000}"/>
    <cellStyle name="常规 9 2 5 6 5 2" xfId="37804" xr:uid="{00000000-0005-0000-0000-0000D0900000}"/>
    <cellStyle name="常规 9 2 5 6 6" xfId="25516" xr:uid="{00000000-0005-0000-0000-0000D1900000}"/>
    <cellStyle name="常规 9 2 5 7" xfId="1704" xr:uid="{00000000-0005-0000-0000-0000D2900000}"/>
    <cellStyle name="常规 9 2 5 7 2" xfId="4780" xr:uid="{00000000-0005-0000-0000-0000D3900000}"/>
    <cellStyle name="常规 9 2 5 7 2 2" xfId="10924" xr:uid="{00000000-0005-0000-0000-0000D4900000}"/>
    <cellStyle name="常规 9 2 5 7 2 2 2" xfId="23212" xr:uid="{00000000-0005-0000-0000-0000D5900000}"/>
    <cellStyle name="常规 9 2 5 7 2 2 2 2" xfId="47788" xr:uid="{00000000-0005-0000-0000-0000D6900000}"/>
    <cellStyle name="常规 9 2 5 7 2 2 3" xfId="35500" xr:uid="{00000000-0005-0000-0000-0000D7900000}"/>
    <cellStyle name="常规 9 2 5 7 2 3" xfId="17068" xr:uid="{00000000-0005-0000-0000-0000D8900000}"/>
    <cellStyle name="常规 9 2 5 7 2 3 2" xfId="41644" xr:uid="{00000000-0005-0000-0000-0000D9900000}"/>
    <cellStyle name="常规 9 2 5 7 2 4" xfId="29356" xr:uid="{00000000-0005-0000-0000-0000DA900000}"/>
    <cellStyle name="常规 9 2 5 7 3" xfId="7852" xr:uid="{00000000-0005-0000-0000-0000DB900000}"/>
    <cellStyle name="常规 9 2 5 7 3 2" xfId="20140" xr:uid="{00000000-0005-0000-0000-0000DC900000}"/>
    <cellStyle name="常规 9 2 5 7 3 2 2" xfId="44716" xr:uid="{00000000-0005-0000-0000-0000DD900000}"/>
    <cellStyle name="常规 9 2 5 7 3 3" xfId="32428" xr:uid="{00000000-0005-0000-0000-0000DE900000}"/>
    <cellStyle name="常规 9 2 5 7 4" xfId="13996" xr:uid="{00000000-0005-0000-0000-0000DF900000}"/>
    <cellStyle name="常规 9 2 5 7 4 2" xfId="38572" xr:uid="{00000000-0005-0000-0000-0000E0900000}"/>
    <cellStyle name="常规 9 2 5 7 5" xfId="26284" xr:uid="{00000000-0005-0000-0000-0000E1900000}"/>
    <cellStyle name="常规 9 2 5 8" xfId="3244" xr:uid="{00000000-0005-0000-0000-0000E2900000}"/>
    <cellStyle name="常规 9 2 5 8 2" xfId="9388" xr:uid="{00000000-0005-0000-0000-0000E3900000}"/>
    <cellStyle name="常规 9 2 5 8 2 2" xfId="21676" xr:uid="{00000000-0005-0000-0000-0000E4900000}"/>
    <cellStyle name="常规 9 2 5 8 2 2 2" xfId="46252" xr:uid="{00000000-0005-0000-0000-0000E5900000}"/>
    <cellStyle name="常规 9 2 5 8 2 3" xfId="33964" xr:uid="{00000000-0005-0000-0000-0000E6900000}"/>
    <cellStyle name="常规 9 2 5 8 3" xfId="15532" xr:uid="{00000000-0005-0000-0000-0000E7900000}"/>
    <cellStyle name="常规 9 2 5 8 3 2" xfId="40108" xr:uid="{00000000-0005-0000-0000-0000E8900000}"/>
    <cellStyle name="常规 9 2 5 8 4" xfId="27820" xr:uid="{00000000-0005-0000-0000-0000E9900000}"/>
    <cellStyle name="常规 9 2 5 9" xfId="6316" xr:uid="{00000000-0005-0000-0000-0000EA900000}"/>
    <cellStyle name="常规 9 2 5 9 2" xfId="18604" xr:uid="{00000000-0005-0000-0000-0000EB900000}"/>
    <cellStyle name="常规 9 2 5 9 2 2" xfId="43180" xr:uid="{00000000-0005-0000-0000-0000EC900000}"/>
    <cellStyle name="常规 9 2 5 9 3" xfId="30892" xr:uid="{00000000-0005-0000-0000-0000ED900000}"/>
    <cellStyle name="常规 9 2 6" xfId="200" xr:uid="{00000000-0005-0000-0000-0000EE900000}"/>
    <cellStyle name="常规 9 2 6 2" xfId="392" xr:uid="{00000000-0005-0000-0000-0000EF900000}"/>
    <cellStyle name="常规 9 2 6 2 2" xfId="776" xr:uid="{00000000-0005-0000-0000-0000F0900000}"/>
    <cellStyle name="常规 9 2 6 2 2 2" xfId="1544" xr:uid="{00000000-0005-0000-0000-0000F1900000}"/>
    <cellStyle name="常规 9 2 6 2 2 2 2" xfId="3080" xr:uid="{00000000-0005-0000-0000-0000F2900000}"/>
    <cellStyle name="常规 9 2 6 2 2 2 2 2" xfId="6156" xr:uid="{00000000-0005-0000-0000-0000F3900000}"/>
    <cellStyle name="常规 9 2 6 2 2 2 2 2 2" xfId="12300" xr:uid="{00000000-0005-0000-0000-0000F4900000}"/>
    <cellStyle name="常规 9 2 6 2 2 2 2 2 2 2" xfId="24588" xr:uid="{00000000-0005-0000-0000-0000F5900000}"/>
    <cellStyle name="常规 9 2 6 2 2 2 2 2 2 2 2" xfId="49164" xr:uid="{00000000-0005-0000-0000-0000F6900000}"/>
    <cellStyle name="常规 9 2 6 2 2 2 2 2 2 3" xfId="36876" xr:uid="{00000000-0005-0000-0000-0000F7900000}"/>
    <cellStyle name="常规 9 2 6 2 2 2 2 2 3" xfId="18444" xr:uid="{00000000-0005-0000-0000-0000F8900000}"/>
    <cellStyle name="常规 9 2 6 2 2 2 2 2 3 2" xfId="43020" xr:uid="{00000000-0005-0000-0000-0000F9900000}"/>
    <cellStyle name="常规 9 2 6 2 2 2 2 2 4" xfId="30732" xr:uid="{00000000-0005-0000-0000-0000FA900000}"/>
    <cellStyle name="常规 9 2 6 2 2 2 2 3" xfId="9228" xr:uid="{00000000-0005-0000-0000-0000FB900000}"/>
    <cellStyle name="常规 9 2 6 2 2 2 2 3 2" xfId="21516" xr:uid="{00000000-0005-0000-0000-0000FC900000}"/>
    <cellStyle name="常规 9 2 6 2 2 2 2 3 2 2" xfId="46092" xr:uid="{00000000-0005-0000-0000-0000FD900000}"/>
    <cellStyle name="常规 9 2 6 2 2 2 2 3 3" xfId="33804" xr:uid="{00000000-0005-0000-0000-0000FE900000}"/>
    <cellStyle name="常规 9 2 6 2 2 2 2 4" xfId="15372" xr:uid="{00000000-0005-0000-0000-0000FF900000}"/>
    <cellStyle name="常规 9 2 6 2 2 2 2 4 2" xfId="39948" xr:uid="{00000000-0005-0000-0000-000000910000}"/>
    <cellStyle name="常规 9 2 6 2 2 2 2 5" xfId="27660" xr:uid="{00000000-0005-0000-0000-000001910000}"/>
    <cellStyle name="常规 9 2 6 2 2 2 3" xfId="4620" xr:uid="{00000000-0005-0000-0000-000002910000}"/>
    <cellStyle name="常规 9 2 6 2 2 2 3 2" xfId="10764" xr:uid="{00000000-0005-0000-0000-000003910000}"/>
    <cellStyle name="常规 9 2 6 2 2 2 3 2 2" xfId="23052" xr:uid="{00000000-0005-0000-0000-000004910000}"/>
    <cellStyle name="常规 9 2 6 2 2 2 3 2 2 2" xfId="47628" xr:uid="{00000000-0005-0000-0000-000005910000}"/>
    <cellStyle name="常规 9 2 6 2 2 2 3 2 3" xfId="35340" xr:uid="{00000000-0005-0000-0000-000006910000}"/>
    <cellStyle name="常规 9 2 6 2 2 2 3 3" xfId="16908" xr:uid="{00000000-0005-0000-0000-000007910000}"/>
    <cellStyle name="常规 9 2 6 2 2 2 3 3 2" xfId="41484" xr:uid="{00000000-0005-0000-0000-000008910000}"/>
    <cellStyle name="常规 9 2 6 2 2 2 3 4" xfId="29196" xr:uid="{00000000-0005-0000-0000-000009910000}"/>
    <cellStyle name="常规 9 2 6 2 2 2 4" xfId="7692" xr:uid="{00000000-0005-0000-0000-00000A910000}"/>
    <cellStyle name="常规 9 2 6 2 2 2 4 2" xfId="19980" xr:uid="{00000000-0005-0000-0000-00000B910000}"/>
    <cellStyle name="常规 9 2 6 2 2 2 4 2 2" xfId="44556" xr:uid="{00000000-0005-0000-0000-00000C910000}"/>
    <cellStyle name="常规 9 2 6 2 2 2 4 3" xfId="32268" xr:uid="{00000000-0005-0000-0000-00000D910000}"/>
    <cellStyle name="常规 9 2 6 2 2 2 5" xfId="13836" xr:uid="{00000000-0005-0000-0000-00000E910000}"/>
    <cellStyle name="常规 9 2 6 2 2 2 5 2" xfId="38412" xr:uid="{00000000-0005-0000-0000-00000F910000}"/>
    <cellStyle name="常规 9 2 6 2 2 2 6" xfId="26124" xr:uid="{00000000-0005-0000-0000-000010910000}"/>
    <cellStyle name="常规 9 2 6 2 2 3" xfId="2312" xr:uid="{00000000-0005-0000-0000-000011910000}"/>
    <cellStyle name="常规 9 2 6 2 2 3 2" xfId="5388" xr:uid="{00000000-0005-0000-0000-000012910000}"/>
    <cellStyle name="常规 9 2 6 2 2 3 2 2" xfId="11532" xr:uid="{00000000-0005-0000-0000-000013910000}"/>
    <cellStyle name="常规 9 2 6 2 2 3 2 2 2" xfId="23820" xr:uid="{00000000-0005-0000-0000-000014910000}"/>
    <cellStyle name="常规 9 2 6 2 2 3 2 2 2 2" xfId="48396" xr:uid="{00000000-0005-0000-0000-000015910000}"/>
    <cellStyle name="常规 9 2 6 2 2 3 2 2 3" xfId="36108" xr:uid="{00000000-0005-0000-0000-000016910000}"/>
    <cellStyle name="常规 9 2 6 2 2 3 2 3" xfId="17676" xr:uid="{00000000-0005-0000-0000-000017910000}"/>
    <cellStyle name="常规 9 2 6 2 2 3 2 3 2" xfId="42252" xr:uid="{00000000-0005-0000-0000-000018910000}"/>
    <cellStyle name="常规 9 2 6 2 2 3 2 4" xfId="29964" xr:uid="{00000000-0005-0000-0000-000019910000}"/>
    <cellStyle name="常规 9 2 6 2 2 3 3" xfId="8460" xr:uid="{00000000-0005-0000-0000-00001A910000}"/>
    <cellStyle name="常规 9 2 6 2 2 3 3 2" xfId="20748" xr:uid="{00000000-0005-0000-0000-00001B910000}"/>
    <cellStyle name="常规 9 2 6 2 2 3 3 2 2" xfId="45324" xr:uid="{00000000-0005-0000-0000-00001C910000}"/>
    <cellStyle name="常规 9 2 6 2 2 3 3 3" xfId="33036" xr:uid="{00000000-0005-0000-0000-00001D910000}"/>
    <cellStyle name="常规 9 2 6 2 2 3 4" xfId="14604" xr:uid="{00000000-0005-0000-0000-00001E910000}"/>
    <cellStyle name="常规 9 2 6 2 2 3 4 2" xfId="39180" xr:uid="{00000000-0005-0000-0000-00001F910000}"/>
    <cellStyle name="常规 9 2 6 2 2 3 5" xfId="26892" xr:uid="{00000000-0005-0000-0000-000020910000}"/>
    <cellStyle name="常规 9 2 6 2 2 4" xfId="3852" xr:uid="{00000000-0005-0000-0000-000021910000}"/>
    <cellStyle name="常规 9 2 6 2 2 4 2" xfId="9996" xr:uid="{00000000-0005-0000-0000-000022910000}"/>
    <cellStyle name="常规 9 2 6 2 2 4 2 2" xfId="22284" xr:uid="{00000000-0005-0000-0000-000023910000}"/>
    <cellStyle name="常规 9 2 6 2 2 4 2 2 2" xfId="46860" xr:uid="{00000000-0005-0000-0000-000024910000}"/>
    <cellStyle name="常规 9 2 6 2 2 4 2 3" xfId="34572" xr:uid="{00000000-0005-0000-0000-000025910000}"/>
    <cellStyle name="常规 9 2 6 2 2 4 3" xfId="16140" xr:uid="{00000000-0005-0000-0000-000026910000}"/>
    <cellStyle name="常规 9 2 6 2 2 4 3 2" xfId="40716" xr:uid="{00000000-0005-0000-0000-000027910000}"/>
    <cellStyle name="常规 9 2 6 2 2 4 4" xfId="28428" xr:uid="{00000000-0005-0000-0000-000028910000}"/>
    <cellStyle name="常规 9 2 6 2 2 5" xfId="6924" xr:uid="{00000000-0005-0000-0000-000029910000}"/>
    <cellStyle name="常规 9 2 6 2 2 5 2" xfId="19212" xr:uid="{00000000-0005-0000-0000-00002A910000}"/>
    <cellStyle name="常规 9 2 6 2 2 5 2 2" xfId="43788" xr:uid="{00000000-0005-0000-0000-00002B910000}"/>
    <cellStyle name="常规 9 2 6 2 2 5 3" xfId="31500" xr:uid="{00000000-0005-0000-0000-00002C910000}"/>
    <cellStyle name="常规 9 2 6 2 2 6" xfId="13068" xr:uid="{00000000-0005-0000-0000-00002D910000}"/>
    <cellStyle name="常规 9 2 6 2 2 6 2" xfId="37644" xr:uid="{00000000-0005-0000-0000-00002E910000}"/>
    <cellStyle name="常规 9 2 6 2 2 7" xfId="25356" xr:uid="{00000000-0005-0000-0000-00002F910000}"/>
    <cellStyle name="常规 9 2 6 2 3" xfId="1160" xr:uid="{00000000-0005-0000-0000-000030910000}"/>
    <cellStyle name="常规 9 2 6 2 3 2" xfId="2696" xr:uid="{00000000-0005-0000-0000-000031910000}"/>
    <cellStyle name="常规 9 2 6 2 3 2 2" xfId="5772" xr:uid="{00000000-0005-0000-0000-000032910000}"/>
    <cellStyle name="常规 9 2 6 2 3 2 2 2" xfId="11916" xr:uid="{00000000-0005-0000-0000-000033910000}"/>
    <cellStyle name="常规 9 2 6 2 3 2 2 2 2" xfId="24204" xr:uid="{00000000-0005-0000-0000-000034910000}"/>
    <cellStyle name="常规 9 2 6 2 3 2 2 2 2 2" xfId="48780" xr:uid="{00000000-0005-0000-0000-000035910000}"/>
    <cellStyle name="常规 9 2 6 2 3 2 2 2 3" xfId="36492" xr:uid="{00000000-0005-0000-0000-000036910000}"/>
    <cellStyle name="常规 9 2 6 2 3 2 2 3" xfId="18060" xr:uid="{00000000-0005-0000-0000-000037910000}"/>
    <cellStyle name="常规 9 2 6 2 3 2 2 3 2" xfId="42636" xr:uid="{00000000-0005-0000-0000-000038910000}"/>
    <cellStyle name="常规 9 2 6 2 3 2 2 4" xfId="30348" xr:uid="{00000000-0005-0000-0000-000039910000}"/>
    <cellStyle name="常规 9 2 6 2 3 2 3" xfId="8844" xr:uid="{00000000-0005-0000-0000-00003A910000}"/>
    <cellStyle name="常规 9 2 6 2 3 2 3 2" xfId="21132" xr:uid="{00000000-0005-0000-0000-00003B910000}"/>
    <cellStyle name="常规 9 2 6 2 3 2 3 2 2" xfId="45708" xr:uid="{00000000-0005-0000-0000-00003C910000}"/>
    <cellStyle name="常规 9 2 6 2 3 2 3 3" xfId="33420" xr:uid="{00000000-0005-0000-0000-00003D910000}"/>
    <cellStyle name="常规 9 2 6 2 3 2 4" xfId="14988" xr:uid="{00000000-0005-0000-0000-00003E910000}"/>
    <cellStyle name="常规 9 2 6 2 3 2 4 2" xfId="39564" xr:uid="{00000000-0005-0000-0000-00003F910000}"/>
    <cellStyle name="常规 9 2 6 2 3 2 5" xfId="27276" xr:uid="{00000000-0005-0000-0000-000040910000}"/>
    <cellStyle name="常规 9 2 6 2 3 3" xfId="4236" xr:uid="{00000000-0005-0000-0000-000041910000}"/>
    <cellStyle name="常规 9 2 6 2 3 3 2" xfId="10380" xr:uid="{00000000-0005-0000-0000-000042910000}"/>
    <cellStyle name="常规 9 2 6 2 3 3 2 2" xfId="22668" xr:uid="{00000000-0005-0000-0000-000043910000}"/>
    <cellStyle name="常规 9 2 6 2 3 3 2 2 2" xfId="47244" xr:uid="{00000000-0005-0000-0000-000044910000}"/>
    <cellStyle name="常规 9 2 6 2 3 3 2 3" xfId="34956" xr:uid="{00000000-0005-0000-0000-000045910000}"/>
    <cellStyle name="常规 9 2 6 2 3 3 3" xfId="16524" xr:uid="{00000000-0005-0000-0000-000046910000}"/>
    <cellStyle name="常规 9 2 6 2 3 3 3 2" xfId="41100" xr:uid="{00000000-0005-0000-0000-000047910000}"/>
    <cellStyle name="常规 9 2 6 2 3 3 4" xfId="28812" xr:uid="{00000000-0005-0000-0000-000048910000}"/>
    <cellStyle name="常规 9 2 6 2 3 4" xfId="7308" xr:uid="{00000000-0005-0000-0000-000049910000}"/>
    <cellStyle name="常规 9 2 6 2 3 4 2" xfId="19596" xr:uid="{00000000-0005-0000-0000-00004A910000}"/>
    <cellStyle name="常规 9 2 6 2 3 4 2 2" xfId="44172" xr:uid="{00000000-0005-0000-0000-00004B910000}"/>
    <cellStyle name="常规 9 2 6 2 3 4 3" xfId="31884" xr:uid="{00000000-0005-0000-0000-00004C910000}"/>
    <cellStyle name="常规 9 2 6 2 3 5" xfId="13452" xr:uid="{00000000-0005-0000-0000-00004D910000}"/>
    <cellStyle name="常规 9 2 6 2 3 5 2" xfId="38028" xr:uid="{00000000-0005-0000-0000-00004E910000}"/>
    <cellStyle name="常规 9 2 6 2 3 6" xfId="25740" xr:uid="{00000000-0005-0000-0000-00004F910000}"/>
    <cellStyle name="常规 9 2 6 2 4" xfId="1928" xr:uid="{00000000-0005-0000-0000-000050910000}"/>
    <cellStyle name="常规 9 2 6 2 4 2" xfId="5004" xr:uid="{00000000-0005-0000-0000-000051910000}"/>
    <cellStyle name="常规 9 2 6 2 4 2 2" xfId="11148" xr:uid="{00000000-0005-0000-0000-000052910000}"/>
    <cellStyle name="常规 9 2 6 2 4 2 2 2" xfId="23436" xr:uid="{00000000-0005-0000-0000-000053910000}"/>
    <cellStyle name="常规 9 2 6 2 4 2 2 2 2" xfId="48012" xr:uid="{00000000-0005-0000-0000-000054910000}"/>
    <cellStyle name="常规 9 2 6 2 4 2 2 3" xfId="35724" xr:uid="{00000000-0005-0000-0000-000055910000}"/>
    <cellStyle name="常规 9 2 6 2 4 2 3" xfId="17292" xr:uid="{00000000-0005-0000-0000-000056910000}"/>
    <cellStyle name="常规 9 2 6 2 4 2 3 2" xfId="41868" xr:uid="{00000000-0005-0000-0000-000057910000}"/>
    <cellStyle name="常规 9 2 6 2 4 2 4" xfId="29580" xr:uid="{00000000-0005-0000-0000-000058910000}"/>
    <cellStyle name="常规 9 2 6 2 4 3" xfId="8076" xr:uid="{00000000-0005-0000-0000-000059910000}"/>
    <cellStyle name="常规 9 2 6 2 4 3 2" xfId="20364" xr:uid="{00000000-0005-0000-0000-00005A910000}"/>
    <cellStyle name="常规 9 2 6 2 4 3 2 2" xfId="44940" xr:uid="{00000000-0005-0000-0000-00005B910000}"/>
    <cellStyle name="常规 9 2 6 2 4 3 3" xfId="32652" xr:uid="{00000000-0005-0000-0000-00005C910000}"/>
    <cellStyle name="常规 9 2 6 2 4 4" xfId="14220" xr:uid="{00000000-0005-0000-0000-00005D910000}"/>
    <cellStyle name="常规 9 2 6 2 4 4 2" xfId="38796" xr:uid="{00000000-0005-0000-0000-00005E910000}"/>
    <cellStyle name="常规 9 2 6 2 4 5" xfId="26508" xr:uid="{00000000-0005-0000-0000-00005F910000}"/>
    <cellStyle name="常规 9 2 6 2 5" xfId="3468" xr:uid="{00000000-0005-0000-0000-000060910000}"/>
    <cellStyle name="常规 9 2 6 2 5 2" xfId="9612" xr:uid="{00000000-0005-0000-0000-000061910000}"/>
    <cellStyle name="常规 9 2 6 2 5 2 2" xfId="21900" xr:uid="{00000000-0005-0000-0000-000062910000}"/>
    <cellStyle name="常规 9 2 6 2 5 2 2 2" xfId="46476" xr:uid="{00000000-0005-0000-0000-000063910000}"/>
    <cellStyle name="常规 9 2 6 2 5 2 3" xfId="34188" xr:uid="{00000000-0005-0000-0000-000064910000}"/>
    <cellStyle name="常规 9 2 6 2 5 3" xfId="15756" xr:uid="{00000000-0005-0000-0000-000065910000}"/>
    <cellStyle name="常规 9 2 6 2 5 3 2" xfId="40332" xr:uid="{00000000-0005-0000-0000-000066910000}"/>
    <cellStyle name="常规 9 2 6 2 5 4" xfId="28044" xr:uid="{00000000-0005-0000-0000-000067910000}"/>
    <cellStyle name="常规 9 2 6 2 6" xfId="6540" xr:uid="{00000000-0005-0000-0000-000068910000}"/>
    <cellStyle name="常规 9 2 6 2 6 2" xfId="18828" xr:uid="{00000000-0005-0000-0000-000069910000}"/>
    <cellStyle name="常规 9 2 6 2 6 2 2" xfId="43404" xr:uid="{00000000-0005-0000-0000-00006A910000}"/>
    <cellStyle name="常规 9 2 6 2 6 3" xfId="31116" xr:uid="{00000000-0005-0000-0000-00006B910000}"/>
    <cellStyle name="常规 9 2 6 2 7" xfId="12684" xr:uid="{00000000-0005-0000-0000-00006C910000}"/>
    <cellStyle name="常规 9 2 6 2 7 2" xfId="37260" xr:uid="{00000000-0005-0000-0000-00006D910000}"/>
    <cellStyle name="常规 9 2 6 2 8" xfId="24972" xr:uid="{00000000-0005-0000-0000-00006E910000}"/>
    <cellStyle name="常规 9 2 6 3" xfId="584" xr:uid="{00000000-0005-0000-0000-00006F910000}"/>
    <cellStyle name="常规 9 2 6 3 2" xfId="1352" xr:uid="{00000000-0005-0000-0000-000070910000}"/>
    <cellStyle name="常规 9 2 6 3 2 2" xfId="2888" xr:uid="{00000000-0005-0000-0000-000071910000}"/>
    <cellStyle name="常规 9 2 6 3 2 2 2" xfId="5964" xr:uid="{00000000-0005-0000-0000-000072910000}"/>
    <cellStyle name="常规 9 2 6 3 2 2 2 2" xfId="12108" xr:uid="{00000000-0005-0000-0000-000073910000}"/>
    <cellStyle name="常规 9 2 6 3 2 2 2 2 2" xfId="24396" xr:uid="{00000000-0005-0000-0000-000074910000}"/>
    <cellStyle name="常规 9 2 6 3 2 2 2 2 2 2" xfId="48972" xr:uid="{00000000-0005-0000-0000-000075910000}"/>
    <cellStyle name="常规 9 2 6 3 2 2 2 2 3" xfId="36684" xr:uid="{00000000-0005-0000-0000-000076910000}"/>
    <cellStyle name="常规 9 2 6 3 2 2 2 3" xfId="18252" xr:uid="{00000000-0005-0000-0000-000077910000}"/>
    <cellStyle name="常规 9 2 6 3 2 2 2 3 2" xfId="42828" xr:uid="{00000000-0005-0000-0000-000078910000}"/>
    <cellStyle name="常规 9 2 6 3 2 2 2 4" xfId="30540" xr:uid="{00000000-0005-0000-0000-000079910000}"/>
    <cellStyle name="常规 9 2 6 3 2 2 3" xfId="9036" xr:uid="{00000000-0005-0000-0000-00007A910000}"/>
    <cellStyle name="常规 9 2 6 3 2 2 3 2" xfId="21324" xr:uid="{00000000-0005-0000-0000-00007B910000}"/>
    <cellStyle name="常规 9 2 6 3 2 2 3 2 2" xfId="45900" xr:uid="{00000000-0005-0000-0000-00007C910000}"/>
    <cellStyle name="常规 9 2 6 3 2 2 3 3" xfId="33612" xr:uid="{00000000-0005-0000-0000-00007D910000}"/>
    <cellStyle name="常规 9 2 6 3 2 2 4" xfId="15180" xr:uid="{00000000-0005-0000-0000-00007E910000}"/>
    <cellStyle name="常规 9 2 6 3 2 2 4 2" xfId="39756" xr:uid="{00000000-0005-0000-0000-00007F910000}"/>
    <cellStyle name="常规 9 2 6 3 2 2 5" xfId="27468" xr:uid="{00000000-0005-0000-0000-000080910000}"/>
    <cellStyle name="常规 9 2 6 3 2 3" xfId="4428" xr:uid="{00000000-0005-0000-0000-000081910000}"/>
    <cellStyle name="常规 9 2 6 3 2 3 2" xfId="10572" xr:uid="{00000000-0005-0000-0000-000082910000}"/>
    <cellStyle name="常规 9 2 6 3 2 3 2 2" xfId="22860" xr:uid="{00000000-0005-0000-0000-000083910000}"/>
    <cellStyle name="常规 9 2 6 3 2 3 2 2 2" xfId="47436" xr:uid="{00000000-0005-0000-0000-000084910000}"/>
    <cellStyle name="常规 9 2 6 3 2 3 2 3" xfId="35148" xr:uid="{00000000-0005-0000-0000-000085910000}"/>
    <cellStyle name="常规 9 2 6 3 2 3 3" xfId="16716" xr:uid="{00000000-0005-0000-0000-000086910000}"/>
    <cellStyle name="常规 9 2 6 3 2 3 3 2" xfId="41292" xr:uid="{00000000-0005-0000-0000-000087910000}"/>
    <cellStyle name="常规 9 2 6 3 2 3 4" xfId="29004" xr:uid="{00000000-0005-0000-0000-000088910000}"/>
    <cellStyle name="常规 9 2 6 3 2 4" xfId="7500" xr:uid="{00000000-0005-0000-0000-000089910000}"/>
    <cellStyle name="常规 9 2 6 3 2 4 2" xfId="19788" xr:uid="{00000000-0005-0000-0000-00008A910000}"/>
    <cellStyle name="常规 9 2 6 3 2 4 2 2" xfId="44364" xr:uid="{00000000-0005-0000-0000-00008B910000}"/>
    <cellStyle name="常规 9 2 6 3 2 4 3" xfId="32076" xr:uid="{00000000-0005-0000-0000-00008C910000}"/>
    <cellStyle name="常规 9 2 6 3 2 5" xfId="13644" xr:uid="{00000000-0005-0000-0000-00008D910000}"/>
    <cellStyle name="常规 9 2 6 3 2 5 2" xfId="38220" xr:uid="{00000000-0005-0000-0000-00008E910000}"/>
    <cellStyle name="常规 9 2 6 3 2 6" xfId="25932" xr:uid="{00000000-0005-0000-0000-00008F910000}"/>
    <cellStyle name="常规 9 2 6 3 3" xfId="2120" xr:uid="{00000000-0005-0000-0000-000090910000}"/>
    <cellStyle name="常规 9 2 6 3 3 2" xfId="5196" xr:uid="{00000000-0005-0000-0000-000091910000}"/>
    <cellStyle name="常规 9 2 6 3 3 2 2" xfId="11340" xr:uid="{00000000-0005-0000-0000-000092910000}"/>
    <cellStyle name="常规 9 2 6 3 3 2 2 2" xfId="23628" xr:uid="{00000000-0005-0000-0000-000093910000}"/>
    <cellStyle name="常规 9 2 6 3 3 2 2 2 2" xfId="48204" xr:uid="{00000000-0005-0000-0000-000094910000}"/>
    <cellStyle name="常规 9 2 6 3 3 2 2 3" xfId="35916" xr:uid="{00000000-0005-0000-0000-000095910000}"/>
    <cellStyle name="常规 9 2 6 3 3 2 3" xfId="17484" xr:uid="{00000000-0005-0000-0000-000096910000}"/>
    <cellStyle name="常规 9 2 6 3 3 2 3 2" xfId="42060" xr:uid="{00000000-0005-0000-0000-000097910000}"/>
    <cellStyle name="常规 9 2 6 3 3 2 4" xfId="29772" xr:uid="{00000000-0005-0000-0000-000098910000}"/>
    <cellStyle name="常规 9 2 6 3 3 3" xfId="8268" xr:uid="{00000000-0005-0000-0000-000099910000}"/>
    <cellStyle name="常规 9 2 6 3 3 3 2" xfId="20556" xr:uid="{00000000-0005-0000-0000-00009A910000}"/>
    <cellStyle name="常规 9 2 6 3 3 3 2 2" xfId="45132" xr:uid="{00000000-0005-0000-0000-00009B910000}"/>
    <cellStyle name="常规 9 2 6 3 3 3 3" xfId="32844" xr:uid="{00000000-0005-0000-0000-00009C910000}"/>
    <cellStyle name="常规 9 2 6 3 3 4" xfId="14412" xr:uid="{00000000-0005-0000-0000-00009D910000}"/>
    <cellStyle name="常规 9 2 6 3 3 4 2" xfId="38988" xr:uid="{00000000-0005-0000-0000-00009E910000}"/>
    <cellStyle name="常规 9 2 6 3 3 5" xfId="26700" xr:uid="{00000000-0005-0000-0000-00009F910000}"/>
    <cellStyle name="常规 9 2 6 3 4" xfId="3660" xr:uid="{00000000-0005-0000-0000-0000A0910000}"/>
    <cellStyle name="常规 9 2 6 3 4 2" xfId="9804" xr:uid="{00000000-0005-0000-0000-0000A1910000}"/>
    <cellStyle name="常规 9 2 6 3 4 2 2" xfId="22092" xr:uid="{00000000-0005-0000-0000-0000A2910000}"/>
    <cellStyle name="常规 9 2 6 3 4 2 2 2" xfId="46668" xr:uid="{00000000-0005-0000-0000-0000A3910000}"/>
    <cellStyle name="常规 9 2 6 3 4 2 3" xfId="34380" xr:uid="{00000000-0005-0000-0000-0000A4910000}"/>
    <cellStyle name="常规 9 2 6 3 4 3" xfId="15948" xr:uid="{00000000-0005-0000-0000-0000A5910000}"/>
    <cellStyle name="常规 9 2 6 3 4 3 2" xfId="40524" xr:uid="{00000000-0005-0000-0000-0000A6910000}"/>
    <cellStyle name="常规 9 2 6 3 4 4" xfId="28236" xr:uid="{00000000-0005-0000-0000-0000A7910000}"/>
    <cellStyle name="常规 9 2 6 3 5" xfId="6732" xr:uid="{00000000-0005-0000-0000-0000A8910000}"/>
    <cellStyle name="常规 9 2 6 3 5 2" xfId="19020" xr:uid="{00000000-0005-0000-0000-0000A9910000}"/>
    <cellStyle name="常规 9 2 6 3 5 2 2" xfId="43596" xr:uid="{00000000-0005-0000-0000-0000AA910000}"/>
    <cellStyle name="常规 9 2 6 3 5 3" xfId="31308" xr:uid="{00000000-0005-0000-0000-0000AB910000}"/>
    <cellStyle name="常规 9 2 6 3 6" xfId="12876" xr:uid="{00000000-0005-0000-0000-0000AC910000}"/>
    <cellStyle name="常规 9 2 6 3 6 2" xfId="37452" xr:uid="{00000000-0005-0000-0000-0000AD910000}"/>
    <cellStyle name="常规 9 2 6 3 7" xfId="25164" xr:uid="{00000000-0005-0000-0000-0000AE910000}"/>
    <cellStyle name="常规 9 2 6 4" xfId="968" xr:uid="{00000000-0005-0000-0000-0000AF910000}"/>
    <cellStyle name="常规 9 2 6 4 2" xfId="2504" xr:uid="{00000000-0005-0000-0000-0000B0910000}"/>
    <cellStyle name="常规 9 2 6 4 2 2" xfId="5580" xr:uid="{00000000-0005-0000-0000-0000B1910000}"/>
    <cellStyle name="常规 9 2 6 4 2 2 2" xfId="11724" xr:uid="{00000000-0005-0000-0000-0000B2910000}"/>
    <cellStyle name="常规 9 2 6 4 2 2 2 2" xfId="24012" xr:uid="{00000000-0005-0000-0000-0000B3910000}"/>
    <cellStyle name="常规 9 2 6 4 2 2 2 2 2" xfId="48588" xr:uid="{00000000-0005-0000-0000-0000B4910000}"/>
    <cellStyle name="常规 9 2 6 4 2 2 2 3" xfId="36300" xr:uid="{00000000-0005-0000-0000-0000B5910000}"/>
    <cellStyle name="常规 9 2 6 4 2 2 3" xfId="17868" xr:uid="{00000000-0005-0000-0000-0000B6910000}"/>
    <cellStyle name="常规 9 2 6 4 2 2 3 2" xfId="42444" xr:uid="{00000000-0005-0000-0000-0000B7910000}"/>
    <cellStyle name="常规 9 2 6 4 2 2 4" xfId="30156" xr:uid="{00000000-0005-0000-0000-0000B8910000}"/>
    <cellStyle name="常规 9 2 6 4 2 3" xfId="8652" xr:uid="{00000000-0005-0000-0000-0000B9910000}"/>
    <cellStyle name="常规 9 2 6 4 2 3 2" xfId="20940" xr:uid="{00000000-0005-0000-0000-0000BA910000}"/>
    <cellStyle name="常规 9 2 6 4 2 3 2 2" xfId="45516" xr:uid="{00000000-0005-0000-0000-0000BB910000}"/>
    <cellStyle name="常规 9 2 6 4 2 3 3" xfId="33228" xr:uid="{00000000-0005-0000-0000-0000BC910000}"/>
    <cellStyle name="常规 9 2 6 4 2 4" xfId="14796" xr:uid="{00000000-0005-0000-0000-0000BD910000}"/>
    <cellStyle name="常规 9 2 6 4 2 4 2" xfId="39372" xr:uid="{00000000-0005-0000-0000-0000BE910000}"/>
    <cellStyle name="常规 9 2 6 4 2 5" xfId="27084" xr:uid="{00000000-0005-0000-0000-0000BF910000}"/>
    <cellStyle name="常规 9 2 6 4 3" xfId="4044" xr:uid="{00000000-0005-0000-0000-0000C0910000}"/>
    <cellStyle name="常规 9 2 6 4 3 2" xfId="10188" xr:uid="{00000000-0005-0000-0000-0000C1910000}"/>
    <cellStyle name="常规 9 2 6 4 3 2 2" xfId="22476" xr:uid="{00000000-0005-0000-0000-0000C2910000}"/>
    <cellStyle name="常规 9 2 6 4 3 2 2 2" xfId="47052" xr:uid="{00000000-0005-0000-0000-0000C3910000}"/>
    <cellStyle name="常规 9 2 6 4 3 2 3" xfId="34764" xr:uid="{00000000-0005-0000-0000-0000C4910000}"/>
    <cellStyle name="常规 9 2 6 4 3 3" xfId="16332" xr:uid="{00000000-0005-0000-0000-0000C5910000}"/>
    <cellStyle name="常规 9 2 6 4 3 3 2" xfId="40908" xr:uid="{00000000-0005-0000-0000-0000C6910000}"/>
    <cellStyle name="常规 9 2 6 4 3 4" xfId="28620" xr:uid="{00000000-0005-0000-0000-0000C7910000}"/>
    <cellStyle name="常规 9 2 6 4 4" xfId="7116" xr:uid="{00000000-0005-0000-0000-0000C8910000}"/>
    <cellStyle name="常规 9 2 6 4 4 2" xfId="19404" xr:uid="{00000000-0005-0000-0000-0000C9910000}"/>
    <cellStyle name="常规 9 2 6 4 4 2 2" xfId="43980" xr:uid="{00000000-0005-0000-0000-0000CA910000}"/>
    <cellStyle name="常规 9 2 6 4 4 3" xfId="31692" xr:uid="{00000000-0005-0000-0000-0000CB910000}"/>
    <cellStyle name="常规 9 2 6 4 5" xfId="13260" xr:uid="{00000000-0005-0000-0000-0000CC910000}"/>
    <cellStyle name="常规 9 2 6 4 5 2" xfId="37836" xr:uid="{00000000-0005-0000-0000-0000CD910000}"/>
    <cellStyle name="常规 9 2 6 4 6" xfId="25548" xr:uid="{00000000-0005-0000-0000-0000CE910000}"/>
    <cellStyle name="常规 9 2 6 5" xfId="1736" xr:uid="{00000000-0005-0000-0000-0000CF910000}"/>
    <cellStyle name="常规 9 2 6 5 2" xfId="4812" xr:uid="{00000000-0005-0000-0000-0000D0910000}"/>
    <cellStyle name="常规 9 2 6 5 2 2" xfId="10956" xr:uid="{00000000-0005-0000-0000-0000D1910000}"/>
    <cellStyle name="常规 9 2 6 5 2 2 2" xfId="23244" xr:uid="{00000000-0005-0000-0000-0000D2910000}"/>
    <cellStyle name="常规 9 2 6 5 2 2 2 2" xfId="47820" xr:uid="{00000000-0005-0000-0000-0000D3910000}"/>
    <cellStyle name="常规 9 2 6 5 2 2 3" xfId="35532" xr:uid="{00000000-0005-0000-0000-0000D4910000}"/>
    <cellStyle name="常规 9 2 6 5 2 3" xfId="17100" xr:uid="{00000000-0005-0000-0000-0000D5910000}"/>
    <cellStyle name="常规 9 2 6 5 2 3 2" xfId="41676" xr:uid="{00000000-0005-0000-0000-0000D6910000}"/>
    <cellStyle name="常规 9 2 6 5 2 4" xfId="29388" xr:uid="{00000000-0005-0000-0000-0000D7910000}"/>
    <cellStyle name="常规 9 2 6 5 3" xfId="7884" xr:uid="{00000000-0005-0000-0000-0000D8910000}"/>
    <cellStyle name="常规 9 2 6 5 3 2" xfId="20172" xr:uid="{00000000-0005-0000-0000-0000D9910000}"/>
    <cellStyle name="常规 9 2 6 5 3 2 2" xfId="44748" xr:uid="{00000000-0005-0000-0000-0000DA910000}"/>
    <cellStyle name="常规 9 2 6 5 3 3" xfId="32460" xr:uid="{00000000-0005-0000-0000-0000DB910000}"/>
    <cellStyle name="常规 9 2 6 5 4" xfId="14028" xr:uid="{00000000-0005-0000-0000-0000DC910000}"/>
    <cellStyle name="常规 9 2 6 5 4 2" xfId="38604" xr:uid="{00000000-0005-0000-0000-0000DD910000}"/>
    <cellStyle name="常规 9 2 6 5 5" xfId="26316" xr:uid="{00000000-0005-0000-0000-0000DE910000}"/>
    <cellStyle name="常规 9 2 6 6" xfId="3276" xr:uid="{00000000-0005-0000-0000-0000DF910000}"/>
    <cellStyle name="常规 9 2 6 6 2" xfId="9420" xr:uid="{00000000-0005-0000-0000-0000E0910000}"/>
    <cellStyle name="常规 9 2 6 6 2 2" xfId="21708" xr:uid="{00000000-0005-0000-0000-0000E1910000}"/>
    <cellStyle name="常规 9 2 6 6 2 2 2" xfId="46284" xr:uid="{00000000-0005-0000-0000-0000E2910000}"/>
    <cellStyle name="常规 9 2 6 6 2 3" xfId="33996" xr:uid="{00000000-0005-0000-0000-0000E3910000}"/>
    <cellStyle name="常规 9 2 6 6 3" xfId="15564" xr:uid="{00000000-0005-0000-0000-0000E4910000}"/>
    <cellStyle name="常规 9 2 6 6 3 2" xfId="40140" xr:uid="{00000000-0005-0000-0000-0000E5910000}"/>
    <cellStyle name="常规 9 2 6 6 4" xfId="27852" xr:uid="{00000000-0005-0000-0000-0000E6910000}"/>
    <cellStyle name="常规 9 2 6 7" xfId="6348" xr:uid="{00000000-0005-0000-0000-0000E7910000}"/>
    <cellStyle name="常规 9 2 6 7 2" xfId="18636" xr:uid="{00000000-0005-0000-0000-0000E8910000}"/>
    <cellStyle name="常规 9 2 6 7 2 2" xfId="43212" xr:uid="{00000000-0005-0000-0000-0000E9910000}"/>
    <cellStyle name="常规 9 2 6 7 3" xfId="30924" xr:uid="{00000000-0005-0000-0000-0000EA910000}"/>
    <cellStyle name="常规 9 2 6 8" xfId="12492" xr:uid="{00000000-0005-0000-0000-0000EB910000}"/>
    <cellStyle name="常规 9 2 6 8 2" xfId="37068" xr:uid="{00000000-0005-0000-0000-0000EC910000}"/>
    <cellStyle name="常规 9 2 6 9" xfId="24780" xr:uid="{00000000-0005-0000-0000-0000ED910000}"/>
    <cellStyle name="常规 9 2 7" xfId="264" xr:uid="{00000000-0005-0000-0000-0000EE910000}"/>
    <cellStyle name="常规 9 2 7 2" xfId="456" xr:uid="{00000000-0005-0000-0000-0000EF910000}"/>
    <cellStyle name="常规 9 2 7 2 2" xfId="840" xr:uid="{00000000-0005-0000-0000-0000F0910000}"/>
    <cellStyle name="常规 9 2 7 2 2 2" xfId="1608" xr:uid="{00000000-0005-0000-0000-0000F1910000}"/>
    <cellStyle name="常规 9 2 7 2 2 2 2" xfId="3144" xr:uid="{00000000-0005-0000-0000-0000F2910000}"/>
    <cellStyle name="常规 9 2 7 2 2 2 2 2" xfId="6220" xr:uid="{00000000-0005-0000-0000-0000F3910000}"/>
    <cellStyle name="常规 9 2 7 2 2 2 2 2 2" xfId="12364" xr:uid="{00000000-0005-0000-0000-0000F4910000}"/>
    <cellStyle name="常规 9 2 7 2 2 2 2 2 2 2" xfId="24652" xr:uid="{00000000-0005-0000-0000-0000F5910000}"/>
    <cellStyle name="常规 9 2 7 2 2 2 2 2 2 2 2" xfId="49228" xr:uid="{00000000-0005-0000-0000-0000F6910000}"/>
    <cellStyle name="常规 9 2 7 2 2 2 2 2 2 3" xfId="36940" xr:uid="{00000000-0005-0000-0000-0000F7910000}"/>
    <cellStyle name="常规 9 2 7 2 2 2 2 2 3" xfId="18508" xr:uid="{00000000-0005-0000-0000-0000F8910000}"/>
    <cellStyle name="常规 9 2 7 2 2 2 2 2 3 2" xfId="43084" xr:uid="{00000000-0005-0000-0000-0000F9910000}"/>
    <cellStyle name="常规 9 2 7 2 2 2 2 2 4" xfId="30796" xr:uid="{00000000-0005-0000-0000-0000FA910000}"/>
    <cellStyle name="常规 9 2 7 2 2 2 2 3" xfId="9292" xr:uid="{00000000-0005-0000-0000-0000FB910000}"/>
    <cellStyle name="常规 9 2 7 2 2 2 2 3 2" xfId="21580" xr:uid="{00000000-0005-0000-0000-0000FC910000}"/>
    <cellStyle name="常规 9 2 7 2 2 2 2 3 2 2" xfId="46156" xr:uid="{00000000-0005-0000-0000-0000FD910000}"/>
    <cellStyle name="常规 9 2 7 2 2 2 2 3 3" xfId="33868" xr:uid="{00000000-0005-0000-0000-0000FE910000}"/>
    <cellStyle name="常规 9 2 7 2 2 2 2 4" xfId="15436" xr:uid="{00000000-0005-0000-0000-0000FF910000}"/>
    <cellStyle name="常规 9 2 7 2 2 2 2 4 2" xfId="40012" xr:uid="{00000000-0005-0000-0000-000000920000}"/>
    <cellStyle name="常规 9 2 7 2 2 2 2 5" xfId="27724" xr:uid="{00000000-0005-0000-0000-000001920000}"/>
    <cellStyle name="常规 9 2 7 2 2 2 3" xfId="4684" xr:uid="{00000000-0005-0000-0000-000002920000}"/>
    <cellStyle name="常规 9 2 7 2 2 2 3 2" xfId="10828" xr:uid="{00000000-0005-0000-0000-000003920000}"/>
    <cellStyle name="常规 9 2 7 2 2 2 3 2 2" xfId="23116" xr:uid="{00000000-0005-0000-0000-000004920000}"/>
    <cellStyle name="常规 9 2 7 2 2 2 3 2 2 2" xfId="47692" xr:uid="{00000000-0005-0000-0000-000005920000}"/>
    <cellStyle name="常规 9 2 7 2 2 2 3 2 3" xfId="35404" xr:uid="{00000000-0005-0000-0000-000006920000}"/>
    <cellStyle name="常规 9 2 7 2 2 2 3 3" xfId="16972" xr:uid="{00000000-0005-0000-0000-000007920000}"/>
    <cellStyle name="常规 9 2 7 2 2 2 3 3 2" xfId="41548" xr:uid="{00000000-0005-0000-0000-000008920000}"/>
    <cellStyle name="常规 9 2 7 2 2 2 3 4" xfId="29260" xr:uid="{00000000-0005-0000-0000-000009920000}"/>
    <cellStyle name="常规 9 2 7 2 2 2 4" xfId="7756" xr:uid="{00000000-0005-0000-0000-00000A920000}"/>
    <cellStyle name="常规 9 2 7 2 2 2 4 2" xfId="20044" xr:uid="{00000000-0005-0000-0000-00000B920000}"/>
    <cellStyle name="常规 9 2 7 2 2 2 4 2 2" xfId="44620" xr:uid="{00000000-0005-0000-0000-00000C920000}"/>
    <cellStyle name="常规 9 2 7 2 2 2 4 3" xfId="32332" xr:uid="{00000000-0005-0000-0000-00000D920000}"/>
    <cellStyle name="常规 9 2 7 2 2 2 5" xfId="13900" xr:uid="{00000000-0005-0000-0000-00000E920000}"/>
    <cellStyle name="常规 9 2 7 2 2 2 5 2" xfId="38476" xr:uid="{00000000-0005-0000-0000-00000F920000}"/>
    <cellStyle name="常规 9 2 7 2 2 2 6" xfId="26188" xr:uid="{00000000-0005-0000-0000-000010920000}"/>
    <cellStyle name="常规 9 2 7 2 2 3" xfId="2376" xr:uid="{00000000-0005-0000-0000-000011920000}"/>
    <cellStyle name="常规 9 2 7 2 2 3 2" xfId="5452" xr:uid="{00000000-0005-0000-0000-000012920000}"/>
    <cellStyle name="常规 9 2 7 2 2 3 2 2" xfId="11596" xr:uid="{00000000-0005-0000-0000-000013920000}"/>
    <cellStyle name="常规 9 2 7 2 2 3 2 2 2" xfId="23884" xr:uid="{00000000-0005-0000-0000-000014920000}"/>
    <cellStyle name="常规 9 2 7 2 2 3 2 2 2 2" xfId="48460" xr:uid="{00000000-0005-0000-0000-000015920000}"/>
    <cellStyle name="常规 9 2 7 2 2 3 2 2 3" xfId="36172" xr:uid="{00000000-0005-0000-0000-000016920000}"/>
    <cellStyle name="常规 9 2 7 2 2 3 2 3" xfId="17740" xr:uid="{00000000-0005-0000-0000-000017920000}"/>
    <cellStyle name="常规 9 2 7 2 2 3 2 3 2" xfId="42316" xr:uid="{00000000-0005-0000-0000-000018920000}"/>
    <cellStyle name="常规 9 2 7 2 2 3 2 4" xfId="30028" xr:uid="{00000000-0005-0000-0000-000019920000}"/>
    <cellStyle name="常规 9 2 7 2 2 3 3" xfId="8524" xr:uid="{00000000-0005-0000-0000-00001A920000}"/>
    <cellStyle name="常规 9 2 7 2 2 3 3 2" xfId="20812" xr:uid="{00000000-0005-0000-0000-00001B920000}"/>
    <cellStyle name="常规 9 2 7 2 2 3 3 2 2" xfId="45388" xr:uid="{00000000-0005-0000-0000-00001C920000}"/>
    <cellStyle name="常规 9 2 7 2 2 3 3 3" xfId="33100" xr:uid="{00000000-0005-0000-0000-00001D920000}"/>
    <cellStyle name="常规 9 2 7 2 2 3 4" xfId="14668" xr:uid="{00000000-0005-0000-0000-00001E920000}"/>
    <cellStyle name="常规 9 2 7 2 2 3 4 2" xfId="39244" xr:uid="{00000000-0005-0000-0000-00001F920000}"/>
    <cellStyle name="常规 9 2 7 2 2 3 5" xfId="26956" xr:uid="{00000000-0005-0000-0000-000020920000}"/>
    <cellStyle name="常规 9 2 7 2 2 4" xfId="3916" xr:uid="{00000000-0005-0000-0000-000021920000}"/>
    <cellStyle name="常规 9 2 7 2 2 4 2" xfId="10060" xr:uid="{00000000-0005-0000-0000-000022920000}"/>
    <cellStyle name="常规 9 2 7 2 2 4 2 2" xfId="22348" xr:uid="{00000000-0005-0000-0000-000023920000}"/>
    <cellStyle name="常规 9 2 7 2 2 4 2 2 2" xfId="46924" xr:uid="{00000000-0005-0000-0000-000024920000}"/>
    <cellStyle name="常规 9 2 7 2 2 4 2 3" xfId="34636" xr:uid="{00000000-0005-0000-0000-000025920000}"/>
    <cellStyle name="常规 9 2 7 2 2 4 3" xfId="16204" xr:uid="{00000000-0005-0000-0000-000026920000}"/>
    <cellStyle name="常规 9 2 7 2 2 4 3 2" xfId="40780" xr:uid="{00000000-0005-0000-0000-000027920000}"/>
    <cellStyle name="常规 9 2 7 2 2 4 4" xfId="28492" xr:uid="{00000000-0005-0000-0000-000028920000}"/>
    <cellStyle name="常规 9 2 7 2 2 5" xfId="6988" xr:uid="{00000000-0005-0000-0000-000029920000}"/>
    <cellStyle name="常规 9 2 7 2 2 5 2" xfId="19276" xr:uid="{00000000-0005-0000-0000-00002A920000}"/>
    <cellStyle name="常规 9 2 7 2 2 5 2 2" xfId="43852" xr:uid="{00000000-0005-0000-0000-00002B920000}"/>
    <cellStyle name="常规 9 2 7 2 2 5 3" xfId="31564" xr:uid="{00000000-0005-0000-0000-00002C920000}"/>
    <cellStyle name="常规 9 2 7 2 2 6" xfId="13132" xr:uid="{00000000-0005-0000-0000-00002D920000}"/>
    <cellStyle name="常规 9 2 7 2 2 6 2" xfId="37708" xr:uid="{00000000-0005-0000-0000-00002E920000}"/>
    <cellStyle name="常规 9 2 7 2 2 7" xfId="25420" xr:uid="{00000000-0005-0000-0000-00002F920000}"/>
    <cellStyle name="常规 9 2 7 2 3" xfId="1224" xr:uid="{00000000-0005-0000-0000-000030920000}"/>
    <cellStyle name="常规 9 2 7 2 3 2" xfId="2760" xr:uid="{00000000-0005-0000-0000-000031920000}"/>
    <cellStyle name="常规 9 2 7 2 3 2 2" xfId="5836" xr:uid="{00000000-0005-0000-0000-000032920000}"/>
    <cellStyle name="常规 9 2 7 2 3 2 2 2" xfId="11980" xr:uid="{00000000-0005-0000-0000-000033920000}"/>
    <cellStyle name="常规 9 2 7 2 3 2 2 2 2" xfId="24268" xr:uid="{00000000-0005-0000-0000-000034920000}"/>
    <cellStyle name="常规 9 2 7 2 3 2 2 2 2 2" xfId="48844" xr:uid="{00000000-0005-0000-0000-000035920000}"/>
    <cellStyle name="常规 9 2 7 2 3 2 2 2 3" xfId="36556" xr:uid="{00000000-0005-0000-0000-000036920000}"/>
    <cellStyle name="常规 9 2 7 2 3 2 2 3" xfId="18124" xr:uid="{00000000-0005-0000-0000-000037920000}"/>
    <cellStyle name="常规 9 2 7 2 3 2 2 3 2" xfId="42700" xr:uid="{00000000-0005-0000-0000-000038920000}"/>
    <cellStyle name="常规 9 2 7 2 3 2 2 4" xfId="30412" xr:uid="{00000000-0005-0000-0000-000039920000}"/>
    <cellStyle name="常规 9 2 7 2 3 2 3" xfId="8908" xr:uid="{00000000-0005-0000-0000-00003A920000}"/>
    <cellStyle name="常规 9 2 7 2 3 2 3 2" xfId="21196" xr:uid="{00000000-0005-0000-0000-00003B920000}"/>
    <cellStyle name="常规 9 2 7 2 3 2 3 2 2" xfId="45772" xr:uid="{00000000-0005-0000-0000-00003C920000}"/>
    <cellStyle name="常规 9 2 7 2 3 2 3 3" xfId="33484" xr:uid="{00000000-0005-0000-0000-00003D920000}"/>
    <cellStyle name="常规 9 2 7 2 3 2 4" xfId="15052" xr:uid="{00000000-0005-0000-0000-00003E920000}"/>
    <cellStyle name="常规 9 2 7 2 3 2 4 2" xfId="39628" xr:uid="{00000000-0005-0000-0000-00003F920000}"/>
    <cellStyle name="常规 9 2 7 2 3 2 5" xfId="27340" xr:uid="{00000000-0005-0000-0000-000040920000}"/>
    <cellStyle name="常规 9 2 7 2 3 3" xfId="4300" xr:uid="{00000000-0005-0000-0000-000041920000}"/>
    <cellStyle name="常规 9 2 7 2 3 3 2" xfId="10444" xr:uid="{00000000-0005-0000-0000-000042920000}"/>
    <cellStyle name="常规 9 2 7 2 3 3 2 2" xfId="22732" xr:uid="{00000000-0005-0000-0000-000043920000}"/>
    <cellStyle name="常规 9 2 7 2 3 3 2 2 2" xfId="47308" xr:uid="{00000000-0005-0000-0000-000044920000}"/>
    <cellStyle name="常规 9 2 7 2 3 3 2 3" xfId="35020" xr:uid="{00000000-0005-0000-0000-000045920000}"/>
    <cellStyle name="常规 9 2 7 2 3 3 3" xfId="16588" xr:uid="{00000000-0005-0000-0000-000046920000}"/>
    <cellStyle name="常规 9 2 7 2 3 3 3 2" xfId="41164" xr:uid="{00000000-0005-0000-0000-000047920000}"/>
    <cellStyle name="常规 9 2 7 2 3 3 4" xfId="28876" xr:uid="{00000000-0005-0000-0000-000048920000}"/>
    <cellStyle name="常规 9 2 7 2 3 4" xfId="7372" xr:uid="{00000000-0005-0000-0000-000049920000}"/>
    <cellStyle name="常规 9 2 7 2 3 4 2" xfId="19660" xr:uid="{00000000-0005-0000-0000-00004A920000}"/>
    <cellStyle name="常规 9 2 7 2 3 4 2 2" xfId="44236" xr:uid="{00000000-0005-0000-0000-00004B920000}"/>
    <cellStyle name="常规 9 2 7 2 3 4 3" xfId="31948" xr:uid="{00000000-0005-0000-0000-00004C920000}"/>
    <cellStyle name="常规 9 2 7 2 3 5" xfId="13516" xr:uid="{00000000-0005-0000-0000-00004D920000}"/>
    <cellStyle name="常规 9 2 7 2 3 5 2" xfId="38092" xr:uid="{00000000-0005-0000-0000-00004E920000}"/>
    <cellStyle name="常规 9 2 7 2 3 6" xfId="25804" xr:uid="{00000000-0005-0000-0000-00004F920000}"/>
    <cellStyle name="常规 9 2 7 2 4" xfId="1992" xr:uid="{00000000-0005-0000-0000-000050920000}"/>
    <cellStyle name="常规 9 2 7 2 4 2" xfId="5068" xr:uid="{00000000-0005-0000-0000-000051920000}"/>
    <cellStyle name="常规 9 2 7 2 4 2 2" xfId="11212" xr:uid="{00000000-0005-0000-0000-000052920000}"/>
    <cellStyle name="常规 9 2 7 2 4 2 2 2" xfId="23500" xr:uid="{00000000-0005-0000-0000-000053920000}"/>
    <cellStyle name="常规 9 2 7 2 4 2 2 2 2" xfId="48076" xr:uid="{00000000-0005-0000-0000-000054920000}"/>
    <cellStyle name="常规 9 2 7 2 4 2 2 3" xfId="35788" xr:uid="{00000000-0005-0000-0000-000055920000}"/>
    <cellStyle name="常规 9 2 7 2 4 2 3" xfId="17356" xr:uid="{00000000-0005-0000-0000-000056920000}"/>
    <cellStyle name="常规 9 2 7 2 4 2 3 2" xfId="41932" xr:uid="{00000000-0005-0000-0000-000057920000}"/>
    <cellStyle name="常规 9 2 7 2 4 2 4" xfId="29644" xr:uid="{00000000-0005-0000-0000-000058920000}"/>
    <cellStyle name="常规 9 2 7 2 4 3" xfId="8140" xr:uid="{00000000-0005-0000-0000-000059920000}"/>
    <cellStyle name="常规 9 2 7 2 4 3 2" xfId="20428" xr:uid="{00000000-0005-0000-0000-00005A920000}"/>
    <cellStyle name="常规 9 2 7 2 4 3 2 2" xfId="45004" xr:uid="{00000000-0005-0000-0000-00005B920000}"/>
    <cellStyle name="常规 9 2 7 2 4 3 3" xfId="32716" xr:uid="{00000000-0005-0000-0000-00005C920000}"/>
    <cellStyle name="常规 9 2 7 2 4 4" xfId="14284" xr:uid="{00000000-0005-0000-0000-00005D920000}"/>
    <cellStyle name="常规 9 2 7 2 4 4 2" xfId="38860" xr:uid="{00000000-0005-0000-0000-00005E920000}"/>
    <cellStyle name="常规 9 2 7 2 4 5" xfId="26572" xr:uid="{00000000-0005-0000-0000-00005F920000}"/>
    <cellStyle name="常规 9 2 7 2 5" xfId="3532" xr:uid="{00000000-0005-0000-0000-000060920000}"/>
    <cellStyle name="常规 9 2 7 2 5 2" xfId="9676" xr:uid="{00000000-0005-0000-0000-000061920000}"/>
    <cellStyle name="常规 9 2 7 2 5 2 2" xfId="21964" xr:uid="{00000000-0005-0000-0000-000062920000}"/>
    <cellStyle name="常规 9 2 7 2 5 2 2 2" xfId="46540" xr:uid="{00000000-0005-0000-0000-000063920000}"/>
    <cellStyle name="常规 9 2 7 2 5 2 3" xfId="34252" xr:uid="{00000000-0005-0000-0000-000064920000}"/>
    <cellStyle name="常规 9 2 7 2 5 3" xfId="15820" xr:uid="{00000000-0005-0000-0000-000065920000}"/>
    <cellStyle name="常规 9 2 7 2 5 3 2" xfId="40396" xr:uid="{00000000-0005-0000-0000-000066920000}"/>
    <cellStyle name="常规 9 2 7 2 5 4" xfId="28108" xr:uid="{00000000-0005-0000-0000-000067920000}"/>
    <cellStyle name="常规 9 2 7 2 6" xfId="6604" xr:uid="{00000000-0005-0000-0000-000068920000}"/>
    <cellStyle name="常规 9 2 7 2 6 2" xfId="18892" xr:uid="{00000000-0005-0000-0000-000069920000}"/>
    <cellStyle name="常规 9 2 7 2 6 2 2" xfId="43468" xr:uid="{00000000-0005-0000-0000-00006A920000}"/>
    <cellStyle name="常规 9 2 7 2 6 3" xfId="31180" xr:uid="{00000000-0005-0000-0000-00006B920000}"/>
    <cellStyle name="常规 9 2 7 2 7" xfId="12748" xr:uid="{00000000-0005-0000-0000-00006C920000}"/>
    <cellStyle name="常规 9 2 7 2 7 2" xfId="37324" xr:uid="{00000000-0005-0000-0000-00006D920000}"/>
    <cellStyle name="常规 9 2 7 2 8" xfId="25036" xr:uid="{00000000-0005-0000-0000-00006E920000}"/>
    <cellStyle name="常规 9 2 7 3" xfId="648" xr:uid="{00000000-0005-0000-0000-00006F920000}"/>
    <cellStyle name="常规 9 2 7 3 2" xfId="1416" xr:uid="{00000000-0005-0000-0000-000070920000}"/>
    <cellStyle name="常规 9 2 7 3 2 2" xfId="2952" xr:uid="{00000000-0005-0000-0000-000071920000}"/>
    <cellStyle name="常规 9 2 7 3 2 2 2" xfId="6028" xr:uid="{00000000-0005-0000-0000-000072920000}"/>
    <cellStyle name="常规 9 2 7 3 2 2 2 2" xfId="12172" xr:uid="{00000000-0005-0000-0000-000073920000}"/>
    <cellStyle name="常规 9 2 7 3 2 2 2 2 2" xfId="24460" xr:uid="{00000000-0005-0000-0000-000074920000}"/>
    <cellStyle name="常规 9 2 7 3 2 2 2 2 2 2" xfId="49036" xr:uid="{00000000-0005-0000-0000-000075920000}"/>
    <cellStyle name="常规 9 2 7 3 2 2 2 2 3" xfId="36748" xr:uid="{00000000-0005-0000-0000-000076920000}"/>
    <cellStyle name="常规 9 2 7 3 2 2 2 3" xfId="18316" xr:uid="{00000000-0005-0000-0000-000077920000}"/>
    <cellStyle name="常规 9 2 7 3 2 2 2 3 2" xfId="42892" xr:uid="{00000000-0005-0000-0000-000078920000}"/>
    <cellStyle name="常规 9 2 7 3 2 2 2 4" xfId="30604" xr:uid="{00000000-0005-0000-0000-000079920000}"/>
    <cellStyle name="常规 9 2 7 3 2 2 3" xfId="9100" xr:uid="{00000000-0005-0000-0000-00007A920000}"/>
    <cellStyle name="常规 9 2 7 3 2 2 3 2" xfId="21388" xr:uid="{00000000-0005-0000-0000-00007B920000}"/>
    <cellStyle name="常规 9 2 7 3 2 2 3 2 2" xfId="45964" xr:uid="{00000000-0005-0000-0000-00007C920000}"/>
    <cellStyle name="常规 9 2 7 3 2 2 3 3" xfId="33676" xr:uid="{00000000-0005-0000-0000-00007D920000}"/>
    <cellStyle name="常规 9 2 7 3 2 2 4" xfId="15244" xr:uid="{00000000-0005-0000-0000-00007E920000}"/>
    <cellStyle name="常规 9 2 7 3 2 2 4 2" xfId="39820" xr:uid="{00000000-0005-0000-0000-00007F920000}"/>
    <cellStyle name="常规 9 2 7 3 2 2 5" xfId="27532" xr:uid="{00000000-0005-0000-0000-000080920000}"/>
    <cellStyle name="常规 9 2 7 3 2 3" xfId="4492" xr:uid="{00000000-0005-0000-0000-000081920000}"/>
    <cellStyle name="常规 9 2 7 3 2 3 2" xfId="10636" xr:uid="{00000000-0005-0000-0000-000082920000}"/>
    <cellStyle name="常规 9 2 7 3 2 3 2 2" xfId="22924" xr:uid="{00000000-0005-0000-0000-000083920000}"/>
    <cellStyle name="常规 9 2 7 3 2 3 2 2 2" xfId="47500" xr:uid="{00000000-0005-0000-0000-000084920000}"/>
    <cellStyle name="常规 9 2 7 3 2 3 2 3" xfId="35212" xr:uid="{00000000-0005-0000-0000-000085920000}"/>
    <cellStyle name="常规 9 2 7 3 2 3 3" xfId="16780" xr:uid="{00000000-0005-0000-0000-000086920000}"/>
    <cellStyle name="常规 9 2 7 3 2 3 3 2" xfId="41356" xr:uid="{00000000-0005-0000-0000-000087920000}"/>
    <cellStyle name="常规 9 2 7 3 2 3 4" xfId="29068" xr:uid="{00000000-0005-0000-0000-000088920000}"/>
    <cellStyle name="常规 9 2 7 3 2 4" xfId="7564" xr:uid="{00000000-0005-0000-0000-000089920000}"/>
    <cellStyle name="常规 9 2 7 3 2 4 2" xfId="19852" xr:uid="{00000000-0005-0000-0000-00008A920000}"/>
    <cellStyle name="常规 9 2 7 3 2 4 2 2" xfId="44428" xr:uid="{00000000-0005-0000-0000-00008B920000}"/>
    <cellStyle name="常规 9 2 7 3 2 4 3" xfId="32140" xr:uid="{00000000-0005-0000-0000-00008C920000}"/>
    <cellStyle name="常规 9 2 7 3 2 5" xfId="13708" xr:uid="{00000000-0005-0000-0000-00008D920000}"/>
    <cellStyle name="常规 9 2 7 3 2 5 2" xfId="38284" xr:uid="{00000000-0005-0000-0000-00008E920000}"/>
    <cellStyle name="常规 9 2 7 3 2 6" xfId="25996" xr:uid="{00000000-0005-0000-0000-00008F920000}"/>
    <cellStyle name="常规 9 2 7 3 3" xfId="2184" xr:uid="{00000000-0005-0000-0000-000090920000}"/>
    <cellStyle name="常规 9 2 7 3 3 2" xfId="5260" xr:uid="{00000000-0005-0000-0000-000091920000}"/>
    <cellStyle name="常规 9 2 7 3 3 2 2" xfId="11404" xr:uid="{00000000-0005-0000-0000-000092920000}"/>
    <cellStyle name="常规 9 2 7 3 3 2 2 2" xfId="23692" xr:uid="{00000000-0005-0000-0000-000093920000}"/>
    <cellStyle name="常规 9 2 7 3 3 2 2 2 2" xfId="48268" xr:uid="{00000000-0005-0000-0000-000094920000}"/>
    <cellStyle name="常规 9 2 7 3 3 2 2 3" xfId="35980" xr:uid="{00000000-0005-0000-0000-000095920000}"/>
    <cellStyle name="常规 9 2 7 3 3 2 3" xfId="17548" xr:uid="{00000000-0005-0000-0000-000096920000}"/>
    <cellStyle name="常规 9 2 7 3 3 2 3 2" xfId="42124" xr:uid="{00000000-0005-0000-0000-000097920000}"/>
    <cellStyle name="常规 9 2 7 3 3 2 4" xfId="29836" xr:uid="{00000000-0005-0000-0000-000098920000}"/>
    <cellStyle name="常规 9 2 7 3 3 3" xfId="8332" xr:uid="{00000000-0005-0000-0000-000099920000}"/>
    <cellStyle name="常规 9 2 7 3 3 3 2" xfId="20620" xr:uid="{00000000-0005-0000-0000-00009A920000}"/>
    <cellStyle name="常规 9 2 7 3 3 3 2 2" xfId="45196" xr:uid="{00000000-0005-0000-0000-00009B920000}"/>
    <cellStyle name="常规 9 2 7 3 3 3 3" xfId="32908" xr:uid="{00000000-0005-0000-0000-00009C920000}"/>
    <cellStyle name="常规 9 2 7 3 3 4" xfId="14476" xr:uid="{00000000-0005-0000-0000-00009D920000}"/>
    <cellStyle name="常规 9 2 7 3 3 4 2" xfId="39052" xr:uid="{00000000-0005-0000-0000-00009E920000}"/>
    <cellStyle name="常规 9 2 7 3 3 5" xfId="26764" xr:uid="{00000000-0005-0000-0000-00009F920000}"/>
    <cellStyle name="常规 9 2 7 3 4" xfId="3724" xr:uid="{00000000-0005-0000-0000-0000A0920000}"/>
    <cellStyle name="常规 9 2 7 3 4 2" xfId="9868" xr:uid="{00000000-0005-0000-0000-0000A1920000}"/>
    <cellStyle name="常规 9 2 7 3 4 2 2" xfId="22156" xr:uid="{00000000-0005-0000-0000-0000A2920000}"/>
    <cellStyle name="常规 9 2 7 3 4 2 2 2" xfId="46732" xr:uid="{00000000-0005-0000-0000-0000A3920000}"/>
    <cellStyle name="常规 9 2 7 3 4 2 3" xfId="34444" xr:uid="{00000000-0005-0000-0000-0000A4920000}"/>
    <cellStyle name="常规 9 2 7 3 4 3" xfId="16012" xr:uid="{00000000-0005-0000-0000-0000A5920000}"/>
    <cellStyle name="常规 9 2 7 3 4 3 2" xfId="40588" xr:uid="{00000000-0005-0000-0000-0000A6920000}"/>
    <cellStyle name="常规 9 2 7 3 4 4" xfId="28300" xr:uid="{00000000-0005-0000-0000-0000A7920000}"/>
    <cellStyle name="常规 9 2 7 3 5" xfId="6796" xr:uid="{00000000-0005-0000-0000-0000A8920000}"/>
    <cellStyle name="常规 9 2 7 3 5 2" xfId="19084" xr:uid="{00000000-0005-0000-0000-0000A9920000}"/>
    <cellStyle name="常规 9 2 7 3 5 2 2" xfId="43660" xr:uid="{00000000-0005-0000-0000-0000AA920000}"/>
    <cellStyle name="常规 9 2 7 3 5 3" xfId="31372" xr:uid="{00000000-0005-0000-0000-0000AB920000}"/>
    <cellStyle name="常规 9 2 7 3 6" xfId="12940" xr:uid="{00000000-0005-0000-0000-0000AC920000}"/>
    <cellStyle name="常规 9 2 7 3 6 2" xfId="37516" xr:uid="{00000000-0005-0000-0000-0000AD920000}"/>
    <cellStyle name="常规 9 2 7 3 7" xfId="25228" xr:uid="{00000000-0005-0000-0000-0000AE920000}"/>
    <cellStyle name="常规 9 2 7 4" xfId="1032" xr:uid="{00000000-0005-0000-0000-0000AF920000}"/>
    <cellStyle name="常规 9 2 7 4 2" xfId="2568" xr:uid="{00000000-0005-0000-0000-0000B0920000}"/>
    <cellStyle name="常规 9 2 7 4 2 2" xfId="5644" xr:uid="{00000000-0005-0000-0000-0000B1920000}"/>
    <cellStyle name="常规 9 2 7 4 2 2 2" xfId="11788" xr:uid="{00000000-0005-0000-0000-0000B2920000}"/>
    <cellStyle name="常规 9 2 7 4 2 2 2 2" xfId="24076" xr:uid="{00000000-0005-0000-0000-0000B3920000}"/>
    <cellStyle name="常规 9 2 7 4 2 2 2 2 2" xfId="48652" xr:uid="{00000000-0005-0000-0000-0000B4920000}"/>
    <cellStyle name="常规 9 2 7 4 2 2 2 3" xfId="36364" xr:uid="{00000000-0005-0000-0000-0000B5920000}"/>
    <cellStyle name="常规 9 2 7 4 2 2 3" xfId="17932" xr:uid="{00000000-0005-0000-0000-0000B6920000}"/>
    <cellStyle name="常规 9 2 7 4 2 2 3 2" xfId="42508" xr:uid="{00000000-0005-0000-0000-0000B7920000}"/>
    <cellStyle name="常规 9 2 7 4 2 2 4" xfId="30220" xr:uid="{00000000-0005-0000-0000-0000B8920000}"/>
    <cellStyle name="常规 9 2 7 4 2 3" xfId="8716" xr:uid="{00000000-0005-0000-0000-0000B9920000}"/>
    <cellStyle name="常规 9 2 7 4 2 3 2" xfId="21004" xr:uid="{00000000-0005-0000-0000-0000BA920000}"/>
    <cellStyle name="常规 9 2 7 4 2 3 2 2" xfId="45580" xr:uid="{00000000-0005-0000-0000-0000BB920000}"/>
    <cellStyle name="常规 9 2 7 4 2 3 3" xfId="33292" xr:uid="{00000000-0005-0000-0000-0000BC920000}"/>
    <cellStyle name="常规 9 2 7 4 2 4" xfId="14860" xr:uid="{00000000-0005-0000-0000-0000BD920000}"/>
    <cellStyle name="常规 9 2 7 4 2 4 2" xfId="39436" xr:uid="{00000000-0005-0000-0000-0000BE920000}"/>
    <cellStyle name="常规 9 2 7 4 2 5" xfId="27148" xr:uid="{00000000-0005-0000-0000-0000BF920000}"/>
    <cellStyle name="常规 9 2 7 4 3" xfId="4108" xr:uid="{00000000-0005-0000-0000-0000C0920000}"/>
    <cellStyle name="常规 9 2 7 4 3 2" xfId="10252" xr:uid="{00000000-0005-0000-0000-0000C1920000}"/>
    <cellStyle name="常规 9 2 7 4 3 2 2" xfId="22540" xr:uid="{00000000-0005-0000-0000-0000C2920000}"/>
    <cellStyle name="常规 9 2 7 4 3 2 2 2" xfId="47116" xr:uid="{00000000-0005-0000-0000-0000C3920000}"/>
    <cellStyle name="常规 9 2 7 4 3 2 3" xfId="34828" xr:uid="{00000000-0005-0000-0000-0000C4920000}"/>
    <cellStyle name="常规 9 2 7 4 3 3" xfId="16396" xr:uid="{00000000-0005-0000-0000-0000C5920000}"/>
    <cellStyle name="常规 9 2 7 4 3 3 2" xfId="40972" xr:uid="{00000000-0005-0000-0000-0000C6920000}"/>
    <cellStyle name="常规 9 2 7 4 3 4" xfId="28684" xr:uid="{00000000-0005-0000-0000-0000C7920000}"/>
    <cellStyle name="常规 9 2 7 4 4" xfId="7180" xr:uid="{00000000-0005-0000-0000-0000C8920000}"/>
    <cellStyle name="常规 9 2 7 4 4 2" xfId="19468" xr:uid="{00000000-0005-0000-0000-0000C9920000}"/>
    <cellStyle name="常规 9 2 7 4 4 2 2" xfId="44044" xr:uid="{00000000-0005-0000-0000-0000CA920000}"/>
    <cellStyle name="常规 9 2 7 4 4 3" xfId="31756" xr:uid="{00000000-0005-0000-0000-0000CB920000}"/>
    <cellStyle name="常规 9 2 7 4 5" xfId="13324" xr:uid="{00000000-0005-0000-0000-0000CC920000}"/>
    <cellStyle name="常规 9 2 7 4 5 2" xfId="37900" xr:uid="{00000000-0005-0000-0000-0000CD920000}"/>
    <cellStyle name="常规 9 2 7 4 6" xfId="25612" xr:uid="{00000000-0005-0000-0000-0000CE920000}"/>
    <cellStyle name="常规 9 2 7 5" xfId="1800" xr:uid="{00000000-0005-0000-0000-0000CF920000}"/>
    <cellStyle name="常规 9 2 7 5 2" xfId="4876" xr:uid="{00000000-0005-0000-0000-0000D0920000}"/>
    <cellStyle name="常规 9 2 7 5 2 2" xfId="11020" xr:uid="{00000000-0005-0000-0000-0000D1920000}"/>
    <cellStyle name="常规 9 2 7 5 2 2 2" xfId="23308" xr:uid="{00000000-0005-0000-0000-0000D2920000}"/>
    <cellStyle name="常规 9 2 7 5 2 2 2 2" xfId="47884" xr:uid="{00000000-0005-0000-0000-0000D3920000}"/>
    <cellStyle name="常规 9 2 7 5 2 2 3" xfId="35596" xr:uid="{00000000-0005-0000-0000-0000D4920000}"/>
    <cellStyle name="常规 9 2 7 5 2 3" xfId="17164" xr:uid="{00000000-0005-0000-0000-0000D5920000}"/>
    <cellStyle name="常规 9 2 7 5 2 3 2" xfId="41740" xr:uid="{00000000-0005-0000-0000-0000D6920000}"/>
    <cellStyle name="常规 9 2 7 5 2 4" xfId="29452" xr:uid="{00000000-0005-0000-0000-0000D7920000}"/>
    <cellStyle name="常规 9 2 7 5 3" xfId="7948" xr:uid="{00000000-0005-0000-0000-0000D8920000}"/>
    <cellStyle name="常规 9 2 7 5 3 2" xfId="20236" xr:uid="{00000000-0005-0000-0000-0000D9920000}"/>
    <cellStyle name="常规 9 2 7 5 3 2 2" xfId="44812" xr:uid="{00000000-0005-0000-0000-0000DA920000}"/>
    <cellStyle name="常规 9 2 7 5 3 3" xfId="32524" xr:uid="{00000000-0005-0000-0000-0000DB920000}"/>
    <cellStyle name="常规 9 2 7 5 4" xfId="14092" xr:uid="{00000000-0005-0000-0000-0000DC920000}"/>
    <cellStyle name="常规 9 2 7 5 4 2" xfId="38668" xr:uid="{00000000-0005-0000-0000-0000DD920000}"/>
    <cellStyle name="常规 9 2 7 5 5" xfId="26380" xr:uid="{00000000-0005-0000-0000-0000DE920000}"/>
    <cellStyle name="常规 9 2 7 6" xfId="3340" xr:uid="{00000000-0005-0000-0000-0000DF920000}"/>
    <cellStyle name="常规 9 2 7 6 2" xfId="9484" xr:uid="{00000000-0005-0000-0000-0000E0920000}"/>
    <cellStyle name="常规 9 2 7 6 2 2" xfId="21772" xr:uid="{00000000-0005-0000-0000-0000E1920000}"/>
    <cellStyle name="常规 9 2 7 6 2 2 2" xfId="46348" xr:uid="{00000000-0005-0000-0000-0000E2920000}"/>
    <cellStyle name="常规 9 2 7 6 2 3" xfId="34060" xr:uid="{00000000-0005-0000-0000-0000E3920000}"/>
    <cellStyle name="常规 9 2 7 6 3" xfId="15628" xr:uid="{00000000-0005-0000-0000-0000E4920000}"/>
    <cellStyle name="常规 9 2 7 6 3 2" xfId="40204" xr:uid="{00000000-0005-0000-0000-0000E5920000}"/>
    <cellStyle name="常规 9 2 7 6 4" xfId="27916" xr:uid="{00000000-0005-0000-0000-0000E6920000}"/>
    <cellStyle name="常规 9 2 7 7" xfId="6412" xr:uid="{00000000-0005-0000-0000-0000E7920000}"/>
    <cellStyle name="常规 9 2 7 7 2" xfId="18700" xr:uid="{00000000-0005-0000-0000-0000E8920000}"/>
    <cellStyle name="常规 9 2 7 7 2 2" xfId="43276" xr:uid="{00000000-0005-0000-0000-0000E9920000}"/>
    <cellStyle name="常规 9 2 7 7 3" xfId="30988" xr:uid="{00000000-0005-0000-0000-0000EA920000}"/>
    <cellStyle name="常规 9 2 7 8" xfId="12556" xr:uid="{00000000-0005-0000-0000-0000EB920000}"/>
    <cellStyle name="常规 9 2 7 8 2" xfId="37132" xr:uid="{00000000-0005-0000-0000-0000EC920000}"/>
    <cellStyle name="常规 9 2 7 9" xfId="24844" xr:uid="{00000000-0005-0000-0000-0000ED920000}"/>
    <cellStyle name="常规 9 2 8" xfId="328" xr:uid="{00000000-0005-0000-0000-0000EE920000}"/>
    <cellStyle name="常规 9 2 8 2" xfId="712" xr:uid="{00000000-0005-0000-0000-0000EF920000}"/>
    <cellStyle name="常规 9 2 8 2 2" xfId="1480" xr:uid="{00000000-0005-0000-0000-0000F0920000}"/>
    <cellStyle name="常规 9 2 8 2 2 2" xfId="3016" xr:uid="{00000000-0005-0000-0000-0000F1920000}"/>
    <cellStyle name="常规 9 2 8 2 2 2 2" xfId="6092" xr:uid="{00000000-0005-0000-0000-0000F2920000}"/>
    <cellStyle name="常规 9 2 8 2 2 2 2 2" xfId="12236" xr:uid="{00000000-0005-0000-0000-0000F3920000}"/>
    <cellStyle name="常规 9 2 8 2 2 2 2 2 2" xfId="24524" xr:uid="{00000000-0005-0000-0000-0000F4920000}"/>
    <cellStyle name="常规 9 2 8 2 2 2 2 2 2 2" xfId="49100" xr:uid="{00000000-0005-0000-0000-0000F5920000}"/>
    <cellStyle name="常规 9 2 8 2 2 2 2 2 3" xfId="36812" xr:uid="{00000000-0005-0000-0000-0000F6920000}"/>
    <cellStyle name="常规 9 2 8 2 2 2 2 3" xfId="18380" xr:uid="{00000000-0005-0000-0000-0000F7920000}"/>
    <cellStyle name="常规 9 2 8 2 2 2 2 3 2" xfId="42956" xr:uid="{00000000-0005-0000-0000-0000F8920000}"/>
    <cellStyle name="常规 9 2 8 2 2 2 2 4" xfId="30668" xr:uid="{00000000-0005-0000-0000-0000F9920000}"/>
    <cellStyle name="常规 9 2 8 2 2 2 3" xfId="9164" xr:uid="{00000000-0005-0000-0000-0000FA920000}"/>
    <cellStyle name="常规 9 2 8 2 2 2 3 2" xfId="21452" xr:uid="{00000000-0005-0000-0000-0000FB920000}"/>
    <cellStyle name="常规 9 2 8 2 2 2 3 2 2" xfId="46028" xr:uid="{00000000-0005-0000-0000-0000FC920000}"/>
    <cellStyle name="常规 9 2 8 2 2 2 3 3" xfId="33740" xr:uid="{00000000-0005-0000-0000-0000FD920000}"/>
    <cellStyle name="常规 9 2 8 2 2 2 4" xfId="15308" xr:uid="{00000000-0005-0000-0000-0000FE920000}"/>
    <cellStyle name="常规 9 2 8 2 2 2 4 2" xfId="39884" xr:uid="{00000000-0005-0000-0000-0000FF920000}"/>
    <cellStyle name="常规 9 2 8 2 2 2 5" xfId="27596" xr:uid="{00000000-0005-0000-0000-000000930000}"/>
    <cellStyle name="常规 9 2 8 2 2 3" xfId="4556" xr:uid="{00000000-0005-0000-0000-000001930000}"/>
    <cellStyle name="常规 9 2 8 2 2 3 2" xfId="10700" xr:uid="{00000000-0005-0000-0000-000002930000}"/>
    <cellStyle name="常规 9 2 8 2 2 3 2 2" xfId="22988" xr:uid="{00000000-0005-0000-0000-000003930000}"/>
    <cellStyle name="常规 9 2 8 2 2 3 2 2 2" xfId="47564" xr:uid="{00000000-0005-0000-0000-000004930000}"/>
    <cellStyle name="常规 9 2 8 2 2 3 2 3" xfId="35276" xr:uid="{00000000-0005-0000-0000-000005930000}"/>
    <cellStyle name="常规 9 2 8 2 2 3 3" xfId="16844" xr:uid="{00000000-0005-0000-0000-000006930000}"/>
    <cellStyle name="常规 9 2 8 2 2 3 3 2" xfId="41420" xr:uid="{00000000-0005-0000-0000-000007930000}"/>
    <cellStyle name="常规 9 2 8 2 2 3 4" xfId="29132" xr:uid="{00000000-0005-0000-0000-000008930000}"/>
    <cellStyle name="常规 9 2 8 2 2 4" xfId="7628" xr:uid="{00000000-0005-0000-0000-000009930000}"/>
    <cellStyle name="常规 9 2 8 2 2 4 2" xfId="19916" xr:uid="{00000000-0005-0000-0000-00000A930000}"/>
    <cellStyle name="常规 9 2 8 2 2 4 2 2" xfId="44492" xr:uid="{00000000-0005-0000-0000-00000B930000}"/>
    <cellStyle name="常规 9 2 8 2 2 4 3" xfId="32204" xr:uid="{00000000-0005-0000-0000-00000C930000}"/>
    <cellStyle name="常规 9 2 8 2 2 5" xfId="13772" xr:uid="{00000000-0005-0000-0000-00000D930000}"/>
    <cellStyle name="常规 9 2 8 2 2 5 2" xfId="38348" xr:uid="{00000000-0005-0000-0000-00000E930000}"/>
    <cellStyle name="常规 9 2 8 2 2 6" xfId="26060" xr:uid="{00000000-0005-0000-0000-00000F930000}"/>
    <cellStyle name="常规 9 2 8 2 3" xfId="2248" xr:uid="{00000000-0005-0000-0000-000010930000}"/>
    <cellStyle name="常规 9 2 8 2 3 2" xfId="5324" xr:uid="{00000000-0005-0000-0000-000011930000}"/>
    <cellStyle name="常规 9 2 8 2 3 2 2" xfId="11468" xr:uid="{00000000-0005-0000-0000-000012930000}"/>
    <cellStyle name="常规 9 2 8 2 3 2 2 2" xfId="23756" xr:uid="{00000000-0005-0000-0000-000013930000}"/>
    <cellStyle name="常规 9 2 8 2 3 2 2 2 2" xfId="48332" xr:uid="{00000000-0005-0000-0000-000014930000}"/>
    <cellStyle name="常规 9 2 8 2 3 2 2 3" xfId="36044" xr:uid="{00000000-0005-0000-0000-000015930000}"/>
    <cellStyle name="常规 9 2 8 2 3 2 3" xfId="17612" xr:uid="{00000000-0005-0000-0000-000016930000}"/>
    <cellStyle name="常规 9 2 8 2 3 2 3 2" xfId="42188" xr:uid="{00000000-0005-0000-0000-000017930000}"/>
    <cellStyle name="常规 9 2 8 2 3 2 4" xfId="29900" xr:uid="{00000000-0005-0000-0000-000018930000}"/>
    <cellStyle name="常规 9 2 8 2 3 3" xfId="8396" xr:uid="{00000000-0005-0000-0000-000019930000}"/>
    <cellStyle name="常规 9 2 8 2 3 3 2" xfId="20684" xr:uid="{00000000-0005-0000-0000-00001A930000}"/>
    <cellStyle name="常规 9 2 8 2 3 3 2 2" xfId="45260" xr:uid="{00000000-0005-0000-0000-00001B930000}"/>
    <cellStyle name="常规 9 2 8 2 3 3 3" xfId="32972" xr:uid="{00000000-0005-0000-0000-00001C930000}"/>
    <cellStyle name="常规 9 2 8 2 3 4" xfId="14540" xr:uid="{00000000-0005-0000-0000-00001D930000}"/>
    <cellStyle name="常规 9 2 8 2 3 4 2" xfId="39116" xr:uid="{00000000-0005-0000-0000-00001E930000}"/>
    <cellStyle name="常规 9 2 8 2 3 5" xfId="26828" xr:uid="{00000000-0005-0000-0000-00001F930000}"/>
    <cellStyle name="常规 9 2 8 2 4" xfId="3788" xr:uid="{00000000-0005-0000-0000-000020930000}"/>
    <cellStyle name="常规 9 2 8 2 4 2" xfId="9932" xr:uid="{00000000-0005-0000-0000-000021930000}"/>
    <cellStyle name="常规 9 2 8 2 4 2 2" xfId="22220" xr:uid="{00000000-0005-0000-0000-000022930000}"/>
    <cellStyle name="常规 9 2 8 2 4 2 2 2" xfId="46796" xr:uid="{00000000-0005-0000-0000-000023930000}"/>
    <cellStyle name="常规 9 2 8 2 4 2 3" xfId="34508" xr:uid="{00000000-0005-0000-0000-000024930000}"/>
    <cellStyle name="常规 9 2 8 2 4 3" xfId="16076" xr:uid="{00000000-0005-0000-0000-000025930000}"/>
    <cellStyle name="常规 9 2 8 2 4 3 2" xfId="40652" xr:uid="{00000000-0005-0000-0000-000026930000}"/>
    <cellStyle name="常规 9 2 8 2 4 4" xfId="28364" xr:uid="{00000000-0005-0000-0000-000027930000}"/>
    <cellStyle name="常规 9 2 8 2 5" xfId="6860" xr:uid="{00000000-0005-0000-0000-000028930000}"/>
    <cellStyle name="常规 9 2 8 2 5 2" xfId="19148" xr:uid="{00000000-0005-0000-0000-000029930000}"/>
    <cellStyle name="常规 9 2 8 2 5 2 2" xfId="43724" xr:uid="{00000000-0005-0000-0000-00002A930000}"/>
    <cellStyle name="常规 9 2 8 2 5 3" xfId="31436" xr:uid="{00000000-0005-0000-0000-00002B930000}"/>
    <cellStyle name="常规 9 2 8 2 6" xfId="13004" xr:uid="{00000000-0005-0000-0000-00002C930000}"/>
    <cellStyle name="常规 9 2 8 2 6 2" xfId="37580" xr:uid="{00000000-0005-0000-0000-00002D930000}"/>
    <cellStyle name="常规 9 2 8 2 7" xfId="25292" xr:uid="{00000000-0005-0000-0000-00002E930000}"/>
    <cellStyle name="常规 9 2 8 3" xfId="1096" xr:uid="{00000000-0005-0000-0000-00002F930000}"/>
    <cellStyle name="常规 9 2 8 3 2" xfId="2632" xr:uid="{00000000-0005-0000-0000-000030930000}"/>
    <cellStyle name="常规 9 2 8 3 2 2" xfId="5708" xr:uid="{00000000-0005-0000-0000-000031930000}"/>
    <cellStyle name="常规 9 2 8 3 2 2 2" xfId="11852" xr:uid="{00000000-0005-0000-0000-000032930000}"/>
    <cellStyle name="常规 9 2 8 3 2 2 2 2" xfId="24140" xr:uid="{00000000-0005-0000-0000-000033930000}"/>
    <cellStyle name="常规 9 2 8 3 2 2 2 2 2" xfId="48716" xr:uid="{00000000-0005-0000-0000-000034930000}"/>
    <cellStyle name="常规 9 2 8 3 2 2 2 3" xfId="36428" xr:uid="{00000000-0005-0000-0000-000035930000}"/>
    <cellStyle name="常规 9 2 8 3 2 2 3" xfId="17996" xr:uid="{00000000-0005-0000-0000-000036930000}"/>
    <cellStyle name="常规 9 2 8 3 2 2 3 2" xfId="42572" xr:uid="{00000000-0005-0000-0000-000037930000}"/>
    <cellStyle name="常规 9 2 8 3 2 2 4" xfId="30284" xr:uid="{00000000-0005-0000-0000-000038930000}"/>
    <cellStyle name="常规 9 2 8 3 2 3" xfId="8780" xr:uid="{00000000-0005-0000-0000-000039930000}"/>
    <cellStyle name="常规 9 2 8 3 2 3 2" xfId="21068" xr:uid="{00000000-0005-0000-0000-00003A930000}"/>
    <cellStyle name="常规 9 2 8 3 2 3 2 2" xfId="45644" xr:uid="{00000000-0005-0000-0000-00003B930000}"/>
    <cellStyle name="常规 9 2 8 3 2 3 3" xfId="33356" xr:uid="{00000000-0005-0000-0000-00003C930000}"/>
    <cellStyle name="常规 9 2 8 3 2 4" xfId="14924" xr:uid="{00000000-0005-0000-0000-00003D930000}"/>
    <cellStyle name="常规 9 2 8 3 2 4 2" xfId="39500" xr:uid="{00000000-0005-0000-0000-00003E930000}"/>
    <cellStyle name="常规 9 2 8 3 2 5" xfId="27212" xr:uid="{00000000-0005-0000-0000-00003F930000}"/>
    <cellStyle name="常规 9 2 8 3 3" xfId="4172" xr:uid="{00000000-0005-0000-0000-000040930000}"/>
    <cellStyle name="常规 9 2 8 3 3 2" xfId="10316" xr:uid="{00000000-0005-0000-0000-000041930000}"/>
    <cellStyle name="常规 9 2 8 3 3 2 2" xfId="22604" xr:uid="{00000000-0005-0000-0000-000042930000}"/>
    <cellStyle name="常规 9 2 8 3 3 2 2 2" xfId="47180" xr:uid="{00000000-0005-0000-0000-000043930000}"/>
    <cellStyle name="常规 9 2 8 3 3 2 3" xfId="34892" xr:uid="{00000000-0005-0000-0000-000044930000}"/>
    <cellStyle name="常规 9 2 8 3 3 3" xfId="16460" xr:uid="{00000000-0005-0000-0000-000045930000}"/>
    <cellStyle name="常规 9 2 8 3 3 3 2" xfId="41036" xr:uid="{00000000-0005-0000-0000-000046930000}"/>
    <cellStyle name="常规 9 2 8 3 3 4" xfId="28748" xr:uid="{00000000-0005-0000-0000-000047930000}"/>
    <cellStyle name="常规 9 2 8 3 4" xfId="7244" xr:uid="{00000000-0005-0000-0000-000048930000}"/>
    <cellStyle name="常规 9 2 8 3 4 2" xfId="19532" xr:uid="{00000000-0005-0000-0000-000049930000}"/>
    <cellStyle name="常规 9 2 8 3 4 2 2" xfId="44108" xr:uid="{00000000-0005-0000-0000-00004A930000}"/>
    <cellStyle name="常规 9 2 8 3 4 3" xfId="31820" xr:uid="{00000000-0005-0000-0000-00004B930000}"/>
    <cellStyle name="常规 9 2 8 3 5" xfId="13388" xr:uid="{00000000-0005-0000-0000-00004C930000}"/>
    <cellStyle name="常规 9 2 8 3 5 2" xfId="37964" xr:uid="{00000000-0005-0000-0000-00004D930000}"/>
    <cellStyle name="常规 9 2 8 3 6" xfId="25676" xr:uid="{00000000-0005-0000-0000-00004E930000}"/>
    <cellStyle name="常规 9 2 8 4" xfId="1864" xr:uid="{00000000-0005-0000-0000-00004F930000}"/>
    <cellStyle name="常规 9 2 8 4 2" xfId="4940" xr:uid="{00000000-0005-0000-0000-000050930000}"/>
    <cellStyle name="常规 9 2 8 4 2 2" xfId="11084" xr:uid="{00000000-0005-0000-0000-000051930000}"/>
    <cellStyle name="常规 9 2 8 4 2 2 2" xfId="23372" xr:uid="{00000000-0005-0000-0000-000052930000}"/>
    <cellStyle name="常规 9 2 8 4 2 2 2 2" xfId="47948" xr:uid="{00000000-0005-0000-0000-000053930000}"/>
    <cellStyle name="常规 9 2 8 4 2 2 3" xfId="35660" xr:uid="{00000000-0005-0000-0000-000054930000}"/>
    <cellStyle name="常规 9 2 8 4 2 3" xfId="17228" xr:uid="{00000000-0005-0000-0000-000055930000}"/>
    <cellStyle name="常规 9 2 8 4 2 3 2" xfId="41804" xr:uid="{00000000-0005-0000-0000-000056930000}"/>
    <cellStyle name="常规 9 2 8 4 2 4" xfId="29516" xr:uid="{00000000-0005-0000-0000-000057930000}"/>
    <cellStyle name="常规 9 2 8 4 3" xfId="8012" xr:uid="{00000000-0005-0000-0000-000058930000}"/>
    <cellStyle name="常规 9 2 8 4 3 2" xfId="20300" xr:uid="{00000000-0005-0000-0000-000059930000}"/>
    <cellStyle name="常规 9 2 8 4 3 2 2" xfId="44876" xr:uid="{00000000-0005-0000-0000-00005A930000}"/>
    <cellStyle name="常规 9 2 8 4 3 3" xfId="32588" xr:uid="{00000000-0005-0000-0000-00005B930000}"/>
    <cellStyle name="常规 9 2 8 4 4" xfId="14156" xr:uid="{00000000-0005-0000-0000-00005C930000}"/>
    <cellStyle name="常规 9 2 8 4 4 2" xfId="38732" xr:uid="{00000000-0005-0000-0000-00005D930000}"/>
    <cellStyle name="常规 9 2 8 4 5" xfId="26444" xr:uid="{00000000-0005-0000-0000-00005E930000}"/>
    <cellStyle name="常规 9 2 8 5" xfId="3404" xr:uid="{00000000-0005-0000-0000-00005F930000}"/>
    <cellStyle name="常规 9 2 8 5 2" xfId="9548" xr:uid="{00000000-0005-0000-0000-000060930000}"/>
    <cellStyle name="常规 9 2 8 5 2 2" xfId="21836" xr:uid="{00000000-0005-0000-0000-000061930000}"/>
    <cellStyle name="常规 9 2 8 5 2 2 2" xfId="46412" xr:uid="{00000000-0005-0000-0000-000062930000}"/>
    <cellStyle name="常规 9 2 8 5 2 3" xfId="34124" xr:uid="{00000000-0005-0000-0000-000063930000}"/>
    <cellStyle name="常规 9 2 8 5 3" xfId="15692" xr:uid="{00000000-0005-0000-0000-000064930000}"/>
    <cellStyle name="常规 9 2 8 5 3 2" xfId="40268" xr:uid="{00000000-0005-0000-0000-000065930000}"/>
    <cellStyle name="常规 9 2 8 5 4" xfId="27980" xr:uid="{00000000-0005-0000-0000-000066930000}"/>
    <cellStyle name="常规 9 2 8 6" xfId="6476" xr:uid="{00000000-0005-0000-0000-000067930000}"/>
    <cellStyle name="常规 9 2 8 6 2" xfId="18764" xr:uid="{00000000-0005-0000-0000-000068930000}"/>
    <cellStyle name="常规 9 2 8 6 2 2" xfId="43340" xr:uid="{00000000-0005-0000-0000-000069930000}"/>
    <cellStyle name="常规 9 2 8 6 3" xfId="31052" xr:uid="{00000000-0005-0000-0000-00006A930000}"/>
    <cellStyle name="常规 9 2 8 7" xfId="12620" xr:uid="{00000000-0005-0000-0000-00006B930000}"/>
    <cellStyle name="常规 9 2 8 7 2" xfId="37196" xr:uid="{00000000-0005-0000-0000-00006C930000}"/>
    <cellStyle name="常规 9 2 8 8" xfId="24908" xr:uid="{00000000-0005-0000-0000-00006D930000}"/>
    <cellStyle name="常规 9 2 9" xfId="520" xr:uid="{00000000-0005-0000-0000-00006E930000}"/>
    <cellStyle name="常规 9 2 9 2" xfId="1288" xr:uid="{00000000-0005-0000-0000-00006F930000}"/>
    <cellStyle name="常规 9 2 9 2 2" xfId="2824" xr:uid="{00000000-0005-0000-0000-000070930000}"/>
    <cellStyle name="常规 9 2 9 2 2 2" xfId="5900" xr:uid="{00000000-0005-0000-0000-000071930000}"/>
    <cellStyle name="常规 9 2 9 2 2 2 2" xfId="12044" xr:uid="{00000000-0005-0000-0000-000072930000}"/>
    <cellStyle name="常规 9 2 9 2 2 2 2 2" xfId="24332" xr:uid="{00000000-0005-0000-0000-000073930000}"/>
    <cellStyle name="常规 9 2 9 2 2 2 2 2 2" xfId="48908" xr:uid="{00000000-0005-0000-0000-000074930000}"/>
    <cellStyle name="常规 9 2 9 2 2 2 2 3" xfId="36620" xr:uid="{00000000-0005-0000-0000-000075930000}"/>
    <cellStyle name="常规 9 2 9 2 2 2 3" xfId="18188" xr:uid="{00000000-0005-0000-0000-000076930000}"/>
    <cellStyle name="常规 9 2 9 2 2 2 3 2" xfId="42764" xr:uid="{00000000-0005-0000-0000-000077930000}"/>
    <cellStyle name="常规 9 2 9 2 2 2 4" xfId="30476" xr:uid="{00000000-0005-0000-0000-000078930000}"/>
    <cellStyle name="常规 9 2 9 2 2 3" xfId="8972" xr:uid="{00000000-0005-0000-0000-000079930000}"/>
    <cellStyle name="常规 9 2 9 2 2 3 2" xfId="21260" xr:uid="{00000000-0005-0000-0000-00007A930000}"/>
    <cellStyle name="常规 9 2 9 2 2 3 2 2" xfId="45836" xr:uid="{00000000-0005-0000-0000-00007B930000}"/>
    <cellStyle name="常规 9 2 9 2 2 3 3" xfId="33548" xr:uid="{00000000-0005-0000-0000-00007C930000}"/>
    <cellStyle name="常规 9 2 9 2 2 4" xfId="15116" xr:uid="{00000000-0005-0000-0000-00007D930000}"/>
    <cellStyle name="常规 9 2 9 2 2 4 2" xfId="39692" xr:uid="{00000000-0005-0000-0000-00007E930000}"/>
    <cellStyle name="常规 9 2 9 2 2 5" xfId="27404" xr:uid="{00000000-0005-0000-0000-00007F930000}"/>
    <cellStyle name="常规 9 2 9 2 3" xfId="4364" xr:uid="{00000000-0005-0000-0000-000080930000}"/>
    <cellStyle name="常规 9 2 9 2 3 2" xfId="10508" xr:uid="{00000000-0005-0000-0000-000081930000}"/>
    <cellStyle name="常规 9 2 9 2 3 2 2" xfId="22796" xr:uid="{00000000-0005-0000-0000-000082930000}"/>
    <cellStyle name="常规 9 2 9 2 3 2 2 2" xfId="47372" xr:uid="{00000000-0005-0000-0000-000083930000}"/>
    <cellStyle name="常规 9 2 9 2 3 2 3" xfId="35084" xr:uid="{00000000-0005-0000-0000-000084930000}"/>
    <cellStyle name="常规 9 2 9 2 3 3" xfId="16652" xr:uid="{00000000-0005-0000-0000-000085930000}"/>
    <cellStyle name="常规 9 2 9 2 3 3 2" xfId="41228" xr:uid="{00000000-0005-0000-0000-000086930000}"/>
    <cellStyle name="常规 9 2 9 2 3 4" xfId="28940" xr:uid="{00000000-0005-0000-0000-000087930000}"/>
    <cellStyle name="常规 9 2 9 2 4" xfId="7436" xr:uid="{00000000-0005-0000-0000-000088930000}"/>
    <cellStyle name="常规 9 2 9 2 4 2" xfId="19724" xr:uid="{00000000-0005-0000-0000-000089930000}"/>
    <cellStyle name="常规 9 2 9 2 4 2 2" xfId="44300" xr:uid="{00000000-0005-0000-0000-00008A930000}"/>
    <cellStyle name="常规 9 2 9 2 4 3" xfId="32012" xr:uid="{00000000-0005-0000-0000-00008B930000}"/>
    <cellStyle name="常规 9 2 9 2 5" xfId="13580" xr:uid="{00000000-0005-0000-0000-00008C930000}"/>
    <cellStyle name="常规 9 2 9 2 5 2" xfId="38156" xr:uid="{00000000-0005-0000-0000-00008D930000}"/>
    <cellStyle name="常规 9 2 9 2 6" xfId="25868" xr:uid="{00000000-0005-0000-0000-00008E930000}"/>
    <cellStyle name="常规 9 2 9 3" xfId="2056" xr:uid="{00000000-0005-0000-0000-00008F930000}"/>
    <cellStyle name="常规 9 2 9 3 2" xfId="5132" xr:uid="{00000000-0005-0000-0000-000090930000}"/>
    <cellStyle name="常规 9 2 9 3 2 2" xfId="11276" xr:uid="{00000000-0005-0000-0000-000091930000}"/>
    <cellStyle name="常规 9 2 9 3 2 2 2" xfId="23564" xr:uid="{00000000-0005-0000-0000-000092930000}"/>
    <cellStyle name="常规 9 2 9 3 2 2 2 2" xfId="48140" xr:uid="{00000000-0005-0000-0000-000093930000}"/>
    <cellStyle name="常规 9 2 9 3 2 2 3" xfId="35852" xr:uid="{00000000-0005-0000-0000-000094930000}"/>
    <cellStyle name="常规 9 2 9 3 2 3" xfId="17420" xr:uid="{00000000-0005-0000-0000-000095930000}"/>
    <cellStyle name="常规 9 2 9 3 2 3 2" xfId="41996" xr:uid="{00000000-0005-0000-0000-000096930000}"/>
    <cellStyle name="常规 9 2 9 3 2 4" xfId="29708" xr:uid="{00000000-0005-0000-0000-000097930000}"/>
    <cellStyle name="常规 9 2 9 3 3" xfId="8204" xr:uid="{00000000-0005-0000-0000-000098930000}"/>
    <cellStyle name="常规 9 2 9 3 3 2" xfId="20492" xr:uid="{00000000-0005-0000-0000-000099930000}"/>
    <cellStyle name="常规 9 2 9 3 3 2 2" xfId="45068" xr:uid="{00000000-0005-0000-0000-00009A930000}"/>
    <cellStyle name="常规 9 2 9 3 3 3" xfId="32780" xr:uid="{00000000-0005-0000-0000-00009B930000}"/>
    <cellStyle name="常规 9 2 9 3 4" xfId="14348" xr:uid="{00000000-0005-0000-0000-00009C930000}"/>
    <cellStyle name="常规 9 2 9 3 4 2" xfId="38924" xr:uid="{00000000-0005-0000-0000-00009D930000}"/>
    <cellStyle name="常规 9 2 9 3 5" xfId="26636" xr:uid="{00000000-0005-0000-0000-00009E930000}"/>
    <cellStyle name="常规 9 2 9 4" xfId="3596" xr:uid="{00000000-0005-0000-0000-00009F930000}"/>
    <cellStyle name="常规 9 2 9 4 2" xfId="9740" xr:uid="{00000000-0005-0000-0000-0000A0930000}"/>
    <cellStyle name="常规 9 2 9 4 2 2" xfId="22028" xr:uid="{00000000-0005-0000-0000-0000A1930000}"/>
    <cellStyle name="常规 9 2 9 4 2 2 2" xfId="46604" xr:uid="{00000000-0005-0000-0000-0000A2930000}"/>
    <cellStyle name="常规 9 2 9 4 2 3" xfId="34316" xr:uid="{00000000-0005-0000-0000-0000A3930000}"/>
    <cellStyle name="常规 9 2 9 4 3" xfId="15884" xr:uid="{00000000-0005-0000-0000-0000A4930000}"/>
    <cellStyle name="常规 9 2 9 4 3 2" xfId="40460" xr:uid="{00000000-0005-0000-0000-0000A5930000}"/>
    <cellStyle name="常规 9 2 9 4 4" xfId="28172" xr:uid="{00000000-0005-0000-0000-0000A6930000}"/>
    <cellStyle name="常规 9 2 9 5" xfId="6668" xr:uid="{00000000-0005-0000-0000-0000A7930000}"/>
    <cellStyle name="常规 9 2 9 5 2" xfId="18956" xr:uid="{00000000-0005-0000-0000-0000A8930000}"/>
    <cellStyle name="常规 9 2 9 5 2 2" xfId="43532" xr:uid="{00000000-0005-0000-0000-0000A9930000}"/>
    <cellStyle name="常规 9 2 9 5 3" xfId="31244" xr:uid="{00000000-0005-0000-0000-0000AA930000}"/>
    <cellStyle name="常规 9 2 9 6" xfId="12812" xr:uid="{00000000-0005-0000-0000-0000AB930000}"/>
    <cellStyle name="常规 9 2 9 6 2" xfId="37388" xr:uid="{00000000-0005-0000-0000-0000AC930000}"/>
    <cellStyle name="常规 9 2 9 7" xfId="25100" xr:uid="{00000000-0005-0000-0000-0000AD930000}"/>
    <cellStyle name="常规 9 3" xfId="97" xr:uid="{00000000-0005-0000-0000-0000AE930000}"/>
    <cellStyle name="常规 9 3 10" xfId="1674" xr:uid="{00000000-0005-0000-0000-0000AF930000}"/>
    <cellStyle name="常规 9 3 10 2" xfId="4750" xr:uid="{00000000-0005-0000-0000-0000B0930000}"/>
    <cellStyle name="常规 9 3 10 2 2" xfId="10894" xr:uid="{00000000-0005-0000-0000-0000B1930000}"/>
    <cellStyle name="常规 9 3 10 2 2 2" xfId="23182" xr:uid="{00000000-0005-0000-0000-0000B2930000}"/>
    <cellStyle name="常规 9 3 10 2 2 2 2" xfId="47758" xr:uid="{00000000-0005-0000-0000-0000B3930000}"/>
    <cellStyle name="常规 9 3 10 2 2 3" xfId="35470" xr:uid="{00000000-0005-0000-0000-0000B4930000}"/>
    <cellStyle name="常规 9 3 10 2 3" xfId="17038" xr:uid="{00000000-0005-0000-0000-0000B5930000}"/>
    <cellStyle name="常规 9 3 10 2 3 2" xfId="41614" xr:uid="{00000000-0005-0000-0000-0000B6930000}"/>
    <cellStyle name="常规 9 3 10 2 4" xfId="29326" xr:uid="{00000000-0005-0000-0000-0000B7930000}"/>
    <cellStyle name="常规 9 3 10 3" xfId="7822" xr:uid="{00000000-0005-0000-0000-0000B8930000}"/>
    <cellStyle name="常规 9 3 10 3 2" xfId="20110" xr:uid="{00000000-0005-0000-0000-0000B9930000}"/>
    <cellStyle name="常规 9 3 10 3 2 2" xfId="44686" xr:uid="{00000000-0005-0000-0000-0000BA930000}"/>
    <cellStyle name="常规 9 3 10 3 3" xfId="32398" xr:uid="{00000000-0005-0000-0000-0000BB930000}"/>
    <cellStyle name="常规 9 3 10 4" xfId="13966" xr:uid="{00000000-0005-0000-0000-0000BC930000}"/>
    <cellStyle name="常规 9 3 10 4 2" xfId="38542" xr:uid="{00000000-0005-0000-0000-0000BD930000}"/>
    <cellStyle name="常规 9 3 10 5" xfId="26254" xr:uid="{00000000-0005-0000-0000-0000BE930000}"/>
    <cellStyle name="常规 9 3 11" xfId="3214" xr:uid="{00000000-0005-0000-0000-0000BF930000}"/>
    <cellStyle name="常规 9 3 11 2" xfId="9358" xr:uid="{00000000-0005-0000-0000-0000C0930000}"/>
    <cellStyle name="常规 9 3 11 2 2" xfId="21646" xr:uid="{00000000-0005-0000-0000-0000C1930000}"/>
    <cellStyle name="常规 9 3 11 2 2 2" xfId="46222" xr:uid="{00000000-0005-0000-0000-0000C2930000}"/>
    <cellStyle name="常规 9 3 11 2 3" xfId="33934" xr:uid="{00000000-0005-0000-0000-0000C3930000}"/>
    <cellStyle name="常规 9 3 11 3" xfId="15502" xr:uid="{00000000-0005-0000-0000-0000C4930000}"/>
    <cellStyle name="常规 9 3 11 3 2" xfId="40078" xr:uid="{00000000-0005-0000-0000-0000C5930000}"/>
    <cellStyle name="常规 9 3 11 4" xfId="27790" xr:uid="{00000000-0005-0000-0000-0000C6930000}"/>
    <cellStyle name="常规 9 3 12" xfId="6286" xr:uid="{00000000-0005-0000-0000-0000C7930000}"/>
    <cellStyle name="常规 9 3 12 2" xfId="18574" xr:uid="{00000000-0005-0000-0000-0000C8930000}"/>
    <cellStyle name="常规 9 3 12 2 2" xfId="43150" xr:uid="{00000000-0005-0000-0000-0000C9930000}"/>
    <cellStyle name="常规 9 3 12 3" xfId="30862" xr:uid="{00000000-0005-0000-0000-0000CA930000}"/>
    <cellStyle name="常规 9 3 13" xfId="12430" xr:uid="{00000000-0005-0000-0000-0000CB930000}"/>
    <cellStyle name="常规 9 3 13 2" xfId="37006" xr:uid="{00000000-0005-0000-0000-0000CC930000}"/>
    <cellStyle name="常规 9 3 14" xfId="24718" xr:uid="{00000000-0005-0000-0000-0000CD930000}"/>
    <cellStyle name="常规 9 3 2" xfId="105" xr:uid="{00000000-0005-0000-0000-0000CE930000}"/>
    <cellStyle name="常规 9 3 2 10" xfId="3222" xr:uid="{00000000-0005-0000-0000-0000CF930000}"/>
    <cellStyle name="常规 9 3 2 10 2" xfId="9366" xr:uid="{00000000-0005-0000-0000-0000D0930000}"/>
    <cellStyle name="常规 9 3 2 10 2 2" xfId="21654" xr:uid="{00000000-0005-0000-0000-0000D1930000}"/>
    <cellStyle name="常规 9 3 2 10 2 2 2" xfId="46230" xr:uid="{00000000-0005-0000-0000-0000D2930000}"/>
    <cellStyle name="常规 9 3 2 10 2 3" xfId="33942" xr:uid="{00000000-0005-0000-0000-0000D3930000}"/>
    <cellStyle name="常规 9 3 2 10 3" xfId="15510" xr:uid="{00000000-0005-0000-0000-0000D4930000}"/>
    <cellStyle name="常规 9 3 2 10 3 2" xfId="40086" xr:uid="{00000000-0005-0000-0000-0000D5930000}"/>
    <cellStyle name="常规 9 3 2 10 4" xfId="27798" xr:uid="{00000000-0005-0000-0000-0000D6930000}"/>
    <cellStyle name="常规 9 3 2 11" xfId="6294" xr:uid="{00000000-0005-0000-0000-0000D7930000}"/>
    <cellStyle name="常规 9 3 2 11 2" xfId="18582" xr:uid="{00000000-0005-0000-0000-0000D8930000}"/>
    <cellStyle name="常规 9 3 2 11 2 2" xfId="43158" xr:uid="{00000000-0005-0000-0000-0000D9930000}"/>
    <cellStyle name="常规 9 3 2 11 3" xfId="30870" xr:uid="{00000000-0005-0000-0000-0000DA930000}"/>
    <cellStyle name="常规 9 3 2 12" xfId="12438" xr:uid="{00000000-0005-0000-0000-0000DB930000}"/>
    <cellStyle name="常规 9 3 2 12 2" xfId="37014" xr:uid="{00000000-0005-0000-0000-0000DC930000}"/>
    <cellStyle name="常规 9 3 2 13" xfId="24726" xr:uid="{00000000-0005-0000-0000-0000DD930000}"/>
    <cellStyle name="常规 9 3 2 2" xfId="121" xr:uid="{00000000-0005-0000-0000-0000DE930000}"/>
    <cellStyle name="常规 9 3 2 2 10" xfId="6310" xr:uid="{00000000-0005-0000-0000-0000DF930000}"/>
    <cellStyle name="常规 9 3 2 2 10 2" xfId="18598" xr:uid="{00000000-0005-0000-0000-0000E0930000}"/>
    <cellStyle name="常规 9 3 2 2 10 2 2" xfId="43174" xr:uid="{00000000-0005-0000-0000-0000E1930000}"/>
    <cellStyle name="常规 9 3 2 2 10 3" xfId="30886" xr:uid="{00000000-0005-0000-0000-0000E2930000}"/>
    <cellStyle name="常规 9 3 2 2 11" xfId="12454" xr:uid="{00000000-0005-0000-0000-0000E3930000}"/>
    <cellStyle name="常规 9 3 2 2 11 2" xfId="37030" xr:uid="{00000000-0005-0000-0000-0000E4930000}"/>
    <cellStyle name="常规 9 3 2 2 12" xfId="24742" xr:uid="{00000000-0005-0000-0000-0000E5930000}"/>
    <cellStyle name="常规 9 3 2 2 2" xfId="193" xr:uid="{00000000-0005-0000-0000-0000E6930000}"/>
    <cellStyle name="常规 9 3 2 2 2 10" xfId="12486" xr:uid="{00000000-0005-0000-0000-0000E7930000}"/>
    <cellStyle name="常规 9 3 2 2 2 10 2" xfId="37062" xr:uid="{00000000-0005-0000-0000-0000E8930000}"/>
    <cellStyle name="常规 9 3 2 2 2 11" xfId="24774" xr:uid="{00000000-0005-0000-0000-0000E9930000}"/>
    <cellStyle name="常规 9 3 2 2 2 2" xfId="258" xr:uid="{00000000-0005-0000-0000-0000EA930000}"/>
    <cellStyle name="常规 9 3 2 2 2 2 2" xfId="450" xr:uid="{00000000-0005-0000-0000-0000EB930000}"/>
    <cellStyle name="常规 9 3 2 2 2 2 2 2" xfId="834" xr:uid="{00000000-0005-0000-0000-0000EC930000}"/>
    <cellStyle name="常规 9 3 2 2 2 2 2 2 2" xfId="1602" xr:uid="{00000000-0005-0000-0000-0000ED930000}"/>
    <cellStyle name="常规 9 3 2 2 2 2 2 2 2 2" xfId="3138" xr:uid="{00000000-0005-0000-0000-0000EE930000}"/>
    <cellStyle name="常规 9 3 2 2 2 2 2 2 2 2 2" xfId="6214" xr:uid="{00000000-0005-0000-0000-0000EF930000}"/>
    <cellStyle name="常规 9 3 2 2 2 2 2 2 2 2 2 2" xfId="12358" xr:uid="{00000000-0005-0000-0000-0000F0930000}"/>
    <cellStyle name="常规 9 3 2 2 2 2 2 2 2 2 2 2 2" xfId="24646" xr:uid="{00000000-0005-0000-0000-0000F1930000}"/>
    <cellStyle name="常规 9 3 2 2 2 2 2 2 2 2 2 2 2 2" xfId="49222" xr:uid="{00000000-0005-0000-0000-0000F2930000}"/>
    <cellStyle name="常规 9 3 2 2 2 2 2 2 2 2 2 2 3" xfId="36934" xr:uid="{00000000-0005-0000-0000-0000F3930000}"/>
    <cellStyle name="常规 9 3 2 2 2 2 2 2 2 2 2 3" xfId="18502" xr:uid="{00000000-0005-0000-0000-0000F4930000}"/>
    <cellStyle name="常规 9 3 2 2 2 2 2 2 2 2 2 3 2" xfId="43078" xr:uid="{00000000-0005-0000-0000-0000F5930000}"/>
    <cellStyle name="常规 9 3 2 2 2 2 2 2 2 2 2 4" xfId="30790" xr:uid="{00000000-0005-0000-0000-0000F6930000}"/>
    <cellStyle name="常规 9 3 2 2 2 2 2 2 2 2 3" xfId="9286" xr:uid="{00000000-0005-0000-0000-0000F7930000}"/>
    <cellStyle name="常规 9 3 2 2 2 2 2 2 2 2 3 2" xfId="21574" xr:uid="{00000000-0005-0000-0000-0000F8930000}"/>
    <cellStyle name="常规 9 3 2 2 2 2 2 2 2 2 3 2 2" xfId="46150" xr:uid="{00000000-0005-0000-0000-0000F9930000}"/>
    <cellStyle name="常规 9 3 2 2 2 2 2 2 2 2 3 3" xfId="33862" xr:uid="{00000000-0005-0000-0000-0000FA930000}"/>
    <cellStyle name="常规 9 3 2 2 2 2 2 2 2 2 4" xfId="15430" xr:uid="{00000000-0005-0000-0000-0000FB930000}"/>
    <cellStyle name="常规 9 3 2 2 2 2 2 2 2 2 4 2" xfId="40006" xr:uid="{00000000-0005-0000-0000-0000FC930000}"/>
    <cellStyle name="常规 9 3 2 2 2 2 2 2 2 2 5" xfId="27718" xr:uid="{00000000-0005-0000-0000-0000FD930000}"/>
    <cellStyle name="常规 9 3 2 2 2 2 2 2 2 3" xfId="4678" xr:uid="{00000000-0005-0000-0000-0000FE930000}"/>
    <cellStyle name="常规 9 3 2 2 2 2 2 2 2 3 2" xfId="10822" xr:uid="{00000000-0005-0000-0000-0000FF930000}"/>
    <cellStyle name="常规 9 3 2 2 2 2 2 2 2 3 2 2" xfId="23110" xr:uid="{00000000-0005-0000-0000-000000940000}"/>
    <cellStyle name="常规 9 3 2 2 2 2 2 2 2 3 2 2 2" xfId="47686" xr:uid="{00000000-0005-0000-0000-000001940000}"/>
    <cellStyle name="常规 9 3 2 2 2 2 2 2 2 3 2 3" xfId="35398" xr:uid="{00000000-0005-0000-0000-000002940000}"/>
    <cellStyle name="常规 9 3 2 2 2 2 2 2 2 3 3" xfId="16966" xr:uid="{00000000-0005-0000-0000-000003940000}"/>
    <cellStyle name="常规 9 3 2 2 2 2 2 2 2 3 3 2" xfId="41542" xr:uid="{00000000-0005-0000-0000-000004940000}"/>
    <cellStyle name="常规 9 3 2 2 2 2 2 2 2 3 4" xfId="29254" xr:uid="{00000000-0005-0000-0000-000005940000}"/>
    <cellStyle name="常规 9 3 2 2 2 2 2 2 2 4" xfId="7750" xr:uid="{00000000-0005-0000-0000-000006940000}"/>
    <cellStyle name="常规 9 3 2 2 2 2 2 2 2 4 2" xfId="20038" xr:uid="{00000000-0005-0000-0000-000007940000}"/>
    <cellStyle name="常规 9 3 2 2 2 2 2 2 2 4 2 2" xfId="44614" xr:uid="{00000000-0005-0000-0000-000008940000}"/>
    <cellStyle name="常规 9 3 2 2 2 2 2 2 2 4 3" xfId="32326" xr:uid="{00000000-0005-0000-0000-000009940000}"/>
    <cellStyle name="常规 9 3 2 2 2 2 2 2 2 5" xfId="13894" xr:uid="{00000000-0005-0000-0000-00000A940000}"/>
    <cellStyle name="常规 9 3 2 2 2 2 2 2 2 5 2" xfId="38470" xr:uid="{00000000-0005-0000-0000-00000B940000}"/>
    <cellStyle name="常规 9 3 2 2 2 2 2 2 2 6" xfId="26182" xr:uid="{00000000-0005-0000-0000-00000C940000}"/>
    <cellStyle name="常规 9 3 2 2 2 2 2 2 3" xfId="2370" xr:uid="{00000000-0005-0000-0000-00000D940000}"/>
    <cellStyle name="常规 9 3 2 2 2 2 2 2 3 2" xfId="5446" xr:uid="{00000000-0005-0000-0000-00000E940000}"/>
    <cellStyle name="常规 9 3 2 2 2 2 2 2 3 2 2" xfId="11590" xr:uid="{00000000-0005-0000-0000-00000F940000}"/>
    <cellStyle name="常规 9 3 2 2 2 2 2 2 3 2 2 2" xfId="23878" xr:uid="{00000000-0005-0000-0000-000010940000}"/>
    <cellStyle name="常规 9 3 2 2 2 2 2 2 3 2 2 2 2" xfId="48454" xr:uid="{00000000-0005-0000-0000-000011940000}"/>
    <cellStyle name="常规 9 3 2 2 2 2 2 2 3 2 2 3" xfId="36166" xr:uid="{00000000-0005-0000-0000-000012940000}"/>
    <cellStyle name="常规 9 3 2 2 2 2 2 2 3 2 3" xfId="17734" xr:uid="{00000000-0005-0000-0000-000013940000}"/>
    <cellStyle name="常规 9 3 2 2 2 2 2 2 3 2 3 2" xfId="42310" xr:uid="{00000000-0005-0000-0000-000014940000}"/>
    <cellStyle name="常规 9 3 2 2 2 2 2 2 3 2 4" xfId="30022" xr:uid="{00000000-0005-0000-0000-000015940000}"/>
    <cellStyle name="常规 9 3 2 2 2 2 2 2 3 3" xfId="8518" xr:uid="{00000000-0005-0000-0000-000016940000}"/>
    <cellStyle name="常规 9 3 2 2 2 2 2 2 3 3 2" xfId="20806" xr:uid="{00000000-0005-0000-0000-000017940000}"/>
    <cellStyle name="常规 9 3 2 2 2 2 2 2 3 3 2 2" xfId="45382" xr:uid="{00000000-0005-0000-0000-000018940000}"/>
    <cellStyle name="常规 9 3 2 2 2 2 2 2 3 3 3" xfId="33094" xr:uid="{00000000-0005-0000-0000-000019940000}"/>
    <cellStyle name="常规 9 3 2 2 2 2 2 2 3 4" xfId="14662" xr:uid="{00000000-0005-0000-0000-00001A940000}"/>
    <cellStyle name="常规 9 3 2 2 2 2 2 2 3 4 2" xfId="39238" xr:uid="{00000000-0005-0000-0000-00001B940000}"/>
    <cellStyle name="常规 9 3 2 2 2 2 2 2 3 5" xfId="26950" xr:uid="{00000000-0005-0000-0000-00001C940000}"/>
    <cellStyle name="常规 9 3 2 2 2 2 2 2 4" xfId="3910" xr:uid="{00000000-0005-0000-0000-00001D940000}"/>
    <cellStyle name="常规 9 3 2 2 2 2 2 2 4 2" xfId="10054" xr:uid="{00000000-0005-0000-0000-00001E940000}"/>
    <cellStyle name="常规 9 3 2 2 2 2 2 2 4 2 2" xfId="22342" xr:uid="{00000000-0005-0000-0000-00001F940000}"/>
    <cellStyle name="常规 9 3 2 2 2 2 2 2 4 2 2 2" xfId="46918" xr:uid="{00000000-0005-0000-0000-000020940000}"/>
    <cellStyle name="常规 9 3 2 2 2 2 2 2 4 2 3" xfId="34630" xr:uid="{00000000-0005-0000-0000-000021940000}"/>
    <cellStyle name="常规 9 3 2 2 2 2 2 2 4 3" xfId="16198" xr:uid="{00000000-0005-0000-0000-000022940000}"/>
    <cellStyle name="常规 9 3 2 2 2 2 2 2 4 3 2" xfId="40774" xr:uid="{00000000-0005-0000-0000-000023940000}"/>
    <cellStyle name="常规 9 3 2 2 2 2 2 2 4 4" xfId="28486" xr:uid="{00000000-0005-0000-0000-000024940000}"/>
    <cellStyle name="常规 9 3 2 2 2 2 2 2 5" xfId="6982" xr:uid="{00000000-0005-0000-0000-000025940000}"/>
    <cellStyle name="常规 9 3 2 2 2 2 2 2 5 2" xfId="19270" xr:uid="{00000000-0005-0000-0000-000026940000}"/>
    <cellStyle name="常规 9 3 2 2 2 2 2 2 5 2 2" xfId="43846" xr:uid="{00000000-0005-0000-0000-000027940000}"/>
    <cellStyle name="常规 9 3 2 2 2 2 2 2 5 3" xfId="31558" xr:uid="{00000000-0005-0000-0000-000028940000}"/>
    <cellStyle name="常规 9 3 2 2 2 2 2 2 6" xfId="13126" xr:uid="{00000000-0005-0000-0000-000029940000}"/>
    <cellStyle name="常规 9 3 2 2 2 2 2 2 6 2" xfId="37702" xr:uid="{00000000-0005-0000-0000-00002A940000}"/>
    <cellStyle name="常规 9 3 2 2 2 2 2 2 7" xfId="25414" xr:uid="{00000000-0005-0000-0000-00002B940000}"/>
    <cellStyle name="常规 9 3 2 2 2 2 2 3" xfId="1218" xr:uid="{00000000-0005-0000-0000-00002C940000}"/>
    <cellStyle name="常规 9 3 2 2 2 2 2 3 2" xfId="2754" xr:uid="{00000000-0005-0000-0000-00002D940000}"/>
    <cellStyle name="常规 9 3 2 2 2 2 2 3 2 2" xfId="5830" xr:uid="{00000000-0005-0000-0000-00002E940000}"/>
    <cellStyle name="常规 9 3 2 2 2 2 2 3 2 2 2" xfId="11974" xr:uid="{00000000-0005-0000-0000-00002F940000}"/>
    <cellStyle name="常规 9 3 2 2 2 2 2 3 2 2 2 2" xfId="24262" xr:uid="{00000000-0005-0000-0000-000030940000}"/>
    <cellStyle name="常规 9 3 2 2 2 2 2 3 2 2 2 2 2" xfId="48838" xr:uid="{00000000-0005-0000-0000-000031940000}"/>
    <cellStyle name="常规 9 3 2 2 2 2 2 3 2 2 2 3" xfId="36550" xr:uid="{00000000-0005-0000-0000-000032940000}"/>
    <cellStyle name="常规 9 3 2 2 2 2 2 3 2 2 3" xfId="18118" xr:uid="{00000000-0005-0000-0000-000033940000}"/>
    <cellStyle name="常规 9 3 2 2 2 2 2 3 2 2 3 2" xfId="42694" xr:uid="{00000000-0005-0000-0000-000034940000}"/>
    <cellStyle name="常规 9 3 2 2 2 2 2 3 2 2 4" xfId="30406" xr:uid="{00000000-0005-0000-0000-000035940000}"/>
    <cellStyle name="常规 9 3 2 2 2 2 2 3 2 3" xfId="8902" xr:uid="{00000000-0005-0000-0000-000036940000}"/>
    <cellStyle name="常规 9 3 2 2 2 2 2 3 2 3 2" xfId="21190" xr:uid="{00000000-0005-0000-0000-000037940000}"/>
    <cellStyle name="常规 9 3 2 2 2 2 2 3 2 3 2 2" xfId="45766" xr:uid="{00000000-0005-0000-0000-000038940000}"/>
    <cellStyle name="常规 9 3 2 2 2 2 2 3 2 3 3" xfId="33478" xr:uid="{00000000-0005-0000-0000-000039940000}"/>
    <cellStyle name="常规 9 3 2 2 2 2 2 3 2 4" xfId="15046" xr:uid="{00000000-0005-0000-0000-00003A940000}"/>
    <cellStyle name="常规 9 3 2 2 2 2 2 3 2 4 2" xfId="39622" xr:uid="{00000000-0005-0000-0000-00003B940000}"/>
    <cellStyle name="常规 9 3 2 2 2 2 2 3 2 5" xfId="27334" xr:uid="{00000000-0005-0000-0000-00003C940000}"/>
    <cellStyle name="常规 9 3 2 2 2 2 2 3 3" xfId="4294" xr:uid="{00000000-0005-0000-0000-00003D940000}"/>
    <cellStyle name="常规 9 3 2 2 2 2 2 3 3 2" xfId="10438" xr:uid="{00000000-0005-0000-0000-00003E940000}"/>
    <cellStyle name="常规 9 3 2 2 2 2 2 3 3 2 2" xfId="22726" xr:uid="{00000000-0005-0000-0000-00003F940000}"/>
    <cellStyle name="常规 9 3 2 2 2 2 2 3 3 2 2 2" xfId="47302" xr:uid="{00000000-0005-0000-0000-000040940000}"/>
    <cellStyle name="常规 9 3 2 2 2 2 2 3 3 2 3" xfId="35014" xr:uid="{00000000-0005-0000-0000-000041940000}"/>
    <cellStyle name="常规 9 3 2 2 2 2 2 3 3 3" xfId="16582" xr:uid="{00000000-0005-0000-0000-000042940000}"/>
    <cellStyle name="常规 9 3 2 2 2 2 2 3 3 3 2" xfId="41158" xr:uid="{00000000-0005-0000-0000-000043940000}"/>
    <cellStyle name="常规 9 3 2 2 2 2 2 3 3 4" xfId="28870" xr:uid="{00000000-0005-0000-0000-000044940000}"/>
    <cellStyle name="常规 9 3 2 2 2 2 2 3 4" xfId="7366" xr:uid="{00000000-0005-0000-0000-000045940000}"/>
    <cellStyle name="常规 9 3 2 2 2 2 2 3 4 2" xfId="19654" xr:uid="{00000000-0005-0000-0000-000046940000}"/>
    <cellStyle name="常规 9 3 2 2 2 2 2 3 4 2 2" xfId="44230" xr:uid="{00000000-0005-0000-0000-000047940000}"/>
    <cellStyle name="常规 9 3 2 2 2 2 2 3 4 3" xfId="31942" xr:uid="{00000000-0005-0000-0000-000048940000}"/>
    <cellStyle name="常规 9 3 2 2 2 2 2 3 5" xfId="13510" xr:uid="{00000000-0005-0000-0000-000049940000}"/>
    <cellStyle name="常规 9 3 2 2 2 2 2 3 5 2" xfId="38086" xr:uid="{00000000-0005-0000-0000-00004A940000}"/>
    <cellStyle name="常规 9 3 2 2 2 2 2 3 6" xfId="25798" xr:uid="{00000000-0005-0000-0000-00004B940000}"/>
    <cellStyle name="常规 9 3 2 2 2 2 2 4" xfId="1986" xr:uid="{00000000-0005-0000-0000-00004C940000}"/>
    <cellStyle name="常规 9 3 2 2 2 2 2 4 2" xfId="5062" xr:uid="{00000000-0005-0000-0000-00004D940000}"/>
    <cellStyle name="常规 9 3 2 2 2 2 2 4 2 2" xfId="11206" xr:uid="{00000000-0005-0000-0000-00004E940000}"/>
    <cellStyle name="常规 9 3 2 2 2 2 2 4 2 2 2" xfId="23494" xr:uid="{00000000-0005-0000-0000-00004F940000}"/>
    <cellStyle name="常规 9 3 2 2 2 2 2 4 2 2 2 2" xfId="48070" xr:uid="{00000000-0005-0000-0000-000050940000}"/>
    <cellStyle name="常规 9 3 2 2 2 2 2 4 2 2 3" xfId="35782" xr:uid="{00000000-0005-0000-0000-000051940000}"/>
    <cellStyle name="常规 9 3 2 2 2 2 2 4 2 3" xfId="17350" xr:uid="{00000000-0005-0000-0000-000052940000}"/>
    <cellStyle name="常规 9 3 2 2 2 2 2 4 2 3 2" xfId="41926" xr:uid="{00000000-0005-0000-0000-000053940000}"/>
    <cellStyle name="常规 9 3 2 2 2 2 2 4 2 4" xfId="29638" xr:uid="{00000000-0005-0000-0000-000054940000}"/>
    <cellStyle name="常规 9 3 2 2 2 2 2 4 3" xfId="8134" xr:uid="{00000000-0005-0000-0000-000055940000}"/>
    <cellStyle name="常规 9 3 2 2 2 2 2 4 3 2" xfId="20422" xr:uid="{00000000-0005-0000-0000-000056940000}"/>
    <cellStyle name="常规 9 3 2 2 2 2 2 4 3 2 2" xfId="44998" xr:uid="{00000000-0005-0000-0000-000057940000}"/>
    <cellStyle name="常规 9 3 2 2 2 2 2 4 3 3" xfId="32710" xr:uid="{00000000-0005-0000-0000-000058940000}"/>
    <cellStyle name="常规 9 3 2 2 2 2 2 4 4" xfId="14278" xr:uid="{00000000-0005-0000-0000-000059940000}"/>
    <cellStyle name="常规 9 3 2 2 2 2 2 4 4 2" xfId="38854" xr:uid="{00000000-0005-0000-0000-00005A940000}"/>
    <cellStyle name="常规 9 3 2 2 2 2 2 4 5" xfId="26566" xr:uid="{00000000-0005-0000-0000-00005B940000}"/>
    <cellStyle name="常规 9 3 2 2 2 2 2 5" xfId="3526" xr:uid="{00000000-0005-0000-0000-00005C940000}"/>
    <cellStyle name="常规 9 3 2 2 2 2 2 5 2" xfId="9670" xr:uid="{00000000-0005-0000-0000-00005D940000}"/>
    <cellStyle name="常规 9 3 2 2 2 2 2 5 2 2" xfId="21958" xr:uid="{00000000-0005-0000-0000-00005E940000}"/>
    <cellStyle name="常规 9 3 2 2 2 2 2 5 2 2 2" xfId="46534" xr:uid="{00000000-0005-0000-0000-00005F940000}"/>
    <cellStyle name="常规 9 3 2 2 2 2 2 5 2 3" xfId="34246" xr:uid="{00000000-0005-0000-0000-000060940000}"/>
    <cellStyle name="常规 9 3 2 2 2 2 2 5 3" xfId="15814" xr:uid="{00000000-0005-0000-0000-000061940000}"/>
    <cellStyle name="常规 9 3 2 2 2 2 2 5 3 2" xfId="40390" xr:uid="{00000000-0005-0000-0000-000062940000}"/>
    <cellStyle name="常规 9 3 2 2 2 2 2 5 4" xfId="28102" xr:uid="{00000000-0005-0000-0000-000063940000}"/>
    <cellStyle name="常规 9 3 2 2 2 2 2 6" xfId="6598" xr:uid="{00000000-0005-0000-0000-000064940000}"/>
    <cellStyle name="常规 9 3 2 2 2 2 2 6 2" xfId="18886" xr:uid="{00000000-0005-0000-0000-000065940000}"/>
    <cellStyle name="常规 9 3 2 2 2 2 2 6 2 2" xfId="43462" xr:uid="{00000000-0005-0000-0000-000066940000}"/>
    <cellStyle name="常规 9 3 2 2 2 2 2 6 3" xfId="31174" xr:uid="{00000000-0005-0000-0000-000067940000}"/>
    <cellStyle name="常规 9 3 2 2 2 2 2 7" xfId="12742" xr:uid="{00000000-0005-0000-0000-000068940000}"/>
    <cellStyle name="常规 9 3 2 2 2 2 2 7 2" xfId="37318" xr:uid="{00000000-0005-0000-0000-000069940000}"/>
    <cellStyle name="常规 9 3 2 2 2 2 2 8" xfId="25030" xr:uid="{00000000-0005-0000-0000-00006A940000}"/>
    <cellStyle name="常规 9 3 2 2 2 2 3" xfId="642" xr:uid="{00000000-0005-0000-0000-00006B940000}"/>
    <cellStyle name="常规 9 3 2 2 2 2 3 2" xfId="1410" xr:uid="{00000000-0005-0000-0000-00006C940000}"/>
    <cellStyle name="常规 9 3 2 2 2 2 3 2 2" xfId="2946" xr:uid="{00000000-0005-0000-0000-00006D940000}"/>
    <cellStyle name="常规 9 3 2 2 2 2 3 2 2 2" xfId="6022" xr:uid="{00000000-0005-0000-0000-00006E940000}"/>
    <cellStyle name="常规 9 3 2 2 2 2 3 2 2 2 2" xfId="12166" xr:uid="{00000000-0005-0000-0000-00006F940000}"/>
    <cellStyle name="常规 9 3 2 2 2 2 3 2 2 2 2 2" xfId="24454" xr:uid="{00000000-0005-0000-0000-000070940000}"/>
    <cellStyle name="常规 9 3 2 2 2 2 3 2 2 2 2 2 2" xfId="49030" xr:uid="{00000000-0005-0000-0000-000071940000}"/>
    <cellStyle name="常规 9 3 2 2 2 2 3 2 2 2 2 3" xfId="36742" xr:uid="{00000000-0005-0000-0000-000072940000}"/>
    <cellStyle name="常规 9 3 2 2 2 2 3 2 2 2 3" xfId="18310" xr:uid="{00000000-0005-0000-0000-000073940000}"/>
    <cellStyle name="常规 9 3 2 2 2 2 3 2 2 2 3 2" xfId="42886" xr:uid="{00000000-0005-0000-0000-000074940000}"/>
    <cellStyle name="常规 9 3 2 2 2 2 3 2 2 2 4" xfId="30598" xr:uid="{00000000-0005-0000-0000-000075940000}"/>
    <cellStyle name="常规 9 3 2 2 2 2 3 2 2 3" xfId="9094" xr:uid="{00000000-0005-0000-0000-000076940000}"/>
    <cellStyle name="常规 9 3 2 2 2 2 3 2 2 3 2" xfId="21382" xr:uid="{00000000-0005-0000-0000-000077940000}"/>
    <cellStyle name="常规 9 3 2 2 2 2 3 2 2 3 2 2" xfId="45958" xr:uid="{00000000-0005-0000-0000-000078940000}"/>
    <cellStyle name="常规 9 3 2 2 2 2 3 2 2 3 3" xfId="33670" xr:uid="{00000000-0005-0000-0000-000079940000}"/>
    <cellStyle name="常规 9 3 2 2 2 2 3 2 2 4" xfId="15238" xr:uid="{00000000-0005-0000-0000-00007A940000}"/>
    <cellStyle name="常规 9 3 2 2 2 2 3 2 2 4 2" xfId="39814" xr:uid="{00000000-0005-0000-0000-00007B940000}"/>
    <cellStyle name="常规 9 3 2 2 2 2 3 2 2 5" xfId="27526" xr:uid="{00000000-0005-0000-0000-00007C940000}"/>
    <cellStyle name="常规 9 3 2 2 2 2 3 2 3" xfId="4486" xr:uid="{00000000-0005-0000-0000-00007D940000}"/>
    <cellStyle name="常规 9 3 2 2 2 2 3 2 3 2" xfId="10630" xr:uid="{00000000-0005-0000-0000-00007E940000}"/>
    <cellStyle name="常规 9 3 2 2 2 2 3 2 3 2 2" xfId="22918" xr:uid="{00000000-0005-0000-0000-00007F940000}"/>
    <cellStyle name="常规 9 3 2 2 2 2 3 2 3 2 2 2" xfId="47494" xr:uid="{00000000-0005-0000-0000-000080940000}"/>
    <cellStyle name="常规 9 3 2 2 2 2 3 2 3 2 3" xfId="35206" xr:uid="{00000000-0005-0000-0000-000081940000}"/>
    <cellStyle name="常规 9 3 2 2 2 2 3 2 3 3" xfId="16774" xr:uid="{00000000-0005-0000-0000-000082940000}"/>
    <cellStyle name="常规 9 3 2 2 2 2 3 2 3 3 2" xfId="41350" xr:uid="{00000000-0005-0000-0000-000083940000}"/>
    <cellStyle name="常规 9 3 2 2 2 2 3 2 3 4" xfId="29062" xr:uid="{00000000-0005-0000-0000-000084940000}"/>
    <cellStyle name="常规 9 3 2 2 2 2 3 2 4" xfId="7558" xr:uid="{00000000-0005-0000-0000-000085940000}"/>
    <cellStyle name="常规 9 3 2 2 2 2 3 2 4 2" xfId="19846" xr:uid="{00000000-0005-0000-0000-000086940000}"/>
    <cellStyle name="常规 9 3 2 2 2 2 3 2 4 2 2" xfId="44422" xr:uid="{00000000-0005-0000-0000-000087940000}"/>
    <cellStyle name="常规 9 3 2 2 2 2 3 2 4 3" xfId="32134" xr:uid="{00000000-0005-0000-0000-000088940000}"/>
    <cellStyle name="常规 9 3 2 2 2 2 3 2 5" xfId="13702" xr:uid="{00000000-0005-0000-0000-000089940000}"/>
    <cellStyle name="常规 9 3 2 2 2 2 3 2 5 2" xfId="38278" xr:uid="{00000000-0005-0000-0000-00008A940000}"/>
    <cellStyle name="常规 9 3 2 2 2 2 3 2 6" xfId="25990" xr:uid="{00000000-0005-0000-0000-00008B940000}"/>
    <cellStyle name="常规 9 3 2 2 2 2 3 3" xfId="2178" xr:uid="{00000000-0005-0000-0000-00008C940000}"/>
    <cellStyle name="常规 9 3 2 2 2 2 3 3 2" xfId="5254" xr:uid="{00000000-0005-0000-0000-00008D940000}"/>
    <cellStyle name="常规 9 3 2 2 2 2 3 3 2 2" xfId="11398" xr:uid="{00000000-0005-0000-0000-00008E940000}"/>
    <cellStyle name="常规 9 3 2 2 2 2 3 3 2 2 2" xfId="23686" xr:uid="{00000000-0005-0000-0000-00008F940000}"/>
    <cellStyle name="常规 9 3 2 2 2 2 3 3 2 2 2 2" xfId="48262" xr:uid="{00000000-0005-0000-0000-000090940000}"/>
    <cellStyle name="常规 9 3 2 2 2 2 3 3 2 2 3" xfId="35974" xr:uid="{00000000-0005-0000-0000-000091940000}"/>
    <cellStyle name="常规 9 3 2 2 2 2 3 3 2 3" xfId="17542" xr:uid="{00000000-0005-0000-0000-000092940000}"/>
    <cellStyle name="常规 9 3 2 2 2 2 3 3 2 3 2" xfId="42118" xr:uid="{00000000-0005-0000-0000-000093940000}"/>
    <cellStyle name="常规 9 3 2 2 2 2 3 3 2 4" xfId="29830" xr:uid="{00000000-0005-0000-0000-000094940000}"/>
    <cellStyle name="常规 9 3 2 2 2 2 3 3 3" xfId="8326" xr:uid="{00000000-0005-0000-0000-000095940000}"/>
    <cellStyle name="常规 9 3 2 2 2 2 3 3 3 2" xfId="20614" xr:uid="{00000000-0005-0000-0000-000096940000}"/>
    <cellStyle name="常规 9 3 2 2 2 2 3 3 3 2 2" xfId="45190" xr:uid="{00000000-0005-0000-0000-000097940000}"/>
    <cellStyle name="常规 9 3 2 2 2 2 3 3 3 3" xfId="32902" xr:uid="{00000000-0005-0000-0000-000098940000}"/>
    <cellStyle name="常规 9 3 2 2 2 2 3 3 4" xfId="14470" xr:uid="{00000000-0005-0000-0000-000099940000}"/>
    <cellStyle name="常规 9 3 2 2 2 2 3 3 4 2" xfId="39046" xr:uid="{00000000-0005-0000-0000-00009A940000}"/>
    <cellStyle name="常规 9 3 2 2 2 2 3 3 5" xfId="26758" xr:uid="{00000000-0005-0000-0000-00009B940000}"/>
    <cellStyle name="常规 9 3 2 2 2 2 3 4" xfId="3718" xr:uid="{00000000-0005-0000-0000-00009C940000}"/>
    <cellStyle name="常规 9 3 2 2 2 2 3 4 2" xfId="9862" xr:uid="{00000000-0005-0000-0000-00009D940000}"/>
    <cellStyle name="常规 9 3 2 2 2 2 3 4 2 2" xfId="22150" xr:uid="{00000000-0005-0000-0000-00009E940000}"/>
    <cellStyle name="常规 9 3 2 2 2 2 3 4 2 2 2" xfId="46726" xr:uid="{00000000-0005-0000-0000-00009F940000}"/>
    <cellStyle name="常规 9 3 2 2 2 2 3 4 2 3" xfId="34438" xr:uid="{00000000-0005-0000-0000-0000A0940000}"/>
    <cellStyle name="常规 9 3 2 2 2 2 3 4 3" xfId="16006" xr:uid="{00000000-0005-0000-0000-0000A1940000}"/>
    <cellStyle name="常规 9 3 2 2 2 2 3 4 3 2" xfId="40582" xr:uid="{00000000-0005-0000-0000-0000A2940000}"/>
    <cellStyle name="常规 9 3 2 2 2 2 3 4 4" xfId="28294" xr:uid="{00000000-0005-0000-0000-0000A3940000}"/>
    <cellStyle name="常规 9 3 2 2 2 2 3 5" xfId="6790" xr:uid="{00000000-0005-0000-0000-0000A4940000}"/>
    <cellStyle name="常规 9 3 2 2 2 2 3 5 2" xfId="19078" xr:uid="{00000000-0005-0000-0000-0000A5940000}"/>
    <cellStyle name="常规 9 3 2 2 2 2 3 5 2 2" xfId="43654" xr:uid="{00000000-0005-0000-0000-0000A6940000}"/>
    <cellStyle name="常规 9 3 2 2 2 2 3 5 3" xfId="31366" xr:uid="{00000000-0005-0000-0000-0000A7940000}"/>
    <cellStyle name="常规 9 3 2 2 2 2 3 6" xfId="12934" xr:uid="{00000000-0005-0000-0000-0000A8940000}"/>
    <cellStyle name="常规 9 3 2 2 2 2 3 6 2" xfId="37510" xr:uid="{00000000-0005-0000-0000-0000A9940000}"/>
    <cellStyle name="常规 9 3 2 2 2 2 3 7" xfId="25222" xr:uid="{00000000-0005-0000-0000-0000AA940000}"/>
    <cellStyle name="常规 9 3 2 2 2 2 4" xfId="1026" xr:uid="{00000000-0005-0000-0000-0000AB940000}"/>
    <cellStyle name="常规 9 3 2 2 2 2 4 2" xfId="2562" xr:uid="{00000000-0005-0000-0000-0000AC940000}"/>
    <cellStyle name="常规 9 3 2 2 2 2 4 2 2" xfId="5638" xr:uid="{00000000-0005-0000-0000-0000AD940000}"/>
    <cellStyle name="常规 9 3 2 2 2 2 4 2 2 2" xfId="11782" xr:uid="{00000000-0005-0000-0000-0000AE940000}"/>
    <cellStyle name="常规 9 3 2 2 2 2 4 2 2 2 2" xfId="24070" xr:uid="{00000000-0005-0000-0000-0000AF940000}"/>
    <cellStyle name="常规 9 3 2 2 2 2 4 2 2 2 2 2" xfId="48646" xr:uid="{00000000-0005-0000-0000-0000B0940000}"/>
    <cellStyle name="常规 9 3 2 2 2 2 4 2 2 2 3" xfId="36358" xr:uid="{00000000-0005-0000-0000-0000B1940000}"/>
    <cellStyle name="常规 9 3 2 2 2 2 4 2 2 3" xfId="17926" xr:uid="{00000000-0005-0000-0000-0000B2940000}"/>
    <cellStyle name="常规 9 3 2 2 2 2 4 2 2 3 2" xfId="42502" xr:uid="{00000000-0005-0000-0000-0000B3940000}"/>
    <cellStyle name="常规 9 3 2 2 2 2 4 2 2 4" xfId="30214" xr:uid="{00000000-0005-0000-0000-0000B4940000}"/>
    <cellStyle name="常规 9 3 2 2 2 2 4 2 3" xfId="8710" xr:uid="{00000000-0005-0000-0000-0000B5940000}"/>
    <cellStyle name="常规 9 3 2 2 2 2 4 2 3 2" xfId="20998" xr:uid="{00000000-0005-0000-0000-0000B6940000}"/>
    <cellStyle name="常规 9 3 2 2 2 2 4 2 3 2 2" xfId="45574" xr:uid="{00000000-0005-0000-0000-0000B7940000}"/>
    <cellStyle name="常规 9 3 2 2 2 2 4 2 3 3" xfId="33286" xr:uid="{00000000-0005-0000-0000-0000B8940000}"/>
    <cellStyle name="常规 9 3 2 2 2 2 4 2 4" xfId="14854" xr:uid="{00000000-0005-0000-0000-0000B9940000}"/>
    <cellStyle name="常规 9 3 2 2 2 2 4 2 4 2" xfId="39430" xr:uid="{00000000-0005-0000-0000-0000BA940000}"/>
    <cellStyle name="常规 9 3 2 2 2 2 4 2 5" xfId="27142" xr:uid="{00000000-0005-0000-0000-0000BB940000}"/>
    <cellStyle name="常规 9 3 2 2 2 2 4 3" xfId="4102" xr:uid="{00000000-0005-0000-0000-0000BC940000}"/>
    <cellStyle name="常规 9 3 2 2 2 2 4 3 2" xfId="10246" xr:uid="{00000000-0005-0000-0000-0000BD940000}"/>
    <cellStyle name="常规 9 3 2 2 2 2 4 3 2 2" xfId="22534" xr:uid="{00000000-0005-0000-0000-0000BE940000}"/>
    <cellStyle name="常规 9 3 2 2 2 2 4 3 2 2 2" xfId="47110" xr:uid="{00000000-0005-0000-0000-0000BF940000}"/>
    <cellStyle name="常规 9 3 2 2 2 2 4 3 2 3" xfId="34822" xr:uid="{00000000-0005-0000-0000-0000C0940000}"/>
    <cellStyle name="常规 9 3 2 2 2 2 4 3 3" xfId="16390" xr:uid="{00000000-0005-0000-0000-0000C1940000}"/>
    <cellStyle name="常规 9 3 2 2 2 2 4 3 3 2" xfId="40966" xr:uid="{00000000-0005-0000-0000-0000C2940000}"/>
    <cellStyle name="常规 9 3 2 2 2 2 4 3 4" xfId="28678" xr:uid="{00000000-0005-0000-0000-0000C3940000}"/>
    <cellStyle name="常规 9 3 2 2 2 2 4 4" xfId="7174" xr:uid="{00000000-0005-0000-0000-0000C4940000}"/>
    <cellStyle name="常规 9 3 2 2 2 2 4 4 2" xfId="19462" xr:uid="{00000000-0005-0000-0000-0000C5940000}"/>
    <cellStyle name="常规 9 3 2 2 2 2 4 4 2 2" xfId="44038" xr:uid="{00000000-0005-0000-0000-0000C6940000}"/>
    <cellStyle name="常规 9 3 2 2 2 2 4 4 3" xfId="31750" xr:uid="{00000000-0005-0000-0000-0000C7940000}"/>
    <cellStyle name="常规 9 3 2 2 2 2 4 5" xfId="13318" xr:uid="{00000000-0005-0000-0000-0000C8940000}"/>
    <cellStyle name="常规 9 3 2 2 2 2 4 5 2" xfId="37894" xr:uid="{00000000-0005-0000-0000-0000C9940000}"/>
    <cellStyle name="常规 9 3 2 2 2 2 4 6" xfId="25606" xr:uid="{00000000-0005-0000-0000-0000CA940000}"/>
    <cellStyle name="常规 9 3 2 2 2 2 5" xfId="1794" xr:uid="{00000000-0005-0000-0000-0000CB940000}"/>
    <cellStyle name="常规 9 3 2 2 2 2 5 2" xfId="4870" xr:uid="{00000000-0005-0000-0000-0000CC940000}"/>
    <cellStyle name="常规 9 3 2 2 2 2 5 2 2" xfId="11014" xr:uid="{00000000-0005-0000-0000-0000CD940000}"/>
    <cellStyle name="常规 9 3 2 2 2 2 5 2 2 2" xfId="23302" xr:uid="{00000000-0005-0000-0000-0000CE940000}"/>
    <cellStyle name="常规 9 3 2 2 2 2 5 2 2 2 2" xfId="47878" xr:uid="{00000000-0005-0000-0000-0000CF940000}"/>
    <cellStyle name="常规 9 3 2 2 2 2 5 2 2 3" xfId="35590" xr:uid="{00000000-0005-0000-0000-0000D0940000}"/>
    <cellStyle name="常规 9 3 2 2 2 2 5 2 3" xfId="17158" xr:uid="{00000000-0005-0000-0000-0000D1940000}"/>
    <cellStyle name="常规 9 3 2 2 2 2 5 2 3 2" xfId="41734" xr:uid="{00000000-0005-0000-0000-0000D2940000}"/>
    <cellStyle name="常规 9 3 2 2 2 2 5 2 4" xfId="29446" xr:uid="{00000000-0005-0000-0000-0000D3940000}"/>
    <cellStyle name="常规 9 3 2 2 2 2 5 3" xfId="7942" xr:uid="{00000000-0005-0000-0000-0000D4940000}"/>
    <cellStyle name="常规 9 3 2 2 2 2 5 3 2" xfId="20230" xr:uid="{00000000-0005-0000-0000-0000D5940000}"/>
    <cellStyle name="常规 9 3 2 2 2 2 5 3 2 2" xfId="44806" xr:uid="{00000000-0005-0000-0000-0000D6940000}"/>
    <cellStyle name="常规 9 3 2 2 2 2 5 3 3" xfId="32518" xr:uid="{00000000-0005-0000-0000-0000D7940000}"/>
    <cellStyle name="常规 9 3 2 2 2 2 5 4" xfId="14086" xr:uid="{00000000-0005-0000-0000-0000D8940000}"/>
    <cellStyle name="常规 9 3 2 2 2 2 5 4 2" xfId="38662" xr:uid="{00000000-0005-0000-0000-0000D9940000}"/>
    <cellStyle name="常规 9 3 2 2 2 2 5 5" xfId="26374" xr:uid="{00000000-0005-0000-0000-0000DA940000}"/>
    <cellStyle name="常规 9 3 2 2 2 2 6" xfId="3334" xr:uid="{00000000-0005-0000-0000-0000DB940000}"/>
    <cellStyle name="常规 9 3 2 2 2 2 6 2" xfId="9478" xr:uid="{00000000-0005-0000-0000-0000DC940000}"/>
    <cellStyle name="常规 9 3 2 2 2 2 6 2 2" xfId="21766" xr:uid="{00000000-0005-0000-0000-0000DD940000}"/>
    <cellStyle name="常规 9 3 2 2 2 2 6 2 2 2" xfId="46342" xr:uid="{00000000-0005-0000-0000-0000DE940000}"/>
    <cellStyle name="常规 9 3 2 2 2 2 6 2 3" xfId="34054" xr:uid="{00000000-0005-0000-0000-0000DF940000}"/>
    <cellStyle name="常规 9 3 2 2 2 2 6 3" xfId="15622" xr:uid="{00000000-0005-0000-0000-0000E0940000}"/>
    <cellStyle name="常规 9 3 2 2 2 2 6 3 2" xfId="40198" xr:uid="{00000000-0005-0000-0000-0000E1940000}"/>
    <cellStyle name="常规 9 3 2 2 2 2 6 4" xfId="27910" xr:uid="{00000000-0005-0000-0000-0000E2940000}"/>
    <cellStyle name="常规 9 3 2 2 2 2 7" xfId="6406" xr:uid="{00000000-0005-0000-0000-0000E3940000}"/>
    <cellStyle name="常规 9 3 2 2 2 2 7 2" xfId="18694" xr:uid="{00000000-0005-0000-0000-0000E4940000}"/>
    <cellStyle name="常规 9 3 2 2 2 2 7 2 2" xfId="43270" xr:uid="{00000000-0005-0000-0000-0000E5940000}"/>
    <cellStyle name="常规 9 3 2 2 2 2 7 3" xfId="30982" xr:uid="{00000000-0005-0000-0000-0000E6940000}"/>
    <cellStyle name="常规 9 3 2 2 2 2 8" xfId="12550" xr:uid="{00000000-0005-0000-0000-0000E7940000}"/>
    <cellStyle name="常规 9 3 2 2 2 2 8 2" xfId="37126" xr:uid="{00000000-0005-0000-0000-0000E8940000}"/>
    <cellStyle name="常规 9 3 2 2 2 2 9" xfId="24838" xr:uid="{00000000-0005-0000-0000-0000E9940000}"/>
    <cellStyle name="常规 9 3 2 2 2 3" xfId="322" xr:uid="{00000000-0005-0000-0000-0000EA940000}"/>
    <cellStyle name="常规 9 3 2 2 2 3 2" xfId="514" xr:uid="{00000000-0005-0000-0000-0000EB940000}"/>
    <cellStyle name="常规 9 3 2 2 2 3 2 2" xfId="898" xr:uid="{00000000-0005-0000-0000-0000EC940000}"/>
    <cellStyle name="常规 9 3 2 2 2 3 2 2 2" xfId="1666" xr:uid="{00000000-0005-0000-0000-0000ED940000}"/>
    <cellStyle name="常规 9 3 2 2 2 3 2 2 2 2" xfId="3202" xr:uid="{00000000-0005-0000-0000-0000EE940000}"/>
    <cellStyle name="常规 9 3 2 2 2 3 2 2 2 2 2" xfId="6278" xr:uid="{00000000-0005-0000-0000-0000EF940000}"/>
    <cellStyle name="常规 9 3 2 2 2 3 2 2 2 2 2 2" xfId="12422" xr:uid="{00000000-0005-0000-0000-0000F0940000}"/>
    <cellStyle name="常规 9 3 2 2 2 3 2 2 2 2 2 2 2" xfId="24710" xr:uid="{00000000-0005-0000-0000-0000F1940000}"/>
    <cellStyle name="常规 9 3 2 2 2 3 2 2 2 2 2 2 2 2" xfId="49286" xr:uid="{00000000-0005-0000-0000-0000F2940000}"/>
    <cellStyle name="常规 9 3 2 2 2 3 2 2 2 2 2 2 3" xfId="36998" xr:uid="{00000000-0005-0000-0000-0000F3940000}"/>
    <cellStyle name="常规 9 3 2 2 2 3 2 2 2 2 2 3" xfId="18566" xr:uid="{00000000-0005-0000-0000-0000F4940000}"/>
    <cellStyle name="常规 9 3 2 2 2 3 2 2 2 2 2 3 2" xfId="43142" xr:uid="{00000000-0005-0000-0000-0000F5940000}"/>
    <cellStyle name="常规 9 3 2 2 2 3 2 2 2 2 2 4" xfId="30854" xr:uid="{00000000-0005-0000-0000-0000F6940000}"/>
    <cellStyle name="常规 9 3 2 2 2 3 2 2 2 2 3" xfId="9350" xr:uid="{00000000-0005-0000-0000-0000F7940000}"/>
    <cellStyle name="常规 9 3 2 2 2 3 2 2 2 2 3 2" xfId="21638" xr:uid="{00000000-0005-0000-0000-0000F8940000}"/>
    <cellStyle name="常规 9 3 2 2 2 3 2 2 2 2 3 2 2" xfId="46214" xr:uid="{00000000-0005-0000-0000-0000F9940000}"/>
    <cellStyle name="常规 9 3 2 2 2 3 2 2 2 2 3 3" xfId="33926" xr:uid="{00000000-0005-0000-0000-0000FA940000}"/>
    <cellStyle name="常规 9 3 2 2 2 3 2 2 2 2 4" xfId="15494" xr:uid="{00000000-0005-0000-0000-0000FB940000}"/>
    <cellStyle name="常规 9 3 2 2 2 3 2 2 2 2 4 2" xfId="40070" xr:uid="{00000000-0005-0000-0000-0000FC940000}"/>
    <cellStyle name="常规 9 3 2 2 2 3 2 2 2 2 5" xfId="27782" xr:uid="{00000000-0005-0000-0000-0000FD940000}"/>
    <cellStyle name="常规 9 3 2 2 2 3 2 2 2 3" xfId="4742" xr:uid="{00000000-0005-0000-0000-0000FE940000}"/>
    <cellStyle name="常规 9 3 2 2 2 3 2 2 2 3 2" xfId="10886" xr:uid="{00000000-0005-0000-0000-0000FF940000}"/>
    <cellStyle name="常规 9 3 2 2 2 3 2 2 2 3 2 2" xfId="23174" xr:uid="{00000000-0005-0000-0000-000000950000}"/>
    <cellStyle name="常规 9 3 2 2 2 3 2 2 2 3 2 2 2" xfId="47750" xr:uid="{00000000-0005-0000-0000-000001950000}"/>
    <cellStyle name="常规 9 3 2 2 2 3 2 2 2 3 2 3" xfId="35462" xr:uid="{00000000-0005-0000-0000-000002950000}"/>
    <cellStyle name="常规 9 3 2 2 2 3 2 2 2 3 3" xfId="17030" xr:uid="{00000000-0005-0000-0000-000003950000}"/>
    <cellStyle name="常规 9 3 2 2 2 3 2 2 2 3 3 2" xfId="41606" xr:uid="{00000000-0005-0000-0000-000004950000}"/>
    <cellStyle name="常规 9 3 2 2 2 3 2 2 2 3 4" xfId="29318" xr:uid="{00000000-0005-0000-0000-000005950000}"/>
    <cellStyle name="常规 9 3 2 2 2 3 2 2 2 4" xfId="7814" xr:uid="{00000000-0005-0000-0000-000006950000}"/>
    <cellStyle name="常规 9 3 2 2 2 3 2 2 2 4 2" xfId="20102" xr:uid="{00000000-0005-0000-0000-000007950000}"/>
    <cellStyle name="常规 9 3 2 2 2 3 2 2 2 4 2 2" xfId="44678" xr:uid="{00000000-0005-0000-0000-000008950000}"/>
    <cellStyle name="常规 9 3 2 2 2 3 2 2 2 4 3" xfId="32390" xr:uid="{00000000-0005-0000-0000-000009950000}"/>
    <cellStyle name="常规 9 3 2 2 2 3 2 2 2 5" xfId="13958" xr:uid="{00000000-0005-0000-0000-00000A950000}"/>
    <cellStyle name="常规 9 3 2 2 2 3 2 2 2 5 2" xfId="38534" xr:uid="{00000000-0005-0000-0000-00000B950000}"/>
    <cellStyle name="常规 9 3 2 2 2 3 2 2 2 6" xfId="26246" xr:uid="{00000000-0005-0000-0000-00000C950000}"/>
    <cellStyle name="常规 9 3 2 2 2 3 2 2 3" xfId="2434" xr:uid="{00000000-0005-0000-0000-00000D950000}"/>
    <cellStyle name="常规 9 3 2 2 2 3 2 2 3 2" xfId="5510" xr:uid="{00000000-0005-0000-0000-00000E950000}"/>
    <cellStyle name="常规 9 3 2 2 2 3 2 2 3 2 2" xfId="11654" xr:uid="{00000000-0005-0000-0000-00000F950000}"/>
    <cellStyle name="常规 9 3 2 2 2 3 2 2 3 2 2 2" xfId="23942" xr:uid="{00000000-0005-0000-0000-000010950000}"/>
    <cellStyle name="常规 9 3 2 2 2 3 2 2 3 2 2 2 2" xfId="48518" xr:uid="{00000000-0005-0000-0000-000011950000}"/>
    <cellStyle name="常规 9 3 2 2 2 3 2 2 3 2 2 3" xfId="36230" xr:uid="{00000000-0005-0000-0000-000012950000}"/>
    <cellStyle name="常规 9 3 2 2 2 3 2 2 3 2 3" xfId="17798" xr:uid="{00000000-0005-0000-0000-000013950000}"/>
    <cellStyle name="常规 9 3 2 2 2 3 2 2 3 2 3 2" xfId="42374" xr:uid="{00000000-0005-0000-0000-000014950000}"/>
    <cellStyle name="常规 9 3 2 2 2 3 2 2 3 2 4" xfId="30086" xr:uid="{00000000-0005-0000-0000-000015950000}"/>
    <cellStyle name="常规 9 3 2 2 2 3 2 2 3 3" xfId="8582" xr:uid="{00000000-0005-0000-0000-000016950000}"/>
    <cellStyle name="常规 9 3 2 2 2 3 2 2 3 3 2" xfId="20870" xr:uid="{00000000-0005-0000-0000-000017950000}"/>
    <cellStyle name="常规 9 3 2 2 2 3 2 2 3 3 2 2" xfId="45446" xr:uid="{00000000-0005-0000-0000-000018950000}"/>
    <cellStyle name="常规 9 3 2 2 2 3 2 2 3 3 3" xfId="33158" xr:uid="{00000000-0005-0000-0000-000019950000}"/>
    <cellStyle name="常规 9 3 2 2 2 3 2 2 3 4" xfId="14726" xr:uid="{00000000-0005-0000-0000-00001A950000}"/>
    <cellStyle name="常规 9 3 2 2 2 3 2 2 3 4 2" xfId="39302" xr:uid="{00000000-0005-0000-0000-00001B950000}"/>
    <cellStyle name="常规 9 3 2 2 2 3 2 2 3 5" xfId="27014" xr:uid="{00000000-0005-0000-0000-00001C950000}"/>
    <cellStyle name="常规 9 3 2 2 2 3 2 2 4" xfId="3974" xr:uid="{00000000-0005-0000-0000-00001D950000}"/>
    <cellStyle name="常规 9 3 2 2 2 3 2 2 4 2" xfId="10118" xr:uid="{00000000-0005-0000-0000-00001E950000}"/>
    <cellStyle name="常规 9 3 2 2 2 3 2 2 4 2 2" xfId="22406" xr:uid="{00000000-0005-0000-0000-00001F950000}"/>
    <cellStyle name="常规 9 3 2 2 2 3 2 2 4 2 2 2" xfId="46982" xr:uid="{00000000-0005-0000-0000-000020950000}"/>
    <cellStyle name="常规 9 3 2 2 2 3 2 2 4 2 3" xfId="34694" xr:uid="{00000000-0005-0000-0000-000021950000}"/>
    <cellStyle name="常规 9 3 2 2 2 3 2 2 4 3" xfId="16262" xr:uid="{00000000-0005-0000-0000-000022950000}"/>
    <cellStyle name="常规 9 3 2 2 2 3 2 2 4 3 2" xfId="40838" xr:uid="{00000000-0005-0000-0000-000023950000}"/>
    <cellStyle name="常规 9 3 2 2 2 3 2 2 4 4" xfId="28550" xr:uid="{00000000-0005-0000-0000-000024950000}"/>
    <cellStyle name="常规 9 3 2 2 2 3 2 2 5" xfId="7046" xr:uid="{00000000-0005-0000-0000-000025950000}"/>
    <cellStyle name="常规 9 3 2 2 2 3 2 2 5 2" xfId="19334" xr:uid="{00000000-0005-0000-0000-000026950000}"/>
    <cellStyle name="常规 9 3 2 2 2 3 2 2 5 2 2" xfId="43910" xr:uid="{00000000-0005-0000-0000-000027950000}"/>
    <cellStyle name="常规 9 3 2 2 2 3 2 2 5 3" xfId="31622" xr:uid="{00000000-0005-0000-0000-000028950000}"/>
    <cellStyle name="常规 9 3 2 2 2 3 2 2 6" xfId="13190" xr:uid="{00000000-0005-0000-0000-000029950000}"/>
    <cellStyle name="常规 9 3 2 2 2 3 2 2 6 2" xfId="37766" xr:uid="{00000000-0005-0000-0000-00002A950000}"/>
    <cellStyle name="常规 9 3 2 2 2 3 2 2 7" xfId="25478" xr:uid="{00000000-0005-0000-0000-00002B950000}"/>
    <cellStyle name="常规 9 3 2 2 2 3 2 3" xfId="1282" xr:uid="{00000000-0005-0000-0000-00002C950000}"/>
    <cellStyle name="常规 9 3 2 2 2 3 2 3 2" xfId="2818" xr:uid="{00000000-0005-0000-0000-00002D950000}"/>
    <cellStyle name="常规 9 3 2 2 2 3 2 3 2 2" xfId="5894" xr:uid="{00000000-0005-0000-0000-00002E950000}"/>
    <cellStyle name="常规 9 3 2 2 2 3 2 3 2 2 2" xfId="12038" xr:uid="{00000000-0005-0000-0000-00002F950000}"/>
    <cellStyle name="常规 9 3 2 2 2 3 2 3 2 2 2 2" xfId="24326" xr:uid="{00000000-0005-0000-0000-000030950000}"/>
    <cellStyle name="常规 9 3 2 2 2 3 2 3 2 2 2 2 2" xfId="48902" xr:uid="{00000000-0005-0000-0000-000031950000}"/>
    <cellStyle name="常规 9 3 2 2 2 3 2 3 2 2 2 3" xfId="36614" xr:uid="{00000000-0005-0000-0000-000032950000}"/>
    <cellStyle name="常规 9 3 2 2 2 3 2 3 2 2 3" xfId="18182" xr:uid="{00000000-0005-0000-0000-000033950000}"/>
    <cellStyle name="常规 9 3 2 2 2 3 2 3 2 2 3 2" xfId="42758" xr:uid="{00000000-0005-0000-0000-000034950000}"/>
    <cellStyle name="常规 9 3 2 2 2 3 2 3 2 2 4" xfId="30470" xr:uid="{00000000-0005-0000-0000-000035950000}"/>
    <cellStyle name="常规 9 3 2 2 2 3 2 3 2 3" xfId="8966" xr:uid="{00000000-0005-0000-0000-000036950000}"/>
    <cellStyle name="常规 9 3 2 2 2 3 2 3 2 3 2" xfId="21254" xr:uid="{00000000-0005-0000-0000-000037950000}"/>
    <cellStyle name="常规 9 3 2 2 2 3 2 3 2 3 2 2" xfId="45830" xr:uid="{00000000-0005-0000-0000-000038950000}"/>
    <cellStyle name="常规 9 3 2 2 2 3 2 3 2 3 3" xfId="33542" xr:uid="{00000000-0005-0000-0000-000039950000}"/>
    <cellStyle name="常规 9 3 2 2 2 3 2 3 2 4" xfId="15110" xr:uid="{00000000-0005-0000-0000-00003A950000}"/>
    <cellStyle name="常规 9 3 2 2 2 3 2 3 2 4 2" xfId="39686" xr:uid="{00000000-0005-0000-0000-00003B950000}"/>
    <cellStyle name="常规 9 3 2 2 2 3 2 3 2 5" xfId="27398" xr:uid="{00000000-0005-0000-0000-00003C950000}"/>
    <cellStyle name="常规 9 3 2 2 2 3 2 3 3" xfId="4358" xr:uid="{00000000-0005-0000-0000-00003D950000}"/>
    <cellStyle name="常规 9 3 2 2 2 3 2 3 3 2" xfId="10502" xr:uid="{00000000-0005-0000-0000-00003E950000}"/>
    <cellStyle name="常规 9 3 2 2 2 3 2 3 3 2 2" xfId="22790" xr:uid="{00000000-0005-0000-0000-00003F950000}"/>
    <cellStyle name="常规 9 3 2 2 2 3 2 3 3 2 2 2" xfId="47366" xr:uid="{00000000-0005-0000-0000-000040950000}"/>
    <cellStyle name="常规 9 3 2 2 2 3 2 3 3 2 3" xfId="35078" xr:uid="{00000000-0005-0000-0000-000041950000}"/>
    <cellStyle name="常规 9 3 2 2 2 3 2 3 3 3" xfId="16646" xr:uid="{00000000-0005-0000-0000-000042950000}"/>
    <cellStyle name="常规 9 3 2 2 2 3 2 3 3 3 2" xfId="41222" xr:uid="{00000000-0005-0000-0000-000043950000}"/>
    <cellStyle name="常规 9 3 2 2 2 3 2 3 3 4" xfId="28934" xr:uid="{00000000-0005-0000-0000-000044950000}"/>
    <cellStyle name="常规 9 3 2 2 2 3 2 3 4" xfId="7430" xr:uid="{00000000-0005-0000-0000-000045950000}"/>
    <cellStyle name="常规 9 3 2 2 2 3 2 3 4 2" xfId="19718" xr:uid="{00000000-0005-0000-0000-000046950000}"/>
    <cellStyle name="常规 9 3 2 2 2 3 2 3 4 2 2" xfId="44294" xr:uid="{00000000-0005-0000-0000-000047950000}"/>
    <cellStyle name="常规 9 3 2 2 2 3 2 3 4 3" xfId="32006" xr:uid="{00000000-0005-0000-0000-000048950000}"/>
    <cellStyle name="常规 9 3 2 2 2 3 2 3 5" xfId="13574" xr:uid="{00000000-0005-0000-0000-000049950000}"/>
    <cellStyle name="常规 9 3 2 2 2 3 2 3 5 2" xfId="38150" xr:uid="{00000000-0005-0000-0000-00004A950000}"/>
    <cellStyle name="常规 9 3 2 2 2 3 2 3 6" xfId="25862" xr:uid="{00000000-0005-0000-0000-00004B950000}"/>
    <cellStyle name="常规 9 3 2 2 2 3 2 4" xfId="2050" xr:uid="{00000000-0005-0000-0000-00004C950000}"/>
    <cellStyle name="常规 9 3 2 2 2 3 2 4 2" xfId="5126" xr:uid="{00000000-0005-0000-0000-00004D950000}"/>
    <cellStyle name="常规 9 3 2 2 2 3 2 4 2 2" xfId="11270" xr:uid="{00000000-0005-0000-0000-00004E950000}"/>
    <cellStyle name="常规 9 3 2 2 2 3 2 4 2 2 2" xfId="23558" xr:uid="{00000000-0005-0000-0000-00004F950000}"/>
    <cellStyle name="常规 9 3 2 2 2 3 2 4 2 2 2 2" xfId="48134" xr:uid="{00000000-0005-0000-0000-000050950000}"/>
    <cellStyle name="常规 9 3 2 2 2 3 2 4 2 2 3" xfId="35846" xr:uid="{00000000-0005-0000-0000-000051950000}"/>
    <cellStyle name="常规 9 3 2 2 2 3 2 4 2 3" xfId="17414" xr:uid="{00000000-0005-0000-0000-000052950000}"/>
    <cellStyle name="常规 9 3 2 2 2 3 2 4 2 3 2" xfId="41990" xr:uid="{00000000-0005-0000-0000-000053950000}"/>
    <cellStyle name="常规 9 3 2 2 2 3 2 4 2 4" xfId="29702" xr:uid="{00000000-0005-0000-0000-000054950000}"/>
    <cellStyle name="常规 9 3 2 2 2 3 2 4 3" xfId="8198" xr:uid="{00000000-0005-0000-0000-000055950000}"/>
    <cellStyle name="常规 9 3 2 2 2 3 2 4 3 2" xfId="20486" xr:uid="{00000000-0005-0000-0000-000056950000}"/>
    <cellStyle name="常规 9 3 2 2 2 3 2 4 3 2 2" xfId="45062" xr:uid="{00000000-0005-0000-0000-000057950000}"/>
    <cellStyle name="常规 9 3 2 2 2 3 2 4 3 3" xfId="32774" xr:uid="{00000000-0005-0000-0000-000058950000}"/>
    <cellStyle name="常规 9 3 2 2 2 3 2 4 4" xfId="14342" xr:uid="{00000000-0005-0000-0000-000059950000}"/>
    <cellStyle name="常规 9 3 2 2 2 3 2 4 4 2" xfId="38918" xr:uid="{00000000-0005-0000-0000-00005A950000}"/>
    <cellStyle name="常规 9 3 2 2 2 3 2 4 5" xfId="26630" xr:uid="{00000000-0005-0000-0000-00005B950000}"/>
    <cellStyle name="常规 9 3 2 2 2 3 2 5" xfId="3590" xr:uid="{00000000-0005-0000-0000-00005C950000}"/>
    <cellStyle name="常规 9 3 2 2 2 3 2 5 2" xfId="9734" xr:uid="{00000000-0005-0000-0000-00005D950000}"/>
    <cellStyle name="常规 9 3 2 2 2 3 2 5 2 2" xfId="22022" xr:uid="{00000000-0005-0000-0000-00005E950000}"/>
    <cellStyle name="常规 9 3 2 2 2 3 2 5 2 2 2" xfId="46598" xr:uid="{00000000-0005-0000-0000-00005F950000}"/>
    <cellStyle name="常规 9 3 2 2 2 3 2 5 2 3" xfId="34310" xr:uid="{00000000-0005-0000-0000-000060950000}"/>
    <cellStyle name="常规 9 3 2 2 2 3 2 5 3" xfId="15878" xr:uid="{00000000-0005-0000-0000-000061950000}"/>
    <cellStyle name="常规 9 3 2 2 2 3 2 5 3 2" xfId="40454" xr:uid="{00000000-0005-0000-0000-000062950000}"/>
    <cellStyle name="常规 9 3 2 2 2 3 2 5 4" xfId="28166" xr:uid="{00000000-0005-0000-0000-000063950000}"/>
    <cellStyle name="常规 9 3 2 2 2 3 2 6" xfId="6662" xr:uid="{00000000-0005-0000-0000-000064950000}"/>
    <cellStyle name="常规 9 3 2 2 2 3 2 6 2" xfId="18950" xr:uid="{00000000-0005-0000-0000-000065950000}"/>
    <cellStyle name="常规 9 3 2 2 2 3 2 6 2 2" xfId="43526" xr:uid="{00000000-0005-0000-0000-000066950000}"/>
    <cellStyle name="常规 9 3 2 2 2 3 2 6 3" xfId="31238" xr:uid="{00000000-0005-0000-0000-000067950000}"/>
    <cellStyle name="常规 9 3 2 2 2 3 2 7" xfId="12806" xr:uid="{00000000-0005-0000-0000-000068950000}"/>
    <cellStyle name="常规 9 3 2 2 2 3 2 7 2" xfId="37382" xr:uid="{00000000-0005-0000-0000-000069950000}"/>
    <cellStyle name="常规 9 3 2 2 2 3 2 8" xfId="25094" xr:uid="{00000000-0005-0000-0000-00006A950000}"/>
    <cellStyle name="常规 9 3 2 2 2 3 3" xfId="706" xr:uid="{00000000-0005-0000-0000-00006B950000}"/>
    <cellStyle name="常规 9 3 2 2 2 3 3 2" xfId="1474" xr:uid="{00000000-0005-0000-0000-00006C950000}"/>
    <cellStyle name="常规 9 3 2 2 2 3 3 2 2" xfId="3010" xr:uid="{00000000-0005-0000-0000-00006D950000}"/>
    <cellStyle name="常规 9 3 2 2 2 3 3 2 2 2" xfId="6086" xr:uid="{00000000-0005-0000-0000-00006E950000}"/>
    <cellStyle name="常规 9 3 2 2 2 3 3 2 2 2 2" xfId="12230" xr:uid="{00000000-0005-0000-0000-00006F950000}"/>
    <cellStyle name="常规 9 3 2 2 2 3 3 2 2 2 2 2" xfId="24518" xr:uid="{00000000-0005-0000-0000-000070950000}"/>
    <cellStyle name="常规 9 3 2 2 2 3 3 2 2 2 2 2 2" xfId="49094" xr:uid="{00000000-0005-0000-0000-000071950000}"/>
    <cellStyle name="常规 9 3 2 2 2 3 3 2 2 2 2 3" xfId="36806" xr:uid="{00000000-0005-0000-0000-000072950000}"/>
    <cellStyle name="常规 9 3 2 2 2 3 3 2 2 2 3" xfId="18374" xr:uid="{00000000-0005-0000-0000-000073950000}"/>
    <cellStyle name="常规 9 3 2 2 2 3 3 2 2 2 3 2" xfId="42950" xr:uid="{00000000-0005-0000-0000-000074950000}"/>
    <cellStyle name="常规 9 3 2 2 2 3 3 2 2 2 4" xfId="30662" xr:uid="{00000000-0005-0000-0000-000075950000}"/>
    <cellStyle name="常规 9 3 2 2 2 3 3 2 2 3" xfId="9158" xr:uid="{00000000-0005-0000-0000-000076950000}"/>
    <cellStyle name="常规 9 3 2 2 2 3 3 2 2 3 2" xfId="21446" xr:uid="{00000000-0005-0000-0000-000077950000}"/>
    <cellStyle name="常规 9 3 2 2 2 3 3 2 2 3 2 2" xfId="46022" xr:uid="{00000000-0005-0000-0000-000078950000}"/>
    <cellStyle name="常规 9 3 2 2 2 3 3 2 2 3 3" xfId="33734" xr:uid="{00000000-0005-0000-0000-000079950000}"/>
    <cellStyle name="常规 9 3 2 2 2 3 3 2 2 4" xfId="15302" xr:uid="{00000000-0005-0000-0000-00007A950000}"/>
    <cellStyle name="常规 9 3 2 2 2 3 3 2 2 4 2" xfId="39878" xr:uid="{00000000-0005-0000-0000-00007B950000}"/>
    <cellStyle name="常规 9 3 2 2 2 3 3 2 2 5" xfId="27590" xr:uid="{00000000-0005-0000-0000-00007C950000}"/>
    <cellStyle name="常规 9 3 2 2 2 3 3 2 3" xfId="4550" xr:uid="{00000000-0005-0000-0000-00007D950000}"/>
    <cellStyle name="常规 9 3 2 2 2 3 3 2 3 2" xfId="10694" xr:uid="{00000000-0005-0000-0000-00007E950000}"/>
    <cellStyle name="常规 9 3 2 2 2 3 3 2 3 2 2" xfId="22982" xr:uid="{00000000-0005-0000-0000-00007F950000}"/>
    <cellStyle name="常规 9 3 2 2 2 3 3 2 3 2 2 2" xfId="47558" xr:uid="{00000000-0005-0000-0000-000080950000}"/>
    <cellStyle name="常规 9 3 2 2 2 3 3 2 3 2 3" xfId="35270" xr:uid="{00000000-0005-0000-0000-000081950000}"/>
    <cellStyle name="常规 9 3 2 2 2 3 3 2 3 3" xfId="16838" xr:uid="{00000000-0005-0000-0000-000082950000}"/>
    <cellStyle name="常规 9 3 2 2 2 3 3 2 3 3 2" xfId="41414" xr:uid="{00000000-0005-0000-0000-000083950000}"/>
    <cellStyle name="常规 9 3 2 2 2 3 3 2 3 4" xfId="29126" xr:uid="{00000000-0005-0000-0000-000084950000}"/>
    <cellStyle name="常规 9 3 2 2 2 3 3 2 4" xfId="7622" xr:uid="{00000000-0005-0000-0000-000085950000}"/>
    <cellStyle name="常规 9 3 2 2 2 3 3 2 4 2" xfId="19910" xr:uid="{00000000-0005-0000-0000-000086950000}"/>
    <cellStyle name="常规 9 3 2 2 2 3 3 2 4 2 2" xfId="44486" xr:uid="{00000000-0005-0000-0000-000087950000}"/>
    <cellStyle name="常规 9 3 2 2 2 3 3 2 4 3" xfId="32198" xr:uid="{00000000-0005-0000-0000-000088950000}"/>
    <cellStyle name="常规 9 3 2 2 2 3 3 2 5" xfId="13766" xr:uid="{00000000-0005-0000-0000-000089950000}"/>
    <cellStyle name="常规 9 3 2 2 2 3 3 2 5 2" xfId="38342" xr:uid="{00000000-0005-0000-0000-00008A950000}"/>
    <cellStyle name="常规 9 3 2 2 2 3 3 2 6" xfId="26054" xr:uid="{00000000-0005-0000-0000-00008B950000}"/>
    <cellStyle name="常规 9 3 2 2 2 3 3 3" xfId="2242" xr:uid="{00000000-0005-0000-0000-00008C950000}"/>
    <cellStyle name="常规 9 3 2 2 2 3 3 3 2" xfId="5318" xr:uid="{00000000-0005-0000-0000-00008D950000}"/>
    <cellStyle name="常规 9 3 2 2 2 3 3 3 2 2" xfId="11462" xr:uid="{00000000-0005-0000-0000-00008E950000}"/>
    <cellStyle name="常规 9 3 2 2 2 3 3 3 2 2 2" xfId="23750" xr:uid="{00000000-0005-0000-0000-00008F950000}"/>
    <cellStyle name="常规 9 3 2 2 2 3 3 3 2 2 2 2" xfId="48326" xr:uid="{00000000-0005-0000-0000-000090950000}"/>
    <cellStyle name="常规 9 3 2 2 2 3 3 3 2 2 3" xfId="36038" xr:uid="{00000000-0005-0000-0000-000091950000}"/>
    <cellStyle name="常规 9 3 2 2 2 3 3 3 2 3" xfId="17606" xr:uid="{00000000-0005-0000-0000-000092950000}"/>
    <cellStyle name="常规 9 3 2 2 2 3 3 3 2 3 2" xfId="42182" xr:uid="{00000000-0005-0000-0000-000093950000}"/>
    <cellStyle name="常规 9 3 2 2 2 3 3 3 2 4" xfId="29894" xr:uid="{00000000-0005-0000-0000-000094950000}"/>
    <cellStyle name="常规 9 3 2 2 2 3 3 3 3" xfId="8390" xr:uid="{00000000-0005-0000-0000-000095950000}"/>
    <cellStyle name="常规 9 3 2 2 2 3 3 3 3 2" xfId="20678" xr:uid="{00000000-0005-0000-0000-000096950000}"/>
    <cellStyle name="常规 9 3 2 2 2 3 3 3 3 2 2" xfId="45254" xr:uid="{00000000-0005-0000-0000-000097950000}"/>
    <cellStyle name="常规 9 3 2 2 2 3 3 3 3 3" xfId="32966" xr:uid="{00000000-0005-0000-0000-000098950000}"/>
    <cellStyle name="常规 9 3 2 2 2 3 3 3 4" xfId="14534" xr:uid="{00000000-0005-0000-0000-000099950000}"/>
    <cellStyle name="常规 9 3 2 2 2 3 3 3 4 2" xfId="39110" xr:uid="{00000000-0005-0000-0000-00009A950000}"/>
    <cellStyle name="常规 9 3 2 2 2 3 3 3 5" xfId="26822" xr:uid="{00000000-0005-0000-0000-00009B950000}"/>
    <cellStyle name="常规 9 3 2 2 2 3 3 4" xfId="3782" xr:uid="{00000000-0005-0000-0000-00009C950000}"/>
    <cellStyle name="常规 9 3 2 2 2 3 3 4 2" xfId="9926" xr:uid="{00000000-0005-0000-0000-00009D950000}"/>
    <cellStyle name="常规 9 3 2 2 2 3 3 4 2 2" xfId="22214" xr:uid="{00000000-0005-0000-0000-00009E950000}"/>
    <cellStyle name="常规 9 3 2 2 2 3 3 4 2 2 2" xfId="46790" xr:uid="{00000000-0005-0000-0000-00009F950000}"/>
    <cellStyle name="常规 9 3 2 2 2 3 3 4 2 3" xfId="34502" xr:uid="{00000000-0005-0000-0000-0000A0950000}"/>
    <cellStyle name="常规 9 3 2 2 2 3 3 4 3" xfId="16070" xr:uid="{00000000-0005-0000-0000-0000A1950000}"/>
    <cellStyle name="常规 9 3 2 2 2 3 3 4 3 2" xfId="40646" xr:uid="{00000000-0005-0000-0000-0000A2950000}"/>
    <cellStyle name="常规 9 3 2 2 2 3 3 4 4" xfId="28358" xr:uid="{00000000-0005-0000-0000-0000A3950000}"/>
    <cellStyle name="常规 9 3 2 2 2 3 3 5" xfId="6854" xr:uid="{00000000-0005-0000-0000-0000A4950000}"/>
    <cellStyle name="常规 9 3 2 2 2 3 3 5 2" xfId="19142" xr:uid="{00000000-0005-0000-0000-0000A5950000}"/>
    <cellStyle name="常规 9 3 2 2 2 3 3 5 2 2" xfId="43718" xr:uid="{00000000-0005-0000-0000-0000A6950000}"/>
    <cellStyle name="常规 9 3 2 2 2 3 3 5 3" xfId="31430" xr:uid="{00000000-0005-0000-0000-0000A7950000}"/>
    <cellStyle name="常规 9 3 2 2 2 3 3 6" xfId="12998" xr:uid="{00000000-0005-0000-0000-0000A8950000}"/>
    <cellStyle name="常规 9 3 2 2 2 3 3 6 2" xfId="37574" xr:uid="{00000000-0005-0000-0000-0000A9950000}"/>
    <cellStyle name="常规 9 3 2 2 2 3 3 7" xfId="25286" xr:uid="{00000000-0005-0000-0000-0000AA950000}"/>
    <cellStyle name="常规 9 3 2 2 2 3 4" xfId="1090" xr:uid="{00000000-0005-0000-0000-0000AB950000}"/>
    <cellStyle name="常规 9 3 2 2 2 3 4 2" xfId="2626" xr:uid="{00000000-0005-0000-0000-0000AC950000}"/>
    <cellStyle name="常规 9 3 2 2 2 3 4 2 2" xfId="5702" xr:uid="{00000000-0005-0000-0000-0000AD950000}"/>
    <cellStyle name="常规 9 3 2 2 2 3 4 2 2 2" xfId="11846" xr:uid="{00000000-0005-0000-0000-0000AE950000}"/>
    <cellStyle name="常规 9 3 2 2 2 3 4 2 2 2 2" xfId="24134" xr:uid="{00000000-0005-0000-0000-0000AF950000}"/>
    <cellStyle name="常规 9 3 2 2 2 3 4 2 2 2 2 2" xfId="48710" xr:uid="{00000000-0005-0000-0000-0000B0950000}"/>
    <cellStyle name="常规 9 3 2 2 2 3 4 2 2 2 3" xfId="36422" xr:uid="{00000000-0005-0000-0000-0000B1950000}"/>
    <cellStyle name="常规 9 3 2 2 2 3 4 2 2 3" xfId="17990" xr:uid="{00000000-0005-0000-0000-0000B2950000}"/>
    <cellStyle name="常规 9 3 2 2 2 3 4 2 2 3 2" xfId="42566" xr:uid="{00000000-0005-0000-0000-0000B3950000}"/>
    <cellStyle name="常规 9 3 2 2 2 3 4 2 2 4" xfId="30278" xr:uid="{00000000-0005-0000-0000-0000B4950000}"/>
    <cellStyle name="常规 9 3 2 2 2 3 4 2 3" xfId="8774" xr:uid="{00000000-0005-0000-0000-0000B5950000}"/>
    <cellStyle name="常规 9 3 2 2 2 3 4 2 3 2" xfId="21062" xr:uid="{00000000-0005-0000-0000-0000B6950000}"/>
    <cellStyle name="常规 9 3 2 2 2 3 4 2 3 2 2" xfId="45638" xr:uid="{00000000-0005-0000-0000-0000B7950000}"/>
    <cellStyle name="常规 9 3 2 2 2 3 4 2 3 3" xfId="33350" xr:uid="{00000000-0005-0000-0000-0000B8950000}"/>
    <cellStyle name="常规 9 3 2 2 2 3 4 2 4" xfId="14918" xr:uid="{00000000-0005-0000-0000-0000B9950000}"/>
    <cellStyle name="常规 9 3 2 2 2 3 4 2 4 2" xfId="39494" xr:uid="{00000000-0005-0000-0000-0000BA950000}"/>
    <cellStyle name="常规 9 3 2 2 2 3 4 2 5" xfId="27206" xr:uid="{00000000-0005-0000-0000-0000BB950000}"/>
    <cellStyle name="常规 9 3 2 2 2 3 4 3" xfId="4166" xr:uid="{00000000-0005-0000-0000-0000BC950000}"/>
    <cellStyle name="常规 9 3 2 2 2 3 4 3 2" xfId="10310" xr:uid="{00000000-0005-0000-0000-0000BD950000}"/>
    <cellStyle name="常规 9 3 2 2 2 3 4 3 2 2" xfId="22598" xr:uid="{00000000-0005-0000-0000-0000BE950000}"/>
    <cellStyle name="常规 9 3 2 2 2 3 4 3 2 2 2" xfId="47174" xr:uid="{00000000-0005-0000-0000-0000BF950000}"/>
    <cellStyle name="常规 9 3 2 2 2 3 4 3 2 3" xfId="34886" xr:uid="{00000000-0005-0000-0000-0000C0950000}"/>
    <cellStyle name="常规 9 3 2 2 2 3 4 3 3" xfId="16454" xr:uid="{00000000-0005-0000-0000-0000C1950000}"/>
    <cellStyle name="常规 9 3 2 2 2 3 4 3 3 2" xfId="41030" xr:uid="{00000000-0005-0000-0000-0000C2950000}"/>
    <cellStyle name="常规 9 3 2 2 2 3 4 3 4" xfId="28742" xr:uid="{00000000-0005-0000-0000-0000C3950000}"/>
    <cellStyle name="常规 9 3 2 2 2 3 4 4" xfId="7238" xr:uid="{00000000-0005-0000-0000-0000C4950000}"/>
    <cellStyle name="常规 9 3 2 2 2 3 4 4 2" xfId="19526" xr:uid="{00000000-0005-0000-0000-0000C5950000}"/>
    <cellStyle name="常规 9 3 2 2 2 3 4 4 2 2" xfId="44102" xr:uid="{00000000-0005-0000-0000-0000C6950000}"/>
    <cellStyle name="常规 9 3 2 2 2 3 4 4 3" xfId="31814" xr:uid="{00000000-0005-0000-0000-0000C7950000}"/>
    <cellStyle name="常规 9 3 2 2 2 3 4 5" xfId="13382" xr:uid="{00000000-0005-0000-0000-0000C8950000}"/>
    <cellStyle name="常规 9 3 2 2 2 3 4 5 2" xfId="37958" xr:uid="{00000000-0005-0000-0000-0000C9950000}"/>
    <cellStyle name="常规 9 3 2 2 2 3 4 6" xfId="25670" xr:uid="{00000000-0005-0000-0000-0000CA950000}"/>
    <cellStyle name="常规 9 3 2 2 2 3 5" xfId="1858" xr:uid="{00000000-0005-0000-0000-0000CB950000}"/>
    <cellStyle name="常规 9 3 2 2 2 3 5 2" xfId="4934" xr:uid="{00000000-0005-0000-0000-0000CC950000}"/>
    <cellStyle name="常规 9 3 2 2 2 3 5 2 2" xfId="11078" xr:uid="{00000000-0005-0000-0000-0000CD950000}"/>
    <cellStyle name="常规 9 3 2 2 2 3 5 2 2 2" xfId="23366" xr:uid="{00000000-0005-0000-0000-0000CE950000}"/>
    <cellStyle name="常规 9 3 2 2 2 3 5 2 2 2 2" xfId="47942" xr:uid="{00000000-0005-0000-0000-0000CF950000}"/>
    <cellStyle name="常规 9 3 2 2 2 3 5 2 2 3" xfId="35654" xr:uid="{00000000-0005-0000-0000-0000D0950000}"/>
    <cellStyle name="常规 9 3 2 2 2 3 5 2 3" xfId="17222" xr:uid="{00000000-0005-0000-0000-0000D1950000}"/>
    <cellStyle name="常规 9 3 2 2 2 3 5 2 3 2" xfId="41798" xr:uid="{00000000-0005-0000-0000-0000D2950000}"/>
    <cellStyle name="常规 9 3 2 2 2 3 5 2 4" xfId="29510" xr:uid="{00000000-0005-0000-0000-0000D3950000}"/>
    <cellStyle name="常规 9 3 2 2 2 3 5 3" xfId="8006" xr:uid="{00000000-0005-0000-0000-0000D4950000}"/>
    <cellStyle name="常规 9 3 2 2 2 3 5 3 2" xfId="20294" xr:uid="{00000000-0005-0000-0000-0000D5950000}"/>
    <cellStyle name="常规 9 3 2 2 2 3 5 3 2 2" xfId="44870" xr:uid="{00000000-0005-0000-0000-0000D6950000}"/>
    <cellStyle name="常规 9 3 2 2 2 3 5 3 3" xfId="32582" xr:uid="{00000000-0005-0000-0000-0000D7950000}"/>
    <cellStyle name="常规 9 3 2 2 2 3 5 4" xfId="14150" xr:uid="{00000000-0005-0000-0000-0000D8950000}"/>
    <cellStyle name="常规 9 3 2 2 2 3 5 4 2" xfId="38726" xr:uid="{00000000-0005-0000-0000-0000D9950000}"/>
    <cellStyle name="常规 9 3 2 2 2 3 5 5" xfId="26438" xr:uid="{00000000-0005-0000-0000-0000DA950000}"/>
    <cellStyle name="常规 9 3 2 2 2 3 6" xfId="3398" xr:uid="{00000000-0005-0000-0000-0000DB950000}"/>
    <cellStyle name="常规 9 3 2 2 2 3 6 2" xfId="9542" xr:uid="{00000000-0005-0000-0000-0000DC950000}"/>
    <cellStyle name="常规 9 3 2 2 2 3 6 2 2" xfId="21830" xr:uid="{00000000-0005-0000-0000-0000DD950000}"/>
    <cellStyle name="常规 9 3 2 2 2 3 6 2 2 2" xfId="46406" xr:uid="{00000000-0005-0000-0000-0000DE950000}"/>
    <cellStyle name="常规 9 3 2 2 2 3 6 2 3" xfId="34118" xr:uid="{00000000-0005-0000-0000-0000DF950000}"/>
    <cellStyle name="常规 9 3 2 2 2 3 6 3" xfId="15686" xr:uid="{00000000-0005-0000-0000-0000E0950000}"/>
    <cellStyle name="常规 9 3 2 2 2 3 6 3 2" xfId="40262" xr:uid="{00000000-0005-0000-0000-0000E1950000}"/>
    <cellStyle name="常规 9 3 2 2 2 3 6 4" xfId="27974" xr:uid="{00000000-0005-0000-0000-0000E2950000}"/>
    <cellStyle name="常规 9 3 2 2 2 3 7" xfId="6470" xr:uid="{00000000-0005-0000-0000-0000E3950000}"/>
    <cellStyle name="常规 9 3 2 2 2 3 7 2" xfId="18758" xr:uid="{00000000-0005-0000-0000-0000E4950000}"/>
    <cellStyle name="常规 9 3 2 2 2 3 7 2 2" xfId="43334" xr:uid="{00000000-0005-0000-0000-0000E5950000}"/>
    <cellStyle name="常规 9 3 2 2 2 3 7 3" xfId="31046" xr:uid="{00000000-0005-0000-0000-0000E6950000}"/>
    <cellStyle name="常规 9 3 2 2 2 3 8" xfId="12614" xr:uid="{00000000-0005-0000-0000-0000E7950000}"/>
    <cellStyle name="常规 9 3 2 2 2 3 8 2" xfId="37190" xr:uid="{00000000-0005-0000-0000-0000E8950000}"/>
    <cellStyle name="常规 9 3 2 2 2 3 9" xfId="24902" xr:uid="{00000000-0005-0000-0000-0000E9950000}"/>
    <cellStyle name="常规 9 3 2 2 2 4" xfId="386" xr:uid="{00000000-0005-0000-0000-0000EA950000}"/>
    <cellStyle name="常规 9 3 2 2 2 4 2" xfId="770" xr:uid="{00000000-0005-0000-0000-0000EB950000}"/>
    <cellStyle name="常规 9 3 2 2 2 4 2 2" xfId="1538" xr:uid="{00000000-0005-0000-0000-0000EC950000}"/>
    <cellStyle name="常规 9 3 2 2 2 4 2 2 2" xfId="3074" xr:uid="{00000000-0005-0000-0000-0000ED950000}"/>
    <cellStyle name="常规 9 3 2 2 2 4 2 2 2 2" xfId="6150" xr:uid="{00000000-0005-0000-0000-0000EE950000}"/>
    <cellStyle name="常规 9 3 2 2 2 4 2 2 2 2 2" xfId="12294" xr:uid="{00000000-0005-0000-0000-0000EF950000}"/>
    <cellStyle name="常规 9 3 2 2 2 4 2 2 2 2 2 2" xfId="24582" xr:uid="{00000000-0005-0000-0000-0000F0950000}"/>
    <cellStyle name="常规 9 3 2 2 2 4 2 2 2 2 2 2 2" xfId="49158" xr:uid="{00000000-0005-0000-0000-0000F1950000}"/>
    <cellStyle name="常规 9 3 2 2 2 4 2 2 2 2 2 3" xfId="36870" xr:uid="{00000000-0005-0000-0000-0000F2950000}"/>
    <cellStyle name="常规 9 3 2 2 2 4 2 2 2 2 3" xfId="18438" xr:uid="{00000000-0005-0000-0000-0000F3950000}"/>
    <cellStyle name="常规 9 3 2 2 2 4 2 2 2 2 3 2" xfId="43014" xr:uid="{00000000-0005-0000-0000-0000F4950000}"/>
    <cellStyle name="常规 9 3 2 2 2 4 2 2 2 2 4" xfId="30726" xr:uid="{00000000-0005-0000-0000-0000F5950000}"/>
    <cellStyle name="常规 9 3 2 2 2 4 2 2 2 3" xfId="9222" xr:uid="{00000000-0005-0000-0000-0000F6950000}"/>
    <cellStyle name="常规 9 3 2 2 2 4 2 2 2 3 2" xfId="21510" xr:uid="{00000000-0005-0000-0000-0000F7950000}"/>
    <cellStyle name="常规 9 3 2 2 2 4 2 2 2 3 2 2" xfId="46086" xr:uid="{00000000-0005-0000-0000-0000F8950000}"/>
    <cellStyle name="常规 9 3 2 2 2 4 2 2 2 3 3" xfId="33798" xr:uid="{00000000-0005-0000-0000-0000F9950000}"/>
    <cellStyle name="常规 9 3 2 2 2 4 2 2 2 4" xfId="15366" xr:uid="{00000000-0005-0000-0000-0000FA950000}"/>
    <cellStyle name="常规 9 3 2 2 2 4 2 2 2 4 2" xfId="39942" xr:uid="{00000000-0005-0000-0000-0000FB950000}"/>
    <cellStyle name="常规 9 3 2 2 2 4 2 2 2 5" xfId="27654" xr:uid="{00000000-0005-0000-0000-0000FC950000}"/>
    <cellStyle name="常规 9 3 2 2 2 4 2 2 3" xfId="4614" xr:uid="{00000000-0005-0000-0000-0000FD950000}"/>
    <cellStyle name="常规 9 3 2 2 2 4 2 2 3 2" xfId="10758" xr:uid="{00000000-0005-0000-0000-0000FE950000}"/>
    <cellStyle name="常规 9 3 2 2 2 4 2 2 3 2 2" xfId="23046" xr:uid="{00000000-0005-0000-0000-0000FF950000}"/>
    <cellStyle name="常规 9 3 2 2 2 4 2 2 3 2 2 2" xfId="47622" xr:uid="{00000000-0005-0000-0000-000000960000}"/>
    <cellStyle name="常规 9 3 2 2 2 4 2 2 3 2 3" xfId="35334" xr:uid="{00000000-0005-0000-0000-000001960000}"/>
    <cellStyle name="常规 9 3 2 2 2 4 2 2 3 3" xfId="16902" xr:uid="{00000000-0005-0000-0000-000002960000}"/>
    <cellStyle name="常规 9 3 2 2 2 4 2 2 3 3 2" xfId="41478" xr:uid="{00000000-0005-0000-0000-000003960000}"/>
    <cellStyle name="常规 9 3 2 2 2 4 2 2 3 4" xfId="29190" xr:uid="{00000000-0005-0000-0000-000004960000}"/>
    <cellStyle name="常规 9 3 2 2 2 4 2 2 4" xfId="7686" xr:uid="{00000000-0005-0000-0000-000005960000}"/>
    <cellStyle name="常规 9 3 2 2 2 4 2 2 4 2" xfId="19974" xr:uid="{00000000-0005-0000-0000-000006960000}"/>
    <cellStyle name="常规 9 3 2 2 2 4 2 2 4 2 2" xfId="44550" xr:uid="{00000000-0005-0000-0000-000007960000}"/>
    <cellStyle name="常规 9 3 2 2 2 4 2 2 4 3" xfId="32262" xr:uid="{00000000-0005-0000-0000-000008960000}"/>
    <cellStyle name="常规 9 3 2 2 2 4 2 2 5" xfId="13830" xr:uid="{00000000-0005-0000-0000-000009960000}"/>
    <cellStyle name="常规 9 3 2 2 2 4 2 2 5 2" xfId="38406" xr:uid="{00000000-0005-0000-0000-00000A960000}"/>
    <cellStyle name="常规 9 3 2 2 2 4 2 2 6" xfId="26118" xr:uid="{00000000-0005-0000-0000-00000B960000}"/>
    <cellStyle name="常规 9 3 2 2 2 4 2 3" xfId="2306" xr:uid="{00000000-0005-0000-0000-00000C960000}"/>
    <cellStyle name="常规 9 3 2 2 2 4 2 3 2" xfId="5382" xr:uid="{00000000-0005-0000-0000-00000D960000}"/>
    <cellStyle name="常规 9 3 2 2 2 4 2 3 2 2" xfId="11526" xr:uid="{00000000-0005-0000-0000-00000E960000}"/>
    <cellStyle name="常规 9 3 2 2 2 4 2 3 2 2 2" xfId="23814" xr:uid="{00000000-0005-0000-0000-00000F960000}"/>
    <cellStyle name="常规 9 3 2 2 2 4 2 3 2 2 2 2" xfId="48390" xr:uid="{00000000-0005-0000-0000-000010960000}"/>
    <cellStyle name="常规 9 3 2 2 2 4 2 3 2 2 3" xfId="36102" xr:uid="{00000000-0005-0000-0000-000011960000}"/>
    <cellStyle name="常规 9 3 2 2 2 4 2 3 2 3" xfId="17670" xr:uid="{00000000-0005-0000-0000-000012960000}"/>
    <cellStyle name="常规 9 3 2 2 2 4 2 3 2 3 2" xfId="42246" xr:uid="{00000000-0005-0000-0000-000013960000}"/>
    <cellStyle name="常规 9 3 2 2 2 4 2 3 2 4" xfId="29958" xr:uid="{00000000-0005-0000-0000-000014960000}"/>
    <cellStyle name="常规 9 3 2 2 2 4 2 3 3" xfId="8454" xr:uid="{00000000-0005-0000-0000-000015960000}"/>
    <cellStyle name="常规 9 3 2 2 2 4 2 3 3 2" xfId="20742" xr:uid="{00000000-0005-0000-0000-000016960000}"/>
    <cellStyle name="常规 9 3 2 2 2 4 2 3 3 2 2" xfId="45318" xr:uid="{00000000-0005-0000-0000-000017960000}"/>
    <cellStyle name="常规 9 3 2 2 2 4 2 3 3 3" xfId="33030" xr:uid="{00000000-0005-0000-0000-000018960000}"/>
    <cellStyle name="常规 9 3 2 2 2 4 2 3 4" xfId="14598" xr:uid="{00000000-0005-0000-0000-000019960000}"/>
    <cellStyle name="常规 9 3 2 2 2 4 2 3 4 2" xfId="39174" xr:uid="{00000000-0005-0000-0000-00001A960000}"/>
    <cellStyle name="常规 9 3 2 2 2 4 2 3 5" xfId="26886" xr:uid="{00000000-0005-0000-0000-00001B960000}"/>
    <cellStyle name="常规 9 3 2 2 2 4 2 4" xfId="3846" xr:uid="{00000000-0005-0000-0000-00001C960000}"/>
    <cellStyle name="常规 9 3 2 2 2 4 2 4 2" xfId="9990" xr:uid="{00000000-0005-0000-0000-00001D960000}"/>
    <cellStyle name="常规 9 3 2 2 2 4 2 4 2 2" xfId="22278" xr:uid="{00000000-0005-0000-0000-00001E960000}"/>
    <cellStyle name="常规 9 3 2 2 2 4 2 4 2 2 2" xfId="46854" xr:uid="{00000000-0005-0000-0000-00001F960000}"/>
    <cellStyle name="常规 9 3 2 2 2 4 2 4 2 3" xfId="34566" xr:uid="{00000000-0005-0000-0000-000020960000}"/>
    <cellStyle name="常规 9 3 2 2 2 4 2 4 3" xfId="16134" xr:uid="{00000000-0005-0000-0000-000021960000}"/>
    <cellStyle name="常规 9 3 2 2 2 4 2 4 3 2" xfId="40710" xr:uid="{00000000-0005-0000-0000-000022960000}"/>
    <cellStyle name="常规 9 3 2 2 2 4 2 4 4" xfId="28422" xr:uid="{00000000-0005-0000-0000-000023960000}"/>
    <cellStyle name="常规 9 3 2 2 2 4 2 5" xfId="6918" xr:uid="{00000000-0005-0000-0000-000024960000}"/>
    <cellStyle name="常规 9 3 2 2 2 4 2 5 2" xfId="19206" xr:uid="{00000000-0005-0000-0000-000025960000}"/>
    <cellStyle name="常规 9 3 2 2 2 4 2 5 2 2" xfId="43782" xr:uid="{00000000-0005-0000-0000-000026960000}"/>
    <cellStyle name="常规 9 3 2 2 2 4 2 5 3" xfId="31494" xr:uid="{00000000-0005-0000-0000-000027960000}"/>
    <cellStyle name="常规 9 3 2 2 2 4 2 6" xfId="13062" xr:uid="{00000000-0005-0000-0000-000028960000}"/>
    <cellStyle name="常规 9 3 2 2 2 4 2 6 2" xfId="37638" xr:uid="{00000000-0005-0000-0000-000029960000}"/>
    <cellStyle name="常规 9 3 2 2 2 4 2 7" xfId="25350" xr:uid="{00000000-0005-0000-0000-00002A960000}"/>
    <cellStyle name="常规 9 3 2 2 2 4 3" xfId="1154" xr:uid="{00000000-0005-0000-0000-00002B960000}"/>
    <cellStyle name="常规 9 3 2 2 2 4 3 2" xfId="2690" xr:uid="{00000000-0005-0000-0000-00002C960000}"/>
    <cellStyle name="常规 9 3 2 2 2 4 3 2 2" xfId="5766" xr:uid="{00000000-0005-0000-0000-00002D960000}"/>
    <cellStyle name="常规 9 3 2 2 2 4 3 2 2 2" xfId="11910" xr:uid="{00000000-0005-0000-0000-00002E960000}"/>
    <cellStyle name="常规 9 3 2 2 2 4 3 2 2 2 2" xfId="24198" xr:uid="{00000000-0005-0000-0000-00002F960000}"/>
    <cellStyle name="常规 9 3 2 2 2 4 3 2 2 2 2 2" xfId="48774" xr:uid="{00000000-0005-0000-0000-000030960000}"/>
    <cellStyle name="常规 9 3 2 2 2 4 3 2 2 2 3" xfId="36486" xr:uid="{00000000-0005-0000-0000-000031960000}"/>
    <cellStyle name="常规 9 3 2 2 2 4 3 2 2 3" xfId="18054" xr:uid="{00000000-0005-0000-0000-000032960000}"/>
    <cellStyle name="常规 9 3 2 2 2 4 3 2 2 3 2" xfId="42630" xr:uid="{00000000-0005-0000-0000-000033960000}"/>
    <cellStyle name="常规 9 3 2 2 2 4 3 2 2 4" xfId="30342" xr:uid="{00000000-0005-0000-0000-000034960000}"/>
    <cellStyle name="常规 9 3 2 2 2 4 3 2 3" xfId="8838" xr:uid="{00000000-0005-0000-0000-000035960000}"/>
    <cellStyle name="常规 9 3 2 2 2 4 3 2 3 2" xfId="21126" xr:uid="{00000000-0005-0000-0000-000036960000}"/>
    <cellStyle name="常规 9 3 2 2 2 4 3 2 3 2 2" xfId="45702" xr:uid="{00000000-0005-0000-0000-000037960000}"/>
    <cellStyle name="常规 9 3 2 2 2 4 3 2 3 3" xfId="33414" xr:uid="{00000000-0005-0000-0000-000038960000}"/>
    <cellStyle name="常规 9 3 2 2 2 4 3 2 4" xfId="14982" xr:uid="{00000000-0005-0000-0000-000039960000}"/>
    <cellStyle name="常规 9 3 2 2 2 4 3 2 4 2" xfId="39558" xr:uid="{00000000-0005-0000-0000-00003A960000}"/>
    <cellStyle name="常规 9 3 2 2 2 4 3 2 5" xfId="27270" xr:uid="{00000000-0005-0000-0000-00003B960000}"/>
    <cellStyle name="常规 9 3 2 2 2 4 3 3" xfId="4230" xr:uid="{00000000-0005-0000-0000-00003C960000}"/>
    <cellStyle name="常规 9 3 2 2 2 4 3 3 2" xfId="10374" xr:uid="{00000000-0005-0000-0000-00003D960000}"/>
    <cellStyle name="常规 9 3 2 2 2 4 3 3 2 2" xfId="22662" xr:uid="{00000000-0005-0000-0000-00003E960000}"/>
    <cellStyle name="常规 9 3 2 2 2 4 3 3 2 2 2" xfId="47238" xr:uid="{00000000-0005-0000-0000-00003F960000}"/>
    <cellStyle name="常规 9 3 2 2 2 4 3 3 2 3" xfId="34950" xr:uid="{00000000-0005-0000-0000-000040960000}"/>
    <cellStyle name="常规 9 3 2 2 2 4 3 3 3" xfId="16518" xr:uid="{00000000-0005-0000-0000-000041960000}"/>
    <cellStyle name="常规 9 3 2 2 2 4 3 3 3 2" xfId="41094" xr:uid="{00000000-0005-0000-0000-000042960000}"/>
    <cellStyle name="常规 9 3 2 2 2 4 3 3 4" xfId="28806" xr:uid="{00000000-0005-0000-0000-000043960000}"/>
    <cellStyle name="常规 9 3 2 2 2 4 3 4" xfId="7302" xr:uid="{00000000-0005-0000-0000-000044960000}"/>
    <cellStyle name="常规 9 3 2 2 2 4 3 4 2" xfId="19590" xr:uid="{00000000-0005-0000-0000-000045960000}"/>
    <cellStyle name="常规 9 3 2 2 2 4 3 4 2 2" xfId="44166" xr:uid="{00000000-0005-0000-0000-000046960000}"/>
    <cellStyle name="常规 9 3 2 2 2 4 3 4 3" xfId="31878" xr:uid="{00000000-0005-0000-0000-000047960000}"/>
    <cellStyle name="常规 9 3 2 2 2 4 3 5" xfId="13446" xr:uid="{00000000-0005-0000-0000-000048960000}"/>
    <cellStyle name="常规 9 3 2 2 2 4 3 5 2" xfId="38022" xr:uid="{00000000-0005-0000-0000-000049960000}"/>
    <cellStyle name="常规 9 3 2 2 2 4 3 6" xfId="25734" xr:uid="{00000000-0005-0000-0000-00004A960000}"/>
    <cellStyle name="常规 9 3 2 2 2 4 4" xfId="1922" xr:uid="{00000000-0005-0000-0000-00004B960000}"/>
    <cellStyle name="常规 9 3 2 2 2 4 4 2" xfId="4998" xr:uid="{00000000-0005-0000-0000-00004C960000}"/>
    <cellStyle name="常规 9 3 2 2 2 4 4 2 2" xfId="11142" xr:uid="{00000000-0005-0000-0000-00004D960000}"/>
    <cellStyle name="常规 9 3 2 2 2 4 4 2 2 2" xfId="23430" xr:uid="{00000000-0005-0000-0000-00004E960000}"/>
    <cellStyle name="常规 9 3 2 2 2 4 4 2 2 2 2" xfId="48006" xr:uid="{00000000-0005-0000-0000-00004F960000}"/>
    <cellStyle name="常规 9 3 2 2 2 4 4 2 2 3" xfId="35718" xr:uid="{00000000-0005-0000-0000-000050960000}"/>
    <cellStyle name="常规 9 3 2 2 2 4 4 2 3" xfId="17286" xr:uid="{00000000-0005-0000-0000-000051960000}"/>
    <cellStyle name="常规 9 3 2 2 2 4 4 2 3 2" xfId="41862" xr:uid="{00000000-0005-0000-0000-000052960000}"/>
    <cellStyle name="常规 9 3 2 2 2 4 4 2 4" xfId="29574" xr:uid="{00000000-0005-0000-0000-000053960000}"/>
    <cellStyle name="常规 9 3 2 2 2 4 4 3" xfId="8070" xr:uid="{00000000-0005-0000-0000-000054960000}"/>
    <cellStyle name="常规 9 3 2 2 2 4 4 3 2" xfId="20358" xr:uid="{00000000-0005-0000-0000-000055960000}"/>
    <cellStyle name="常规 9 3 2 2 2 4 4 3 2 2" xfId="44934" xr:uid="{00000000-0005-0000-0000-000056960000}"/>
    <cellStyle name="常规 9 3 2 2 2 4 4 3 3" xfId="32646" xr:uid="{00000000-0005-0000-0000-000057960000}"/>
    <cellStyle name="常规 9 3 2 2 2 4 4 4" xfId="14214" xr:uid="{00000000-0005-0000-0000-000058960000}"/>
    <cellStyle name="常规 9 3 2 2 2 4 4 4 2" xfId="38790" xr:uid="{00000000-0005-0000-0000-000059960000}"/>
    <cellStyle name="常规 9 3 2 2 2 4 4 5" xfId="26502" xr:uid="{00000000-0005-0000-0000-00005A960000}"/>
    <cellStyle name="常规 9 3 2 2 2 4 5" xfId="3462" xr:uid="{00000000-0005-0000-0000-00005B960000}"/>
    <cellStyle name="常规 9 3 2 2 2 4 5 2" xfId="9606" xr:uid="{00000000-0005-0000-0000-00005C960000}"/>
    <cellStyle name="常规 9 3 2 2 2 4 5 2 2" xfId="21894" xr:uid="{00000000-0005-0000-0000-00005D960000}"/>
    <cellStyle name="常规 9 3 2 2 2 4 5 2 2 2" xfId="46470" xr:uid="{00000000-0005-0000-0000-00005E960000}"/>
    <cellStyle name="常规 9 3 2 2 2 4 5 2 3" xfId="34182" xr:uid="{00000000-0005-0000-0000-00005F960000}"/>
    <cellStyle name="常规 9 3 2 2 2 4 5 3" xfId="15750" xr:uid="{00000000-0005-0000-0000-000060960000}"/>
    <cellStyle name="常规 9 3 2 2 2 4 5 3 2" xfId="40326" xr:uid="{00000000-0005-0000-0000-000061960000}"/>
    <cellStyle name="常规 9 3 2 2 2 4 5 4" xfId="28038" xr:uid="{00000000-0005-0000-0000-000062960000}"/>
    <cellStyle name="常规 9 3 2 2 2 4 6" xfId="6534" xr:uid="{00000000-0005-0000-0000-000063960000}"/>
    <cellStyle name="常规 9 3 2 2 2 4 6 2" xfId="18822" xr:uid="{00000000-0005-0000-0000-000064960000}"/>
    <cellStyle name="常规 9 3 2 2 2 4 6 2 2" xfId="43398" xr:uid="{00000000-0005-0000-0000-000065960000}"/>
    <cellStyle name="常规 9 3 2 2 2 4 6 3" xfId="31110" xr:uid="{00000000-0005-0000-0000-000066960000}"/>
    <cellStyle name="常规 9 3 2 2 2 4 7" xfId="12678" xr:uid="{00000000-0005-0000-0000-000067960000}"/>
    <cellStyle name="常规 9 3 2 2 2 4 7 2" xfId="37254" xr:uid="{00000000-0005-0000-0000-000068960000}"/>
    <cellStyle name="常规 9 3 2 2 2 4 8" xfId="24966" xr:uid="{00000000-0005-0000-0000-000069960000}"/>
    <cellStyle name="常规 9 3 2 2 2 5" xfId="578" xr:uid="{00000000-0005-0000-0000-00006A960000}"/>
    <cellStyle name="常规 9 3 2 2 2 5 2" xfId="1346" xr:uid="{00000000-0005-0000-0000-00006B960000}"/>
    <cellStyle name="常规 9 3 2 2 2 5 2 2" xfId="2882" xr:uid="{00000000-0005-0000-0000-00006C960000}"/>
    <cellStyle name="常规 9 3 2 2 2 5 2 2 2" xfId="5958" xr:uid="{00000000-0005-0000-0000-00006D960000}"/>
    <cellStyle name="常规 9 3 2 2 2 5 2 2 2 2" xfId="12102" xr:uid="{00000000-0005-0000-0000-00006E960000}"/>
    <cellStyle name="常规 9 3 2 2 2 5 2 2 2 2 2" xfId="24390" xr:uid="{00000000-0005-0000-0000-00006F960000}"/>
    <cellStyle name="常规 9 3 2 2 2 5 2 2 2 2 2 2" xfId="48966" xr:uid="{00000000-0005-0000-0000-000070960000}"/>
    <cellStyle name="常规 9 3 2 2 2 5 2 2 2 2 3" xfId="36678" xr:uid="{00000000-0005-0000-0000-000071960000}"/>
    <cellStyle name="常规 9 3 2 2 2 5 2 2 2 3" xfId="18246" xr:uid="{00000000-0005-0000-0000-000072960000}"/>
    <cellStyle name="常规 9 3 2 2 2 5 2 2 2 3 2" xfId="42822" xr:uid="{00000000-0005-0000-0000-000073960000}"/>
    <cellStyle name="常规 9 3 2 2 2 5 2 2 2 4" xfId="30534" xr:uid="{00000000-0005-0000-0000-000074960000}"/>
    <cellStyle name="常规 9 3 2 2 2 5 2 2 3" xfId="9030" xr:uid="{00000000-0005-0000-0000-000075960000}"/>
    <cellStyle name="常规 9 3 2 2 2 5 2 2 3 2" xfId="21318" xr:uid="{00000000-0005-0000-0000-000076960000}"/>
    <cellStyle name="常规 9 3 2 2 2 5 2 2 3 2 2" xfId="45894" xr:uid="{00000000-0005-0000-0000-000077960000}"/>
    <cellStyle name="常规 9 3 2 2 2 5 2 2 3 3" xfId="33606" xr:uid="{00000000-0005-0000-0000-000078960000}"/>
    <cellStyle name="常规 9 3 2 2 2 5 2 2 4" xfId="15174" xr:uid="{00000000-0005-0000-0000-000079960000}"/>
    <cellStyle name="常规 9 3 2 2 2 5 2 2 4 2" xfId="39750" xr:uid="{00000000-0005-0000-0000-00007A960000}"/>
    <cellStyle name="常规 9 3 2 2 2 5 2 2 5" xfId="27462" xr:uid="{00000000-0005-0000-0000-00007B960000}"/>
    <cellStyle name="常规 9 3 2 2 2 5 2 3" xfId="4422" xr:uid="{00000000-0005-0000-0000-00007C960000}"/>
    <cellStyle name="常规 9 3 2 2 2 5 2 3 2" xfId="10566" xr:uid="{00000000-0005-0000-0000-00007D960000}"/>
    <cellStyle name="常规 9 3 2 2 2 5 2 3 2 2" xfId="22854" xr:uid="{00000000-0005-0000-0000-00007E960000}"/>
    <cellStyle name="常规 9 3 2 2 2 5 2 3 2 2 2" xfId="47430" xr:uid="{00000000-0005-0000-0000-00007F960000}"/>
    <cellStyle name="常规 9 3 2 2 2 5 2 3 2 3" xfId="35142" xr:uid="{00000000-0005-0000-0000-000080960000}"/>
    <cellStyle name="常规 9 3 2 2 2 5 2 3 3" xfId="16710" xr:uid="{00000000-0005-0000-0000-000081960000}"/>
    <cellStyle name="常规 9 3 2 2 2 5 2 3 3 2" xfId="41286" xr:uid="{00000000-0005-0000-0000-000082960000}"/>
    <cellStyle name="常规 9 3 2 2 2 5 2 3 4" xfId="28998" xr:uid="{00000000-0005-0000-0000-000083960000}"/>
    <cellStyle name="常规 9 3 2 2 2 5 2 4" xfId="7494" xr:uid="{00000000-0005-0000-0000-000084960000}"/>
    <cellStyle name="常规 9 3 2 2 2 5 2 4 2" xfId="19782" xr:uid="{00000000-0005-0000-0000-000085960000}"/>
    <cellStyle name="常规 9 3 2 2 2 5 2 4 2 2" xfId="44358" xr:uid="{00000000-0005-0000-0000-000086960000}"/>
    <cellStyle name="常规 9 3 2 2 2 5 2 4 3" xfId="32070" xr:uid="{00000000-0005-0000-0000-000087960000}"/>
    <cellStyle name="常规 9 3 2 2 2 5 2 5" xfId="13638" xr:uid="{00000000-0005-0000-0000-000088960000}"/>
    <cellStyle name="常规 9 3 2 2 2 5 2 5 2" xfId="38214" xr:uid="{00000000-0005-0000-0000-000089960000}"/>
    <cellStyle name="常规 9 3 2 2 2 5 2 6" xfId="25926" xr:uid="{00000000-0005-0000-0000-00008A960000}"/>
    <cellStyle name="常规 9 3 2 2 2 5 3" xfId="2114" xr:uid="{00000000-0005-0000-0000-00008B960000}"/>
    <cellStyle name="常规 9 3 2 2 2 5 3 2" xfId="5190" xr:uid="{00000000-0005-0000-0000-00008C960000}"/>
    <cellStyle name="常规 9 3 2 2 2 5 3 2 2" xfId="11334" xr:uid="{00000000-0005-0000-0000-00008D960000}"/>
    <cellStyle name="常规 9 3 2 2 2 5 3 2 2 2" xfId="23622" xr:uid="{00000000-0005-0000-0000-00008E960000}"/>
    <cellStyle name="常规 9 3 2 2 2 5 3 2 2 2 2" xfId="48198" xr:uid="{00000000-0005-0000-0000-00008F960000}"/>
    <cellStyle name="常规 9 3 2 2 2 5 3 2 2 3" xfId="35910" xr:uid="{00000000-0005-0000-0000-000090960000}"/>
    <cellStyle name="常规 9 3 2 2 2 5 3 2 3" xfId="17478" xr:uid="{00000000-0005-0000-0000-000091960000}"/>
    <cellStyle name="常规 9 3 2 2 2 5 3 2 3 2" xfId="42054" xr:uid="{00000000-0005-0000-0000-000092960000}"/>
    <cellStyle name="常规 9 3 2 2 2 5 3 2 4" xfId="29766" xr:uid="{00000000-0005-0000-0000-000093960000}"/>
    <cellStyle name="常规 9 3 2 2 2 5 3 3" xfId="8262" xr:uid="{00000000-0005-0000-0000-000094960000}"/>
    <cellStyle name="常规 9 3 2 2 2 5 3 3 2" xfId="20550" xr:uid="{00000000-0005-0000-0000-000095960000}"/>
    <cellStyle name="常规 9 3 2 2 2 5 3 3 2 2" xfId="45126" xr:uid="{00000000-0005-0000-0000-000096960000}"/>
    <cellStyle name="常规 9 3 2 2 2 5 3 3 3" xfId="32838" xr:uid="{00000000-0005-0000-0000-000097960000}"/>
    <cellStyle name="常规 9 3 2 2 2 5 3 4" xfId="14406" xr:uid="{00000000-0005-0000-0000-000098960000}"/>
    <cellStyle name="常规 9 3 2 2 2 5 3 4 2" xfId="38982" xr:uid="{00000000-0005-0000-0000-000099960000}"/>
    <cellStyle name="常规 9 3 2 2 2 5 3 5" xfId="26694" xr:uid="{00000000-0005-0000-0000-00009A960000}"/>
    <cellStyle name="常规 9 3 2 2 2 5 4" xfId="3654" xr:uid="{00000000-0005-0000-0000-00009B960000}"/>
    <cellStyle name="常规 9 3 2 2 2 5 4 2" xfId="9798" xr:uid="{00000000-0005-0000-0000-00009C960000}"/>
    <cellStyle name="常规 9 3 2 2 2 5 4 2 2" xfId="22086" xr:uid="{00000000-0005-0000-0000-00009D960000}"/>
    <cellStyle name="常规 9 3 2 2 2 5 4 2 2 2" xfId="46662" xr:uid="{00000000-0005-0000-0000-00009E960000}"/>
    <cellStyle name="常规 9 3 2 2 2 5 4 2 3" xfId="34374" xr:uid="{00000000-0005-0000-0000-00009F960000}"/>
    <cellStyle name="常规 9 3 2 2 2 5 4 3" xfId="15942" xr:uid="{00000000-0005-0000-0000-0000A0960000}"/>
    <cellStyle name="常规 9 3 2 2 2 5 4 3 2" xfId="40518" xr:uid="{00000000-0005-0000-0000-0000A1960000}"/>
    <cellStyle name="常规 9 3 2 2 2 5 4 4" xfId="28230" xr:uid="{00000000-0005-0000-0000-0000A2960000}"/>
    <cellStyle name="常规 9 3 2 2 2 5 5" xfId="6726" xr:uid="{00000000-0005-0000-0000-0000A3960000}"/>
    <cellStyle name="常规 9 3 2 2 2 5 5 2" xfId="19014" xr:uid="{00000000-0005-0000-0000-0000A4960000}"/>
    <cellStyle name="常规 9 3 2 2 2 5 5 2 2" xfId="43590" xr:uid="{00000000-0005-0000-0000-0000A5960000}"/>
    <cellStyle name="常规 9 3 2 2 2 5 5 3" xfId="31302" xr:uid="{00000000-0005-0000-0000-0000A6960000}"/>
    <cellStyle name="常规 9 3 2 2 2 5 6" xfId="12870" xr:uid="{00000000-0005-0000-0000-0000A7960000}"/>
    <cellStyle name="常规 9 3 2 2 2 5 6 2" xfId="37446" xr:uid="{00000000-0005-0000-0000-0000A8960000}"/>
    <cellStyle name="常规 9 3 2 2 2 5 7" xfId="25158" xr:uid="{00000000-0005-0000-0000-0000A9960000}"/>
    <cellStyle name="常规 9 3 2 2 2 6" xfId="962" xr:uid="{00000000-0005-0000-0000-0000AA960000}"/>
    <cellStyle name="常规 9 3 2 2 2 6 2" xfId="2498" xr:uid="{00000000-0005-0000-0000-0000AB960000}"/>
    <cellStyle name="常规 9 3 2 2 2 6 2 2" xfId="5574" xr:uid="{00000000-0005-0000-0000-0000AC960000}"/>
    <cellStyle name="常规 9 3 2 2 2 6 2 2 2" xfId="11718" xr:uid="{00000000-0005-0000-0000-0000AD960000}"/>
    <cellStyle name="常规 9 3 2 2 2 6 2 2 2 2" xfId="24006" xr:uid="{00000000-0005-0000-0000-0000AE960000}"/>
    <cellStyle name="常规 9 3 2 2 2 6 2 2 2 2 2" xfId="48582" xr:uid="{00000000-0005-0000-0000-0000AF960000}"/>
    <cellStyle name="常规 9 3 2 2 2 6 2 2 2 3" xfId="36294" xr:uid="{00000000-0005-0000-0000-0000B0960000}"/>
    <cellStyle name="常规 9 3 2 2 2 6 2 2 3" xfId="17862" xr:uid="{00000000-0005-0000-0000-0000B1960000}"/>
    <cellStyle name="常规 9 3 2 2 2 6 2 2 3 2" xfId="42438" xr:uid="{00000000-0005-0000-0000-0000B2960000}"/>
    <cellStyle name="常规 9 3 2 2 2 6 2 2 4" xfId="30150" xr:uid="{00000000-0005-0000-0000-0000B3960000}"/>
    <cellStyle name="常规 9 3 2 2 2 6 2 3" xfId="8646" xr:uid="{00000000-0005-0000-0000-0000B4960000}"/>
    <cellStyle name="常规 9 3 2 2 2 6 2 3 2" xfId="20934" xr:uid="{00000000-0005-0000-0000-0000B5960000}"/>
    <cellStyle name="常规 9 3 2 2 2 6 2 3 2 2" xfId="45510" xr:uid="{00000000-0005-0000-0000-0000B6960000}"/>
    <cellStyle name="常规 9 3 2 2 2 6 2 3 3" xfId="33222" xr:uid="{00000000-0005-0000-0000-0000B7960000}"/>
    <cellStyle name="常规 9 3 2 2 2 6 2 4" xfId="14790" xr:uid="{00000000-0005-0000-0000-0000B8960000}"/>
    <cellStyle name="常规 9 3 2 2 2 6 2 4 2" xfId="39366" xr:uid="{00000000-0005-0000-0000-0000B9960000}"/>
    <cellStyle name="常规 9 3 2 2 2 6 2 5" xfId="27078" xr:uid="{00000000-0005-0000-0000-0000BA960000}"/>
    <cellStyle name="常规 9 3 2 2 2 6 3" xfId="4038" xr:uid="{00000000-0005-0000-0000-0000BB960000}"/>
    <cellStyle name="常规 9 3 2 2 2 6 3 2" xfId="10182" xr:uid="{00000000-0005-0000-0000-0000BC960000}"/>
    <cellStyle name="常规 9 3 2 2 2 6 3 2 2" xfId="22470" xr:uid="{00000000-0005-0000-0000-0000BD960000}"/>
    <cellStyle name="常规 9 3 2 2 2 6 3 2 2 2" xfId="47046" xr:uid="{00000000-0005-0000-0000-0000BE960000}"/>
    <cellStyle name="常规 9 3 2 2 2 6 3 2 3" xfId="34758" xr:uid="{00000000-0005-0000-0000-0000BF960000}"/>
    <cellStyle name="常规 9 3 2 2 2 6 3 3" xfId="16326" xr:uid="{00000000-0005-0000-0000-0000C0960000}"/>
    <cellStyle name="常规 9 3 2 2 2 6 3 3 2" xfId="40902" xr:uid="{00000000-0005-0000-0000-0000C1960000}"/>
    <cellStyle name="常规 9 3 2 2 2 6 3 4" xfId="28614" xr:uid="{00000000-0005-0000-0000-0000C2960000}"/>
    <cellStyle name="常规 9 3 2 2 2 6 4" xfId="7110" xr:uid="{00000000-0005-0000-0000-0000C3960000}"/>
    <cellStyle name="常规 9 3 2 2 2 6 4 2" xfId="19398" xr:uid="{00000000-0005-0000-0000-0000C4960000}"/>
    <cellStyle name="常规 9 3 2 2 2 6 4 2 2" xfId="43974" xr:uid="{00000000-0005-0000-0000-0000C5960000}"/>
    <cellStyle name="常规 9 3 2 2 2 6 4 3" xfId="31686" xr:uid="{00000000-0005-0000-0000-0000C6960000}"/>
    <cellStyle name="常规 9 3 2 2 2 6 5" xfId="13254" xr:uid="{00000000-0005-0000-0000-0000C7960000}"/>
    <cellStyle name="常规 9 3 2 2 2 6 5 2" xfId="37830" xr:uid="{00000000-0005-0000-0000-0000C8960000}"/>
    <cellStyle name="常规 9 3 2 2 2 6 6" xfId="25542" xr:uid="{00000000-0005-0000-0000-0000C9960000}"/>
    <cellStyle name="常规 9 3 2 2 2 7" xfId="1730" xr:uid="{00000000-0005-0000-0000-0000CA960000}"/>
    <cellStyle name="常规 9 3 2 2 2 7 2" xfId="4806" xr:uid="{00000000-0005-0000-0000-0000CB960000}"/>
    <cellStyle name="常规 9 3 2 2 2 7 2 2" xfId="10950" xr:uid="{00000000-0005-0000-0000-0000CC960000}"/>
    <cellStyle name="常规 9 3 2 2 2 7 2 2 2" xfId="23238" xr:uid="{00000000-0005-0000-0000-0000CD960000}"/>
    <cellStyle name="常规 9 3 2 2 2 7 2 2 2 2" xfId="47814" xr:uid="{00000000-0005-0000-0000-0000CE960000}"/>
    <cellStyle name="常规 9 3 2 2 2 7 2 2 3" xfId="35526" xr:uid="{00000000-0005-0000-0000-0000CF960000}"/>
    <cellStyle name="常规 9 3 2 2 2 7 2 3" xfId="17094" xr:uid="{00000000-0005-0000-0000-0000D0960000}"/>
    <cellStyle name="常规 9 3 2 2 2 7 2 3 2" xfId="41670" xr:uid="{00000000-0005-0000-0000-0000D1960000}"/>
    <cellStyle name="常规 9 3 2 2 2 7 2 4" xfId="29382" xr:uid="{00000000-0005-0000-0000-0000D2960000}"/>
    <cellStyle name="常规 9 3 2 2 2 7 3" xfId="7878" xr:uid="{00000000-0005-0000-0000-0000D3960000}"/>
    <cellStyle name="常规 9 3 2 2 2 7 3 2" xfId="20166" xr:uid="{00000000-0005-0000-0000-0000D4960000}"/>
    <cellStyle name="常规 9 3 2 2 2 7 3 2 2" xfId="44742" xr:uid="{00000000-0005-0000-0000-0000D5960000}"/>
    <cellStyle name="常规 9 3 2 2 2 7 3 3" xfId="32454" xr:uid="{00000000-0005-0000-0000-0000D6960000}"/>
    <cellStyle name="常规 9 3 2 2 2 7 4" xfId="14022" xr:uid="{00000000-0005-0000-0000-0000D7960000}"/>
    <cellStyle name="常规 9 3 2 2 2 7 4 2" xfId="38598" xr:uid="{00000000-0005-0000-0000-0000D8960000}"/>
    <cellStyle name="常规 9 3 2 2 2 7 5" xfId="26310" xr:uid="{00000000-0005-0000-0000-0000D9960000}"/>
    <cellStyle name="常规 9 3 2 2 2 8" xfId="3270" xr:uid="{00000000-0005-0000-0000-0000DA960000}"/>
    <cellStyle name="常规 9 3 2 2 2 8 2" xfId="9414" xr:uid="{00000000-0005-0000-0000-0000DB960000}"/>
    <cellStyle name="常规 9 3 2 2 2 8 2 2" xfId="21702" xr:uid="{00000000-0005-0000-0000-0000DC960000}"/>
    <cellStyle name="常规 9 3 2 2 2 8 2 2 2" xfId="46278" xr:uid="{00000000-0005-0000-0000-0000DD960000}"/>
    <cellStyle name="常规 9 3 2 2 2 8 2 3" xfId="33990" xr:uid="{00000000-0005-0000-0000-0000DE960000}"/>
    <cellStyle name="常规 9 3 2 2 2 8 3" xfId="15558" xr:uid="{00000000-0005-0000-0000-0000DF960000}"/>
    <cellStyle name="常规 9 3 2 2 2 8 3 2" xfId="40134" xr:uid="{00000000-0005-0000-0000-0000E0960000}"/>
    <cellStyle name="常规 9 3 2 2 2 8 4" xfId="27846" xr:uid="{00000000-0005-0000-0000-0000E1960000}"/>
    <cellStyle name="常规 9 3 2 2 2 9" xfId="6342" xr:uid="{00000000-0005-0000-0000-0000E2960000}"/>
    <cellStyle name="常规 9 3 2 2 2 9 2" xfId="18630" xr:uid="{00000000-0005-0000-0000-0000E3960000}"/>
    <cellStyle name="常规 9 3 2 2 2 9 2 2" xfId="43206" xr:uid="{00000000-0005-0000-0000-0000E4960000}"/>
    <cellStyle name="常规 9 3 2 2 2 9 3" xfId="30918" xr:uid="{00000000-0005-0000-0000-0000E5960000}"/>
    <cellStyle name="常规 9 3 2 2 3" xfId="226" xr:uid="{00000000-0005-0000-0000-0000E6960000}"/>
    <cellStyle name="常规 9 3 2 2 3 2" xfId="418" xr:uid="{00000000-0005-0000-0000-0000E7960000}"/>
    <cellStyle name="常规 9 3 2 2 3 2 2" xfId="802" xr:uid="{00000000-0005-0000-0000-0000E8960000}"/>
    <cellStyle name="常规 9 3 2 2 3 2 2 2" xfId="1570" xr:uid="{00000000-0005-0000-0000-0000E9960000}"/>
    <cellStyle name="常规 9 3 2 2 3 2 2 2 2" xfId="3106" xr:uid="{00000000-0005-0000-0000-0000EA960000}"/>
    <cellStyle name="常规 9 3 2 2 3 2 2 2 2 2" xfId="6182" xr:uid="{00000000-0005-0000-0000-0000EB960000}"/>
    <cellStyle name="常规 9 3 2 2 3 2 2 2 2 2 2" xfId="12326" xr:uid="{00000000-0005-0000-0000-0000EC960000}"/>
    <cellStyle name="常规 9 3 2 2 3 2 2 2 2 2 2 2" xfId="24614" xr:uid="{00000000-0005-0000-0000-0000ED960000}"/>
    <cellStyle name="常规 9 3 2 2 3 2 2 2 2 2 2 2 2" xfId="49190" xr:uid="{00000000-0005-0000-0000-0000EE960000}"/>
    <cellStyle name="常规 9 3 2 2 3 2 2 2 2 2 2 3" xfId="36902" xr:uid="{00000000-0005-0000-0000-0000EF960000}"/>
    <cellStyle name="常规 9 3 2 2 3 2 2 2 2 2 3" xfId="18470" xr:uid="{00000000-0005-0000-0000-0000F0960000}"/>
    <cellStyle name="常规 9 3 2 2 3 2 2 2 2 2 3 2" xfId="43046" xr:uid="{00000000-0005-0000-0000-0000F1960000}"/>
    <cellStyle name="常规 9 3 2 2 3 2 2 2 2 2 4" xfId="30758" xr:uid="{00000000-0005-0000-0000-0000F2960000}"/>
    <cellStyle name="常规 9 3 2 2 3 2 2 2 2 3" xfId="9254" xr:uid="{00000000-0005-0000-0000-0000F3960000}"/>
    <cellStyle name="常规 9 3 2 2 3 2 2 2 2 3 2" xfId="21542" xr:uid="{00000000-0005-0000-0000-0000F4960000}"/>
    <cellStyle name="常规 9 3 2 2 3 2 2 2 2 3 2 2" xfId="46118" xr:uid="{00000000-0005-0000-0000-0000F5960000}"/>
    <cellStyle name="常规 9 3 2 2 3 2 2 2 2 3 3" xfId="33830" xr:uid="{00000000-0005-0000-0000-0000F6960000}"/>
    <cellStyle name="常规 9 3 2 2 3 2 2 2 2 4" xfId="15398" xr:uid="{00000000-0005-0000-0000-0000F7960000}"/>
    <cellStyle name="常规 9 3 2 2 3 2 2 2 2 4 2" xfId="39974" xr:uid="{00000000-0005-0000-0000-0000F8960000}"/>
    <cellStyle name="常规 9 3 2 2 3 2 2 2 2 5" xfId="27686" xr:uid="{00000000-0005-0000-0000-0000F9960000}"/>
    <cellStyle name="常规 9 3 2 2 3 2 2 2 3" xfId="4646" xr:uid="{00000000-0005-0000-0000-0000FA960000}"/>
    <cellStyle name="常规 9 3 2 2 3 2 2 2 3 2" xfId="10790" xr:uid="{00000000-0005-0000-0000-0000FB960000}"/>
    <cellStyle name="常规 9 3 2 2 3 2 2 2 3 2 2" xfId="23078" xr:uid="{00000000-0005-0000-0000-0000FC960000}"/>
    <cellStyle name="常规 9 3 2 2 3 2 2 2 3 2 2 2" xfId="47654" xr:uid="{00000000-0005-0000-0000-0000FD960000}"/>
    <cellStyle name="常规 9 3 2 2 3 2 2 2 3 2 3" xfId="35366" xr:uid="{00000000-0005-0000-0000-0000FE960000}"/>
    <cellStyle name="常规 9 3 2 2 3 2 2 2 3 3" xfId="16934" xr:uid="{00000000-0005-0000-0000-0000FF960000}"/>
    <cellStyle name="常规 9 3 2 2 3 2 2 2 3 3 2" xfId="41510" xr:uid="{00000000-0005-0000-0000-000000970000}"/>
    <cellStyle name="常规 9 3 2 2 3 2 2 2 3 4" xfId="29222" xr:uid="{00000000-0005-0000-0000-000001970000}"/>
    <cellStyle name="常规 9 3 2 2 3 2 2 2 4" xfId="7718" xr:uid="{00000000-0005-0000-0000-000002970000}"/>
    <cellStyle name="常规 9 3 2 2 3 2 2 2 4 2" xfId="20006" xr:uid="{00000000-0005-0000-0000-000003970000}"/>
    <cellStyle name="常规 9 3 2 2 3 2 2 2 4 2 2" xfId="44582" xr:uid="{00000000-0005-0000-0000-000004970000}"/>
    <cellStyle name="常规 9 3 2 2 3 2 2 2 4 3" xfId="32294" xr:uid="{00000000-0005-0000-0000-000005970000}"/>
    <cellStyle name="常规 9 3 2 2 3 2 2 2 5" xfId="13862" xr:uid="{00000000-0005-0000-0000-000006970000}"/>
    <cellStyle name="常规 9 3 2 2 3 2 2 2 5 2" xfId="38438" xr:uid="{00000000-0005-0000-0000-000007970000}"/>
    <cellStyle name="常规 9 3 2 2 3 2 2 2 6" xfId="26150" xr:uid="{00000000-0005-0000-0000-000008970000}"/>
    <cellStyle name="常规 9 3 2 2 3 2 2 3" xfId="2338" xr:uid="{00000000-0005-0000-0000-000009970000}"/>
    <cellStyle name="常规 9 3 2 2 3 2 2 3 2" xfId="5414" xr:uid="{00000000-0005-0000-0000-00000A970000}"/>
    <cellStyle name="常规 9 3 2 2 3 2 2 3 2 2" xfId="11558" xr:uid="{00000000-0005-0000-0000-00000B970000}"/>
    <cellStyle name="常规 9 3 2 2 3 2 2 3 2 2 2" xfId="23846" xr:uid="{00000000-0005-0000-0000-00000C970000}"/>
    <cellStyle name="常规 9 3 2 2 3 2 2 3 2 2 2 2" xfId="48422" xr:uid="{00000000-0005-0000-0000-00000D970000}"/>
    <cellStyle name="常规 9 3 2 2 3 2 2 3 2 2 3" xfId="36134" xr:uid="{00000000-0005-0000-0000-00000E970000}"/>
    <cellStyle name="常规 9 3 2 2 3 2 2 3 2 3" xfId="17702" xr:uid="{00000000-0005-0000-0000-00000F970000}"/>
    <cellStyle name="常规 9 3 2 2 3 2 2 3 2 3 2" xfId="42278" xr:uid="{00000000-0005-0000-0000-000010970000}"/>
    <cellStyle name="常规 9 3 2 2 3 2 2 3 2 4" xfId="29990" xr:uid="{00000000-0005-0000-0000-000011970000}"/>
    <cellStyle name="常规 9 3 2 2 3 2 2 3 3" xfId="8486" xr:uid="{00000000-0005-0000-0000-000012970000}"/>
    <cellStyle name="常规 9 3 2 2 3 2 2 3 3 2" xfId="20774" xr:uid="{00000000-0005-0000-0000-000013970000}"/>
    <cellStyle name="常规 9 3 2 2 3 2 2 3 3 2 2" xfId="45350" xr:uid="{00000000-0005-0000-0000-000014970000}"/>
    <cellStyle name="常规 9 3 2 2 3 2 2 3 3 3" xfId="33062" xr:uid="{00000000-0005-0000-0000-000015970000}"/>
    <cellStyle name="常规 9 3 2 2 3 2 2 3 4" xfId="14630" xr:uid="{00000000-0005-0000-0000-000016970000}"/>
    <cellStyle name="常规 9 3 2 2 3 2 2 3 4 2" xfId="39206" xr:uid="{00000000-0005-0000-0000-000017970000}"/>
    <cellStyle name="常规 9 3 2 2 3 2 2 3 5" xfId="26918" xr:uid="{00000000-0005-0000-0000-000018970000}"/>
    <cellStyle name="常规 9 3 2 2 3 2 2 4" xfId="3878" xr:uid="{00000000-0005-0000-0000-000019970000}"/>
    <cellStyle name="常规 9 3 2 2 3 2 2 4 2" xfId="10022" xr:uid="{00000000-0005-0000-0000-00001A970000}"/>
    <cellStyle name="常规 9 3 2 2 3 2 2 4 2 2" xfId="22310" xr:uid="{00000000-0005-0000-0000-00001B970000}"/>
    <cellStyle name="常规 9 3 2 2 3 2 2 4 2 2 2" xfId="46886" xr:uid="{00000000-0005-0000-0000-00001C970000}"/>
    <cellStyle name="常规 9 3 2 2 3 2 2 4 2 3" xfId="34598" xr:uid="{00000000-0005-0000-0000-00001D970000}"/>
    <cellStyle name="常规 9 3 2 2 3 2 2 4 3" xfId="16166" xr:uid="{00000000-0005-0000-0000-00001E970000}"/>
    <cellStyle name="常规 9 3 2 2 3 2 2 4 3 2" xfId="40742" xr:uid="{00000000-0005-0000-0000-00001F970000}"/>
    <cellStyle name="常规 9 3 2 2 3 2 2 4 4" xfId="28454" xr:uid="{00000000-0005-0000-0000-000020970000}"/>
    <cellStyle name="常规 9 3 2 2 3 2 2 5" xfId="6950" xr:uid="{00000000-0005-0000-0000-000021970000}"/>
    <cellStyle name="常规 9 3 2 2 3 2 2 5 2" xfId="19238" xr:uid="{00000000-0005-0000-0000-000022970000}"/>
    <cellStyle name="常规 9 3 2 2 3 2 2 5 2 2" xfId="43814" xr:uid="{00000000-0005-0000-0000-000023970000}"/>
    <cellStyle name="常规 9 3 2 2 3 2 2 5 3" xfId="31526" xr:uid="{00000000-0005-0000-0000-000024970000}"/>
    <cellStyle name="常规 9 3 2 2 3 2 2 6" xfId="13094" xr:uid="{00000000-0005-0000-0000-000025970000}"/>
    <cellStyle name="常规 9 3 2 2 3 2 2 6 2" xfId="37670" xr:uid="{00000000-0005-0000-0000-000026970000}"/>
    <cellStyle name="常规 9 3 2 2 3 2 2 7" xfId="25382" xr:uid="{00000000-0005-0000-0000-000027970000}"/>
    <cellStyle name="常规 9 3 2 2 3 2 3" xfId="1186" xr:uid="{00000000-0005-0000-0000-000028970000}"/>
    <cellStyle name="常规 9 3 2 2 3 2 3 2" xfId="2722" xr:uid="{00000000-0005-0000-0000-000029970000}"/>
    <cellStyle name="常规 9 3 2 2 3 2 3 2 2" xfId="5798" xr:uid="{00000000-0005-0000-0000-00002A970000}"/>
    <cellStyle name="常规 9 3 2 2 3 2 3 2 2 2" xfId="11942" xr:uid="{00000000-0005-0000-0000-00002B970000}"/>
    <cellStyle name="常规 9 3 2 2 3 2 3 2 2 2 2" xfId="24230" xr:uid="{00000000-0005-0000-0000-00002C970000}"/>
    <cellStyle name="常规 9 3 2 2 3 2 3 2 2 2 2 2" xfId="48806" xr:uid="{00000000-0005-0000-0000-00002D970000}"/>
    <cellStyle name="常规 9 3 2 2 3 2 3 2 2 2 3" xfId="36518" xr:uid="{00000000-0005-0000-0000-00002E970000}"/>
    <cellStyle name="常规 9 3 2 2 3 2 3 2 2 3" xfId="18086" xr:uid="{00000000-0005-0000-0000-00002F970000}"/>
    <cellStyle name="常规 9 3 2 2 3 2 3 2 2 3 2" xfId="42662" xr:uid="{00000000-0005-0000-0000-000030970000}"/>
    <cellStyle name="常规 9 3 2 2 3 2 3 2 2 4" xfId="30374" xr:uid="{00000000-0005-0000-0000-000031970000}"/>
    <cellStyle name="常规 9 3 2 2 3 2 3 2 3" xfId="8870" xr:uid="{00000000-0005-0000-0000-000032970000}"/>
    <cellStyle name="常规 9 3 2 2 3 2 3 2 3 2" xfId="21158" xr:uid="{00000000-0005-0000-0000-000033970000}"/>
    <cellStyle name="常规 9 3 2 2 3 2 3 2 3 2 2" xfId="45734" xr:uid="{00000000-0005-0000-0000-000034970000}"/>
    <cellStyle name="常规 9 3 2 2 3 2 3 2 3 3" xfId="33446" xr:uid="{00000000-0005-0000-0000-000035970000}"/>
    <cellStyle name="常规 9 3 2 2 3 2 3 2 4" xfId="15014" xr:uid="{00000000-0005-0000-0000-000036970000}"/>
    <cellStyle name="常规 9 3 2 2 3 2 3 2 4 2" xfId="39590" xr:uid="{00000000-0005-0000-0000-000037970000}"/>
    <cellStyle name="常规 9 3 2 2 3 2 3 2 5" xfId="27302" xr:uid="{00000000-0005-0000-0000-000038970000}"/>
    <cellStyle name="常规 9 3 2 2 3 2 3 3" xfId="4262" xr:uid="{00000000-0005-0000-0000-000039970000}"/>
    <cellStyle name="常规 9 3 2 2 3 2 3 3 2" xfId="10406" xr:uid="{00000000-0005-0000-0000-00003A970000}"/>
    <cellStyle name="常规 9 3 2 2 3 2 3 3 2 2" xfId="22694" xr:uid="{00000000-0005-0000-0000-00003B970000}"/>
    <cellStyle name="常规 9 3 2 2 3 2 3 3 2 2 2" xfId="47270" xr:uid="{00000000-0005-0000-0000-00003C970000}"/>
    <cellStyle name="常规 9 3 2 2 3 2 3 3 2 3" xfId="34982" xr:uid="{00000000-0005-0000-0000-00003D970000}"/>
    <cellStyle name="常规 9 3 2 2 3 2 3 3 3" xfId="16550" xr:uid="{00000000-0005-0000-0000-00003E970000}"/>
    <cellStyle name="常规 9 3 2 2 3 2 3 3 3 2" xfId="41126" xr:uid="{00000000-0005-0000-0000-00003F970000}"/>
    <cellStyle name="常规 9 3 2 2 3 2 3 3 4" xfId="28838" xr:uid="{00000000-0005-0000-0000-000040970000}"/>
    <cellStyle name="常规 9 3 2 2 3 2 3 4" xfId="7334" xr:uid="{00000000-0005-0000-0000-000041970000}"/>
    <cellStyle name="常规 9 3 2 2 3 2 3 4 2" xfId="19622" xr:uid="{00000000-0005-0000-0000-000042970000}"/>
    <cellStyle name="常规 9 3 2 2 3 2 3 4 2 2" xfId="44198" xr:uid="{00000000-0005-0000-0000-000043970000}"/>
    <cellStyle name="常规 9 3 2 2 3 2 3 4 3" xfId="31910" xr:uid="{00000000-0005-0000-0000-000044970000}"/>
    <cellStyle name="常规 9 3 2 2 3 2 3 5" xfId="13478" xr:uid="{00000000-0005-0000-0000-000045970000}"/>
    <cellStyle name="常规 9 3 2 2 3 2 3 5 2" xfId="38054" xr:uid="{00000000-0005-0000-0000-000046970000}"/>
    <cellStyle name="常规 9 3 2 2 3 2 3 6" xfId="25766" xr:uid="{00000000-0005-0000-0000-000047970000}"/>
    <cellStyle name="常规 9 3 2 2 3 2 4" xfId="1954" xr:uid="{00000000-0005-0000-0000-000048970000}"/>
    <cellStyle name="常规 9 3 2 2 3 2 4 2" xfId="5030" xr:uid="{00000000-0005-0000-0000-000049970000}"/>
    <cellStyle name="常规 9 3 2 2 3 2 4 2 2" xfId="11174" xr:uid="{00000000-0005-0000-0000-00004A970000}"/>
    <cellStyle name="常规 9 3 2 2 3 2 4 2 2 2" xfId="23462" xr:uid="{00000000-0005-0000-0000-00004B970000}"/>
    <cellStyle name="常规 9 3 2 2 3 2 4 2 2 2 2" xfId="48038" xr:uid="{00000000-0005-0000-0000-00004C970000}"/>
    <cellStyle name="常规 9 3 2 2 3 2 4 2 2 3" xfId="35750" xr:uid="{00000000-0005-0000-0000-00004D970000}"/>
    <cellStyle name="常规 9 3 2 2 3 2 4 2 3" xfId="17318" xr:uid="{00000000-0005-0000-0000-00004E970000}"/>
    <cellStyle name="常规 9 3 2 2 3 2 4 2 3 2" xfId="41894" xr:uid="{00000000-0005-0000-0000-00004F970000}"/>
    <cellStyle name="常规 9 3 2 2 3 2 4 2 4" xfId="29606" xr:uid="{00000000-0005-0000-0000-000050970000}"/>
    <cellStyle name="常规 9 3 2 2 3 2 4 3" xfId="8102" xr:uid="{00000000-0005-0000-0000-000051970000}"/>
    <cellStyle name="常规 9 3 2 2 3 2 4 3 2" xfId="20390" xr:uid="{00000000-0005-0000-0000-000052970000}"/>
    <cellStyle name="常规 9 3 2 2 3 2 4 3 2 2" xfId="44966" xr:uid="{00000000-0005-0000-0000-000053970000}"/>
    <cellStyle name="常规 9 3 2 2 3 2 4 3 3" xfId="32678" xr:uid="{00000000-0005-0000-0000-000054970000}"/>
    <cellStyle name="常规 9 3 2 2 3 2 4 4" xfId="14246" xr:uid="{00000000-0005-0000-0000-000055970000}"/>
    <cellStyle name="常规 9 3 2 2 3 2 4 4 2" xfId="38822" xr:uid="{00000000-0005-0000-0000-000056970000}"/>
    <cellStyle name="常规 9 3 2 2 3 2 4 5" xfId="26534" xr:uid="{00000000-0005-0000-0000-000057970000}"/>
    <cellStyle name="常规 9 3 2 2 3 2 5" xfId="3494" xr:uid="{00000000-0005-0000-0000-000058970000}"/>
    <cellStyle name="常规 9 3 2 2 3 2 5 2" xfId="9638" xr:uid="{00000000-0005-0000-0000-000059970000}"/>
    <cellStyle name="常规 9 3 2 2 3 2 5 2 2" xfId="21926" xr:uid="{00000000-0005-0000-0000-00005A970000}"/>
    <cellStyle name="常规 9 3 2 2 3 2 5 2 2 2" xfId="46502" xr:uid="{00000000-0005-0000-0000-00005B970000}"/>
    <cellStyle name="常规 9 3 2 2 3 2 5 2 3" xfId="34214" xr:uid="{00000000-0005-0000-0000-00005C970000}"/>
    <cellStyle name="常规 9 3 2 2 3 2 5 3" xfId="15782" xr:uid="{00000000-0005-0000-0000-00005D970000}"/>
    <cellStyle name="常规 9 3 2 2 3 2 5 3 2" xfId="40358" xr:uid="{00000000-0005-0000-0000-00005E970000}"/>
    <cellStyle name="常规 9 3 2 2 3 2 5 4" xfId="28070" xr:uid="{00000000-0005-0000-0000-00005F970000}"/>
    <cellStyle name="常规 9 3 2 2 3 2 6" xfId="6566" xr:uid="{00000000-0005-0000-0000-000060970000}"/>
    <cellStyle name="常规 9 3 2 2 3 2 6 2" xfId="18854" xr:uid="{00000000-0005-0000-0000-000061970000}"/>
    <cellStyle name="常规 9 3 2 2 3 2 6 2 2" xfId="43430" xr:uid="{00000000-0005-0000-0000-000062970000}"/>
    <cellStyle name="常规 9 3 2 2 3 2 6 3" xfId="31142" xr:uid="{00000000-0005-0000-0000-000063970000}"/>
    <cellStyle name="常规 9 3 2 2 3 2 7" xfId="12710" xr:uid="{00000000-0005-0000-0000-000064970000}"/>
    <cellStyle name="常规 9 3 2 2 3 2 7 2" xfId="37286" xr:uid="{00000000-0005-0000-0000-000065970000}"/>
    <cellStyle name="常规 9 3 2 2 3 2 8" xfId="24998" xr:uid="{00000000-0005-0000-0000-000066970000}"/>
    <cellStyle name="常规 9 3 2 2 3 3" xfId="610" xr:uid="{00000000-0005-0000-0000-000067970000}"/>
    <cellStyle name="常规 9 3 2 2 3 3 2" xfId="1378" xr:uid="{00000000-0005-0000-0000-000068970000}"/>
    <cellStyle name="常规 9 3 2 2 3 3 2 2" xfId="2914" xr:uid="{00000000-0005-0000-0000-000069970000}"/>
    <cellStyle name="常规 9 3 2 2 3 3 2 2 2" xfId="5990" xr:uid="{00000000-0005-0000-0000-00006A970000}"/>
    <cellStyle name="常规 9 3 2 2 3 3 2 2 2 2" xfId="12134" xr:uid="{00000000-0005-0000-0000-00006B970000}"/>
    <cellStyle name="常规 9 3 2 2 3 3 2 2 2 2 2" xfId="24422" xr:uid="{00000000-0005-0000-0000-00006C970000}"/>
    <cellStyle name="常规 9 3 2 2 3 3 2 2 2 2 2 2" xfId="48998" xr:uid="{00000000-0005-0000-0000-00006D970000}"/>
    <cellStyle name="常规 9 3 2 2 3 3 2 2 2 2 3" xfId="36710" xr:uid="{00000000-0005-0000-0000-00006E970000}"/>
    <cellStyle name="常规 9 3 2 2 3 3 2 2 2 3" xfId="18278" xr:uid="{00000000-0005-0000-0000-00006F970000}"/>
    <cellStyle name="常规 9 3 2 2 3 3 2 2 2 3 2" xfId="42854" xr:uid="{00000000-0005-0000-0000-000070970000}"/>
    <cellStyle name="常规 9 3 2 2 3 3 2 2 2 4" xfId="30566" xr:uid="{00000000-0005-0000-0000-000071970000}"/>
    <cellStyle name="常规 9 3 2 2 3 3 2 2 3" xfId="9062" xr:uid="{00000000-0005-0000-0000-000072970000}"/>
    <cellStyle name="常规 9 3 2 2 3 3 2 2 3 2" xfId="21350" xr:uid="{00000000-0005-0000-0000-000073970000}"/>
    <cellStyle name="常规 9 3 2 2 3 3 2 2 3 2 2" xfId="45926" xr:uid="{00000000-0005-0000-0000-000074970000}"/>
    <cellStyle name="常规 9 3 2 2 3 3 2 2 3 3" xfId="33638" xr:uid="{00000000-0005-0000-0000-000075970000}"/>
    <cellStyle name="常规 9 3 2 2 3 3 2 2 4" xfId="15206" xr:uid="{00000000-0005-0000-0000-000076970000}"/>
    <cellStyle name="常规 9 3 2 2 3 3 2 2 4 2" xfId="39782" xr:uid="{00000000-0005-0000-0000-000077970000}"/>
    <cellStyle name="常规 9 3 2 2 3 3 2 2 5" xfId="27494" xr:uid="{00000000-0005-0000-0000-000078970000}"/>
    <cellStyle name="常规 9 3 2 2 3 3 2 3" xfId="4454" xr:uid="{00000000-0005-0000-0000-000079970000}"/>
    <cellStyle name="常规 9 3 2 2 3 3 2 3 2" xfId="10598" xr:uid="{00000000-0005-0000-0000-00007A970000}"/>
    <cellStyle name="常规 9 3 2 2 3 3 2 3 2 2" xfId="22886" xr:uid="{00000000-0005-0000-0000-00007B970000}"/>
    <cellStyle name="常规 9 3 2 2 3 3 2 3 2 2 2" xfId="47462" xr:uid="{00000000-0005-0000-0000-00007C970000}"/>
    <cellStyle name="常规 9 3 2 2 3 3 2 3 2 3" xfId="35174" xr:uid="{00000000-0005-0000-0000-00007D970000}"/>
    <cellStyle name="常规 9 3 2 2 3 3 2 3 3" xfId="16742" xr:uid="{00000000-0005-0000-0000-00007E970000}"/>
    <cellStyle name="常规 9 3 2 2 3 3 2 3 3 2" xfId="41318" xr:uid="{00000000-0005-0000-0000-00007F970000}"/>
    <cellStyle name="常规 9 3 2 2 3 3 2 3 4" xfId="29030" xr:uid="{00000000-0005-0000-0000-000080970000}"/>
    <cellStyle name="常规 9 3 2 2 3 3 2 4" xfId="7526" xr:uid="{00000000-0005-0000-0000-000081970000}"/>
    <cellStyle name="常规 9 3 2 2 3 3 2 4 2" xfId="19814" xr:uid="{00000000-0005-0000-0000-000082970000}"/>
    <cellStyle name="常规 9 3 2 2 3 3 2 4 2 2" xfId="44390" xr:uid="{00000000-0005-0000-0000-000083970000}"/>
    <cellStyle name="常规 9 3 2 2 3 3 2 4 3" xfId="32102" xr:uid="{00000000-0005-0000-0000-000084970000}"/>
    <cellStyle name="常规 9 3 2 2 3 3 2 5" xfId="13670" xr:uid="{00000000-0005-0000-0000-000085970000}"/>
    <cellStyle name="常规 9 3 2 2 3 3 2 5 2" xfId="38246" xr:uid="{00000000-0005-0000-0000-000086970000}"/>
    <cellStyle name="常规 9 3 2 2 3 3 2 6" xfId="25958" xr:uid="{00000000-0005-0000-0000-000087970000}"/>
    <cellStyle name="常规 9 3 2 2 3 3 3" xfId="2146" xr:uid="{00000000-0005-0000-0000-000088970000}"/>
    <cellStyle name="常规 9 3 2 2 3 3 3 2" xfId="5222" xr:uid="{00000000-0005-0000-0000-000089970000}"/>
    <cellStyle name="常规 9 3 2 2 3 3 3 2 2" xfId="11366" xr:uid="{00000000-0005-0000-0000-00008A970000}"/>
    <cellStyle name="常规 9 3 2 2 3 3 3 2 2 2" xfId="23654" xr:uid="{00000000-0005-0000-0000-00008B970000}"/>
    <cellStyle name="常规 9 3 2 2 3 3 3 2 2 2 2" xfId="48230" xr:uid="{00000000-0005-0000-0000-00008C970000}"/>
    <cellStyle name="常规 9 3 2 2 3 3 3 2 2 3" xfId="35942" xr:uid="{00000000-0005-0000-0000-00008D970000}"/>
    <cellStyle name="常规 9 3 2 2 3 3 3 2 3" xfId="17510" xr:uid="{00000000-0005-0000-0000-00008E970000}"/>
    <cellStyle name="常规 9 3 2 2 3 3 3 2 3 2" xfId="42086" xr:uid="{00000000-0005-0000-0000-00008F970000}"/>
    <cellStyle name="常规 9 3 2 2 3 3 3 2 4" xfId="29798" xr:uid="{00000000-0005-0000-0000-000090970000}"/>
    <cellStyle name="常规 9 3 2 2 3 3 3 3" xfId="8294" xr:uid="{00000000-0005-0000-0000-000091970000}"/>
    <cellStyle name="常规 9 3 2 2 3 3 3 3 2" xfId="20582" xr:uid="{00000000-0005-0000-0000-000092970000}"/>
    <cellStyle name="常规 9 3 2 2 3 3 3 3 2 2" xfId="45158" xr:uid="{00000000-0005-0000-0000-000093970000}"/>
    <cellStyle name="常规 9 3 2 2 3 3 3 3 3" xfId="32870" xr:uid="{00000000-0005-0000-0000-000094970000}"/>
    <cellStyle name="常规 9 3 2 2 3 3 3 4" xfId="14438" xr:uid="{00000000-0005-0000-0000-000095970000}"/>
    <cellStyle name="常规 9 3 2 2 3 3 3 4 2" xfId="39014" xr:uid="{00000000-0005-0000-0000-000096970000}"/>
    <cellStyle name="常规 9 3 2 2 3 3 3 5" xfId="26726" xr:uid="{00000000-0005-0000-0000-000097970000}"/>
    <cellStyle name="常规 9 3 2 2 3 3 4" xfId="3686" xr:uid="{00000000-0005-0000-0000-000098970000}"/>
    <cellStyle name="常规 9 3 2 2 3 3 4 2" xfId="9830" xr:uid="{00000000-0005-0000-0000-000099970000}"/>
    <cellStyle name="常规 9 3 2 2 3 3 4 2 2" xfId="22118" xr:uid="{00000000-0005-0000-0000-00009A970000}"/>
    <cellStyle name="常规 9 3 2 2 3 3 4 2 2 2" xfId="46694" xr:uid="{00000000-0005-0000-0000-00009B970000}"/>
    <cellStyle name="常规 9 3 2 2 3 3 4 2 3" xfId="34406" xr:uid="{00000000-0005-0000-0000-00009C970000}"/>
    <cellStyle name="常规 9 3 2 2 3 3 4 3" xfId="15974" xr:uid="{00000000-0005-0000-0000-00009D970000}"/>
    <cellStyle name="常规 9 3 2 2 3 3 4 3 2" xfId="40550" xr:uid="{00000000-0005-0000-0000-00009E970000}"/>
    <cellStyle name="常规 9 3 2 2 3 3 4 4" xfId="28262" xr:uid="{00000000-0005-0000-0000-00009F970000}"/>
    <cellStyle name="常规 9 3 2 2 3 3 5" xfId="6758" xr:uid="{00000000-0005-0000-0000-0000A0970000}"/>
    <cellStyle name="常规 9 3 2 2 3 3 5 2" xfId="19046" xr:uid="{00000000-0005-0000-0000-0000A1970000}"/>
    <cellStyle name="常规 9 3 2 2 3 3 5 2 2" xfId="43622" xr:uid="{00000000-0005-0000-0000-0000A2970000}"/>
    <cellStyle name="常规 9 3 2 2 3 3 5 3" xfId="31334" xr:uid="{00000000-0005-0000-0000-0000A3970000}"/>
    <cellStyle name="常规 9 3 2 2 3 3 6" xfId="12902" xr:uid="{00000000-0005-0000-0000-0000A4970000}"/>
    <cellStyle name="常规 9 3 2 2 3 3 6 2" xfId="37478" xr:uid="{00000000-0005-0000-0000-0000A5970000}"/>
    <cellStyle name="常规 9 3 2 2 3 3 7" xfId="25190" xr:uid="{00000000-0005-0000-0000-0000A6970000}"/>
    <cellStyle name="常规 9 3 2 2 3 4" xfId="994" xr:uid="{00000000-0005-0000-0000-0000A7970000}"/>
    <cellStyle name="常规 9 3 2 2 3 4 2" xfId="2530" xr:uid="{00000000-0005-0000-0000-0000A8970000}"/>
    <cellStyle name="常规 9 3 2 2 3 4 2 2" xfId="5606" xr:uid="{00000000-0005-0000-0000-0000A9970000}"/>
    <cellStyle name="常规 9 3 2 2 3 4 2 2 2" xfId="11750" xr:uid="{00000000-0005-0000-0000-0000AA970000}"/>
    <cellStyle name="常规 9 3 2 2 3 4 2 2 2 2" xfId="24038" xr:uid="{00000000-0005-0000-0000-0000AB970000}"/>
    <cellStyle name="常规 9 3 2 2 3 4 2 2 2 2 2" xfId="48614" xr:uid="{00000000-0005-0000-0000-0000AC970000}"/>
    <cellStyle name="常规 9 3 2 2 3 4 2 2 2 3" xfId="36326" xr:uid="{00000000-0005-0000-0000-0000AD970000}"/>
    <cellStyle name="常规 9 3 2 2 3 4 2 2 3" xfId="17894" xr:uid="{00000000-0005-0000-0000-0000AE970000}"/>
    <cellStyle name="常规 9 3 2 2 3 4 2 2 3 2" xfId="42470" xr:uid="{00000000-0005-0000-0000-0000AF970000}"/>
    <cellStyle name="常规 9 3 2 2 3 4 2 2 4" xfId="30182" xr:uid="{00000000-0005-0000-0000-0000B0970000}"/>
    <cellStyle name="常规 9 3 2 2 3 4 2 3" xfId="8678" xr:uid="{00000000-0005-0000-0000-0000B1970000}"/>
    <cellStyle name="常规 9 3 2 2 3 4 2 3 2" xfId="20966" xr:uid="{00000000-0005-0000-0000-0000B2970000}"/>
    <cellStyle name="常规 9 3 2 2 3 4 2 3 2 2" xfId="45542" xr:uid="{00000000-0005-0000-0000-0000B3970000}"/>
    <cellStyle name="常规 9 3 2 2 3 4 2 3 3" xfId="33254" xr:uid="{00000000-0005-0000-0000-0000B4970000}"/>
    <cellStyle name="常规 9 3 2 2 3 4 2 4" xfId="14822" xr:uid="{00000000-0005-0000-0000-0000B5970000}"/>
    <cellStyle name="常规 9 3 2 2 3 4 2 4 2" xfId="39398" xr:uid="{00000000-0005-0000-0000-0000B6970000}"/>
    <cellStyle name="常规 9 3 2 2 3 4 2 5" xfId="27110" xr:uid="{00000000-0005-0000-0000-0000B7970000}"/>
    <cellStyle name="常规 9 3 2 2 3 4 3" xfId="4070" xr:uid="{00000000-0005-0000-0000-0000B8970000}"/>
    <cellStyle name="常规 9 3 2 2 3 4 3 2" xfId="10214" xr:uid="{00000000-0005-0000-0000-0000B9970000}"/>
    <cellStyle name="常规 9 3 2 2 3 4 3 2 2" xfId="22502" xr:uid="{00000000-0005-0000-0000-0000BA970000}"/>
    <cellStyle name="常规 9 3 2 2 3 4 3 2 2 2" xfId="47078" xr:uid="{00000000-0005-0000-0000-0000BB970000}"/>
    <cellStyle name="常规 9 3 2 2 3 4 3 2 3" xfId="34790" xr:uid="{00000000-0005-0000-0000-0000BC970000}"/>
    <cellStyle name="常规 9 3 2 2 3 4 3 3" xfId="16358" xr:uid="{00000000-0005-0000-0000-0000BD970000}"/>
    <cellStyle name="常规 9 3 2 2 3 4 3 3 2" xfId="40934" xr:uid="{00000000-0005-0000-0000-0000BE970000}"/>
    <cellStyle name="常规 9 3 2 2 3 4 3 4" xfId="28646" xr:uid="{00000000-0005-0000-0000-0000BF970000}"/>
    <cellStyle name="常规 9 3 2 2 3 4 4" xfId="7142" xr:uid="{00000000-0005-0000-0000-0000C0970000}"/>
    <cellStyle name="常规 9 3 2 2 3 4 4 2" xfId="19430" xr:uid="{00000000-0005-0000-0000-0000C1970000}"/>
    <cellStyle name="常规 9 3 2 2 3 4 4 2 2" xfId="44006" xr:uid="{00000000-0005-0000-0000-0000C2970000}"/>
    <cellStyle name="常规 9 3 2 2 3 4 4 3" xfId="31718" xr:uid="{00000000-0005-0000-0000-0000C3970000}"/>
    <cellStyle name="常规 9 3 2 2 3 4 5" xfId="13286" xr:uid="{00000000-0005-0000-0000-0000C4970000}"/>
    <cellStyle name="常规 9 3 2 2 3 4 5 2" xfId="37862" xr:uid="{00000000-0005-0000-0000-0000C5970000}"/>
    <cellStyle name="常规 9 3 2 2 3 4 6" xfId="25574" xr:uid="{00000000-0005-0000-0000-0000C6970000}"/>
    <cellStyle name="常规 9 3 2 2 3 5" xfId="1762" xr:uid="{00000000-0005-0000-0000-0000C7970000}"/>
    <cellStyle name="常规 9 3 2 2 3 5 2" xfId="4838" xr:uid="{00000000-0005-0000-0000-0000C8970000}"/>
    <cellStyle name="常规 9 3 2 2 3 5 2 2" xfId="10982" xr:uid="{00000000-0005-0000-0000-0000C9970000}"/>
    <cellStyle name="常规 9 3 2 2 3 5 2 2 2" xfId="23270" xr:uid="{00000000-0005-0000-0000-0000CA970000}"/>
    <cellStyle name="常规 9 3 2 2 3 5 2 2 2 2" xfId="47846" xr:uid="{00000000-0005-0000-0000-0000CB970000}"/>
    <cellStyle name="常规 9 3 2 2 3 5 2 2 3" xfId="35558" xr:uid="{00000000-0005-0000-0000-0000CC970000}"/>
    <cellStyle name="常规 9 3 2 2 3 5 2 3" xfId="17126" xr:uid="{00000000-0005-0000-0000-0000CD970000}"/>
    <cellStyle name="常规 9 3 2 2 3 5 2 3 2" xfId="41702" xr:uid="{00000000-0005-0000-0000-0000CE970000}"/>
    <cellStyle name="常规 9 3 2 2 3 5 2 4" xfId="29414" xr:uid="{00000000-0005-0000-0000-0000CF970000}"/>
    <cellStyle name="常规 9 3 2 2 3 5 3" xfId="7910" xr:uid="{00000000-0005-0000-0000-0000D0970000}"/>
    <cellStyle name="常规 9 3 2 2 3 5 3 2" xfId="20198" xr:uid="{00000000-0005-0000-0000-0000D1970000}"/>
    <cellStyle name="常规 9 3 2 2 3 5 3 2 2" xfId="44774" xr:uid="{00000000-0005-0000-0000-0000D2970000}"/>
    <cellStyle name="常规 9 3 2 2 3 5 3 3" xfId="32486" xr:uid="{00000000-0005-0000-0000-0000D3970000}"/>
    <cellStyle name="常规 9 3 2 2 3 5 4" xfId="14054" xr:uid="{00000000-0005-0000-0000-0000D4970000}"/>
    <cellStyle name="常规 9 3 2 2 3 5 4 2" xfId="38630" xr:uid="{00000000-0005-0000-0000-0000D5970000}"/>
    <cellStyle name="常规 9 3 2 2 3 5 5" xfId="26342" xr:uid="{00000000-0005-0000-0000-0000D6970000}"/>
    <cellStyle name="常规 9 3 2 2 3 6" xfId="3302" xr:uid="{00000000-0005-0000-0000-0000D7970000}"/>
    <cellStyle name="常规 9 3 2 2 3 6 2" xfId="9446" xr:uid="{00000000-0005-0000-0000-0000D8970000}"/>
    <cellStyle name="常规 9 3 2 2 3 6 2 2" xfId="21734" xr:uid="{00000000-0005-0000-0000-0000D9970000}"/>
    <cellStyle name="常规 9 3 2 2 3 6 2 2 2" xfId="46310" xr:uid="{00000000-0005-0000-0000-0000DA970000}"/>
    <cellStyle name="常规 9 3 2 2 3 6 2 3" xfId="34022" xr:uid="{00000000-0005-0000-0000-0000DB970000}"/>
    <cellStyle name="常规 9 3 2 2 3 6 3" xfId="15590" xr:uid="{00000000-0005-0000-0000-0000DC970000}"/>
    <cellStyle name="常规 9 3 2 2 3 6 3 2" xfId="40166" xr:uid="{00000000-0005-0000-0000-0000DD970000}"/>
    <cellStyle name="常规 9 3 2 2 3 6 4" xfId="27878" xr:uid="{00000000-0005-0000-0000-0000DE970000}"/>
    <cellStyle name="常规 9 3 2 2 3 7" xfId="6374" xr:uid="{00000000-0005-0000-0000-0000DF970000}"/>
    <cellStyle name="常规 9 3 2 2 3 7 2" xfId="18662" xr:uid="{00000000-0005-0000-0000-0000E0970000}"/>
    <cellStyle name="常规 9 3 2 2 3 7 2 2" xfId="43238" xr:uid="{00000000-0005-0000-0000-0000E1970000}"/>
    <cellStyle name="常规 9 3 2 2 3 7 3" xfId="30950" xr:uid="{00000000-0005-0000-0000-0000E2970000}"/>
    <cellStyle name="常规 9 3 2 2 3 8" xfId="12518" xr:uid="{00000000-0005-0000-0000-0000E3970000}"/>
    <cellStyle name="常规 9 3 2 2 3 8 2" xfId="37094" xr:uid="{00000000-0005-0000-0000-0000E4970000}"/>
    <cellStyle name="常规 9 3 2 2 3 9" xfId="24806" xr:uid="{00000000-0005-0000-0000-0000E5970000}"/>
    <cellStyle name="常规 9 3 2 2 4" xfId="290" xr:uid="{00000000-0005-0000-0000-0000E6970000}"/>
    <cellStyle name="常规 9 3 2 2 4 2" xfId="482" xr:uid="{00000000-0005-0000-0000-0000E7970000}"/>
    <cellStyle name="常规 9 3 2 2 4 2 2" xfId="866" xr:uid="{00000000-0005-0000-0000-0000E8970000}"/>
    <cellStyle name="常规 9 3 2 2 4 2 2 2" xfId="1634" xr:uid="{00000000-0005-0000-0000-0000E9970000}"/>
    <cellStyle name="常规 9 3 2 2 4 2 2 2 2" xfId="3170" xr:uid="{00000000-0005-0000-0000-0000EA970000}"/>
    <cellStyle name="常规 9 3 2 2 4 2 2 2 2 2" xfId="6246" xr:uid="{00000000-0005-0000-0000-0000EB970000}"/>
    <cellStyle name="常规 9 3 2 2 4 2 2 2 2 2 2" xfId="12390" xr:uid="{00000000-0005-0000-0000-0000EC970000}"/>
    <cellStyle name="常规 9 3 2 2 4 2 2 2 2 2 2 2" xfId="24678" xr:uid="{00000000-0005-0000-0000-0000ED970000}"/>
    <cellStyle name="常规 9 3 2 2 4 2 2 2 2 2 2 2 2" xfId="49254" xr:uid="{00000000-0005-0000-0000-0000EE970000}"/>
    <cellStyle name="常规 9 3 2 2 4 2 2 2 2 2 2 3" xfId="36966" xr:uid="{00000000-0005-0000-0000-0000EF970000}"/>
    <cellStyle name="常规 9 3 2 2 4 2 2 2 2 2 3" xfId="18534" xr:uid="{00000000-0005-0000-0000-0000F0970000}"/>
    <cellStyle name="常规 9 3 2 2 4 2 2 2 2 2 3 2" xfId="43110" xr:uid="{00000000-0005-0000-0000-0000F1970000}"/>
    <cellStyle name="常规 9 3 2 2 4 2 2 2 2 2 4" xfId="30822" xr:uid="{00000000-0005-0000-0000-0000F2970000}"/>
    <cellStyle name="常规 9 3 2 2 4 2 2 2 2 3" xfId="9318" xr:uid="{00000000-0005-0000-0000-0000F3970000}"/>
    <cellStyle name="常规 9 3 2 2 4 2 2 2 2 3 2" xfId="21606" xr:uid="{00000000-0005-0000-0000-0000F4970000}"/>
    <cellStyle name="常规 9 3 2 2 4 2 2 2 2 3 2 2" xfId="46182" xr:uid="{00000000-0005-0000-0000-0000F5970000}"/>
    <cellStyle name="常规 9 3 2 2 4 2 2 2 2 3 3" xfId="33894" xr:uid="{00000000-0005-0000-0000-0000F6970000}"/>
    <cellStyle name="常规 9 3 2 2 4 2 2 2 2 4" xfId="15462" xr:uid="{00000000-0005-0000-0000-0000F7970000}"/>
    <cellStyle name="常规 9 3 2 2 4 2 2 2 2 4 2" xfId="40038" xr:uid="{00000000-0005-0000-0000-0000F8970000}"/>
    <cellStyle name="常规 9 3 2 2 4 2 2 2 2 5" xfId="27750" xr:uid="{00000000-0005-0000-0000-0000F9970000}"/>
    <cellStyle name="常规 9 3 2 2 4 2 2 2 3" xfId="4710" xr:uid="{00000000-0005-0000-0000-0000FA970000}"/>
    <cellStyle name="常规 9 3 2 2 4 2 2 2 3 2" xfId="10854" xr:uid="{00000000-0005-0000-0000-0000FB970000}"/>
    <cellStyle name="常规 9 3 2 2 4 2 2 2 3 2 2" xfId="23142" xr:uid="{00000000-0005-0000-0000-0000FC970000}"/>
    <cellStyle name="常规 9 3 2 2 4 2 2 2 3 2 2 2" xfId="47718" xr:uid="{00000000-0005-0000-0000-0000FD970000}"/>
    <cellStyle name="常规 9 3 2 2 4 2 2 2 3 2 3" xfId="35430" xr:uid="{00000000-0005-0000-0000-0000FE970000}"/>
    <cellStyle name="常规 9 3 2 2 4 2 2 2 3 3" xfId="16998" xr:uid="{00000000-0005-0000-0000-0000FF970000}"/>
    <cellStyle name="常规 9 3 2 2 4 2 2 2 3 3 2" xfId="41574" xr:uid="{00000000-0005-0000-0000-000000980000}"/>
    <cellStyle name="常规 9 3 2 2 4 2 2 2 3 4" xfId="29286" xr:uid="{00000000-0005-0000-0000-000001980000}"/>
    <cellStyle name="常规 9 3 2 2 4 2 2 2 4" xfId="7782" xr:uid="{00000000-0005-0000-0000-000002980000}"/>
    <cellStyle name="常规 9 3 2 2 4 2 2 2 4 2" xfId="20070" xr:uid="{00000000-0005-0000-0000-000003980000}"/>
    <cellStyle name="常规 9 3 2 2 4 2 2 2 4 2 2" xfId="44646" xr:uid="{00000000-0005-0000-0000-000004980000}"/>
    <cellStyle name="常规 9 3 2 2 4 2 2 2 4 3" xfId="32358" xr:uid="{00000000-0005-0000-0000-000005980000}"/>
    <cellStyle name="常规 9 3 2 2 4 2 2 2 5" xfId="13926" xr:uid="{00000000-0005-0000-0000-000006980000}"/>
    <cellStyle name="常规 9 3 2 2 4 2 2 2 5 2" xfId="38502" xr:uid="{00000000-0005-0000-0000-000007980000}"/>
    <cellStyle name="常规 9 3 2 2 4 2 2 2 6" xfId="26214" xr:uid="{00000000-0005-0000-0000-000008980000}"/>
    <cellStyle name="常规 9 3 2 2 4 2 2 3" xfId="2402" xr:uid="{00000000-0005-0000-0000-000009980000}"/>
    <cellStyle name="常规 9 3 2 2 4 2 2 3 2" xfId="5478" xr:uid="{00000000-0005-0000-0000-00000A980000}"/>
    <cellStyle name="常规 9 3 2 2 4 2 2 3 2 2" xfId="11622" xr:uid="{00000000-0005-0000-0000-00000B980000}"/>
    <cellStyle name="常规 9 3 2 2 4 2 2 3 2 2 2" xfId="23910" xr:uid="{00000000-0005-0000-0000-00000C980000}"/>
    <cellStyle name="常规 9 3 2 2 4 2 2 3 2 2 2 2" xfId="48486" xr:uid="{00000000-0005-0000-0000-00000D980000}"/>
    <cellStyle name="常规 9 3 2 2 4 2 2 3 2 2 3" xfId="36198" xr:uid="{00000000-0005-0000-0000-00000E980000}"/>
    <cellStyle name="常规 9 3 2 2 4 2 2 3 2 3" xfId="17766" xr:uid="{00000000-0005-0000-0000-00000F980000}"/>
    <cellStyle name="常规 9 3 2 2 4 2 2 3 2 3 2" xfId="42342" xr:uid="{00000000-0005-0000-0000-000010980000}"/>
    <cellStyle name="常规 9 3 2 2 4 2 2 3 2 4" xfId="30054" xr:uid="{00000000-0005-0000-0000-000011980000}"/>
    <cellStyle name="常规 9 3 2 2 4 2 2 3 3" xfId="8550" xr:uid="{00000000-0005-0000-0000-000012980000}"/>
    <cellStyle name="常规 9 3 2 2 4 2 2 3 3 2" xfId="20838" xr:uid="{00000000-0005-0000-0000-000013980000}"/>
    <cellStyle name="常规 9 3 2 2 4 2 2 3 3 2 2" xfId="45414" xr:uid="{00000000-0005-0000-0000-000014980000}"/>
    <cellStyle name="常规 9 3 2 2 4 2 2 3 3 3" xfId="33126" xr:uid="{00000000-0005-0000-0000-000015980000}"/>
    <cellStyle name="常规 9 3 2 2 4 2 2 3 4" xfId="14694" xr:uid="{00000000-0005-0000-0000-000016980000}"/>
    <cellStyle name="常规 9 3 2 2 4 2 2 3 4 2" xfId="39270" xr:uid="{00000000-0005-0000-0000-000017980000}"/>
    <cellStyle name="常规 9 3 2 2 4 2 2 3 5" xfId="26982" xr:uid="{00000000-0005-0000-0000-000018980000}"/>
    <cellStyle name="常规 9 3 2 2 4 2 2 4" xfId="3942" xr:uid="{00000000-0005-0000-0000-000019980000}"/>
    <cellStyle name="常规 9 3 2 2 4 2 2 4 2" xfId="10086" xr:uid="{00000000-0005-0000-0000-00001A980000}"/>
    <cellStyle name="常规 9 3 2 2 4 2 2 4 2 2" xfId="22374" xr:uid="{00000000-0005-0000-0000-00001B980000}"/>
    <cellStyle name="常规 9 3 2 2 4 2 2 4 2 2 2" xfId="46950" xr:uid="{00000000-0005-0000-0000-00001C980000}"/>
    <cellStyle name="常规 9 3 2 2 4 2 2 4 2 3" xfId="34662" xr:uid="{00000000-0005-0000-0000-00001D980000}"/>
    <cellStyle name="常规 9 3 2 2 4 2 2 4 3" xfId="16230" xr:uid="{00000000-0005-0000-0000-00001E980000}"/>
    <cellStyle name="常规 9 3 2 2 4 2 2 4 3 2" xfId="40806" xr:uid="{00000000-0005-0000-0000-00001F980000}"/>
    <cellStyle name="常规 9 3 2 2 4 2 2 4 4" xfId="28518" xr:uid="{00000000-0005-0000-0000-000020980000}"/>
    <cellStyle name="常规 9 3 2 2 4 2 2 5" xfId="7014" xr:uid="{00000000-0005-0000-0000-000021980000}"/>
    <cellStyle name="常规 9 3 2 2 4 2 2 5 2" xfId="19302" xr:uid="{00000000-0005-0000-0000-000022980000}"/>
    <cellStyle name="常规 9 3 2 2 4 2 2 5 2 2" xfId="43878" xr:uid="{00000000-0005-0000-0000-000023980000}"/>
    <cellStyle name="常规 9 3 2 2 4 2 2 5 3" xfId="31590" xr:uid="{00000000-0005-0000-0000-000024980000}"/>
    <cellStyle name="常规 9 3 2 2 4 2 2 6" xfId="13158" xr:uid="{00000000-0005-0000-0000-000025980000}"/>
    <cellStyle name="常规 9 3 2 2 4 2 2 6 2" xfId="37734" xr:uid="{00000000-0005-0000-0000-000026980000}"/>
    <cellStyle name="常规 9 3 2 2 4 2 2 7" xfId="25446" xr:uid="{00000000-0005-0000-0000-000027980000}"/>
    <cellStyle name="常规 9 3 2 2 4 2 3" xfId="1250" xr:uid="{00000000-0005-0000-0000-000028980000}"/>
    <cellStyle name="常规 9 3 2 2 4 2 3 2" xfId="2786" xr:uid="{00000000-0005-0000-0000-000029980000}"/>
    <cellStyle name="常规 9 3 2 2 4 2 3 2 2" xfId="5862" xr:uid="{00000000-0005-0000-0000-00002A980000}"/>
    <cellStyle name="常规 9 3 2 2 4 2 3 2 2 2" xfId="12006" xr:uid="{00000000-0005-0000-0000-00002B980000}"/>
    <cellStyle name="常规 9 3 2 2 4 2 3 2 2 2 2" xfId="24294" xr:uid="{00000000-0005-0000-0000-00002C980000}"/>
    <cellStyle name="常规 9 3 2 2 4 2 3 2 2 2 2 2" xfId="48870" xr:uid="{00000000-0005-0000-0000-00002D980000}"/>
    <cellStyle name="常规 9 3 2 2 4 2 3 2 2 2 3" xfId="36582" xr:uid="{00000000-0005-0000-0000-00002E980000}"/>
    <cellStyle name="常规 9 3 2 2 4 2 3 2 2 3" xfId="18150" xr:uid="{00000000-0005-0000-0000-00002F980000}"/>
    <cellStyle name="常规 9 3 2 2 4 2 3 2 2 3 2" xfId="42726" xr:uid="{00000000-0005-0000-0000-000030980000}"/>
    <cellStyle name="常规 9 3 2 2 4 2 3 2 2 4" xfId="30438" xr:uid="{00000000-0005-0000-0000-000031980000}"/>
    <cellStyle name="常规 9 3 2 2 4 2 3 2 3" xfId="8934" xr:uid="{00000000-0005-0000-0000-000032980000}"/>
    <cellStyle name="常规 9 3 2 2 4 2 3 2 3 2" xfId="21222" xr:uid="{00000000-0005-0000-0000-000033980000}"/>
    <cellStyle name="常规 9 3 2 2 4 2 3 2 3 2 2" xfId="45798" xr:uid="{00000000-0005-0000-0000-000034980000}"/>
    <cellStyle name="常规 9 3 2 2 4 2 3 2 3 3" xfId="33510" xr:uid="{00000000-0005-0000-0000-000035980000}"/>
    <cellStyle name="常规 9 3 2 2 4 2 3 2 4" xfId="15078" xr:uid="{00000000-0005-0000-0000-000036980000}"/>
    <cellStyle name="常规 9 3 2 2 4 2 3 2 4 2" xfId="39654" xr:uid="{00000000-0005-0000-0000-000037980000}"/>
    <cellStyle name="常规 9 3 2 2 4 2 3 2 5" xfId="27366" xr:uid="{00000000-0005-0000-0000-000038980000}"/>
    <cellStyle name="常规 9 3 2 2 4 2 3 3" xfId="4326" xr:uid="{00000000-0005-0000-0000-000039980000}"/>
    <cellStyle name="常规 9 3 2 2 4 2 3 3 2" xfId="10470" xr:uid="{00000000-0005-0000-0000-00003A980000}"/>
    <cellStyle name="常规 9 3 2 2 4 2 3 3 2 2" xfId="22758" xr:uid="{00000000-0005-0000-0000-00003B980000}"/>
    <cellStyle name="常规 9 3 2 2 4 2 3 3 2 2 2" xfId="47334" xr:uid="{00000000-0005-0000-0000-00003C980000}"/>
    <cellStyle name="常规 9 3 2 2 4 2 3 3 2 3" xfId="35046" xr:uid="{00000000-0005-0000-0000-00003D980000}"/>
    <cellStyle name="常规 9 3 2 2 4 2 3 3 3" xfId="16614" xr:uid="{00000000-0005-0000-0000-00003E980000}"/>
    <cellStyle name="常规 9 3 2 2 4 2 3 3 3 2" xfId="41190" xr:uid="{00000000-0005-0000-0000-00003F980000}"/>
    <cellStyle name="常规 9 3 2 2 4 2 3 3 4" xfId="28902" xr:uid="{00000000-0005-0000-0000-000040980000}"/>
    <cellStyle name="常规 9 3 2 2 4 2 3 4" xfId="7398" xr:uid="{00000000-0005-0000-0000-000041980000}"/>
    <cellStyle name="常规 9 3 2 2 4 2 3 4 2" xfId="19686" xr:uid="{00000000-0005-0000-0000-000042980000}"/>
    <cellStyle name="常规 9 3 2 2 4 2 3 4 2 2" xfId="44262" xr:uid="{00000000-0005-0000-0000-000043980000}"/>
    <cellStyle name="常规 9 3 2 2 4 2 3 4 3" xfId="31974" xr:uid="{00000000-0005-0000-0000-000044980000}"/>
    <cellStyle name="常规 9 3 2 2 4 2 3 5" xfId="13542" xr:uid="{00000000-0005-0000-0000-000045980000}"/>
    <cellStyle name="常规 9 3 2 2 4 2 3 5 2" xfId="38118" xr:uid="{00000000-0005-0000-0000-000046980000}"/>
    <cellStyle name="常规 9 3 2 2 4 2 3 6" xfId="25830" xr:uid="{00000000-0005-0000-0000-000047980000}"/>
    <cellStyle name="常规 9 3 2 2 4 2 4" xfId="2018" xr:uid="{00000000-0005-0000-0000-000048980000}"/>
    <cellStyle name="常规 9 3 2 2 4 2 4 2" xfId="5094" xr:uid="{00000000-0005-0000-0000-000049980000}"/>
    <cellStyle name="常规 9 3 2 2 4 2 4 2 2" xfId="11238" xr:uid="{00000000-0005-0000-0000-00004A980000}"/>
    <cellStyle name="常规 9 3 2 2 4 2 4 2 2 2" xfId="23526" xr:uid="{00000000-0005-0000-0000-00004B980000}"/>
    <cellStyle name="常规 9 3 2 2 4 2 4 2 2 2 2" xfId="48102" xr:uid="{00000000-0005-0000-0000-00004C980000}"/>
    <cellStyle name="常规 9 3 2 2 4 2 4 2 2 3" xfId="35814" xr:uid="{00000000-0005-0000-0000-00004D980000}"/>
    <cellStyle name="常规 9 3 2 2 4 2 4 2 3" xfId="17382" xr:uid="{00000000-0005-0000-0000-00004E980000}"/>
    <cellStyle name="常规 9 3 2 2 4 2 4 2 3 2" xfId="41958" xr:uid="{00000000-0005-0000-0000-00004F980000}"/>
    <cellStyle name="常规 9 3 2 2 4 2 4 2 4" xfId="29670" xr:uid="{00000000-0005-0000-0000-000050980000}"/>
    <cellStyle name="常规 9 3 2 2 4 2 4 3" xfId="8166" xr:uid="{00000000-0005-0000-0000-000051980000}"/>
    <cellStyle name="常规 9 3 2 2 4 2 4 3 2" xfId="20454" xr:uid="{00000000-0005-0000-0000-000052980000}"/>
    <cellStyle name="常规 9 3 2 2 4 2 4 3 2 2" xfId="45030" xr:uid="{00000000-0005-0000-0000-000053980000}"/>
    <cellStyle name="常规 9 3 2 2 4 2 4 3 3" xfId="32742" xr:uid="{00000000-0005-0000-0000-000054980000}"/>
    <cellStyle name="常规 9 3 2 2 4 2 4 4" xfId="14310" xr:uid="{00000000-0005-0000-0000-000055980000}"/>
    <cellStyle name="常规 9 3 2 2 4 2 4 4 2" xfId="38886" xr:uid="{00000000-0005-0000-0000-000056980000}"/>
    <cellStyle name="常规 9 3 2 2 4 2 4 5" xfId="26598" xr:uid="{00000000-0005-0000-0000-000057980000}"/>
    <cellStyle name="常规 9 3 2 2 4 2 5" xfId="3558" xr:uid="{00000000-0005-0000-0000-000058980000}"/>
    <cellStyle name="常规 9 3 2 2 4 2 5 2" xfId="9702" xr:uid="{00000000-0005-0000-0000-000059980000}"/>
    <cellStyle name="常规 9 3 2 2 4 2 5 2 2" xfId="21990" xr:uid="{00000000-0005-0000-0000-00005A980000}"/>
    <cellStyle name="常规 9 3 2 2 4 2 5 2 2 2" xfId="46566" xr:uid="{00000000-0005-0000-0000-00005B980000}"/>
    <cellStyle name="常规 9 3 2 2 4 2 5 2 3" xfId="34278" xr:uid="{00000000-0005-0000-0000-00005C980000}"/>
    <cellStyle name="常规 9 3 2 2 4 2 5 3" xfId="15846" xr:uid="{00000000-0005-0000-0000-00005D980000}"/>
    <cellStyle name="常规 9 3 2 2 4 2 5 3 2" xfId="40422" xr:uid="{00000000-0005-0000-0000-00005E980000}"/>
    <cellStyle name="常规 9 3 2 2 4 2 5 4" xfId="28134" xr:uid="{00000000-0005-0000-0000-00005F980000}"/>
    <cellStyle name="常规 9 3 2 2 4 2 6" xfId="6630" xr:uid="{00000000-0005-0000-0000-000060980000}"/>
    <cellStyle name="常规 9 3 2 2 4 2 6 2" xfId="18918" xr:uid="{00000000-0005-0000-0000-000061980000}"/>
    <cellStyle name="常规 9 3 2 2 4 2 6 2 2" xfId="43494" xr:uid="{00000000-0005-0000-0000-000062980000}"/>
    <cellStyle name="常规 9 3 2 2 4 2 6 3" xfId="31206" xr:uid="{00000000-0005-0000-0000-000063980000}"/>
    <cellStyle name="常规 9 3 2 2 4 2 7" xfId="12774" xr:uid="{00000000-0005-0000-0000-000064980000}"/>
    <cellStyle name="常规 9 3 2 2 4 2 7 2" xfId="37350" xr:uid="{00000000-0005-0000-0000-000065980000}"/>
    <cellStyle name="常规 9 3 2 2 4 2 8" xfId="25062" xr:uid="{00000000-0005-0000-0000-000066980000}"/>
    <cellStyle name="常规 9 3 2 2 4 3" xfId="674" xr:uid="{00000000-0005-0000-0000-000067980000}"/>
    <cellStyle name="常规 9 3 2 2 4 3 2" xfId="1442" xr:uid="{00000000-0005-0000-0000-000068980000}"/>
    <cellStyle name="常规 9 3 2 2 4 3 2 2" xfId="2978" xr:uid="{00000000-0005-0000-0000-000069980000}"/>
    <cellStyle name="常规 9 3 2 2 4 3 2 2 2" xfId="6054" xr:uid="{00000000-0005-0000-0000-00006A980000}"/>
    <cellStyle name="常规 9 3 2 2 4 3 2 2 2 2" xfId="12198" xr:uid="{00000000-0005-0000-0000-00006B980000}"/>
    <cellStyle name="常规 9 3 2 2 4 3 2 2 2 2 2" xfId="24486" xr:uid="{00000000-0005-0000-0000-00006C980000}"/>
    <cellStyle name="常规 9 3 2 2 4 3 2 2 2 2 2 2" xfId="49062" xr:uid="{00000000-0005-0000-0000-00006D980000}"/>
    <cellStyle name="常规 9 3 2 2 4 3 2 2 2 2 3" xfId="36774" xr:uid="{00000000-0005-0000-0000-00006E980000}"/>
    <cellStyle name="常规 9 3 2 2 4 3 2 2 2 3" xfId="18342" xr:uid="{00000000-0005-0000-0000-00006F980000}"/>
    <cellStyle name="常规 9 3 2 2 4 3 2 2 2 3 2" xfId="42918" xr:uid="{00000000-0005-0000-0000-000070980000}"/>
    <cellStyle name="常规 9 3 2 2 4 3 2 2 2 4" xfId="30630" xr:uid="{00000000-0005-0000-0000-000071980000}"/>
    <cellStyle name="常规 9 3 2 2 4 3 2 2 3" xfId="9126" xr:uid="{00000000-0005-0000-0000-000072980000}"/>
    <cellStyle name="常规 9 3 2 2 4 3 2 2 3 2" xfId="21414" xr:uid="{00000000-0005-0000-0000-000073980000}"/>
    <cellStyle name="常规 9 3 2 2 4 3 2 2 3 2 2" xfId="45990" xr:uid="{00000000-0005-0000-0000-000074980000}"/>
    <cellStyle name="常规 9 3 2 2 4 3 2 2 3 3" xfId="33702" xr:uid="{00000000-0005-0000-0000-000075980000}"/>
    <cellStyle name="常规 9 3 2 2 4 3 2 2 4" xfId="15270" xr:uid="{00000000-0005-0000-0000-000076980000}"/>
    <cellStyle name="常规 9 3 2 2 4 3 2 2 4 2" xfId="39846" xr:uid="{00000000-0005-0000-0000-000077980000}"/>
    <cellStyle name="常规 9 3 2 2 4 3 2 2 5" xfId="27558" xr:uid="{00000000-0005-0000-0000-000078980000}"/>
    <cellStyle name="常规 9 3 2 2 4 3 2 3" xfId="4518" xr:uid="{00000000-0005-0000-0000-000079980000}"/>
    <cellStyle name="常规 9 3 2 2 4 3 2 3 2" xfId="10662" xr:uid="{00000000-0005-0000-0000-00007A980000}"/>
    <cellStyle name="常规 9 3 2 2 4 3 2 3 2 2" xfId="22950" xr:uid="{00000000-0005-0000-0000-00007B980000}"/>
    <cellStyle name="常规 9 3 2 2 4 3 2 3 2 2 2" xfId="47526" xr:uid="{00000000-0005-0000-0000-00007C980000}"/>
    <cellStyle name="常规 9 3 2 2 4 3 2 3 2 3" xfId="35238" xr:uid="{00000000-0005-0000-0000-00007D980000}"/>
    <cellStyle name="常规 9 3 2 2 4 3 2 3 3" xfId="16806" xr:uid="{00000000-0005-0000-0000-00007E980000}"/>
    <cellStyle name="常规 9 3 2 2 4 3 2 3 3 2" xfId="41382" xr:uid="{00000000-0005-0000-0000-00007F980000}"/>
    <cellStyle name="常规 9 3 2 2 4 3 2 3 4" xfId="29094" xr:uid="{00000000-0005-0000-0000-000080980000}"/>
    <cellStyle name="常规 9 3 2 2 4 3 2 4" xfId="7590" xr:uid="{00000000-0005-0000-0000-000081980000}"/>
    <cellStyle name="常规 9 3 2 2 4 3 2 4 2" xfId="19878" xr:uid="{00000000-0005-0000-0000-000082980000}"/>
    <cellStyle name="常规 9 3 2 2 4 3 2 4 2 2" xfId="44454" xr:uid="{00000000-0005-0000-0000-000083980000}"/>
    <cellStyle name="常规 9 3 2 2 4 3 2 4 3" xfId="32166" xr:uid="{00000000-0005-0000-0000-000084980000}"/>
    <cellStyle name="常规 9 3 2 2 4 3 2 5" xfId="13734" xr:uid="{00000000-0005-0000-0000-000085980000}"/>
    <cellStyle name="常规 9 3 2 2 4 3 2 5 2" xfId="38310" xr:uid="{00000000-0005-0000-0000-000086980000}"/>
    <cellStyle name="常规 9 3 2 2 4 3 2 6" xfId="26022" xr:uid="{00000000-0005-0000-0000-000087980000}"/>
    <cellStyle name="常规 9 3 2 2 4 3 3" xfId="2210" xr:uid="{00000000-0005-0000-0000-000088980000}"/>
    <cellStyle name="常规 9 3 2 2 4 3 3 2" xfId="5286" xr:uid="{00000000-0005-0000-0000-000089980000}"/>
    <cellStyle name="常规 9 3 2 2 4 3 3 2 2" xfId="11430" xr:uid="{00000000-0005-0000-0000-00008A980000}"/>
    <cellStyle name="常规 9 3 2 2 4 3 3 2 2 2" xfId="23718" xr:uid="{00000000-0005-0000-0000-00008B980000}"/>
    <cellStyle name="常规 9 3 2 2 4 3 3 2 2 2 2" xfId="48294" xr:uid="{00000000-0005-0000-0000-00008C980000}"/>
    <cellStyle name="常规 9 3 2 2 4 3 3 2 2 3" xfId="36006" xr:uid="{00000000-0005-0000-0000-00008D980000}"/>
    <cellStyle name="常规 9 3 2 2 4 3 3 2 3" xfId="17574" xr:uid="{00000000-0005-0000-0000-00008E980000}"/>
    <cellStyle name="常规 9 3 2 2 4 3 3 2 3 2" xfId="42150" xr:uid="{00000000-0005-0000-0000-00008F980000}"/>
    <cellStyle name="常规 9 3 2 2 4 3 3 2 4" xfId="29862" xr:uid="{00000000-0005-0000-0000-000090980000}"/>
    <cellStyle name="常规 9 3 2 2 4 3 3 3" xfId="8358" xr:uid="{00000000-0005-0000-0000-000091980000}"/>
    <cellStyle name="常规 9 3 2 2 4 3 3 3 2" xfId="20646" xr:uid="{00000000-0005-0000-0000-000092980000}"/>
    <cellStyle name="常规 9 3 2 2 4 3 3 3 2 2" xfId="45222" xr:uid="{00000000-0005-0000-0000-000093980000}"/>
    <cellStyle name="常规 9 3 2 2 4 3 3 3 3" xfId="32934" xr:uid="{00000000-0005-0000-0000-000094980000}"/>
    <cellStyle name="常规 9 3 2 2 4 3 3 4" xfId="14502" xr:uid="{00000000-0005-0000-0000-000095980000}"/>
    <cellStyle name="常规 9 3 2 2 4 3 3 4 2" xfId="39078" xr:uid="{00000000-0005-0000-0000-000096980000}"/>
    <cellStyle name="常规 9 3 2 2 4 3 3 5" xfId="26790" xr:uid="{00000000-0005-0000-0000-000097980000}"/>
    <cellStyle name="常规 9 3 2 2 4 3 4" xfId="3750" xr:uid="{00000000-0005-0000-0000-000098980000}"/>
    <cellStyle name="常规 9 3 2 2 4 3 4 2" xfId="9894" xr:uid="{00000000-0005-0000-0000-000099980000}"/>
    <cellStyle name="常规 9 3 2 2 4 3 4 2 2" xfId="22182" xr:uid="{00000000-0005-0000-0000-00009A980000}"/>
    <cellStyle name="常规 9 3 2 2 4 3 4 2 2 2" xfId="46758" xr:uid="{00000000-0005-0000-0000-00009B980000}"/>
    <cellStyle name="常规 9 3 2 2 4 3 4 2 3" xfId="34470" xr:uid="{00000000-0005-0000-0000-00009C980000}"/>
    <cellStyle name="常规 9 3 2 2 4 3 4 3" xfId="16038" xr:uid="{00000000-0005-0000-0000-00009D980000}"/>
    <cellStyle name="常规 9 3 2 2 4 3 4 3 2" xfId="40614" xr:uid="{00000000-0005-0000-0000-00009E980000}"/>
    <cellStyle name="常规 9 3 2 2 4 3 4 4" xfId="28326" xr:uid="{00000000-0005-0000-0000-00009F980000}"/>
    <cellStyle name="常规 9 3 2 2 4 3 5" xfId="6822" xr:uid="{00000000-0005-0000-0000-0000A0980000}"/>
    <cellStyle name="常规 9 3 2 2 4 3 5 2" xfId="19110" xr:uid="{00000000-0005-0000-0000-0000A1980000}"/>
    <cellStyle name="常规 9 3 2 2 4 3 5 2 2" xfId="43686" xr:uid="{00000000-0005-0000-0000-0000A2980000}"/>
    <cellStyle name="常规 9 3 2 2 4 3 5 3" xfId="31398" xr:uid="{00000000-0005-0000-0000-0000A3980000}"/>
    <cellStyle name="常规 9 3 2 2 4 3 6" xfId="12966" xr:uid="{00000000-0005-0000-0000-0000A4980000}"/>
    <cellStyle name="常规 9 3 2 2 4 3 6 2" xfId="37542" xr:uid="{00000000-0005-0000-0000-0000A5980000}"/>
    <cellStyle name="常规 9 3 2 2 4 3 7" xfId="25254" xr:uid="{00000000-0005-0000-0000-0000A6980000}"/>
    <cellStyle name="常规 9 3 2 2 4 4" xfId="1058" xr:uid="{00000000-0005-0000-0000-0000A7980000}"/>
    <cellStyle name="常规 9 3 2 2 4 4 2" xfId="2594" xr:uid="{00000000-0005-0000-0000-0000A8980000}"/>
    <cellStyle name="常规 9 3 2 2 4 4 2 2" xfId="5670" xr:uid="{00000000-0005-0000-0000-0000A9980000}"/>
    <cellStyle name="常规 9 3 2 2 4 4 2 2 2" xfId="11814" xr:uid="{00000000-0005-0000-0000-0000AA980000}"/>
    <cellStyle name="常规 9 3 2 2 4 4 2 2 2 2" xfId="24102" xr:uid="{00000000-0005-0000-0000-0000AB980000}"/>
    <cellStyle name="常规 9 3 2 2 4 4 2 2 2 2 2" xfId="48678" xr:uid="{00000000-0005-0000-0000-0000AC980000}"/>
    <cellStyle name="常规 9 3 2 2 4 4 2 2 2 3" xfId="36390" xr:uid="{00000000-0005-0000-0000-0000AD980000}"/>
    <cellStyle name="常规 9 3 2 2 4 4 2 2 3" xfId="17958" xr:uid="{00000000-0005-0000-0000-0000AE980000}"/>
    <cellStyle name="常规 9 3 2 2 4 4 2 2 3 2" xfId="42534" xr:uid="{00000000-0005-0000-0000-0000AF980000}"/>
    <cellStyle name="常规 9 3 2 2 4 4 2 2 4" xfId="30246" xr:uid="{00000000-0005-0000-0000-0000B0980000}"/>
    <cellStyle name="常规 9 3 2 2 4 4 2 3" xfId="8742" xr:uid="{00000000-0005-0000-0000-0000B1980000}"/>
    <cellStyle name="常规 9 3 2 2 4 4 2 3 2" xfId="21030" xr:uid="{00000000-0005-0000-0000-0000B2980000}"/>
    <cellStyle name="常规 9 3 2 2 4 4 2 3 2 2" xfId="45606" xr:uid="{00000000-0005-0000-0000-0000B3980000}"/>
    <cellStyle name="常规 9 3 2 2 4 4 2 3 3" xfId="33318" xr:uid="{00000000-0005-0000-0000-0000B4980000}"/>
    <cellStyle name="常规 9 3 2 2 4 4 2 4" xfId="14886" xr:uid="{00000000-0005-0000-0000-0000B5980000}"/>
    <cellStyle name="常规 9 3 2 2 4 4 2 4 2" xfId="39462" xr:uid="{00000000-0005-0000-0000-0000B6980000}"/>
    <cellStyle name="常规 9 3 2 2 4 4 2 5" xfId="27174" xr:uid="{00000000-0005-0000-0000-0000B7980000}"/>
    <cellStyle name="常规 9 3 2 2 4 4 3" xfId="4134" xr:uid="{00000000-0005-0000-0000-0000B8980000}"/>
    <cellStyle name="常规 9 3 2 2 4 4 3 2" xfId="10278" xr:uid="{00000000-0005-0000-0000-0000B9980000}"/>
    <cellStyle name="常规 9 3 2 2 4 4 3 2 2" xfId="22566" xr:uid="{00000000-0005-0000-0000-0000BA980000}"/>
    <cellStyle name="常规 9 3 2 2 4 4 3 2 2 2" xfId="47142" xr:uid="{00000000-0005-0000-0000-0000BB980000}"/>
    <cellStyle name="常规 9 3 2 2 4 4 3 2 3" xfId="34854" xr:uid="{00000000-0005-0000-0000-0000BC980000}"/>
    <cellStyle name="常规 9 3 2 2 4 4 3 3" xfId="16422" xr:uid="{00000000-0005-0000-0000-0000BD980000}"/>
    <cellStyle name="常规 9 3 2 2 4 4 3 3 2" xfId="40998" xr:uid="{00000000-0005-0000-0000-0000BE980000}"/>
    <cellStyle name="常规 9 3 2 2 4 4 3 4" xfId="28710" xr:uid="{00000000-0005-0000-0000-0000BF980000}"/>
    <cellStyle name="常规 9 3 2 2 4 4 4" xfId="7206" xr:uid="{00000000-0005-0000-0000-0000C0980000}"/>
    <cellStyle name="常规 9 3 2 2 4 4 4 2" xfId="19494" xr:uid="{00000000-0005-0000-0000-0000C1980000}"/>
    <cellStyle name="常规 9 3 2 2 4 4 4 2 2" xfId="44070" xr:uid="{00000000-0005-0000-0000-0000C2980000}"/>
    <cellStyle name="常规 9 3 2 2 4 4 4 3" xfId="31782" xr:uid="{00000000-0005-0000-0000-0000C3980000}"/>
    <cellStyle name="常规 9 3 2 2 4 4 5" xfId="13350" xr:uid="{00000000-0005-0000-0000-0000C4980000}"/>
    <cellStyle name="常规 9 3 2 2 4 4 5 2" xfId="37926" xr:uid="{00000000-0005-0000-0000-0000C5980000}"/>
    <cellStyle name="常规 9 3 2 2 4 4 6" xfId="25638" xr:uid="{00000000-0005-0000-0000-0000C6980000}"/>
    <cellStyle name="常规 9 3 2 2 4 5" xfId="1826" xr:uid="{00000000-0005-0000-0000-0000C7980000}"/>
    <cellStyle name="常规 9 3 2 2 4 5 2" xfId="4902" xr:uid="{00000000-0005-0000-0000-0000C8980000}"/>
    <cellStyle name="常规 9 3 2 2 4 5 2 2" xfId="11046" xr:uid="{00000000-0005-0000-0000-0000C9980000}"/>
    <cellStyle name="常规 9 3 2 2 4 5 2 2 2" xfId="23334" xr:uid="{00000000-0005-0000-0000-0000CA980000}"/>
    <cellStyle name="常规 9 3 2 2 4 5 2 2 2 2" xfId="47910" xr:uid="{00000000-0005-0000-0000-0000CB980000}"/>
    <cellStyle name="常规 9 3 2 2 4 5 2 2 3" xfId="35622" xr:uid="{00000000-0005-0000-0000-0000CC980000}"/>
    <cellStyle name="常规 9 3 2 2 4 5 2 3" xfId="17190" xr:uid="{00000000-0005-0000-0000-0000CD980000}"/>
    <cellStyle name="常规 9 3 2 2 4 5 2 3 2" xfId="41766" xr:uid="{00000000-0005-0000-0000-0000CE980000}"/>
    <cellStyle name="常规 9 3 2 2 4 5 2 4" xfId="29478" xr:uid="{00000000-0005-0000-0000-0000CF980000}"/>
    <cellStyle name="常规 9 3 2 2 4 5 3" xfId="7974" xr:uid="{00000000-0005-0000-0000-0000D0980000}"/>
    <cellStyle name="常规 9 3 2 2 4 5 3 2" xfId="20262" xr:uid="{00000000-0005-0000-0000-0000D1980000}"/>
    <cellStyle name="常规 9 3 2 2 4 5 3 2 2" xfId="44838" xr:uid="{00000000-0005-0000-0000-0000D2980000}"/>
    <cellStyle name="常规 9 3 2 2 4 5 3 3" xfId="32550" xr:uid="{00000000-0005-0000-0000-0000D3980000}"/>
    <cellStyle name="常规 9 3 2 2 4 5 4" xfId="14118" xr:uid="{00000000-0005-0000-0000-0000D4980000}"/>
    <cellStyle name="常规 9 3 2 2 4 5 4 2" xfId="38694" xr:uid="{00000000-0005-0000-0000-0000D5980000}"/>
    <cellStyle name="常规 9 3 2 2 4 5 5" xfId="26406" xr:uid="{00000000-0005-0000-0000-0000D6980000}"/>
    <cellStyle name="常规 9 3 2 2 4 6" xfId="3366" xr:uid="{00000000-0005-0000-0000-0000D7980000}"/>
    <cellStyle name="常规 9 3 2 2 4 6 2" xfId="9510" xr:uid="{00000000-0005-0000-0000-0000D8980000}"/>
    <cellStyle name="常规 9 3 2 2 4 6 2 2" xfId="21798" xr:uid="{00000000-0005-0000-0000-0000D9980000}"/>
    <cellStyle name="常规 9 3 2 2 4 6 2 2 2" xfId="46374" xr:uid="{00000000-0005-0000-0000-0000DA980000}"/>
    <cellStyle name="常规 9 3 2 2 4 6 2 3" xfId="34086" xr:uid="{00000000-0005-0000-0000-0000DB980000}"/>
    <cellStyle name="常规 9 3 2 2 4 6 3" xfId="15654" xr:uid="{00000000-0005-0000-0000-0000DC980000}"/>
    <cellStyle name="常规 9 3 2 2 4 6 3 2" xfId="40230" xr:uid="{00000000-0005-0000-0000-0000DD980000}"/>
    <cellStyle name="常规 9 3 2 2 4 6 4" xfId="27942" xr:uid="{00000000-0005-0000-0000-0000DE980000}"/>
    <cellStyle name="常规 9 3 2 2 4 7" xfId="6438" xr:uid="{00000000-0005-0000-0000-0000DF980000}"/>
    <cellStyle name="常规 9 3 2 2 4 7 2" xfId="18726" xr:uid="{00000000-0005-0000-0000-0000E0980000}"/>
    <cellStyle name="常规 9 3 2 2 4 7 2 2" xfId="43302" xr:uid="{00000000-0005-0000-0000-0000E1980000}"/>
    <cellStyle name="常规 9 3 2 2 4 7 3" xfId="31014" xr:uid="{00000000-0005-0000-0000-0000E2980000}"/>
    <cellStyle name="常规 9 3 2 2 4 8" xfId="12582" xr:uid="{00000000-0005-0000-0000-0000E3980000}"/>
    <cellStyle name="常规 9 3 2 2 4 8 2" xfId="37158" xr:uid="{00000000-0005-0000-0000-0000E4980000}"/>
    <cellStyle name="常规 9 3 2 2 4 9" xfId="24870" xr:uid="{00000000-0005-0000-0000-0000E5980000}"/>
    <cellStyle name="常规 9 3 2 2 5" xfId="354" xr:uid="{00000000-0005-0000-0000-0000E6980000}"/>
    <cellStyle name="常规 9 3 2 2 5 2" xfId="738" xr:uid="{00000000-0005-0000-0000-0000E7980000}"/>
    <cellStyle name="常规 9 3 2 2 5 2 2" xfId="1506" xr:uid="{00000000-0005-0000-0000-0000E8980000}"/>
    <cellStyle name="常规 9 3 2 2 5 2 2 2" xfId="3042" xr:uid="{00000000-0005-0000-0000-0000E9980000}"/>
    <cellStyle name="常规 9 3 2 2 5 2 2 2 2" xfId="6118" xr:uid="{00000000-0005-0000-0000-0000EA980000}"/>
    <cellStyle name="常规 9 3 2 2 5 2 2 2 2 2" xfId="12262" xr:uid="{00000000-0005-0000-0000-0000EB980000}"/>
    <cellStyle name="常规 9 3 2 2 5 2 2 2 2 2 2" xfId="24550" xr:uid="{00000000-0005-0000-0000-0000EC980000}"/>
    <cellStyle name="常规 9 3 2 2 5 2 2 2 2 2 2 2" xfId="49126" xr:uid="{00000000-0005-0000-0000-0000ED980000}"/>
    <cellStyle name="常规 9 3 2 2 5 2 2 2 2 2 3" xfId="36838" xr:uid="{00000000-0005-0000-0000-0000EE980000}"/>
    <cellStyle name="常规 9 3 2 2 5 2 2 2 2 3" xfId="18406" xr:uid="{00000000-0005-0000-0000-0000EF980000}"/>
    <cellStyle name="常规 9 3 2 2 5 2 2 2 2 3 2" xfId="42982" xr:uid="{00000000-0005-0000-0000-0000F0980000}"/>
    <cellStyle name="常规 9 3 2 2 5 2 2 2 2 4" xfId="30694" xr:uid="{00000000-0005-0000-0000-0000F1980000}"/>
    <cellStyle name="常规 9 3 2 2 5 2 2 2 3" xfId="9190" xr:uid="{00000000-0005-0000-0000-0000F2980000}"/>
    <cellStyle name="常规 9 3 2 2 5 2 2 2 3 2" xfId="21478" xr:uid="{00000000-0005-0000-0000-0000F3980000}"/>
    <cellStyle name="常规 9 3 2 2 5 2 2 2 3 2 2" xfId="46054" xr:uid="{00000000-0005-0000-0000-0000F4980000}"/>
    <cellStyle name="常规 9 3 2 2 5 2 2 2 3 3" xfId="33766" xr:uid="{00000000-0005-0000-0000-0000F5980000}"/>
    <cellStyle name="常规 9 3 2 2 5 2 2 2 4" xfId="15334" xr:uid="{00000000-0005-0000-0000-0000F6980000}"/>
    <cellStyle name="常规 9 3 2 2 5 2 2 2 4 2" xfId="39910" xr:uid="{00000000-0005-0000-0000-0000F7980000}"/>
    <cellStyle name="常规 9 3 2 2 5 2 2 2 5" xfId="27622" xr:uid="{00000000-0005-0000-0000-0000F8980000}"/>
    <cellStyle name="常规 9 3 2 2 5 2 2 3" xfId="4582" xr:uid="{00000000-0005-0000-0000-0000F9980000}"/>
    <cellStyle name="常规 9 3 2 2 5 2 2 3 2" xfId="10726" xr:uid="{00000000-0005-0000-0000-0000FA980000}"/>
    <cellStyle name="常规 9 3 2 2 5 2 2 3 2 2" xfId="23014" xr:uid="{00000000-0005-0000-0000-0000FB980000}"/>
    <cellStyle name="常规 9 3 2 2 5 2 2 3 2 2 2" xfId="47590" xr:uid="{00000000-0005-0000-0000-0000FC980000}"/>
    <cellStyle name="常规 9 3 2 2 5 2 2 3 2 3" xfId="35302" xr:uid="{00000000-0005-0000-0000-0000FD980000}"/>
    <cellStyle name="常规 9 3 2 2 5 2 2 3 3" xfId="16870" xr:uid="{00000000-0005-0000-0000-0000FE980000}"/>
    <cellStyle name="常规 9 3 2 2 5 2 2 3 3 2" xfId="41446" xr:uid="{00000000-0005-0000-0000-0000FF980000}"/>
    <cellStyle name="常规 9 3 2 2 5 2 2 3 4" xfId="29158" xr:uid="{00000000-0005-0000-0000-000000990000}"/>
    <cellStyle name="常规 9 3 2 2 5 2 2 4" xfId="7654" xr:uid="{00000000-0005-0000-0000-000001990000}"/>
    <cellStyle name="常规 9 3 2 2 5 2 2 4 2" xfId="19942" xr:uid="{00000000-0005-0000-0000-000002990000}"/>
    <cellStyle name="常规 9 3 2 2 5 2 2 4 2 2" xfId="44518" xr:uid="{00000000-0005-0000-0000-000003990000}"/>
    <cellStyle name="常规 9 3 2 2 5 2 2 4 3" xfId="32230" xr:uid="{00000000-0005-0000-0000-000004990000}"/>
    <cellStyle name="常规 9 3 2 2 5 2 2 5" xfId="13798" xr:uid="{00000000-0005-0000-0000-000005990000}"/>
    <cellStyle name="常规 9 3 2 2 5 2 2 5 2" xfId="38374" xr:uid="{00000000-0005-0000-0000-000006990000}"/>
    <cellStyle name="常规 9 3 2 2 5 2 2 6" xfId="26086" xr:uid="{00000000-0005-0000-0000-000007990000}"/>
    <cellStyle name="常规 9 3 2 2 5 2 3" xfId="2274" xr:uid="{00000000-0005-0000-0000-000008990000}"/>
    <cellStyle name="常规 9 3 2 2 5 2 3 2" xfId="5350" xr:uid="{00000000-0005-0000-0000-000009990000}"/>
    <cellStyle name="常规 9 3 2 2 5 2 3 2 2" xfId="11494" xr:uid="{00000000-0005-0000-0000-00000A990000}"/>
    <cellStyle name="常规 9 3 2 2 5 2 3 2 2 2" xfId="23782" xr:uid="{00000000-0005-0000-0000-00000B990000}"/>
    <cellStyle name="常规 9 3 2 2 5 2 3 2 2 2 2" xfId="48358" xr:uid="{00000000-0005-0000-0000-00000C990000}"/>
    <cellStyle name="常规 9 3 2 2 5 2 3 2 2 3" xfId="36070" xr:uid="{00000000-0005-0000-0000-00000D990000}"/>
    <cellStyle name="常规 9 3 2 2 5 2 3 2 3" xfId="17638" xr:uid="{00000000-0005-0000-0000-00000E990000}"/>
    <cellStyle name="常规 9 3 2 2 5 2 3 2 3 2" xfId="42214" xr:uid="{00000000-0005-0000-0000-00000F990000}"/>
    <cellStyle name="常规 9 3 2 2 5 2 3 2 4" xfId="29926" xr:uid="{00000000-0005-0000-0000-000010990000}"/>
    <cellStyle name="常规 9 3 2 2 5 2 3 3" xfId="8422" xr:uid="{00000000-0005-0000-0000-000011990000}"/>
    <cellStyle name="常规 9 3 2 2 5 2 3 3 2" xfId="20710" xr:uid="{00000000-0005-0000-0000-000012990000}"/>
    <cellStyle name="常规 9 3 2 2 5 2 3 3 2 2" xfId="45286" xr:uid="{00000000-0005-0000-0000-000013990000}"/>
    <cellStyle name="常规 9 3 2 2 5 2 3 3 3" xfId="32998" xr:uid="{00000000-0005-0000-0000-000014990000}"/>
    <cellStyle name="常规 9 3 2 2 5 2 3 4" xfId="14566" xr:uid="{00000000-0005-0000-0000-000015990000}"/>
    <cellStyle name="常规 9 3 2 2 5 2 3 4 2" xfId="39142" xr:uid="{00000000-0005-0000-0000-000016990000}"/>
    <cellStyle name="常规 9 3 2 2 5 2 3 5" xfId="26854" xr:uid="{00000000-0005-0000-0000-000017990000}"/>
    <cellStyle name="常规 9 3 2 2 5 2 4" xfId="3814" xr:uid="{00000000-0005-0000-0000-000018990000}"/>
    <cellStyle name="常规 9 3 2 2 5 2 4 2" xfId="9958" xr:uid="{00000000-0005-0000-0000-000019990000}"/>
    <cellStyle name="常规 9 3 2 2 5 2 4 2 2" xfId="22246" xr:uid="{00000000-0005-0000-0000-00001A990000}"/>
    <cellStyle name="常规 9 3 2 2 5 2 4 2 2 2" xfId="46822" xr:uid="{00000000-0005-0000-0000-00001B990000}"/>
    <cellStyle name="常规 9 3 2 2 5 2 4 2 3" xfId="34534" xr:uid="{00000000-0005-0000-0000-00001C990000}"/>
    <cellStyle name="常规 9 3 2 2 5 2 4 3" xfId="16102" xr:uid="{00000000-0005-0000-0000-00001D990000}"/>
    <cellStyle name="常规 9 3 2 2 5 2 4 3 2" xfId="40678" xr:uid="{00000000-0005-0000-0000-00001E990000}"/>
    <cellStyle name="常规 9 3 2 2 5 2 4 4" xfId="28390" xr:uid="{00000000-0005-0000-0000-00001F990000}"/>
    <cellStyle name="常规 9 3 2 2 5 2 5" xfId="6886" xr:uid="{00000000-0005-0000-0000-000020990000}"/>
    <cellStyle name="常规 9 3 2 2 5 2 5 2" xfId="19174" xr:uid="{00000000-0005-0000-0000-000021990000}"/>
    <cellStyle name="常规 9 3 2 2 5 2 5 2 2" xfId="43750" xr:uid="{00000000-0005-0000-0000-000022990000}"/>
    <cellStyle name="常规 9 3 2 2 5 2 5 3" xfId="31462" xr:uid="{00000000-0005-0000-0000-000023990000}"/>
    <cellStyle name="常规 9 3 2 2 5 2 6" xfId="13030" xr:uid="{00000000-0005-0000-0000-000024990000}"/>
    <cellStyle name="常规 9 3 2 2 5 2 6 2" xfId="37606" xr:uid="{00000000-0005-0000-0000-000025990000}"/>
    <cellStyle name="常规 9 3 2 2 5 2 7" xfId="25318" xr:uid="{00000000-0005-0000-0000-000026990000}"/>
    <cellStyle name="常规 9 3 2 2 5 3" xfId="1122" xr:uid="{00000000-0005-0000-0000-000027990000}"/>
    <cellStyle name="常规 9 3 2 2 5 3 2" xfId="2658" xr:uid="{00000000-0005-0000-0000-000028990000}"/>
    <cellStyle name="常规 9 3 2 2 5 3 2 2" xfId="5734" xr:uid="{00000000-0005-0000-0000-000029990000}"/>
    <cellStyle name="常规 9 3 2 2 5 3 2 2 2" xfId="11878" xr:uid="{00000000-0005-0000-0000-00002A990000}"/>
    <cellStyle name="常规 9 3 2 2 5 3 2 2 2 2" xfId="24166" xr:uid="{00000000-0005-0000-0000-00002B990000}"/>
    <cellStyle name="常规 9 3 2 2 5 3 2 2 2 2 2" xfId="48742" xr:uid="{00000000-0005-0000-0000-00002C990000}"/>
    <cellStyle name="常规 9 3 2 2 5 3 2 2 2 3" xfId="36454" xr:uid="{00000000-0005-0000-0000-00002D990000}"/>
    <cellStyle name="常规 9 3 2 2 5 3 2 2 3" xfId="18022" xr:uid="{00000000-0005-0000-0000-00002E990000}"/>
    <cellStyle name="常规 9 3 2 2 5 3 2 2 3 2" xfId="42598" xr:uid="{00000000-0005-0000-0000-00002F990000}"/>
    <cellStyle name="常规 9 3 2 2 5 3 2 2 4" xfId="30310" xr:uid="{00000000-0005-0000-0000-000030990000}"/>
    <cellStyle name="常规 9 3 2 2 5 3 2 3" xfId="8806" xr:uid="{00000000-0005-0000-0000-000031990000}"/>
    <cellStyle name="常规 9 3 2 2 5 3 2 3 2" xfId="21094" xr:uid="{00000000-0005-0000-0000-000032990000}"/>
    <cellStyle name="常规 9 3 2 2 5 3 2 3 2 2" xfId="45670" xr:uid="{00000000-0005-0000-0000-000033990000}"/>
    <cellStyle name="常规 9 3 2 2 5 3 2 3 3" xfId="33382" xr:uid="{00000000-0005-0000-0000-000034990000}"/>
    <cellStyle name="常规 9 3 2 2 5 3 2 4" xfId="14950" xr:uid="{00000000-0005-0000-0000-000035990000}"/>
    <cellStyle name="常规 9 3 2 2 5 3 2 4 2" xfId="39526" xr:uid="{00000000-0005-0000-0000-000036990000}"/>
    <cellStyle name="常规 9 3 2 2 5 3 2 5" xfId="27238" xr:uid="{00000000-0005-0000-0000-000037990000}"/>
    <cellStyle name="常规 9 3 2 2 5 3 3" xfId="4198" xr:uid="{00000000-0005-0000-0000-000038990000}"/>
    <cellStyle name="常规 9 3 2 2 5 3 3 2" xfId="10342" xr:uid="{00000000-0005-0000-0000-000039990000}"/>
    <cellStyle name="常规 9 3 2 2 5 3 3 2 2" xfId="22630" xr:uid="{00000000-0005-0000-0000-00003A990000}"/>
    <cellStyle name="常规 9 3 2 2 5 3 3 2 2 2" xfId="47206" xr:uid="{00000000-0005-0000-0000-00003B990000}"/>
    <cellStyle name="常规 9 3 2 2 5 3 3 2 3" xfId="34918" xr:uid="{00000000-0005-0000-0000-00003C990000}"/>
    <cellStyle name="常规 9 3 2 2 5 3 3 3" xfId="16486" xr:uid="{00000000-0005-0000-0000-00003D990000}"/>
    <cellStyle name="常规 9 3 2 2 5 3 3 3 2" xfId="41062" xr:uid="{00000000-0005-0000-0000-00003E990000}"/>
    <cellStyle name="常规 9 3 2 2 5 3 3 4" xfId="28774" xr:uid="{00000000-0005-0000-0000-00003F990000}"/>
    <cellStyle name="常规 9 3 2 2 5 3 4" xfId="7270" xr:uid="{00000000-0005-0000-0000-000040990000}"/>
    <cellStyle name="常规 9 3 2 2 5 3 4 2" xfId="19558" xr:uid="{00000000-0005-0000-0000-000041990000}"/>
    <cellStyle name="常规 9 3 2 2 5 3 4 2 2" xfId="44134" xr:uid="{00000000-0005-0000-0000-000042990000}"/>
    <cellStyle name="常规 9 3 2 2 5 3 4 3" xfId="31846" xr:uid="{00000000-0005-0000-0000-000043990000}"/>
    <cellStyle name="常规 9 3 2 2 5 3 5" xfId="13414" xr:uid="{00000000-0005-0000-0000-000044990000}"/>
    <cellStyle name="常规 9 3 2 2 5 3 5 2" xfId="37990" xr:uid="{00000000-0005-0000-0000-000045990000}"/>
    <cellStyle name="常规 9 3 2 2 5 3 6" xfId="25702" xr:uid="{00000000-0005-0000-0000-000046990000}"/>
    <cellStyle name="常规 9 3 2 2 5 4" xfId="1890" xr:uid="{00000000-0005-0000-0000-000047990000}"/>
    <cellStyle name="常规 9 3 2 2 5 4 2" xfId="4966" xr:uid="{00000000-0005-0000-0000-000048990000}"/>
    <cellStyle name="常规 9 3 2 2 5 4 2 2" xfId="11110" xr:uid="{00000000-0005-0000-0000-000049990000}"/>
    <cellStyle name="常规 9 3 2 2 5 4 2 2 2" xfId="23398" xr:uid="{00000000-0005-0000-0000-00004A990000}"/>
    <cellStyle name="常规 9 3 2 2 5 4 2 2 2 2" xfId="47974" xr:uid="{00000000-0005-0000-0000-00004B990000}"/>
    <cellStyle name="常规 9 3 2 2 5 4 2 2 3" xfId="35686" xr:uid="{00000000-0005-0000-0000-00004C990000}"/>
    <cellStyle name="常规 9 3 2 2 5 4 2 3" xfId="17254" xr:uid="{00000000-0005-0000-0000-00004D990000}"/>
    <cellStyle name="常规 9 3 2 2 5 4 2 3 2" xfId="41830" xr:uid="{00000000-0005-0000-0000-00004E990000}"/>
    <cellStyle name="常规 9 3 2 2 5 4 2 4" xfId="29542" xr:uid="{00000000-0005-0000-0000-00004F990000}"/>
    <cellStyle name="常规 9 3 2 2 5 4 3" xfId="8038" xr:uid="{00000000-0005-0000-0000-000050990000}"/>
    <cellStyle name="常规 9 3 2 2 5 4 3 2" xfId="20326" xr:uid="{00000000-0005-0000-0000-000051990000}"/>
    <cellStyle name="常规 9 3 2 2 5 4 3 2 2" xfId="44902" xr:uid="{00000000-0005-0000-0000-000052990000}"/>
    <cellStyle name="常规 9 3 2 2 5 4 3 3" xfId="32614" xr:uid="{00000000-0005-0000-0000-000053990000}"/>
    <cellStyle name="常规 9 3 2 2 5 4 4" xfId="14182" xr:uid="{00000000-0005-0000-0000-000054990000}"/>
    <cellStyle name="常规 9 3 2 2 5 4 4 2" xfId="38758" xr:uid="{00000000-0005-0000-0000-000055990000}"/>
    <cellStyle name="常规 9 3 2 2 5 4 5" xfId="26470" xr:uid="{00000000-0005-0000-0000-000056990000}"/>
    <cellStyle name="常规 9 3 2 2 5 5" xfId="3430" xr:uid="{00000000-0005-0000-0000-000057990000}"/>
    <cellStyle name="常规 9 3 2 2 5 5 2" xfId="9574" xr:uid="{00000000-0005-0000-0000-000058990000}"/>
    <cellStyle name="常规 9 3 2 2 5 5 2 2" xfId="21862" xr:uid="{00000000-0005-0000-0000-000059990000}"/>
    <cellStyle name="常规 9 3 2 2 5 5 2 2 2" xfId="46438" xr:uid="{00000000-0005-0000-0000-00005A990000}"/>
    <cellStyle name="常规 9 3 2 2 5 5 2 3" xfId="34150" xr:uid="{00000000-0005-0000-0000-00005B990000}"/>
    <cellStyle name="常规 9 3 2 2 5 5 3" xfId="15718" xr:uid="{00000000-0005-0000-0000-00005C990000}"/>
    <cellStyle name="常规 9 3 2 2 5 5 3 2" xfId="40294" xr:uid="{00000000-0005-0000-0000-00005D990000}"/>
    <cellStyle name="常规 9 3 2 2 5 5 4" xfId="28006" xr:uid="{00000000-0005-0000-0000-00005E990000}"/>
    <cellStyle name="常规 9 3 2 2 5 6" xfId="6502" xr:uid="{00000000-0005-0000-0000-00005F990000}"/>
    <cellStyle name="常规 9 3 2 2 5 6 2" xfId="18790" xr:uid="{00000000-0005-0000-0000-000060990000}"/>
    <cellStyle name="常规 9 3 2 2 5 6 2 2" xfId="43366" xr:uid="{00000000-0005-0000-0000-000061990000}"/>
    <cellStyle name="常规 9 3 2 2 5 6 3" xfId="31078" xr:uid="{00000000-0005-0000-0000-000062990000}"/>
    <cellStyle name="常规 9 3 2 2 5 7" xfId="12646" xr:uid="{00000000-0005-0000-0000-000063990000}"/>
    <cellStyle name="常规 9 3 2 2 5 7 2" xfId="37222" xr:uid="{00000000-0005-0000-0000-000064990000}"/>
    <cellStyle name="常规 9 3 2 2 5 8" xfId="24934" xr:uid="{00000000-0005-0000-0000-000065990000}"/>
    <cellStyle name="常规 9 3 2 2 6" xfId="546" xr:uid="{00000000-0005-0000-0000-000066990000}"/>
    <cellStyle name="常规 9 3 2 2 6 2" xfId="1314" xr:uid="{00000000-0005-0000-0000-000067990000}"/>
    <cellStyle name="常规 9 3 2 2 6 2 2" xfId="2850" xr:uid="{00000000-0005-0000-0000-000068990000}"/>
    <cellStyle name="常规 9 3 2 2 6 2 2 2" xfId="5926" xr:uid="{00000000-0005-0000-0000-000069990000}"/>
    <cellStyle name="常规 9 3 2 2 6 2 2 2 2" xfId="12070" xr:uid="{00000000-0005-0000-0000-00006A990000}"/>
    <cellStyle name="常规 9 3 2 2 6 2 2 2 2 2" xfId="24358" xr:uid="{00000000-0005-0000-0000-00006B990000}"/>
    <cellStyle name="常规 9 3 2 2 6 2 2 2 2 2 2" xfId="48934" xr:uid="{00000000-0005-0000-0000-00006C990000}"/>
    <cellStyle name="常规 9 3 2 2 6 2 2 2 2 3" xfId="36646" xr:uid="{00000000-0005-0000-0000-00006D990000}"/>
    <cellStyle name="常规 9 3 2 2 6 2 2 2 3" xfId="18214" xr:uid="{00000000-0005-0000-0000-00006E990000}"/>
    <cellStyle name="常规 9 3 2 2 6 2 2 2 3 2" xfId="42790" xr:uid="{00000000-0005-0000-0000-00006F990000}"/>
    <cellStyle name="常规 9 3 2 2 6 2 2 2 4" xfId="30502" xr:uid="{00000000-0005-0000-0000-000070990000}"/>
    <cellStyle name="常规 9 3 2 2 6 2 2 3" xfId="8998" xr:uid="{00000000-0005-0000-0000-000071990000}"/>
    <cellStyle name="常规 9 3 2 2 6 2 2 3 2" xfId="21286" xr:uid="{00000000-0005-0000-0000-000072990000}"/>
    <cellStyle name="常规 9 3 2 2 6 2 2 3 2 2" xfId="45862" xr:uid="{00000000-0005-0000-0000-000073990000}"/>
    <cellStyle name="常规 9 3 2 2 6 2 2 3 3" xfId="33574" xr:uid="{00000000-0005-0000-0000-000074990000}"/>
    <cellStyle name="常规 9 3 2 2 6 2 2 4" xfId="15142" xr:uid="{00000000-0005-0000-0000-000075990000}"/>
    <cellStyle name="常规 9 3 2 2 6 2 2 4 2" xfId="39718" xr:uid="{00000000-0005-0000-0000-000076990000}"/>
    <cellStyle name="常规 9 3 2 2 6 2 2 5" xfId="27430" xr:uid="{00000000-0005-0000-0000-000077990000}"/>
    <cellStyle name="常规 9 3 2 2 6 2 3" xfId="4390" xr:uid="{00000000-0005-0000-0000-000078990000}"/>
    <cellStyle name="常规 9 3 2 2 6 2 3 2" xfId="10534" xr:uid="{00000000-0005-0000-0000-000079990000}"/>
    <cellStyle name="常规 9 3 2 2 6 2 3 2 2" xfId="22822" xr:uid="{00000000-0005-0000-0000-00007A990000}"/>
    <cellStyle name="常规 9 3 2 2 6 2 3 2 2 2" xfId="47398" xr:uid="{00000000-0005-0000-0000-00007B990000}"/>
    <cellStyle name="常规 9 3 2 2 6 2 3 2 3" xfId="35110" xr:uid="{00000000-0005-0000-0000-00007C990000}"/>
    <cellStyle name="常规 9 3 2 2 6 2 3 3" xfId="16678" xr:uid="{00000000-0005-0000-0000-00007D990000}"/>
    <cellStyle name="常规 9 3 2 2 6 2 3 3 2" xfId="41254" xr:uid="{00000000-0005-0000-0000-00007E990000}"/>
    <cellStyle name="常规 9 3 2 2 6 2 3 4" xfId="28966" xr:uid="{00000000-0005-0000-0000-00007F990000}"/>
    <cellStyle name="常规 9 3 2 2 6 2 4" xfId="7462" xr:uid="{00000000-0005-0000-0000-000080990000}"/>
    <cellStyle name="常规 9 3 2 2 6 2 4 2" xfId="19750" xr:uid="{00000000-0005-0000-0000-000081990000}"/>
    <cellStyle name="常规 9 3 2 2 6 2 4 2 2" xfId="44326" xr:uid="{00000000-0005-0000-0000-000082990000}"/>
    <cellStyle name="常规 9 3 2 2 6 2 4 3" xfId="32038" xr:uid="{00000000-0005-0000-0000-000083990000}"/>
    <cellStyle name="常规 9 3 2 2 6 2 5" xfId="13606" xr:uid="{00000000-0005-0000-0000-000084990000}"/>
    <cellStyle name="常规 9 3 2 2 6 2 5 2" xfId="38182" xr:uid="{00000000-0005-0000-0000-000085990000}"/>
    <cellStyle name="常规 9 3 2 2 6 2 6" xfId="25894" xr:uid="{00000000-0005-0000-0000-000086990000}"/>
    <cellStyle name="常规 9 3 2 2 6 3" xfId="2082" xr:uid="{00000000-0005-0000-0000-000087990000}"/>
    <cellStyle name="常规 9 3 2 2 6 3 2" xfId="5158" xr:uid="{00000000-0005-0000-0000-000088990000}"/>
    <cellStyle name="常规 9 3 2 2 6 3 2 2" xfId="11302" xr:uid="{00000000-0005-0000-0000-000089990000}"/>
    <cellStyle name="常规 9 3 2 2 6 3 2 2 2" xfId="23590" xr:uid="{00000000-0005-0000-0000-00008A990000}"/>
    <cellStyle name="常规 9 3 2 2 6 3 2 2 2 2" xfId="48166" xr:uid="{00000000-0005-0000-0000-00008B990000}"/>
    <cellStyle name="常规 9 3 2 2 6 3 2 2 3" xfId="35878" xr:uid="{00000000-0005-0000-0000-00008C990000}"/>
    <cellStyle name="常规 9 3 2 2 6 3 2 3" xfId="17446" xr:uid="{00000000-0005-0000-0000-00008D990000}"/>
    <cellStyle name="常规 9 3 2 2 6 3 2 3 2" xfId="42022" xr:uid="{00000000-0005-0000-0000-00008E990000}"/>
    <cellStyle name="常规 9 3 2 2 6 3 2 4" xfId="29734" xr:uid="{00000000-0005-0000-0000-00008F990000}"/>
    <cellStyle name="常规 9 3 2 2 6 3 3" xfId="8230" xr:uid="{00000000-0005-0000-0000-000090990000}"/>
    <cellStyle name="常规 9 3 2 2 6 3 3 2" xfId="20518" xr:uid="{00000000-0005-0000-0000-000091990000}"/>
    <cellStyle name="常规 9 3 2 2 6 3 3 2 2" xfId="45094" xr:uid="{00000000-0005-0000-0000-000092990000}"/>
    <cellStyle name="常规 9 3 2 2 6 3 3 3" xfId="32806" xr:uid="{00000000-0005-0000-0000-000093990000}"/>
    <cellStyle name="常规 9 3 2 2 6 3 4" xfId="14374" xr:uid="{00000000-0005-0000-0000-000094990000}"/>
    <cellStyle name="常规 9 3 2 2 6 3 4 2" xfId="38950" xr:uid="{00000000-0005-0000-0000-000095990000}"/>
    <cellStyle name="常规 9 3 2 2 6 3 5" xfId="26662" xr:uid="{00000000-0005-0000-0000-000096990000}"/>
    <cellStyle name="常规 9 3 2 2 6 4" xfId="3622" xr:uid="{00000000-0005-0000-0000-000097990000}"/>
    <cellStyle name="常规 9 3 2 2 6 4 2" xfId="9766" xr:uid="{00000000-0005-0000-0000-000098990000}"/>
    <cellStyle name="常规 9 3 2 2 6 4 2 2" xfId="22054" xr:uid="{00000000-0005-0000-0000-000099990000}"/>
    <cellStyle name="常规 9 3 2 2 6 4 2 2 2" xfId="46630" xr:uid="{00000000-0005-0000-0000-00009A990000}"/>
    <cellStyle name="常规 9 3 2 2 6 4 2 3" xfId="34342" xr:uid="{00000000-0005-0000-0000-00009B990000}"/>
    <cellStyle name="常规 9 3 2 2 6 4 3" xfId="15910" xr:uid="{00000000-0005-0000-0000-00009C990000}"/>
    <cellStyle name="常规 9 3 2 2 6 4 3 2" xfId="40486" xr:uid="{00000000-0005-0000-0000-00009D990000}"/>
    <cellStyle name="常规 9 3 2 2 6 4 4" xfId="28198" xr:uid="{00000000-0005-0000-0000-00009E990000}"/>
    <cellStyle name="常规 9 3 2 2 6 5" xfId="6694" xr:uid="{00000000-0005-0000-0000-00009F990000}"/>
    <cellStyle name="常规 9 3 2 2 6 5 2" xfId="18982" xr:uid="{00000000-0005-0000-0000-0000A0990000}"/>
    <cellStyle name="常规 9 3 2 2 6 5 2 2" xfId="43558" xr:uid="{00000000-0005-0000-0000-0000A1990000}"/>
    <cellStyle name="常规 9 3 2 2 6 5 3" xfId="31270" xr:uid="{00000000-0005-0000-0000-0000A2990000}"/>
    <cellStyle name="常规 9 3 2 2 6 6" xfId="12838" xr:uid="{00000000-0005-0000-0000-0000A3990000}"/>
    <cellStyle name="常规 9 3 2 2 6 6 2" xfId="37414" xr:uid="{00000000-0005-0000-0000-0000A4990000}"/>
    <cellStyle name="常规 9 3 2 2 6 7" xfId="25126" xr:uid="{00000000-0005-0000-0000-0000A5990000}"/>
    <cellStyle name="常规 9 3 2 2 7" xfId="930" xr:uid="{00000000-0005-0000-0000-0000A6990000}"/>
    <cellStyle name="常规 9 3 2 2 7 2" xfId="2466" xr:uid="{00000000-0005-0000-0000-0000A7990000}"/>
    <cellStyle name="常规 9 3 2 2 7 2 2" xfId="5542" xr:uid="{00000000-0005-0000-0000-0000A8990000}"/>
    <cellStyle name="常规 9 3 2 2 7 2 2 2" xfId="11686" xr:uid="{00000000-0005-0000-0000-0000A9990000}"/>
    <cellStyle name="常规 9 3 2 2 7 2 2 2 2" xfId="23974" xr:uid="{00000000-0005-0000-0000-0000AA990000}"/>
    <cellStyle name="常规 9 3 2 2 7 2 2 2 2 2" xfId="48550" xr:uid="{00000000-0005-0000-0000-0000AB990000}"/>
    <cellStyle name="常规 9 3 2 2 7 2 2 2 3" xfId="36262" xr:uid="{00000000-0005-0000-0000-0000AC990000}"/>
    <cellStyle name="常规 9 3 2 2 7 2 2 3" xfId="17830" xr:uid="{00000000-0005-0000-0000-0000AD990000}"/>
    <cellStyle name="常规 9 3 2 2 7 2 2 3 2" xfId="42406" xr:uid="{00000000-0005-0000-0000-0000AE990000}"/>
    <cellStyle name="常规 9 3 2 2 7 2 2 4" xfId="30118" xr:uid="{00000000-0005-0000-0000-0000AF990000}"/>
    <cellStyle name="常规 9 3 2 2 7 2 3" xfId="8614" xr:uid="{00000000-0005-0000-0000-0000B0990000}"/>
    <cellStyle name="常规 9 3 2 2 7 2 3 2" xfId="20902" xr:uid="{00000000-0005-0000-0000-0000B1990000}"/>
    <cellStyle name="常规 9 3 2 2 7 2 3 2 2" xfId="45478" xr:uid="{00000000-0005-0000-0000-0000B2990000}"/>
    <cellStyle name="常规 9 3 2 2 7 2 3 3" xfId="33190" xr:uid="{00000000-0005-0000-0000-0000B3990000}"/>
    <cellStyle name="常规 9 3 2 2 7 2 4" xfId="14758" xr:uid="{00000000-0005-0000-0000-0000B4990000}"/>
    <cellStyle name="常规 9 3 2 2 7 2 4 2" xfId="39334" xr:uid="{00000000-0005-0000-0000-0000B5990000}"/>
    <cellStyle name="常规 9 3 2 2 7 2 5" xfId="27046" xr:uid="{00000000-0005-0000-0000-0000B6990000}"/>
    <cellStyle name="常规 9 3 2 2 7 3" xfId="4006" xr:uid="{00000000-0005-0000-0000-0000B7990000}"/>
    <cellStyle name="常规 9 3 2 2 7 3 2" xfId="10150" xr:uid="{00000000-0005-0000-0000-0000B8990000}"/>
    <cellStyle name="常规 9 3 2 2 7 3 2 2" xfId="22438" xr:uid="{00000000-0005-0000-0000-0000B9990000}"/>
    <cellStyle name="常规 9 3 2 2 7 3 2 2 2" xfId="47014" xr:uid="{00000000-0005-0000-0000-0000BA990000}"/>
    <cellStyle name="常规 9 3 2 2 7 3 2 3" xfId="34726" xr:uid="{00000000-0005-0000-0000-0000BB990000}"/>
    <cellStyle name="常规 9 3 2 2 7 3 3" xfId="16294" xr:uid="{00000000-0005-0000-0000-0000BC990000}"/>
    <cellStyle name="常规 9 3 2 2 7 3 3 2" xfId="40870" xr:uid="{00000000-0005-0000-0000-0000BD990000}"/>
    <cellStyle name="常规 9 3 2 2 7 3 4" xfId="28582" xr:uid="{00000000-0005-0000-0000-0000BE990000}"/>
    <cellStyle name="常规 9 3 2 2 7 4" xfId="7078" xr:uid="{00000000-0005-0000-0000-0000BF990000}"/>
    <cellStyle name="常规 9 3 2 2 7 4 2" xfId="19366" xr:uid="{00000000-0005-0000-0000-0000C0990000}"/>
    <cellStyle name="常规 9 3 2 2 7 4 2 2" xfId="43942" xr:uid="{00000000-0005-0000-0000-0000C1990000}"/>
    <cellStyle name="常规 9 3 2 2 7 4 3" xfId="31654" xr:uid="{00000000-0005-0000-0000-0000C2990000}"/>
    <cellStyle name="常规 9 3 2 2 7 5" xfId="13222" xr:uid="{00000000-0005-0000-0000-0000C3990000}"/>
    <cellStyle name="常规 9 3 2 2 7 5 2" xfId="37798" xr:uid="{00000000-0005-0000-0000-0000C4990000}"/>
    <cellStyle name="常规 9 3 2 2 7 6" xfId="25510" xr:uid="{00000000-0005-0000-0000-0000C5990000}"/>
    <cellStyle name="常规 9 3 2 2 8" xfId="1698" xr:uid="{00000000-0005-0000-0000-0000C6990000}"/>
    <cellStyle name="常规 9 3 2 2 8 2" xfId="4774" xr:uid="{00000000-0005-0000-0000-0000C7990000}"/>
    <cellStyle name="常规 9 3 2 2 8 2 2" xfId="10918" xr:uid="{00000000-0005-0000-0000-0000C8990000}"/>
    <cellStyle name="常规 9 3 2 2 8 2 2 2" xfId="23206" xr:uid="{00000000-0005-0000-0000-0000C9990000}"/>
    <cellStyle name="常规 9 3 2 2 8 2 2 2 2" xfId="47782" xr:uid="{00000000-0005-0000-0000-0000CA990000}"/>
    <cellStyle name="常规 9 3 2 2 8 2 2 3" xfId="35494" xr:uid="{00000000-0005-0000-0000-0000CB990000}"/>
    <cellStyle name="常规 9 3 2 2 8 2 3" xfId="17062" xr:uid="{00000000-0005-0000-0000-0000CC990000}"/>
    <cellStyle name="常规 9 3 2 2 8 2 3 2" xfId="41638" xr:uid="{00000000-0005-0000-0000-0000CD990000}"/>
    <cellStyle name="常规 9 3 2 2 8 2 4" xfId="29350" xr:uid="{00000000-0005-0000-0000-0000CE990000}"/>
    <cellStyle name="常规 9 3 2 2 8 3" xfId="7846" xr:uid="{00000000-0005-0000-0000-0000CF990000}"/>
    <cellStyle name="常规 9 3 2 2 8 3 2" xfId="20134" xr:uid="{00000000-0005-0000-0000-0000D0990000}"/>
    <cellStyle name="常规 9 3 2 2 8 3 2 2" xfId="44710" xr:uid="{00000000-0005-0000-0000-0000D1990000}"/>
    <cellStyle name="常规 9 3 2 2 8 3 3" xfId="32422" xr:uid="{00000000-0005-0000-0000-0000D2990000}"/>
    <cellStyle name="常规 9 3 2 2 8 4" xfId="13990" xr:uid="{00000000-0005-0000-0000-0000D3990000}"/>
    <cellStyle name="常规 9 3 2 2 8 4 2" xfId="38566" xr:uid="{00000000-0005-0000-0000-0000D4990000}"/>
    <cellStyle name="常规 9 3 2 2 8 5" xfId="26278" xr:uid="{00000000-0005-0000-0000-0000D5990000}"/>
    <cellStyle name="常规 9 3 2 2 9" xfId="3238" xr:uid="{00000000-0005-0000-0000-0000D6990000}"/>
    <cellStyle name="常规 9 3 2 2 9 2" xfId="9382" xr:uid="{00000000-0005-0000-0000-0000D7990000}"/>
    <cellStyle name="常规 9 3 2 2 9 2 2" xfId="21670" xr:uid="{00000000-0005-0000-0000-0000D8990000}"/>
    <cellStyle name="常规 9 3 2 2 9 2 2 2" xfId="46246" xr:uid="{00000000-0005-0000-0000-0000D9990000}"/>
    <cellStyle name="常规 9 3 2 2 9 2 3" xfId="33958" xr:uid="{00000000-0005-0000-0000-0000DA990000}"/>
    <cellStyle name="常规 9 3 2 2 9 3" xfId="15526" xr:uid="{00000000-0005-0000-0000-0000DB990000}"/>
    <cellStyle name="常规 9 3 2 2 9 3 2" xfId="40102" xr:uid="{00000000-0005-0000-0000-0000DC990000}"/>
    <cellStyle name="常规 9 3 2 2 9 4" xfId="27814" xr:uid="{00000000-0005-0000-0000-0000DD990000}"/>
    <cellStyle name="常规 9 3 2 3" xfId="177" xr:uid="{00000000-0005-0000-0000-0000DE990000}"/>
    <cellStyle name="常规 9 3 2 3 10" xfId="12470" xr:uid="{00000000-0005-0000-0000-0000DF990000}"/>
    <cellStyle name="常规 9 3 2 3 10 2" xfId="37046" xr:uid="{00000000-0005-0000-0000-0000E0990000}"/>
    <cellStyle name="常规 9 3 2 3 11" xfId="24758" xr:uid="{00000000-0005-0000-0000-0000E1990000}"/>
    <cellStyle name="常规 9 3 2 3 2" xfId="242" xr:uid="{00000000-0005-0000-0000-0000E2990000}"/>
    <cellStyle name="常规 9 3 2 3 2 2" xfId="434" xr:uid="{00000000-0005-0000-0000-0000E3990000}"/>
    <cellStyle name="常规 9 3 2 3 2 2 2" xfId="818" xr:uid="{00000000-0005-0000-0000-0000E4990000}"/>
    <cellStyle name="常规 9 3 2 3 2 2 2 2" xfId="1586" xr:uid="{00000000-0005-0000-0000-0000E5990000}"/>
    <cellStyle name="常规 9 3 2 3 2 2 2 2 2" xfId="3122" xr:uid="{00000000-0005-0000-0000-0000E6990000}"/>
    <cellStyle name="常规 9 3 2 3 2 2 2 2 2 2" xfId="6198" xr:uid="{00000000-0005-0000-0000-0000E7990000}"/>
    <cellStyle name="常规 9 3 2 3 2 2 2 2 2 2 2" xfId="12342" xr:uid="{00000000-0005-0000-0000-0000E8990000}"/>
    <cellStyle name="常规 9 3 2 3 2 2 2 2 2 2 2 2" xfId="24630" xr:uid="{00000000-0005-0000-0000-0000E9990000}"/>
    <cellStyle name="常规 9 3 2 3 2 2 2 2 2 2 2 2 2" xfId="49206" xr:uid="{00000000-0005-0000-0000-0000EA990000}"/>
    <cellStyle name="常规 9 3 2 3 2 2 2 2 2 2 2 3" xfId="36918" xr:uid="{00000000-0005-0000-0000-0000EB990000}"/>
    <cellStyle name="常规 9 3 2 3 2 2 2 2 2 2 3" xfId="18486" xr:uid="{00000000-0005-0000-0000-0000EC990000}"/>
    <cellStyle name="常规 9 3 2 3 2 2 2 2 2 2 3 2" xfId="43062" xr:uid="{00000000-0005-0000-0000-0000ED990000}"/>
    <cellStyle name="常规 9 3 2 3 2 2 2 2 2 2 4" xfId="30774" xr:uid="{00000000-0005-0000-0000-0000EE990000}"/>
    <cellStyle name="常规 9 3 2 3 2 2 2 2 2 3" xfId="9270" xr:uid="{00000000-0005-0000-0000-0000EF990000}"/>
    <cellStyle name="常规 9 3 2 3 2 2 2 2 2 3 2" xfId="21558" xr:uid="{00000000-0005-0000-0000-0000F0990000}"/>
    <cellStyle name="常规 9 3 2 3 2 2 2 2 2 3 2 2" xfId="46134" xr:uid="{00000000-0005-0000-0000-0000F1990000}"/>
    <cellStyle name="常规 9 3 2 3 2 2 2 2 2 3 3" xfId="33846" xr:uid="{00000000-0005-0000-0000-0000F2990000}"/>
    <cellStyle name="常规 9 3 2 3 2 2 2 2 2 4" xfId="15414" xr:uid="{00000000-0005-0000-0000-0000F3990000}"/>
    <cellStyle name="常规 9 3 2 3 2 2 2 2 2 4 2" xfId="39990" xr:uid="{00000000-0005-0000-0000-0000F4990000}"/>
    <cellStyle name="常规 9 3 2 3 2 2 2 2 2 5" xfId="27702" xr:uid="{00000000-0005-0000-0000-0000F5990000}"/>
    <cellStyle name="常规 9 3 2 3 2 2 2 2 3" xfId="4662" xr:uid="{00000000-0005-0000-0000-0000F6990000}"/>
    <cellStyle name="常规 9 3 2 3 2 2 2 2 3 2" xfId="10806" xr:uid="{00000000-0005-0000-0000-0000F7990000}"/>
    <cellStyle name="常规 9 3 2 3 2 2 2 2 3 2 2" xfId="23094" xr:uid="{00000000-0005-0000-0000-0000F8990000}"/>
    <cellStyle name="常规 9 3 2 3 2 2 2 2 3 2 2 2" xfId="47670" xr:uid="{00000000-0005-0000-0000-0000F9990000}"/>
    <cellStyle name="常规 9 3 2 3 2 2 2 2 3 2 3" xfId="35382" xr:uid="{00000000-0005-0000-0000-0000FA990000}"/>
    <cellStyle name="常规 9 3 2 3 2 2 2 2 3 3" xfId="16950" xr:uid="{00000000-0005-0000-0000-0000FB990000}"/>
    <cellStyle name="常规 9 3 2 3 2 2 2 2 3 3 2" xfId="41526" xr:uid="{00000000-0005-0000-0000-0000FC990000}"/>
    <cellStyle name="常规 9 3 2 3 2 2 2 2 3 4" xfId="29238" xr:uid="{00000000-0005-0000-0000-0000FD990000}"/>
    <cellStyle name="常规 9 3 2 3 2 2 2 2 4" xfId="7734" xr:uid="{00000000-0005-0000-0000-0000FE990000}"/>
    <cellStyle name="常规 9 3 2 3 2 2 2 2 4 2" xfId="20022" xr:uid="{00000000-0005-0000-0000-0000FF990000}"/>
    <cellStyle name="常规 9 3 2 3 2 2 2 2 4 2 2" xfId="44598" xr:uid="{00000000-0005-0000-0000-0000009A0000}"/>
    <cellStyle name="常规 9 3 2 3 2 2 2 2 4 3" xfId="32310" xr:uid="{00000000-0005-0000-0000-0000019A0000}"/>
    <cellStyle name="常规 9 3 2 3 2 2 2 2 5" xfId="13878" xr:uid="{00000000-0005-0000-0000-0000029A0000}"/>
    <cellStyle name="常规 9 3 2 3 2 2 2 2 5 2" xfId="38454" xr:uid="{00000000-0005-0000-0000-0000039A0000}"/>
    <cellStyle name="常规 9 3 2 3 2 2 2 2 6" xfId="26166" xr:uid="{00000000-0005-0000-0000-0000049A0000}"/>
    <cellStyle name="常规 9 3 2 3 2 2 2 3" xfId="2354" xr:uid="{00000000-0005-0000-0000-0000059A0000}"/>
    <cellStyle name="常规 9 3 2 3 2 2 2 3 2" xfId="5430" xr:uid="{00000000-0005-0000-0000-0000069A0000}"/>
    <cellStyle name="常规 9 3 2 3 2 2 2 3 2 2" xfId="11574" xr:uid="{00000000-0005-0000-0000-0000079A0000}"/>
    <cellStyle name="常规 9 3 2 3 2 2 2 3 2 2 2" xfId="23862" xr:uid="{00000000-0005-0000-0000-0000089A0000}"/>
    <cellStyle name="常规 9 3 2 3 2 2 2 3 2 2 2 2" xfId="48438" xr:uid="{00000000-0005-0000-0000-0000099A0000}"/>
    <cellStyle name="常规 9 3 2 3 2 2 2 3 2 2 3" xfId="36150" xr:uid="{00000000-0005-0000-0000-00000A9A0000}"/>
    <cellStyle name="常规 9 3 2 3 2 2 2 3 2 3" xfId="17718" xr:uid="{00000000-0005-0000-0000-00000B9A0000}"/>
    <cellStyle name="常规 9 3 2 3 2 2 2 3 2 3 2" xfId="42294" xr:uid="{00000000-0005-0000-0000-00000C9A0000}"/>
    <cellStyle name="常规 9 3 2 3 2 2 2 3 2 4" xfId="30006" xr:uid="{00000000-0005-0000-0000-00000D9A0000}"/>
    <cellStyle name="常规 9 3 2 3 2 2 2 3 3" xfId="8502" xr:uid="{00000000-0005-0000-0000-00000E9A0000}"/>
    <cellStyle name="常规 9 3 2 3 2 2 2 3 3 2" xfId="20790" xr:uid="{00000000-0005-0000-0000-00000F9A0000}"/>
    <cellStyle name="常规 9 3 2 3 2 2 2 3 3 2 2" xfId="45366" xr:uid="{00000000-0005-0000-0000-0000109A0000}"/>
    <cellStyle name="常规 9 3 2 3 2 2 2 3 3 3" xfId="33078" xr:uid="{00000000-0005-0000-0000-0000119A0000}"/>
    <cellStyle name="常规 9 3 2 3 2 2 2 3 4" xfId="14646" xr:uid="{00000000-0005-0000-0000-0000129A0000}"/>
    <cellStyle name="常规 9 3 2 3 2 2 2 3 4 2" xfId="39222" xr:uid="{00000000-0005-0000-0000-0000139A0000}"/>
    <cellStyle name="常规 9 3 2 3 2 2 2 3 5" xfId="26934" xr:uid="{00000000-0005-0000-0000-0000149A0000}"/>
    <cellStyle name="常规 9 3 2 3 2 2 2 4" xfId="3894" xr:uid="{00000000-0005-0000-0000-0000159A0000}"/>
    <cellStyle name="常规 9 3 2 3 2 2 2 4 2" xfId="10038" xr:uid="{00000000-0005-0000-0000-0000169A0000}"/>
    <cellStyle name="常规 9 3 2 3 2 2 2 4 2 2" xfId="22326" xr:uid="{00000000-0005-0000-0000-0000179A0000}"/>
    <cellStyle name="常规 9 3 2 3 2 2 2 4 2 2 2" xfId="46902" xr:uid="{00000000-0005-0000-0000-0000189A0000}"/>
    <cellStyle name="常规 9 3 2 3 2 2 2 4 2 3" xfId="34614" xr:uid="{00000000-0005-0000-0000-0000199A0000}"/>
    <cellStyle name="常规 9 3 2 3 2 2 2 4 3" xfId="16182" xr:uid="{00000000-0005-0000-0000-00001A9A0000}"/>
    <cellStyle name="常规 9 3 2 3 2 2 2 4 3 2" xfId="40758" xr:uid="{00000000-0005-0000-0000-00001B9A0000}"/>
    <cellStyle name="常规 9 3 2 3 2 2 2 4 4" xfId="28470" xr:uid="{00000000-0005-0000-0000-00001C9A0000}"/>
    <cellStyle name="常规 9 3 2 3 2 2 2 5" xfId="6966" xr:uid="{00000000-0005-0000-0000-00001D9A0000}"/>
    <cellStyle name="常规 9 3 2 3 2 2 2 5 2" xfId="19254" xr:uid="{00000000-0005-0000-0000-00001E9A0000}"/>
    <cellStyle name="常规 9 3 2 3 2 2 2 5 2 2" xfId="43830" xr:uid="{00000000-0005-0000-0000-00001F9A0000}"/>
    <cellStyle name="常规 9 3 2 3 2 2 2 5 3" xfId="31542" xr:uid="{00000000-0005-0000-0000-0000209A0000}"/>
    <cellStyle name="常规 9 3 2 3 2 2 2 6" xfId="13110" xr:uid="{00000000-0005-0000-0000-0000219A0000}"/>
    <cellStyle name="常规 9 3 2 3 2 2 2 6 2" xfId="37686" xr:uid="{00000000-0005-0000-0000-0000229A0000}"/>
    <cellStyle name="常规 9 3 2 3 2 2 2 7" xfId="25398" xr:uid="{00000000-0005-0000-0000-0000239A0000}"/>
    <cellStyle name="常规 9 3 2 3 2 2 3" xfId="1202" xr:uid="{00000000-0005-0000-0000-0000249A0000}"/>
    <cellStyle name="常规 9 3 2 3 2 2 3 2" xfId="2738" xr:uid="{00000000-0005-0000-0000-0000259A0000}"/>
    <cellStyle name="常规 9 3 2 3 2 2 3 2 2" xfId="5814" xr:uid="{00000000-0005-0000-0000-0000269A0000}"/>
    <cellStyle name="常规 9 3 2 3 2 2 3 2 2 2" xfId="11958" xr:uid="{00000000-0005-0000-0000-0000279A0000}"/>
    <cellStyle name="常规 9 3 2 3 2 2 3 2 2 2 2" xfId="24246" xr:uid="{00000000-0005-0000-0000-0000289A0000}"/>
    <cellStyle name="常规 9 3 2 3 2 2 3 2 2 2 2 2" xfId="48822" xr:uid="{00000000-0005-0000-0000-0000299A0000}"/>
    <cellStyle name="常规 9 3 2 3 2 2 3 2 2 2 3" xfId="36534" xr:uid="{00000000-0005-0000-0000-00002A9A0000}"/>
    <cellStyle name="常规 9 3 2 3 2 2 3 2 2 3" xfId="18102" xr:uid="{00000000-0005-0000-0000-00002B9A0000}"/>
    <cellStyle name="常规 9 3 2 3 2 2 3 2 2 3 2" xfId="42678" xr:uid="{00000000-0005-0000-0000-00002C9A0000}"/>
    <cellStyle name="常规 9 3 2 3 2 2 3 2 2 4" xfId="30390" xr:uid="{00000000-0005-0000-0000-00002D9A0000}"/>
    <cellStyle name="常规 9 3 2 3 2 2 3 2 3" xfId="8886" xr:uid="{00000000-0005-0000-0000-00002E9A0000}"/>
    <cellStyle name="常规 9 3 2 3 2 2 3 2 3 2" xfId="21174" xr:uid="{00000000-0005-0000-0000-00002F9A0000}"/>
    <cellStyle name="常规 9 3 2 3 2 2 3 2 3 2 2" xfId="45750" xr:uid="{00000000-0005-0000-0000-0000309A0000}"/>
    <cellStyle name="常规 9 3 2 3 2 2 3 2 3 3" xfId="33462" xr:uid="{00000000-0005-0000-0000-0000319A0000}"/>
    <cellStyle name="常规 9 3 2 3 2 2 3 2 4" xfId="15030" xr:uid="{00000000-0005-0000-0000-0000329A0000}"/>
    <cellStyle name="常规 9 3 2 3 2 2 3 2 4 2" xfId="39606" xr:uid="{00000000-0005-0000-0000-0000339A0000}"/>
    <cellStyle name="常规 9 3 2 3 2 2 3 2 5" xfId="27318" xr:uid="{00000000-0005-0000-0000-0000349A0000}"/>
    <cellStyle name="常规 9 3 2 3 2 2 3 3" xfId="4278" xr:uid="{00000000-0005-0000-0000-0000359A0000}"/>
    <cellStyle name="常规 9 3 2 3 2 2 3 3 2" xfId="10422" xr:uid="{00000000-0005-0000-0000-0000369A0000}"/>
    <cellStyle name="常规 9 3 2 3 2 2 3 3 2 2" xfId="22710" xr:uid="{00000000-0005-0000-0000-0000379A0000}"/>
    <cellStyle name="常规 9 3 2 3 2 2 3 3 2 2 2" xfId="47286" xr:uid="{00000000-0005-0000-0000-0000389A0000}"/>
    <cellStyle name="常规 9 3 2 3 2 2 3 3 2 3" xfId="34998" xr:uid="{00000000-0005-0000-0000-0000399A0000}"/>
    <cellStyle name="常规 9 3 2 3 2 2 3 3 3" xfId="16566" xr:uid="{00000000-0005-0000-0000-00003A9A0000}"/>
    <cellStyle name="常规 9 3 2 3 2 2 3 3 3 2" xfId="41142" xr:uid="{00000000-0005-0000-0000-00003B9A0000}"/>
    <cellStyle name="常规 9 3 2 3 2 2 3 3 4" xfId="28854" xr:uid="{00000000-0005-0000-0000-00003C9A0000}"/>
    <cellStyle name="常规 9 3 2 3 2 2 3 4" xfId="7350" xr:uid="{00000000-0005-0000-0000-00003D9A0000}"/>
    <cellStyle name="常规 9 3 2 3 2 2 3 4 2" xfId="19638" xr:uid="{00000000-0005-0000-0000-00003E9A0000}"/>
    <cellStyle name="常规 9 3 2 3 2 2 3 4 2 2" xfId="44214" xr:uid="{00000000-0005-0000-0000-00003F9A0000}"/>
    <cellStyle name="常规 9 3 2 3 2 2 3 4 3" xfId="31926" xr:uid="{00000000-0005-0000-0000-0000409A0000}"/>
    <cellStyle name="常规 9 3 2 3 2 2 3 5" xfId="13494" xr:uid="{00000000-0005-0000-0000-0000419A0000}"/>
    <cellStyle name="常规 9 3 2 3 2 2 3 5 2" xfId="38070" xr:uid="{00000000-0005-0000-0000-0000429A0000}"/>
    <cellStyle name="常规 9 3 2 3 2 2 3 6" xfId="25782" xr:uid="{00000000-0005-0000-0000-0000439A0000}"/>
    <cellStyle name="常规 9 3 2 3 2 2 4" xfId="1970" xr:uid="{00000000-0005-0000-0000-0000449A0000}"/>
    <cellStyle name="常规 9 3 2 3 2 2 4 2" xfId="5046" xr:uid="{00000000-0005-0000-0000-0000459A0000}"/>
    <cellStyle name="常规 9 3 2 3 2 2 4 2 2" xfId="11190" xr:uid="{00000000-0005-0000-0000-0000469A0000}"/>
    <cellStyle name="常规 9 3 2 3 2 2 4 2 2 2" xfId="23478" xr:uid="{00000000-0005-0000-0000-0000479A0000}"/>
    <cellStyle name="常规 9 3 2 3 2 2 4 2 2 2 2" xfId="48054" xr:uid="{00000000-0005-0000-0000-0000489A0000}"/>
    <cellStyle name="常规 9 3 2 3 2 2 4 2 2 3" xfId="35766" xr:uid="{00000000-0005-0000-0000-0000499A0000}"/>
    <cellStyle name="常规 9 3 2 3 2 2 4 2 3" xfId="17334" xr:uid="{00000000-0005-0000-0000-00004A9A0000}"/>
    <cellStyle name="常规 9 3 2 3 2 2 4 2 3 2" xfId="41910" xr:uid="{00000000-0005-0000-0000-00004B9A0000}"/>
    <cellStyle name="常规 9 3 2 3 2 2 4 2 4" xfId="29622" xr:uid="{00000000-0005-0000-0000-00004C9A0000}"/>
    <cellStyle name="常规 9 3 2 3 2 2 4 3" xfId="8118" xr:uid="{00000000-0005-0000-0000-00004D9A0000}"/>
    <cellStyle name="常规 9 3 2 3 2 2 4 3 2" xfId="20406" xr:uid="{00000000-0005-0000-0000-00004E9A0000}"/>
    <cellStyle name="常规 9 3 2 3 2 2 4 3 2 2" xfId="44982" xr:uid="{00000000-0005-0000-0000-00004F9A0000}"/>
    <cellStyle name="常规 9 3 2 3 2 2 4 3 3" xfId="32694" xr:uid="{00000000-0005-0000-0000-0000509A0000}"/>
    <cellStyle name="常规 9 3 2 3 2 2 4 4" xfId="14262" xr:uid="{00000000-0005-0000-0000-0000519A0000}"/>
    <cellStyle name="常规 9 3 2 3 2 2 4 4 2" xfId="38838" xr:uid="{00000000-0005-0000-0000-0000529A0000}"/>
    <cellStyle name="常规 9 3 2 3 2 2 4 5" xfId="26550" xr:uid="{00000000-0005-0000-0000-0000539A0000}"/>
    <cellStyle name="常规 9 3 2 3 2 2 5" xfId="3510" xr:uid="{00000000-0005-0000-0000-0000549A0000}"/>
    <cellStyle name="常规 9 3 2 3 2 2 5 2" xfId="9654" xr:uid="{00000000-0005-0000-0000-0000559A0000}"/>
    <cellStyle name="常规 9 3 2 3 2 2 5 2 2" xfId="21942" xr:uid="{00000000-0005-0000-0000-0000569A0000}"/>
    <cellStyle name="常规 9 3 2 3 2 2 5 2 2 2" xfId="46518" xr:uid="{00000000-0005-0000-0000-0000579A0000}"/>
    <cellStyle name="常规 9 3 2 3 2 2 5 2 3" xfId="34230" xr:uid="{00000000-0005-0000-0000-0000589A0000}"/>
    <cellStyle name="常规 9 3 2 3 2 2 5 3" xfId="15798" xr:uid="{00000000-0005-0000-0000-0000599A0000}"/>
    <cellStyle name="常规 9 3 2 3 2 2 5 3 2" xfId="40374" xr:uid="{00000000-0005-0000-0000-00005A9A0000}"/>
    <cellStyle name="常规 9 3 2 3 2 2 5 4" xfId="28086" xr:uid="{00000000-0005-0000-0000-00005B9A0000}"/>
    <cellStyle name="常规 9 3 2 3 2 2 6" xfId="6582" xr:uid="{00000000-0005-0000-0000-00005C9A0000}"/>
    <cellStyle name="常规 9 3 2 3 2 2 6 2" xfId="18870" xr:uid="{00000000-0005-0000-0000-00005D9A0000}"/>
    <cellStyle name="常规 9 3 2 3 2 2 6 2 2" xfId="43446" xr:uid="{00000000-0005-0000-0000-00005E9A0000}"/>
    <cellStyle name="常规 9 3 2 3 2 2 6 3" xfId="31158" xr:uid="{00000000-0005-0000-0000-00005F9A0000}"/>
    <cellStyle name="常规 9 3 2 3 2 2 7" xfId="12726" xr:uid="{00000000-0005-0000-0000-0000609A0000}"/>
    <cellStyle name="常规 9 3 2 3 2 2 7 2" xfId="37302" xr:uid="{00000000-0005-0000-0000-0000619A0000}"/>
    <cellStyle name="常规 9 3 2 3 2 2 8" xfId="25014" xr:uid="{00000000-0005-0000-0000-0000629A0000}"/>
    <cellStyle name="常规 9 3 2 3 2 3" xfId="626" xr:uid="{00000000-0005-0000-0000-0000639A0000}"/>
    <cellStyle name="常规 9 3 2 3 2 3 2" xfId="1394" xr:uid="{00000000-0005-0000-0000-0000649A0000}"/>
    <cellStyle name="常规 9 3 2 3 2 3 2 2" xfId="2930" xr:uid="{00000000-0005-0000-0000-0000659A0000}"/>
    <cellStyle name="常规 9 3 2 3 2 3 2 2 2" xfId="6006" xr:uid="{00000000-0005-0000-0000-0000669A0000}"/>
    <cellStyle name="常规 9 3 2 3 2 3 2 2 2 2" xfId="12150" xr:uid="{00000000-0005-0000-0000-0000679A0000}"/>
    <cellStyle name="常规 9 3 2 3 2 3 2 2 2 2 2" xfId="24438" xr:uid="{00000000-0005-0000-0000-0000689A0000}"/>
    <cellStyle name="常规 9 3 2 3 2 3 2 2 2 2 2 2" xfId="49014" xr:uid="{00000000-0005-0000-0000-0000699A0000}"/>
    <cellStyle name="常规 9 3 2 3 2 3 2 2 2 2 3" xfId="36726" xr:uid="{00000000-0005-0000-0000-00006A9A0000}"/>
    <cellStyle name="常规 9 3 2 3 2 3 2 2 2 3" xfId="18294" xr:uid="{00000000-0005-0000-0000-00006B9A0000}"/>
    <cellStyle name="常规 9 3 2 3 2 3 2 2 2 3 2" xfId="42870" xr:uid="{00000000-0005-0000-0000-00006C9A0000}"/>
    <cellStyle name="常规 9 3 2 3 2 3 2 2 2 4" xfId="30582" xr:uid="{00000000-0005-0000-0000-00006D9A0000}"/>
    <cellStyle name="常规 9 3 2 3 2 3 2 2 3" xfId="9078" xr:uid="{00000000-0005-0000-0000-00006E9A0000}"/>
    <cellStyle name="常规 9 3 2 3 2 3 2 2 3 2" xfId="21366" xr:uid="{00000000-0005-0000-0000-00006F9A0000}"/>
    <cellStyle name="常规 9 3 2 3 2 3 2 2 3 2 2" xfId="45942" xr:uid="{00000000-0005-0000-0000-0000709A0000}"/>
    <cellStyle name="常规 9 3 2 3 2 3 2 2 3 3" xfId="33654" xr:uid="{00000000-0005-0000-0000-0000719A0000}"/>
    <cellStyle name="常规 9 3 2 3 2 3 2 2 4" xfId="15222" xr:uid="{00000000-0005-0000-0000-0000729A0000}"/>
    <cellStyle name="常规 9 3 2 3 2 3 2 2 4 2" xfId="39798" xr:uid="{00000000-0005-0000-0000-0000739A0000}"/>
    <cellStyle name="常规 9 3 2 3 2 3 2 2 5" xfId="27510" xr:uid="{00000000-0005-0000-0000-0000749A0000}"/>
    <cellStyle name="常规 9 3 2 3 2 3 2 3" xfId="4470" xr:uid="{00000000-0005-0000-0000-0000759A0000}"/>
    <cellStyle name="常规 9 3 2 3 2 3 2 3 2" xfId="10614" xr:uid="{00000000-0005-0000-0000-0000769A0000}"/>
    <cellStyle name="常规 9 3 2 3 2 3 2 3 2 2" xfId="22902" xr:uid="{00000000-0005-0000-0000-0000779A0000}"/>
    <cellStyle name="常规 9 3 2 3 2 3 2 3 2 2 2" xfId="47478" xr:uid="{00000000-0005-0000-0000-0000789A0000}"/>
    <cellStyle name="常规 9 3 2 3 2 3 2 3 2 3" xfId="35190" xr:uid="{00000000-0005-0000-0000-0000799A0000}"/>
    <cellStyle name="常规 9 3 2 3 2 3 2 3 3" xfId="16758" xr:uid="{00000000-0005-0000-0000-00007A9A0000}"/>
    <cellStyle name="常规 9 3 2 3 2 3 2 3 3 2" xfId="41334" xr:uid="{00000000-0005-0000-0000-00007B9A0000}"/>
    <cellStyle name="常规 9 3 2 3 2 3 2 3 4" xfId="29046" xr:uid="{00000000-0005-0000-0000-00007C9A0000}"/>
    <cellStyle name="常规 9 3 2 3 2 3 2 4" xfId="7542" xr:uid="{00000000-0005-0000-0000-00007D9A0000}"/>
    <cellStyle name="常规 9 3 2 3 2 3 2 4 2" xfId="19830" xr:uid="{00000000-0005-0000-0000-00007E9A0000}"/>
    <cellStyle name="常规 9 3 2 3 2 3 2 4 2 2" xfId="44406" xr:uid="{00000000-0005-0000-0000-00007F9A0000}"/>
    <cellStyle name="常规 9 3 2 3 2 3 2 4 3" xfId="32118" xr:uid="{00000000-0005-0000-0000-0000809A0000}"/>
    <cellStyle name="常规 9 3 2 3 2 3 2 5" xfId="13686" xr:uid="{00000000-0005-0000-0000-0000819A0000}"/>
    <cellStyle name="常规 9 3 2 3 2 3 2 5 2" xfId="38262" xr:uid="{00000000-0005-0000-0000-0000829A0000}"/>
    <cellStyle name="常规 9 3 2 3 2 3 2 6" xfId="25974" xr:uid="{00000000-0005-0000-0000-0000839A0000}"/>
    <cellStyle name="常规 9 3 2 3 2 3 3" xfId="2162" xr:uid="{00000000-0005-0000-0000-0000849A0000}"/>
    <cellStyle name="常规 9 3 2 3 2 3 3 2" xfId="5238" xr:uid="{00000000-0005-0000-0000-0000859A0000}"/>
    <cellStyle name="常规 9 3 2 3 2 3 3 2 2" xfId="11382" xr:uid="{00000000-0005-0000-0000-0000869A0000}"/>
    <cellStyle name="常规 9 3 2 3 2 3 3 2 2 2" xfId="23670" xr:uid="{00000000-0005-0000-0000-0000879A0000}"/>
    <cellStyle name="常规 9 3 2 3 2 3 3 2 2 2 2" xfId="48246" xr:uid="{00000000-0005-0000-0000-0000889A0000}"/>
    <cellStyle name="常规 9 3 2 3 2 3 3 2 2 3" xfId="35958" xr:uid="{00000000-0005-0000-0000-0000899A0000}"/>
    <cellStyle name="常规 9 3 2 3 2 3 3 2 3" xfId="17526" xr:uid="{00000000-0005-0000-0000-00008A9A0000}"/>
    <cellStyle name="常规 9 3 2 3 2 3 3 2 3 2" xfId="42102" xr:uid="{00000000-0005-0000-0000-00008B9A0000}"/>
    <cellStyle name="常规 9 3 2 3 2 3 3 2 4" xfId="29814" xr:uid="{00000000-0005-0000-0000-00008C9A0000}"/>
    <cellStyle name="常规 9 3 2 3 2 3 3 3" xfId="8310" xr:uid="{00000000-0005-0000-0000-00008D9A0000}"/>
    <cellStyle name="常规 9 3 2 3 2 3 3 3 2" xfId="20598" xr:uid="{00000000-0005-0000-0000-00008E9A0000}"/>
    <cellStyle name="常规 9 3 2 3 2 3 3 3 2 2" xfId="45174" xr:uid="{00000000-0005-0000-0000-00008F9A0000}"/>
    <cellStyle name="常规 9 3 2 3 2 3 3 3 3" xfId="32886" xr:uid="{00000000-0005-0000-0000-0000909A0000}"/>
    <cellStyle name="常规 9 3 2 3 2 3 3 4" xfId="14454" xr:uid="{00000000-0005-0000-0000-0000919A0000}"/>
    <cellStyle name="常规 9 3 2 3 2 3 3 4 2" xfId="39030" xr:uid="{00000000-0005-0000-0000-0000929A0000}"/>
    <cellStyle name="常规 9 3 2 3 2 3 3 5" xfId="26742" xr:uid="{00000000-0005-0000-0000-0000939A0000}"/>
    <cellStyle name="常规 9 3 2 3 2 3 4" xfId="3702" xr:uid="{00000000-0005-0000-0000-0000949A0000}"/>
    <cellStyle name="常规 9 3 2 3 2 3 4 2" xfId="9846" xr:uid="{00000000-0005-0000-0000-0000959A0000}"/>
    <cellStyle name="常规 9 3 2 3 2 3 4 2 2" xfId="22134" xr:uid="{00000000-0005-0000-0000-0000969A0000}"/>
    <cellStyle name="常规 9 3 2 3 2 3 4 2 2 2" xfId="46710" xr:uid="{00000000-0005-0000-0000-0000979A0000}"/>
    <cellStyle name="常规 9 3 2 3 2 3 4 2 3" xfId="34422" xr:uid="{00000000-0005-0000-0000-0000989A0000}"/>
    <cellStyle name="常规 9 3 2 3 2 3 4 3" xfId="15990" xr:uid="{00000000-0005-0000-0000-0000999A0000}"/>
    <cellStyle name="常规 9 3 2 3 2 3 4 3 2" xfId="40566" xr:uid="{00000000-0005-0000-0000-00009A9A0000}"/>
    <cellStyle name="常规 9 3 2 3 2 3 4 4" xfId="28278" xr:uid="{00000000-0005-0000-0000-00009B9A0000}"/>
    <cellStyle name="常规 9 3 2 3 2 3 5" xfId="6774" xr:uid="{00000000-0005-0000-0000-00009C9A0000}"/>
    <cellStyle name="常规 9 3 2 3 2 3 5 2" xfId="19062" xr:uid="{00000000-0005-0000-0000-00009D9A0000}"/>
    <cellStyle name="常规 9 3 2 3 2 3 5 2 2" xfId="43638" xr:uid="{00000000-0005-0000-0000-00009E9A0000}"/>
    <cellStyle name="常规 9 3 2 3 2 3 5 3" xfId="31350" xr:uid="{00000000-0005-0000-0000-00009F9A0000}"/>
    <cellStyle name="常规 9 3 2 3 2 3 6" xfId="12918" xr:uid="{00000000-0005-0000-0000-0000A09A0000}"/>
    <cellStyle name="常规 9 3 2 3 2 3 6 2" xfId="37494" xr:uid="{00000000-0005-0000-0000-0000A19A0000}"/>
    <cellStyle name="常规 9 3 2 3 2 3 7" xfId="25206" xr:uid="{00000000-0005-0000-0000-0000A29A0000}"/>
    <cellStyle name="常规 9 3 2 3 2 4" xfId="1010" xr:uid="{00000000-0005-0000-0000-0000A39A0000}"/>
    <cellStyle name="常规 9 3 2 3 2 4 2" xfId="2546" xr:uid="{00000000-0005-0000-0000-0000A49A0000}"/>
    <cellStyle name="常规 9 3 2 3 2 4 2 2" xfId="5622" xr:uid="{00000000-0005-0000-0000-0000A59A0000}"/>
    <cellStyle name="常规 9 3 2 3 2 4 2 2 2" xfId="11766" xr:uid="{00000000-0005-0000-0000-0000A69A0000}"/>
    <cellStyle name="常规 9 3 2 3 2 4 2 2 2 2" xfId="24054" xr:uid="{00000000-0005-0000-0000-0000A79A0000}"/>
    <cellStyle name="常规 9 3 2 3 2 4 2 2 2 2 2" xfId="48630" xr:uid="{00000000-0005-0000-0000-0000A89A0000}"/>
    <cellStyle name="常规 9 3 2 3 2 4 2 2 2 3" xfId="36342" xr:uid="{00000000-0005-0000-0000-0000A99A0000}"/>
    <cellStyle name="常规 9 3 2 3 2 4 2 2 3" xfId="17910" xr:uid="{00000000-0005-0000-0000-0000AA9A0000}"/>
    <cellStyle name="常规 9 3 2 3 2 4 2 2 3 2" xfId="42486" xr:uid="{00000000-0005-0000-0000-0000AB9A0000}"/>
    <cellStyle name="常规 9 3 2 3 2 4 2 2 4" xfId="30198" xr:uid="{00000000-0005-0000-0000-0000AC9A0000}"/>
    <cellStyle name="常规 9 3 2 3 2 4 2 3" xfId="8694" xr:uid="{00000000-0005-0000-0000-0000AD9A0000}"/>
    <cellStyle name="常规 9 3 2 3 2 4 2 3 2" xfId="20982" xr:uid="{00000000-0005-0000-0000-0000AE9A0000}"/>
    <cellStyle name="常规 9 3 2 3 2 4 2 3 2 2" xfId="45558" xr:uid="{00000000-0005-0000-0000-0000AF9A0000}"/>
    <cellStyle name="常规 9 3 2 3 2 4 2 3 3" xfId="33270" xr:uid="{00000000-0005-0000-0000-0000B09A0000}"/>
    <cellStyle name="常规 9 3 2 3 2 4 2 4" xfId="14838" xr:uid="{00000000-0005-0000-0000-0000B19A0000}"/>
    <cellStyle name="常规 9 3 2 3 2 4 2 4 2" xfId="39414" xr:uid="{00000000-0005-0000-0000-0000B29A0000}"/>
    <cellStyle name="常规 9 3 2 3 2 4 2 5" xfId="27126" xr:uid="{00000000-0005-0000-0000-0000B39A0000}"/>
    <cellStyle name="常规 9 3 2 3 2 4 3" xfId="4086" xr:uid="{00000000-0005-0000-0000-0000B49A0000}"/>
    <cellStyle name="常规 9 3 2 3 2 4 3 2" xfId="10230" xr:uid="{00000000-0005-0000-0000-0000B59A0000}"/>
    <cellStyle name="常规 9 3 2 3 2 4 3 2 2" xfId="22518" xr:uid="{00000000-0005-0000-0000-0000B69A0000}"/>
    <cellStyle name="常规 9 3 2 3 2 4 3 2 2 2" xfId="47094" xr:uid="{00000000-0005-0000-0000-0000B79A0000}"/>
    <cellStyle name="常规 9 3 2 3 2 4 3 2 3" xfId="34806" xr:uid="{00000000-0005-0000-0000-0000B89A0000}"/>
    <cellStyle name="常规 9 3 2 3 2 4 3 3" xfId="16374" xr:uid="{00000000-0005-0000-0000-0000B99A0000}"/>
    <cellStyle name="常规 9 3 2 3 2 4 3 3 2" xfId="40950" xr:uid="{00000000-0005-0000-0000-0000BA9A0000}"/>
    <cellStyle name="常规 9 3 2 3 2 4 3 4" xfId="28662" xr:uid="{00000000-0005-0000-0000-0000BB9A0000}"/>
    <cellStyle name="常规 9 3 2 3 2 4 4" xfId="7158" xr:uid="{00000000-0005-0000-0000-0000BC9A0000}"/>
    <cellStyle name="常规 9 3 2 3 2 4 4 2" xfId="19446" xr:uid="{00000000-0005-0000-0000-0000BD9A0000}"/>
    <cellStyle name="常规 9 3 2 3 2 4 4 2 2" xfId="44022" xr:uid="{00000000-0005-0000-0000-0000BE9A0000}"/>
    <cellStyle name="常规 9 3 2 3 2 4 4 3" xfId="31734" xr:uid="{00000000-0005-0000-0000-0000BF9A0000}"/>
    <cellStyle name="常规 9 3 2 3 2 4 5" xfId="13302" xr:uid="{00000000-0005-0000-0000-0000C09A0000}"/>
    <cellStyle name="常规 9 3 2 3 2 4 5 2" xfId="37878" xr:uid="{00000000-0005-0000-0000-0000C19A0000}"/>
    <cellStyle name="常规 9 3 2 3 2 4 6" xfId="25590" xr:uid="{00000000-0005-0000-0000-0000C29A0000}"/>
    <cellStyle name="常规 9 3 2 3 2 5" xfId="1778" xr:uid="{00000000-0005-0000-0000-0000C39A0000}"/>
    <cellStyle name="常规 9 3 2 3 2 5 2" xfId="4854" xr:uid="{00000000-0005-0000-0000-0000C49A0000}"/>
    <cellStyle name="常规 9 3 2 3 2 5 2 2" xfId="10998" xr:uid="{00000000-0005-0000-0000-0000C59A0000}"/>
    <cellStyle name="常规 9 3 2 3 2 5 2 2 2" xfId="23286" xr:uid="{00000000-0005-0000-0000-0000C69A0000}"/>
    <cellStyle name="常规 9 3 2 3 2 5 2 2 2 2" xfId="47862" xr:uid="{00000000-0005-0000-0000-0000C79A0000}"/>
    <cellStyle name="常规 9 3 2 3 2 5 2 2 3" xfId="35574" xr:uid="{00000000-0005-0000-0000-0000C89A0000}"/>
    <cellStyle name="常规 9 3 2 3 2 5 2 3" xfId="17142" xr:uid="{00000000-0005-0000-0000-0000C99A0000}"/>
    <cellStyle name="常规 9 3 2 3 2 5 2 3 2" xfId="41718" xr:uid="{00000000-0005-0000-0000-0000CA9A0000}"/>
    <cellStyle name="常规 9 3 2 3 2 5 2 4" xfId="29430" xr:uid="{00000000-0005-0000-0000-0000CB9A0000}"/>
    <cellStyle name="常规 9 3 2 3 2 5 3" xfId="7926" xr:uid="{00000000-0005-0000-0000-0000CC9A0000}"/>
    <cellStyle name="常规 9 3 2 3 2 5 3 2" xfId="20214" xr:uid="{00000000-0005-0000-0000-0000CD9A0000}"/>
    <cellStyle name="常规 9 3 2 3 2 5 3 2 2" xfId="44790" xr:uid="{00000000-0005-0000-0000-0000CE9A0000}"/>
    <cellStyle name="常规 9 3 2 3 2 5 3 3" xfId="32502" xr:uid="{00000000-0005-0000-0000-0000CF9A0000}"/>
    <cellStyle name="常规 9 3 2 3 2 5 4" xfId="14070" xr:uid="{00000000-0005-0000-0000-0000D09A0000}"/>
    <cellStyle name="常规 9 3 2 3 2 5 4 2" xfId="38646" xr:uid="{00000000-0005-0000-0000-0000D19A0000}"/>
    <cellStyle name="常规 9 3 2 3 2 5 5" xfId="26358" xr:uid="{00000000-0005-0000-0000-0000D29A0000}"/>
    <cellStyle name="常规 9 3 2 3 2 6" xfId="3318" xr:uid="{00000000-0005-0000-0000-0000D39A0000}"/>
    <cellStyle name="常规 9 3 2 3 2 6 2" xfId="9462" xr:uid="{00000000-0005-0000-0000-0000D49A0000}"/>
    <cellStyle name="常规 9 3 2 3 2 6 2 2" xfId="21750" xr:uid="{00000000-0005-0000-0000-0000D59A0000}"/>
    <cellStyle name="常规 9 3 2 3 2 6 2 2 2" xfId="46326" xr:uid="{00000000-0005-0000-0000-0000D69A0000}"/>
    <cellStyle name="常规 9 3 2 3 2 6 2 3" xfId="34038" xr:uid="{00000000-0005-0000-0000-0000D79A0000}"/>
    <cellStyle name="常规 9 3 2 3 2 6 3" xfId="15606" xr:uid="{00000000-0005-0000-0000-0000D89A0000}"/>
    <cellStyle name="常规 9 3 2 3 2 6 3 2" xfId="40182" xr:uid="{00000000-0005-0000-0000-0000D99A0000}"/>
    <cellStyle name="常规 9 3 2 3 2 6 4" xfId="27894" xr:uid="{00000000-0005-0000-0000-0000DA9A0000}"/>
    <cellStyle name="常规 9 3 2 3 2 7" xfId="6390" xr:uid="{00000000-0005-0000-0000-0000DB9A0000}"/>
    <cellStyle name="常规 9 3 2 3 2 7 2" xfId="18678" xr:uid="{00000000-0005-0000-0000-0000DC9A0000}"/>
    <cellStyle name="常规 9 3 2 3 2 7 2 2" xfId="43254" xr:uid="{00000000-0005-0000-0000-0000DD9A0000}"/>
    <cellStyle name="常规 9 3 2 3 2 7 3" xfId="30966" xr:uid="{00000000-0005-0000-0000-0000DE9A0000}"/>
    <cellStyle name="常规 9 3 2 3 2 8" xfId="12534" xr:uid="{00000000-0005-0000-0000-0000DF9A0000}"/>
    <cellStyle name="常规 9 3 2 3 2 8 2" xfId="37110" xr:uid="{00000000-0005-0000-0000-0000E09A0000}"/>
    <cellStyle name="常规 9 3 2 3 2 9" xfId="24822" xr:uid="{00000000-0005-0000-0000-0000E19A0000}"/>
    <cellStyle name="常规 9 3 2 3 3" xfId="306" xr:uid="{00000000-0005-0000-0000-0000E29A0000}"/>
    <cellStyle name="常规 9 3 2 3 3 2" xfId="498" xr:uid="{00000000-0005-0000-0000-0000E39A0000}"/>
    <cellStyle name="常规 9 3 2 3 3 2 2" xfId="882" xr:uid="{00000000-0005-0000-0000-0000E49A0000}"/>
    <cellStyle name="常规 9 3 2 3 3 2 2 2" xfId="1650" xr:uid="{00000000-0005-0000-0000-0000E59A0000}"/>
    <cellStyle name="常规 9 3 2 3 3 2 2 2 2" xfId="3186" xr:uid="{00000000-0005-0000-0000-0000E69A0000}"/>
    <cellStyle name="常规 9 3 2 3 3 2 2 2 2 2" xfId="6262" xr:uid="{00000000-0005-0000-0000-0000E79A0000}"/>
    <cellStyle name="常规 9 3 2 3 3 2 2 2 2 2 2" xfId="12406" xr:uid="{00000000-0005-0000-0000-0000E89A0000}"/>
    <cellStyle name="常规 9 3 2 3 3 2 2 2 2 2 2 2" xfId="24694" xr:uid="{00000000-0005-0000-0000-0000E99A0000}"/>
    <cellStyle name="常规 9 3 2 3 3 2 2 2 2 2 2 2 2" xfId="49270" xr:uid="{00000000-0005-0000-0000-0000EA9A0000}"/>
    <cellStyle name="常规 9 3 2 3 3 2 2 2 2 2 2 3" xfId="36982" xr:uid="{00000000-0005-0000-0000-0000EB9A0000}"/>
    <cellStyle name="常规 9 3 2 3 3 2 2 2 2 2 3" xfId="18550" xr:uid="{00000000-0005-0000-0000-0000EC9A0000}"/>
    <cellStyle name="常规 9 3 2 3 3 2 2 2 2 2 3 2" xfId="43126" xr:uid="{00000000-0005-0000-0000-0000ED9A0000}"/>
    <cellStyle name="常规 9 3 2 3 3 2 2 2 2 2 4" xfId="30838" xr:uid="{00000000-0005-0000-0000-0000EE9A0000}"/>
    <cellStyle name="常规 9 3 2 3 3 2 2 2 2 3" xfId="9334" xr:uid="{00000000-0005-0000-0000-0000EF9A0000}"/>
    <cellStyle name="常规 9 3 2 3 3 2 2 2 2 3 2" xfId="21622" xr:uid="{00000000-0005-0000-0000-0000F09A0000}"/>
    <cellStyle name="常规 9 3 2 3 3 2 2 2 2 3 2 2" xfId="46198" xr:uid="{00000000-0005-0000-0000-0000F19A0000}"/>
    <cellStyle name="常规 9 3 2 3 3 2 2 2 2 3 3" xfId="33910" xr:uid="{00000000-0005-0000-0000-0000F29A0000}"/>
    <cellStyle name="常规 9 3 2 3 3 2 2 2 2 4" xfId="15478" xr:uid="{00000000-0005-0000-0000-0000F39A0000}"/>
    <cellStyle name="常规 9 3 2 3 3 2 2 2 2 4 2" xfId="40054" xr:uid="{00000000-0005-0000-0000-0000F49A0000}"/>
    <cellStyle name="常规 9 3 2 3 3 2 2 2 2 5" xfId="27766" xr:uid="{00000000-0005-0000-0000-0000F59A0000}"/>
    <cellStyle name="常规 9 3 2 3 3 2 2 2 3" xfId="4726" xr:uid="{00000000-0005-0000-0000-0000F69A0000}"/>
    <cellStyle name="常规 9 3 2 3 3 2 2 2 3 2" xfId="10870" xr:uid="{00000000-0005-0000-0000-0000F79A0000}"/>
    <cellStyle name="常规 9 3 2 3 3 2 2 2 3 2 2" xfId="23158" xr:uid="{00000000-0005-0000-0000-0000F89A0000}"/>
    <cellStyle name="常规 9 3 2 3 3 2 2 2 3 2 2 2" xfId="47734" xr:uid="{00000000-0005-0000-0000-0000F99A0000}"/>
    <cellStyle name="常规 9 3 2 3 3 2 2 2 3 2 3" xfId="35446" xr:uid="{00000000-0005-0000-0000-0000FA9A0000}"/>
    <cellStyle name="常规 9 3 2 3 3 2 2 2 3 3" xfId="17014" xr:uid="{00000000-0005-0000-0000-0000FB9A0000}"/>
    <cellStyle name="常规 9 3 2 3 3 2 2 2 3 3 2" xfId="41590" xr:uid="{00000000-0005-0000-0000-0000FC9A0000}"/>
    <cellStyle name="常规 9 3 2 3 3 2 2 2 3 4" xfId="29302" xr:uid="{00000000-0005-0000-0000-0000FD9A0000}"/>
    <cellStyle name="常规 9 3 2 3 3 2 2 2 4" xfId="7798" xr:uid="{00000000-0005-0000-0000-0000FE9A0000}"/>
    <cellStyle name="常规 9 3 2 3 3 2 2 2 4 2" xfId="20086" xr:uid="{00000000-0005-0000-0000-0000FF9A0000}"/>
    <cellStyle name="常规 9 3 2 3 3 2 2 2 4 2 2" xfId="44662" xr:uid="{00000000-0005-0000-0000-0000009B0000}"/>
    <cellStyle name="常规 9 3 2 3 3 2 2 2 4 3" xfId="32374" xr:uid="{00000000-0005-0000-0000-0000019B0000}"/>
    <cellStyle name="常规 9 3 2 3 3 2 2 2 5" xfId="13942" xr:uid="{00000000-0005-0000-0000-0000029B0000}"/>
    <cellStyle name="常规 9 3 2 3 3 2 2 2 5 2" xfId="38518" xr:uid="{00000000-0005-0000-0000-0000039B0000}"/>
    <cellStyle name="常规 9 3 2 3 3 2 2 2 6" xfId="26230" xr:uid="{00000000-0005-0000-0000-0000049B0000}"/>
    <cellStyle name="常规 9 3 2 3 3 2 2 3" xfId="2418" xr:uid="{00000000-0005-0000-0000-0000059B0000}"/>
    <cellStyle name="常规 9 3 2 3 3 2 2 3 2" xfId="5494" xr:uid="{00000000-0005-0000-0000-0000069B0000}"/>
    <cellStyle name="常规 9 3 2 3 3 2 2 3 2 2" xfId="11638" xr:uid="{00000000-0005-0000-0000-0000079B0000}"/>
    <cellStyle name="常规 9 3 2 3 3 2 2 3 2 2 2" xfId="23926" xr:uid="{00000000-0005-0000-0000-0000089B0000}"/>
    <cellStyle name="常规 9 3 2 3 3 2 2 3 2 2 2 2" xfId="48502" xr:uid="{00000000-0005-0000-0000-0000099B0000}"/>
    <cellStyle name="常规 9 3 2 3 3 2 2 3 2 2 3" xfId="36214" xr:uid="{00000000-0005-0000-0000-00000A9B0000}"/>
    <cellStyle name="常规 9 3 2 3 3 2 2 3 2 3" xfId="17782" xr:uid="{00000000-0005-0000-0000-00000B9B0000}"/>
    <cellStyle name="常规 9 3 2 3 3 2 2 3 2 3 2" xfId="42358" xr:uid="{00000000-0005-0000-0000-00000C9B0000}"/>
    <cellStyle name="常规 9 3 2 3 3 2 2 3 2 4" xfId="30070" xr:uid="{00000000-0005-0000-0000-00000D9B0000}"/>
    <cellStyle name="常规 9 3 2 3 3 2 2 3 3" xfId="8566" xr:uid="{00000000-0005-0000-0000-00000E9B0000}"/>
    <cellStyle name="常规 9 3 2 3 3 2 2 3 3 2" xfId="20854" xr:uid="{00000000-0005-0000-0000-00000F9B0000}"/>
    <cellStyle name="常规 9 3 2 3 3 2 2 3 3 2 2" xfId="45430" xr:uid="{00000000-0005-0000-0000-0000109B0000}"/>
    <cellStyle name="常规 9 3 2 3 3 2 2 3 3 3" xfId="33142" xr:uid="{00000000-0005-0000-0000-0000119B0000}"/>
    <cellStyle name="常规 9 3 2 3 3 2 2 3 4" xfId="14710" xr:uid="{00000000-0005-0000-0000-0000129B0000}"/>
    <cellStyle name="常规 9 3 2 3 3 2 2 3 4 2" xfId="39286" xr:uid="{00000000-0005-0000-0000-0000139B0000}"/>
    <cellStyle name="常规 9 3 2 3 3 2 2 3 5" xfId="26998" xr:uid="{00000000-0005-0000-0000-0000149B0000}"/>
    <cellStyle name="常规 9 3 2 3 3 2 2 4" xfId="3958" xr:uid="{00000000-0005-0000-0000-0000159B0000}"/>
    <cellStyle name="常规 9 3 2 3 3 2 2 4 2" xfId="10102" xr:uid="{00000000-0005-0000-0000-0000169B0000}"/>
    <cellStyle name="常规 9 3 2 3 3 2 2 4 2 2" xfId="22390" xr:uid="{00000000-0005-0000-0000-0000179B0000}"/>
    <cellStyle name="常规 9 3 2 3 3 2 2 4 2 2 2" xfId="46966" xr:uid="{00000000-0005-0000-0000-0000189B0000}"/>
    <cellStyle name="常规 9 3 2 3 3 2 2 4 2 3" xfId="34678" xr:uid="{00000000-0005-0000-0000-0000199B0000}"/>
    <cellStyle name="常规 9 3 2 3 3 2 2 4 3" xfId="16246" xr:uid="{00000000-0005-0000-0000-00001A9B0000}"/>
    <cellStyle name="常规 9 3 2 3 3 2 2 4 3 2" xfId="40822" xr:uid="{00000000-0005-0000-0000-00001B9B0000}"/>
    <cellStyle name="常规 9 3 2 3 3 2 2 4 4" xfId="28534" xr:uid="{00000000-0005-0000-0000-00001C9B0000}"/>
    <cellStyle name="常规 9 3 2 3 3 2 2 5" xfId="7030" xr:uid="{00000000-0005-0000-0000-00001D9B0000}"/>
    <cellStyle name="常规 9 3 2 3 3 2 2 5 2" xfId="19318" xr:uid="{00000000-0005-0000-0000-00001E9B0000}"/>
    <cellStyle name="常规 9 3 2 3 3 2 2 5 2 2" xfId="43894" xr:uid="{00000000-0005-0000-0000-00001F9B0000}"/>
    <cellStyle name="常规 9 3 2 3 3 2 2 5 3" xfId="31606" xr:uid="{00000000-0005-0000-0000-0000209B0000}"/>
    <cellStyle name="常规 9 3 2 3 3 2 2 6" xfId="13174" xr:uid="{00000000-0005-0000-0000-0000219B0000}"/>
    <cellStyle name="常规 9 3 2 3 3 2 2 6 2" xfId="37750" xr:uid="{00000000-0005-0000-0000-0000229B0000}"/>
    <cellStyle name="常规 9 3 2 3 3 2 2 7" xfId="25462" xr:uid="{00000000-0005-0000-0000-0000239B0000}"/>
    <cellStyle name="常规 9 3 2 3 3 2 3" xfId="1266" xr:uid="{00000000-0005-0000-0000-0000249B0000}"/>
    <cellStyle name="常规 9 3 2 3 3 2 3 2" xfId="2802" xr:uid="{00000000-0005-0000-0000-0000259B0000}"/>
    <cellStyle name="常规 9 3 2 3 3 2 3 2 2" xfId="5878" xr:uid="{00000000-0005-0000-0000-0000269B0000}"/>
    <cellStyle name="常规 9 3 2 3 3 2 3 2 2 2" xfId="12022" xr:uid="{00000000-0005-0000-0000-0000279B0000}"/>
    <cellStyle name="常规 9 3 2 3 3 2 3 2 2 2 2" xfId="24310" xr:uid="{00000000-0005-0000-0000-0000289B0000}"/>
    <cellStyle name="常规 9 3 2 3 3 2 3 2 2 2 2 2" xfId="48886" xr:uid="{00000000-0005-0000-0000-0000299B0000}"/>
    <cellStyle name="常规 9 3 2 3 3 2 3 2 2 2 3" xfId="36598" xr:uid="{00000000-0005-0000-0000-00002A9B0000}"/>
    <cellStyle name="常规 9 3 2 3 3 2 3 2 2 3" xfId="18166" xr:uid="{00000000-0005-0000-0000-00002B9B0000}"/>
    <cellStyle name="常规 9 3 2 3 3 2 3 2 2 3 2" xfId="42742" xr:uid="{00000000-0005-0000-0000-00002C9B0000}"/>
    <cellStyle name="常规 9 3 2 3 3 2 3 2 2 4" xfId="30454" xr:uid="{00000000-0005-0000-0000-00002D9B0000}"/>
    <cellStyle name="常规 9 3 2 3 3 2 3 2 3" xfId="8950" xr:uid="{00000000-0005-0000-0000-00002E9B0000}"/>
    <cellStyle name="常规 9 3 2 3 3 2 3 2 3 2" xfId="21238" xr:uid="{00000000-0005-0000-0000-00002F9B0000}"/>
    <cellStyle name="常规 9 3 2 3 3 2 3 2 3 2 2" xfId="45814" xr:uid="{00000000-0005-0000-0000-0000309B0000}"/>
    <cellStyle name="常规 9 3 2 3 3 2 3 2 3 3" xfId="33526" xr:uid="{00000000-0005-0000-0000-0000319B0000}"/>
    <cellStyle name="常规 9 3 2 3 3 2 3 2 4" xfId="15094" xr:uid="{00000000-0005-0000-0000-0000329B0000}"/>
    <cellStyle name="常规 9 3 2 3 3 2 3 2 4 2" xfId="39670" xr:uid="{00000000-0005-0000-0000-0000339B0000}"/>
    <cellStyle name="常规 9 3 2 3 3 2 3 2 5" xfId="27382" xr:uid="{00000000-0005-0000-0000-0000349B0000}"/>
    <cellStyle name="常规 9 3 2 3 3 2 3 3" xfId="4342" xr:uid="{00000000-0005-0000-0000-0000359B0000}"/>
    <cellStyle name="常规 9 3 2 3 3 2 3 3 2" xfId="10486" xr:uid="{00000000-0005-0000-0000-0000369B0000}"/>
    <cellStyle name="常规 9 3 2 3 3 2 3 3 2 2" xfId="22774" xr:uid="{00000000-0005-0000-0000-0000379B0000}"/>
    <cellStyle name="常规 9 3 2 3 3 2 3 3 2 2 2" xfId="47350" xr:uid="{00000000-0005-0000-0000-0000389B0000}"/>
    <cellStyle name="常规 9 3 2 3 3 2 3 3 2 3" xfId="35062" xr:uid="{00000000-0005-0000-0000-0000399B0000}"/>
    <cellStyle name="常规 9 3 2 3 3 2 3 3 3" xfId="16630" xr:uid="{00000000-0005-0000-0000-00003A9B0000}"/>
    <cellStyle name="常规 9 3 2 3 3 2 3 3 3 2" xfId="41206" xr:uid="{00000000-0005-0000-0000-00003B9B0000}"/>
    <cellStyle name="常规 9 3 2 3 3 2 3 3 4" xfId="28918" xr:uid="{00000000-0005-0000-0000-00003C9B0000}"/>
    <cellStyle name="常规 9 3 2 3 3 2 3 4" xfId="7414" xr:uid="{00000000-0005-0000-0000-00003D9B0000}"/>
    <cellStyle name="常规 9 3 2 3 3 2 3 4 2" xfId="19702" xr:uid="{00000000-0005-0000-0000-00003E9B0000}"/>
    <cellStyle name="常规 9 3 2 3 3 2 3 4 2 2" xfId="44278" xr:uid="{00000000-0005-0000-0000-00003F9B0000}"/>
    <cellStyle name="常规 9 3 2 3 3 2 3 4 3" xfId="31990" xr:uid="{00000000-0005-0000-0000-0000409B0000}"/>
    <cellStyle name="常规 9 3 2 3 3 2 3 5" xfId="13558" xr:uid="{00000000-0005-0000-0000-0000419B0000}"/>
    <cellStyle name="常规 9 3 2 3 3 2 3 5 2" xfId="38134" xr:uid="{00000000-0005-0000-0000-0000429B0000}"/>
    <cellStyle name="常规 9 3 2 3 3 2 3 6" xfId="25846" xr:uid="{00000000-0005-0000-0000-0000439B0000}"/>
    <cellStyle name="常规 9 3 2 3 3 2 4" xfId="2034" xr:uid="{00000000-0005-0000-0000-0000449B0000}"/>
    <cellStyle name="常规 9 3 2 3 3 2 4 2" xfId="5110" xr:uid="{00000000-0005-0000-0000-0000459B0000}"/>
    <cellStyle name="常规 9 3 2 3 3 2 4 2 2" xfId="11254" xr:uid="{00000000-0005-0000-0000-0000469B0000}"/>
    <cellStyle name="常规 9 3 2 3 3 2 4 2 2 2" xfId="23542" xr:uid="{00000000-0005-0000-0000-0000479B0000}"/>
    <cellStyle name="常规 9 3 2 3 3 2 4 2 2 2 2" xfId="48118" xr:uid="{00000000-0005-0000-0000-0000489B0000}"/>
    <cellStyle name="常规 9 3 2 3 3 2 4 2 2 3" xfId="35830" xr:uid="{00000000-0005-0000-0000-0000499B0000}"/>
    <cellStyle name="常规 9 3 2 3 3 2 4 2 3" xfId="17398" xr:uid="{00000000-0005-0000-0000-00004A9B0000}"/>
    <cellStyle name="常规 9 3 2 3 3 2 4 2 3 2" xfId="41974" xr:uid="{00000000-0005-0000-0000-00004B9B0000}"/>
    <cellStyle name="常规 9 3 2 3 3 2 4 2 4" xfId="29686" xr:uid="{00000000-0005-0000-0000-00004C9B0000}"/>
    <cellStyle name="常规 9 3 2 3 3 2 4 3" xfId="8182" xr:uid="{00000000-0005-0000-0000-00004D9B0000}"/>
    <cellStyle name="常规 9 3 2 3 3 2 4 3 2" xfId="20470" xr:uid="{00000000-0005-0000-0000-00004E9B0000}"/>
    <cellStyle name="常规 9 3 2 3 3 2 4 3 2 2" xfId="45046" xr:uid="{00000000-0005-0000-0000-00004F9B0000}"/>
    <cellStyle name="常规 9 3 2 3 3 2 4 3 3" xfId="32758" xr:uid="{00000000-0005-0000-0000-0000509B0000}"/>
    <cellStyle name="常规 9 3 2 3 3 2 4 4" xfId="14326" xr:uid="{00000000-0005-0000-0000-0000519B0000}"/>
    <cellStyle name="常规 9 3 2 3 3 2 4 4 2" xfId="38902" xr:uid="{00000000-0005-0000-0000-0000529B0000}"/>
    <cellStyle name="常规 9 3 2 3 3 2 4 5" xfId="26614" xr:uid="{00000000-0005-0000-0000-0000539B0000}"/>
    <cellStyle name="常规 9 3 2 3 3 2 5" xfId="3574" xr:uid="{00000000-0005-0000-0000-0000549B0000}"/>
    <cellStyle name="常规 9 3 2 3 3 2 5 2" xfId="9718" xr:uid="{00000000-0005-0000-0000-0000559B0000}"/>
    <cellStyle name="常规 9 3 2 3 3 2 5 2 2" xfId="22006" xr:uid="{00000000-0005-0000-0000-0000569B0000}"/>
    <cellStyle name="常规 9 3 2 3 3 2 5 2 2 2" xfId="46582" xr:uid="{00000000-0005-0000-0000-0000579B0000}"/>
    <cellStyle name="常规 9 3 2 3 3 2 5 2 3" xfId="34294" xr:uid="{00000000-0005-0000-0000-0000589B0000}"/>
    <cellStyle name="常规 9 3 2 3 3 2 5 3" xfId="15862" xr:uid="{00000000-0005-0000-0000-0000599B0000}"/>
    <cellStyle name="常规 9 3 2 3 3 2 5 3 2" xfId="40438" xr:uid="{00000000-0005-0000-0000-00005A9B0000}"/>
    <cellStyle name="常规 9 3 2 3 3 2 5 4" xfId="28150" xr:uid="{00000000-0005-0000-0000-00005B9B0000}"/>
    <cellStyle name="常规 9 3 2 3 3 2 6" xfId="6646" xr:uid="{00000000-0005-0000-0000-00005C9B0000}"/>
    <cellStyle name="常规 9 3 2 3 3 2 6 2" xfId="18934" xr:uid="{00000000-0005-0000-0000-00005D9B0000}"/>
    <cellStyle name="常规 9 3 2 3 3 2 6 2 2" xfId="43510" xr:uid="{00000000-0005-0000-0000-00005E9B0000}"/>
    <cellStyle name="常规 9 3 2 3 3 2 6 3" xfId="31222" xr:uid="{00000000-0005-0000-0000-00005F9B0000}"/>
    <cellStyle name="常规 9 3 2 3 3 2 7" xfId="12790" xr:uid="{00000000-0005-0000-0000-0000609B0000}"/>
    <cellStyle name="常规 9 3 2 3 3 2 7 2" xfId="37366" xr:uid="{00000000-0005-0000-0000-0000619B0000}"/>
    <cellStyle name="常规 9 3 2 3 3 2 8" xfId="25078" xr:uid="{00000000-0005-0000-0000-0000629B0000}"/>
    <cellStyle name="常规 9 3 2 3 3 3" xfId="690" xr:uid="{00000000-0005-0000-0000-0000639B0000}"/>
    <cellStyle name="常规 9 3 2 3 3 3 2" xfId="1458" xr:uid="{00000000-0005-0000-0000-0000649B0000}"/>
    <cellStyle name="常规 9 3 2 3 3 3 2 2" xfId="2994" xr:uid="{00000000-0005-0000-0000-0000659B0000}"/>
    <cellStyle name="常规 9 3 2 3 3 3 2 2 2" xfId="6070" xr:uid="{00000000-0005-0000-0000-0000669B0000}"/>
    <cellStyle name="常规 9 3 2 3 3 3 2 2 2 2" xfId="12214" xr:uid="{00000000-0005-0000-0000-0000679B0000}"/>
    <cellStyle name="常规 9 3 2 3 3 3 2 2 2 2 2" xfId="24502" xr:uid="{00000000-0005-0000-0000-0000689B0000}"/>
    <cellStyle name="常规 9 3 2 3 3 3 2 2 2 2 2 2" xfId="49078" xr:uid="{00000000-0005-0000-0000-0000699B0000}"/>
    <cellStyle name="常规 9 3 2 3 3 3 2 2 2 2 3" xfId="36790" xr:uid="{00000000-0005-0000-0000-00006A9B0000}"/>
    <cellStyle name="常规 9 3 2 3 3 3 2 2 2 3" xfId="18358" xr:uid="{00000000-0005-0000-0000-00006B9B0000}"/>
    <cellStyle name="常规 9 3 2 3 3 3 2 2 2 3 2" xfId="42934" xr:uid="{00000000-0005-0000-0000-00006C9B0000}"/>
    <cellStyle name="常规 9 3 2 3 3 3 2 2 2 4" xfId="30646" xr:uid="{00000000-0005-0000-0000-00006D9B0000}"/>
    <cellStyle name="常规 9 3 2 3 3 3 2 2 3" xfId="9142" xr:uid="{00000000-0005-0000-0000-00006E9B0000}"/>
    <cellStyle name="常规 9 3 2 3 3 3 2 2 3 2" xfId="21430" xr:uid="{00000000-0005-0000-0000-00006F9B0000}"/>
    <cellStyle name="常规 9 3 2 3 3 3 2 2 3 2 2" xfId="46006" xr:uid="{00000000-0005-0000-0000-0000709B0000}"/>
    <cellStyle name="常规 9 3 2 3 3 3 2 2 3 3" xfId="33718" xr:uid="{00000000-0005-0000-0000-0000719B0000}"/>
    <cellStyle name="常规 9 3 2 3 3 3 2 2 4" xfId="15286" xr:uid="{00000000-0005-0000-0000-0000729B0000}"/>
    <cellStyle name="常规 9 3 2 3 3 3 2 2 4 2" xfId="39862" xr:uid="{00000000-0005-0000-0000-0000739B0000}"/>
    <cellStyle name="常规 9 3 2 3 3 3 2 2 5" xfId="27574" xr:uid="{00000000-0005-0000-0000-0000749B0000}"/>
    <cellStyle name="常规 9 3 2 3 3 3 2 3" xfId="4534" xr:uid="{00000000-0005-0000-0000-0000759B0000}"/>
    <cellStyle name="常规 9 3 2 3 3 3 2 3 2" xfId="10678" xr:uid="{00000000-0005-0000-0000-0000769B0000}"/>
    <cellStyle name="常规 9 3 2 3 3 3 2 3 2 2" xfId="22966" xr:uid="{00000000-0005-0000-0000-0000779B0000}"/>
    <cellStyle name="常规 9 3 2 3 3 3 2 3 2 2 2" xfId="47542" xr:uid="{00000000-0005-0000-0000-0000789B0000}"/>
    <cellStyle name="常规 9 3 2 3 3 3 2 3 2 3" xfId="35254" xr:uid="{00000000-0005-0000-0000-0000799B0000}"/>
    <cellStyle name="常规 9 3 2 3 3 3 2 3 3" xfId="16822" xr:uid="{00000000-0005-0000-0000-00007A9B0000}"/>
    <cellStyle name="常规 9 3 2 3 3 3 2 3 3 2" xfId="41398" xr:uid="{00000000-0005-0000-0000-00007B9B0000}"/>
    <cellStyle name="常规 9 3 2 3 3 3 2 3 4" xfId="29110" xr:uid="{00000000-0005-0000-0000-00007C9B0000}"/>
    <cellStyle name="常规 9 3 2 3 3 3 2 4" xfId="7606" xr:uid="{00000000-0005-0000-0000-00007D9B0000}"/>
    <cellStyle name="常规 9 3 2 3 3 3 2 4 2" xfId="19894" xr:uid="{00000000-0005-0000-0000-00007E9B0000}"/>
    <cellStyle name="常规 9 3 2 3 3 3 2 4 2 2" xfId="44470" xr:uid="{00000000-0005-0000-0000-00007F9B0000}"/>
    <cellStyle name="常规 9 3 2 3 3 3 2 4 3" xfId="32182" xr:uid="{00000000-0005-0000-0000-0000809B0000}"/>
    <cellStyle name="常规 9 3 2 3 3 3 2 5" xfId="13750" xr:uid="{00000000-0005-0000-0000-0000819B0000}"/>
    <cellStyle name="常规 9 3 2 3 3 3 2 5 2" xfId="38326" xr:uid="{00000000-0005-0000-0000-0000829B0000}"/>
    <cellStyle name="常规 9 3 2 3 3 3 2 6" xfId="26038" xr:uid="{00000000-0005-0000-0000-0000839B0000}"/>
    <cellStyle name="常规 9 3 2 3 3 3 3" xfId="2226" xr:uid="{00000000-0005-0000-0000-0000849B0000}"/>
    <cellStyle name="常规 9 3 2 3 3 3 3 2" xfId="5302" xr:uid="{00000000-0005-0000-0000-0000859B0000}"/>
    <cellStyle name="常规 9 3 2 3 3 3 3 2 2" xfId="11446" xr:uid="{00000000-0005-0000-0000-0000869B0000}"/>
    <cellStyle name="常规 9 3 2 3 3 3 3 2 2 2" xfId="23734" xr:uid="{00000000-0005-0000-0000-0000879B0000}"/>
    <cellStyle name="常规 9 3 2 3 3 3 3 2 2 2 2" xfId="48310" xr:uid="{00000000-0005-0000-0000-0000889B0000}"/>
    <cellStyle name="常规 9 3 2 3 3 3 3 2 2 3" xfId="36022" xr:uid="{00000000-0005-0000-0000-0000899B0000}"/>
    <cellStyle name="常规 9 3 2 3 3 3 3 2 3" xfId="17590" xr:uid="{00000000-0005-0000-0000-00008A9B0000}"/>
    <cellStyle name="常规 9 3 2 3 3 3 3 2 3 2" xfId="42166" xr:uid="{00000000-0005-0000-0000-00008B9B0000}"/>
    <cellStyle name="常规 9 3 2 3 3 3 3 2 4" xfId="29878" xr:uid="{00000000-0005-0000-0000-00008C9B0000}"/>
    <cellStyle name="常规 9 3 2 3 3 3 3 3" xfId="8374" xr:uid="{00000000-0005-0000-0000-00008D9B0000}"/>
    <cellStyle name="常规 9 3 2 3 3 3 3 3 2" xfId="20662" xr:uid="{00000000-0005-0000-0000-00008E9B0000}"/>
    <cellStyle name="常规 9 3 2 3 3 3 3 3 2 2" xfId="45238" xr:uid="{00000000-0005-0000-0000-00008F9B0000}"/>
    <cellStyle name="常规 9 3 2 3 3 3 3 3 3" xfId="32950" xr:uid="{00000000-0005-0000-0000-0000909B0000}"/>
    <cellStyle name="常规 9 3 2 3 3 3 3 4" xfId="14518" xr:uid="{00000000-0005-0000-0000-0000919B0000}"/>
    <cellStyle name="常规 9 3 2 3 3 3 3 4 2" xfId="39094" xr:uid="{00000000-0005-0000-0000-0000929B0000}"/>
    <cellStyle name="常规 9 3 2 3 3 3 3 5" xfId="26806" xr:uid="{00000000-0005-0000-0000-0000939B0000}"/>
    <cellStyle name="常规 9 3 2 3 3 3 4" xfId="3766" xr:uid="{00000000-0005-0000-0000-0000949B0000}"/>
    <cellStyle name="常规 9 3 2 3 3 3 4 2" xfId="9910" xr:uid="{00000000-0005-0000-0000-0000959B0000}"/>
    <cellStyle name="常规 9 3 2 3 3 3 4 2 2" xfId="22198" xr:uid="{00000000-0005-0000-0000-0000969B0000}"/>
    <cellStyle name="常规 9 3 2 3 3 3 4 2 2 2" xfId="46774" xr:uid="{00000000-0005-0000-0000-0000979B0000}"/>
    <cellStyle name="常规 9 3 2 3 3 3 4 2 3" xfId="34486" xr:uid="{00000000-0005-0000-0000-0000989B0000}"/>
    <cellStyle name="常规 9 3 2 3 3 3 4 3" xfId="16054" xr:uid="{00000000-0005-0000-0000-0000999B0000}"/>
    <cellStyle name="常规 9 3 2 3 3 3 4 3 2" xfId="40630" xr:uid="{00000000-0005-0000-0000-00009A9B0000}"/>
    <cellStyle name="常规 9 3 2 3 3 3 4 4" xfId="28342" xr:uid="{00000000-0005-0000-0000-00009B9B0000}"/>
    <cellStyle name="常规 9 3 2 3 3 3 5" xfId="6838" xr:uid="{00000000-0005-0000-0000-00009C9B0000}"/>
    <cellStyle name="常规 9 3 2 3 3 3 5 2" xfId="19126" xr:uid="{00000000-0005-0000-0000-00009D9B0000}"/>
    <cellStyle name="常规 9 3 2 3 3 3 5 2 2" xfId="43702" xr:uid="{00000000-0005-0000-0000-00009E9B0000}"/>
    <cellStyle name="常规 9 3 2 3 3 3 5 3" xfId="31414" xr:uid="{00000000-0005-0000-0000-00009F9B0000}"/>
    <cellStyle name="常规 9 3 2 3 3 3 6" xfId="12982" xr:uid="{00000000-0005-0000-0000-0000A09B0000}"/>
    <cellStyle name="常规 9 3 2 3 3 3 6 2" xfId="37558" xr:uid="{00000000-0005-0000-0000-0000A19B0000}"/>
    <cellStyle name="常规 9 3 2 3 3 3 7" xfId="25270" xr:uid="{00000000-0005-0000-0000-0000A29B0000}"/>
    <cellStyle name="常规 9 3 2 3 3 4" xfId="1074" xr:uid="{00000000-0005-0000-0000-0000A39B0000}"/>
    <cellStyle name="常规 9 3 2 3 3 4 2" xfId="2610" xr:uid="{00000000-0005-0000-0000-0000A49B0000}"/>
    <cellStyle name="常规 9 3 2 3 3 4 2 2" xfId="5686" xr:uid="{00000000-0005-0000-0000-0000A59B0000}"/>
    <cellStyle name="常规 9 3 2 3 3 4 2 2 2" xfId="11830" xr:uid="{00000000-0005-0000-0000-0000A69B0000}"/>
    <cellStyle name="常规 9 3 2 3 3 4 2 2 2 2" xfId="24118" xr:uid="{00000000-0005-0000-0000-0000A79B0000}"/>
    <cellStyle name="常规 9 3 2 3 3 4 2 2 2 2 2" xfId="48694" xr:uid="{00000000-0005-0000-0000-0000A89B0000}"/>
    <cellStyle name="常规 9 3 2 3 3 4 2 2 2 3" xfId="36406" xr:uid="{00000000-0005-0000-0000-0000A99B0000}"/>
    <cellStyle name="常规 9 3 2 3 3 4 2 2 3" xfId="17974" xr:uid="{00000000-0005-0000-0000-0000AA9B0000}"/>
    <cellStyle name="常规 9 3 2 3 3 4 2 2 3 2" xfId="42550" xr:uid="{00000000-0005-0000-0000-0000AB9B0000}"/>
    <cellStyle name="常规 9 3 2 3 3 4 2 2 4" xfId="30262" xr:uid="{00000000-0005-0000-0000-0000AC9B0000}"/>
    <cellStyle name="常规 9 3 2 3 3 4 2 3" xfId="8758" xr:uid="{00000000-0005-0000-0000-0000AD9B0000}"/>
    <cellStyle name="常规 9 3 2 3 3 4 2 3 2" xfId="21046" xr:uid="{00000000-0005-0000-0000-0000AE9B0000}"/>
    <cellStyle name="常规 9 3 2 3 3 4 2 3 2 2" xfId="45622" xr:uid="{00000000-0005-0000-0000-0000AF9B0000}"/>
    <cellStyle name="常规 9 3 2 3 3 4 2 3 3" xfId="33334" xr:uid="{00000000-0005-0000-0000-0000B09B0000}"/>
    <cellStyle name="常规 9 3 2 3 3 4 2 4" xfId="14902" xr:uid="{00000000-0005-0000-0000-0000B19B0000}"/>
    <cellStyle name="常规 9 3 2 3 3 4 2 4 2" xfId="39478" xr:uid="{00000000-0005-0000-0000-0000B29B0000}"/>
    <cellStyle name="常规 9 3 2 3 3 4 2 5" xfId="27190" xr:uid="{00000000-0005-0000-0000-0000B39B0000}"/>
    <cellStyle name="常规 9 3 2 3 3 4 3" xfId="4150" xr:uid="{00000000-0005-0000-0000-0000B49B0000}"/>
    <cellStyle name="常规 9 3 2 3 3 4 3 2" xfId="10294" xr:uid="{00000000-0005-0000-0000-0000B59B0000}"/>
    <cellStyle name="常规 9 3 2 3 3 4 3 2 2" xfId="22582" xr:uid="{00000000-0005-0000-0000-0000B69B0000}"/>
    <cellStyle name="常规 9 3 2 3 3 4 3 2 2 2" xfId="47158" xr:uid="{00000000-0005-0000-0000-0000B79B0000}"/>
    <cellStyle name="常规 9 3 2 3 3 4 3 2 3" xfId="34870" xr:uid="{00000000-0005-0000-0000-0000B89B0000}"/>
    <cellStyle name="常规 9 3 2 3 3 4 3 3" xfId="16438" xr:uid="{00000000-0005-0000-0000-0000B99B0000}"/>
    <cellStyle name="常规 9 3 2 3 3 4 3 3 2" xfId="41014" xr:uid="{00000000-0005-0000-0000-0000BA9B0000}"/>
    <cellStyle name="常规 9 3 2 3 3 4 3 4" xfId="28726" xr:uid="{00000000-0005-0000-0000-0000BB9B0000}"/>
    <cellStyle name="常规 9 3 2 3 3 4 4" xfId="7222" xr:uid="{00000000-0005-0000-0000-0000BC9B0000}"/>
    <cellStyle name="常规 9 3 2 3 3 4 4 2" xfId="19510" xr:uid="{00000000-0005-0000-0000-0000BD9B0000}"/>
    <cellStyle name="常规 9 3 2 3 3 4 4 2 2" xfId="44086" xr:uid="{00000000-0005-0000-0000-0000BE9B0000}"/>
    <cellStyle name="常规 9 3 2 3 3 4 4 3" xfId="31798" xr:uid="{00000000-0005-0000-0000-0000BF9B0000}"/>
    <cellStyle name="常规 9 3 2 3 3 4 5" xfId="13366" xr:uid="{00000000-0005-0000-0000-0000C09B0000}"/>
    <cellStyle name="常规 9 3 2 3 3 4 5 2" xfId="37942" xr:uid="{00000000-0005-0000-0000-0000C19B0000}"/>
    <cellStyle name="常规 9 3 2 3 3 4 6" xfId="25654" xr:uid="{00000000-0005-0000-0000-0000C29B0000}"/>
    <cellStyle name="常规 9 3 2 3 3 5" xfId="1842" xr:uid="{00000000-0005-0000-0000-0000C39B0000}"/>
    <cellStyle name="常规 9 3 2 3 3 5 2" xfId="4918" xr:uid="{00000000-0005-0000-0000-0000C49B0000}"/>
    <cellStyle name="常规 9 3 2 3 3 5 2 2" xfId="11062" xr:uid="{00000000-0005-0000-0000-0000C59B0000}"/>
    <cellStyle name="常规 9 3 2 3 3 5 2 2 2" xfId="23350" xr:uid="{00000000-0005-0000-0000-0000C69B0000}"/>
    <cellStyle name="常规 9 3 2 3 3 5 2 2 2 2" xfId="47926" xr:uid="{00000000-0005-0000-0000-0000C79B0000}"/>
    <cellStyle name="常规 9 3 2 3 3 5 2 2 3" xfId="35638" xr:uid="{00000000-0005-0000-0000-0000C89B0000}"/>
    <cellStyle name="常规 9 3 2 3 3 5 2 3" xfId="17206" xr:uid="{00000000-0005-0000-0000-0000C99B0000}"/>
    <cellStyle name="常规 9 3 2 3 3 5 2 3 2" xfId="41782" xr:uid="{00000000-0005-0000-0000-0000CA9B0000}"/>
    <cellStyle name="常规 9 3 2 3 3 5 2 4" xfId="29494" xr:uid="{00000000-0005-0000-0000-0000CB9B0000}"/>
    <cellStyle name="常规 9 3 2 3 3 5 3" xfId="7990" xr:uid="{00000000-0005-0000-0000-0000CC9B0000}"/>
    <cellStyle name="常规 9 3 2 3 3 5 3 2" xfId="20278" xr:uid="{00000000-0005-0000-0000-0000CD9B0000}"/>
    <cellStyle name="常规 9 3 2 3 3 5 3 2 2" xfId="44854" xr:uid="{00000000-0005-0000-0000-0000CE9B0000}"/>
    <cellStyle name="常规 9 3 2 3 3 5 3 3" xfId="32566" xr:uid="{00000000-0005-0000-0000-0000CF9B0000}"/>
    <cellStyle name="常规 9 3 2 3 3 5 4" xfId="14134" xr:uid="{00000000-0005-0000-0000-0000D09B0000}"/>
    <cellStyle name="常规 9 3 2 3 3 5 4 2" xfId="38710" xr:uid="{00000000-0005-0000-0000-0000D19B0000}"/>
    <cellStyle name="常规 9 3 2 3 3 5 5" xfId="26422" xr:uid="{00000000-0005-0000-0000-0000D29B0000}"/>
    <cellStyle name="常规 9 3 2 3 3 6" xfId="3382" xr:uid="{00000000-0005-0000-0000-0000D39B0000}"/>
    <cellStyle name="常规 9 3 2 3 3 6 2" xfId="9526" xr:uid="{00000000-0005-0000-0000-0000D49B0000}"/>
    <cellStyle name="常规 9 3 2 3 3 6 2 2" xfId="21814" xr:uid="{00000000-0005-0000-0000-0000D59B0000}"/>
    <cellStyle name="常规 9 3 2 3 3 6 2 2 2" xfId="46390" xr:uid="{00000000-0005-0000-0000-0000D69B0000}"/>
    <cellStyle name="常规 9 3 2 3 3 6 2 3" xfId="34102" xr:uid="{00000000-0005-0000-0000-0000D79B0000}"/>
    <cellStyle name="常规 9 3 2 3 3 6 3" xfId="15670" xr:uid="{00000000-0005-0000-0000-0000D89B0000}"/>
    <cellStyle name="常规 9 3 2 3 3 6 3 2" xfId="40246" xr:uid="{00000000-0005-0000-0000-0000D99B0000}"/>
    <cellStyle name="常规 9 3 2 3 3 6 4" xfId="27958" xr:uid="{00000000-0005-0000-0000-0000DA9B0000}"/>
    <cellStyle name="常规 9 3 2 3 3 7" xfId="6454" xr:uid="{00000000-0005-0000-0000-0000DB9B0000}"/>
    <cellStyle name="常规 9 3 2 3 3 7 2" xfId="18742" xr:uid="{00000000-0005-0000-0000-0000DC9B0000}"/>
    <cellStyle name="常规 9 3 2 3 3 7 2 2" xfId="43318" xr:uid="{00000000-0005-0000-0000-0000DD9B0000}"/>
    <cellStyle name="常规 9 3 2 3 3 7 3" xfId="31030" xr:uid="{00000000-0005-0000-0000-0000DE9B0000}"/>
    <cellStyle name="常规 9 3 2 3 3 8" xfId="12598" xr:uid="{00000000-0005-0000-0000-0000DF9B0000}"/>
    <cellStyle name="常规 9 3 2 3 3 8 2" xfId="37174" xr:uid="{00000000-0005-0000-0000-0000E09B0000}"/>
    <cellStyle name="常规 9 3 2 3 3 9" xfId="24886" xr:uid="{00000000-0005-0000-0000-0000E19B0000}"/>
    <cellStyle name="常规 9 3 2 3 4" xfId="370" xr:uid="{00000000-0005-0000-0000-0000E29B0000}"/>
    <cellStyle name="常规 9 3 2 3 4 2" xfId="754" xr:uid="{00000000-0005-0000-0000-0000E39B0000}"/>
    <cellStyle name="常规 9 3 2 3 4 2 2" xfId="1522" xr:uid="{00000000-0005-0000-0000-0000E49B0000}"/>
    <cellStyle name="常规 9 3 2 3 4 2 2 2" xfId="3058" xr:uid="{00000000-0005-0000-0000-0000E59B0000}"/>
    <cellStyle name="常规 9 3 2 3 4 2 2 2 2" xfId="6134" xr:uid="{00000000-0005-0000-0000-0000E69B0000}"/>
    <cellStyle name="常规 9 3 2 3 4 2 2 2 2 2" xfId="12278" xr:uid="{00000000-0005-0000-0000-0000E79B0000}"/>
    <cellStyle name="常规 9 3 2 3 4 2 2 2 2 2 2" xfId="24566" xr:uid="{00000000-0005-0000-0000-0000E89B0000}"/>
    <cellStyle name="常规 9 3 2 3 4 2 2 2 2 2 2 2" xfId="49142" xr:uid="{00000000-0005-0000-0000-0000E99B0000}"/>
    <cellStyle name="常规 9 3 2 3 4 2 2 2 2 2 3" xfId="36854" xr:uid="{00000000-0005-0000-0000-0000EA9B0000}"/>
    <cellStyle name="常规 9 3 2 3 4 2 2 2 2 3" xfId="18422" xr:uid="{00000000-0005-0000-0000-0000EB9B0000}"/>
    <cellStyle name="常规 9 3 2 3 4 2 2 2 2 3 2" xfId="42998" xr:uid="{00000000-0005-0000-0000-0000EC9B0000}"/>
    <cellStyle name="常规 9 3 2 3 4 2 2 2 2 4" xfId="30710" xr:uid="{00000000-0005-0000-0000-0000ED9B0000}"/>
    <cellStyle name="常规 9 3 2 3 4 2 2 2 3" xfId="9206" xr:uid="{00000000-0005-0000-0000-0000EE9B0000}"/>
    <cellStyle name="常规 9 3 2 3 4 2 2 2 3 2" xfId="21494" xr:uid="{00000000-0005-0000-0000-0000EF9B0000}"/>
    <cellStyle name="常规 9 3 2 3 4 2 2 2 3 2 2" xfId="46070" xr:uid="{00000000-0005-0000-0000-0000F09B0000}"/>
    <cellStyle name="常规 9 3 2 3 4 2 2 2 3 3" xfId="33782" xr:uid="{00000000-0005-0000-0000-0000F19B0000}"/>
    <cellStyle name="常规 9 3 2 3 4 2 2 2 4" xfId="15350" xr:uid="{00000000-0005-0000-0000-0000F29B0000}"/>
    <cellStyle name="常规 9 3 2 3 4 2 2 2 4 2" xfId="39926" xr:uid="{00000000-0005-0000-0000-0000F39B0000}"/>
    <cellStyle name="常规 9 3 2 3 4 2 2 2 5" xfId="27638" xr:uid="{00000000-0005-0000-0000-0000F49B0000}"/>
    <cellStyle name="常规 9 3 2 3 4 2 2 3" xfId="4598" xr:uid="{00000000-0005-0000-0000-0000F59B0000}"/>
    <cellStyle name="常规 9 3 2 3 4 2 2 3 2" xfId="10742" xr:uid="{00000000-0005-0000-0000-0000F69B0000}"/>
    <cellStyle name="常规 9 3 2 3 4 2 2 3 2 2" xfId="23030" xr:uid="{00000000-0005-0000-0000-0000F79B0000}"/>
    <cellStyle name="常规 9 3 2 3 4 2 2 3 2 2 2" xfId="47606" xr:uid="{00000000-0005-0000-0000-0000F89B0000}"/>
    <cellStyle name="常规 9 3 2 3 4 2 2 3 2 3" xfId="35318" xr:uid="{00000000-0005-0000-0000-0000F99B0000}"/>
    <cellStyle name="常规 9 3 2 3 4 2 2 3 3" xfId="16886" xr:uid="{00000000-0005-0000-0000-0000FA9B0000}"/>
    <cellStyle name="常规 9 3 2 3 4 2 2 3 3 2" xfId="41462" xr:uid="{00000000-0005-0000-0000-0000FB9B0000}"/>
    <cellStyle name="常规 9 3 2 3 4 2 2 3 4" xfId="29174" xr:uid="{00000000-0005-0000-0000-0000FC9B0000}"/>
    <cellStyle name="常规 9 3 2 3 4 2 2 4" xfId="7670" xr:uid="{00000000-0005-0000-0000-0000FD9B0000}"/>
    <cellStyle name="常规 9 3 2 3 4 2 2 4 2" xfId="19958" xr:uid="{00000000-0005-0000-0000-0000FE9B0000}"/>
    <cellStyle name="常规 9 3 2 3 4 2 2 4 2 2" xfId="44534" xr:uid="{00000000-0005-0000-0000-0000FF9B0000}"/>
    <cellStyle name="常规 9 3 2 3 4 2 2 4 3" xfId="32246" xr:uid="{00000000-0005-0000-0000-0000009C0000}"/>
    <cellStyle name="常规 9 3 2 3 4 2 2 5" xfId="13814" xr:uid="{00000000-0005-0000-0000-0000019C0000}"/>
    <cellStyle name="常规 9 3 2 3 4 2 2 5 2" xfId="38390" xr:uid="{00000000-0005-0000-0000-0000029C0000}"/>
    <cellStyle name="常规 9 3 2 3 4 2 2 6" xfId="26102" xr:uid="{00000000-0005-0000-0000-0000039C0000}"/>
    <cellStyle name="常规 9 3 2 3 4 2 3" xfId="2290" xr:uid="{00000000-0005-0000-0000-0000049C0000}"/>
    <cellStyle name="常规 9 3 2 3 4 2 3 2" xfId="5366" xr:uid="{00000000-0005-0000-0000-0000059C0000}"/>
    <cellStyle name="常规 9 3 2 3 4 2 3 2 2" xfId="11510" xr:uid="{00000000-0005-0000-0000-0000069C0000}"/>
    <cellStyle name="常规 9 3 2 3 4 2 3 2 2 2" xfId="23798" xr:uid="{00000000-0005-0000-0000-0000079C0000}"/>
    <cellStyle name="常规 9 3 2 3 4 2 3 2 2 2 2" xfId="48374" xr:uid="{00000000-0005-0000-0000-0000089C0000}"/>
    <cellStyle name="常规 9 3 2 3 4 2 3 2 2 3" xfId="36086" xr:uid="{00000000-0005-0000-0000-0000099C0000}"/>
    <cellStyle name="常规 9 3 2 3 4 2 3 2 3" xfId="17654" xr:uid="{00000000-0005-0000-0000-00000A9C0000}"/>
    <cellStyle name="常规 9 3 2 3 4 2 3 2 3 2" xfId="42230" xr:uid="{00000000-0005-0000-0000-00000B9C0000}"/>
    <cellStyle name="常规 9 3 2 3 4 2 3 2 4" xfId="29942" xr:uid="{00000000-0005-0000-0000-00000C9C0000}"/>
    <cellStyle name="常规 9 3 2 3 4 2 3 3" xfId="8438" xr:uid="{00000000-0005-0000-0000-00000D9C0000}"/>
    <cellStyle name="常规 9 3 2 3 4 2 3 3 2" xfId="20726" xr:uid="{00000000-0005-0000-0000-00000E9C0000}"/>
    <cellStyle name="常规 9 3 2 3 4 2 3 3 2 2" xfId="45302" xr:uid="{00000000-0005-0000-0000-00000F9C0000}"/>
    <cellStyle name="常规 9 3 2 3 4 2 3 3 3" xfId="33014" xr:uid="{00000000-0005-0000-0000-0000109C0000}"/>
    <cellStyle name="常规 9 3 2 3 4 2 3 4" xfId="14582" xr:uid="{00000000-0005-0000-0000-0000119C0000}"/>
    <cellStyle name="常规 9 3 2 3 4 2 3 4 2" xfId="39158" xr:uid="{00000000-0005-0000-0000-0000129C0000}"/>
    <cellStyle name="常规 9 3 2 3 4 2 3 5" xfId="26870" xr:uid="{00000000-0005-0000-0000-0000139C0000}"/>
    <cellStyle name="常规 9 3 2 3 4 2 4" xfId="3830" xr:uid="{00000000-0005-0000-0000-0000149C0000}"/>
    <cellStyle name="常规 9 3 2 3 4 2 4 2" xfId="9974" xr:uid="{00000000-0005-0000-0000-0000159C0000}"/>
    <cellStyle name="常规 9 3 2 3 4 2 4 2 2" xfId="22262" xr:uid="{00000000-0005-0000-0000-0000169C0000}"/>
    <cellStyle name="常规 9 3 2 3 4 2 4 2 2 2" xfId="46838" xr:uid="{00000000-0005-0000-0000-0000179C0000}"/>
    <cellStyle name="常规 9 3 2 3 4 2 4 2 3" xfId="34550" xr:uid="{00000000-0005-0000-0000-0000189C0000}"/>
    <cellStyle name="常规 9 3 2 3 4 2 4 3" xfId="16118" xr:uid="{00000000-0005-0000-0000-0000199C0000}"/>
    <cellStyle name="常规 9 3 2 3 4 2 4 3 2" xfId="40694" xr:uid="{00000000-0005-0000-0000-00001A9C0000}"/>
    <cellStyle name="常规 9 3 2 3 4 2 4 4" xfId="28406" xr:uid="{00000000-0005-0000-0000-00001B9C0000}"/>
    <cellStyle name="常规 9 3 2 3 4 2 5" xfId="6902" xr:uid="{00000000-0005-0000-0000-00001C9C0000}"/>
    <cellStyle name="常规 9 3 2 3 4 2 5 2" xfId="19190" xr:uid="{00000000-0005-0000-0000-00001D9C0000}"/>
    <cellStyle name="常规 9 3 2 3 4 2 5 2 2" xfId="43766" xr:uid="{00000000-0005-0000-0000-00001E9C0000}"/>
    <cellStyle name="常规 9 3 2 3 4 2 5 3" xfId="31478" xr:uid="{00000000-0005-0000-0000-00001F9C0000}"/>
    <cellStyle name="常规 9 3 2 3 4 2 6" xfId="13046" xr:uid="{00000000-0005-0000-0000-0000209C0000}"/>
    <cellStyle name="常规 9 3 2 3 4 2 6 2" xfId="37622" xr:uid="{00000000-0005-0000-0000-0000219C0000}"/>
    <cellStyle name="常规 9 3 2 3 4 2 7" xfId="25334" xr:uid="{00000000-0005-0000-0000-0000229C0000}"/>
    <cellStyle name="常规 9 3 2 3 4 3" xfId="1138" xr:uid="{00000000-0005-0000-0000-0000239C0000}"/>
    <cellStyle name="常规 9 3 2 3 4 3 2" xfId="2674" xr:uid="{00000000-0005-0000-0000-0000249C0000}"/>
    <cellStyle name="常规 9 3 2 3 4 3 2 2" xfId="5750" xr:uid="{00000000-0005-0000-0000-0000259C0000}"/>
    <cellStyle name="常规 9 3 2 3 4 3 2 2 2" xfId="11894" xr:uid="{00000000-0005-0000-0000-0000269C0000}"/>
    <cellStyle name="常规 9 3 2 3 4 3 2 2 2 2" xfId="24182" xr:uid="{00000000-0005-0000-0000-0000279C0000}"/>
    <cellStyle name="常规 9 3 2 3 4 3 2 2 2 2 2" xfId="48758" xr:uid="{00000000-0005-0000-0000-0000289C0000}"/>
    <cellStyle name="常规 9 3 2 3 4 3 2 2 2 3" xfId="36470" xr:uid="{00000000-0005-0000-0000-0000299C0000}"/>
    <cellStyle name="常规 9 3 2 3 4 3 2 2 3" xfId="18038" xr:uid="{00000000-0005-0000-0000-00002A9C0000}"/>
    <cellStyle name="常规 9 3 2 3 4 3 2 2 3 2" xfId="42614" xr:uid="{00000000-0005-0000-0000-00002B9C0000}"/>
    <cellStyle name="常规 9 3 2 3 4 3 2 2 4" xfId="30326" xr:uid="{00000000-0005-0000-0000-00002C9C0000}"/>
    <cellStyle name="常规 9 3 2 3 4 3 2 3" xfId="8822" xr:uid="{00000000-0005-0000-0000-00002D9C0000}"/>
    <cellStyle name="常规 9 3 2 3 4 3 2 3 2" xfId="21110" xr:uid="{00000000-0005-0000-0000-00002E9C0000}"/>
    <cellStyle name="常规 9 3 2 3 4 3 2 3 2 2" xfId="45686" xr:uid="{00000000-0005-0000-0000-00002F9C0000}"/>
    <cellStyle name="常规 9 3 2 3 4 3 2 3 3" xfId="33398" xr:uid="{00000000-0005-0000-0000-0000309C0000}"/>
    <cellStyle name="常规 9 3 2 3 4 3 2 4" xfId="14966" xr:uid="{00000000-0005-0000-0000-0000319C0000}"/>
    <cellStyle name="常规 9 3 2 3 4 3 2 4 2" xfId="39542" xr:uid="{00000000-0005-0000-0000-0000329C0000}"/>
    <cellStyle name="常规 9 3 2 3 4 3 2 5" xfId="27254" xr:uid="{00000000-0005-0000-0000-0000339C0000}"/>
    <cellStyle name="常规 9 3 2 3 4 3 3" xfId="4214" xr:uid="{00000000-0005-0000-0000-0000349C0000}"/>
    <cellStyle name="常规 9 3 2 3 4 3 3 2" xfId="10358" xr:uid="{00000000-0005-0000-0000-0000359C0000}"/>
    <cellStyle name="常规 9 3 2 3 4 3 3 2 2" xfId="22646" xr:uid="{00000000-0005-0000-0000-0000369C0000}"/>
    <cellStyle name="常规 9 3 2 3 4 3 3 2 2 2" xfId="47222" xr:uid="{00000000-0005-0000-0000-0000379C0000}"/>
    <cellStyle name="常规 9 3 2 3 4 3 3 2 3" xfId="34934" xr:uid="{00000000-0005-0000-0000-0000389C0000}"/>
    <cellStyle name="常规 9 3 2 3 4 3 3 3" xfId="16502" xr:uid="{00000000-0005-0000-0000-0000399C0000}"/>
    <cellStyle name="常规 9 3 2 3 4 3 3 3 2" xfId="41078" xr:uid="{00000000-0005-0000-0000-00003A9C0000}"/>
    <cellStyle name="常规 9 3 2 3 4 3 3 4" xfId="28790" xr:uid="{00000000-0005-0000-0000-00003B9C0000}"/>
    <cellStyle name="常规 9 3 2 3 4 3 4" xfId="7286" xr:uid="{00000000-0005-0000-0000-00003C9C0000}"/>
    <cellStyle name="常规 9 3 2 3 4 3 4 2" xfId="19574" xr:uid="{00000000-0005-0000-0000-00003D9C0000}"/>
    <cellStyle name="常规 9 3 2 3 4 3 4 2 2" xfId="44150" xr:uid="{00000000-0005-0000-0000-00003E9C0000}"/>
    <cellStyle name="常规 9 3 2 3 4 3 4 3" xfId="31862" xr:uid="{00000000-0005-0000-0000-00003F9C0000}"/>
    <cellStyle name="常规 9 3 2 3 4 3 5" xfId="13430" xr:uid="{00000000-0005-0000-0000-0000409C0000}"/>
    <cellStyle name="常规 9 3 2 3 4 3 5 2" xfId="38006" xr:uid="{00000000-0005-0000-0000-0000419C0000}"/>
    <cellStyle name="常规 9 3 2 3 4 3 6" xfId="25718" xr:uid="{00000000-0005-0000-0000-0000429C0000}"/>
    <cellStyle name="常规 9 3 2 3 4 4" xfId="1906" xr:uid="{00000000-0005-0000-0000-0000439C0000}"/>
    <cellStyle name="常规 9 3 2 3 4 4 2" xfId="4982" xr:uid="{00000000-0005-0000-0000-0000449C0000}"/>
    <cellStyle name="常规 9 3 2 3 4 4 2 2" xfId="11126" xr:uid="{00000000-0005-0000-0000-0000459C0000}"/>
    <cellStyle name="常规 9 3 2 3 4 4 2 2 2" xfId="23414" xr:uid="{00000000-0005-0000-0000-0000469C0000}"/>
    <cellStyle name="常规 9 3 2 3 4 4 2 2 2 2" xfId="47990" xr:uid="{00000000-0005-0000-0000-0000479C0000}"/>
    <cellStyle name="常规 9 3 2 3 4 4 2 2 3" xfId="35702" xr:uid="{00000000-0005-0000-0000-0000489C0000}"/>
    <cellStyle name="常规 9 3 2 3 4 4 2 3" xfId="17270" xr:uid="{00000000-0005-0000-0000-0000499C0000}"/>
    <cellStyle name="常规 9 3 2 3 4 4 2 3 2" xfId="41846" xr:uid="{00000000-0005-0000-0000-00004A9C0000}"/>
    <cellStyle name="常规 9 3 2 3 4 4 2 4" xfId="29558" xr:uid="{00000000-0005-0000-0000-00004B9C0000}"/>
    <cellStyle name="常规 9 3 2 3 4 4 3" xfId="8054" xr:uid="{00000000-0005-0000-0000-00004C9C0000}"/>
    <cellStyle name="常规 9 3 2 3 4 4 3 2" xfId="20342" xr:uid="{00000000-0005-0000-0000-00004D9C0000}"/>
    <cellStyle name="常规 9 3 2 3 4 4 3 2 2" xfId="44918" xr:uid="{00000000-0005-0000-0000-00004E9C0000}"/>
    <cellStyle name="常规 9 3 2 3 4 4 3 3" xfId="32630" xr:uid="{00000000-0005-0000-0000-00004F9C0000}"/>
    <cellStyle name="常规 9 3 2 3 4 4 4" xfId="14198" xr:uid="{00000000-0005-0000-0000-0000509C0000}"/>
    <cellStyle name="常规 9 3 2 3 4 4 4 2" xfId="38774" xr:uid="{00000000-0005-0000-0000-0000519C0000}"/>
    <cellStyle name="常规 9 3 2 3 4 4 5" xfId="26486" xr:uid="{00000000-0005-0000-0000-0000529C0000}"/>
    <cellStyle name="常规 9 3 2 3 4 5" xfId="3446" xr:uid="{00000000-0005-0000-0000-0000539C0000}"/>
    <cellStyle name="常规 9 3 2 3 4 5 2" xfId="9590" xr:uid="{00000000-0005-0000-0000-0000549C0000}"/>
    <cellStyle name="常规 9 3 2 3 4 5 2 2" xfId="21878" xr:uid="{00000000-0005-0000-0000-0000559C0000}"/>
    <cellStyle name="常规 9 3 2 3 4 5 2 2 2" xfId="46454" xr:uid="{00000000-0005-0000-0000-0000569C0000}"/>
    <cellStyle name="常规 9 3 2 3 4 5 2 3" xfId="34166" xr:uid="{00000000-0005-0000-0000-0000579C0000}"/>
    <cellStyle name="常规 9 3 2 3 4 5 3" xfId="15734" xr:uid="{00000000-0005-0000-0000-0000589C0000}"/>
    <cellStyle name="常规 9 3 2 3 4 5 3 2" xfId="40310" xr:uid="{00000000-0005-0000-0000-0000599C0000}"/>
    <cellStyle name="常规 9 3 2 3 4 5 4" xfId="28022" xr:uid="{00000000-0005-0000-0000-00005A9C0000}"/>
    <cellStyle name="常规 9 3 2 3 4 6" xfId="6518" xr:uid="{00000000-0005-0000-0000-00005B9C0000}"/>
    <cellStyle name="常规 9 3 2 3 4 6 2" xfId="18806" xr:uid="{00000000-0005-0000-0000-00005C9C0000}"/>
    <cellStyle name="常规 9 3 2 3 4 6 2 2" xfId="43382" xr:uid="{00000000-0005-0000-0000-00005D9C0000}"/>
    <cellStyle name="常规 9 3 2 3 4 6 3" xfId="31094" xr:uid="{00000000-0005-0000-0000-00005E9C0000}"/>
    <cellStyle name="常规 9 3 2 3 4 7" xfId="12662" xr:uid="{00000000-0005-0000-0000-00005F9C0000}"/>
    <cellStyle name="常规 9 3 2 3 4 7 2" xfId="37238" xr:uid="{00000000-0005-0000-0000-0000609C0000}"/>
    <cellStyle name="常规 9 3 2 3 4 8" xfId="24950" xr:uid="{00000000-0005-0000-0000-0000619C0000}"/>
    <cellStyle name="常规 9 3 2 3 5" xfId="562" xr:uid="{00000000-0005-0000-0000-0000629C0000}"/>
    <cellStyle name="常规 9 3 2 3 5 2" xfId="1330" xr:uid="{00000000-0005-0000-0000-0000639C0000}"/>
    <cellStyle name="常规 9 3 2 3 5 2 2" xfId="2866" xr:uid="{00000000-0005-0000-0000-0000649C0000}"/>
    <cellStyle name="常规 9 3 2 3 5 2 2 2" xfId="5942" xr:uid="{00000000-0005-0000-0000-0000659C0000}"/>
    <cellStyle name="常规 9 3 2 3 5 2 2 2 2" xfId="12086" xr:uid="{00000000-0005-0000-0000-0000669C0000}"/>
    <cellStyle name="常规 9 3 2 3 5 2 2 2 2 2" xfId="24374" xr:uid="{00000000-0005-0000-0000-0000679C0000}"/>
    <cellStyle name="常规 9 3 2 3 5 2 2 2 2 2 2" xfId="48950" xr:uid="{00000000-0005-0000-0000-0000689C0000}"/>
    <cellStyle name="常规 9 3 2 3 5 2 2 2 2 3" xfId="36662" xr:uid="{00000000-0005-0000-0000-0000699C0000}"/>
    <cellStyle name="常规 9 3 2 3 5 2 2 2 3" xfId="18230" xr:uid="{00000000-0005-0000-0000-00006A9C0000}"/>
    <cellStyle name="常规 9 3 2 3 5 2 2 2 3 2" xfId="42806" xr:uid="{00000000-0005-0000-0000-00006B9C0000}"/>
    <cellStyle name="常规 9 3 2 3 5 2 2 2 4" xfId="30518" xr:uid="{00000000-0005-0000-0000-00006C9C0000}"/>
    <cellStyle name="常规 9 3 2 3 5 2 2 3" xfId="9014" xr:uid="{00000000-0005-0000-0000-00006D9C0000}"/>
    <cellStyle name="常规 9 3 2 3 5 2 2 3 2" xfId="21302" xr:uid="{00000000-0005-0000-0000-00006E9C0000}"/>
    <cellStyle name="常规 9 3 2 3 5 2 2 3 2 2" xfId="45878" xr:uid="{00000000-0005-0000-0000-00006F9C0000}"/>
    <cellStyle name="常规 9 3 2 3 5 2 2 3 3" xfId="33590" xr:uid="{00000000-0005-0000-0000-0000709C0000}"/>
    <cellStyle name="常规 9 3 2 3 5 2 2 4" xfId="15158" xr:uid="{00000000-0005-0000-0000-0000719C0000}"/>
    <cellStyle name="常规 9 3 2 3 5 2 2 4 2" xfId="39734" xr:uid="{00000000-0005-0000-0000-0000729C0000}"/>
    <cellStyle name="常规 9 3 2 3 5 2 2 5" xfId="27446" xr:uid="{00000000-0005-0000-0000-0000739C0000}"/>
    <cellStyle name="常规 9 3 2 3 5 2 3" xfId="4406" xr:uid="{00000000-0005-0000-0000-0000749C0000}"/>
    <cellStyle name="常规 9 3 2 3 5 2 3 2" xfId="10550" xr:uid="{00000000-0005-0000-0000-0000759C0000}"/>
    <cellStyle name="常规 9 3 2 3 5 2 3 2 2" xfId="22838" xr:uid="{00000000-0005-0000-0000-0000769C0000}"/>
    <cellStyle name="常规 9 3 2 3 5 2 3 2 2 2" xfId="47414" xr:uid="{00000000-0005-0000-0000-0000779C0000}"/>
    <cellStyle name="常规 9 3 2 3 5 2 3 2 3" xfId="35126" xr:uid="{00000000-0005-0000-0000-0000789C0000}"/>
    <cellStyle name="常规 9 3 2 3 5 2 3 3" xfId="16694" xr:uid="{00000000-0005-0000-0000-0000799C0000}"/>
    <cellStyle name="常规 9 3 2 3 5 2 3 3 2" xfId="41270" xr:uid="{00000000-0005-0000-0000-00007A9C0000}"/>
    <cellStyle name="常规 9 3 2 3 5 2 3 4" xfId="28982" xr:uid="{00000000-0005-0000-0000-00007B9C0000}"/>
    <cellStyle name="常规 9 3 2 3 5 2 4" xfId="7478" xr:uid="{00000000-0005-0000-0000-00007C9C0000}"/>
    <cellStyle name="常规 9 3 2 3 5 2 4 2" xfId="19766" xr:uid="{00000000-0005-0000-0000-00007D9C0000}"/>
    <cellStyle name="常规 9 3 2 3 5 2 4 2 2" xfId="44342" xr:uid="{00000000-0005-0000-0000-00007E9C0000}"/>
    <cellStyle name="常规 9 3 2 3 5 2 4 3" xfId="32054" xr:uid="{00000000-0005-0000-0000-00007F9C0000}"/>
    <cellStyle name="常规 9 3 2 3 5 2 5" xfId="13622" xr:uid="{00000000-0005-0000-0000-0000809C0000}"/>
    <cellStyle name="常规 9 3 2 3 5 2 5 2" xfId="38198" xr:uid="{00000000-0005-0000-0000-0000819C0000}"/>
    <cellStyle name="常规 9 3 2 3 5 2 6" xfId="25910" xr:uid="{00000000-0005-0000-0000-0000829C0000}"/>
    <cellStyle name="常规 9 3 2 3 5 3" xfId="2098" xr:uid="{00000000-0005-0000-0000-0000839C0000}"/>
    <cellStyle name="常规 9 3 2 3 5 3 2" xfId="5174" xr:uid="{00000000-0005-0000-0000-0000849C0000}"/>
    <cellStyle name="常规 9 3 2 3 5 3 2 2" xfId="11318" xr:uid="{00000000-0005-0000-0000-0000859C0000}"/>
    <cellStyle name="常规 9 3 2 3 5 3 2 2 2" xfId="23606" xr:uid="{00000000-0005-0000-0000-0000869C0000}"/>
    <cellStyle name="常规 9 3 2 3 5 3 2 2 2 2" xfId="48182" xr:uid="{00000000-0005-0000-0000-0000879C0000}"/>
    <cellStyle name="常规 9 3 2 3 5 3 2 2 3" xfId="35894" xr:uid="{00000000-0005-0000-0000-0000889C0000}"/>
    <cellStyle name="常规 9 3 2 3 5 3 2 3" xfId="17462" xr:uid="{00000000-0005-0000-0000-0000899C0000}"/>
    <cellStyle name="常规 9 3 2 3 5 3 2 3 2" xfId="42038" xr:uid="{00000000-0005-0000-0000-00008A9C0000}"/>
    <cellStyle name="常规 9 3 2 3 5 3 2 4" xfId="29750" xr:uid="{00000000-0005-0000-0000-00008B9C0000}"/>
    <cellStyle name="常规 9 3 2 3 5 3 3" xfId="8246" xr:uid="{00000000-0005-0000-0000-00008C9C0000}"/>
    <cellStyle name="常规 9 3 2 3 5 3 3 2" xfId="20534" xr:uid="{00000000-0005-0000-0000-00008D9C0000}"/>
    <cellStyle name="常规 9 3 2 3 5 3 3 2 2" xfId="45110" xr:uid="{00000000-0005-0000-0000-00008E9C0000}"/>
    <cellStyle name="常规 9 3 2 3 5 3 3 3" xfId="32822" xr:uid="{00000000-0005-0000-0000-00008F9C0000}"/>
    <cellStyle name="常规 9 3 2 3 5 3 4" xfId="14390" xr:uid="{00000000-0005-0000-0000-0000909C0000}"/>
    <cellStyle name="常规 9 3 2 3 5 3 4 2" xfId="38966" xr:uid="{00000000-0005-0000-0000-0000919C0000}"/>
    <cellStyle name="常规 9 3 2 3 5 3 5" xfId="26678" xr:uid="{00000000-0005-0000-0000-0000929C0000}"/>
    <cellStyle name="常规 9 3 2 3 5 4" xfId="3638" xr:uid="{00000000-0005-0000-0000-0000939C0000}"/>
    <cellStyle name="常规 9 3 2 3 5 4 2" xfId="9782" xr:uid="{00000000-0005-0000-0000-0000949C0000}"/>
    <cellStyle name="常规 9 3 2 3 5 4 2 2" xfId="22070" xr:uid="{00000000-0005-0000-0000-0000959C0000}"/>
    <cellStyle name="常规 9 3 2 3 5 4 2 2 2" xfId="46646" xr:uid="{00000000-0005-0000-0000-0000969C0000}"/>
    <cellStyle name="常规 9 3 2 3 5 4 2 3" xfId="34358" xr:uid="{00000000-0005-0000-0000-0000979C0000}"/>
    <cellStyle name="常规 9 3 2 3 5 4 3" xfId="15926" xr:uid="{00000000-0005-0000-0000-0000989C0000}"/>
    <cellStyle name="常规 9 3 2 3 5 4 3 2" xfId="40502" xr:uid="{00000000-0005-0000-0000-0000999C0000}"/>
    <cellStyle name="常规 9 3 2 3 5 4 4" xfId="28214" xr:uid="{00000000-0005-0000-0000-00009A9C0000}"/>
    <cellStyle name="常规 9 3 2 3 5 5" xfId="6710" xr:uid="{00000000-0005-0000-0000-00009B9C0000}"/>
    <cellStyle name="常规 9 3 2 3 5 5 2" xfId="18998" xr:uid="{00000000-0005-0000-0000-00009C9C0000}"/>
    <cellStyle name="常规 9 3 2 3 5 5 2 2" xfId="43574" xr:uid="{00000000-0005-0000-0000-00009D9C0000}"/>
    <cellStyle name="常规 9 3 2 3 5 5 3" xfId="31286" xr:uid="{00000000-0005-0000-0000-00009E9C0000}"/>
    <cellStyle name="常规 9 3 2 3 5 6" xfId="12854" xr:uid="{00000000-0005-0000-0000-00009F9C0000}"/>
    <cellStyle name="常规 9 3 2 3 5 6 2" xfId="37430" xr:uid="{00000000-0005-0000-0000-0000A09C0000}"/>
    <cellStyle name="常规 9 3 2 3 5 7" xfId="25142" xr:uid="{00000000-0005-0000-0000-0000A19C0000}"/>
    <cellStyle name="常规 9 3 2 3 6" xfId="946" xr:uid="{00000000-0005-0000-0000-0000A29C0000}"/>
    <cellStyle name="常规 9 3 2 3 6 2" xfId="2482" xr:uid="{00000000-0005-0000-0000-0000A39C0000}"/>
    <cellStyle name="常规 9 3 2 3 6 2 2" xfId="5558" xr:uid="{00000000-0005-0000-0000-0000A49C0000}"/>
    <cellStyle name="常规 9 3 2 3 6 2 2 2" xfId="11702" xr:uid="{00000000-0005-0000-0000-0000A59C0000}"/>
    <cellStyle name="常规 9 3 2 3 6 2 2 2 2" xfId="23990" xr:uid="{00000000-0005-0000-0000-0000A69C0000}"/>
    <cellStyle name="常规 9 3 2 3 6 2 2 2 2 2" xfId="48566" xr:uid="{00000000-0005-0000-0000-0000A79C0000}"/>
    <cellStyle name="常规 9 3 2 3 6 2 2 2 3" xfId="36278" xr:uid="{00000000-0005-0000-0000-0000A89C0000}"/>
    <cellStyle name="常规 9 3 2 3 6 2 2 3" xfId="17846" xr:uid="{00000000-0005-0000-0000-0000A99C0000}"/>
    <cellStyle name="常规 9 3 2 3 6 2 2 3 2" xfId="42422" xr:uid="{00000000-0005-0000-0000-0000AA9C0000}"/>
    <cellStyle name="常规 9 3 2 3 6 2 2 4" xfId="30134" xr:uid="{00000000-0005-0000-0000-0000AB9C0000}"/>
    <cellStyle name="常规 9 3 2 3 6 2 3" xfId="8630" xr:uid="{00000000-0005-0000-0000-0000AC9C0000}"/>
    <cellStyle name="常规 9 3 2 3 6 2 3 2" xfId="20918" xr:uid="{00000000-0005-0000-0000-0000AD9C0000}"/>
    <cellStyle name="常规 9 3 2 3 6 2 3 2 2" xfId="45494" xr:uid="{00000000-0005-0000-0000-0000AE9C0000}"/>
    <cellStyle name="常规 9 3 2 3 6 2 3 3" xfId="33206" xr:uid="{00000000-0005-0000-0000-0000AF9C0000}"/>
    <cellStyle name="常规 9 3 2 3 6 2 4" xfId="14774" xr:uid="{00000000-0005-0000-0000-0000B09C0000}"/>
    <cellStyle name="常规 9 3 2 3 6 2 4 2" xfId="39350" xr:uid="{00000000-0005-0000-0000-0000B19C0000}"/>
    <cellStyle name="常规 9 3 2 3 6 2 5" xfId="27062" xr:uid="{00000000-0005-0000-0000-0000B29C0000}"/>
    <cellStyle name="常规 9 3 2 3 6 3" xfId="4022" xr:uid="{00000000-0005-0000-0000-0000B39C0000}"/>
    <cellStyle name="常规 9 3 2 3 6 3 2" xfId="10166" xr:uid="{00000000-0005-0000-0000-0000B49C0000}"/>
    <cellStyle name="常规 9 3 2 3 6 3 2 2" xfId="22454" xr:uid="{00000000-0005-0000-0000-0000B59C0000}"/>
    <cellStyle name="常规 9 3 2 3 6 3 2 2 2" xfId="47030" xr:uid="{00000000-0005-0000-0000-0000B69C0000}"/>
    <cellStyle name="常规 9 3 2 3 6 3 2 3" xfId="34742" xr:uid="{00000000-0005-0000-0000-0000B79C0000}"/>
    <cellStyle name="常规 9 3 2 3 6 3 3" xfId="16310" xr:uid="{00000000-0005-0000-0000-0000B89C0000}"/>
    <cellStyle name="常规 9 3 2 3 6 3 3 2" xfId="40886" xr:uid="{00000000-0005-0000-0000-0000B99C0000}"/>
    <cellStyle name="常规 9 3 2 3 6 3 4" xfId="28598" xr:uid="{00000000-0005-0000-0000-0000BA9C0000}"/>
    <cellStyle name="常规 9 3 2 3 6 4" xfId="7094" xr:uid="{00000000-0005-0000-0000-0000BB9C0000}"/>
    <cellStyle name="常规 9 3 2 3 6 4 2" xfId="19382" xr:uid="{00000000-0005-0000-0000-0000BC9C0000}"/>
    <cellStyle name="常规 9 3 2 3 6 4 2 2" xfId="43958" xr:uid="{00000000-0005-0000-0000-0000BD9C0000}"/>
    <cellStyle name="常规 9 3 2 3 6 4 3" xfId="31670" xr:uid="{00000000-0005-0000-0000-0000BE9C0000}"/>
    <cellStyle name="常规 9 3 2 3 6 5" xfId="13238" xr:uid="{00000000-0005-0000-0000-0000BF9C0000}"/>
    <cellStyle name="常规 9 3 2 3 6 5 2" xfId="37814" xr:uid="{00000000-0005-0000-0000-0000C09C0000}"/>
    <cellStyle name="常规 9 3 2 3 6 6" xfId="25526" xr:uid="{00000000-0005-0000-0000-0000C19C0000}"/>
    <cellStyle name="常规 9 3 2 3 7" xfId="1714" xr:uid="{00000000-0005-0000-0000-0000C29C0000}"/>
    <cellStyle name="常规 9 3 2 3 7 2" xfId="4790" xr:uid="{00000000-0005-0000-0000-0000C39C0000}"/>
    <cellStyle name="常规 9 3 2 3 7 2 2" xfId="10934" xr:uid="{00000000-0005-0000-0000-0000C49C0000}"/>
    <cellStyle name="常规 9 3 2 3 7 2 2 2" xfId="23222" xr:uid="{00000000-0005-0000-0000-0000C59C0000}"/>
    <cellStyle name="常规 9 3 2 3 7 2 2 2 2" xfId="47798" xr:uid="{00000000-0005-0000-0000-0000C69C0000}"/>
    <cellStyle name="常规 9 3 2 3 7 2 2 3" xfId="35510" xr:uid="{00000000-0005-0000-0000-0000C79C0000}"/>
    <cellStyle name="常规 9 3 2 3 7 2 3" xfId="17078" xr:uid="{00000000-0005-0000-0000-0000C89C0000}"/>
    <cellStyle name="常规 9 3 2 3 7 2 3 2" xfId="41654" xr:uid="{00000000-0005-0000-0000-0000C99C0000}"/>
    <cellStyle name="常规 9 3 2 3 7 2 4" xfId="29366" xr:uid="{00000000-0005-0000-0000-0000CA9C0000}"/>
    <cellStyle name="常规 9 3 2 3 7 3" xfId="7862" xr:uid="{00000000-0005-0000-0000-0000CB9C0000}"/>
    <cellStyle name="常规 9 3 2 3 7 3 2" xfId="20150" xr:uid="{00000000-0005-0000-0000-0000CC9C0000}"/>
    <cellStyle name="常规 9 3 2 3 7 3 2 2" xfId="44726" xr:uid="{00000000-0005-0000-0000-0000CD9C0000}"/>
    <cellStyle name="常规 9 3 2 3 7 3 3" xfId="32438" xr:uid="{00000000-0005-0000-0000-0000CE9C0000}"/>
    <cellStyle name="常规 9 3 2 3 7 4" xfId="14006" xr:uid="{00000000-0005-0000-0000-0000CF9C0000}"/>
    <cellStyle name="常规 9 3 2 3 7 4 2" xfId="38582" xr:uid="{00000000-0005-0000-0000-0000D09C0000}"/>
    <cellStyle name="常规 9 3 2 3 7 5" xfId="26294" xr:uid="{00000000-0005-0000-0000-0000D19C0000}"/>
    <cellStyle name="常规 9 3 2 3 8" xfId="3254" xr:uid="{00000000-0005-0000-0000-0000D29C0000}"/>
    <cellStyle name="常规 9 3 2 3 8 2" xfId="9398" xr:uid="{00000000-0005-0000-0000-0000D39C0000}"/>
    <cellStyle name="常规 9 3 2 3 8 2 2" xfId="21686" xr:uid="{00000000-0005-0000-0000-0000D49C0000}"/>
    <cellStyle name="常规 9 3 2 3 8 2 2 2" xfId="46262" xr:uid="{00000000-0005-0000-0000-0000D59C0000}"/>
    <cellStyle name="常规 9 3 2 3 8 2 3" xfId="33974" xr:uid="{00000000-0005-0000-0000-0000D69C0000}"/>
    <cellStyle name="常规 9 3 2 3 8 3" xfId="15542" xr:uid="{00000000-0005-0000-0000-0000D79C0000}"/>
    <cellStyle name="常规 9 3 2 3 8 3 2" xfId="40118" xr:uid="{00000000-0005-0000-0000-0000D89C0000}"/>
    <cellStyle name="常规 9 3 2 3 8 4" xfId="27830" xr:uid="{00000000-0005-0000-0000-0000D99C0000}"/>
    <cellStyle name="常规 9 3 2 3 9" xfId="6326" xr:uid="{00000000-0005-0000-0000-0000DA9C0000}"/>
    <cellStyle name="常规 9 3 2 3 9 2" xfId="18614" xr:uid="{00000000-0005-0000-0000-0000DB9C0000}"/>
    <cellStyle name="常规 9 3 2 3 9 2 2" xfId="43190" xr:uid="{00000000-0005-0000-0000-0000DC9C0000}"/>
    <cellStyle name="常规 9 3 2 3 9 3" xfId="30902" xr:uid="{00000000-0005-0000-0000-0000DD9C0000}"/>
    <cellStyle name="常规 9 3 2 4" xfId="210" xr:uid="{00000000-0005-0000-0000-0000DE9C0000}"/>
    <cellStyle name="常规 9 3 2 4 2" xfId="402" xr:uid="{00000000-0005-0000-0000-0000DF9C0000}"/>
    <cellStyle name="常规 9 3 2 4 2 2" xfId="786" xr:uid="{00000000-0005-0000-0000-0000E09C0000}"/>
    <cellStyle name="常规 9 3 2 4 2 2 2" xfId="1554" xr:uid="{00000000-0005-0000-0000-0000E19C0000}"/>
    <cellStyle name="常规 9 3 2 4 2 2 2 2" xfId="3090" xr:uid="{00000000-0005-0000-0000-0000E29C0000}"/>
    <cellStyle name="常规 9 3 2 4 2 2 2 2 2" xfId="6166" xr:uid="{00000000-0005-0000-0000-0000E39C0000}"/>
    <cellStyle name="常规 9 3 2 4 2 2 2 2 2 2" xfId="12310" xr:uid="{00000000-0005-0000-0000-0000E49C0000}"/>
    <cellStyle name="常规 9 3 2 4 2 2 2 2 2 2 2" xfId="24598" xr:uid="{00000000-0005-0000-0000-0000E59C0000}"/>
    <cellStyle name="常规 9 3 2 4 2 2 2 2 2 2 2 2" xfId="49174" xr:uid="{00000000-0005-0000-0000-0000E69C0000}"/>
    <cellStyle name="常规 9 3 2 4 2 2 2 2 2 2 3" xfId="36886" xr:uid="{00000000-0005-0000-0000-0000E79C0000}"/>
    <cellStyle name="常规 9 3 2 4 2 2 2 2 2 3" xfId="18454" xr:uid="{00000000-0005-0000-0000-0000E89C0000}"/>
    <cellStyle name="常规 9 3 2 4 2 2 2 2 2 3 2" xfId="43030" xr:uid="{00000000-0005-0000-0000-0000E99C0000}"/>
    <cellStyle name="常规 9 3 2 4 2 2 2 2 2 4" xfId="30742" xr:uid="{00000000-0005-0000-0000-0000EA9C0000}"/>
    <cellStyle name="常规 9 3 2 4 2 2 2 2 3" xfId="9238" xr:uid="{00000000-0005-0000-0000-0000EB9C0000}"/>
    <cellStyle name="常规 9 3 2 4 2 2 2 2 3 2" xfId="21526" xr:uid="{00000000-0005-0000-0000-0000EC9C0000}"/>
    <cellStyle name="常规 9 3 2 4 2 2 2 2 3 2 2" xfId="46102" xr:uid="{00000000-0005-0000-0000-0000ED9C0000}"/>
    <cellStyle name="常规 9 3 2 4 2 2 2 2 3 3" xfId="33814" xr:uid="{00000000-0005-0000-0000-0000EE9C0000}"/>
    <cellStyle name="常规 9 3 2 4 2 2 2 2 4" xfId="15382" xr:uid="{00000000-0005-0000-0000-0000EF9C0000}"/>
    <cellStyle name="常规 9 3 2 4 2 2 2 2 4 2" xfId="39958" xr:uid="{00000000-0005-0000-0000-0000F09C0000}"/>
    <cellStyle name="常规 9 3 2 4 2 2 2 2 5" xfId="27670" xr:uid="{00000000-0005-0000-0000-0000F19C0000}"/>
    <cellStyle name="常规 9 3 2 4 2 2 2 3" xfId="4630" xr:uid="{00000000-0005-0000-0000-0000F29C0000}"/>
    <cellStyle name="常规 9 3 2 4 2 2 2 3 2" xfId="10774" xr:uid="{00000000-0005-0000-0000-0000F39C0000}"/>
    <cellStyle name="常规 9 3 2 4 2 2 2 3 2 2" xfId="23062" xr:uid="{00000000-0005-0000-0000-0000F49C0000}"/>
    <cellStyle name="常规 9 3 2 4 2 2 2 3 2 2 2" xfId="47638" xr:uid="{00000000-0005-0000-0000-0000F59C0000}"/>
    <cellStyle name="常规 9 3 2 4 2 2 2 3 2 3" xfId="35350" xr:uid="{00000000-0005-0000-0000-0000F69C0000}"/>
    <cellStyle name="常规 9 3 2 4 2 2 2 3 3" xfId="16918" xr:uid="{00000000-0005-0000-0000-0000F79C0000}"/>
    <cellStyle name="常规 9 3 2 4 2 2 2 3 3 2" xfId="41494" xr:uid="{00000000-0005-0000-0000-0000F89C0000}"/>
    <cellStyle name="常规 9 3 2 4 2 2 2 3 4" xfId="29206" xr:uid="{00000000-0005-0000-0000-0000F99C0000}"/>
    <cellStyle name="常规 9 3 2 4 2 2 2 4" xfId="7702" xr:uid="{00000000-0005-0000-0000-0000FA9C0000}"/>
    <cellStyle name="常规 9 3 2 4 2 2 2 4 2" xfId="19990" xr:uid="{00000000-0005-0000-0000-0000FB9C0000}"/>
    <cellStyle name="常规 9 3 2 4 2 2 2 4 2 2" xfId="44566" xr:uid="{00000000-0005-0000-0000-0000FC9C0000}"/>
    <cellStyle name="常规 9 3 2 4 2 2 2 4 3" xfId="32278" xr:uid="{00000000-0005-0000-0000-0000FD9C0000}"/>
    <cellStyle name="常规 9 3 2 4 2 2 2 5" xfId="13846" xr:uid="{00000000-0005-0000-0000-0000FE9C0000}"/>
    <cellStyle name="常规 9 3 2 4 2 2 2 5 2" xfId="38422" xr:uid="{00000000-0005-0000-0000-0000FF9C0000}"/>
    <cellStyle name="常规 9 3 2 4 2 2 2 6" xfId="26134" xr:uid="{00000000-0005-0000-0000-0000009D0000}"/>
    <cellStyle name="常规 9 3 2 4 2 2 3" xfId="2322" xr:uid="{00000000-0005-0000-0000-0000019D0000}"/>
    <cellStyle name="常规 9 3 2 4 2 2 3 2" xfId="5398" xr:uid="{00000000-0005-0000-0000-0000029D0000}"/>
    <cellStyle name="常规 9 3 2 4 2 2 3 2 2" xfId="11542" xr:uid="{00000000-0005-0000-0000-0000039D0000}"/>
    <cellStyle name="常规 9 3 2 4 2 2 3 2 2 2" xfId="23830" xr:uid="{00000000-0005-0000-0000-0000049D0000}"/>
    <cellStyle name="常规 9 3 2 4 2 2 3 2 2 2 2" xfId="48406" xr:uid="{00000000-0005-0000-0000-0000059D0000}"/>
    <cellStyle name="常规 9 3 2 4 2 2 3 2 2 3" xfId="36118" xr:uid="{00000000-0005-0000-0000-0000069D0000}"/>
    <cellStyle name="常规 9 3 2 4 2 2 3 2 3" xfId="17686" xr:uid="{00000000-0005-0000-0000-0000079D0000}"/>
    <cellStyle name="常规 9 3 2 4 2 2 3 2 3 2" xfId="42262" xr:uid="{00000000-0005-0000-0000-0000089D0000}"/>
    <cellStyle name="常规 9 3 2 4 2 2 3 2 4" xfId="29974" xr:uid="{00000000-0005-0000-0000-0000099D0000}"/>
    <cellStyle name="常规 9 3 2 4 2 2 3 3" xfId="8470" xr:uid="{00000000-0005-0000-0000-00000A9D0000}"/>
    <cellStyle name="常规 9 3 2 4 2 2 3 3 2" xfId="20758" xr:uid="{00000000-0005-0000-0000-00000B9D0000}"/>
    <cellStyle name="常规 9 3 2 4 2 2 3 3 2 2" xfId="45334" xr:uid="{00000000-0005-0000-0000-00000C9D0000}"/>
    <cellStyle name="常规 9 3 2 4 2 2 3 3 3" xfId="33046" xr:uid="{00000000-0005-0000-0000-00000D9D0000}"/>
    <cellStyle name="常规 9 3 2 4 2 2 3 4" xfId="14614" xr:uid="{00000000-0005-0000-0000-00000E9D0000}"/>
    <cellStyle name="常规 9 3 2 4 2 2 3 4 2" xfId="39190" xr:uid="{00000000-0005-0000-0000-00000F9D0000}"/>
    <cellStyle name="常规 9 3 2 4 2 2 3 5" xfId="26902" xr:uid="{00000000-0005-0000-0000-0000109D0000}"/>
    <cellStyle name="常规 9 3 2 4 2 2 4" xfId="3862" xr:uid="{00000000-0005-0000-0000-0000119D0000}"/>
    <cellStyle name="常规 9 3 2 4 2 2 4 2" xfId="10006" xr:uid="{00000000-0005-0000-0000-0000129D0000}"/>
    <cellStyle name="常规 9 3 2 4 2 2 4 2 2" xfId="22294" xr:uid="{00000000-0005-0000-0000-0000139D0000}"/>
    <cellStyle name="常规 9 3 2 4 2 2 4 2 2 2" xfId="46870" xr:uid="{00000000-0005-0000-0000-0000149D0000}"/>
    <cellStyle name="常规 9 3 2 4 2 2 4 2 3" xfId="34582" xr:uid="{00000000-0005-0000-0000-0000159D0000}"/>
    <cellStyle name="常规 9 3 2 4 2 2 4 3" xfId="16150" xr:uid="{00000000-0005-0000-0000-0000169D0000}"/>
    <cellStyle name="常规 9 3 2 4 2 2 4 3 2" xfId="40726" xr:uid="{00000000-0005-0000-0000-0000179D0000}"/>
    <cellStyle name="常规 9 3 2 4 2 2 4 4" xfId="28438" xr:uid="{00000000-0005-0000-0000-0000189D0000}"/>
    <cellStyle name="常规 9 3 2 4 2 2 5" xfId="6934" xr:uid="{00000000-0005-0000-0000-0000199D0000}"/>
    <cellStyle name="常规 9 3 2 4 2 2 5 2" xfId="19222" xr:uid="{00000000-0005-0000-0000-00001A9D0000}"/>
    <cellStyle name="常规 9 3 2 4 2 2 5 2 2" xfId="43798" xr:uid="{00000000-0005-0000-0000-00001B9D0000}"/>
    <cellStyle name="常规 9 3 2 4 2 2 5 3" xfId="31510" xr:uid="{00000000-0005-0000-0000-00001C9D0000}"/>
    <cellStyle name="常规 9 3 2 4 2 2 6" xfId="13078" xr:uid="{00000000-0005-0000-0000-00001D9D0000}"/>
    <cellStyle name="常规 9 3 2 4 2 2 6 2" xfId="37654" xr:uid="{00000000-0005-0000-0000-00001E9D0000}"/>
    <cellStyle name="常规 9 3 2 4 2 2 7" xfId="25366" xr:uid="{00000000-0005-0000-0000-00001F9D0000}"/>
    <cellStyle name="常规 9 3 2 4 2 3" xfId="1170" xr:uid="{00000000-0005-0000-0000-0000209D0000}"/>
    <cellStyle name="常规 9 3 2 4 2 3 2" xfId="2706" xr:uid="{00000000-0005-0000-0000-0000219D0000}"/>
    <cellStyle name="常规 9 3 2 4 2 3 2 2" xfId="5782" xr:uid="{00000000-0005-0000-0000-0000229D0000}"/>
    <cellStyle name="常规 9 3 2 4 2 3 2 2 2" xfId="11926" xr:uid="{00000000-0005-0000-0000-0000239D0000}"/>
    <cellStyle name="常规 9 3 2 4 2 3 2 2 2 2" xfId="24214" xr:uid="{00000000-0005-0000-0000-0000249D0000}"/>
    <cellStyle name="常规 9 3 2 4 2 3 2 2 2 2 2" xfId="48790" xr:uid="{00000000-0005-0000-0000-0000259D0000}"/>
    <cellStyle name="常规 9 3 2 4 2 3 2 2 2 3" xfId="36502" xr:uid="{00000000-0005-0000-0000-0000269D0000}"/>
    <cellStyle name="常规 9 3 2 4 2 3 2 2 3" xfId="18070" xr:uid="{00000000-0005-0000-0000-0000279D0000}"/>
    <cellStyle name="常规 9 3 2 4 2 3 2 2 3 2" xfId="42646" xr:uid="{00000000-0005-0000-0000-0000289D0000}"/>
    <cellStyle name="常规 9 3 2 4 2 3 2 2 4" xfId="30358" xr:uid="{00000000-0005-0000-0000-0000299D0000}"/>
    <cellStyle name="常规 9 3 2 4 2 3 2 3" xfId="8854" xr:uid="{00000000-0005-0000-0000-00002A9D0000}"/>
    <cellStyle name="常规 9 3 2 4 2 3 2 3 2" xfId="21142" xr:uid="{00000000-0005-0000-0000-00002B9D0000}"/>
    <cellStyle name="常规 9 3 2 4 2 3 2 3 2 2" xfId="45718" xr:uid="{00000000-0005-0000-0000-00002C9D0000}"/>
    <cellStyle name="常规 9 3 2 4 2 3 2 3 3" xfId="33430" xr:uid="{00000000-0005-0000-0000-00002D9D0000}"/>
    <cellStyle name="常规 9 3 2 4 2 3 2 4" xfId="14998" xr:uid="{00000000-0005-0000-0000-00002E9D0000}"/>
    <cellStyle name="常规 9 3 2 4 2 3 2 4 2" xfId="39574" xr:uid="{00000000-0005-0000-0000-00002F9D0000}"/>
    <cellStyle name="常规 9 3 2 4 2 3 2 5" xfId="27286" xr:uid="{00000000-0005-0000-0000-0000309D0000}"/>
    <cellStyle name="常规 9 3 2 4 2 3 3" xfId="4246" xr:uid="{00000000-0005-0000-0000-0000319D0000}"/>
    <cellStyle name="常规 9 3 2 4 2 3 3 2" xfId="10390" xr:uid="{00000000-0005-0000-0000-0000329D0000}"/>
    <cellStyle name="常规 9 3 2 4 2 3 3 2 2" xfId="22678" xr:uid="{00000000-0005-0000-0000-0000339D0000}"/>
    <cellStyle name="常规 9 3 2 4 2 3 3 2 2 2" xfId="47254" xr:uid="{00000000-0005-0000-0000-0000349D0000}"/>
    <cellStyle name="常规 9 3 2 4 2 3 3 2 3" xfId="34966" xr:uid="{00000000-0005-0000-0000-0000359D0000}"/>
    <cellStyle name="常规 9 3 2 4 2 3 3 3" xfId="16534" xr:uid="{00000000-0005-0000-0000-0000369D0000}"/>
    <cellStyle name="常规 9 3 2 4 2 3 3 3 2" xfId="41110" xr:uid="{00000000-0005-0000-0000-0000379D0000}"/>
    <cellStyle name="常规 9 3 2 4 2 3 3 4" xfId="28822" xr:uid="{00000000-0005-0000-0000-0000389D0000}"/>
    <cellStyle name="常规 9 3 2 4 2 3 4" xfId="7318" xr:uid="{00000000-0005-0000-0000-0000399D0000}"/>
    <cellStyle name="常规 9 3 2 4 2 3 4 2" xfId="19606" xr:uid="{00000000-0005-0000-0000-00003A9D0000}"/>
    <cellStyle name="常规 9 3 2 4 2 3 4 2 2" xfId="44182" xr:uid="{00000000-0005-0000-0000-00003B9D0000}"/>
    <cellStyle name="常规 9 3 2 4 2 3 4 3" xfId="31894" xr:uid="{00000000-0005-0000-0000-00003C9D0000}"/>
    <cellStyle name="常规 9 3 2 4 2 3 5" xfId="13462" xr:uid="{00000000-0005-0000-0000-00003D9D0000}"/>
    <cellStyle name="常规 9 3 2 4 2 3 5 2" xfId="38038" xr:uid="{00000000-0005-0000-0000-00003E9D0000}"/>
    <cellStyle name="常规 9 3 2 4 2 3 6" xfId="25750" xr:uid="{00000000-0005-0000-0000-00003F9D0000}"/>
    <cellStyle name="常规 9 3 2 4 2 4" xfId="1938" xr:uid="{00000000-0005-0000-0000-0000409D0000}"/>
    <cellStyle name="常规 9 3 2 4 2 4 2" xfId="5014" xr:uid="{00000000-0005-0000-0000-0000419D0000}"/>
    <cellStyle name="常规 9 3 2 4 2 4 2 2" xfId="11158" xr:uid="{00000000-0005-0000-0000-0000429D0000}"/>
    <cellStyle name="常规 9 3 2 4 2 4 2 2 2" xfId="23446" xr:uid="{00000000-0005-0000-0000-0000439D0000}"/>
    <cellStyle name="常规 9 3 2 4 2 4 2 2 2 2" xfId="48022" xr:uid="{00000000-0005-0000-0000-0000449D0000}"/>
    <cellStyle name="常规 9 3 2 4 2 4 2 2 3" xfId="35734" xr:uid="{00000000-0005-0000-0000-0000459D0000}"/>
    <cellStyle name="常规 9 3 2 4 2 4 2 3" xfId="17302" xr:uid="{00000000-0005-0000-0000-0000469D0000}"/>
    <cellStyle name="常规 9 3 2 4 2 4 2 3 2" xfId="41878" xr:uid="{00000000-0005-0000-0000-0000479D0000}"/>
    <cellStyle name="常规 9 3 2 4 2 4 2 4" xfId="29590" xr:uid="{00000000-0005-0000-0000-0000489D0000}"/>
    <cellStyle name="常规 9 3 2 4 2 4 3" xfId="8086" xr:uid="{00000000-0005-0000-0000-0000499D0000}"/>
    <cellStyle name="常规 9 3 2 4 2 4 3 2" xfId="20374" xr:uid="{00000000-0005-0000-0000-00004A9D0000}"/>
    <cellStyle name="常规 9 3 2 4 2 4 3 2 2" xfId="44950" xr:uid="{00000000-0005-0000-0000-00004B9D0000}"/>
    <cellStyle name="常规 9 3 2 4 2 4 3 3" xfId="32662" xr:uid="{00000000-0005-0000-0000-00004C9D0000}"/>
    <cellStyle name="常规 9 3 2 4 2 4 4" xfId="14230" xr:uid="{00000000-0005-0000-0000-00004D9D0000}"/>
    <cellStyle name="常规 9 3 2 4 2 4 4 2" xfId="38806" xr:uid="{00000000-0005-0000-0000-00004E9D0000}"/>
    <cellStyle name="常规 9 3 2 4 2 4 5" xfId="26518" xr:uid="{00000000-0005-0000-0000-00004F9D0000}"/>
    <cellStyle name="常规 9 3 2 4 2 5" xfId="3478" xr:uid="{00000000-0005-0000-0000-0000509D0000}"/>
    <cellStyle name="常规 9 3 2 4 2 5 2" xfId="9622" xr:uid="{00000000-0005-0000-0000-0000519D0000}"/>
    <cellStyle name="常规 9 3 2 4 2 5 2 2" xfId="21910" xr:uid="{00000000-0005-0000-0000-0000529D0000}"/>
    <cellStyle name="常规 9 3 2 4 2 5 2 2 2" xfId="46486" xr:uid="{00000000-0005-0000-0000-0000539D0000}"/>
    <cellStyle name="常规 9 3 2 4 2 5 2 3" xfId="34198" xr:uid="{00000000-0005-0000-0000-0000549D0000}"/>
    <cellStyle name="常规 9 3 2 4 2 5 3" xfId="15766" xr:uid="{00000000-0005-0000-0000-0000559D0000}"/>
    <cellStyle name="常规 9 3 2 4 2 5 3 2" xfId="40342" xr:uid="{00000000-0005-0000-0000-0000569D0000}"/>
    <cellStyle name="常规 9 3 2 4 2 5 4" xfId="28054" xr:uid="{00000000-0005-0000-0000-0000579D0000}"/>
    <cellStyle name="常规 9 3 2 4 2 6" xfId="6550" xr:uid="{00000000-0005-0000-0000-0000589D0000}"/>
    <cellStyle name="常规 9 3 2 4 2 6 2" xfId="18838" xr:uid="{00000000-0005-0000-0000-0000599D0000}"/>
    <cellStyle name="常规 9 3 2 4 2 6 2 2" xfId="43414" xr:uid="{00000000-0005-0000-0000-00005A9D0000}"/>
    <cellStyle name="常规 9 3 2 4 2 6 3" xfId="31126" xr:uid="{00000000-0005-0000-0000-00005B9D0000}"/>
    <cellStyle name="常规 9 3 2 4 2 7" xfId="12694" xr:uid="{00000000-0005-0000-0000-00005C9D0000}"/>
    <cellStyle name="常规 9 3 2 4 2 7 2" xfId="37270" xr:uid="{00000000-0005-0000-0000-00005D9D0000}"/>
    <cellStyle name="常规 9 3 2 4 2 8" xfId="24982" xr:uid="{00000000-0005-0000-0000-00005E9D0000}"/>
    <cellStyle name="常规 9 3 2 4 3" xfId="594" xr:uid="{00000000-0005-0000-0000-00005F9D0000}"/>
    <cellStyle name="常规 9 3 2 4 3 2" xfId="1362" xr:uid="{00000000-0005-0000-0000-0000609D0000}"/>
    <cellStyle name="常规 9 3 2 4 3 2 2" xfId="2898" xr:uid="{00000000-0005-0000-0000-0000619D0000}"/>
    <cellStyle name="常规 9 3 2 4 3 2 2 2" xfId="5974" xr:uid="{00000000-0005-0000-0000-0000629D0000}"/>
    <cellStyle name="常规 9 3 2 4 3 2 2 2 2" xfId="12118" xr:uid="{00000000-0005-0000-0000-0000639D0000}"/>
    <cellStyle name="常规 9 3 2 4 3 2 2 2 2 2" xfId="24406" xr:uid="{00000000-0005-0000-0000-0000649D0000}"/>
    <cellStyle name="常规 9 3 2 4 3 2 2 2 2 2 2" xfId="48982" xr:uid="{00000000-0005-0000-0000-0000659D0000}"/>
    <cellStyle name="常规 9 3 2 4 3 2 2 2 2 3" xfId="36694" xr:uid="{00000000-0005-0000-0000-0000669D0000}"/>
    <cellStyle name="常规 9 3 2 4 3 2 2 2 3" xfId="18262" xr:uid="{00000000-0005-0000-0000-0000679D0000}"/>
    <cellStyle name="常规 9 3 2 4 3 2 2 2 3 2" xfId="42838" xr:uid="{00000000-0005-0000-0000-0000689D0000}"/>
    <cellStyle name="常规 9 3 2 4 3 2 2 2 4" xfId="30550" xr:uid="{00000000-0005-0000-0000-0000699D0000}"/>
    <cellStyle name="常规 9 3 2 4 3 2 2 3" xfId="9046" xr:uid="{00000000-0005-0000-0000-00006A9D0000}"/>
    <cellStyle name="常规 9 3 2 4 3 2 2 3 2" xfId="21334" xr:uid="{00000000-0005-0000-0000-00006B9D0000}"/>
    <cellStyle name="常规 9 3 2 4 3 2 2 3 2 2" xfId="45910" xr:uid="{00000000-0005-0000-0000-00006C9D0000}"/>
    <cellStyle name="常规 9 3 2 4 3 2 2 3 3" xfId="33622" xr:uid="{00000000-0005-0000-0000-00006D9D0000}"/>
    <cellStyle name="常规 9 3 2 4 3 2 2 4" xfId="15190" xr:uid="{00000000-0005-0000-0000-00006E9D0000}"/>
    <cellStyle name="常规 9 3 2 4 3 2 2 4 2" xfId="39766" xr:uid="{00000000-0005-0000-0000-00006F9D0000}"/>
    <cellStyle name="常规 9 3 2 4 3 2 2 5" xfId="27478" xr:uid="{00000000-0005-0000-0000-0000709D0000}"/>
    <cellStyle name="常规 9 3 2 4 3 2 3" xfId="4438" xr:uid="{00000000-0005-0000-0000-0000719D0000}"/>
    <cellStyle name="常规 9 3 2 4 3 2 3 2" xfId="10582" xr:uid="{00000000-0005-0000-0000-0000729D0000}"/>
    <cellStyle name="常规 9 3 2 4 3 2 3 2 2" xfId="22870" xr:uid="{00000000-0005-0000-0000-0000739D0000}"/>
    <cellStyle name="常规 9 3 2 4 3 2 3 2 2 2" xfId="47446" xr:uid="{00000000-0005-0000-0000-0000749D0000}"/>
    <cellStyle name="常规 9 3 2 4 3 2 3 2 3" xfId="35158" xr:uid="{00000000-0005-0000-0000-0000759D0000}"/>
    <cellStyle name="常规 9 3 2 4 3 2 3 3" xfId="16726" xr:uid="{00000000-0005-0000-0000-0000769D0000}"/>
    <cellStyle name="常规 9 3 2 4 3 2 3 3 2" xfId="41302" xr:uid="{00000000-0005-0000-0000-0000779D0000}"/>
    <cellStyle name="常规 9 3 2 4 3 2 3 4" xfId="29014" xr:uid="{00000000-0005-0000-0000-0000789D0000}"/>
    <cellStyle name="常规 9 3 2 4 3 2 4" xfId="7510" xr:uid="{00000000-0005-0000-0000-0000799D0000}"/>
    <cellStyle name="常规 9 3 2 4 3 2 4 2" xfId="19798" xr:uid="{00000000-0005-0000-0000-00007A9D0000}"/>
    <cellStyle name="常规 9 3 2 4 3 2 4 2 2" xfId="44374" xr:uid="{00000000-0005-0000-0000-00007B9D0000}"/>
    <cellStyle name="常规 9 3 2 4 3 2 4 3" xfId="32086" xr:uid="{00000000-0005-0000-0000-00007C9D0000}"/>
    <cellStyle name="常规 9 3 2 4 3 2 5" xfId="13654" xr:uid="{00000000-0005-0000-0000-00007D9D0000}"/>
    <cellStyle name="常规 9 3 2 4 3 2 5 2" xfId="38230" xr:uid="{00000000-0005-0000-0000-00007E9D0000}"/>
    <cellStyle name="常规 9 3 2 4 3 2 6" xfId="25942" xr:uid="{00000000-0005-0000-0000-00007F9D0000}"/>
    <cellStyle name="常规 9 3 2 4 3 3" xfId="2130" xr:uid="{00000000-0005-0000-0000-0000809D0000}"/>
    <cellStyle name="常规 9 3 2 4 3 3 2" xfId="5206" xr:uid="{00000000-0005-0000-0000-0000819D0000}"/>
    <cellStyle name="常规 9 3 2 4 3 3 2 2" xfId="11350" xr:uid="{00000000-0005-0000-0000-0000829D0000}"/>
    <cellStyle name="常规 9 3 2 4 3 3 2 2 2" xfId="23638" xr:uid="{00000000-0005-0000-0000-0000839D0000}"/>
    <cellStyle name="常规 9 3 2 4 3 3 2 2 2 2" xfId="48214" xr:uid="{00000000-0005-0000-0000-0000849D0000}"/>
    <cellStyle name="常规 9 3 2 4 3 3 2 2 3" xfId="35926" xr:uid="{00000000-0005-0000-0000-0000859D0000}"/>
    <cellStyle name="常规 9 3 2 4 3 3 2 3" xfId="17494" xr:uid="{00000000-0005-0000-0000-0000869D0000}"/>
    <cellStyle name="常规 9 3 2 4 3 3 2 3 2" xfId="42070" xr:uid="{00000000-0005-0000-0000-0000879D0000}"/>
    <cellStyle name="常规 9 3 2 4 3 3 2 4" xfId="29782" xr:uid="{00000000-0005-0000-0000-0000889D0000}"/>
    <cellStyle name="常规 9 3 2 4 3 3 3" xfId="8278" xr:uid="{00000000-0005-0000-0000-0000899D0000}"/>
    <cellStyle name="常规 9 3 2 4 3 3 3 2" xfId="20566" xr:uid="{00000000-0005-0000-0000-00008A9D0000}"/>
    <cellStyle name="常规 9 3 2 4 3 3 3 2 2" xfId="45142" xr:uid="{00000000-0005-0000-0000-00008B9D0000}"/>
    <cellStyle name="常规 9 3 2 4 3 3 3 3" xfId="32854" xr:uid="{00000000-0005-0000-0000-00008C9D0000}"/>
    <cellStyle name="常规 9 3 2 4 3 3 4" xfId="14422" xr:uid="{00000000-0005-0000-0000-00008D9D0000}"/>
    <cellStyle name="常规 9 3 2 4 3 3 4 2" xfId="38998" xr:uid="{00000000-0005-0000-0000-00008E9D0000}"/>
    <cellStyle name="常规 9 3 2 4 3 3 5" xfId="26710" xr:uid="{00000000-0005-0000-0000-00008F9D0000}"/>
    <cellStyle name="常规 9 3 2 4 3 4" xfId="3670" xr:uid="{00000000-0005-0000-0000-0000909D0000}"/>
    <cellStyle name="常规 9 3 2 4 3 4 2" xfId="9814" xr:uid="{00000000-0005-0000-0000-0000919D0000}"/>
    <cellStyle name="常规 9 3 2 4 3 4 2 2" xfId="22102" xr:uid="{00000000-0005-0000-0000-0000929D0000}"/>
    <cellStyle name="常规 9 3 2 4 3 4 2 2 2" xfId="46678" xr:uid="{00000000-0005-0000-0000-0000939D0000}"/>
    <cellStyle name="常规 9 3 2 4 3 4 2 3" xfId="34390" xr:uid="{00000000-0005-0000-0000-0000949D0000}"/>
    <cellStyle name="常规 9 3 2 4 3 4 3" xfId="15958" xr:uid="{00000000-0005-0000-0000-0000959D0000}"/>
    <cellStyle name="常规 9 3 2 4 3 4 3 2" xfId="40534" xr:uid="{00000000-0005-0000-0000-0000969D0000}"/>
    <cellStyle name="常规 9 3 2 4 3 4 4" xfId="28246" xr:uid="{00000000-0005-0000-0000-0000979D0000}"/>
    <cellStyle name="常规 9 3 2 4 3 5" xfId="6742" xr:uid="{00000000-0005-0000-0000-0000989D0000}"/>
    <cellStyle name="常规 9 3 2 4 3 5 2" xfId="19030" xr:uid="{00000000-0005-0000-0000-0000999D0000}"/>
    <cellStyle name="常规 9 3 2 4 3 5 2 2" xfId="43606" xr:uid="{00000000-0005-0000-0000-00009A9D0000}"/>
    <cellStyle name="常规 9 3 2 4 3 5 3" xfId="31318" xr:uid="{00000000-0005-0000-0000-00009B9D0000}"/>
    <cellStyle name="常规 9 3 2 4 3 6" xfId="12886" xr:uid="{00000000-0005-0000-0000-00009C9D0000}"/>
    <cellStyle name="常规 9 3 2 4 3 6 2" xfId="37462" xr:uid="{00000000-0005-0000-0000-00009D9D0000}"/>
    <cellStyle name="常规 9 3 2 4 3 7" xfId="25174" xr:uid="{00000000-0005-0000-0000-00009E9D0000}"/>
    <cellStyle name="常规 9 3 2 4 4" xfId="978" xr:uid="{00000000-0005-0000-0000-00009F9D0000}"/>
    <cellStyle name="常规 9 3 2 4 4 2" xfId="2514" xr:uid="{00000000-0005-0000-0000-0000A09D0000}"/>
    <cellStyle name="常规 9 3 2 4 4 2 2" xfId="5590" xr:uid="{00000000-0005-0000-0000-0000A19D0000}"/>
    <cellStyle name="常规 9 3 2 4 4 2 2 2" xfId="11734" xr:uid="{00000000-0005-0000-0000-0000A29D0000}"/>
    <cellStyle name="常规 9 3 2 4 4 2 2 2 2" xfId="24022" xr:uid="{00000000-0005-0000-0000-0000A39D0000}"/>
    <cellStyle name="常规 9 3 2 4 4 2 2 2 2 2" xfId="48598" xr:uid="{00000000-0005-0000-0000-0000A49D0000}"/>
    <cellStyle name="常规 9 3 2 4 4 2 2 2 3" xfId="36310" xr:uid="{00000000-0005-0000-0000-0000A59D0000}"/>
    <cellStyle name="常规 9 3 2 4 4 2 2 3" xfId="17878" xr:uid="{00000000-0005-0000-0000-0000A69D0000}"/>
    <cellStyle name="常规 9 3 2 4 4 2 2 3 2" xfId="42454" xr:uid="{00000000-0005-0000-0000-0000A79D0000}"/>
    <cellStyle name="常规 9 3 2 4 4 2 2 4" xfId="30166" xr:uid="{00000000-0005-0000-0000-0000A89D0000}"/>
    <cellStyle name="常规 9 3 2 4 4 2 3" xfId="8662" xr:uid="{00000000-0005-0000-0000-0000A99D0000}"/>
    <cellStyle name="常规 9 3 2 4 4 2 3 2" xfId="20950" xr:uid="{00000000-0005-0000-0000-0000AA9D0000}"/>
    <cellStyle name="常规 9 3 2 4 4 2 3 2 2" xfId="45526" xr:uid="{00000000-0005-0000-0000-0000AB9D0000}"/>
    <cellStyle name="常规 9 3 2 4 4 2 3 3" xfId="33238" xr:uid="{00000000-0005-0000-0000-0000AC9D0000}"/>
    <cellStyle name="常规 9 3 2 4 4 2 4" xfId="14806" xr:uid="{00000000-0005-0000-0000-0000AD9D0000}"/>
    <cellStyle name="常规 9 3 2 4 4 2 4 2" xfId="39382" xr:uid="{00000000-0005-0000-0000-0000AE9D0000}"/>
    <cellStyle name="常规 9 3 2 4 4 2 5" xfId="27094" xr:uid="{00000000-0005-0000-0000-0000AF9D0000}"/>
    <cellStyle name="常规 9 3 2 4 4 3" xfId="4054" xr:uid="{00000000-0005-0000-0000-0000B09D0000}"/>
    <cellStyle name="常规 9 3 2 4 4 3 2" xfId="10198" xr:uid="{00000000-0005-0000-0000-0000B19D0000}"/>
    <cellStyle name="常规 9 3 2 4 4 3 2 2" xfId="22486" xr:uid="{00000000-0005-0000-0000-0000B29D0000}"/>
    <cellStyle name="常规 9 3 2 4 4 3 2 2 2" xfId="47062" xr:uid="{00000000-0005-0000-0000-0000B39D0000}"/>
    <cellStyle name="常规 9 3 2 4 4 3 2 3" xfId="34774" xr:uid="{00000000-0005-0000-0000-0000B49D0000}"/>
    <cellStyle name="常规 9 3 2 4 4 3 3" xfId="16342" xr:uid="{00000000-0005-0000-0000-0000B59D0000}"/>
    <cellStyle name="常规 9 3 2 4 4 3 3 2" xfId="40918" xr:uid="{00000000-0005-0000-0000-0000B69D0000}"/>
    <cellStyle name="常规 9 3 2 4 4 3 4" xfId="28630" xr:uid="{00000000-0005-0000-0000-0000B79D0000}"/>
    <cellStyle name="常规 9 3 2 4 4 4" xfId="7126" xr:uid="{00000000-0005-0000-0000-0000B89D0000}"/>
    <cellStyle name="常规 9 3 2 4 4 4 2" xfId="19414" xr:uid="{00000000-0005-0000-0000-0000B99D0000}"/>
    <cellStyle name="常规 9 3 2 4 4 4 2 2" xfId="43990" xr:uid="{00000000-0005-0000-0000-0000BA9D0000}"/>
    <cellStyle name="常规 9 3 2 4 4 4 3" xfId="31702" xr:uid="{00000000-0005-0000-0000-0000BB9D0000}"/>
    <cellStyle name="常规 9 3 2 4 4 5" xfId="13270" xr:uid="{00000000-0005-0000-0000-0000BC9D0000}"/>
    <cellStyle name="常规 9 3 2 4 4 5 2" xfId="37846" xr:uid="{00000000-0005-0000-0000-0000BD9D0000}"/>
    <cellStyle name="常规 9 3 2 4 4 6" xfId="25558" xr:uid="{00000000-0005-0000-0000-0000BE9D0000}"/>
    <cellStyle name="常规 9 3 2 4 5" xfId="1746" xr:uid="{00000000-0005-0000-0000-0000BF9D0000}"/>
    <cellStyle name="常规 9 3 2 4 5 2" xfId="4822" xr:uid="{00000000-0005-0000-0000-0000C09D0000}"/>
    <cellStyle name="常规 9 3 2 4 5 2 2" xfId="10966" xr:uid="{00000000-0005-0000-0000-0000C19D0000}"/>
    <cellStyle name="常规 9 3 2 4 5 2 2 2" xfId="23254" xr:uid="{00000000-0005-0000-0000-0000C29D0000}"/>
    <cellStyle name="常规 9 3 2 4 5 2 2 2 2" xfId="47830" xr:uid="{00000000-0005-0000-0000-0000C39D0000}"/>
    <cellStyle name="常规 9 3 2 4 5 2 2 3" xfId="35542" xr:uid="{00000000-0005-0000-0000-0000C49D0000}"/>
    <cellStyle name="常规 9 3 2 4 5 2 3" xfId="17110" xr:uid="{00000000-0005-0000-0000-0000C59D0000}"/>
    <cellStyle name="常规 9 3 2 4 5 2 3 2" xfId="41686" xr:uid="{00000000-0005-0000-0000-0000C69D0000}"/>
    <cellStyle name="常规 9 3 2 4 5 2 4" xfId="29398" xr:uid="{00000000-0005-0000-0000-0000C79D0000}"/>
    <cellStyle name="常规 9 3 2 4 5 3" xfId="7894" xr:uid="{00000000-0005-0000-0000-0000C89D0000}"/>
    <cellStyle name="常规 9 3 2 4 5 3 2" xfId="20182" xr:uid="{00000000-0005-0000-0000-0000C99D0000}"/>
    <cellStyle name="常规 9 3 2 4 5 3 2 2" xfId="44758" xr:uid="{00000000-0005-0000-0000-0000CA9D0000}"/>
    <cellStyle name="常规 9 3 2 4 5 3 3" xfId="32470" xr:uid="{00000000-0005-0000-0000-0000CB9D0000}"/>
    <cellStyle name="常规 9 3 2 4 5 4" xfId="14038" xr:uid="{00000000-0005-0000-0000-0000CC9D0000}"/>
    <cellStyle name="常规 9 3 2 4 5 4 2" xfId="38614" xr:uid="{00000000-0005-0000-0000-0000CD9D0000}"/>
    <cellStyle name="常规 9 3 2 4 5 5" xfId="26326" xr:uid="{00000000-0005-0000-0000-0000CE9D0000}"/>
    <cellStyle name="常规 9 3 2 4 6" xfId="3286" xr:uid="{00000000-0005-0000-0000-0000CF9D0000}"/>
    <cellStyle name="常规 9 3 2 4 6 2" xfId="9430" xr:uid="{00000000-0005-0000-0000-0000D09D0000}"/>
    <cellStyle name="常规 9 3 2 4 6 2 2" xfId="21718" xr:uid="{00000000-0005-0000-0000-0000D19D0000}"/>
    <cellStyle name="常规 9 3 2 4 6 2 2 2" xfId="46294" xr:uid="{00000000-0005-0000-0000-0000D29D0000}"/>
    <cellStyle name="常规 9 3 2 4 6 2 3" xfId="34006" xr:uid="{00000000-0005-0000-0000-0000D39D0000}"/>
    <cellStyle name="常规 9 3 2 4 6 3" xfId="15574" xr:uid="{00000000-0005-0000-0000-0000D49D0000}"/>
    <cellStyle name="常规 9 3 2 4 6 3 2" xfId="40150" xr:uid="{00000000-0005-0000-0000-0000D59D0000}"/>
    <cellStyle name="常规 9 3 2 4 6 4" xfId="27862" xr:uid="{00000000-0005-0000-0000-0000D69D0000}"/>
    <cellStyle name="常规 9 3 2 4 7" xfId="6358" xr:uid="{00000000-0005-0000-0000-0000D79D0000}"/>
    <cellStyle name="常规 9 3 2 4 7 2" xfId="18646" xr:uid="{00000000-0005-0000-0000-0000D89D0000}"/>
    <cellStyle name="常规 9 3 2 4 7 2 2" xfId="43222" xr:uid="{00000000-0005-0000-0000-0000D99D0000}"/>
    <cellStyle name="常规 9 3 2 4 7 3" xfId="30934" xr:uid="{00000000-0005-0000-0000-0000DA9D0000}"/>
    <cellStyle name="常规 9 3 2 4 8" xfId="12502" xr:uid="{00000000-0005-0000-0000-0000DB9D0000}"/>
    <cellStyle name="常规 9 3 2 4 8 2" xfId="37078" xr:uid="{00000000-0005-0000-0000-0000DC9D0000}"/>
    <cellStyle name="常规 9 3 2 4 9" xfId="24790" xr:uid="{00000000-0005-0000-0000-0000DD9D0000}"/>
    <cellStyle name="常规 9 3 2 5" xfId="274" xr:uid="{00000000-0005-0000-0000-0000DE9D0000}"/>
    <cellStyle name="常规 9 3 2 5 2" xfId="466" xr:uid="{00000000-0005-0000-0000-0000DF9D0000}"/>
    <cellStyle name="常规 9 3 2 5 2 2" xfId="850" xr:uid="{00000000-0005-0000-0000-0000E09D0000}"/>
    <cellStyle name="常规 9 3 2 5 2 2 2" xfId="1618" xr:uid="{00000000-0005-0000-0000-0000E19D0000}"/>
    <cellStyle name="常规 9 3 2 5 2 2 2 2" xfId="3154" xr:uid="{00000000-0005-0000-0000-0000E29D0000}"/>
    <cellStyle name="常规 9 3 2 5 2 2 2 2 2" xfId="6230" xr:uid="{00000000-0005-0000-0000-0000E39D0000}"/>
    <cellStyle name="常规 9 3 2 5 2 2 2 2 2 2" xfId="12374" xr:uid="{00000000-0005-0000-0000-0000E49D0000}"/>
    <cellStyle name="常规 9 3 2 5 2 2 2 2 2 2 2" xfId="24662" xr:uid="{00000000-0005-0000-0000-0000E59D0000}"/>
    <cellStyle name="常规 9 3 2 5 2 2 2 2 2 2 2 2" xfId="49238" xr:uid="{00000000-0005-0000-0000-0000E69D0000}"/>
    <cellStyle name="常规 9 3 2 5 2 2 2 2 2 2 3" xfId="36950" xr:uid="{00000000-0005-0000-0000-0000E79D0000}"/>
    <cellStyle name="常规 9 3 2 5 2 2 2 2 2 3" xfId="18518" xr:uid="{00000000-0005-0000-0000-0000E89D0000}"/>
    <cellStyle name="常规 9 3 2 5 2 2 2 2 2 3 2" xfId="43094" xr:uid="{00000000-0005-0000-0000-0000E99D0000}"/>
    <cellStyle name="常规 9 3 2 5 2 2 2 2 2 4" xfId="30806" xr:uid="{00000000-0005-0000-0000-0000EA9D0000}"/>
    <cellStyle name="常规 9 3 2 5 2 2 2 2 3" xfId="9302" xr:uid="{00000000-0005-0000-0000-0000EB9D0000}"/>
    <cellStyle name="常规 9 3 2 5 2 2 2 2 3 2" xfId="21590" xr:uid="{00000000-0005-0000-0000-0000EC9D0000}"/>
    <cellStyle name="常规 9 3 2 5 2 2 2 2 3 2 2" xfId="46166" xr:uid="{00000000-0005-0000-0000-0000ED9D0000}"/>
    <cellStyle name="常规 9 3 2 5 2 2 2 2 3 3" xfId="33878" xr:uid="{00000000-0005-0000-0000-0000EE9D0000}"/>
    <cellStyle name="常规 9 3 2 5 2 2 2 2 4" xfId="15446" xr:uid="{00000000-0005-0000-0000-0000EF9D0000}"/>
    <cellStyle name="常规 9 3 2 5 2 2 2 2 4 2" xfId="40022" xr:uid="{00000000-0005-0000-0000-0000F09D0000}"/>
    <cellStyle name="常规 9 3 2 5 2 2 2 2 5" xfId="27734" xr:uid="{00000000-0005-0000-0000-0000F19D0000}"/>
    <cellStyle name="常规 9 3 2 5 2 2 2 3" xfId="4694" xr:uid="{00000000-0005-0000-0000-0000F29D0000}"/>
    <cellStyle name="常规 9 3 2 5 2 2 2 3 2" xfId="10838" xr:uid="{00000000-0005-0000-0000-0000F39D0000}"/>
    <cellStyle name="常规 9 3 2 5 2 2 2 3 2 2" xfId="23126" xr:uid="{00000000-0005-0000-0000-0000F49D0000}"/>
    <cellStyle name="常规 9 3 2 5 2 2 2 3 2 2 2" xfId="47702" xr:uid="{00000000-0005-0000-0000-0000F59D0000}"/>
    <cellStyle name="常规 9 3 2 5 2 2 2 3 2 3" xfId="35414" xr:uid="{00000000-0005-0000-0000-0000F69D0000}"/>
    <cellStyle name="常规 9 3 2 5 2 2 2 3 3" xfId="16982" xr:uid="{00000000-0005-0000-0000-0000F79D0000}"/>
    <cellStyle name="常规 9 3 2 5 2 2 2 3 3 2" xfId="41558" xr:uid="{00000000-0005-0000-0000-0000F89D0000}"/>
    <cellStyle name="常规 9 3 2 5 2 2 2 3 4" xfId="29270" xr:uid="{00000000-0005-0000-0000-0000F99D0000}"/>
    <cellStyle name="常规 9 3 2 5 2 2 2 4" xfId="7766" xr:uid="{00000000-0005-0000-0000-0000FA9D0000}"/>
    <cellStyle name="常规 9 3 2 5 2 2 2 4 2" xfId="20054" xr:uid="{00000000-0005-0000-0000-0000FB9D0000}"/>
    <cellStyle name="常规 9 3 2 5 2 2 2 4 2 2" xfId="44630" xr:uid="{00000000-0005-0000-0000-0000FC9D0000}"/>
    <cellStyle name="常规 9 3 2 5 2 2 2 4 3" xfId="32342" xr:uid="{00000000-0005-0000-0000-0000FD9D0000}"/>
    <cellStyle name="常规 9 3 2 5 2 2 2 5" xfId="13910" xr:uid="{00000000-0005-0000-0000-0000FE9D0000}"/>
    <cellStyle name="常规 9 3 2 5 2 2 2 5 2" xfId="38486" xr:uid="{00000000-0005-0000-0000-0000FF9D0000}"/>
    <cellStyle name="常规 9 3 2 5 2 2 2 6" xfId="26198" xr:uid="{00000000-0005-0000-0000-0000009E0000}"/>
    <cellStyle name="常规 9 3 2 5 2 2 3" xfId="2386" xr:uid="{00000000-0005-0000-0000-0000019E0000}"/>
    <cellStyle name="常规 9 3 2 5 2 2 3 2" xfId="5462" xr:uid="{00000000-0005-0000-0000-0000029E0000}"/>
    <cellStyle name="常规 9 3 2 5 2 2 3 2 2" xfId="11606" xr:uid="{00000000-0005-0000-0000-0000039E0000}"/>
    <cellStyle name="常规 9 3 2 5 2 2 3 2 2 2" xfId="23894" xr:uid="{00000000-0005-0000-0000-0000049E0000}"/>
    <cellStyle name="常规 9 3 2 5 2 2 3 2 2 2 2" xfId="48470" xr:uid="{00000000-0005-0000-0000-0000059E0000}"/>
    <cellStyle name="常规 9 3 2 5 2 2 3 2 2 3" xfId="36182" xr:uid="{00000000-0005-0000-0000-0000069E0000}"/>
    <cellStyle name="常规 9 3 2 5 2 2 3 2 3" xfId="17750" xr:uid="{00000000-0005-0000-0000-0000079E0000}"/>
    <cellStyle name="常规 9 3 2 5 2 2 3 2 3 2" xfId="42326" xr:uid="{00000000-0005-0000-0000-0000089E0000}"/>
    <cellStyle name="常规 9 3 2 5 2 2 3 2 4" xfId="30038" xr:uid="{00000000-0005-0000-0000-0000099E0000}"/>
    <cellStyle name="常规 9 3 2 5 2 2 3 3" xfId="8534" xr:uid="{00000000-0005-0000-0000-00000A9E0000}"/>
    <cellStyle name="常规 9 3 2 5 2 2 3 3 2" xfId="20822" xr:uid="{00000000-0005-0000-0000-00000B9E0000}"/>
    <cellStyle name="常规 9 3 2 5 2 2 3 3 2 2" xfId="45398" xr:uid="{00000000-0005-0000-0000-00000C9E0000}"/>
    <cellStyle name="常规 9 3 2 5 2 2 3 3 3" xfId="33110" xr:uid="{00000000-0005-0000-0000-00000D9E0000}"/>
    <cellStyle name="常规 9 3 2 5 2 2 3 4" xfId="14678" xr:uid="{00000000-0005-0000-0000-00000E9E0000}"/>
    <cellStyle name="常规 9 3 2 5 2 2 3 4 2" xfId="39254" xr:uid="{00000000-0005-0000-0000-00000F9E0000}"/>
    <cellStyle name="常规 9 3 2 5 2 2 3 5" xfId="26966" xr:uid="{00000000-0005-0000-0000-0000109E0000}"/>
    <cellStyle name="常规 9 3 2 5 2 2 4" xfId="3926" xr:uid="{00000000-0005-0000-0000-0000119E0000}"/>
    <cellStyle name="常规 9 3 2 5 2 2 4 2" xfId="10070" xr:uid="{00000000-0005-0000-0000-0000129E0000}"/>
    <cellStyle name="常规 9 3 2 5 2 2 4 2 2" xfId="22358" xr:uid="{00000000-0005-0000-0000-0000139E0000}"/>
    <cellStyle name="常规 9 3 2 5 2 2 4 2 2 2" xfId="46934" xr:uid="{00000000-0005-0000-0000-0000149E0000}"/>
    <cellStyle name="常规 9 3 2 5 2 2 4 2 3" xfId="34646" xr:uid="{00000000-0005-0000-0000-0000159E0000}"/>
    <cellStyle name="常规 9 3 2 5 2 2 4 3" xfId="16214" xr:uid="{00000000-0005-0000-0000-0000169E0000}"/>
    <cellStyle name="常规 9 3 2 5 2 2 4 3 2" xfId="40790" xr:uid="{00000000-0005-0000-0000-0000179E0000}"/>
    <cellStyle name="常规 9 3 2 5 2 2 4 4" xfId="28502" xr:uid="{00000000-0005-0000-0000-0000189E0000}"/>
    <cellStyle name="常规 9 3 2 5 2 2 5" xfId="6998" xr:uid="{00000000-0005-0000-0000-0000199E0000}"/>
    <cellStyle name="常规 9 3 2 5 2 2 5 2" xfId="19286" xr:uid="{00000000-0005-0000-0000-00001A9E0000}"/>
    <cellStyle name="常规 9 3 2 5 2 2 5 2 2" xfId="43862" xr:uid="{00000000-0005-0000-0000-00001B9E0000}"/>
    <cellStyle name="常规 9 3 2 5 2 2 5 3" xfId="31574" xr:uid="{00000000-0005-0000-0000-00001C9E0000}"/>
    <cellStyle name="常规 9 3 2 5 2 2 6" xfId="13142" xr:uid="{00000000-0005-0000-0000-00001D9E0000}"/>
    <cellStyle name="常规 9 3 2 5 2 2 6 2" xfId="37718" xr:uid="{00000000-0005-0000-0000-00001E9E0000}"/>
    <cellStyle name="常规 9 3 2 5 2 2 7" xfId="25430" xr:uid="{00000000-0005-0000-0000-00001F9E0000}"/>
    <cellStyle name="常规 9 3 2 5 2 3" xfId="1234" xr:uid="{00000000-0005-0000-0000-0000209E0000}"/>
    <cellStyle name="常规 9 3 2 5 2 3 2" xfId="2770" xr:uid="{00000000-0005-0000-0000-0000219E0000}"/>
    <cellStyle name="常规 9 3 2 5 2 3 2 2" xfId="5846" xr:uid="{00000000-0005-0000-0000-0000229E0000}"/>
    <cellStyle name="常规 9 3 2 5 2 3 2 2 2" xfId="11990" xr:uid="{00000000-0005-0000-0000-0000239E0000}"/>
    <cellStyle name="常规 9 3 2 5 2 3 2 2 2 2" xfId="24278" xr:uid="{00000000-0005-0000-0000-0000249E0000}"/>
    <cellStyle name="常规 9 3 2 5 2 3 2 2 2 2 2" xfId="48854" xr:uid="{00000000-0005-0000-0000-0000259E0000}"/>
    <cellStyle name="常规 9 3 2 5 2 3 2 2 2 3" xfId="36566" xr:uid="{00000000-0005-0000-0000-0000269E0000}"/>
    <cellStyle name="常规 9 3 2 5 2 3 2 2 3" xfId="18134" xr:uid="{00000000-0005-0000-0000-0000279E0000}"/>
    <cellStyle name="常规 9 3 2 5 2 3 2 2 3 2" xfId="42710" xr:uid="{00000000-0005-0000-0000-0000289E0000}"/>
    <cellStyle name="常规 9 3 2 5 2 3 2 2 4" xfId="30422" xr:uid="{00000000-0005-0000-0000-0000299E0000}"/>
    <cellStyle name="常规 9 3 2 5 2 3 2 3" xfId="8918" xr:uid="{00000000-0005-0000-0000-00002A9E0000}"/>
    <cellStyle name="常规 9 3 2 5 2 3 2 3 2" xfId="21206" xr:uid="{00000000-0005-0000-0000-00002B9E0000}"/>
    <cellStyle name="常规 9 3 2 5 2 3 2 3 2 2" xfId="45782" xr:uid="{00000000-0005-0000-0000-00002C9E0000}"/>
    <cellStyle name="常规 9 3 2 5 2 3 2 3 3" xfId="33494" xr:uid="{00000000-0005-0000-0000-00002D9E0000}"/>
    <cellStyle name="常规 9 3 2 5 2 3 2 4" xfId="15062" xr:uid="{00000000-0005-0000-0000-00002E9E0000}"/>
    <cellStyle name="常规 9 3 2 5 2 3 2 4 2" xfId="39638" xr:uid="{00000000-0005-0000-0000-00002F9E0000}"/>
    <cellStyle name="常规 9 3 2 5 2 3 2 5" xfId="27350" xr:uid="{00000000-0005-0000-0000-0000309E0000}"/>
    <cellStyle name="常规 9 3 2 5 2 3 3" xfId="4310" xr:uid="{00000000-0005-0000-0000-0000319E0000}"/>
    <cellStyle name="常规 9 3 2 5 2 3 3 2" xfId="10454" xr:uid="{00000000-0005-0000-0000-0000329E0000}"/>
    <cellStyle name="常规 9 3 2 5 2 3 3 2 2" xfId="22742" xr:uid="{00000000-0005-0000-0000-0000339E0000}"/>
    <cellStyle name="常规 9 3 2 5 2 3 3 2 2 2" xfId="47318" xr:uid="{00000000-0005-0000-0000-0000349E0000}"/>
    <cellStyle name="常规 9 3 2 5 2 3 3 2 3" xfId="35030" xr:uid="{00000000-0005-0000-0000-0000359E0000}"/>
    <cellStyle name="常规 9 3 2 5 2 3 3 3" xfId="16598" xr:uid="{00000000-0005-0000-0000-0000369E0000}"/>
    <cellStyle name="常规 9 3 2 5 2 3 3 3 2" xfId="41174" xr:uid="{00000000-0005-0000-0000-0000379E0000}"/>
    <cellStyle name="常规 9 3 2 5 2 3 3 4" xfId="28886" xr:uid="{00000000-0005-0000-0000-0000389E0000}"/>
    <cellStyle name="常规 9 3 2 5 2 3 4" xfId="7382" xr:uid="{00000000-0005-0000-0000-0000399E0000}"/>
    <cellStyle name="常规 9 3 2 5 2 3 4 2" xfId="19670" xr:uid="{00000000-0005-0000-0000-00003A9E0000}"/>
    <cellStyle name="常规 9 3 2 5 2 3 4 2 2" xfId="44246" xr:uid="{00000000-0005-0000-0000-00003B9E0000}"/>
    <cellStyle name="常规 9 3 2 5 2 3 4 3" xfId="31958" xr:uid="{00000000-0005-0000-0000-00003C9E0000}"/>
    <cellStyle name="常规 9 3 2 5 2 3 5" xfId="13526" xr:uid="{00000000-0005-0000-0000-00003D9E0000}"/>
    <cellStyle name="常规 9 3 2 5 2 3 5 2" xfId="38102" xr:uid="{00000000-0005-0000-0000-00003E9E0000}"/>
    <cellStyle name="常规 9 3 2 5 2 3 6" xfId="25814" xr:uid="{00000000-0005-0000-0000-00003F9E0000}"/>
    <cellStyle name="常规 9 3 2 5 2 4" xfId="2002" xr:uid="{00000000-0005-0000-0000-0000409E0000}"/>
    <cellStyle name="常规 9 3 2 5 2 4 2" xfId="5078" xr:uid="{00000000-0005-0000-0000-0000419E0000}"/>
    <cellStyle name="常规 9 3 2 5 2 4 2 2" xfId="11222" xr:uid="{00000000-0005-0000-0000-0000429E0000}"/>
    <cellStyle name="常规 9 3 2 5 2 4 2 2 2" xfId="23510" xr:uid="{00000000-0005-0000-0000-0000439E0000}"/>
    <cellStyle name="常规 9 3 2 5 2 4 2 2 2 2" xfId="48086" xr:uid="{00000000-0005-0000-0000-0000449E0000}"/>
    <cellStyle name="常规 9 3 2 5 2 4 2 2 3" xfId="35798" xr:uid="{00000000-0005-0000-0000-0000459E0000}"/>
    <cellStyle name="常规 9 3 2 5 2 4 2 3" xfId="17366" xr:uid="{00000000-0005-0000-0000-0000469E0000}"/>
    <cellStyle name="常规 9 3 2 5 2 4 2 3 2" xfId="41942" xr:uid="{00000000-0005-0000-0000-0000479E0000}"/>
    <cellStyle name="常规 9 3 2 5 2 4 2 4" xfId="29654" xr:uid="{00000000-0005-0000-0000-0000489E0000}"/>
    <cellStyle name="常规 9 3 2 5 2 4 3" xfId="8150" xr:uid="{00000000-0005-0000-0000-0000499E0000}"/>
    <cellStyle name="常规 9 3 2 5 2 4 3 2" xfId="20438" xr:uid="{00000000-0005-0000-0000-00004A9E0000}"/>
    <cellStyle name="常规 9 3 2 5 2 4 3 2 2" xfId="45014" xr:uid="{00000000-0005-0000-0000-00004B9E0000}"/>
    <cellStyle name="常规 9 3 2 5 2 4 3 3" xfId="32726" xr:uid="{00000000-0005-0000-0000-00004C9E0000}"/>
    <cellStyle name="常规 9 3 2 5 2 4 4" xfId="14294" xr:uid="{00000000-0005-0000-0000-00004D9E0000}"/>
    <cellStyle name="常规 9 3 2 5 2 4 4 2" xfId="38870" xr:uid="{00000000-0005-0000-0000-00004E9E0000}"/>
    <cellStyle name="常规 9 3 2 5 2 4 5" xfId="26582" xr:uid="{00000000-0005-0000-0000-00004F9E0000}"/>
    <cellStyle name="常规 9 3 2 5 2 5" xfId="3542" xr:uid="{00000000-0005-0000-0000-0000509E0000}"/>
    <cellStyle name="常规 9 3 2 5 2 5 2" xfId="9686" xr:uid="{00000000-0005-0000-0000-0000519E0000}"/>
    <cellStyle name="常规 9 3 2 5 2 5 2 2" xfId="21974" xr:uid="{00000000-0005-0000-0000-0000529E0000}"/>
    <cellStyle name="常规 9 3 2 5 2 5 2 2 2" xfId="46550" xr:uid="{00000000-0005-0000-0000-0000539E0000}"/>
    <cellStyle name="常规 9 3 2 5 2 5 2 3" xfId="34262" xr:uid="{00000000-0005-0000-0000-0000549E0000}"/>
    <cellStyle name="常规 9 3 2 5 2 5 3" xfId="15830" xr:uid="{00000000-0005-0000-0000-0000559E0000}"/>
    <cellStyle name="常规 9 3 2 5 2 5 3 2" xfId="40406" xr:uid="{00000000-0005-0000-0000-0000569E0000}"/>
    <cellStyle name="常规 9 3 2 5 2 5 4" xfId="28118" xr:uid="{00000000-0005-0000-0000-0000579E0000}"/>
    <cellStyle name="常规 9 3 2 5 2 6" xfId="6614" xr:uid="{00000000-0005-0000-0000-0000589E0000}"/>
    <cellStyle name="常规 9 3 2 5 2 6 2" xfId="18902" xr:uid="{00000000-0005-0000-0000-0000599E0000}"/>
    <cellStyle name="常规 9 3 2 5 2 6 2 2" xfId="43478" xr:uid="{00000000-0005-0000-0000-00005A9E0000}"/>
    <cellStyle name="常规 9 3 2 5 2 6 3" xfId="31190" xr:uid="{00000000-0005-0000-0000-00005B9E0000}"/>
    <cellStyle name="常规 9 3 2 5 2 7" xfId="12758" xr:uid="{00000000-0005-0000-0000-00005C9E0000}"/>
    <cellStyle name="常规 9 3 2 5 2 7 2" xfId="37334" xr:uid="{00000000-0005-0000-0000-00005D9E0000}"/>
    <cellStyle name="常规 9 3 2 5 2 8" xfId="25046" xr:uid="{00000000-0005-0000-0000-00005E9E0000}"/>
    <cellStyle name="常规 9 3 2 5 3" xfId="658" xr:uid="{00000000-0005-0000-0000-00005F9E0000}"/>
    <cellStyle name="常规 9 3 2 5 3 2" xfId="1426" xr:uid="{00000000-0005-0000-0000-0000609E0000}"/>
    <cellStyle name="常规 9 3 2 5 3 2 2" xfId="2962" xr:uid="{00000000-0005-0000-0000-0000619E0000}"/>
    <cellStyle name="常规 9 3 2 5 3 2 2 2" xfId="6038" xr:uid="{00000000-0005-0000-0000-0000629E0000}"/>
    <cellStyle name="常规 9 3 2 5 3 2 2 2 2" xfId="12182" xr:uid="{00000000-0005-0000-0000-0000639E0000}"/>
    <cellStyle name="常规 9 3 2 5 3 2 2 2 2 2" xfId="24470" xr:uid="{00000000-0005-0000-0000-0000649E0000}"/>
    <cellStyle name="常规 9 3 2 5 3 2 2 2 2 2 2" xfId="49046" xr:uid="{00000000-0005-0000-0000-0000659E0000}"/>
    <cellStyle name="常规 9 3 2 5 3 2 2 2 2 3" xfId="36758" xr:uid="{00000000-0005-0000-0000-0000669E0000}"/>
    <cellStyle name="常规 9 3 2 5 3 2 2 2 3" xfId="18326" xr:uid="{00000000-0005-0000-0000-0000679E0000}"/>
    <cellStyle name="常规 9 3 2 5 3 2 2 2 3 2" xfId="42902" xr:uid="{00000000-0005-0000-0000-0000689E0000}"/>
    <cellStyle name="常规 9 3 2 5 3 2 2 2 4" xfId="30614" xr:uid="{00000000-0005-0000-0000-0000699E0000}"/>
    <cellStyle name="常规 9 3 2 5 3 2 2 3" xfId="9110" xr:uid="{00000000-0005-0000-0000-00006A9E0000}"/>
    <cellStyle name="常规 9 3 2 5 3 2 2 3 2" xfId="21398" xr:uid="{00000000-0005-0000-0000-00006B9E0000}"/>
    <cellStyle name="常规 9 3 2 5 3 2 2 3 2 2" xfId="45974" xr:uid="{00000000-0005-0000-0000-00006C9E0000}"/>
    <cellStyle name="常规 9 3 2 5 3 2 2 3 3" xfId="33686" xr:uid="{00000000-0005-0000-0000-00006D9E0000}"/>
    <cellStyle name="常规 9 3 2 5 3 2 2 4" xfId="15254" xr:uid="{00000000-0005-0000-0000-00006E9E0000}"/>
    <cellStyle name="常规 9 3 2 5 3 2 2 4 2" xfId="39830" xr:uid="{00000000-0005-0000-0000-00006F9E0000}"/>
    <cellStyle name="常规 9 3 2 5 3 2 2 5" xfId="27542" xr:uid="{00000000-0005-0000-0000-0000709E0000}"/>
    <cellStyle name="常规 9 3 2 5 3 2 3" xfId="4502" xr:uid="{00000000-0005-0000-0000-0000719E0000}"/>
    <cellStyle name="常规 9 3 2 5 3 2 3 2" xfId="10646" xr:uid="{00000000-0005-0000-0000-0000729E0000}"/>
    <cellStyle name="常规 9 3 2 5 3 2 3 2 2" xfId="22934" xr:uid="{00000000-0005-0000-0000-0000739E0000}"/>
    <cellStyle name="常规 9 3 2 5 3 2 3 2 2 2" xfId="47510" xr:uid="{00000000-0005-0000-0000-0000749E0000}"/>
    <cellStyle name="常规 9 3 2 5 3 2 3 2 3" xfId="35222" xr:uid="{00000000-0005-0000-0000-0000759E0000}"/>
    <cellStyle name="常规 9 3 2 5 3 2 3 3" xfId="16790" xr:uid="{00000000-0005-0000-0000-0000769E0000}"/>
    <cellStyle name="常规 9 3 2 5 3 2 3 3 2" xfId="41366" xr:uid="{00000000-0005-0000-0000-0000779E0000}"/>
    <cellStyle name="常规 9 3 2 5 3 2 3 4" xfId="29078" xr:uid="{00000000-0005-0000-0000-0000789E0000}"/>
    <cellStyle name="常规 9 3 2 5 3 2 4" xfId="7574" xr:uid="{00000000-0005-0000-0000-0000799E0000}"/>
    <cellStyle name="常规 9 3 2 5 3 2 4 2" xfId="19862" xr:uid="{00000000-0005-0000-0000-00007A9E0000}"/>
    <cellStyle name="常规 9 3 2 5 3 2 4 2 2" xfId="44438" xr:uid="{00000000-0005-0000-0000-00007B9E0000}"/>
    <cellStyle name="常规 9 3 2 5 3 2 4 3" xfId="32150" xr:uid="{00000000-0005-0000-0000-00007C9E0000}"/>
    <cellStyle name="常规 9 3 2 5 3 2 5" xfId="13718" xr:uid="{00000000-0005-0000-0000-00007D9E0000}"/>
    <cellStyle name="常规 9 3 2 5 3 2 5 2" xfId="38294" xr:uid="{00000000-0005-0000-0000-00007E9E0000}"/>
    <cellStyle name="常规 9 3 2 5 3 2 6" xfId="26006" xr:uid="{00000000-0005-0000-0000-00007F9E0000}"/>
    <cellStyle name="常规 9 3 2 5 3 3" xfId="2194" xr:uid="{00000000-0005-0000-0000-0000809E0000}"/>
    <cellStyle name="常规 9 3 2 5 3 3 2" xfId="5270" xr:uid="{00000000-0005-0000-0000-0000819E0000}"/>
    <cellStyle name="常规 9 3 2 5 3 3 2 2" xfId="11414" xr:uid="{00000000-0005-0000-0000-0000829E0000}"/>
    <cellStyle name="常规 9 3 2 5 3 3 2 2 2" xfId="23702" xr:uid="{00000000-0005-0000-0000-0000839E0000}"/>
    <cellStyle name="常规 9 3 2 5 3 3 2 2 2 2" xfId="48278" xr:uid="{00000000-0005-0000-0000-0000849E0000}"/>
    <cellStyle name="常规 9 3 2 5 3 3 2 2 3" xfId="35990" xr:uid="{00000000-0005-0000-0000-0000859E0000}"/>
    <cellStyle name="常规 9 3 2 5 3 3 2 3" xfId="17558" xr:uid="{00000000-0005-0000-0000-0000869E0000}"/>
    <cellStyle name="常规 9 3 2 5 3 3 2 3 2" xfId="42134" xr:uid="{00000000-0005-0000-0000-0000879E0000}"/>
    <cellStyle name="常规 9 3 2 5 3 3 2 4" xfId="29846" xr:uid="{00000000-0005-0000-0000-0000889E0000}"/>
    <cellStyle name="常规 9 3 2 5 3 3 3" xfId="8342" xr:uid="{00000000-0005-0000-0000-0000899E0000}"/>
    <cellStyle name="常规 9 3 2 5 3 3 3 2" xfId="20630" xr:uid="{00000000-0005-0000-0000-00008A9E0000}"/>
    <cellStyle name="常规 9 3 2 5 3 3 3 2 2" xfId="45206" xr:uid="{00000000-0005-0000-0000-00008B9E0000}"/>
    <cellStyle name="常规 9 3 2 5 3 3 3 3" xfId="32918" xr:uid="{00000000-0005-0000-0000-00008C9E0000}"/>
    <cellStyle name="常规 9 3 2 5 3 3 4" xfId="14486" xr:uid="{00000000-0005-0000-0000-00008D9E0000}"/>
    <cellStyle name="常规 9 3 2 5 3 3 4 2" xfId="39062" xr:uid="{00000000-0005-0000-0000-00008E9E0000}"/>
    <cellStyle name="常规 9 3 2 5 3 3 5" xfId="26774" xr:uid="{00000000-0005-0000-0000-00008F9E0000}"/>
    <cellStyle name="常规 9 3 2 5 3 4" xfId="3734" xr:uid="{00000000-0005-0000-0000-0000909E0000}"/>
    <cellStyle name="常规 9 3 2 5 3 4 2" xfId="9878" xr:uid="{00000000-0005-0000-0000-0000919E0000}"/>
    <cellStyle name="常规 9 3 2 5 3 4 2 2" xfId="22166" xr:uid="{00000000-0005-0000-0000-0000929E0000}"/>
    <cellStyle name="常规 9 3 2 5 3 4 2 2 2" xfId="46742" xr:uid="{00000000-0005-0000-0000-0000939E0000}"/>
    <cellStyle name="常规 9 3 2 5 3 4 2 3" xfId="34454" xr:uid="{00000000-0005-0000-0000-0000949E0000}"/>
    <cellStyle name="常规 9 3 2 5 3 4 3" xfId="16022" xr:uid="{00000000-0005-0000-0000-0000959E0000}"/>
    <cellStyle name="常规 9 3 2 5 3 4 3 2" xfId="40598" xr:uid="{00000000-0005-0000-0000-0000969E0000}"/>
    <cellStyle name="常规 9 3 2 5 3 4 4" xfId="28310" xr:uid="{00000000-0005-0000-0000-0000979E0000}"/>
    <cellStyle name="常规 9 3 2 5 3 5" xfId="6806" xr:uid="{00000000-0005-0000-0000-0000989E0000}"/>
    <cellStyle name="常规 9 3 2 5 3 5 2" xfId="19094" xr:uid="{00000000-0005-0000-0000-0000999E0000}"/>
    <cellStyle name="常规 9 3 2 5 3 5 2 2" xfId="43670" xr:uid="{00000000-0005-0000-0000-00009A9E0000}"/>
    <cellStyle name="常规 9 3 2 5 3 5 3" xfId="31382" xr:uid="{00000000-0005-0000-0000-00009B9E0000}"/>
    <cellStyle name="常规 9 3 2 5 3 6" xfId="12950" xr:uid="{00000000-0005-0000-0000-00009C9E0000}"/>
    <cellStyle name="常规 9 3 2 5 3 6 2" xfId="37526" xr:uid="{00000000-0005-0000-0000-00009D9E0000}"/>
    <cellStyle name="常规 9 3 2 5 3 7" xfId="25238" xr:uid="{00000000-0005-0000-0000-00009E9E0000}"/>
    <cellStyle name="常规 9 3 2 5 4" xfId="1042" xr:uid="{00000000-0005-0000-0000-00009F9E0000}"/>
    <cellStyle name="常规 9 3 2 5 4 2" xfId="2578" xr:uid="{00000000-0005-0000-0000-0000A09E0000}"/>
    <cellStyle name="常规 9 3 2 5 4 2 2" xfId="5654" xr:uid="{00000000-0005-0000-0000-0000A19E0000}"/>
    <cellStyle name="常规 9 3 2 5 4 2 2 2" xfId="11798" xr:uid="{00000000-0005-0000-0000-0000A29E0000}"/>
    <cellStyle name="常规 9 3 2 5 4 2 2 2 2" xfId="24086" xr:uid="{00000000-0005-0000-0000-0000A39E0000}"/>
    <cellStyle name="常规 9 3 2 5 4 2 2 2 2 2" xfId="48662" xr:uid="{00000000-0005-0000-0000-0000A49E0000}"/>
    <cellStyle name="常规 9 3 2 5 4 2 2 2 3" xfId="36374" xr:uid="{00000000-0005-0000-0000-0000A59E0000}"/>
    <cellStyle name="常规 9 3 2 5 4 2 2 3" xfId="17942" xr:uid="{00000000-0005-0000-0000-0000A69E0000}"/>
    <cellStyle name="常规 9 3 2 5 4 2 2 3 2" xfId="42518" xr:uid="{00000000-0005-0000-0000-0000A79E0000}"/>
    <cellStyle name="常规 9 3 2 5 4 2 2 4" xfId="30230" xr:uid="{00000000-0005-0000-0000-0000A89E0000}"/>
    <cellStyle name="常规 9 3 2 5 4 2 3" xfId="8726" xr:uid="{00000000-0005-0000-0000-0000A99E0000}"/>
    <cellStyle name="常规 9 3 2 5 4 2 3 2" xfId="21014" xr:uid="{00000000-0005-0000-0000-0000AA9E0000}"/>
    <cellStyle name="常规 9 3 2 5 4 2 3 2 2" xfId="45590" xr:uid="{00000000-0005-0000-0000-0000AB9E0000}"/>
    <cellStyle name="常规 9 3 2 5 4 2 3 3" xfId="33302" xr:uid="{00000000-0005-0000-0000-0000AC9E0000}"/>
    <cellStyle name="常规 9 3 2 5 4 2 4" xfId="14870" xr:uid="{00000000-0005-0000-0000-0000AD9E0000}"/>
    <cellStyle name="常规 9 3 2 5 4 2 4 2" xfId="39446" xr:uid="{00000000-0005-0000-0000-0000AE9E0000}"/>
    <cellStyle name="常规 9 3 2 5 4 2 5" xfId="27158" xr:uid="{00000000-0005-0000-0000-0000AF9E0000}"/>
    <cellStyle name="常规 9 3 2 5 4 3" xfId="4118" xr:uid="{00000000-0005-0000-0000-0000B09E0000}"/>
    <cellStyle name="常规 9 3 2 5 4 3 2" xfId="10262" xr:uid="{00000000-0005-0000-0000-0000B19E0000}"/>
    <cellStyle name="常规 9 3 2 5 4 3 2 2" xfId="22550" xr:uid="{00000000-0005-0000-0000-0000B29E0000}"/>
    <cellStyle name="常规 9 3 2 5 4 3 2 2 2" xfId="47126" xr:uid="{00000000-0005-0000-0000-0000B39E0000}"/>
    <cellStyle name="常规 9 3 2 5 4 3 2 3" xfId="34838" xr:uid="{00000000-0005-0000-0000-0000B49E0000}"/>
    <cellStyle name="常规 9 3 2 5 4 3 3" xfId="16406" xr:uid="{00000000-0005-0000-0000-0000B59E0000}"/>
    <cellStyle name="常规 9 3 2 5 4 3 3 2" xfId="40982" xr:uid="{00000000-0005-0000-0000-0000B69E0000}"/>
    <cellStyle name="常规 9 3 2 5 4 3 4" xfId="28694" xr:uid="{00000000-0005-0000-0000-0000B79E0000}"/>
    <cellStyle name="常规 9 3 2 5 4 4" xfId="7190" xr:uid="{00000000-0005-0000-0000-0000B89E0000}"/>
    <cellStyle name="常规 9 3 2 5 4 4 2" xfId="19478" xr:uid="{00000000-0005-0000-0000-0000B99E0000}"/>
    <cellStyle name="常规 9 3 2 5 4 4 2 2" xfId="44054" xr:uid="{00000000-0005-0000-0000-0000BA9E0000}"/>
    <cellStyle name="常规 9 3 2 5 4 4 3" xfId="31766" xr:uid="{00000000-0005-0000-0000-0000BB9E0000}"/>
    <cellStyle name="常规 9 3 2 5 4 5" xfId="13334" xr:uid="{00000000-0005-0000-0000-0000BC9E0000}"/>
    <cellStyle name="常规 9 3 2 5 4 5 2" xfId="37910" xr:uid="{00000000-0005-0000-0000-0000BD9E0000}"/>
    <cellStyle name="常规 9 3 2 5 4 6" xfId="25622" xr:uid="{00000000-0005-0000-0000-0000BE9E0000}"/>
    <cellStyle name="常规 9 3 2 5 5" xfId="1810" xr:uid="{00000000-0005-0000-0000-0000BF9E0000}"/>
    <cellStyle name="常规 9 3 2 5 5 2" xfId="4886" xr:uid="{00000000-0005-0000-0000-0000C09E0000}"/>
    <cellStyle name="常规 9 3 2 5 5 2 2" xfId="11030" xr:uid="{00000000-0005-0000-0000-0000C19E0000}"/>
    <cellStyle name="常规 9 3 2 5 5 2 2 2" xfId="23318" xr:uid="{00000000-0005-0000-0000-0000C29E0000}"/>
    <cellStyle name="常规 9 3 2 5 5 2 2 2 2" xfId="47894" xr:uid="{00000000-0005-0000-0000-0000C39E0000}"/>
    <cellStyle name="常规 9 3 2 5 5 2 2 3" xfId="35606" xr:uid="{00000000-0005-0000-0000-0000C49E0000}"/>
    <cellStyle name="常规 9 3 2 5 5 2 3" xfId="17174" xr:uid="{00000000-0005-0000-0000-0000C59E0000}"/>
    <cellStyle name="常规 9 3 2 5 5 2 3 2" xfId="41750" xr:uid="{00000000-0005-0000-0000-0000C69E0000}"/>
    <cellStyle name="常规 9 3 2 5 5 2 4" xfId="29462" xr:uid="{00000000-0005-0000-0000-0000C79E0000}"/>
    <cellStyle name="常规 9 3 2 5 5 3" xfId="7958" xr:uid="{00000000-0005-0000-0000-0000C89E0000}"/>
    <cellStyle name="常规 9 3 2 5 5 3 2" xfId="20246" xr:uid="{00000000-0005-0000-0000-0000C99E0000}"/>
    <cellStyle name="常规 9 3 2 5 5 3 2 2" xfId="44822" xr:uid="{00000000-0005-0000-0000-0000CA9E0000}"/>
    <cellStyle name="常规 9 3 2 5 5 3 3" xfId="32534" xr:uid="{00000000-0005-0000-0000-0000CB9E0000}"/>
    <cellStyle name="常规 9 3 2 5 5 4" xfId="14102" xr:uid="{00000000-0005-0000-0000-0000CC9E0000}"/>
    <cellStyle name="常规 9 3 2 5 5 4 2" xfId="38678" xr:uid="{00000000-0005-0000-0000-0000CD9E0000}"/>
    <cellStyle name="常规 9 3 2 5 5 5" xfId="26390" xr:uid="{00000000-0005-0000-0000-0000CE9E0000}"/>
    <cellStyle name="常规 9 3 2 5 6" xfId="3350" xr:uid="{00000000-0005-0000-0000-0000CF9E0000}"/>
    <cellStyle name="常规 9 3 2 5 6 2" xfId="9494" xr:uid="{00000000-0005-0000-0000-0000D09E0000}"/>
    <cellStyle name="常规 9 3 2 5 6 2 2" xfId="21782" xr:uid="{00000000-0005-0000-0000-0000D19E0000}"/>
    <cellStyle name="常规 9 3 2 5 6 2 2 2" xfId="46358" xr:uid="{00000000-0005-0000-0000-0000D29E0000}"/>
    <cellStyle name="常规 9 3 2 5 6 2 3" xfId="34070" xr:uid="{00000000-0005-0000-0000-0000D39E0000}"/>
    <cellStyle name="常规 9 3 2 5 6 3" xfId="15638" xr:uid="{00000000-0005-0000-0000-0000D49E0000}"/>
    <cellStyle name="常规 9 3 2 5 6 3 2" xfId="40214" xr:uid="{00000000-0005-0000-0000-0000D59E0000}"/>
    <cellStyle name="常规 9 3 2 5 6 4" xfId="27926" xr:uid="{00000000-0005-0000-0000-0000D69E0000}"/>
    <cellStyle name="常规 9 3 2 5 7" xfId="6422" xr:uid="{00000000-0005-0000-0000-0000D79E0000}"/>
    <cellStyle name="常规 9 3 2 5 7 2" xfId="18710" xr:uid="{00000000-0005-0000-0000-0000D89E0000}"/>
    <cellStyle name="常规 9 3 2 5 7 2 2" xfId="43286" xr:uid="{00000000-0005-0000-0000-0000D99E0000}"/>
    <cellStyle name="常规 9 3 2 5 7 3" xfId="30998" xr:uid="{00000000-0005-0000-0000-0000DA9E0000}"/>
    <cellStyle name="常规 9 3 2 5 8" xfId="12566" xr:uid="{00000000-0005-0000-0000-0000DB9E0000}"/>
    <cellStyle name="常规 9 3 2 5 8 2" xfId="37142" xr:uid="{00000000-0005-0000-0000-0000DC9E0000}"/>
    <cellStyle name="常规 9 3 2 5 9" xfId="24854" xr:uid="{00000000-0005-0000-0000-0000DD9E0000}"/>
    <cellStyle name="常规 9 3 2 6" xfId="338" xr:uid="{00000000-0005-0000-0000-0000DE9E0000}"/>
    <cellStyle name="常规 9 3 2 6 2" xfId="722" xr:uid="{00000000-0005-0000-0000-0000DF9E0000}"/>
    <cellStyle name="常规 9 3 2 6 2 2" xfId="1490" xr:uid="{00000000-0005-0000-0000-0000E09E0000}"/>
    <cellStyle name="常规 9 3 2 6 2 2 2" xfId="3026" xr:uid="{00000000-0005-0000-0000-0000E19E0000}"/>
    <cellStyle name="常规 9 3 2 6 2 2 2 2" xfId="6102" xr:uid="{00000000-0005-0000-0000-0000E29E0000}"/>
    <cellStyle name="常规 9 3 2 6 2 2 2 2 2" xfId="12246" xr:uid="{00000000-0005-0000-0000-0000E39E0000}"/>
    <cellStyle name="常规 9 3 2 6 2 2 2 2 2 2" xfId="24534" xr:uid="{00000000-0005-0000-0000-0000E49E0000}"/>
    <cellStyle name="常规 9 3 2 6 2 2 2 2 2 2 2" xfId="49110" xr:uid="{00000000-0005-0000-0000-0000E59E0000}"/>
    <cellStyle name="常规 9 3 2 6 2 2 2 2 2 3" xfId="36822" xr:uid="{00000000-0005-0000-0000-0000E69E0000}"/>
    <cellStyle name="常规 9 3 2 6 2 2 2 2 3" xfId="18390" xr:uid="{00000000-0005-0000-0000-0000E79E0000}"/>
    <cellStyle name="常规 9 3 2 6 2 2 2 2 3 2" xfId="42966" xr:uid="{00000000-0005-0000-0000-0000E89E0000}"/>
    <cellStyle name="常规 9 3 2 6 2 2 2 2 4" xfId="30678" xr:uid="{00000000-0005-0000-0000-0000E99E0000}"/>
    <cellStyle name="常规 9 3 2 6 2 2 2 3" xfId="9174" xr:uid="{00000000-0005-0000-0000-0000EA9E0000}"/>
    <cellStyle name="常规 9 3 2 6 2 2 2 3 2" xfId="21462" xr:uid="{00000000-0005-0000-0000-0000EB9E0000}"/>
    <cellStyle name="常规 9 3 2 6 2 2 2 3 2 2" xfId="46038" xr:uid="{00000000-0005-0000-0000-0000EC9E0000}"/>
    <cellStyle name="常规 9 3 2 6 2 2 2 3 3" xfId="33750" xr:uid="{00000000-0005-0000-0000-0000ED9E0000}"/>
    <cellStyle name="常规 9 3 2 6 2 2 2 4" xfId="15318" xr:uid="{00000000-0005-0000-0000-0000EE9E0000}"/>
    <cellStyle name="常规 9 3 2 6 2 2 2 4 2" xfId="39894" xr:uid="{00000000-0005-0000-0000-0000EF9E0000}"/>
    <cellStyle name="常规 9 3 2 6 2 2 2 5" xfId="27606" xr:uid="{00000000-0005-0000-0000-0000F09E0000}"/>
    <cellStyle name="常规 9 3 2 6 2 2 3" xfId="4566" xr:uid="{00000000-0005-0000-0000-0000F19E0000}"/>
    <cellStyle name="常规 9 3 2 6 2 2 3 2" xfId="10710" xr:uid="{00000000-0005-0000-0000-0000F29E0000}"/>
    <cellStyle name="常规 9 3 2 6 2 2 3 2 2" xfId="22998" xr:uid="{00000000-0005-0000-0000-0000F39E0000}"/>
    <cellStyle name="常规 9 3 2 6 2 2 3 2 2 2" xfId="47574" xr:uid="{00000000-0005-0000-0000-0000F49E0000}"/>
    <cellStyle name="常规 9 3 2 6 2 2 3 2 3" xfId="35286" xr:uid="{00000000-0005-0000-0000-0000F59E0000}"/>
    <cellStyle name="常规 9 3 2 6 2 2 3 3" xfId="16854" xr:uid="{00000000-0005-0000-0000-0000F69E0000}"/>
    <cellStyle name="常规 9 3 2 6 2 2 3 3 2" xfId="41430" xr:uid="{00000000-0005-0000-0000-0000F79E0000}"/>
    <cellStyle name="常规 9 3 2 6 2 2 3 4" xfId="29142" xr:uid="{00000000-0005-0000-0000-0000F89E0000}"/>
    <cellStyle name="常规 9 3 2 6 2 2 4" xfId="7638" xr:uid="{00000000-0005-0000-0000-0000F99E0000}"/>
    <cellStyle name="常规 9 3 2 6 2 2 4 2" xfId="19926" xr:uid="{00000000-0005-0000-0000-0000FA9E0000}"/>
    <cellStyle name="常规 9 3 2 6 2 2 4 2 2" xfId="44502" xr:uid="{00000000-0005-0000-0000-0000FB9E0000}"/>
    <cellStyle name="常规 9 3 2 6 2 2 4 3" xfId="32214" xr:uid="{00000000-0005-0000-0000-0000FC9E0000}"/>
    <cellStyle name="常规 9 3 2 6 2 2 5" xfId="13782" xr:uid="{00000000-0005-0000-0000-0000FD9E0000}"/>
    <cellStyle name="常规 9 3 2 6 2 2 5 2" xfId="38358" xr:uid="{00000000-0005-0000-0000-0000FE9E0000}"/>
    <cellStyle name="常规 9 3 2 6 2 2 6" xfId="26070" xr:uid="{00000000-0005-0000-0000-0000FF9E0000}"/>
    <cellStyle name="常规 9 3 2 6 2 3" xfId="2258" xr:uid="{00000000-0005-0000-0000-0000009F0000}"/>
    <cellStyle name="常规 9 3 2 6 2 3 2" xfId="5334" xr:uid="{00000000-0005-0000-0000-0000019F0000}"/>
    <cellStyle name="常规 9 3 2 6 2 3 2 2" xfId="11478" xr:uid="{00000000-0005-0000-0000-0000029F0000}"/>
    <cellStyle name="常规 9 3 2 6 2 3 2 2 2" xfId="23766" xr:uid="{00000000-0005-0000-0000-0000039F0000}"/>
    <cellStyle name="常规 9 3 2 6 2 3 2 2 2 2" xfId="48342" xr:uid="{00000000-0005-0000-0000-0000049F0000}"/>
    <cellStyle name="常规 9 3 2 6 2 3 2 2 3" xfId="36054" xr:uid="{00000000-0005-0000-0000-0000059F0000}"/>
    <cellStyle name="常规 9 3 2 6 2 3 2 3" xfId="17622" xr:uid="{00000000-0005-0000-0000-0000069F0000}"/>
    <cellStyle name="常规 9 3 2 6 2 3 2 3 2" xfId="42198" xr:uid="{00000000-0005-0000-0000-0000079F0000}"/>
    <cellStyle name="常规 9 3 2 6 2 3 2 4" xfId="29910" xr:uid="{00000000-0005-0000-0000-0000089F0000}"/>
    <cellStyle name="常规 9 3 2 6 2 3 3" xfId="8406" xr:uid="{00000000-0005-0000-0000-0000099F0000}"/>
    <cellStyle name="常规 9 3 2 6 2 3 3 2" xfId="20694" xr:uid="{00000000-0005-0000-0000-00000A9F0000}"/>
    <cellStyle name="常规 9 3 2 6 2 3 3 2 2" xfId="45270" xr:uid="{00000000-0005-0000-0000-00000B9F0000}"/>
    <cellStyle name="常规 9 3 2 6 2 3 3 3" xfId="32982" xr:uid="{00000000-0005-0000-0000-00000C9F0000}"/>
    <cellStyle name="常规 9 3 2 6 2 3 4" xfId="14550" xr:uid="{00000000-0005-0000-0000-00000D9F0000}"/>
    <cellStyle name="常规 9 3 2 6 2 3 4 2" xfId="39126" xr:uid="{00000000-0005-0000-0000-00000E9F0000}"/>
    <cellStyle name="常规 9 3 2 6 2 3 5" xfId="26838" xr:uid="{00000000-0005-0000-0000-00000F9F0000}"/>
    <cellStyle name="常规 9 3 2 6 2 4" xfId="3798" xr:uid="{00000000-0005-0000-0000-0000109F0000}"/>
    <cellStyle name="常规 9 3 2 6 2 4 2" xfId="9942" xr:uid="{00000000-0005-0000-0000-0000119F0000}"/>
    <cellStyle name="常规 9 3 2 6 2 4 2 2" xfId="22230" xr:uid="{00000000-0005-0000-0000-0000129F0000}"/>
    <cellStyle name="常规 9 3 2 6 2 4 2 2 2" xfId="46806" xr:uid="{00000000-0005-0000-0000-0000139F0000}"/>
    <cellStyle name="常规 9 3 2 6 2 4 2 3" xfId="34518" xr:uid="{00000000-0005-0000-0000-0000149F0000}"/>
    <cellStyle name="常规 9 3 2 6 2 4 3" xfId="16086" xr:uid="{00000000-0005-0000-0000-0000159F0000}"/>
    <cellStyle name="常规 9 3 2 6 2 4 3 2" xfId="40662" xr:uid="{00000000-0005-0000-0000-0000169F0000}"/>
    <cellStyle name="常规 9 3 2 6 2 4 4" xfId="28374" xr:uid="{00000000-0005-0000-0000-0000179F0000}"/>
    <cellStyle name="常规 9 3 2 6 2 5" xfId="6870" xr:uid="{00000000-0005-0000-0000-0000189F0000}"/>
    <cellStyle name="常规 9 3 2 6 2 5 2" xfId="19158" xr:uid="{00000000-0005-0000-0000-0000199F0000}"/>
    <cellStyle name="常规 9 3 2 6 2 5 2 2" xfId="43734" xr:uid="{00000000-0005-0000-0000-00001A9F0000}"/>
    <cellStyle name="常规 9 3 2 6 2 5 3" xfId="31446" xr:uid="{00000000-0005-0000-0000-00001B9F0000}"/>
    <cellStyle name="常规 9 3 2 6 2 6" xfId="13014" xr:uid="{00000000-0005-0000-0000-00001C9F0000}"/>
    <cellStyle name="常规 9 3 2 6 2 6 2" xfId="37590" xr:uid="{00000000-0005-0000-0000-00001D9F0000}"/>
    <cellStyle name="常规 9 3 2 6 2 7" xfId="25302" xr:uid="{00000000-0005-0000-0000-00001E9F0000}"/>
    <cellStyle name="常规 9 3 2 6 3" xfId="1106" xr:uid="{00000000-0005-0000-0000-00001F9F0000}"/>
    <cellStyle name="常规 9 3 2 6 3 2" xfId="2642" xr:uid="{00000000-0005-0000-0000-0000209F0000}"/>
    <cellStyle name="常规 9 3 2 6 3 2 2" xfId="5718" xr:uid="{00000000-0005-0000-0000-0000219F0000}"/>
    <cellStyle name="常规 9 3 2 6 3 2 2 2" xfId="11862" xr:uid="{00000000-0005-0000-0000-0000229F0000}"/>
    <cellStyle name="常规 9 3 2 6 3 2 2 2 2" xfId="24150" xr:uid="{00000000-0005-0000-0000-0000239F0000}"/>
    <cellStyle name="常规 9 3 2 6 3 2 2 2 2 2" xfId="48726" xr:uid="{00000000-0005-0000-0000-0000249F0000}"/>
    <cellStyle name="常规 9 3 2 6 3 2 2 2 3" xfId="36438" xr:uid="{00000000-0005-0000-0000-0000259F0000}"/>
    <cellStyle name="常规 9 3 2 6 3 2 2 3" xfId="18006" xr:uid="{00000000-0005-0000-0000-0000269F0000}"/>
    <cellStyle name="常规 9 3 2 6 3 2 2 3 2" xfId="42582" xr:uid="{00000000-0005-0000-0000-0000279F0000}"/>
    <cellStyle name="常规 9 3 2 6 3 2 2 4" xfId="30294" xr:uid="{00000000-0005-0000-0000-0000289F0000}"/>
    <cellStyle name="常规 9 3 2 6 3 2 3" xfId="8790" xr:uid="{00000000-0005-0000-0000-0000299F0000}"/>
    <cellStyle name="常规 9 3 2 6 3 2 3 2" xfId="21078" xr:uid="{00000000-0005-0000-0000-00002A9F0000}"/>
    <cellStyle name="常规 9 3 2 6 3 2 3 2 2" xfId="45654" xr:uid="{00000000-0005-0000-0000-00002B9F0000}"/>
    <cellStyle name="常规 9 3 2 6 3 2 3 3" xfId="33366" xr:uid="{00000000-0005-0000-0000-00002C9F0000}"/>
    <cellStyle name="常规 9 3 2 6 3 2 4" xfId="14934" xr:uid="{00000000-0005-0000-0000-00002D9F0000}"/>
    <cellStyle name="常规 9 3 2 6 3 2 4 2" xfId="39510" xr:uid="{00000000-0005-0000-0000-00002E9F0000}"/>
    <cellStyle name="常规 9 3 2 6 3 2 5" xfId="27222" xr:uid="{00000000-0005-0000-0000-00002F9F0000}"/>
    <cellStyle name="常规 9 3 2 6 3 3" xfId="4182" xr:uid="{00000000-0005-0000-0000-0000309F0000}"/>
    <cellStyle name="常规 9 3 2 6 3 3 2" xfId="10326" xr:uid="{00000000-0005-0000-0000-0000319F0000}"/>
    <cellStyle name="常规 9 3 2 6 3 3 2 2" xfId="22614" xr:uid="{00000000-0005-0000-0000-0000329F0000}"/>
    <cellStyle name="常规 9 3 2 6 3 3 2 2 2" xfId="47190" xr:uid="{00000000-0005-0000-0000-0000339F0000}"/>
    <cellStyle name="常规 9 3 2 6 3 3 2 3" xfId="34902" xr:uid="{00000000-0005-0000-0000-0000349F0000}"/>
    <cellStyle name="常规 9 3 2 6 3 3 3" xfId="16470" xr:uid="{00000000-0005-0000-0000-0000359F0000}"/>
    <cellStyle name="常规 9 3 2 6 3 3 3 2" xfId="41046" xr:uid="{00000000-0005-0000-0000-0000369F0000}"/>
    <cellStyle name="常规 9 3 2 6 3 3 4" xfId="28758" xr:uid="{00000000-0005-0000-0000-0000379F0000}"/>
    <cellStyle name="常规 9 3 2 6 3 4" xfId="7254" xr:uid="{00000000-0005-0000-0000-0000389F0000}"/>
    <cellStyle name="常规 9 3 2 6 3 4 2" xfId="19542" xr:uid="{00000000-0005-0000-0000-0000399F0000}"/>
    <cellStyle name="常规 9 3 2 6 3 4 2 2" xfId="44118" xr:uid="{00000000-0005-0000-0000-00003A9F0000}"/>
    <cellStyle name="常规 9 3 2 6 3 4 3" xfId="31830" xr:uid="{00000000-0005-0000-0000-00003B9F0000}"/>
    <cellStyle name="常规 9 3 2 6 3 5" xfId="13398" xr:uid="{00000000-0005-0000-0000-00003C9F0000}"/>
    <cellStyle name="常规 9 3 2 6 3 5 2" xfId="37974" xr:uid="{00000000-0005-0000-0000-00003D9F0000}"/>
    <cellStyle name="常规 9 3 2 6 3 6" xfId="25686" xr:uid="{00000000-0005-0000-0000-00003E9F0000}"/>
    <cellStyle name="常规 9 3 2 6 4" xfId="1874" xr:uid="{00000000-0005-0000-0000-00003F9F0000}"/>
    <cellStyle name="常规 9 3 2 6 4 2" xfId="4950" xr:uid="{00000000-0005-0000-0000-0000409F0000}"/>
    <cellStyle name="常规 9 3 2 6 4 2 2" xfId="11094" xr:uid="{00000000-0005-0000-0000-0000419F0000}"/>
    <cellStyle name="常规 9 3 2 6 4 2 2 2" xfId="23382" xr:uid="{00000000-0005-0000-0000-0000429F0000}"/>
    <cellStyle name="常规 9 3 2 6 4 2 2 2 2" xfId="47958" xr:uid="{00000000-0005-0000-0000-0000439F0000}"/>
    <cellStyle name="常规 9 3 2 6 4 2 2 3" xfId="35670" xr:uid="{00000000-0005-0000-0000-0000449F0000}"/>
    <cellStyle name="常规 9 3 2 6 4 2 3" xfId="17238" xr:uid="{00000000-0005-0000-0000-0000459F0000}"/>
    <cellStyle name="常规 9 3 2 6 4 2 3 2" xfId="41814" xr:uid="{00000000-0005-0000-0000-0000469F0000}"/>
    <cellStyle name="常规 9 3 2 6 4 2 4" xfId="29526" xr:uid="{00000000-0005-0000-0000-0000479F0000}"/>
    <cellStyle name="常规 9 3 2 6 4 3" xfId="8022" xr:uid="{00000000-0005-0000-0000-0000489F0000}"/>
    <cellStyle name="常规 9 3 2 6 4 3 2" xfId="20310" xr:uid="{00000000-0005-0000-0000-0000499F0000}"/>
    <cellStyle name="常规 9 3 2 6 4 3 2 2" xfId="44886" xr:uid="{00000000-0005-0000-0000-00004A9F0000}"/>
    <cellStyle name="常规 9 3 2 6 4 3 3" xfId="32598" xr:uid="{00000000-0005-0000-0000-00004B9F0000}"/>
    <cellStyle name="常规 9 3 2 6 4 4" xfId="14166" xr:uid="{00000000-0005-0000-0000-00004C9F0000}"/>
    <cellStyle name="常规 9 3 2 6 4 4 2" xfId="38742" xr:uid="{00000000-0005-0000-0000-00004D9F0000}"/>
    <cellStyle name="常规 9 3 2 6 4 5" xfId="26454" xr:uid="{00000000-0005-0000-0000-00004E9F0000}"/>
    <cellStyle name="常规 9 3 2 6 5" xfId="3414" xr:uid="{00000000-0005-0000-0000-00004F9F0000}"/>
    <cellStyle name="常规 9 3 2 6 5 2" xfId="9558" xr:uid="{00000000-0005-0000-0000-0000509F0000}"/>
    <cellStyle name="常规 9 3 2 6 5 2 2" xfId="21846" xr:uid="{00000000-0005-0000-0000-0000519F0000}"/>
    <cellStyle name="常规 9 3 2 6 5 2 2 2" xfId="46422" xr:uid="{00000000-0005-0000-0000-0000529F0000}"/>
    <cellStyle name="常规 9 3 2 6 5 2 3" xfId="34134" xr:uid="{00000000-0005-0000-0000-0000539F0000}"/>
    <cellStyle name="常规 9 3 2 6 5 3" xfId="15702" xr:uid="{00000000-0005-0000-0000-0000549F0000}"/>
    <cellStyle name="常规 9 3 2 6 5 3 2" xfId="40278" xr:uid="{00000000-0005-0000-0000-0000559F0000}"/>
    <cellStyle name="常规 9 3 2 6 5 4" xfId="27990" xr:uid="{00000000-0005-0000-0000-0000569F0000}"/>
    <cellStyle name="常规 9 3 2 6 6" xfId="6486" xr:uid="{00000000-0005-0000-0000-0000579F0000}"/>
    <cellStyle name="常规 9 3 2 6 6 2" xfId="18774" xr:uid="{00000000-0005-0000-0000-0000589F0000}"/>
    <cellStyle name="常规 9 3 2 6 6 2 2" xfId="43350" xr:uid="{00000000-0005-0000-0000-0000599F0000}"/>
    <cellStyle name="常规 9 3 2 6 6 3" xfId="31062" xr:uid="{00000000-0005-0000-0000-00005A9F0000}"/>
    <cellStyle name="常规 9 3 2 6 7" xfId="12630" xr:uid="{00000000-0005-0000-0000-00005B9F0000}"/>
    <cellStyle name="常规 9 3 2 6 7 2" xfId="37206" xr:uid="{00000000-0005-0000-0000-00005C9F0000}"/>
    <cellStyle name="常规 9 3 2 6 8" xfId="24918" xr:uid="{00000000-0005-0000-0000-00005D9F0000}"/>
    <cellStyle name="常规 9 3 2 7" xfId="530" xr:uid="{00000000-0005-0000-0000-00005E9F0000}"/>
    <cellStyle name="常规 9 3 2 7 2" xfId="1298" xr:uid="{00000000-0005-0000-0000-00005F9F0000}"/>
    <cellStyle name="常规 9 3 2 7 2 2" xfId="2834" xr:uid="{00000000-0005-0000-0000-0000609F0000}"/>
    <cellStyle name="常规 9 3 2 7 2 2 2" xfId="5910" xr:uid="{00000000-0005-0000-0000-0000619F0000}"/>
    <cellStyle name="常规 9 3 2 7 2 2 2 2" xfId="12054" xr:uid="{00000000-0005-0000-0000-0000629F0000}"/>
    <cellStyle name="常规 9 3 2 7 2 2 2 2 2" xfId="24342" xr:uid="{00000000-0005-0000-0000-0000639F0000}"/>
    <cellStyle name="常规 9 3 2 7 2 2 2 2 2 2" xfId="48918" xr:uid="{00000000-0005-0000-0000-0000649F0000}"/>
    <cellStyle name="常规 9 3 2 7 2 2 2 2 3" xfId="36630" xr:uid="{00000000-0005-0000-0000-0000659F0000}"/>
    <cellStyle name="常规 9 3 2 7 2 2 2 3" xfId="18198" xr:uid="{00000000-0005-0000-0000-0000669F0000}"/>
    <cellStyle name="常规 9 3 2 7 2 2 2 3 2" xfId="42774" xr:uid="{00000000-0005-0000-0000-0000679F0000}"/>
    <cellStyle name="常规 9 3 2 7 2 2 2 4" xfId="30486" xr:uid="{00000000-0005-0000-0000-0000689F0000}"/>
    <cellStyle name="常规 9 3 2 7 2 2 3" xfId="8982" xr:uid="{00000000-0005-0000-0000-0000699F0000}"/>
    <cellStyle name="常规 9 3 2 7 2 2 3 2" xfId="21270" xr:uid="{00000000-0005-0000-0000-00006A9F0000}"/>
    <cellStyle name="常规 9 3 2 7 2 2 3 2 2" xfId="45846" xr:uid="{00000000-0005-0000-0000-00006B9F0000}"/>
    <cellStyle name="常规 9 3 2 7 2 2 3 3" xfId="33558" xr:uid="{00000000-0005-0000-0000-00006C9F0000}"/>
    <cellStyle name="常规 9 3 2 7 2 2 4" xfId="15126" xr:uid="{00000000-0005-0000-0000-00006D9F0000}"/>
    <cellStyle name="常规 9 3 2 7 2 2 4 2" xfId="39702" xr:uid="{00000000-0005-0000-0000-00006E9F0000}"/>
    <cellStyle name="常规 9 3 2 7 2 2 5" xfId="27414" xr:uid="{00000000-0005-0000-0000-00006F9F0000}"/>
    <cellStyle name="常规 9 3 2 7 2 3" xfId="4374" xr:uid="{00000000-0005-0000-0000-0000709F0000}"/>
    <cellStyle name="常规 9 3 2 7 2 3 2" xfId="10518" xr:uid="{00000000-0005-0000-0000-0000719F0000}"/>
    <cellStyle name="常规 9 3 2 7 2 3 2 2" xfId="22806" xr:uid="{00000000-0005-0000-0000-0000729F0000}"/>
    <cellStyle name="常规 9 3 2 7 2 3 2 2 2" xfId="47382" xr:uid="{00000000-0005-0000-0000-0000739F0000}"/>
    <cellStyle name="常规 9 3 2 7 2 3 2 3" xfId="35094" xr:uid="{00000000-0005-0000-0000-0000749F0000}"/>
    <cellStyle name="常规 9 3 2 7 2 3 3" xfId="16662" xr:uid="{00000000-0005-0000-0000-0000759F0000}"/>
    <cellStyle name="常规 9 3 2 7 2 3 3 2" xfId="41238" xr:uid="{00000000-0005-0000-0000-0000769F0000}"/>
    <cellStyle name="常规 9 3 2 7 2 3 4" xfId="28950" xr:uid="{00000000-0005-0000-0000-0000779F0000}"/>
    <cellStyle name="常规 9 3 2 7 2 4" xfId="7446" xr:uid="{00000000-0005-0000-0000-0000789F0000}"/>
    <cellStyle name="常规 9 3 2 7 2 4 2" xfId="19734" xr:uid="{00000000-0005-0000-0000-0000799F0000}"/>
    <cellStyle name="常规 9 3 2 7 2 4 2 2" xfId="44310" xr:uid="{00000000-0005-0000-0000-00007A9F0000}"/>
    <cellStyle name="常规 9 3 2 7 2 4 3" xfId="32022" xr:uid="{00000000-0005-0000-0000-00007B9F0000}"/>
    <cellStyle name="常规 9 3 2 7 2 5" xfId="13590" xr:uid="{00000000-0005-0000-0000-00007C9F0000}"/>
    <cellStyle name="常规 9 3 2 7 2 5 2" xfId="38166" xr:uid="{00000000-0005-0000-0000-00007D9F0000}"/>
    <cellStyle name="常规 9 3 2 7 2 6" xfId="25878" xr:uid="{00000000-0005-0000-0000-00007E9F0000}"/>
    <cellStyle name="常规 9 3 2 7 3" xfId="2066" xr:uid="{00000000-0005-0000-0000-00007F9F0000}"/>
    <cellStyle name="常规 9 3 2 7 3 2" xfId="5142" xr:uid="{00000000-0005-0000-0000-0000809F0000}"/>
    <cellStyle name="常规 9 3 2 7 3 2 2" xfId="11286" xr:uid="{00000000-0005-0000-0000-0000819F0000}"/>
    <cellStyle name="常规 9 3 2 7 3 2 2 2" xfId="23574" xr:uid="{00000000-0005-0000-0000-0000829F0000}"/>
    <cellStyle name="常规 9 3 2 7 3 2 2 2 2" xfId="48150" xr:uid="{00000000-0005-0000-0000-0000839F0000}"/>
    <cellStyle name="常规 9 3 2 7 3 2 2 3" xfId="35862" xr:uid="{00000000-0005-0000-0000-0000849F0000}"/>
    <cellStyle name="常规 9 3 2 7 3 2 3" xfId="17430" xr:uid="{00000000-0005-0000-0000-0000859F0000}"/>
    <cellStyle name="常规 9 3 2 7 3 2 3 2" xfId="42006" xr:uid="{00000000-0005-0000-0000-0000869F0000}"/>
    <cellStyle name="常规 9 3 2 7 3 2 4" xfId="29718" xr:uid="{00000000-0005-0000-0000-0000879F0000}"/>
    <cellStyle name="常规 9 3 2 7 3 3" xfId="8214" xr:uid="{00000000-0005-0000-0000-0000889F0000}"/>
    <cellStyle name="常规 9 3 2 7 3 3 2" xfId="20502" xr:uid="{00000000-0005-0000-0000-0000899F0000}"/>
    <cellStyle name="常规 9 3 2 7 3 3 2 2" xfId="45078" xr:uid="{00000000-0005-0000-0000-00008A9F0000}"/>
    <cellStyle name="常规 9 3 2 7 3 3 3" xfId="32790" xr:uid="{00000000-0005-0000-0000-00008B9F0000}"/>
    <cellStyle name="常规 9 3 2 7 3 4" xfId="14358" xr:uid="{00000000-0005-0000-0000-00008C9F0000}"/>
    <cellStyle name="常规 9 3 2 7 3 4 2" xfId="38934" xr:uid="{00000000-0005-0000-0000-00008D9F0000}"/>
    <cellStyle name="常规 9 3 2 7 3 5" xfId="26646" xr:uid="{00000000-0005-0000-0000-00008E9F0000}"/>
    <cellStyle name="常规 9 3 2 7 4" xfId="3606" xr:uid="{00000000-0005-0000-0000-00008F9F0000}"/>
    <cellStyle name="常规 9 3 2 7 4 2" xfId="9750" xr:uid="{00000000-0005-0000-0000-0000909F0000}"/>
    <cellStyle name="常规 9 3 2 7 4 2 2" xfId="22038" xr:uid="{00000000-0005-0000-0000-0000919F0000}"/>
    <cellStyle name="常规 9 3 2 7 4 2 2 2" xfId="46614" xr:uid="{00000000-0005-0000-0000-0000929F0000}"/>
    <cellStyle name="常规 9 3 2 7 4 2 3" xfId="34326" xr:uid="{00000000-0005-0000-0000-0000939F0000}"/>
    <cellStyle name="常规 9 3 2 7 4 3" xfId="15894" xr:uid="{00000000-0005-0000-0000-0000949F0000}"/>
    <cellStyle name="常规 9 3 2 7 4 3 2" xfId="40470" xr:uid="{00000000-0005-0000-0000-0000959F0000}"/>
    <cellStyle name="常规 9 3 2 7 4 4" xfId="28182" xr:uid="{00000000-0005-0000-0000-0000969F0000}"/>
    <cellStyle name="常规 9 3 2 7 5" xfId="6678" xr:uid="{00000000-0005-0000-0000-0000979F0000}"/>
    <cellStyle name="常规 9 3 2 7 5 2" xfId="18966" xr:uid="{00000000-0005-0000-0000-0000989F0000}"/>
    <cellStyle name="常规 9 3 2 7 5 2 2" xfId="43542" xr:uid="{00000000-0005-0000-0000-0000999F0000}"/>
    <cellStyle name="常规 9 3 2 7 5 3" xfId="31254" xr:uid="{00000000-0005-0000-0000-00009A9F0000}"/>
    <cellStyle name="常规 9 3 2 7 6" xfId="12822" xr:uid="{00000000-0005-0000-0000-00009B9F0000}"/>
    <cellStyle name="常规 9 3 2 7 6 2" xfId="37398" xr:uid="{00000000-0005-0000-0000-00009C9F0000}"/>
    <cellStyle name="常规 9 3 2 7 7" xfId="25110" xr:uid="{00000000-0005-0000-0000-00009D9F0000}"/>
    <cellStyle name="常规 9 3 2 8" xfId="914" xr:uid="{00000000-0005-0000-0000-00009E9F0000}"/>
    <cellStyle name="常规 9 3 2 8 2" xfId="2450" xr:uid="{00000000-0005-0000-0000-00009F9F0000}"/>
    <cellStyle name="常规 9 3 2 8 2 2" xfId="5526" xr:uid="{00000000-0005-0000-0000-0000A09F0000}"/>
    <cellStyle name="常规 9 3 2 8 2 2 2" xfId="11670" xr:uid="{00000000-0005-0000-0000-0000A19F0000}"/>
    <cellStyle name="常规 9 3 2 8 2 2 2 2" xfId="23958" xr:uid="{00000000-0005-0000-0000-0000A29F0000}"/>
    <cellStyle name="常规 9 3 2 8 2 2 2 2 2" xfId="48534" xr:uid="{00000000-0005-0000-0000-0000A39F0000}"/>
    <cellStyle name="常规 9 3 2 8 2 2 2 3" xfId="36246" xr:uid="{00000000-0005-0000-0000-0000A49F0000}"/>
    <cellStyle name="常规 9 3 2 8 2 2 3" xfId="17814" xr:uid="{00000000-0005-0000-0000-0000A59F0000}"/>
    <cellStyle name="常规 9 3 2 8 2 2 3 2" xfId="42390" xr:uid="{00000000-0005-0000-0000-0000A69F0000}"/>
    <cellStyle name="常规 9 3 2 8 2 2 4" xfId="30102" xr:uid="{00000000-0005-0000-0000-0000A79F0000}"/>
    <cellStyle name="常规 9 3 2 8 2 3" xfId="8598" xr:uid="{00000000-0005-0000-0000-0000A89F0000}"/>
    <cellStyle name="常规 9 3 2 8 2 3 2" xfId="20886" xr:uid="{00000000-0005-0000-0000-0000A99F0000}"/>
    <cellStyle name="常规 9 3 2 8 2 3 2 2" xfId="45462" xr:uid="{00000000-0005-0000-0000-0000AA9F0000}"/>
    <cellStyle name="常规 9 3 2 8 2 3 3" xfId="33174" xr:uid="{00000000-0005-0000-0000-0000AB9F0000}"/>
    <cellStyle name="常规 9 3 2 8 2 4" xfId="14742" xr:uid="{00000000-0005-0000-0000-0000AC9F0000}"/>
    <cellStyle name="常规 9 3 2 8 2 4 2" xfId="39318" xr:uid="{00000000-0005-0000-0000-0000AD9F0000}"/>
    <cellStyle name="常规 9 3 2 8 2 5" xfId="27030" xr:uid="{00000000-0005-0000-0000-0000AE9F0000}"/>
    <cellStyle name="常规 9 3 2 8 3" xfId="3990" xr:uid="{00000000-0005-0000-0000-0000AF9F0000}"/>
    <cellStyle name="常规 9 3 2 8 3 2" xfId="10134" xr:uid="{00000000-0005-0000-0000-0000B09F0000}"/>
    <cellStyle name="常规 9 3 2 8 3 2 2" xfId="22422" xr:uid="{00000000-0005-0000-0000-0000B19F0000}"/>
    <cellStyle name="常规 9 3 2 8 3 2 2 2" xfId="46998" xr:uid="{00000000-0005-0000-0000-0000B29F0000}"/>
    <cellStyle name="常规 9 3 2 8 3 2 3" xfId="34710" xr:uid="{00000000-0005-0000-0000-0000B39F0000}"/>
    <cellStyle name="常规 9 3 2 8 3 3" xfId="16278" xr:uid="{00000000-0005-0000-0000-0000B49F0000}"/>
    <cellStyle name="常规 9 3 2 8 3 3 2" xfId="40854" xr:uid="{00000000-0005-0000-0000-0000B59F0000}"/>
    <cellStyle name="常规 9 3 2 8 3 4" xfId="28566" xr:uid="{00000000-0005-0000-0000-0000B69F0000}"/>
    <cellStyle name="常规 9 3 2 8 4" xfId="7062" xr:uid="{00000000-0005-0000-0000-0000B79F0000}"/>
    <cellStyle name="常规 9 3 2 8 4 2" xfId="19350" xr:uid="{00000000-0005-0000-0000-0000B89F0000}"/>
    <cellStyle name="常规 9 3 2 8 4 2 2" xfId="43926" xr:uid="{00000000-0005-0000-0000-0000B99F0000}"/>
    <cellStyle name="常规 9 3 2 8 4 3" xfId="31638" xr:uid="{00000000-0005-0000-0000-0000BA9F0000}"/>
    <cellStyle name="常规 9 3 2 8 5" xfId="13206" xr:uid="{00000000-0005-0000-0000-0000BB9F0000}"/>
    <cellStyle name="常规 9 3 2 8 5 2" xfId="37782" xr:uid="{00000000-0005-0000-0000-0000BC9F0000}"/>
    <cellStyle name="常规 9 3 2 8 6" xfId="25494" xr:uid="{00000000-0005-0000-0000-0000BD9F0000}"/>
    <cellStyle name="常规 9 3 2 9" xfId="1682" xr:uid="{00000000-0005-0000-0000-0000BE9F0000}"/>
    <cellStyle name="常规 9 3 2 9 2" xfId="4758" xr:uid="{00000000-0005-0000-0000-0000BF9F0000}"/>
    <cellStyle name="常规 9 3 2 9 2 2" xfId="10902" xr:uid="{00000000-0005-0000-0000-0000C09F0000}"/>
    <cellStyle name="常规 9 3 2 9 2 2 2" xfId="23190" xr:uid="{00000000-0005-0000-0000-0000C19F0000}"/>
    <cellStyle name="常规 9 3 2 9 2 2 2 2" xfId="47766" xr:uid="{00000000-0005-0000-0000-0000C29F0000}"/>
    <cellStyle name="常规 9 3 2 9 2 2 3" xfId="35478" xr:uid="{00000000-0005-0000-0000-0000C39F0000}"/>
    <cellStyle name="常规 9 3 2 9 2 3" xfId="17046" xr:uid="{00000000-0005-0000-0000-0000C49F0000}"/>
    <cellStyle name="常规 9 3 2 9 2 3 2" xfId="41622" xr:uid="{00000000-0005-0000-0000-0000C59F0000}"/>
    <cellStyle name="常规 9 3 2 9 2 4" xfId="29334" xr:uid="{00000000-0005-0000-0000-0000C69F0000}"/>
    <cellStyle name="常规 9 3 2 9 3" xfId="7830" xr:uid="{00000000-0005-0000-0000-0000C79F0000}"/>
    <cellStyle name="常规 9 3 2 9 3 2" xfId="20118" xr:uid="{00000000-0005-0000-0000-0000C89F0000}"/>
    <cellStyle name="常规 9 3 2 9 3 2 2" xfId="44694" xr:uid="{00000000-0005-0000-0000-0000C99F0000}"/>
    <cellStyle name="常规 9 3 2 9 3 3" xfId="32406" xr:uid="{00000000-0005-0000-0000-0000CA9F0000}"/>
    <cellStyle name="常规 9 3 2 9 4" xfId="13974" xr:uid="{00000000-0005-0000-0000-0000CB9F0000}"/>
    <cellStyle name="常规 9 3 2 9 4 2" xfId="38550" xr:uid="{00000000-0005-0000-0000-0000CC9F0000}"/>
    <cellStyle name="常规 9 3 2 9 5" xfId="26262" xr:uid="{00000000-0005-0000-0000-0000CD9F0000}"/>
    <cellStyle name="常规 9 3 3" xfId="113" xr:uid="{00000000-0005-0000-0000-0000CE9F0000}"/>
    <cellStyle name="常规 9 3 3 10" xfId="6302" xr:uid="{00000000-0005-0000-0000-0000CF9F0000}"/>
    <cellStyle name="常规 9 3 3 10 2" xfId="18590" xr:uid="{00000000-0005-0000-0000-0000D09F0000}"/>
    <cellStyle name="常规 9 3 3 10 2 2" xfId="43166" xr:uid="{00000000-0005-0000-0000-0000D19F0000}"/>
    <cellStyle name="常规 9 3 3 10 3" xfId="30878" xr:uid="{00000000-0005-0000-0000-0000D29F0000}"/>
    <cellStyle name="常规 9 3 3 11" xfId="12446" xr:uid="{00000000-0005-0000-0000-0000D39F0000}"/>
    <cellStyle name="常规 9 3 3 11 2" xfId="37022" xr:uid="{00000000-0005-0000-0000-0000D49F0000}"/>
    <cellStyle name="常规 9 3 3 12" xfId="24734" xr:uid="{00000000-0005-0000-0000-0000D59F0000}"/>
    <cellStyle name="常规 9 3 3 2" xfId="185" xr:uid="{00000000-0005-0000-0000-0000D69F0000}"/>
    <cellStyle name="常规 9 3 3 2 10" xfId="12478" xr:uid="{00000000-0005-0000-0000-0000D79F0000}"/>
    <cellStyle name="常规 9 3 3 2 10 2" xfId="37054" xr:uid="{00000000-0005-0000-0000-0000D89F0000}"/>
    <cellStyle name="常规 9 3 3 2 11" xfId="24766" xr:uid="{00000000-0005-0000-0000-0000D99F0000}"/>
    <cellStyle name="常规 9 3 3 2 2" xfId="250" xr:uid="{00000000-0005-0000-0000-0000DA9F0000}"/>
    <cellStyle name="常规 9 3 3 2 2 2" xfId="442" xr:uid="{00000000-0005-0000-0000-0000DB9F0000}"/>
    <cellStyle name="常规 9 3 3 2 2 2 2" xfId="826" xr:uid="{00000000-0005-0000-0000-0000DC9F0000}"/>
    <cellStyle name="常规 9 3 3 2 2 2 2 2" xfId="1594" xr:uid="{00000000-0005-0000-0000-0000DD9F0000}"/>
    <cellStyle name="常规 9 3 3 2 2 2 2 2 2" xfId="3130" xr:uid="{00000000-0005-0000-0000-0000DE9F0000}"/>
    <cellStyle name="常规 9 3 3 2 2 2 2 2 2 2" xfId="6206" xr:uid="{00000000-0005-0000-0000-0000DF9F0000}"/>
    <cellStyle name="常规 9 3 3 2 2 2 2 2 2 2 2" xfId="12350" xr:uid="{00000000-0005-0000-0000-0000E09F0000}"/>
    <cellStyle name="常规 9 3 3 2 2 2 2 2 2 2 2 2" xfId="24638" xr:uid="{00000000-0005-0000-0000-0000E19F0000}"/>
    <cellStyle name="常规 9 3 3 2 2 2 2 2 2 2 2 2 2" xfId="49214" xr:uid="{00000000-0005-0000-0000-0000E29F0000}"/>
    <cellStyle name="常规 9 3 3 2 2 2 2 2 2 2 2 3" xfId="36926" xr:uid="{00000000-0005-0000-0000-0000E39F0000}"/>
    <cellStyle name="常规 9 3 3 2 2 2 2 2 2 2 3" xfId="18494" xr:uid="{00000000-0005-0000-0000-0000E49F0000}"/>
    <cellStyle name="常规 9 3 3 2 2 2 2 2 2 2 3 2" xfId="43070" xr:uid="{00000000-0005-0000-0000-0000E59F0000}"/>
    <cellStyle name="常规 9 3 3 2 2 2 2 2 2 2 4" xfId="30782" xr:uid="{00000000-0005-0000-0000-0000E69F0000}"/>
    <cellStyle name="常规 9 3 3 2 2 2 2 2 2 3" xfId="9278" xr:uid="{00000000-0005-0000-0000-0000E79F0000}"/>
    <cellStyle name="常规 9 3 3 2 2 2 2 2 2 3 2" xfId="21566" xr:uid="{00000000-0005-0000-0000-0000E89F0000}"/>
    <cellStyle name="常规 9 3 3 2 2 2 2 2 2 3 2 2" xfId="46142" xr:uid="{00000000-0005-0000-0000-0000E99F0000}"/>
    <cellStyle name="常规 9 3 3 2 2 2 2 2 2 3 3" xfId="33854" xr:uid="{00000000-0005-0000-0000-0000EA9F0000}"/>
    <cellStyle name="常规 9 3 3 2 2 2 2 2 2 4" xfId="15422" xr:uid="{00000000-0005-0000-0000-0000EB9F0000}"/>
    <cellStyle name="常规 9 3 3 2 2 2 2 2 2 4 2" xfId="39998" xr:uid="{00000000-0005-0000-0000-0000EC9F0000}"/>
    <cellStyle name="常规 9 3 3 2 2 2 2 2 2 5" xfId="27710" xr:uid="{00000000-0005-0000-0000-0000ED9F0000}"/>
    <cellStyle name="常规 9 3 3 2 2 2 2 2 3" xfId="4670" xr:uid="{00000000-0005-0000-0000-0000EE9F0000}"/>
    <cellStyle name="常规 9 3 3 2 2 2 2 2 3 2" xfId="10814" xr:uid="{00000000-0005-0000-0000-0000EF9F0000}"/>
    <cellStyle name="常规 9 3 3 2 2 2 2 2 3 2 2" xfId="23102" xr:uid="{00000000-0005-0000-0000-0000F09F0000}"/>
    <cellStyle name="常规 9 3 3 2 2 2 2 2 3 2 2 2" xfId="47678" xr:uid="{00000000-0005-0000-0000-0000F19F0000}"/>
    <cellStyle name="常规 9 3 3 2 2 2 2 2 3 2 3" xfId="35390" xr:uid="{00000000-0005-0000-0000-0000F29F0000}"/>
    <cellStyle name="常规 9 3 3 2 2 2 2 2 3 3" xfId="16958" xr:uid="{00000000-0005-0000-0000-0000F39F0000}"/>
    <cellStyle name="常规 9 3 3 2 2 2 2 2 3 3 2" xfId="41534" xr:uid="{00000000-0005-0000-0000-0000F49F0000}"/>
    <cellStyle name="常规 9 3 3 2 2 2 2 2 3 4" xfId="29246" xr:uid="{00000000-0005-0000-0000-0000F59F0000}"/>
    <cellStyle name="常规 9 3 3 2 2 2 2 2 4" xfId="7742" xr:uid="{00000000-0005-0000-0000-0000F69F0000}"/>
    <cellStyle name="常规 9 3 3 2 2 2 2 2 4 2" xfId="20030" xr:uid="{00000000-0005-0000-0000-0000F79F0000}"/>
    <cellStyle name="常规 9 3 3 2 2 2 2 2 4 2 2" xfId="44606" xr:uid="{00000000-0005-0000-0000-0000F89F0000}"/>
    <cellStyle name="常规 9 3 3 2 2 2 2 2 4 3" xfId="32318" xr:uid="{00000000-0005-0000-0000-0000F99F0000}"/>
    <cellStyle name="常规 9 3 3 2 2 2 2 2 5" xfId="13886" xr:uid="{00000000-0005-0000-0000-0000FA9F0000}"/>
    <cellStyle name="常规 9 3 3 2 2 2 2 2 5 2" xfId="38462" xr:uid="{00000000-0005-0000-0000-0000FB9F0000}"/>
    <cellStyle name="常规 9 3 3 2 2 2 2 2 6" xfId="26174" xr:uid="{00000000-0005-0000-0000-0000FC9F0000}"/>
    <cellStyle name="常规 9 3 3 2 2 2 2 3" xfId="2362" xr:uid="{00000000-0005-0000-0000-0000FD9F0000}"/>
    <cellStyle name="常规 9 3 3 2 2 2 2 3 2" xfId="5438" xr:uid="{00000000-0005-0000-0000-0000FE9F0000}"/>
    <cellStyle name="常规 9 3 3 2 2 2 2 3 2 2" xfId="11582" xr:uid="{00000000-0005-0000-0000-0000FF9F0000}"/>
    <cellStyle name="常规 9 3 3 2 2 2 2 3 2 2 2" xfId="23870" xr:uid="{00000000-0005-0000-0000-000000A00000}"/>
    <cellStyle name="常规 9 3 3 2 2 2 2 3 2 2 2 2" xfId="48446" xr:uid="{00000000-0005-0000-0000-000001A00000}"/>
    <cellStyle name="常规 9 3 3 2 2 2 2 3 2 2 3" xfId="36158" xr:uid="{00000000-0005-0000-0000-000002A00000}"/>
    <cellStyle name="常规 9 3 3 2 2 2 2 3 2 3" xfId="17726" xr:uid="{00000000-0005-0000-0000-000003A00000}"/>
    <cellStyle name="常规 9 3 3 2 2 2 2 3 2 3 2" xfId="42302" xr:uid="{00000000-0005-0000-0000-000004A00000}"/>
    <cellStyle name="常规 9 3 3 2 2 2 2 3 2 4" xfId="30014" xr:uid="{00000000-0005-0000-0000-000005A00000}"/>
    <cellStyle name="常规 9 3 3 2 2 2 2 3 3" xfId="8510" xr:uid="{00000000-0005-0000-0000-000006A00000}"/>
    <cellStyle name="常规 9 3 3 2 2 2 2 3 3 2" xfId="20798" xr:uid="{00000000-0005-0000-0000-000007A00000}"/>
    <cellStyle name="常规 9 3 3 2 2 2 2 3 3 2 2" xfId="45374" xr:uid="{00000000-0005-0000-0000-000008A00000}"/>
    <cellStyle name="常规 9 3 3 2 2 2 2 3 3 3" xfId="33086" xr:uid="{00000000-0005-0000-0000-000009A00000}"/>
    <cellStyle name="常规 9 3 3 2 2 2 2 3 4" xfId="14654" xr:uid="{00000000-0005-0000-0000-00000AA00000}"/>
    <cellStyle name="常规 9 3 3 2 2 2 2 3 4 2" xfId="39230" xr:uid="{00000000-0005-0000-0000-00000BA00000}"/>
    <cellStyle name="常规 9 3 3 2 2 2 2 3 5" xfId="26942" xr:uid="{00000000-0005-0000-0000-00000CA00000}"/>
    <cellStyle name="常规 9 3 3 2 2 2 2 4" xfId="3902" xr:uid="{00000000-0005-0000-0000-00000DA00000}"/>
    <cellStyle name="常规 9 3 3 2 2 2 2 4 2" xfId="10046" xr:uid="{00000000-0005-0000-0000-00000EA00000}"/>
    <cellStyle name="常规 9 3 3 2 2 2 2 4 2 2" xfId="22334" xr:uid="{00000000-0005-0000-0000-00000FA00000}"/>
    <cellStyle name="常规 9 3 3 2 2 2 2 4 2 2 2" xfId="46910" xr:uid="{00000000-0005-0000-0000-000010A00000}"/>
    <cellStyle name="常规 9 3 3 2 2 2 2 4 2 3" xfId="34622" xr:uid="{00000000-0005-0000-0000-000011A00000}"/>
    <cellStyle name="常规 9 3 3 2 2 2 2 4 3" xfId="16190" xr:uid="{00000000-0005-0000-0000-000012A00000}"/>
    <cellStyle name="常规 9 3 3 2 2 2 2 4 3 2" xfId="40766" xr:uid="{00000000-0005-0000-0000-000013A00000}"/>
    <cellStyle name="常规 9 3 3 2 2 2 2 4 4" xfId="28478" xr:uid="{00000000-0005-0000-0000-000014A00000}"/>
    <cellStyle name="常规 9 3 3 2 2 2 2 5" xfId="6974" xr:uid="{00000000-0005-0000-0000-000015A00000}"/>
    <cellStyle name="常规 9 3 3 2 2 2 2 5 2" xfId="19262" xr:uid="{00000000-0005-0000-0000-000016A00000}"/>
    <cellStyle name="常规 9 3 3 2 2 2 2 5 2 2" xfId="43838" xr:uid="{00000000-0005-0000-0000-000017A00000}"/>
    <cellStyle name="常规 9 3 3 2 2 2 2 5 3" xfId="31550" xr:uid="{00000000-0005-0000-0000-000018A00000}"/>
    <cellStyle name="常规 9 3 3 2 2 2 2 6" xfId="13118" xr:uid="{00000000-0005-0000-0000-000019A00000}"/>
    <cellStyle name="常规 9 3 3 2 2 2 2 6 2" xfId="37694" xr:uid="{00000000-0005-0000-0000-00001AA00000}"/>
    <cellStyle name="常规 9 3 3 2 2 2 2 7" xfId="25406" xr:uid="{00000000-0005-0000-0000-00001BA00000}"/>
    <cellStyle name="常规 9 3 3 2 2 2 3" xfId="1210" xr:uid="{00000000-0005-0000-0000-00001CA00000}"/>
    <cellStyle name="常规 9 3 3 2 2 2 3 2" xfId="2746" xr:uid="{00000000-0005-0000-0000-00001DA00000}"/>
    <cellStyle name="常规 9 3 3 2 2 2 3 2 2" xfId="5822" xr:uid="{00000000-0005-0000-0000-00001EA00000}"/>
    <cellStyle name="常规 9 3 3 2 2 2 3 2 2 2" xfId="11966" xr:uid="{00000000-0005-0000-0000-00001FA00000}"/>
    <cellStyle name="常规 9 3 3 2 2 2 3 2 2 2 2" xfId="24254" xr:uid="{00000000-0005-0000-0000-000020A00000}"/>
    <cellStyle name="常规 9 3 3 2 2 2 3 2 2 2 2 2" xfId="48830" xr:uid="{00000000-0005-0000-0000-000021A00000}"/>
    <cellStyle name="常规 9 3 3 2 2 2 3 2 2 2 3" xfId="36542" xr:uid="{00000000-0005-0000-0000-000022A00000}"/>
    <cellStyle name="常规 9 3 3 2 2 2 3 2 2 3" xfId="18110" xr:uid="{00000000-0005-0000-0000-000023A00000}"/>
    <cellStyle name="常规 9 3 3 2 2 2 3 2 2 3 2" xfId="42686" xr:uid="{00000000-0005-0000-0000-000024A00000}"/>
    <cellStyle name="常规 9 3 3 2 2 2 3 2 2 4" xfId="30398" xr:uid="{00000000-0005-0000-0000-000025A00000}"/>
    <cellStyle name="常规 9 3 3 2 2 2 3 2 3" xfId="8894" xr:uid="{00000000-0005-0000-0000-000026A00000}"/>
    <cellStyle name="常规 9 3 3 2 2 2 3 2 3 2" xfId="21182" xr:uid="{00000000-0005-0000-0000-000027A00000}"/>
    <cellStyle name="常规 9 3 3 2 2 2 3 2 3 2 2" xfId="45758" xr:uid="{00000000-0005-0000-0000-000028A00000}"/>
    <cellStyle name="常规 9 3 3 2 2 2 3 2 3 3" xfId="33470" xr:uid="{00000000-0005-0000-0000-000029A00000}"/>
    <cellStyle name="常规 9 3 3 2 2 2 3 2 4" xfId="15038" xr:uid="{00000000-0005-0000-0000-00002AA00000}"/>
    <cellStyle name="常规 9 3 3 2 2 2 3 2 4 2" xfId="39614" xr:uid="{00000000-0005-0000-0000-00002BA00000}"/>
    <cellStyle name="常规 9 3 3 2 2 2 3 2 5" xfId="27326" xr:uid="{00000000-0005-0000-0000-00002CA00000}"/>
    <cellStyle name="常规 9 3 3 2 2 2 3 3" xfId="4286" xr:uid="{00000000-0005-0000-0000-00002DA00000}"/>
    <cellStyle name="常规 9 3 3 2 2 2 3 3 2" xfId="10430" xr:uid="{00000000-0005-0000-0000-00002EA00000}"/>
    <cellStyle name="常规 9 3 3 2 2 2 3 3 2 2" xfId="22718" xr:uid="{00000000-0005-0000-0000-00002FA00000}"/>
    <cellStyle name="常规 9 3 3 2 2 2 3 3 2 2 2" xfId="47294" xr:uid="{00000000-0005-0000-0000-000030A00000}"/>
    <cellStyle name="常规 9 3 3 2 2 2 3 3 2 3" xfId="35006" xr:uid="{00000000-0005-0000-0000-000031A00000}"/>
    <cellStyle name="常规 9 3 3 2 2 2 3 3 3" xfId="16574" xr:uid="{00000000-0005-0000-0000-000032A00000}"/>
    <cellStyle name="常规 9 3 3 2 2 2 3 3 3 2" xfId="41150" xr:uid="{00000000-0005-0000-0000-000033A00000}"/>
    <cellStyle name="常规 9 3 3 2 2 2 3 3 4" xfId="28862" xr:uid="{00000000-0005-0000-0000-000034A00000}"/>
    <cellStyle name="常规 9 3 3 2 2 2 3 4" xfId="7358" xr:uid="{00000000-0005-0000-0000-000035A00000}"/>
    <cellStyle name="常规 9 3 3 2 2 2 3 4 2" xfId="19646" xr:uid="{00000000-0005-0000-0000-000036A00000}"/>
    <cellStyle name="常规 9 3 3 2 2 2 3 4 2 2" xfId="44222" xr:uid="{00000000-0005-0000-0000-000037A00000}"/>
    <cellStyle name="常规 9 3 3 2 2 2 3 4 3" xfId="31934" xr:uid="{00000000-0005-0000-0000-000038A00000}"/>
    <cellStyle name="常规 9 3 3 2 2 2 3 5" xfId="13502" xr:uid="{00000000-0005-0000-0000-000039A00000}"/>
    <cellStyle name="常规 9 3 3 2 2 2 3 5 2" xfId="38078" xr:uid="{00000000-0005-0000-0000-00003AA00000}"/>
    <cellStyle name="常规 9 3 3 2 2 2 3 6" xfId="25790" xr:uid="{00000000-0005-0000-0000-00003BA00000}"/>
    <cellStyle name="常规 9 3 3 2 2 2 4" xfId="1978" xr:uid="{00000000-0005-0000-0000-00003CA00000}"/>
    <cellStyle name="常规 9 3 3 2 2 2 4 2" xfId="5054" xr:uid="{00000000-0005-0000-0000-00003DA00000}"/>
    <cellStyle name="常规 9 3 3 2 2 2 4 2 2" xfId="11198" xr:uid="{00000000-0005-0000-0000-00003EA00000}"/>
    <cellStyle name="常规 9 3 3 2 2 2 4 2 2 2" xfId="23486" xr:uid="{00000000-0005-0000-0000-00003FA00000}"/>
    <cellStyle name="常规 9 3 3 2 2 2 4 2 2 2 2" xfId="48062" xr:uid="{00000000-0005-0000-0000-000040A00000}"/>
    <cellStyle name="常规 9 3 3 2 2 2 4 2 2 3" xfId="35774" xr:uid="{00000000-0005-0000-0000-000041A00000}"/>
    <cellStyle name="常规 9 3 3 2 2 2 4 2 3" xfId="17342" xr:uid="{00000000-0005-0000-0000-000042A00000}"/>
    <cellStyle name="常规 9 3 3 2 2 2 4 2 3 2" xfId="41918" xr:uid="{00000000-0005-0000-0000-000043A00000}"/>
    <cellStyle name="常规 9 3 3 2 2 2 4 2 4" xfId="29630" xr:uid="{00000000-0005-0000-0000-000044A00000}"/>
    <cellStyle name="常规 9 3 3 2 2 2 4 3" xfId="8126" xr:uid="{00000000-0005-0000-0000-000045A00000}"/>
    <cellStyle name="常规 9 3 3 2 2 2 4 3 2" xfId="20414" xr:uid="{00000000-0005-0000-0000-000046A00000}"/>
    <cellStyle name="常规 9 3 3 2 2 2 4 3 2 2" xfId="44990" xr:uid="{00000000-0005-0000-0000-000047A00000}"/>
    <cellStyle name="常规 9 3 3 2 2 2 4 3 3" xfId="32702" xr:uid="{00000000-0005-0000-0000-000048A00000}"/>
    <cellStyle name="常规 9 3 3 2 2 2 4 4" xfId="14270" xr:uid="{00000000-0005-0000-0000-000049A00000}"/>
    <cellStyle name="常规 9 3 3 2 2 2 4 4 2" xfId="38846" xr:uid="{00000000-0005-0000-0000-00004AA00000}"/>
    <cellStyle name="常规 9 3 3 2 2 2 4 5" xfId="26558" xr:uid="{00000000-0005-0000-0000-00004BA00000}"/>
    <cellStyle name="常规 9 3 3 2 2 2 5" xfId="3518" xr:uid="{00000000-0005-0000-0000-00004CA00000}"/>
    <cellStyle name="常规 9 3 3 2 2 2 5 2" xfId="9662" xr:uid="{00000000-0005-0000-0000-00004DA00000}"/>
    <cellStyle name="常规 9 3 3 2 2 2 5 2 2" xfId="21950" xr:uid="{00000000-0005-0000-0000-00004EA00000}"/>
    <cellStyle name="常规 9 3 3 2 2 2 5 2 2 2" xfId="46526" xr:uid="{00000000-0005-0000-0000-00004FA00000}"/>
    <cellStyle name="常规 9 3 3 2 2 2 5 2 3" xfId="34238" xr:uid="{00000000-0005-0000-0000-000050A00000}"/>
    <cellStyle name="常规 9 3 3 2 2 2 5 3" xfId="15806" xr:uid="{00000000-0005-0000-0000-000051A00000}"/>
    <cellStyle name="常规 9 3 3 2 2 2 5 3 2" xfId="40382" xr:uid="{00000000-0005-0000-0000-000052A00000}"/>
    <cellStyle name="常规 9 3 3 2 2 2 5 4" xfId="28094" xr:uid="{00000000-0005-0000-0000-000053A00000}"/>
    <cellStyle name="常规 9 3 3 2 2 2 6" xfId="6590" xr:uid="{00000000-0005-0000-0000-000054A00000}"/>
    <cellStyle name="常规 9 3 3 2 2 2 6 2" xfId="18878" xr:uid="{00000000-0005-0000-0000-000055A00000}"/>
    <cellStyle name="常规 9 3 3 2 2 2 6 2 2" xfId="43454" xr:uid="{00000000-0005-0000-0000-000056A00000}"/>
    <cellStyle name="常规 9 3 3 2 2 2 6 3" xfId="31166" xr:uid="{00000000-0005-0000-0000-000057A00000}"/>
    <cellStyle name="常规 9 3 3 2 2 2 7" xfId="12734" xr:uid="{00000000-0005-0000-0000-000058A00000}"/>
    <cellStyle name="常规 9 3 3 2 2 2 7 2" xfId="37310" xr:uid="{00000000-0005-0000-0000-000059A00000}"/>
    <cellStyle name="常规 9 3 3 2 2 2 8" xfId="25022" xr:uid="{00000000-0005-0000-0000-00005AA00000}"/>
    <cellStyle name="常规 9 3 3 2 2 3" xfId="634" xr:uid="{00000000-0005-0000-0000-00005BA00000}"/>
    <cellStyle name="常规 9 3 3 2 2 3 2" xfId="1402" xr:uid="{00000000-0005-0000-0000-00005CA00000}"/>
    <cellStyle name="常规 9 3 3 2 2 3 2 2" xfId="2938" xr:uid="{00000000-0005-0000-0000-00005DA00000}"/>
    <cellStyle name="常规 9 3 3 2 2 3 2 2 2" xfId="6014" xr:uid="{00000000-0005-0000-0000-00005EA00000}"/>
    <cellStyle name="常规 9 3 3 2 2 3 2 2 2 2" xfId="12158" xr:uid="{00000000-0005-0000-0000-00005FA00000}"/>
    <cellStyle name="常规 9 3 3 2 2 3 2 2 2 2 2" xfId="24446" xr:uid="{00000000-0005-0000-0000-000060A00000}"/>
    <cellStyle name="常规 9 3 3 2 2 3 2 2 2 2 2 2" xfId="49022" xr:uid="{00000000-0005-0000-0000-000061A00000}"/>
    <cellStyle name="常规 9 3 3 2 2 3 2 2 2 2 3" xfId="36734" xr:uid="{00000000-0005-0000-0000-000062A00000}"/>
    <cellStyle name="常规 9 3 3 2 2 3 2 2 2 3" xfId="18302" xr:uid="{00000000-0005-0000-0000-000063A00000}"/>
    <cellStyle name="常规 9 3 3 2 2 3 2 2 2 3 2" xfId="42878" xr:uid="{00000000-0005-0000-0000-000064A00000}"/>
    <cellStyle name="常规 9 3 3 2 2 3 2 2 2 4" xfId="30590" xr:uid="{00000000-0005-0000-0000-000065A00000}"/>
    <cellStyle name="常规 9 3 3 2 2 3 2 2 3" xfId="9086" xr:uid="{00000000-0005-0000-0000-000066A00000}"/>
    <cellStyle name="常规 9 3 3 2 2 3 2 2 3 2" xfId="21374" xr:uid="{00000000-0005-0000-0000-000067A00000}"/>
    <cellStyle name="常规 9 3 3 2 2 3 2 2 3 2 2" xfId="45950" xr:uid="{00000000-0005-0000-0000-000068A00000}"/>
    <cellStyle name="常规 9 3 3 2 2 3 2 2 3 3" xfId="33662" xr:uid="{00000000-0005-0000-0000-000069A00000}"/>
    <cellStyle name="常规 9 3 3 2 2 3 2 2 4" xfId="15230" xr:uid="{00000000-0005-0000-0000-00006AA00000}"/>
    <cellStyle name="常规 9 3 3 2 2 3 2 2 4 2" xfId="39806" xr:uid="{00000000-0005-0000-0000-00006BA00000}"/>
    <cellStyle name="常规 9 3 3 2 2 3 2 2 5" xfId="27518" xr:uid="{00000000-0005-0000-0000-00006CA00000}"/>
    <cellStyle name="常规 9 3 3 2 2 3 2 3" xfId="4478" xr:uid="{00000000-0005-0000-0000-00006DA00000}"/>
    <cellStyle name="常规 9 3 3 2 2 3 2 3 2" xfId="10622" xr:uid="{00000000-0005-0000-0000-00006EA00000}"/>
    <cellStyle name="常规 9 3 3 2 2 3 2 3 2 2" xfId="22910" xr:uid="{00000000-0005-0000-0000-00006FA00000}"/>
    <cellStyle name="常规 9 3 3 2 2 3 2 3 2 2 2" xfId="47486" xr:uid="{00000000-0005-0000-0000-000070A00000}"/>
    <cellStyle name="常规 9 3 3 2 2 3 2 3 2 3" xfId="35198" xr:uid="{00000000-0005-0000-0000-000071A00000}"/>
    <cellStyle name="常规 9 3 3 2 2 3 2 3 3" xfId="16766" xr:uid="{00000000-0005-0000-0000-000072A00000}"/>
    <cellStyle name="常规 9 3 3 2 2 3 2 3 3 2" xfId="41342" xr:uid="{00000000-0005-0000-0000-000073A00000}"/>
    <cellStyle name="常规 9 3 3 2 2 3 2 3 4" xfId="29054" xr:uid="{00000000-0005-0000-0000-000074A00000}"/>
    <cellStyle name="常规 9 3 3 2 2 3 2 4" xfId="7550" xr:uid="{00000000-0005-0000-0000-000075A00000}"/>
    <cellStyle name="常规 9 3 3 2 2 3 2 4 2" xfId="19838" xr:uid="{00000000-0005-0000-0000-000076A00000}"/>
    <cellStyle name="常规 9 3 3 2 2 3 2 4 2 2" xfId="44414" xr:uid="{00000000-0005-0000-0000-000077A00000}"/>
    <cellStyle name="常规 9 3 3 2 2 3 2 4 3" xfId="32126" xr:uid="{00000000-0005-0000-0000-000078A00000}"/>
    <cellStyle name="常规 9 3 3 2 2 3 2 5" xfId="13694" xr:uid="{00000000-0005-0000-0000-000079A00000}"/>
    <cellStyle name="常规 9 3 3 2 2 3 2 5 2" xfId="38270" xr:uid="{00000000-0005-0000-0000-00007AA00000}"/>
    <cellStyle name="常规 9 3 3 2 2 3 2 6" xfId="25982" xr:uid="{00000000-0005-0000-0000-00007BA00000}"/>
    <cellStyle name="常规 9 3 3 2 2 3 3" xfId="2170" xr:uid="{00000000-0005-0000-0000-00007CA00000}"/>
    <cellStyle name="常规 9 3 3 2 2 3 3 2" xfId="5246" xr:uid="{00000000-0005-0000-0000-00007DA00000}"/>
    <cellStyle name="常规 9 3 3 2 2 3 3 2 2" xfId="11390" xr:uid="{00000000-0005-0000-0000-00007EA00000}"/>
    <cellStyle name="常规 9 3 3 2 2 3 3 2 2 2" xfId="23678" xr:uid="{00000000-0005-0000-0000-00007FA00000}"/>
    <cellStyle name="常规 9 3 3 2 2 3 3 2 2 2 2" xfId="48254" xr:uid="{00000000-0005-0000-0000-000080A00000}"/>
    <cellStyle name="常规 9 3 3 2 2 3 3 2 2 3" xfId="35966" xr:uid="{00000000-0005-0000-0000-000081A00000}"/>
    <cellStyle name="常规 9 3 3 2 2 3 3 2 3" xfId="17534" xr:uid="{00000000-0005-0000-0000-000082A00000}"/>
    <cellStyle name="常规 9 3 3 2 2 3 3 2 3 2" xfId="42110" xr:uid="{00000000-0005-0000-0000-000083A00000}"/>
    <cellStyle name="常规 9 3 3 2 2 3 3 2 4" xfId="29822" xr:uid="{00000000-0005-0000-0000-000084A00000}"/>
    <cellStyle name="常规 9 3 3 2 2 3 3 3" xfId="8318" xr:uid="{00000000-0005-0000-0000-000085A00000}"/>
    <cellStyle name="常规 9 3 3 2 2 3 3 3 2" xfId="20606" xr:uid="{00000000-0005-0000-0000-000086A00000}"/>
    <cellStyle name="常规 9 3 3 2 2 3 3 3 2 2" xfId="45182" xr:uid="{00000000-0005-0000-0000-000087A00000}"/>
    <cellStyle name="常规 9 3 3 2 2 3 3 3 3" xfId="32894" xr:uid="{00000000-0005-0000-0000-000088A00000}"/>
    <cellStyle name="常规 9 3 3 2 2 3 3 4" xfId="14462" xr:uid="{00000000-0005-0000-0000-000089A00000}"/>
    <cellStyle name="常规 9 3 3 2 2 3 3 4 2" xfId="39038" xr:uid="{00000000-0005-0000-0000-00008AA00000}"/>
    <cellStyle name="常规 9 3 3 2 2 3 3 5" xfId="26750" xr:uid="{00000000-0005-0000-0000-00008BA00000}"/>
    <cellStyle name="常规 9 3 3 2 2 3 4" xfId="3710" xr:uid="{00000000-0005-0000-0000-00008CA00000}"/>
    <cellStyle name="常规 9 3 3 2 2 3 4 2" xfId="9854" xr:uid="{00000000-0005-0000-0000-00008DA00000}"/>
    <cellStyle name="常规 9 3 3 2 2 3 4 2 2" xfId="22142" xr:uid="{00000000-0005-0000-0000-00008EA00000}"/>
    <cellStyle name="常规 9 3 3 2 2 3 4 2 2 2" xfId="46718" xr:uid="{00000000-0005-0000-0000-00008FA00000}"/>
    <cellStyle name="常规 9 3 3 2 2 3 4 2 3" xfId="34430" xr:uid="{00000000-0005-0000-0000-000090A00000}"/>
    <cellStyle name="常规 9 3 3 2 2 3 4 3" xfId="15998" xr:uid="{00000000-0005-0000-0000-000091A00000}"/>
    <cellStyle name="常规 9 3 3 2 2 3 4 3 2" xfId="40574" xr:uid="{00000000-0005-0000-0000-000092A00000}"/>
    <cellStyle name="常规 9 3 3 2 2 3 4 4" xfId="28286" xr:uid="{00000000-0005-0000-0000-000093A00000}"/>
    <cellStyle name="常规 9 3 3 2 2 3 5" xfId="6782" xr:uid="{00000000-0005-0000-0000-000094A00000}"/>
    <cellStyle name="常规 9 3 3 2 2 3 5 2" xfId="19070" xr:uid="{00000000-0005-0000-0000-000095A00000}"/>
    <cellStyle name="常规 9 3 3 2 2 3 5 2 2" xfId="43646" xr:uid="{00000000-0005-0000-0000-000096A00000}"/>
    <cellStyle name="常规 9 3 3 2 2 3 5 3" xfId="31358" xr:uid="{00000000-0005-0000-0000-000097A00000}"/>
    <cellStyle name="常规 9 3 3 2 2 3 6" xfId="12926" xr:uid="{00000000-0005-0000-0000-000098A00000}"/>
    <cellStyle name="常规 9 3 3 2 2 3 6 2" xfId="37502" xr:uid="{00000000-0005-0000-0000-000099A00000}"/>
    <cellStyle name="常规 9 3 3 2 2 3 7" xfId="25214" xr:uid="{00000000-0005-0000-0000-00009AA00000}"/>
    <cellStyle name="常规 9 3 3 2 2 4" xfId="1018" xr:uid="{00000000-0005-0000-0000-00009BA00000}"/>
    <cellStyle name="常规 9 3 3 2 2 4 2" xfId="2554" xr:uid="{00000000-0005-0000-0000-00009CA00000}"/>
    <cellStyle name="常规 9 3 3 2 2 4 2 2" xfId="5630" xr:uid="{00000000-0005-0000-0000-00009DA00000}"/>
    <cellStyle name="常规 9 3 3 2 2 4 2 2 2" xfId="11774" xr:uid="{00000000-0005-0000-0000-00009EA00000}"/>
    <cellStyle name="常规 9 3 3 2 2 4 2 2 2 2" xfId="24062" xr:uid="{00000000-0005-0000-0000-00009FA00000}"/>
    <cellStyle name="常规 9 3 3 2 2 4 2 2 2 2 2" xfId="48638" xr:uid="{00000000-0005-0000-0000-0000A0A00000}"/>
    <cellStyle name="常规 9 3 3 2 2 4 2 2 2 3" xfId="36350" xr:uid="{00000000-0005-0000-0000-0000A1A00000}"/>
    <cellStyle name="常规 9 3 3 2 2 4 2 2 3" xfId="17918" xr:uid="{00000000-0005-0000-0000-0000A2A00000}"/>
    <cellStyle name="常规 9 3 3 2 2 4 2 2 3 2" xfId="42494" xr:uid="{00000000-0005-0000-0000-0000A3A00000}"/>
    <cellStyle name="常规 9 3 3 2 2 4 2 2 4" xfId="30206" xr:uid="{00000000-0005-0000-0000-0000A4A00000}"/>
    <cellStyle name="常规 9 3 3 2 2 4 2 3" xfId="8702" xr:uid="{00000000-0005-0000-0000-0000A5A00000}"/>
    <cellStyle name="常规 9 3 3 2 2 4 2 3 2" xfId="20990" xr:uid="{00000000-0005-0000-0000-0000A6A00000}"/>
    <cellStyle name="常规 9 3 3 2 2 4 2 3 2 2" xfId="45566" xr:uid="{00000000-0005-0000-0000-0000A7A00000}"/>
    <cellStyle name="常规 9 3 3 2 2 4 2 3 3" xfId="33278" xr:uid="{00000000-0005-0000-0000-0000A8A00000}"/>
    <cellStyle name="常规 9 3 3 2 2 4 2 4" xfId="14846" xr:uid="{00000000-0005-0000-0000-0000A9A00000}"/>
    <cellStyle name="常规 9 3 3 2 2 4 2 4 2" xfId="39422" xr:uid="{00000000-0005-0000-0000-0000AAA00000}"/>
    <cellStyle name="常规 9 3 3 2 2 4 2 5" xfId="27134" xr:uid="{00000000-0005-0000-0000-0000ABA00000}"/>
    <cellStyle name="常规 9 3 3 2 2 4 3" xfId="4094" xr:uid="{00000000-0005-0000-0000-0000ACA00000}"/>
    <cellStyle name="常规 9 3 3 2 2 4 3 2" xfId="10238" xr:uid="{00000000-0005-0000-0000-0000ADA00000}"/>
    <cellStyle name="常规 9 3 3 2 2 4 3 2 2" xfId="22526" xr:uid="{00000000-0005-0000-0000-0000AEA00000}"/>
    <cellStyle name="常规 9 3 3 2 2 4 3 2 2 2" xfId="47102" xr:uid="{00000000-0005-0000-0000-0000AFA00000}"/>
    <cellStyle name="常规 9 3 3 2 2 4 3 2 3" xfId="34814" xr:uid="{00000000-0005-0000-0000-0000B0A00000}"/>
    <cellStyle name="常规 9 3 3 2 2 4 3 3" xfId="16382" xr:uid="{00000000-0005-0000-0000-0000B1A00000}"/>
    <cellStyle name="常规 9 3 3 2 2 4 3 3 2" xfId="40958" xr:uid="{00000000-0005-0000-0000-0000B2A00000}"/>
    <cellStyle name="常规 9 3 3 2 2 4 3 4" xfId="28670" xr:uid="{00000000-0005-0000-0000-0000B3A00000}"/>
    <cellStyle name="常规 9 3 3 2 2 4 4" xfId="7166" xr:uid="{00000000-0005-0000-0000-0000B4A00000}"/>
    <cellStyle name="常规 9 3 3 2 2 4 4 2" xfId="19454" xr:uid="{00000000-0005-0000-0000-0000B5A00000}"/>
    <cellStyle name="常规 9 3 3 2 2 4 4 2 2" xfId="44030" xr:uid="{00000000-0005-0000-0000-0000B6A00000}"/>
    <cellStyle name="常规 9 3 3 2 2 4 4 3" xfId="31742" xr:uid="{00000000-0005-0000-0000-0000B7A00000}"/>
    <cellStyle name="常规 9 3 3 2 2 4 5" xfId="13310" xr:uid="{00000000-0005-0000-0000-0000B8A00000}"/>
    <cellStyle name="常规 9 3 3 2 2 4 5 2" xfId="37886" xr:uid="{00000000-0005-0000-0000-0000B9A00000}"/>
    <cellStyle name="常规 9 3 3 2 2 4 6" xfId="25598" xr:uid="{00000000-0005-0000-0000-0000BAA00000}"/>
    <cellStyle name="常规 9 3 3 2 2 5" xfId="1786" xr:uid="{00000000-0005-0000-0000-0000BBA00000}"/>
    <cellStyle name="常规 9 3 3 2 2 5 2" xfId="4862" xr:uid="{00000000-0005-0000-0000-0000BCA00000}"/>
    <cellStyle name="常规 9 3 3 2 2 5 2 2" xfId="11006" xr:uid="{00000000-0005-0000-0000-0000BDA00000}"/>
    <cellStyle name="常规 9 3 3 2 2 5 2 2 2" xfId="23294" xr:uid="{00000000-0005-0000-0000-0000BEA00000}"/>
    <cellStyle name="常规 9 3 3 2 2 5 2 2 2 2" xfId="47870" xr:uid="{00000000-0005-0000-0000-0000BFA00000}"/>
    <cellStyle name="常规 9 3 3 2 2 5 2 2 3" xfId="35582" xr:uid="{00000000-0005-0000-0000-0000C0A00000}"/>
    <cellStyle name="常规 9 3 3 2 2 5 2 3" xfId="17150" xr:uid="{00000000-0005-0000-0000-0000C1A00000}"/>
    <cellStyle name="常规 9 3 3 2 2 5 2 3 2" xfId="41726" xr:uid="{00000000-0005-0000-0000-0000C2A00000}"/>
    <cellStyle name="常规 9 3 3 2 2 5 2 4" xfId="29438" xr:uid="{00000000-0005-0000-0000-0000C3A00000}"/>
    <cellStyle name="常规 9 3 3 2 2 5 3" xfId="7934" xr:uid="{00000000-0005-0000-0000-0000C4A00000}"/>
    <cellStyle name="常规 9 3 3 2 2 5 3 2" xfId="20222" xr:uid="{00000000-0005-0000-0000-0000C5A00000}"/>
    <cellStyle name="常规 9 3 3 2 2 5 3 2 2" xfId="44798" xr:uid="{00000000-0005-0000-0000-0000C6A00000}"/>
    <cellStyle name="常规 9 3 3 2 2 5 3 3" xfId="32510" xr:uid="{00000000-0005-0000-0000-0000C7A00000}"/>
    <cellStyle name="常规 9 3 3 2 2 5 4" xfId="14078" xr:uid="{00000000-0005-0000-0000-0000C8A00000}"/>
    <cellStyle name="常规 9 3 3 2 2 5 4 2" xfId="38654" xr:uid="{00000000-0005-0000-0000-0000C9A00000}"/>
    <cellStyle name="常规 9 3 3 2 2 5 5" xfId="26366" xr:uid="{00000000-0005-0000-0000-0000CAA00000}"/>
    <cellStyle name="常规 9 3 3 2 2 6" xfId="3326" xr:uid="{00000000-0005-0000-0000-0000CBA00000}"/>
    <cellStyle name="常规 9 3 3 2 2 6 2" xfId="9470" xr:uid="{00000000-0005-0000-0000-0000CCA00000}"/>
    <cellStyle name="常规 9 3 3 2 2 6 2 2" xfId="21758" xr:uid="{00000000-0005-0000-0000-0000CDA00000}"/>
    <cellStyle name="常规 9 3 3 2 2 6 2 2 2" xfId="46334" xr:uid="{00000000-0005-0000-0000-0000CEA00000}"/>
    <cellStyle name="常规 9 3 3 2 2 6 2 3" xfId="34046" xr:uid="{00000000-0005-0000-0000-0000CFA00000}"/>
    <cellStyle name="常规 9 3 3 2 2 6 3" xfId="15614" xr:uid="{00000000-0005-0000-0000-0000D0A00000}"/>
    <cellStyle name="常规 9 3 3 2 2 6 3 2" xfId="40190" xr:uid="{00000000-0005-0000-0000-0000D1A00000}"/>
    <cellStyle name="常规 9 3 3 2 2 6 4" xfId="27902" xr:uid="{00000000-0005-0000-0000-0000D2A00000}"/>
    <cellStyle name="常规 9 3 3 2 2 7" xfId="6398" xr:uid="{00000000-0005-0000-0000-0000D3A00000}"/>
    <cellStyle name="常规 9 3 3 2 2 7 2" xfId="18686" xr:uid="{00000000-0005-0000-0000-0000D4A00000}"/>
    <cellStyle name="常规 9 3 3 2 2 7 2 2" xfId="43262" xr:uid="{00000000-0005-0000-0000-0000D5A00000}"/>
    <cellStyle name="常规 9 3 3 2 2 7 3" xfId="30974" xr:uid="{00000000-0005-0000-0000-0000D6A00000}"/>
    <cellStyle name="常规 9 3 3 2 2 8" xfId="12542" xr:uid="{00000000-0005-0000-0000-0000D7A00000}"/>
    <cellStyle name="常规 9 3 3 2 2 8 2" xfId="37118" xr:uid="{00000000-0005-0000-0000-0000D8A00000}"/>
    <cellStyle name="常规 9 3 3 2 2 9" xfId="24830" xr:uid="{00000000-0005-0000-0000-0000D9A00000}"/>
    <cellStyle name="常规 9 3 3 2 3" xfId="314" xr:uid="{00000000-0005-0000-0000-0000DAA00000}"/>
    <cellStyle name="常规 9 3 3 2 3 2" xfId="506" xr:uid="{00000000-0005-0000-0000-0000DBA00000}"/>
    <cellStyle name="常规 9 3 3 2 3 2 2" xfId="890" xr:uid="{00000000-0005-0000-0000-0000DCA00000}"/>
    <cellStyle name="常规 9 3 3 2 3 2 2 2" xfId="1658" xr:uid="{00000000-0005-0000-0000-0000DDA00000}"/>
    <cellStyle name="常规 9 3 3 2 3 2 2 2 2" xfId="3194" xr:uid="{00000000-0005-0000-0000-0000DEA00000}"/>
    <cellStyle name="常规 9 3 3 2 3 2 2 2 2 2" xfId="6270" xr:uid="{00000000-0005-0000-0000-0000DFA00000}"/>
    <cellStyle name="常规 9 3 3 2 3 2 2 2 2 2 2" xfId="12414" xr:uid="{00000000-0005-0000-0000-0000E0A00000}"/>
    <cellStyle name="常规 9 3 3 2 3 2 2 2 2 2 2 2" xfId="24702" xr:uid="{00000000-0005-0000-0000-0000E1A00000}"/>
    <cellStyle name="常规 9 3 3 2 3 2 2 2 2 2 2 2 2" xfId="49278" xr:uid="{00000000-0005-0000-0000-0000E2A00000}"/>
    <cellStyle name="常规 9 3 3 2 3 2 2 2 2 2 2 3" xfId="36990" xr:uid="{00000000-0005-0000-0000-0000E3A00000}"/>
    <cellStyle name="常规 9 3 3 2 3 2 2 2 2 2 3" xfId="18558" xr:uid="{00000000-0005-0000-0000-0000E4A00000}"/>
    <cellStyle name="常规 9 3 3 2 3 2 2 2 2 2 3 2" xfId="43134" xr:uid="{00000000-0005-0000-0000-0000E5A00000}"/>
    <cellStyle name="常规 9 3 3 2 3 2 2 2 2 2 4" xfId="30846" xr:uid="{00000000-0005-0000-0000-0000E6A00000}"/>
    <cellStyle name="常规 9 3 3 2 3 2 2 2 2 3" xfId="9342" xr:uid="{00000000-0005-0000-0000-0000E7A00000}"/>
    <cellStyle name="常规 9 3 3 2 3 2 2 2 2 3 2" xfId="21630" xr:uid="{00000000-0005-0000-0000-0000E8A00000}"/>
    <cellStyle name="常规 9 3 3 2 3 2 2 2 2 3 2 2" xfId="46206" xr:uid="{00000000-0005-0000-0000-0000E9A00000}"/>
    <cellStyle name="常规 9 3 3 2 3 2 2 2 2 3 3" xfId="33918" xr:uid="{00000000-0005-0000-0000-0000EAA00000}"/>
    <cellStyle name="常规 9 3 3 2 3 2 2 2 2 4" xfId="15486" xr:uid="{00000000-0005-0000-0000-0000EBA00000}"/>
    <cellStyle name="常规 9 3 3 2 3 2 2 2 2 4 2" xfId="40062" xr:uid="{00000000-0005-0000-0000-0000ECA00000}"/>
    <cellStyle name="常规 9 3 3 2 3 2 2 2 2 5" xfId="27774" xr:uid="{00000000-0005-0000-0000-0000EDA00000}"/>
    <cellStyle name="常规 9 3 3 2 3 2 2 2 3" xfId="4734" xr:uid="{00000000-0005-0000-0000-0000EEA00000}"/>
    <cellStyle name="常规 9 3 3 2 3 2 2 2 3 2" xfId="10878" xr:uid="{00000000-0005-0000-0000-0000EFA00000}"/>
    <cellStyle name="常规 9 3 3 2 3 2 2 2 3 2 2" xfId="23166" xr:uid="{00000000-0005-0000-0000-0000F0A00000}"/>
    <cellStyle name="常规 9 3 3 2 3 2 2 2 3 2 2 2" xfId="47742" xr:uid="{00000000-0005-0000-0000-0000F1A00000}"/>
    <cellStyle name="常规 9 3 3 2 3 2 2 2 3 2 3" xfId="35454" xr:uid="{00000000-0005-0000-0000-0000F2A00000}"/>
    <cellStyle name="常规 9 3 3 2 3 2 2 2 3 3" xfId="17022" xr:uid="{00000000-0005-0000-0000-0000F3A00000}"/>
    <cellStyle name="常规 9 3 3 2 3 2 2 2 3 3 2" xfId="41598" xr:uid="{00000000-0005-0000-0000-0000F4A00000}"/>
    <cellStyle name="常规 9 3 3 2 3 2 2 2 3 4" xfId="29310" xr:uid="{00000000-0005-0000-0000-0000F5A00000}"/>
    <cellStyle name="常规 9 3 3 2 3 2 2 2 4" xfId="7806" xr:uid="{00000000-0005-0000-0000-0000F6A00000}"/>
    <cellStyle name="常规 9 3 3 2 3 2 2 2 4 2" xfId="20094" xr:uid="{00000000-0005-0000-0000-0000F7A00000}"/>
    <cellStyle name="常规 9 3 3 2 3 2 2 2 4 2 2" xfId="44670" xr:uid="{00000000-0005-0000-0000-0000F8A00000}"/>
    <cellStyle name="常规 9 3 3 2 3 2 2 2 4 3" xfId="32382" xr:uid="{00000000-0005-0000-0000-0000F9A00000}"/>
    <cellStyle name="常规 9 3 3 2 3 2 2 2 5" xfId="13950" xr:uid="{00000000-0005-0000-0000-0000FAA00000}"/>
    <cellStyle name="常规 9 3 3 2 3 2 2 2 5 2" xfId="38526" xr:uid="{00000000-0005-0000-0000-0000FBA00000}"/>
    <cellStyle name="常规 9 3 3 2 3 2 2 2 6" xfId="26238" xr:uid="{00000000-0005-0000-0000-0000FCA00000}"/>
    <cellStyle name="常规 9 3 3 2 3 2 2 3" xfId="2426" xr:uid="{00000000-0005-0000-0000-0000FDA00000}"/>
    <cellStyle name="常规 9 3 3 2 3 2 2 3 2" xfId="5502" xr:uid="{00000000-0005-0000-0000-0000FEA00000}"/>
    <cellStyle name="常规 9 3 3 2 3 2 2 3 2 2" xfId="11646" xr:uid="{00000000-0005-0000-0000-0000FFA00000}"/>
    <cellStyle name="常规 9 3 3 2 3 2 2 3 2 2 2" xfId="23934" xr:uid="{00000000-0005-0000-0000-000000A10000}"/>
    <cellStyle name="常规 9 3 3 2 3 2 2 3 2 2 2 2" xfId="48510" xr:uid="{00000000-0005-0000-0000-000001A10000}"/>
    <cellStyle name="常规 9 3 3 2 3 2 2 3 2 2 3" xfId="36222" xr:uid="{00000000-0005-0000-0000-000002A10000}"/>
    <cellStyle name="常规 9 3 3 2 3 2 2 3 2 3" xfId="17790" xr:uid="{00000000-0005-0000-0000-000003A10000}"/>
    <cellStyle name="常规 9 3 3 2 3 2 2 3 2 3 2" xfId="42366" xr:uid="{00000000-0005-0000-0000-000004A10000}"/>
    <cellStyle name="常规 9 3 3 2 3 2 2 3 2 4" xfId="30078" xr:uid="{00000000-0005-0000-0000-000005A10000}"/>
    <cellStyle name="常规 9 3 3 2 3 2 2 3 3" xfId="8574" xr:uid="{00000000-0005-0000-0000-000006A10000}"/>
    <cellStyle name="常规 9 3 3 2 3 2 2 3 3 2" xfId="20862" xr:uid="{00000000-0005-0000-0000-000007A10000}"/>
    <cellStyle name="常规 9 3 3 2 3 2 2 3 3 2 2" xfId="45438" xr:uid="{00000000-0005-0000-0000-000008A10000}"/>
    <cellStyle name="常规 9 3 3 2 3 2 2 3 3 3" xfId="33150" xr:uid="{00000000-0005-0000-0000-000009A10000}"/>
    <cellStyle name="常规 9 3 3 2 3 2 2 3 4" xfId="14718" xr:uid="{00000000-0005-0000-0000-00000AA10000}"/>
    <cellStyle name="常规 9 3 3 2 3 2 2 3 4 2" xfId="39294" xr:uid="{00000000-0005-0000-0000-00000BA10000}"/>
    <cellStyle name="常规 9 3 3 2 3 2 2 3 5" xfId="27006" xr:uid="{00000000-0005-0000-0000-00000CA10000}"/>
    <cellStyle name="常规 9 3 3 2 3 2 2 4" xfId="3966" xr:uid="{00000000-0005-0000-0000-00000DA10000}"/>
    <cellStyle name="常规 9 3 3 2 3 2 2 4 2" xfId="10110" xr:uid="{00000000-0005-0000-0000-00000EA10000}"/>
    <cellStyle name="常规 9 3 3 2 3 2 2 4 2 2" xfId="22398" xr:uid="{00000000-0005-0000-0000-00000FA10000}"/>
    <cellStyle name="常规 9 3 3 2 3 2 2 4 2 2 2" xfId="46974" xr:uid="{00000000-0005-0000-0000-000010A10000}"/>
    <cellStyle name="常规 9 3 3 2 3 2 2 4 2 3" xfId="34686" xr:uid="{00000000-0005-0000-0000-000011A10000}"/>
    <cellStyle name="常规 9 3 3 2 3 2 2 4 3" xfId="16254" xr:uid="{00000000-0005-0000-0000-000012A10000}"/>
    <cellStyle name="常规 9 3 3 2 3 2 2 4 3 2" xfId="40830" xr:uid="{00000000-0005-0000-0000-000013A10000}"/>
    <cellStyle name="常规 9 3 3 2 3 2 2 4 4" xfId="28542" xr:uid="{00000000-0005-0000-0000-000014A10000}"/>
    <cellStyle name="常规 9 3 3 2 3 2 2 5" xfId="7038" xr:uid="{00000000-0005-0000-0000-000015A10000}"/>
    <cellStyle name="常规 9 3 3 2 3 2 2 5 2" xfId="19326" xr:uid="{00000000-0005-0000-0000-000016A10000}"/>
    <cellStyle name="常规 9 3 3 2 3 2 2 5 2 2" xfId="43902" xr:uid="{00000000-0005-0000-0000-000017A10000}"/>
    <cellStyle name="常规 9 3 3 2 3 2 2 5 3" xfId="31614" xr:uid="{00000000-0005-0000-0000-000018A10000}"/>
    <cellStyle name="常规 9 3 3 2 3 2 2 6" xfId="13182" xr:uid="{00000000-0005-0000-0000-000019A10000}"/>
    <cellStyle name="常规 9 3 3 2 3 2 2 6 2" xfId="37758" xr:uid="{00000000-0005-0000-0000-00001AA10000}"/>
    <cellStyle name="常规 9 3 3 2 3 2 2 7" xfId="25470" xr:uid="{00000000-0005-0000-0000-00001BA10000}"/>
    <cellStyle name="常规 9 3 3 2 3 2 3" xfId="1274" xr:uid="{00000000-0005-0000-0000-00001CA10000}"/>
    <cellStyle name="常规 9 3 3 2 3 2 3 2" xfId="2810" xr:uid="{00000000-0005-0000-0000-00001DA10000}"/>
    <cellStyle name="常规 9 3 3 2 3 2 3 2 2" xfId="5886" xr:uid="{00000000-0005-0000-0000-00001EA10000}"/>
    <cellStyle name="常规 9 3 3 2 3 2 3 2 2 2" xfId="12030" xr:uid="{00000000-0005-0000-0000-00001FA10000}"/>
    <cellStyle name="常规 9 3 3 2 3 2 3 2 2 2 2" xfId="24318" xr:uid="{00000000-0005-0000-0000-000020A10000}"/>
    <cellStyle name="常规 9 3 3 2 3 2 3 2 2 2 2 2" xfId="48894" xr:uid="{00000000-0005-0000-0000-000021A10000}"/>
    <cellStyle name="常规 9 3 3 2 3 2 3 2 2 2 3" xfId="36606" xr:uid="{00000000-0005-0000-0000-000022A10000}"/>
    <cellStyle name="常规 9 3 3 2 3 2 3 2 2 3" xfId="18174" xr:uid="{00000000-0005-0000-0000-000023A10000}"/>
    <cellStyle name="常规 9 3 3 2 3 2 3 2 2 3 2" xfId="42750" xr:uid="{00000000-0005-0000-0000-000024A10000}"/>
    <cellStyle name="常规 9 3 3 2 3 2 3 2 2 4" xfId="30462" xr:uid="{00000000-0005-0000-0000-000025A10000}"/>
    <cellStyle name="常规 9 3 3 2 3 2 3 2 3" xfId="8958" xr:uid="{00000000-0005-0000-0000-000026A10000}"/>
    <cellStyle name="常规 9 3 3 2 3 2 3 2 3 2" xfId="21246" xr:uid="{00000000-0005-0000-0000-000027A10000}"/>
    <cellStyle name="常规 9 3 3 2 3 2 3 2 3 2 2" xfId="45822" xr:uid="{00000000-0005-0000-0000-000028A10000}"/>
    <cellStyle name="常规 9 3 3 2 3 2 3 2 3 3" xfId="33534" xr:uid="{00000000-0005-0000-0000-000029A10000}"/>
    <cellStyle name="常规 9 3 3 2 3 2 3 2 4" xfId="15102" xr:uid="{00000000-0005-0000-0000-00002AA10000}"/>
    <cellStyle name="常规 9 3 3 2 3 2 3 2 4 2" xfId="39678" xr:uid="{00000000-0005-0000-0000-00002BA10000}"/>
    <cellStyle name="常规 9 3 3 2 3 2 3 2 5" xfId="27390" xr:uid="{00000000-0005-0000-0000-00002CA10000}"/>
    <cellStyle name="常规 9 3 3 2 3 2 3 3" xfId="4350" xr:uid="{00000000-0005-0000-0000-00002DA10000}"/>
    <cellStyle name="常规 9 3 3 2 3 2 3 3 2" xfId="10494" xr:uid="{00000000-0005-0000-0000-00002EA10000}"/>
    <cellStyle name="常规 9 3 3 2 3 2 3 3 2 2" xfId="22782" xr:uid="{00000000-0005-0000-0000-00002FA10000}"/>
    <cellStyle name="常规 9 3 3 2 3 2 3 3 2 2 2" xfId="47358" xr:uid="{00000000-0005-0000-0000-000030A10000}"/>
    <cellStyle name="常规 9 3 3 2 3 2 3 3 2 3" xfId="35070" xr:uid="{00000000-0005-0000-0000-000031A10000}"/>
    <cellStyle name="常规 9 3 3 2 3 2 3 3 3" xfId="16638" xr:uid="{00000000-0005-0000-0000-000032A10000}"/>
    <cellStyle name="常规 9 3 3 2 3 2 3 3 3 2" xfId="41214" xr:uid="{00000000-0005-0000-0000-000033A10000}"/>
    <cellStyle name="常规 9 3 3 2 3 2 3 3 4" xfId="28926" xr:uid="{00000000-0005-0000-0000-000034A10000}"/>
    <cellStyle name="常规 9 3 3 2 3 2 3 4" xfId="7422" xr:uid="{00000000-0005-0000-0000-000035A10000}"/>
    <cellStyle name="常规 9 3 3 2 3 2 3 4 2" xfId="19710" xr:uid="{00000000-0005-0000-0000-000036A10000}"/>
    <cellStyle name="常规 9 3 3 2 3 2 3 4 2 2" xfId="44286" xr:uid="{00000000-0005-0000-0000-000037A10000}"/>
    <cellStyle name="常规 9 3 3 2 3 2 3 4 3" xfId="31998" xr:uid="{00000000-0005-0000-0000-000038A10000}"/>
    <cellStyle name="常规 9 3 3 2 3 2 3 5" xfId="13566" xr:uid="{00000000-0005-0000-0000-000039A10000}"/>
    <cellStyle name="常规 9 3 3 2 3 2 3 5 2" xfId="38142" xr:uid="{00000000-0005-0000-0000-00003AA10000}"/>
    <cellStyle name="常规 9 3 3 2 3 2 3 6" xfId="25854" xr:uid="{00000000-0005-0000-0000-00003BA10000}"/>
    <cellStyle name="常规 9 3 3 2 3 2 4" xfId="2042" xr:uid="{00000000-0005-0000-0000-00003CA10000}"/>
    <cellStyle name="常规 9 3 3 2 3 2 4 2" xfId="5118" xr:uid="{00000000-0005-0000-0000-00003DA10000}"/>
    <cellStyle name="常规 9 3 3 2 3 2 4 2 2" xfId="11262" xr:uid="{00000000-0005-0000-0000-00003EA10000}"/>
    <cellStyle name="常规 9 3 3 2 3 2 4 2 2 2" xfId="23550" xr:uid="{00000000-0005-0000-0000-00003FA10000}"/>
    <cellStyle name="常规 9 3 3 2 3 2 4 2 2 2 2" xfId="48126" xr:uid="{00000000-0005-0000-0000-000040A10000}"/>
    <cellStyle name="常规 9 3 3 2 3 2 4 2 2 3" xfId="35838" xr:uid="{00000000-0005-0000-0000-000041A10000}"/>
    <cellStyle name="常规 9 3 3 2 3 2 4 2 3" xfId="17406" xr:uid="{00000000-0005-0000-0000-000042A10000}"/>
    <cellStyle name="常规 9 3 3 2 3 2 4 2 3 2" xfId="41982" xr:uid="{00000000-0005-0000-0000-000043A10000}"/>
    <cellStyle name="常规 9 3 3 2 3 2 4 2 4" xfId="29694" xr:uid="{00000000-0005-0000-0000-000044A10000}"/>
    <cellStyle name="常规 9 3 3 2 3 2 4 3" xfId="8190" xr:uid="{00000000-0005-0000-0000-000045A10000}"/>
    <cellStyle name="常规 9 3 3 2 3 2 4 3 2" xfId="20478" xr:uid="{00000000-0005-0000-0000-000046A10000}"/>
    <cellStyle name="常规 9 3 3 2 3 2 4 3 2 2" xfId="45054" xr:uid="{00000000-0005-0000-0000-000047A10000}"/>
    <cellStyle name="常规 9 3 3 2 3 2 4 3 3" xfId="32766" xr:uid="{00000000-0005-0000-0000-000048A10000}"/>
    <cellStyle name="常规 9 3 3 2 3 2 4 4" xfId="14334" xr:uid="{00000000-0005-0000-0000-000049A10000}"/>
    <cellStyle name="常规 9 3 3 2 3 2 4 4 2" xfId="38910" xr:uid="{00000000-0005-0000-0000-00004AA10000}"/>
    <cellStyle name="常规 9 3 3 2 3 2 4 5" xfId="26622" xr:uid="{00000000-0005-0000-0000-00004BA10000}"/>
    <cellStyle name="常规 9 3 3 2 3 2 5" xfId="3582" xr:uid="{00000000-0005-0000-0000-00004CA10000}"/>
    <cellStyle name="常规 9 3 3 2 3 2 5 2" xfId="9726" xr:uid="{00000000-0005-0000-0000-00004DA10000}"/>
    <cellStyle name="常规 9 3 3 2 3 2 5 2 2" xfId="22014" xr:uid="{00000000-0005-0000-0000-00004EA10000}"/>
    <cellStyle name="常规 9 3 3 2 3 2 5 2 2 2" xfId="46590" xr:uid="{00000000-0005-0000-0000-00004FA10000}"/>
    <cellStyle name="常规 9 3 3 2 3 2 5 2 3" xfId="34302" xr:uid="{00000000-0005-0000-0000-000050A10000}"/>
    <cellStyle name="常规 9 3 3 2 3 2 5 3" xfId="15870" xr:uid="{00000000-0005-0000-0000-000051A10000}"/>
    <cellStyle name="常规 9 3 3 2 3 2 5 3 2" xfId="40446" xr:uid="{00000000-0005-0000-0000-000052A10000}"/>
    <cellStyle name="常规 9 3 3 2 3 2 5 4" xfId="28158" xr:uid="{00000000-0005-0000-0000-000053A10000}"/>
    <cellStyle name="常规 9 3 3 2 3 2 6" xfId="6654" xr:uid="{00000000-0005-0000-0000-000054A10000}"/>
    <cellStyle name="常规 9 3 3 2 3 2 6 2" xfId="18942" xr:uid="{00000000-0005-0000-0000-000055A10000}"/>
    <cellStyle name="常规 9 3 3 2 3 2 6 2 2" xfId="43518" xr:uid="{00000000-0005-0000-0000-000056A10000}"/>
    <cellStyle name="常规 9 3 3 2 3 2 6 3" xfId="31230" xr:uid="{00000000-0005-0000-0000-000057A10000}"/>
    <cellStyle name="常规 9 3 3 2 3 2 7" xfId="12798" xr:uid="{00000000-0005-0000-0000-000058A10000}"/>
    <cellStyle name="常规 9 3 3 2 3 2 7 2" xfId="37374" xr:uid="{00000000-0005-0000-0000-000059A10000}"/>
    <cellStyle name="常规 9 3 3 2 3 2 8" xfId="25086" xr:uid="{00000000-0005-0000-0000-00005AA10000}"/>
    <cellStyle name="常规 9 3 3 2 3 3" xfId="698" xr:uid="{00000000-0005-0000-0000-00005BA10000}"/>
    <cellStyle name="常规 9 3 3 2 3 3 2" xfId="1466" xr:uid="{00000000-0005-0000-0000-00005CA10000}"/>
    <cellStyle name="常规 9 3 3 2 3 3 2 2" xfId="3002" xr:uid="{00000000-0005-0000-0000-00005DA10000}"/>
    <cellStyle name="常规 9 3 3 2 3 3 2 2 2" xfId="6078" xr:uid="{00000000-0005-0000-0000-00005EA10000}"/>
    <cellStyle name="常规 9 3 3 2 3 3 2 2 2 2" xfId="12222" xr:uid="{00000000-0005-0000-0000-00005FA10000}"/>
    <cellStyle name="常规 9 3 3 2 3 3 2 2 2 2 2" xfId="24510" xr:uid="{00000000-0005-0000-0000-000060A10000}"/>
    <cellStyle name="常规 9 3 3 2 3 3 2 2 2 2 2 2" xfId="49086" xr:uid="{00000000-0005-0000-0000-000061A10000}"/>
    <cellStyle name="常规 9 3 3 2 3 3 2 2 2 2 3" xfId="36798" xr:uid="{00000000-0005-0000-0000-000062A10000}"/>
    <cellStyle name="常规 9 3 3 2 3 3 2 2 2 3" xfId="18366" xr:uid="{00000000-0005-0000-0000-000063A10000}"/>
    <cellStyle name="常规 9 3 3 2 3 3 2 2 2 3 2" xfId="42942" xr:uid="{00000000-0005-0000-0000-000064A10000}"/>
    <cellStyle name="常规 9 3 3 2 3 3 2 2 2 4" xfId="30654" xr:uid="{00000000-0005-0000-0000-000065A10000}"/>
    <cellStyle name="常规 9 3 3 2 3 3 2 2 3" xfId="9150" xr:uid="{00000000-0005-0000-0000-000066A10000}"/>
    <cellStyle name="常规 9 3 3 2 3 3 2 2 3 2" xfId="21438" xr:uid="{00000000-0005-0000-0000-000067A10000}"/>
    <cellStyle name="常规 9 3 3 2 3 3 2 2 3 2 2" xfId="46014" xr:uid="{00000000-0005-0000-0000-000068A10000}"/>
    <cellStyle name="常规 9 3 3 2 3 3 2 2 3 3" xfId="33726" xr:uid="{00000000-0005-0000-0000-000069A10000}"/>
    <cellStyle name="常规 9 3 3 2 3 3 2 2 4" xfId="15294" xr:uid="{00000000-0005-0000-0000-00006AA10000}"/>
    <cellStyle name="常规 9 3 3 2 3 3 2 2 4 2" xfId="39870" xr:uid="{00000000-0005-0000-0000-00006BA10000}"/>
    <cellStyle name="常规 9 3 3 2 3 3 2 2 5" xfId="27582" xr:uid="{00000000-0005-0000-0000-00006CA10000}"/>
    <cellStyle name="常规 9 3 3 2 3 3 2 3" xfId="4542" xr:uid="{00000000-0005-0000-0000-00006DA10000}"/>
    <cellStyle name="常规 9 3 3 2 3 3 2 3 2" xfId="10686" xr:uid="{00000000-0005-0000-0000-00006EA10000}"/>
    <cellStyle name="常规 9 3 3 2 3 3 2 3 2 2" xfId="22974" xr:uid="{00000000-0005-0000-0000-00006FA10000}"/>
    <cellStyle name="常规 9 3 3 2 3 3 2 3 2 2 2" xfId="47550" xr:uid="{00000000-0005-0000-0000-000070A10000}"/>
    <cellStyle name="常规 9 3 3 2 3 3 2 3 2 3" xfId="35262" xr:uid="{00000000-0005-0000-0000-000071A10000}"/>
    <cellStyle name="常规 9 3 3 2 3 3 2 3 3" xfId="16830" xr:uid="{00000000-0005-0000-0000-000072A10000}"/>
    <cellStyle name="常规 9 3 3 2 3 3 2 3 3 2" xfId="41406" xr:uid="{00000000-0005-0000-0000-000073A10000}"/>
    <cellStyle name="常规 9 3 3 2 3 3 2 3 4" xfId="29118" xr:uid="{00000000-0005-0000-0000-000074A10000}"/>
    <cellStyle name="常规 9 3 3 2 3 3 2 4" xfId="7614" xr:uid="{00000000-0005-0000-0000-000075A10000}"/>
    <cellStyle name="常规 9 3 3 2 3 3 2 4 2" xfId="19902" xr:uid="{00000000-0005-0000-0000-000076A10000}"/>
    <cellStyle name="常规 9 3 3 2 3 3 2 4 2 2" xfId="44478" xr:uid="{00000000-0005-0000-0000-000077A10000}"/>
    <cellStyle name="常规 9 3 3 2 3 3 2 4 3" xfId="32190" xr:uid="{00000000-0005-0000-0000-000078A10000}"/>
    <cellStyle name="常规 9 3 3 2 3 3 2 5" xfId="13758" xr:uid="{00000000-0005-0000-0000-000079A10000}"/>
    <cellStyle name="常规 9 3 3 2 3 3 2 5 2" xfId="38334" xr:uid="{00000000-0005-0000-0000-00007AA10000}"/>
    <cellStyle name="常规 9 3 3 2 3 3 2 6" xfId="26046" xr:uid="{00000000-0005-0000-0000-00007BA10000}"/>
    <cellStyle name="常规 9 3 3 2 3 3 3" xfId="2234" xr:uid="{00000000-0005-0000-0000-00007CA10000}"/>
    <cellStyle name="常规 9 3 3 2 3 3 3 2" xfId="5310" xr:uid="{00000000-0005-0000-0000-00007DA10000}"/>
    <cellStyle name="常规 9 3 3 2 3 3 3 2 2" xfId="11454" xr:uid="{00000000-0005-0000-0000-00007EA10000}"/>
    <cellStyle name="常规 9 3 3 2 3 3 3 2 2 2" xfId="23742" xr:uid="{00000000-0005-0000-0000-00007FA10000}"/>
    <cellStyle name="常规 9 3 3 2 3 3 3 2 2 2 2" xfId="48318" xr:uid="{00000000-0005-0000-0000-000080A10000}"/>
    <cellStyle name="常规 9 3 3 2 3 3 3 2 2 3" xfId="36030" xr:uid="{00000000-0005-0000-0000-000081A10000}"/>
    <cellStyle name="常规 9 3 3 2 3 3 3 2 3" xfId="17598" xr:uid="{00000000-0005-0000-0000-000082A10000}"/>
    <cellStyle name="常规 9 3 3 2 3 3 3 2 3 2" xfId="42174" xr:uid="{00000000-0005-0000-0000-000083A10000}"/>
    <cellStyle name="常规 9 3 3 2 3 3 3 2 4" xfId="29886" xr:uid="{00000000-0005-0000-0000-000084A10000}"/>
    <cellStyle name="常规 9 3 3 2 3 3 3 3" xfId="8382" xr:uid="{00000000-0005-0000-0000-000085A10000}"/>
    <cellStyle name="常规 9 3 3 2 3 3 3 3 2" xfId="20670" xr:uid="{00000000-0005-0000-0000-000086A10000}"/>
    <cellStyle name="常规 9 3 3 2 3 3 3 3 2 2" xfId="45246" xr:uid="{00000000-0005-0000-0000-000087A10000}"/>
    <cellStyle name="常规 9 3 3 2 3 3 3 3 3" xfId="32958" xr:uid="{00000000-0005-0000-0000-000088A10000}"/>
    <cellStyle name="常规 9 3 3 2 3 3 3 4" xfId="14526" xr:uid="{00000000-0005-0000-0000-000089A10000}"/>
    <cellStyle name="常规 9 3 3 2 3 3 3 4 2" xfId="39102" xr:uid="{00000000-0005-0000-0000-00008AA10000}"/>
    <cellStyle name="常规 9 3 3 2 3 3 3 5" xfId="26814" xr:uid="{00000000-0005-0000-0000-00008BA10000}"/>
    <cellStyle name="常规 9 3 3 2 3 3 4" xfId="3774" xr:uid="{00000000-0005-0000-0000-00008CA10000}"/>
    <cellStyle name="常规 9 3 3 2 3 3 4 2" xfId="9918" xr:uid="{00000000-0005-0000-0000-00008DA10000}"/>
    <cellStyle name="常规 9 3 3 2 3 3 4 2 2" xfId="22206" xr:uid="{00000000-0005-0000-0000-00008EA10000}"/>
    <cellStyle name="常规 9 3 3 2 3 3 4 2 2 2" xfId="46782" xr:uid="{00000000-0005-0000-0000-00008FA10000}"/>
    <cellStyle name="常规 9 3 3 2 3 3 4 2 3" xfId="34494" xr:uid="{00000000-0005-0000-0000-000090A10000}"/>
    <cellStyle name="常规 9 3 3 2 3 3 4 3" xfId="16062" xr:uid="{00000000-0005-0000-0000-000091A10000}"/>
    <cellStyle name="常规 9 3 3 2 3 3 4 3 2" xfId="40638" xr:uid="{00000000-0005-0000-0000-000092A10000}"/>
    <cellStyle name="常规 9 3 3 2 3 3 4 4" xfId="28350" xr:uid="{00000000-0005-0000-0000-000093A10000}"/>
    <cellStyle name="常规 9 3 3 2 3 3 5" xfId="6846" xr:uid="{00000000-0005-0000-0000-000094A10000}"/>
    <cellStyle name="常规 9 3 3 2 3 3 5 2" xfId="19134" xr:uid="{00000000-0005-0000-0000-000095A10000}"/>
    <cellStyle name="常规 9 3 3 2 3 3 5 2 2" xfId="43710" xr:uid="{00000000-0005-0000-0000-000096A10000}"/>
    <cellStyle name="常规 9 3 3 2 3 3 5 3" xfId="31422" xr:uid="{00000000-0005-0000-0000-000097A10000}"/>
    <cellStyle name="常规 9 3 3 2 3 3 6" xfId="12990" xr:uid="{00000000-0005-0000-0000-000098A10000}"/>
    <cellStyle name="常规 9 3 3 2 3 3 6 2" xfId="37566" xr:uid="{00000000-0005-0000-0000-000099A10000}"/>
    <cellStyle name="常规 9 3 3 2 3 3 7" xfId="25278" xr:uid="{00000000-0005-0000-0000-00009AA10000}"/>
    <cellStyle name="常规 9 3 3 2 3 4" xfId="1082" xr:uid="{00000000-0005-0000-0000-00009BA10000}"/>
    <cellStyle name="常规 9 3 3 2 3 4 2" xfId="2618" xr:uid="{00000000-0005-0000-0000-00009CA10000}"/>
    <cellStyle name="常规 9 3 3 2 3 4 2 2" xfId="5694" xr:uid="{00000000-0005-0000-0000-00009DA10000}"/>
    <cellStyle name="常规 9 3 3 2 3 4 2 2 2" xfId="11838" xr:uid="{00000000-0005-0000-0000-00009EA10000}"/>
    <cellStyle name="常规 9 3 3 2 3 4 2 2 2 2" xfId="24126" xr:uid="{00000000-0005-0000-0000-00009FA10000}"/>
    <cellStyle name="常规 9 3 3 2 3 4 2 2 2 2 2" xfId="48702" xr:uid="{00000000-0005-0000-0000-0000A0A10000}"/>
    <cellStyle name="常规 9 3 3 2 3 4 2 2 2 3" xfId="36414" xr:uid="{00000000-0005-0000-0000-0000A1A10000}"/>
    <cellStyle name="常规 9 3 3 2 3 4 2 2 3" xfId="17982" xr:uid="{00000000-0005-0000-0000-0000A2A10000}"/>
    <cellStyle name="常规 9 3 3 2 3 4 2 2 3 2" xfId="42558" xr:uid="{00000000-0005-0000-0000-0000A3A10000}"/>
    <cellStyle name="常规 9 3 3 2 3 4 2 2 4" xfId="30270" xr:uid="{00000000-0005-0000-0000-0000A4A10000}"/>
    <cellStyle name="常规 9 3 3 2 3 4 2 3" xfId="8766" xr:uid="{00000000-0005-0000-0000-0000A5A10000}"/>
    <cellStyle name="常规 9 3 3 2 3 4 2 3 2" xfId="21054" xr:uid="{00000000-0005-0000-0000-0000A6A10000}"/>
    <cellStyle name="常规 9 3 3 2 3 4 2 3 2 2" xfId="45630" xr:uid="{00000000-0005-0000-0000-0000A7A10000}"/>
    <cellStyle name="常规 9 3 3 2 3 4 2 3 3" xfId="33342" xr:uid="{00000000-0005-0000-0000-0000A8A10000}"/>
    <cellStyle name="常规 9 3 3 2 3 4 2 4" xfId="14910" xr:uid="{00000000-0005-0000-0000-0000A9A10000}"/>
    <cellStyle name="常规 9 3 3 2 3 4 2 4 2" xfId="39486" xr:uid="{00000000-0005-0000-0000-0000AAA10000}"/>
    <cellStyle name="常规 9 3 3 2 3 4 2 5" xfId="27198" xr:uid="{00000000-0005-0000-0000-0000ABA10000}"/>
    <cellStyle name="常规 9 3 3 2 3 4 3" xfId="4158" xr:uid="{00000000-0005-0000-0000-0000ACA10000}"/>
    <cellStyle name="常规 9 3 3 2 3 4 3 2" xfId="10302" xr:uid="{00000000-0005-0000-0000-0000ADA10000}"/>
    <cellStyle name="常规 9 3 3 2 3 4 3 2 2" xfId="22590" xr:uid="{00000000-0005-0000-0000-0000AEA10000}"/>
    <cellStyle name="常规 9 3 3 2 3 4 3 2 2 2" xfId="47166" xr:uid="{00000000-0005-0000-0000-0000AFA10000}"/>
    <cellStyle name="常规 9 3 3 2 3 4 3 2 3" xfId="34878" xr:uid="{00000000-0005-0000-0000-0000B0A10000}"/>
    <cellStyle name="常规 9 3 3 2 3 4 3 3" xfId="16446" xr:uid="{00000000-0005-0000-0000-0000B1A10000}"/>
    <cellStyle name="常规 9 3 3 2 3 4 3 3 2" xfId="41022" xr:uid="{00000000-0005-0000-0000-0000B2A10000}"/>
    <cellStyle name="常规 9 3 3 2 3 4 3 4" xfId="28734" xr:uid="{00000000-0005-0000-0000-0000B3A10000}"/>
    <cellStyle name="常规 9 3 3 2 3 4 4" xfId="7230" xr:uid="{00000000-0005-0000-0000-0000B4A10000}"/>
    <cellStyle name="常规 9 3 3 2 3 4 4 2" xfId="19518" xr:uid="{00000000-0005-0000-0000-0000B5A10000}"/>
    <cellStyle name="常规 9 3 3 2 3 4 4 2 2" xfId="44094" xr:uid="{00000000-0005-0000-0000-0000B6A10000}"/>
    <cellStyle name="常规 9 3 3 2 3 4 4 3" xfId="31806" xr:uid="{00000000-0005-0000-0000-0000B7A10000}"/>
    <cellStyle name="常规 9 3 3 2 3 4 5" xfId="13374" xr:uid="{00000000-0005-0000-0000-0000B8A10000}"/>
    <cellStyle name="常规 9 3 3 2 3 4 5 2" xfId="37950" xr:uid="{00000000-0005-0000-0000-0000B9A10000}"/>
    <cellStyle name="常规 9 3 3 2 3 4 6" xfId="25662" xr:uid="{00000000-0005-0000-0000-0000BAA10000}"/>
    <cellStyle name="常规 9 3 3 2 3 5" xfId="1850" xr:uid="{00000000-0005-0000-0000-0000BBA10000}"/>
    <cellStyle name="常规 9 3 3 2 3 5 2" xfId="4926" xr:uid="{00000000-0005-0000-0000-0000BCA10000}"/>
    <cellStyle name="常规 9 3 3 2 3 5 2 2" xfId="11070" xr:uid="{00000000-0005-0000-0000-0000BDA10000}"/>
    <cellStyle name="常规 9 3 3 2 3 5 2 2 2" xfId="23358" xr:uid="{00000000-0005-0000-0000-0000BEA10000}"/>
    <cellStyle name="常规 9 3 3 2 3 5 2 2 2 2" xfId="47934" xr:uid="{00000000-0005-0000-0000-0000BFA10000}"/>
    <cellStyle name="常规 9 3 3 2 3 5 2 2 3" xfId="35646" xr:uid="{00000000-0005-0000-0000-0000C0A10000}"/>
    <cellStyle name="常规 9 3 3 2 3 5 2 3" xfId="17214" xr:uid="{00000000-0005-0000-0000-0000C1A10000}"/>
    <cellStyle name="常规 9 3 3 2 3 5 2 3 2" xfId="41790" xr:uid="{00000000-0005-0000-0000-0000C2A10000}"/>
    <cellStyle name="常规 9 3 3 2 3 5 2 4" xfId="29502" xr:uid="{00000000-0005-0000-0000-0000C3A10000}"/>
    <cellStyle name="常规 9 3 3 2 3 5 3" xfId="7998" xr:uid="{00000000-0005-0000-0000-0000C4A10000}"/>
    <cellStyle name="常规 9 3 3 2 3 5 3 2" xfId="20286" xr:uid="{00000000-0005-0000-0000-0000C5A10000}"/>
    <cellStyle name="常规 9 3 3 2 3 5 3 2 2" xfId="44862" xr:uid="{00000000-0005-0000-0000-0000C6A10000}"/>
    <cellStyle name="常规 9 3 3 2 3 5 3 3" xfId="32574" xr:uid="{00000000-0005-0000-0000-0000C7A10000}"/>
    <cellStyle name="常规 9 3 3 2 3 5 4" xfId="14142" xr:uid="{00000000-0005-0000-0000-0000C8A10000}"/>
    <cellStyle name="常规 9 3 3 2 3 5 4 2" xfId="38718" xr:uid="{00000000-0005-0000-0000-0000C9A10000}"/>
    <cellStyle name="常规 9 3 3 2 3 5 5" xfId="26430" xr:uid="{00000000-0005-0000-0000-0000CAA10000}"/>
    <cellStyle name="常规 9 3 3 2 3 6" xfId="3390" xr:uid="{00000000-0005-0000-0000-0000CBA10000}"/>
    <cellStyle name="常规 9 3 3 2 3 6 2" xfId="9534" xr:uid="{00000000-0005-0000-0000-0000CCA10000}"/>
    <cellStyle name="常规 9 3 3 2 3 6 2 2" xfId="21822" xr:uid="{00000000-0005-0000-0000-0000CDA10000}"/>
    <cellStyle name="常规 9 3 3 2 3 6 2 2 2" xfId="46398" xr:uid="{00000000-0005-0000-0000-0000CEA10000}"/>
    <cellStyle name="常规 9 3 3 2 3 6 2 3" xfId="34110" xr:uid="{00000000-0005-0000-0000-0000CFA10000}"/>
    <cellStyle name="常规 9 3 3 2 3 6 3" xfId="15678" xr:uid="{00000000-0005-0000-0000-0000D0A10000}"/>
    <cellStyle name="常规 9 3 3 2 3 6 3 2" xfId="40254" xr:uid="{00000000-0005-0000-0000-0000D1A10000}"/>
    <cellStyle name="常规 9 3 3 2 3 6 4" xfId="27966" xr:uid="{00000000-0005-0000-0000-0000D2A10000}"/>
    <cellStyle name="常规 9 3 3 2 3 7" xfId="6462" xr:uid="{00000000-0005-0000-0000-0000D3A10000}"/>
    <cellStyle name="常规 9 3 3 2 3 7 2" xfId="18750" xr:uid="{00000000-0005-0000-0000-0000D4A10000}"/>
    <cellStyle name="常规 9 3 3 2 3 7 2 2" xfId="43326" xr:uid="{00000000-0005-0000-0000-0000D5A10000}"/>
    <cellStyle name="常规 9 3 3 2 3 7 3" xfId="31038" xr:uid="{00000000-0005-0000-0000-0000D6A10000}"/>
    <cellStyle name="常规 9 3 3 2 3 8" xfId="12606" xr:uid="{00000000-0005-0000-0000-0000D7A10000}"/>
    <cellStyle name="常规 9 3 3 2 3 8 2" xfId="37182" xr:uid="{00000000-0005-0000-0000-0000D8A10000}"/>
    <cellStyle name="常规 9 3 3 2 3 9" xfId="24894" xr:uid="{00000000-0005-0000-0000-0000D9A10000}"/>
    <cellStyle name="常规 9 3 3 2 4" xfId="378" xr:uid="{00000000-0005-0000-0000-0000DAA10000}"/>
    <cellStyle name="常规 9 3 3 2 4 2" xfId="762" xr:uid="{00000000-0005-0000-0000-0000DBA10000}"/>
    <cellStyle name="常规 9 3 3 2 4 2 2" xfId="1530" xr:uid="{00000000-0005-0000-0000-0000DCA10000}"/>
    <cellStyle name="常规 9 3 3 2 4 2 2 2" xfId="3066" xr:uid="{00000000-0005-0000-0000-0000DDA10000}"/>
    <cellStyle name="常规 9 3 3 2 4 2 2 2 2" xfId="6142" xr:uid="{00000000-0005-0000-0000-0000DEA10000}"/>
    <cellStyle name="常规 9 3 3 2 4 2 2 2 2 2" xfId="12286" xr:uid="{00000000-0005-0000-0000-0000DFA10000}"/>
    <cellStyle name="常规 9 3 3 2 4 2 2 2 2 2 2" xfId="24574" xr:uid="{00000000-0005-0000-0000-0000E0A10000}"/>
    <cellStyle name="常规 9 3 3 2 4 2 2 2 2 2 2 2" xfId="49150" xr:uid="{00000000-0005-0000-0000-0000E1A10000}"/>
    <cellStyle name="常规 9 3 3 2 4 2 2 2 2 2 3" xfId="36862" xr:uid="{00000000-0005-0000-0000-0000E2A10000}"/>
    <cellStyle name="常规 9 3 3 2 4 2 2 2 2 3" xfId="18430" xr:uid="{00000000-0005-0000-0000-0000E3A10000}"/>
    <cellStyle name="常规 9 3 3 2 4 2 2 2 2 3 2" xfId="43006" xr:uid="{00000000-0005-0000-0000-0000E4A10000}"/>
    <cellStyle name="常规 9 3 3 2 4 2 2 2 2 4" xfId="30718" xr:uid="{00000000-0005-0000-0000-0000E5A10000}"/>
    <cellStyle name="常规 9 3 3 2 4 2 2 2 3" xfId="9214" xr:uid="{00000000-0005-0000-0000-0000E6A10000}"/>
    <cellStyle name="常规 9 3 3 2 4 2 2 2 3 2" xfId="21502" xr:uid="{00000000-0005-0000-0000-0000E7A10000}"/>
    <cellStyle name="常规 9 3 3 2 4 2 2 2 3 2 2" xfId="46078" xr:uid="{00000000-0005-0000-0000-0000E8A10000}"/>
    <cellStyle name="常规 9 3 3 2 4 2 2 2 3 3" xfId="33790" xr:uid="{00000000-0005-0000-0000-0000E9A10000}"/>
    <cellStyle name="常规 9 3 3 2 4 2 2 2 4" xfId="15358" xr:uid="{00000000-0005-0000-0000-0000EAA10000}"/>
    <cellStyle name="常规 9 3 3 2 4 2 2 2 4 2" xfId="39934" xr:uid="{00000000-0005-0000-0000-0000EBA10000}"/>
    <cellStyle name="常规 9 3 3 2 4 2 2 2 5" xfId="27646" xr:uid="{00000000-0005-0000-0000-0000ECA10000}"/>
    <cellStyle name="常规 9 3 3 2 4 2 2 3" xfId="4606" xr:uid="{00000000-0005-0000-0000-0000EDA10000}"/>
    <cellStyle name="常规 9 3 3 2 4 2 2 3 2" xfId="10750" xr:uid="{00000000-0005-0000-0000-0000EEA10000}"/>
    <cellStyle name="常规 9 3 3 2 4 2 2 3 2 2" xfId="23038" xr:uid="{00000000-0005-0000-0000-0000EFA10000}"/>
    <cellStyle name="常规 9 3 3 2 4 2 2 3 2 2 2" xfId="47614" xr:uid="{00000000-0005-0000-0000-0000F0A10000}"/>
    <cellStyle name="常规 9 3 3 2 4 2 2 3 2 3" xfId="35326" xr:uid="{00000000-0005-0000-0000-0000F1A10000}"/>
    <cellStyle name="常规 9 3 3 2 4 2 2 3 3" xfId="16894" xr:uid="{00000000-0005-0000-0000-0000F2A10000}"/>
    <cellStyle name="常规 9 3 3 2 4 2 2 3 3 2" xfId="41470" xr:uid="{00000000-0005-0000-0000-0000F3A10000}"/>
    <cellStyle name="常规 9 3 3 2 4 2 2 3 4" xfId="29182" xr:uid="{00000000-0005-0000-0000-0000F4A10000}"/>
    <cellStyle name="常规 9 3 3 2 4 2 2 4" xfId="7678" xr:uid="{00000000-0005-0000-0000-0000F5A10000}"/>
    <cellStyle name="常规 9 3 3 2 4 2 2 4 2" xfId="19966" xr:uid="{00000000-0005-0000-0000-0000F6A10000}"/>
    <cellStyle name="常规 9 3 3 2 4 2 2 4 2 2" xfId="44542" xr:uid="{00000000-0005-0000-0000-0000F7A10000}"/>
    <cellStyle name="常规 9 3 3 2 4 2 2 4 3" xfId="32254" xr:uid="{00000000-0005-0000-0000-0000F8A10000}"/>
    <cellStyle name="常规 9 3 3 2 4 2 2 5" xfId="13822" xr:uid="{00000000-0005-0000-0000-0000F9A10000}"/>
    <cellStyle name="常规 9 3 3 2 4 2 2 5 2" xfId="38398" xr:uid="{00000000-0005-0000-0000-0000FAA10000}"/>
    <cellStyle name="常规 9 3 3 2 4 2 2 6" xfId="26110" xr:uid="{00000000-0005-0000-0000-0000FBA10000}"/>
    <cellStyle name="常规 9 3 3 2 4 2 3" xfId="2298" xr:uid="{00000000-0005-0000-0000-0000FCA10000}"/>
    <cellStyle name="常规 9 3 3 2 4 2 3 2" xfId="5374" xr:uid="{00000000-0005-0000-0000-0000FDA10000}"/>
    <cellStyle name="常规 9 3 3 2 4 2 3 2 2" xfId="11518" xr:uid="{00000000-0005-0000-0000-0000FEA10000}"/>
    <cellStyle name="常规 9 3 3 2 4 2 3 2 2 2" xfId="23806" xr:uid="{00000000-0005-0000-0000-0000FFA10000}"/>
    <cellStyle name="常规 9 3 3 2 4 2 3 2 2 2 2" xfId="48382" xr:uid="{00000000-0005-0000-0000-000000A20000}"/>
    <cellStyle name="常规 9 3 3 2 4 2 3 2 2 3" xfId="36094" xr:uid="{00000000-0005-0000-0000-000001A20000}"/>
    <cellStyle name="常规 9 3 3 2 4 2 3 2 3" xfId="17662" xr:uid="{00000000-0005-0000-0000-000002A20000}"/>
    <cellStyle name="常规 9 3 3 2 4 2 3 2 3 2" xfId="42238" xr:uid="{00000000-0005-0000-0000-000003A20000}"/>
    <cellStyle name="常规 9 3 3 2 4 2 3 2 4" xfId="29950" xr:uid="{00000000-0005-0000-0000-000004A20000}"/>
    <cellStyle name="常规 9 3 3 2 4 2 3 3" xfId="8446" xr:uid="{00000000-0005-0000-0000-000005A20000}"/>
    <cellStyle name="常规 9 3 3 2 4 2 3 3 2" xfId="20734" xr:uid="{00000000-0005-0000-0000-000006A20000}"/>
    <cellStyle name="常规 9 3 3 2 4 2 3 3 2 2" xfId="45310" xr:uid="{00000000-0005-0000-0000-000007A20000}"/>
    <cellStyle name="常规 9 3 3 2 4 2 3 3 3" xfId="33022" xr:uid="{00000000-0005-0000-0000-000008A20000}"/>
    <cellStyle name="常规 9 3 3 2 4 2 3 4" xfId="14590" xr:uid="{00000000-0005-0000-0000-000009A20000}"/>
    <cellStyle name="常规 9 3 3 2 4 2 3 4 2" xfId="39166" xr:uid="{00000000-0005-0000-0000-00000AA20000}"/>
    <cellStyle name="常规 9 3 3 2 4 2 3 5" xfId="26878" xr:uid="{00000000-0005-0000-0000-00000BA20000}"/>
    <cellStyle name="常规 9 3 3 2 4 2 4" xfId="3838" xr:uid="{00000000-0005-0000-0000-00000CA20000}"/>
    <cellStyle name="常规 9 3 3 2 4 2 4 2" xfId="9982" xr:uid="{00000000-0005-0000-0000-00000DA20000}"/>
    <cellStyle name="常规 9 3 3 2 4 2 4 2 2" xfId="22270" xr:uid="{00000000-0005-0000-0000-00000EA20000}"/>
    <cellStyle name="常规 9 3 3 2 4 2 4 2 2 2" xfId="46846" xr:uid="{00000000-0005-0000-0000-00000FA20000}"/>
    <cellStyle name="常规 9 3 3 2 4 2 4 2 3" xfId="34558" xr:uid="{00000000-0005-0000-0000-000010A20000}"/>
    <cellStyle name="常规 9 3 3 2 4 2 4 3" xfId="16126" xr:uid="{00000000-0005-0000-0000-000011A20000}"/>
    <cellStyle name="常规 9 3 3 2 4 2 4 3 2" xfId="40702" xr:uid="{00000000-0005-0000-0000-000012A20000}"/>
    <cellStyle name="常规 9 3 3 2 4 2 4 4" xfId="28414" xr:uid="{00000000-0005-0000-0000-000013A20000}"/>
    <cellStyle name="常规 9 3 3 2 4 2 5" xfId="6910" xr:uid="{00000000-0005-0000-0000-000014A20000}"/>
    <cellStyle name="常规 9 3 3 2 4 2 5 2" xfId="19198" xr:uid="{00000000-0005-0000-0000-000015A20000}"/>
    <cellStyle name="常规 9 3 3 2 4 2 5 2 2" xfId="43774" xr:uid="{00000000-0005-0000-0000-000016A20000}"/>
    <cellStyle name="常规 9 3 3 2 4 2 5 3" xfId="31486" xr:uid="{00000000-0005-0000-0000-000017A20000}"/>
    <cellStyle name="常规 9 3 3 2 4 2 6" xfId="13054" xr:uid="{00000000-0005-0000-0000-000018A20000}"/>
    <cellStyle name="常规 9 3 3 2 4 2 6 2" xfId="37630" xr:uid="{00000000-0005-0000-0000-000019A20000}"/>
    <cellStyle name="常规 9 3 3 2 4 2 7" xfId="25342" xr:uid="{00000000-0005-0000-0000-00001AA20000}"/>
    <cellStyle name="常规 9 3 3 2 4 3" xfId="1146" xr:uid="{00000000-0005-0000-0000-00001BA20000}"/>
    <cellStyle name="常规 9 3 3 2 4 3 2" xfId="2682" xr:uid="{00000000-0005-0000-0000-00001CA20000}"/>
    <cellStyle name="常规 9 3 3 2 4 3 2 2" xfId="5758" xr:uid="{00000000-0005-0000-0000-00001DA20000}"/>
    <cellStyle name="常规 9 3 3 2 4 3 2 2 2" xfId="11902" xr:uid="{00000000-0005-0000-0000-00001EA20000}"/>
    <cellStyle name="常规 9 3 3 2 4 3 2 2 2 2" xfId="24190" xr:uid="{00000000-0005-0000-0000-00001FA20000}"/>
    <cellStyle name="常规 9 3 3 2 4 3 2 2 2 2 2" xfId="48766" xr:uid="{00000000-0005-0000-0000-000020A20000}"/>
    <cellStyle name="常规 9 3 3 2 4 3 2 2 2 3" xfId="36478" xr:uid="{00000000-0005-0000-0000-000021A20000}"/>
    <cellStyle name="常规 9 3 3 2 4 3 2 2 3" xfId="18046" xr:uid="{00000000-0005-0000-0000-000022A20000}"/>
    <cellStyle name="常规 9 3 3 2 4 3 2 2 3 2" xfId="42622" xr:uid="{00000000-0005-0000-0000-000023A20000}"/>
    <cellStyle name="常规 9 3 3 2 4 3 2 2 4" xfId="30334" xr:uid="{00000000-0005-0000-0000-000024A20000}"/>
    <cellStyle name="常规 9 3 3 2 4 3 2 3" xfId="8830" xr:uid="{00000000-0005-0000-0000-000025A20000}"/>
    <cellStyle name="常规 9 3 3 2 4 3 2 3 2" xfId="21118" xr:uid="{00000000-0005-0000-0000-000026A20000}"/>
    <cellStyle name="常规 9 3 3 2 4 3 2 3 2 2" xfId="45694" xr:uid="{00000000-0005-0000-0000-000027A20000}"/>
    <cellStyle name="常规 9 3 3 2 4 3 2 3 3" xfId="33406" xr:uid="{00000000-0005-0000-0000-000028A20000}"/>
    <cellStyle name="常规 9 3 3 2 4 3 2 4" xfId="14974" xr:uid="{00000000-0005-0000-0000-000029A20000}"/>
    <cellStyle name="常规 9 3 3 2 4 3 2 4 2" xfId="39550" xr:uid="{00000000-0005-0000-0000-00002AA20000}"/>
    <cellStyle name="常规 9 3 3 2 4 3 2 5" xfId="27262" xr:uid="{00000000-0005-0000-0000-00002BA20000}"/>
    <cellStyle name="常规 9 3 3 2 4 3 3" xfId="4222" xr:uid="{00000000-0005-0000-0000-00002CA20000}"/>
    <cellStyle name="常规 9 3 3 2 4 3 3 2" xfId="10366" xr:uid="{00000000-0005-0000-0000-00002DA20000}"/>
    <cellStyle name="常规 9 3 3 2 4 3 3 2 2" xfId="22654" xr:uid="{00000000-0005-0000-0000-00002EA20000}"/>
    <cellStyle name="常规 9 3 3 2 4 3 3 2 2 2" xfId="47230" xr:uid="{00000000-0005-0000-0000-00002FA20000}"/>
    <cellStyle name="常规 9 3 3 2 4 3 3 2 3" xfId="34942" xr:uid="{00000000-0005-0000-0000-000030A20000}"/>
    <cellStyle name="常规 9 3 3 2 4 3 3 3" xfId="16510" xr:uid="{00000000-0005-0000-0000-000031A20000}"/>
    <cellStyle name="常规 9 3 3 2 4 3 3 3 2" xfId="41086" xr:uid="{00000000-0005-0000-0000-000032A20000}"/>
    <cellStyle name="常规 9 3 3 2 4 3 3 4" xfId="28798" xr:uid="{00000000-0005-0000-0000-000033A20000}"/>
    <cellStyle name="常规 9 3 3 2 4 3 4" xfId="7294" xr:uid="{00000000-0005-0000-0000-000034A20000}"/>
    <cellStyle name="常规 9 3 3 2 4 3 4 2" xfId="19582" xr:uid="{00000000-0005-0000-0000-000035A20000}"/>
    <cellStyle name="常规 9 3 3 2 4 3 4 2 2" xfId="44158" xr:uid="{00000000-0005-0000-0000-000036A20000}"/>
    <cellStyle name="常规 9 3 3 2 4 3 4 3" xfId="31870" xr:uid="{00000000-0005-0000-0000-000037A20000}"/>
    <cellStyle name="常规 9 3 3 2 4 3 5" xfId="13438" xr:uid="{00000000-0005-0000-0000-000038A20000}"/>
    <cellStyle name="常规 9 3 3 2 4 3 5 2" xfId="38014" xr:uid="{00000000-0005-0000-0000-000039A20000}"/>
    <cellStyle name="常规 9 3 3 2 4 3 6" xfId="25726" xr:uid="{00000000-0005-0000-0000-00003AA20000}"/>
    <cellStyle name="常规 9 3 3 2 4 4" xfId="1914" xr:uid="{00000000-0005-0000-0000-00003BA20000}"/>
    <cellStyle name="常规 9 3 3 2 4 4 2" xfId="4990" xr:uid="{00000000-0005-0000-0000-00003CA20000}"/>
    <cellStyle name="常规 9 3 3 2 4 4 2 2" xfId="11134" xr:uid="{00000000-0005-0000-0000-00003DA20000}"/>
    <cellStyle name="常规 9 3 3 2 4 4 2 2 2" xfId="23422" xr:uid="{00000000-0005-0000-0000-00003EA20000}"/>
    <cellStyle name="常规 9 3 3 2 4 4 2 2 2 2" xfId="47998" xr:uid="{00000000-0005-0000-0000-00003FA20000}"/>
    <cellStyle name="常规 9 3 3 2 4 4 2 2 3" xfId="35710" xr:uid="{00000000-0005-0000-0000-000040A20000}"/>
    <cellStyle name="常规 9 3 3 2 4 4 2 3" xfId="17278" xr:uid="{00000000-0005-0000-0000-000041A20000}"/>
    <cellStyle name="常规 9 3 3 2 4 4 2 3 2" xfId="41854" xr:uid="{00000000-0005-0000-0000-000042A20000}"/>
    <cellStyle name="常规 9 3 3 2 4 4 2 4" xfId="29566" xr:uid="{00000000-0005-0000-0000-000043A20000}"/>
    <cellStyle name="常规 9 3 3 2 4 4 3" xfId="8062" xr:uid="{00000000-0005-0000-0000-000044A20000}"/>
    <cellStyle name="常规 9 3 3 2 4 4 3 2" xfId="20350" xr:uid="{00000000-0005-0000-0000-000045A20000}"/>
    <cellStyle name="常规 9 3 3 2 4 4 3 2 2" xfId="44926" xr:uid="{00000000-0005-0000-0000-000046A20000}"/>
    <cellStyle name="常规 9 3 3 2 4 4 3 3" xfId="32638" xr:uid="{00000000-0005-0000-0000-000047A20000}"/>
    <cellStyle name="常规 9 3 3 2 4 4 4" xfId="14206" xr:uid="{00000000-0005-0000-0000-000048A20000}"/>
    <cellStyle name="常规 9 3 3 2 4 4 4 2" xfId="38782" xr:uid="{00000000-0005-0000-0000-000049A20000}"/>
    <cellStyle name="常规 9 3 3 2 4 4 5" xfId="26494" xr:uid="{00000000-0005-0000-0000-00004AA20000}"/>
    <cellStyle name="常规 9 3 3 2 4 5" xfId="3454" xr:uid="{00000000-0005-0000-0000-00004BA20000}"/>
    <cellStyle name="常规 9 3 3 2 4 5 2" xfId="9598" xr:uid="{00000000-0005-0000-0000-00004CA20000}"/>
    <cellStyle name="常规 9 3 3 2 4 5 2 2" xfId="21886" xr:uid="{00000000-0005-0000-0000-00004DA20000}"/>
    <cellStyle name="常规 9 3 3 2 4 5 2 2 2" xfId="46462" xr:uid="{00000000-0005-0000-0000-00004EA20000}"/>
    <cellStyle name="常规 9 3 3 2 4 5 2 3" xfId="34174" xr:uid="{00000000-0005-0000-0000-00004FA20000}"/>
    <cellStyle name="常规 9 3 3 2 4 5 3" xfId="15742" xr:uid="{00000000-0005-0000-0000-000050A20000}"/>
    <cellStyle name="常规 9 3 3 2 4 5 3 2" xfId="40318" xr:uid="{00000000-0005-0000-0000-000051A20000}"/>
    <cellStyle name="常规 9 3 3 2 4 5 4" xfId="28030" xr:uid="{00000000-0005-0000-0000-000052A20000}"/>
    <cellStyle name="常规 9 3 3 2 4 6" xfId="6526" xr:uid="{00000000-0005-0000-0000-000053A20000}"/>
    <cellStyle name="常规 9 3 3 2 4 6 2" xfId="18814" xr:uid="{00000000-0005-0000-0000-000054A20000}"/>
    <cellStyle name="常规 9 3 3 2 4 6 2 2" xfId="43390" xr:uid="{00000000-0005-0000-0000-000055A20000}"/>
    <cellStyle name="常规 9 3 3 2 4 6 3" xfId="31102" xr:uid="{00000000-0005-0000-0000-000056A20000}"/>
    <cellStyle name="常规 9 3 3 2 4 7" xfId="12670" xr:uid="{00000000-0005-0000-0000-000057A20000}"/>
    <cellStyle name="常规 9 3 3 2 4 7 2" xfId="37246" xr:uid="{00000000-0005-0000-0000-000058A20000}"/>
    <cellStyle name="常规 9 3 3 2 4 8" xfId="24958" xr:uid="{00000000-0005-0000-0000-000059A20000}"/>
    <cellStyle name="常规 9 3 3 2 5" xfId="570" xr:uid="{00000000-0005-0000-0000-00005AA20000}"/>
    <cellStyle name="常规 9 3 3 2 5 2" xfId="1338" xr:uid="{00000000-0005-0000-0000-00005BA20000}"/>
    <cellStyle name="常规 9 3 3 2 5 2 2" xfId="2874" xr:uid="{00000000-0005-0000-0000-00005CA20000}"/>
    <cellStyle name="常规 9 3 3 2 5 2 2 2" xfId="5950" xr:uid="{00000000-0005-0000-0000-00005DA20000}"/>
    <cellStyle name="常规 9 3 3 2 5 2 2 2 2" xfId="12094" xr:uid="{00000000-0005-0000-0000-00005EA20000}"/>
    <cellStyle name="常规 9 3 3 2 5 2 2 2 2 2" xfId="24382" xr:uid="{00000000-0005-0000-0000-00005FA20000}"/>
    <cellStyle name="常规 9 3 3 2 5 2 2 2 2 2 2" xfId="48958" xr:uid="{00000000-0005-0000-0000-000060A20000}"/>
    <cellStyle name="常规 9 3 3 2 5 2 2 2 2 3" xfId="36670" xr:uid="{00000000-0005-0000-0000-000061A20000}"/>
    <cellStyle name="常规 9 3 3 2 5 2 2 2 3" xfId="18238" xr:uid="{00000000-0005-0000-0000-000062A20000}"/>
    <cellStyle name="常规 9 3 3 2 5 2 2 2 3 2" xfId="42814" xr:uid="{00000000-0005-0000-0000-000063A20000}"/>
    <cellStyle name="常规 9 3 3 2 5 2 2 2 4" xfId="30526" xr:uid="{00000000-0005-0000-0000-000064A20000}"/>
    <cellStyle name="常规 9 3 3 2 5 2 2 3" xfId="9022" xr:uid="{00000000-0005-0000-0000-000065A20000}"/>
    <cellStyle name="常规 9 3 3 2 5 2 2 3 2" xfId="21310" xr:uid="{00000000-0005-0000-0000-000066A20000}"/>
    <cellStyle name="常规 9 3 3 2 5 2 2 3 2 2" xfId="45886" xr:uid="{00000000-0005-0000-0000-000067A20000}"/>
    <cellStyle name="常规 9 3 3 2 5 2 2 3 3" xfId="33598" xr:uid="{00000000-0005-0000-0000-000068A20000}"/>
    <cellStyle name="常规 9 3 3 2 5 2 2 4" xfId="15166" xr:uid="{00000000-0005-0000-0000-000069A20000}"/>
    <cellStyle name="常规 9 3 3 2 5 2 2 4 2" xfId="39742" xr:uid="{00000000-0005-0000-0000-00006AA20000}"/>
    <cellStyle name="常规 9 3 3 2 5 2 2 5" xfId="27454" xr:uid="{00000000-0005-0000-0000-00006BA20000}"/>
    <cellStyle name="常规 9 3 3 2 5 2 3" xfId="4414" xr:uid="{00000000-0005-0000-0000-00006CA20000}"/>
    <cellStyle name="常规 9 3 3 2 5 2 3 2" xfId="10558" xr:uid="{00000000-0005-0000-0000-00006DA20000}"/>
    <cellStyle name="常规 9 3 3 2 5 2 3 2 2" xfId="22846" xr:uid="{00000000-0005-0000-0000-00006EA20000}"/>
    <cellStyle name="常规 9 3 3 2 5 2 3 2 2 2" xfId="47422" xr:uid="{00000000-0005-0000-0000-00006FA20000}"/>
    <cellStyle name="常规 9 3 3 2 5 2 3 2 3" xfId="35134" xr:uid="{00000000-0005-0000-0000-000070A20000}"/>
    <cellStyle name="常规 9 3 3 2 5 2 3 3" xfId="16702" xr:uid="{00000000-0005-0000-0000-000071A20000}"/>
    <cellStyle name="常规 9 3 3 2 5 2 3 3 2" xfId="41278" xr:uid="{00000000-0005-0000-0000-000072A20000}"/>
    <cellStyle name="常规 9 3 3 2 5 2 3 4" xfId="28990" xr:uid="{00000000-0005-0000-0000-000073A20000}"/>
    <cellStyle name="常规 9 3 3 2 5 2 4" xfId="7486" xr:uid="{00000000-0005-0000-0000-000074A20000}"/>
    <cellStyle name="常规 9 3 3 2 5 2 4 2" xfId="19774" xr:uid="{00000000-0005-0000-0000-000075A20000}"/>
    <cellStyle name="常规 9 3 3 2 5 2 4 2 2" xfId="44350" xr:uid="{00000000-0005-0000-0000-000076A20000}"/>
    <cellStyle name="常规 9 3 3 2 5 2 4 3" xfId="32062" xr:uid="{00000000-0005-0000-0000-000077A20000}"/>
    <cellStyle name="常规 9 3 3 2 5 2 5" xfId="13630" xr:uid="{00000000-0005-0000-0000-000078A20000}"/>
    <cellStyle name="常规 9 3 3 2 5 2 5 2" xfId="38206" xr:uid="{00000000-0005-0000-0000-000079A20000}"/>
    <cellStyle name="常规 9 3 3 2 5 2 6" xfId="25918" xr:uid="{00000000-0005-0000-0000-00007AA20000}"/>
    <cellStyle name="常规 9 3 3 2 5 3" xfId="2106" xr:uid="{00000000-0005-0000-0000-00007BA20000}"/>
    <cellStyle name="常规 9 3 3 2 5 3 2" xfId="5182" xr:uid="{00000000-0005-0000-0000-00007CA20000}"/>
    <cellStyle name="常规 9 3 3 2 5 3 2 2" xfId="11326" xr:uid="{00000000-0005-0000-0000-00007DA20000}"/>
    <cellStyle name="常规 9 3 3 2 5 3 2 2 2" xfId="23614" xr:uid="{00000000-0005-0000-0000-00007EA20000}"/>
    <cellStyle name="常规 9 3 3 2 5 3 2 2 2 2" xfId="48190" xr:uid="{00000000-0005-0000-0000-00007FA20000}"/>
    <cellStyle name="常规 9 3 3 2 5 3 2 2 3" xfId="35902" xr:uid="{00000000-0005-0000-0000-000080A20000}"/>
    <cellStyle name="常规 9 3 3 2 5 3 2 3" xfId="17470" xr:uid="{00000000-0005-0000-0000-000081A20000}"/>
    <cellStyle name="常规 9 3 3 2 5 3 2 3 2" xfId="42046" xr:uid="{00000000-0005-0000-0000-000082A20000}"/>
    <cellStyle name="常规 9 3 3 2 5 3 2 4" xfId="29758" xr:uid="{00000000-0005-0000-0000-000083A20000}"/>
    <cellStyle name="常规 9 3 3 2 5 3 3" xfId="8254" xr:uid="{00000000-0005-0000-0000-000084A20000}"/>
    <cellStyle name="常规 9 3 3 2 5 3 3 2" xfId="20542" xr:uid="{00000000-0005-0000-0000-000085A20000}"/>
    <cellStyle name="常规 9 3 3 2 5 3 3 2 2" xfId="45118" xr:uid="{00000000-0005-0000-0000-000086A20000}"/>
    <cellStyle name="常规 9 3 3 2 5 3 3 3" xfId="32830" xr:uid="{00000000-0005-0000-0000-000087A20000}"/>
    <cellStyle name="常规 9 3 3 2 5 3 4" xfId="14398" xr:uid="{00000000-0005-0000-0000-000088A20000}"/>
    <cellStyle name="常规 9 3 3 2 5 3 4 2" xfId="38974" xr:uid="{00000000-0005-0000-0000-000089A20000}"/>
    <cellStyle name="常规 9 3 3 2 5 3 5" xfId="26686" xr:uid="{00000000-0005-0000-0000-00008AA20000}"/>
    <cellStyle name="常规 9 3 3 2 5 4" xfId="3646" xr:uid="{00000000-0005-0000-0000-00008BA20000}"/>
    <cellStyle name="常规 9 3 3 2 5 4 2" xfId="9790" xr:uid="{00000000-0005-0000-0000-00008CA20000}"/>
    <cellStyle name="常规 9 3 3 2 5 4 2 2" xfId="22078" xr:uid="{00000000-0005-0000-0000-00008DA20000}"/>
    <cellStyle name="常规 9 3 3 2 5 4 2 2 2" xfId="46654" xr:uid="{00000000-0005-0000-0000-00008EA20000}"/>
    <cellStyle name="常规 9 3 3 2 5 4 2 3" xfId="34366" xr:uid="{00000000-0005-0000-0000-00008FA20000}"/>
    <cellStyle name="常规 9 3 3 2 5 4 3" xfId="15934" xr:uid="{00000000-0005-0000-0000-000090A20000}"/>
    <cellStyle name="常规 9 3 3 2 5 4 3 2" xfId="40510" xr:uid="{00000000-0005-0000-0000-000091A20000}"/>
    <cellStyle name="常规 9 3 3 2 5 4 4" xfId="28222" xr:uid="{00000000-0005-0000-0000-000092A20000}"/>
    <cellStyle name="常规 9 3 3 2 5 5" xfId="6718" xr:uid="{00000000-0005-0000-0000-000093A20000}"/>
    <cellStyle name="常规 9 3 3 2 5 5 2" xfId="19006" xr:uid="{00000000-0005-0000-0000-000094A20000}"/>
    <cellStyle name="常规 9 3 3 2 5 5 2 2" xfId="43582" xr:uid="{00000000-0005-0000-0000-000095A20000}"/>
    <cellStyle name="常规 9 3 3 2 5 5 3" xfId="31294" xr:uid="{00000000-0005-0000-0000-000096A20000}"/>
    <cellStyle name="常规 9 3 3 2 5 6" xfId="12862" xr:uid="{00000000-0005-0000-0000-000097A20000}"/>
    <cellStyle name="常规 9 3 3 2 5 6 2" xfId="37438" xr:uid="{00000000-0005-0000-0000-000098A20000}"/>
    <cellStyle name="常规 9 3 3 2 5 7" xfId="25150" xr:uid="{00000000-0005-0000-0000-000099A20000}"/>
    <cellStyle name="常规 9 3 3 2 6" xfId="954" xr:uid="{00000000-0005-0000-0000-00009AA20000}"/>
    <cellStyle name="常规 9 3 3 2 6 2" xfId="2490" xr:uid="{00000000-0005-0000-0000-00009BA20000}"/>
    <cellStyle name="常规 9 3 3 2 6 2 2" xfId="5566" xr:uid="{00000000-0005-0000-0000-00009CA20000}"/>
    <cellStyle name="常规 9 3 3 2 6 2 2 2" xfId="11710" xr:uid="{00000000-0005-0000-0000-00009DA20000}"/>
    <cellStyle name="常规 9 3 3 2 6 2 2 2 2" xfId="23998" xr:uid="{00000000-0005-0000-0000-00009EA20000}"/>
    <cellStyle name="常规 9 3 3 2 6 2 2 2 2 2" xfId="48574" xr:uid="{00000000-0005-0000-0000-00009FA20000}"/>
    <cellStyle name="常规 9 3 3 2 6 2 2 2 3" xfId="36286" xr:uid="{00000000-0005-0000-0000-0000A0A20000}"/>
    <cellStyle name="常规 9 3 3 2 6 2 2 3" xfId="17854" xr:uid="{00000000-0005-0000-0000-0000A1A20000}"/>
    <cellStyle name="常规 9 3 3 2 6 2 2 3 2" xfId="42430" xr:uid="{00000000-0005-0000-0000-0000A2A20000}"/>
    <cellStyle name="常规 9 3 3 2 6 2 2 4" xfId="30142" xr:uid="{00000000-0005-0000-0000-0000A3A20000}"/>
    <cellStyle name="常规 9 3 3 2 6 2 3" xfId="8638" xr:uid="{00000000-0005-0000-0000-0000A4A20000}"/>
    <cellStyle name="常规 9 3 3 2 6 2 3 2" xfId="20926" xr:uid="{00000000-0005-0000-0000-0000A5A20000}"/>
    <cellStyle name="常规 9 3 3 2 6 2 3 2 2" xfId="45502" xr:uid="{00000000-0005-0000-0000-0000A6A20000}"/>
    <cellStyle name="常规 9 3 3 2 6 2 3 3" xfId="33214" xr:uid="{00000000-0005-0000-0000-0000A7A20000}"/>
    <cellStyle name="常规 9 3 3 2 6 2 4" xfId="14782" xr:uid="{00000000-0005-0000-0000-0000A8A20000}"/>
    <cellStyle name="常规 9 3 3 2 6 2 4 2" xfId="39358" xr:uid="{00000000-0005-0000-0000-0000A9A20000}"/>
    <cellStyle name="常规 9 3 3 2 6 2 5" xfId="27070" xr:uid="{00000000-0005-0000-0000-0000AAA20000}"/>
    <cellStyle name="常规 9 3 3 2 6 3" xfId="4030" xr:uid="{00000000-0005-0000-0000-0000ABA20000}"/>
    <cellStyle name="常规 9 3 3 2 6 3 2" xfId="10174" xr:uid="{00000000-0005-0000-0000-0000ACA20000}"/>
    <cellStyle name="常规 9 3 3 2 6 3 2 2" xfId="22462" xr:uid="{00000000-0005-0000-0000-0000ADA20000}"/>
    <cellStyle name="常规 9 3 3 2 6 3 2 2 2" xfId="47038" xr:uid="{00000000-0005-0000-0000-0000AEA20000}"/>
    <cellStyle name="常规 9 3 3 2 6 3 2 3" xfId="34750" xr:uid="{00000000-0005-0000-0000-0000AFA20000}"/>
    <cellStyle name="常规 9 3 3 2 6 3 3" xfId="16318" xr:uid="{00000000-0005-0000-0000-0000B0A20000}"/>
    <cellStyle name="常规 9 3 3 2 6 3 3 2" xfId="40894" xr:uid="{00000000-0005-0000-0000-0000B1A20000}"/>
    <cellStyle name="常规 9 3 3 2 6 3 4" xfId="28606" xr:uid="{00000000-0005-0000-0000-0000B2A20000}"/>
    <cellStyle name="常规 9 3 3 2 6 4" xfId="7102" xr:uid="{00000000-0005-0000-0000-0000B3A20000}"/>
    <cellStyle name="常规 9 3 3 2 6 4 2" xfId="19390" xr:uid="{00000000-0005-0000-0000-0000B4A20000}"/>
    <cellStyle name="常规 9 3 3 2 6 4 2 2" xfId="43966" xr:uid="{00000000-0005-0000-0000-0000B5A20000}"/>
    <cellStyle name="常规 9 3 3 2 6 4 3" xfId="31678" xr:uid="{00000000-0005-0000-0000-0000B6A20000}"/>
    <cellStyle name="常规 9 3 3 2 6 5" xfId="13246" xr:uid="{00000000-0005-0000-0000-0000B7A20000}"/>
    <cellStyle name="常规 9 3 3 2 6 5 2" xfId="37822" xr:uid="{00000000-0005-0000-0000-0000B8A20000}"/>
    <cellStyle name="常规 9 3 3 2 6 6" xfId="25534" xr:uid="{00000000-0005-0000-0000-0000B9A20000}"/>
    <cellStyle name="常规 9 3 3 2 7" xfId="1722" xr:uid="{00000000-0005-0000-0000-0000BAA20000}"/>
    <cellStyle name="常规 9 3 3 2 7 2" xfId="4798" xr:uid="{00000000-0005-0000-0000-0000BBA20000}"/>
    <cellStyle name="常规 9 3 3 2 7 2 2" xfId="10942" xr:uid="{00000000-0005-0000-0000-0000BCA20000}"/>
    <cellStyle name="常规 9 3 3 2 7 2 2 2" xfId="23230" xr:uid="{00000000-0005-0000-0000-0000BDA20000}"/>
    <cellStyle name="常规 9 3 3 2 7 2 2 2 2" xfId="47806" xr:uid="{00000000-0005-0000-0000-0000BEA20000}"/>
    <cellStyle name="常规 9 3 3 2 7 2 2 3" xfId="35518" xr:uid="{00000000-0005-0000-0000-0000BFA20000}"/>
    <cellStyle name="常规 9 3 3 2 7 2 3" xfId="17086" xr:uid="{00000000-0005-0000-0000-0000C0A20000}"/>
    <cellStyle name="常规 9 3 3 2 7 2 3 2" xfId="41662" xr:uid="{00000000-0005-0000-0000-0000C1A20000}"/>
    <cellStyle name="常规 9 3 3 2 7 2 4" xfId="29374" xr:uid="{00000000-0005-0000-0000-0000C2A20000}"/>
    <cellStyle name="常规 9 3 3 2 7 3" xfId="7870" xr:uid="{00000000-0005-0000-0000-0000C3A20000}"/>
    <cellStyle name="常规 9 3 3 2 7 3 2" xfId="20158" xr:uid="{00000000-0005-0000-0000-0000C4A20000}"/>
    <cellStyle name="常规 9 3 3 2 7 3 2 2" xfId="44734" xr:uid="{00000000-0005-0000-0000-0000C5A20000}"/>
    <cellStyle name="常规 9 3 3 2 7 3 3" xfId="32446" xr:uid="{00000000-0005-0000-0000-0000C6A20000}"/>
    <cellStyle name="常规 9 3 3 2 7 4" xfId="14014" xr:uid="{00000000-0005-0000-0000-0000C7A20000}"/>
    <cellStyle name="常规 9 3 3 2 7 4 2" xfId="38590" xr:uid="{00000000-0005-0000-0000-0000C8A20000}"/>
    <cellStyle name="常规 9 3 3 2 7 5" xfId="26302" xr:uid="{00000000-0005-0000-0000-0000C9A20000}"/>
    <cellStyle name="常规 9 3 3 2 8" xfId="3262" xr:uid="{00000000-0005-0000-0000-0000CAA20000}"/>
    <cellStyle name="常规 9 3 3 2 8 2" xfId="9406" xr:uid="{00000000-0005-0000-0000-0000CBA20000}"/>
    <cellStyle name="常规 9 3 3 2 8 2 2" xfId="21694" xr:uid="{00000000-0005-0000-0000-0000CCA20000}"/>
    <cellStyle name="常规 9 3 3 2 8 2 2 2" xfId="46270" xr:uid="{00000000-0005-0000-0000-0000CDA20000}"/>
    <cellStyle name="常规 9 3 3 2 8 2 3" xfId="33982" xr:uid="{00000000-0005-0000-0000-0000CEA20000}"/>
    <cellStyle name="常规 9 3 3 2 8 3" xfId="15550" xr:uid="{00000000-0005-0000-0000-0000CFA20000}"/>
    <cellStyle name="常规 9 3 3 2 8 3 2" xfId="40126" xr:uid="{00000000-0005-0000-0000-0000D0A20000}"/>
    <cellStyle name="常规 9 3 3 2 8 4" xfId="27838" xr:uid="{00000000-0005-0000-0000-0000D1A20000}"/>
    <cellStyle name="常规 9 3 3 2 9" xfId="6334" xr:uid="{00000000-0005-0000-0000-0000D2A20000}"/>
    <cellStyle name="常规 9 3 3 2 9 2" xfId="18622" xr:uid="{00000000-0005-0000-0000-0000D3A20000}"/>
    <cellStyle name="常规 9 3 3 2 9 2 2" xfId="43198" xr:uid="{00000000-0005-0000-0000-0000D4A20000}"/>
    <cellStyle name="常规 9 3 3 2 9 3" xfId="30910" xr:uid="{00000000-0005-0000-0000-0000D5A20000}"/>
    <cellStyle name="常规 9 3 3 3" xfId="218" xr:uid="{00000000-0005-0000-0000-0000D6A20000}"/>
    <cellStyle name="常规 9 3 3 3 2" xfId="410" xr:uid="{00000000-0005-0000-0000-0000D7A20000}"/>
    <cellStyle name="常规 9 3 3 3 2 2" xfId="794" xr:uid="{00000000-0005-0000-0000-0000D8A20000}"/>
    <cellStyle name="常规 9 3 3 3 2 2 2" xfId="1562" xr:uid="{00000000-0005-0000-0000-0000D9A20000}"/>
    <cellStyle name="常规 9 3 3 3 2 2 2 2" xfId="3098" xr:uid="{00000000-0005-0000-0000-0000DAA20000}"/>
    <cellStyle name="常规 9 3 3 3 2 2 2 2 2" xfId="6174" xr:uid="{00000000-0005-0000-0000-0000DBA20000}"/>
    <cellStyle name="常规 9 3 3 3 2 2 2 2 2 2" xfId="12318" xr:uid="{00000000-0005-0000-0000-0000DCA20000}"/>
    <cellStyle name="常规 9 3 3 3 2 2 2 2 2 2 2" xfId="24606" xr:uid="{00000000-0005-0000-0000-0000DDA20000}"/>
    <cellStyle name="常规 9 3 3 3 2 2 2 2 2 2 2 2" xfId="49182" xr:uid="{00000000-0005-0000-0000-0000DEA20000}"/>
    <cellStyle name="常规 9 3 3 3 2 2 2 2 2 2 3" xfId="36894" xr:uid="{00000000-0005-0000-0000-0000DFA20000}"/>
    <cellStyle name="常规 9 3 3 3 2 2 2 2 2 3" xfId="18462" xr:uid="{00000000-0005-0000-0000-0000E0A20000}"/>
    <cellStyle name="常规 9 3 3 3 2 2 2 2 2 3 2" xfId="43038" xr:uid="{00000000-0005-0000-0000-0000E1A20000}"/>
    <cellStyle name="常规 9 3 3 3 2 2 2 2 2 4" xfId="30750" xr:uid="{00000000-0005-0000-0000-0000E2A20000}"/>
    <cellStyle name="常规 9 3 3 3 2 2 2 2 3" xfId="9246" xr:uid="{00000000-0005-0000-0000-0000E3A20000}"/>
    <cellStyle name="常规 9 3 3 3 2 2 2 2 3 2" xfId="21534" xr:uid="{00000000-0005-0000-0000-0000E4A20000}"/>
    <cellStyle name="常规 9 3 3 3 2 2 2 2 3 2 2" xfId="46110" xr:uid="{00000000-0005-0000-0000-0000E5A20000}"/>
    <cellStyle name="常规 9 3 3 3 2 2 2 2 3 3" xfId="33822" xr:uid="{00000000-0005-0000-0000-0000E6A20000}"/>
    <cellStyle name="常规 9 3 3 3 2 2 2 2 4" xfId="15390" xr:uid="{00000000-0005-0000-0000-0000E7A20000}"/>
    <cellStyle name="常规 9 3 3 3 2 2 2 2 4 2" xfId="39966" xr:uid="{00000000-0005-0000-0000-0000E8A20000}"/>
    <cellStyle name="常规 9 3 3 3 2 2 2 2 5" xfId="27678" xr:uid="{00000000-0005-0000-0000-0000E9A20000}"/>
    <cellStyle name="常规 9 3 3 3 2 2 2 3" xfId="4638" xr:uid="{00000000-0005-0000-0000-0000EAA20000}"/>
    <cellStyle name="常规 9 3 3 3 2 2 2 3 2" xfId="10782" xr:uid="{00000000-0005-0000-0000-0000EBA20000}"/>
    <cellStyle name="常规 9 3 3 3 2 2 2 3 2 2" xfId="23070" xr:uid="{00000000-0005-0000-0000-0000ECA20000}"/>
    <cellStyle name="常规 9 3 3 3 2 2 2 3 2 2 2" xfId="47646" xr:uid="{00000000-0005-0000-0000-0000EDA20000}"/>
    <cellStyle name="常规 9 3 3 3 2 2 2 3 2 3" xfId="35358" xr:uid="{00000000-0005-0000-0000-0000EEA20000}"/>
    <cellStyle name="常规 9 3 3 3 2 2 2 3 3" xfId="16926" xr:uid="{00000000-0005-0000-0000-0000EFA20000}"/>
    <cellStyle name="常规 9 3 3 3 2 2 2 3 3 2" xfId="41502" xr:uid="{00000000-0005-0000-0000-0000F0A20000}"/>
    <cellStyle name="常规 9 3 3 3 2 2 2 3 4" xfId="29214" xr:uid="{00000000-0005-0000-0000-0000F1A20000}"/>
    <cellStyle name="常规 9 3 3 3 2 2 2 4" xfId="7710" xr:uid="{00000000-0005-0000-0000-0000F2A20000}"/>
    <cellStyle name="常规 9 3 3 3 2 2 2 4 2" xfId="19998" xr:uid="{00000000-0005-0000-0000-0000F3A20000}"/>
    <cellStyle name="常规 9 3 3 3 2 2 2 4 2 2" xfId="44574" xr:uid="{00000000-0005-0000-0000-0000F4A20000}"/>
    <cellStyle name="常规 9 3 3 3 2 2 2 4 3" xfId="32286" xr:uid="{00000000-0005-0000-0000-0000F5A20000}"/>
    <cellStyle name="常规 9 3 3 3 2 2 2 5" xfId="13854" xr:uid="{00000000-0005-0000-0000-0000F6A20000}"/>
    <cellStyle name="常规 9 3 3 3 2 2 2 5 2" xfId="38430" xr:uid="{00000000-0005-0000-0000-0000F7A20000}"/>
    <cellStyle name="常规 9 3 3 3 2 2 2 6" xfId="26142" xr:uid="{00000000-0005-0000-0000-0000F8A20000}"/>
    <cellStyle name="常规 9 3 3 3 2 2 3" xfId="2330" xr:uid="{00000000-0005-0000-0000-0000F9A20000}"/>
    <cellStyle name="常规 9 3 3 3 2 2 3 2" xfId="5406" xr:uid="{00000000-0005-0000-0000-0000FAA20000}"/>
    <cellStyle name="常规 9 3 3 3 2 2 3 2 2" xfId="11550" xr:uid="{00000000-0005-0000-0000-0000FBA20000}"/>
    <cellStyle name="常规 9 3 3 3 2 2 3 2 2 2" xfId="23838" xr:uid="{00000000-0005-0000-0000-0000FCA20000}"/>
    <cellStyle name="常规 9 3 3 3 2 2 3 2 2 2 2" xfId="48414" xr:uid="{00000000-0005-0000-0000-0000FDA20000}"/>
    <cellStyle name="常规 9 3 3 3 2 2 3 2 2 3" xfId="36126" xr:uid="{00000000-0005-0000-0000-0000FEA20000}"/>
    <cellStyle name="常规 9 3 3 3 2 2 3 2 3" xfId="17694" xr:uid="{00000000-0005-0000-0000-0000FFA20000}"/>
    <cellStyle name="常规 9 3 3 3 2 2 3 2 3 2" xfId="42270" xr:uid="{00000000-0005-0000-0000-000000A30000}"/>
    <cellStyle name="常规 9 3 3 3 2 2 3 2 4" xfId="29982" xr:uid="{00000000-0005-0000-0000-000001A30000}"/>
    <cellStyle name="常规 9 3 3 3 2 2 3 3" xfId="8478" xr:uid="{00000000-0005-0000-0000-000002A30000}"/>
    <cellStyle name="常规 9 3 3 3 2 2 3 3 2" xfId="20766" xr:uid="{00000000-0005-0000-0000-000003A30000}"/>
    <cellStyle name="常规 9 3 3 3 2 2 3 3 2 2" xfId="45342" xr:uid="{00000000-0005-0000-0000-000004A30000}"/>
    <cellStyle name="常规 9 3 3 3 2 2 3 3 3" xfId="33054" xr:uid="{00000000-0005-0000-0000-000005A30000}"/>
    <cellStyle name="常规 9 3 3 3 2 2 3 4" xfId="14622" xr:uid="{00000000-0005-0000-0000-000006A30000}"/>
    <cellStyle name="常规 9 3 3 3 2 2 3 4 2" xfId="39198" xr:uid="{00000000-0005-0000-0000-000007A30000}"/>
    <cellStyle name="常规 9 3 3 3 2 2 3 5" xfId="26910" xr:uid="{00000000-0005-0000-0000-000008A30000}"/>
    <cellStyle name="常规 9 3 3 3 2 2 4" xfId="3870" xr:uid="{00000000-0005-0000-0000-000009A30000}"/>
    <cellStyle name="常规 9 3 3 3 2 2 4 2" xfId="10014" xr:uid="{00000000-0005-0000-0000-00000AA30000}"/>
    <cellStyle name="常规 9 3 3 3 2 2 4 2 2" xfId="22302" xr:uid="{00000000-0005-0000-0000-00000BA30000}"/>
    <cellStyle name="常规 9 3 3 3 2 2 4 2 2 2" xfId="46878" xr:uid="{00000000-0005-0000-0000-00000CA30000}"/>
    <cellStyle name="常规 9 3 3 3 2 2 4 2 3" xfId="34590" xr:uid="{00000000-0005-0000-0000-00000DA30000}"/>
    <cellStyle name="常规 9 3 3 3 2 2 4 3" xfId="16158" xr:uid="{00000000-0005-0000-0000-00000EA30000}"/>
    <cellStyle name="常规 9 3 3 3 2 2 4 3 2" xfId="40734" xr:uid="{00000000-0005-0000-0000-00000FA30000}"/>
    <cellStyle name="常规 9 3 3 3 2 2 4 4" xfId="28446" xr:uid="{00000000-0005-0000-0000-000010A30000}"/>
    <cellStyle name="常规 9 3 3 3 2 2 5" xfId="6942" xr:uid="{00000000-0005-0000-0000-000011A30000}"/>
    <cellStyle name="常规 9 3 3 3 2 2 5 2" xfId="19230" xr:uid="{00000000-0005-0000-0000-000012A30000}"/>
    <cellStyle name="常规 9 3 3 3 2 2 5 2 2" xfId="43806" xr:uid="{00000000-0005-0000-0000-000013A30000}"/>
    <cellStyle name="常规 9 3 3 3 2 2 5 3" xfId="31518" xr:uid="{00000000-0005-0000-0000-000014A30000}"/>
    <cellStyle name="常规 9 3 3 3 2 2 6" xfId="13086" xr:uid="{00000000-0005-0000-0000-000015A30000}"/>
    <cellStyle name="常规 9 3 3 3 2 2 6 2" xfId="37662" xr:uid="{00000000-0005-0000-0000-000016A30000}"/>
    <cellStyle name="常规 9 3 3 3 2 2 7" xfId="25374" xr:uid="{00000000-0005-0000-0000-000017A30000}"/>
    <cellStyle name="常规 9 3 3 3 2 3" xfId="1178" xr:uid="{00000000-0005-0000-0000-000018A30000}"/>
    <cellStyle name="常规 9 3 3 3 2 3 2" xfId="2714" xr:uid="{00000000-0005-0000-0000-000019A30000}"/>
    <cellStyle name="常规 9 3 3 3 2 3 2 2" xfId="5790" xr:uid="{00000000-0005-0000-0000-00001AA30000}"/>
    <cellStyle name="常规 9 3 3 3 2 3 2 2 2" xfId="11934" xr:uid="{00000000-0005-0000-0000-00001BA30000}"/>
    <cellStyle name="常规 9 3 3 3 2 3 2 2 2 2" xfId="24222" xr:uid="{00000000-0005-0000-0000-00001CA30000}"/>
    <cellStyle name="常规 9 3 3 3 2 3 2 2 2 2 2" xfId="48798" xr:uid="{00000000-0005-0000-0000-00001DA30000}"/>
    <cellStyle name="常规 9 3 3 3 2 3 2 2 2 3" xfId="36510" xr:uid="{00000000-0005-0000-0000-00001EA30000}"/>
    <cellStyle name="常规 9 3 3 3 2 3 2 2 3" xfId="18078" xr:uid="{00000000-0005-0000-0000-00001FA30000}"/>
    <cellStyle name="常规 9 3 3 3 2 3 2 2 3 2" xfId="42654" xr:uid="{00000000-0005-0000-0000-000020A30000}"/>
    <cellStyle name="常规 9 3 3 3 2 3 2 2 4" xfId="30366" xr:uid="{00000000-0005-0000-0000-000021A30000}"/>
    <cellStyle name="常规 9 3 3 3 2 3 2 3" xfId="8862" xr:uid="{00000000-0005-0000-0000-000022A30000}"/>
    <cellStyle name="常规 9 3 3 3 2 3 2 3 2" xfId="21150" xr:uid="{00000000-0005-0000-0000-000023A30000}"/>
    <cellStyle name="常规 9 3 3 3 2 3 2 3 2 2" xfId="45726" xr:uid="{00000000-0005-0000-0000-000024A30000}"/>
    <cellStyle name="常规 9 3 3 3 2 3 2 3 3" xfId="33438" xr:uid="{00000000-0005-0000-0000-000025A30000}"/>
    <cellStyle name="常规 9 3 3 3 2 3 2 4" xfId="15006" xr:uid="{00000000-0005-0000-0000-000026A30000}"/>
    <cellStyle name="常规 9 3 3 3 2 3 2 4 2" xfId="39582" xr:uid="{00000000-0005-0000-0000-000027A30000}"/>
    <cellStyle name="常规 9 3 3 3 2 3 2 5" xfId="27294" xr:uid="{00000000-0005-0000-0000-000028A30000}"/>
    <cellStyle name="常规 9 3 3 3 2 3 3" xfId="4254" xr:uid="{00000000-0005-0000-0000-000029A30000}"/>
    <cellStyle name="常规 9 3 3 3 2 3 3 2" xfId="10398" xr:uid="{00000000-0005-0000-0000-00002AA30000}"/>
    <cellStyle name="常规 9 3 3 3 2 3 3 2 2" xfId="22686" xr:uid="{00000000-0005-0000-0000-00002BA30000}"/>
    <cellStyle name="常规 9 3 3 3 2 3 3 2 2 2" xfId="47262" xr:uid="{00000000-0005-0000-0000-00002CA30000}"/>
    <cellStyle name="常规 9 3 3 3 2 3 3 2 3" xfId="34974" xr:uid="{00000000-0005-0000-0000-00002DA30000}"/>
    <cellStyle name="常规 9 3 3 3 2 3 3 3" xfId="16542" xr:uid="{00000000-0005-0000-0000-00002EA30000}"/>
    <cellStyle name="常规 9 3 3 3 2 3 3 3 2" xfId="41118" xr:uid="{00000000-0005-0000-0000-00002FA30000}"/>
    <cellStyle name="常规 9 3 3 3 2 3 3 4" xfId="28830" xr:uid="{00000000-0005-0000-0000-000030A30000}"/>
    <cellStyle name="常规 9 3 3 3 2 3 4" xfId="7326" xr:uid="{00000000-0005-0000-0000-000031A30000}"/>
    <cellStyle name="常规 9 3 3 3 2 3 4 2" xfId="19614" xr:uid="{00000000-0005-0000-0000-000032A30000}"/>
    <cellStyle name="常规 9 3 3 3 2 3 4 2 2" xfId="44190" xr:uid="{00000000-0005-0000-0000-000033A30000}"/>
    <cellStyle name="常规 9 3 3 3 2 3 4 3" xfId="31902" xr:uid="{00000000-0005-0000-0000-000034A30000}"/>
    <cellStyle name="常规 9 3 3 3 2 3 5" xfId="13470" xr:uid="{00000000-0005-0000-0000-000035A30000}"/>
    <cellStyle name="常规 9 3 3 3 2 3 5 2" xfId="38046" xr:uid="{00000000-0005-0000-0000-000036A30000}"/>
    <cellStyle name="常规 9 3 3 3 2 3 6" xfId="25758" xr:uid="{00000000-0005-0000-0000-000037A30000}"/>
    <cellStyle name="常规 9 3 3 3 2 4" xfId="1946" xr:uid="{00000000-0005-0000-0000-000038A30000}"/>
    <cellStyle name="常规 9 3 3 3 2 4 2" xfId="5022" xr:uid="{00000000-0005-0000-0000-000039A30000}"/>
    <cellStyle name="常规 9 3 3 3 2 4 2 2" xfId="11166" xr:uid="{00000000-0005-0000-0000-00003AA30000}"/>
    <cellStyle name="常规 9 3 3 3 2 4 2 2 2" xfId="23454" xr:uid="{00000000-0005-0000-0000-00003BA30000}"/>
    <cellStyle name="常规 9 3 3 3 2 4 2 2 2 2" xfId="48030" xr:uid="{00000000-0005-0000-0000-00003CA30000}"/>
    <cellStyle name="常规 9 3 3 3 2 4 2 2 3" xfId="35742" xr:uid="{00000000-0005-0000-0000-00003DA30000}"/>
    <cellStyle name="常规 9 3 3 3 2 4 2 3" xfId="17310" xr:uid="{00000000-0005-0000-0000-00003EA30000}"/>
    <cellStyle name="常规 9 3 3 3 2 4 2 3 2" xfId="41886" xr:uid="{00000000-0005-0000-0000-00003FA30000}"/>
    <cellStyle name="常规 9 3 3 3 2 4 2 4" xfId="29598" xr:uid="{00000000-0005-0000-0000-000040A30000}"/>
    <cellStyle name="常规 9 3 3 3 2 4 3" xfId="8094" xr:uid="{00000000-0005-0000-0000-000041A30000}"/>
    <cellStyle name="常规 9 3 3 3 2 4 3 2" xfId="20382" xr:uid="{00000000-0005-0000-0000-000042A30000}"/>
    <cellStyle name="常规 9 3 3 3 2 4 3 2 2" xfId="44958" xr:uid="{00000000-0005-0000-0000-000043A30000}"/>
    <cellStyle name="常规 9 3 3 3 2 4 3 3" xfId="32670" xr:uid="{00000000-0005-0000-0000-000044A30000}"/>
    <cellStyle name="常规 9 3 3 3 2 4 4" xfId="14238" xr:uid="{00000000-0005-0000-0000-000045A30000}"/>
    <cellStyle name="常规 9 3 3 3 2 4 4 2" xfId="38814" xr:uid="{00000000-0005-0000-0000-000046A30000}"/>
    <cellStyle name="常规 9 3 3 3 2 4 5" xfId="26526" xr:uid="{00000000-0005-0000-0000-000047A30000}"/>
    <cellStyle name="常规 9 3 3 3 2 5" xfId="3486" xr:uid="{00000000-0005-0000-0000-000048A30000}"/>
    <cellStyle name="常规 9 3 3 3 2 5 2" xfId="9630" xr:uid="{00000000-0005-0000-0000-000049A30000}"/>
    <cellStyle name="常规 9 3 3 3 2 5 2 2" xfId="21918" xr:uid="{00000000-0005-0000-0000-00004AA30000}"/>
    <cellStyle name="常规 9 3 3 3 2 5 2 2 2" xfId="46494" xr:uid="{00000000-0005-0000-0000-00004BA30000}"/>
    <cellStyle name="常规 9 3 3 3 2 5 2 3" xfId="34206" xr:uid="{00000000-0005-0000-0000-00004CA30000}"/>
    <cellStyle name="常规 9 3 3 3 2 5 3" xfId="15774" xr:uid="{00000000-0005-0000-0000-00004DA30000}"/>
    <cellStyle name="常规 9 3 3 3 2 5 3 2" xfId="40350" xr:uid="{00000000-0005-0000-0000-00004EA30000}"/>
    <cellStyle name="常规 9 3 3 3 2 5 4" xfId="28062" xr:uid="{00000000-0005-0000-0000-00004FA30000}"/>
    <cellStyle name="常规 9 3 3 3 2 6" xfId="6558" xr:uid="{00000000-0005-0000-0000-000050A30000}"/>
    <cellStyle name="常规 9 3 3 3 2 6 2" xfId="18846" xr:uid="{00000000-0005-0000-0000-000051A30000}"/>
    <cellStyle name="常规 9 3 3 3 2 6 2 2" xfId="43422" xr:uid="{00000000-0005-0000-0000-000052A30000}"/>
    <cellStyle name="常规 9 3 3 3 2 6 3" xfId="31134" xr:uid="{00000000-0005-0000-0000-000053A30000}"/>
    <cellStyle name="常规 9 3 3 3 2 7" xfId="12702" xr:uid="{00000000-0005-0000-0000-000054A30000}"/>
    <cellStyle name="常规 9 3 3 3 2 7 2" xfId="37278" xr:uid="{00000000-0005-0000-0000-000055A30000}"/>
    <cellStyle name="常规 9 3 3 3 2 8" xfId="24990" xr:uid="{00000000-0005-0000-0000-000056A30000}"/>
    <cellStyle name="常规 9 3 3 3 3" xfId="602" xr:uid="{00000000-0005-0000-0000-000057A30000}"/>
    <cellStyle name="常规 9 3 3 3 3 2" xfId="1370" xr:uid="{00000000-0005-0000-0000-000058A30000}"/>
    <cellStyle name="常规 9 3 3 3 3 2 2" xfId="2906" xr:uid="{00000000-0005-0000-0000-000059A30000}"/>
    <cellStyle name="常规 9 3 3 3 3 2 2 2" xfId="5982" xr:uid="{00000000-0005-0000-0000-00005AA30000}"/>
    <cellStyle name="常规 9 3 3 3 3 2 2 2 2" xfId="12126" xr:uid="{00000000-0005-0000-0000-00005BA30000}"/>
    <cellStyle name="常规 9 3 3 3 3 2 2 2 2 2" xfId="24414" xr:uid="{00000000-0005-0000-0000-00005CA30000}"/>
    <cellStyle name="常规 9 3 3 3 3 2 2 2 2 2 2" xfId="48990" xr:uid="{00000000-0005-0000-0000-00005DA30000}"/>
    <cellStyle name="常规 9 3 3 3 3 2 2 2 2 3" xfId="36702" xr:uid="{00000000-0005-0000-0000-00005EA30000}"/>
    <cellStyle name="常规 9 3 3 3 3 2 2 2 3" xfId="18270" xr:uid="{00000000-0005-0000-0000-00005FA30000}"/>
    <cellStyle name="常规 9 3 3 3 3 2 2 2 3 2" xfId="42846" xr:uid="{00000000-0005-0000-0000-000060A30000}"/>
    <cellStyle name="常规 9 3 3 3 3 2 2 2 4" xfId="30558" xr:uid="{00000000-0005-0000-0000-000061A30000}"/>
    <cellStyle name="常规 9 3 3 3 3 2 2 3" xfId="9054" xr:uid="{00000000-0005-0000-0000-000062A30000}"/>
    <cellStyle name="常规 9 3 3 3 3 2 2 3 2" xfId="21342" xr:uid="{00000000-0005-0000-0000-000063A30000}"/>
    <cellStyle name="常规 9 3 3 3 3 2 2 3 2 2" xfId="45918" xr:uid="{00000000-0005-0000-0000-000064A30000}"/>
    <cellStyle name="常规 9 3 3 3 3 2 2 3 3" xfId="33630" xr:uid="{00000000-0005-0000-0000-000065A30000}"/>
    <cellStyle name="常规 9 3 3 3 3 2 2 4" xfId="15198" xr:uid="{00000000-0005-0000-0000-000066A30000}"/>
    <cellStyle name="常规 9 3 3 3 3 2 2 4 2" xfId="39774" xr:uid="{00000000-0005-0000-0000-000067A30000}"/>
    <cellStyle name="常规 9 3 3 3 3 2 2 5" xfId="27486" xr:uid="{00000000-0005-0000-0000-000068A30000}"/>
    <cellStyle name="常规 9 3 3 3 3 2 3" xfId="4446" xr:uid="{00000000-0005-0000-0000-000069A30000}"/>
    <cellStyle name="常规 9 3 3 3 3 2 3 2" xfId="10590" xr:uid="{00000000-0005-0000-0000-00006AA30000}"/>
    <cellStyle name="常规 9 3 3 3 3 2 3 2 2" xfId="22878" xr:uid="{00000000-0005-0000-0000-00006BA30000}"/>
    <cellStyle name="常规 9 3 3 3 3 2 3 2 2 2" xfId="47454" xr:uid="{00000000-0005-0000-0000-00006CA30000}"/>
    <cellStyle name="常规 9 3 3 3 3 2 3 2 3" xfId="35166" xr:uid="{00000000-0005-0000-0000-00006DA30000}"/>
    <cellStyle name="常规 9 3 3 3 3 2 3 3" xfId="16734" xr:uid="{00000000-0005-0000-0000-00006EA30000}"/>
    <cellStyle name="常规 9 3 3 3 3 2 3 3 2" xfId="41310" xr:uid="{00000000-0005-0000-0000-00006FA30000}"/>
    <cellStyle name="常规 9 3 3 3 3 2 3 4" xfId="29022" xr:uid="{00000000-0005-0000-0000-000070A30000}"/>
    <cellStyle name="常规 9 3 3 3 3 2 4" xfId="7518" xr:uid="{00000000-0005-0000-0000-000071A30000}"/>
    <cellStyle name="常规 9 3 3 3 3 2 4 2" xfId="19806" xr:uid="{00000000-0005-0000-0000-000072A30000}"/>
    <cellStyle name="常规 9 3 3 3 3 2 4 2 2" xfId="44382" xr:uid="{00000000-0005-0000-0000-000073A30000}"/>
    <cellStyle name="常规 9 3 3 3 3 2 4 3" xfId="32094" xr:uid="{00000000-0005-0000-0000-000074A30000}"/>
    <cellStyle name="常规 9 3 3 3 3 2 5" xfId="13662" xr:uid="{00000000-0005-0000-0000-000075A30000}"/>
    <cellStyle name="常规 9 3 3 3 3 2 5 2" xfId="38238" xr:uid="{00000000-0005-0000-0000-000076A30000}"/>
    <cellStyle name="常规 9 3 3 3 3 2 6" xfId="25950" xr:uid="{00000000-0005-0000-0000-000077A30000}"/>
    <cellStyle name="常规 9 3 3 3 3 3" xfId="2138" xr:uid="{00000000-0005-0000-0000-000078A30000}"/>
    <cellStyle name="常规 9 3 3 3 3 3 2" xfId="5214" xr:uid="{00000000-0005-0000-0000-000079A30000}"/>
    <cellStyle name="常规 9 3 3 3 3 3 2 2" xfId="11358" xr:uid="{00000000-0005-0000-0000-00007AA30000}"/>
    <cellStyle name="常规 9 3 3 3 3 3 2 2 2" xfId="23646" xr:uid="{00000000-0005-0000-0000-00007BA30000}"/>
    <cellStyle name="常规 9 3 3 3 3 3 2 2 2 2" xfId="48222" xr:uid="{00000000-0005-0000-0000-00007CA30000}"/>
    <cellStyle name="常规 9 3 3 3 3 3 2 2 3" xfId="35934" xr:uid="{00000000-0005-0000-0000-00007DA30000}"/>
    <cellStyle name="常规 9 3 3 3 3 3 2 3" xfId="17502" xr:uid="{00000000-0005-0000-0000-00007EA30000}"/>
    <cellStyle name="常规 9 3 3 3 3 3 2 3 2" xfId="42078" xr:uid="{00000000-0005-0000-0000-00007FA30000}"/>
    <cellStyle name="常规 9 3 3 3 3 3 2 4" xfId="29790" xr:uid="{00000000-0005-0000-0000-000080A30000}"/>
    <cellStyle name="常规 9 3 3 3 3 3 3" xfId="8286" xr:uid="{00000000-0005-0000-0000-000081A30000}"/>
    <cellStyle name="常规 9 3 3 3 3 3 3 2" xfId="20574" xr:uid="{00000000-0005-0000-0000-000082A30000}"/>
    <cellStyle name="常规 9 3 3 3 3 3 3 2 2" xfId="45150" xr:uid="{00000000-0005-0000-0000-000083A30000}"/>
    <cellStyle name="常规 9 3 3 3 3 3 3 3" xfId="32862" xr:uid="{00000000-0005-0000-0000-000084A30000}"/>
    <cellStyle name="常规 9 3 3 3 3 3 4" xfId="14430" xr:uid="{00000000-0005-0000-0000-000085A30000}"/>
    <cellStyle name="常规 9 3 3 3 3 3 4 2" xfId="39006" xr:uid="{00000000-0005-0000-0000-000086A30000}"/>
    <cellStyle name="常规 9 3 3 3 3 3 5" xfId="26718" xr:uid="{00000000-0005-0000-0000-000087A30000}"/>
    <cellStyle name="常规 9 3 3 3 3 4" xfId="3678" xr:uid="{00000000-0005-0000-0000-000088A30000}"/>
    <cellStyle name="常规 9 3 3 3 3 4 2" xfId="9822" xr:uid="{00000000-0005-0000-0000-000089A30000}"/>
    <cellStyle name="常规 9 3 3 3 3 4 2 2" xfId="22110" xr:uid="{00000000-0005-0000-0000-00008AA30000}"/>
    <cellStyle name="常规 9 3 3 3 3 4 2 2 2" xfId="46686" xr:uid="{00000000-0005-0000-0000-00008BA30000}"/>
    <cellStyle name="常规 9 3 3 3 3 4 2 3" xfId="34398" xr:uid="{00000000-0005-0000-0000-00008CA30000}"/>
    <cellStyle name="常规 9 3 3 3 3 4 3" xfId="15966" xr:uid="{00000000-0005-0000-0000-00008DA30000}"/>
    <cellStyle name="常规 9 3 3 3 3 4 3 2" xfId="40542" xr:uid="{00000000-0005-0000-0000-00008EA30000}"/>
    <cellStyle name="常规 9 3 3 3 3 4 4" xfId="28254" xr:uid="{00000000-0005-0000-0000-00008FA30000}"/>
    <cellStyle name="常规 9 3 3 3 3 5" xfId="6750" xr:uid="{00000000-0005-0000-0000-000090A30000}"/>
    <cellStyle name="常规 9 3 3 3 3 5 2" xfId="19038" xr:uid="{00000000-0005-0000-0000-000091A30000}"/>
    <cellStyle name="常规 9 3 3 3 3 5 2 2" xfId="43614" xr:uid="{00000000-0005-0000-0000-000092A30000}"/>
    <cellStyle name="常规 9 3 3 3 3 5 3" xfId="31326" xr:uid="{00000000-0005-0000-0000-000093A30000}"/>
    <cellStyle name="常规 9 3 3 3 3 6" xfId="12894" xr:uid="{00000000-0005-0000-0000-000094A30000}"/>
    <cellStyle name="常规 9 3 3 3 3 6 2" xfId="37470" xr:uid="{00000000-0005-0000-0000-000095A30000}"/>
    <cellStyle name="常规 9 3 3 3 3 7" xfId="25182" xr:uid="{00000000-0005-0000-0000-000096A30000}"/>
    <cellStyle name="常规 9 3 3 3 4" xfId="986" xr:uid="{00000000-0005-0000-0000-000097A30000}"/>
    <cellStyle name="常规 9 3 3 3 4 2" xfId="2522" xr:uid="{00000000-0005-0000-0000-000098A30000}"/>
    <cellStyle name="常规 9 3 3 3 4 2 2" xfId="5598" xr:uid="{00000000-0005-0000-0000-000099A30000}"/>
    <cellStyle name="常规 9 3 3 3 4 2 2 2" xfId="11742" xr:uid="{00000000-0005-0000-0000-00009AA30000}"/>
    <cellStyle name="常规 9 3 3 3 4 2 2 2 2" xfId="24030" xr:uid="{00000000-0005-0000-0000-00009BA30000}"/>
    <cellStyle name="常规 9 3 3 3 4 2 2 2 2 2" xfId="48606" xr:uid="{00000000-0005-0000-0000-00009CA30000}"/>
    <cellStyle name="常规 9 3 3 3 4 2 2 2 3" xfId="36318" xr:uid="{00000000-0005-0000-0000-00009DA30000}"/>
    <cellStyle name="常规 9 3 3 3 4 2 2 3" xfId="17886" xr:uid="{00000000-0005-0000-0000-00009EA30000}"/>
    <cellStyle name="常规 9 3 3 3 4 2 2 3 2" xfId="42462" xr:uid="{00000000-0005-0000-0000-00009FA30000}"/>
    <cellStyle name="常规 9 3 3 3 4 2 2 4" xfId="30174" xr:uid="{00000000-0005-0000-0000-0000A0A30000}"/>
    <cellStyle name="常规 9 3 3 3 4 2 3" xfId="8670" xr:uid="{00000000-0005-0000-0000-0000A1A30000}"/>
    <cellStyle name="常规 9 3 3 3 4 2 3 2" xfId="20958" xr:uid="{00000000-0005-0000-0000-0000A2A30000}"/>
    <cellStyle name="常规 9 3 3 3 4 2 3 2 2" xfId="45534" xr:uid="{00000000-0005-0000-0000-0000A3A30000}"/>
    <cellStyle name="常规 9 3 3 3 4 2 3 3" xfId="33246" xr:uid="{00000000-0005-0000-0000-0000A4A30000}"/>
    <cellStyle name="常规 9 3 3 3 4 2 4" xfId="14814" xr:uid="{00000000-0005-0000-0000-0000A5A30000}"/>
    <cellStyle name="常规 9 3 3 3 4 2 4 2" xfId="39390" xr:uid="{00000000-0005-0000-0000-0000A6A30000}"/>
    <cellStyle name="常规 9 3 3 3 4 2 5" xfId="27102" xr:uid="{00000000-0005-0000-0000-0000A7A30000}"/>
    <cellStyle name="常规 9 3 3 3 4 3" xfId="4062" xr:uid="{00000000-0005-0000-0000-0000A8A30000}"/>
    <cellStyle name="常规 9 3 3 3 4 3 2" xfId="10206" xr:uid="{00000000-0005-0000-0000-0000A9A30000}"/>
    <cellStyle name="常规 9 3 3 3 4 3 2 2" xfId="22494" xr:uid="{00000000-0005-0000-0000-0000AAA30000}"/>
    <cellStyle name="常规 9 3 3 3 4 3 2 2 2" xfId="47070" xr:uid="{00000000-0005-0000-0000-0000ABA30000}"/>
    <cellStyle name="常规 9 3 3 3 4 3 2 3" xfId="34782" xr:uid="{00000000-0005-0000-0000-0000ACA30000}"/>
    <cellStyle name="常规 9 3 3 3 4 3 3" xfId="16350" xr:uid="{00000000-0005-0000-0000-0000ADA30000}"/>
    <cellStyle name="常规 9 3 3 3 4 3 3 2" xfId="40926" xr:uid="{00000000-0005-0000-0000-0000AEA30000}"/>
    <cellStyle name="常规 9 3 3 3 4 3 4" xfId="28638" xr:uid="{00000000-0005-0000-0000-0000AFA30000}"/>
    <cellStyle name="常规 9 3 3 3 4 4" xfId="7134" xr:uid="{00000000-0005-0000-0000-0000B0A30000}"/>
    <cellStyle name="常规 9 3 3 3 4 4 2" xfId="19422" xr:uid="{00000000-0005-0000-0000-0000B1A30000}"/>
    <cellStyle name="常规 9 3 3 3 4 4 2 2" xfId="43998" xr:uid="{00000000-0005-0000-0000-0000B2A30000}"/>
    <cellStyle name="常规 9 3 3 3 4 4 3" xfId="31710" xr:uid="{00000000-0005-0000-0000-0000B3A30000}"/>
    <cellStyle name="常规 9 3 3 3 4 5" xfId="13278" xr:uid="{00000000-0005-0000-0000-0000B4A30000}"/>
    <cellStyle name="常规 9 3 3 3 4 5 2" xfId="37854" xr:uid="{00000000-0005-0000-0000-0000B5A30000}"/>
    <cellStyle name="常规 9 3 3 3 4 6" xfId="25566" xr:uid="{00000000-0005-0000-0000-0000B6A30000}"/>
    <cellStyle name="常规 9 3 3 3 5" xfId="1754" xr:uid="{00000000-0005-0000-0000-0000B7A30000}"/>
    <cellStyle name="常规 9 3 3 3 5 2" xfId="4830" xr:uid="{00000000-0005-0000-0000-0000B8A30000}"/>
    <cellStyle name="常规 9 3 3 3 5 2 2" xfId="10974" xr:uid="{00000000-0005-0000-0000-0000B9A30000}"/>
    <cellStyle name="常规 9 3 3 3 5 2 2 2" xfId="23262" xr:uid="{00000000-0005-0000-0000-0000BAA30000}"/>
    <cellStyle name="常规 9 3 3 3 5 2 2 2 2" xfId="47838" xr:uid="{00000000-0005-0000-0000-0000BBA30000}"/>
    <cellStyle name="常规 9 3 3 3 5 2 2 3" xfId="35550" xr:uid="{00000000-0005-0000-0000-0000BCA30000}"/>
    <cellStyle name="常规 9 3 3 3 5 2 3" xfId="17118" xr:uid="{00000000-0005-0000-0000-0000BDA30000}"/>
    <cellStyle name="常规 9 3 3 3 5 2 3 2" xfId="41694" xr:uid="{00000000-0005-0000-0000-0000BEA30000}"/>
    <cellStyle name="常规 9 3 3 3 5 2 4" xfId="29406" xr:uid="{00000000-0005-0000-0000-0000BFA30000}"/>
    <cellStyle name="常规 9 3 3 3 5 3" xfId="7902" xr:uid="{00000000-0005-0000-0000-0000C0A30000}"/>
    <cellStyle name="常规 9 3 3 3 5 3 2" xfId="20190" xr:uid="{00000000-0005-0000-0000-0000C1A30000}"/>
    <cellStyle name="常规 9 3 3 3 5 3 2 2" xfId="44766" xr:uid="{00000000-0005-0000-0000-0000C2A30000}"/>
    <cellStyle name="常规 9 3 3 3 5 3 3" xfId="32478" xr:uid="{00000000-0005-0000-0000-0000C3A30000}"/>
    <cellStyle name="常规 9 3 3 3 5 4" xfId="14046" xr:uid="{00000000-0005-0000-0000-0000C4A30000}"/>
    <cellStyle name="常规 9 3 3 3 5 4 2" xfId="38622" xr:uid="{00000000-0005-0000-0000-0000C5A30000}"/>
    <cellStyle name="常规 9 3 3 3 5 5" xfId="26334" xr:uid="{00000000-0005-0000-0000-0000C6A30000}"/>
    <cellStyle name="常规 9 3 3 3 6" xfId="3294" xr:uid="{00000000-0005-0000-0000-0000C7A30000}"/>
    <cellStyle name="常规 9 3 3 3 6 2" xfId="9438" xr:uid="{00000000-0005-0000-0000-0000C8A30000}"/>
    <cellStyle name="常规 9 3 3 3 6 2 2" xfId="21726" xr:uid="{00000000-0005-0000-0000-0000C9A30000}"/>
    <cellStyle name="常规 9 3 3 3 6 2 2 2" xfId="46302" xr:uid="{00000000-0005-0000-0000-0000CAA30000}"/>
    <cellStyle name="常规 9 3 3 3 6 2 3" xfId="34014" xr:uid="{00000000-0005-0000-0000-0000CBA30000}"/>
    <cellStyle name="常规 9 3 3 3 6 3" xfId="15582" xr:uid="{00000000-0005-0000-0000-0000CCA30000}"/>
    <cellStyle name="常规 9 3 3 3 6 3 2" xfId="40158" xr:uid="{00000000-0005-0000-0000-0000CDA30000}"/>
    <cellStyle name="常规 9 3 3 3 6 4" xfId="27870" xr:uid="{00000000-0005-0000-0000-0000CEA30000}"/>
    <cellStyle name="常规 9 3 3 3 7" xfId="6366" xr:uid="{00000000-0005-0000-0000-0000CFA30000}"/>
    <cellStyle name="常规 9 3 3 3 7 2" xfId="18654" xr:uid="{00000000-0005-0000-0000-0000D0A30000}"/>
    <cellStyle name="常规 9 3 3 3 7 2 2" xfId="43230" xr:uid="{00000000-0005-0000-0000-0000D1A30000}"/>
    <cellStyle name="常规 9 3 3 3 7 3" xfId="30942" xr:uid="{00000000-0005-0000-0000-0000D2A30000}"/>
    <cellStyle name="常规 9 3 3 3 8" xfId="12510" xr:uid="{00000000-0005-0000-0000-0000D3A30000}"/>
    <cellStyle name="常规 9 3 3 3 8 2" xfId="37086" xr:uid="{00000000-0005-0000-0000-0000D4A30000}"/>
    <cellStyle name="常规 9 3 3 3 9" xfId="24798" xr:uid="{00000000-0005-0000-0000-0000D5A30000}"/>
    <cellStyle name="常规 9 3 3 4" xfId="282" xr:uid="{00000000-0005-0000-0000-0000D6A30000}"/>
    <cellStyle name="常规 9 3 3 4 2" xfId="474" xr:uid="{00000000-0005-0000-0000-0000D7A30000}"/>
    <cellStyle name="常规 9 3 3 4 2 2" xfId="858" xr:uid="{00000000-0005-0000-0000-0000D8A30000}"/>
    <cellStyle name="常规 9 3 3 4 2 2 2" xfId="1626" xr:uid="{00000000-0005-0000-0000-0000D9A30000}"/>
    <cellStyle name="常规 9 3 3 4 2 2 2 2" xfId="3162" xr:uid="{00000000-0005-0000-0000-0000DAA30000}"/>
    <cellStyle name="常规 9 3 3 4 2 2 2 2 2" xfId="6238" xr:uid="{00000000-0005-0000-0000-0000DBA30000}"/>
    <cellStyle name="常规 9 3 3 4 2 2 2 2 2 2" xfId="12382" xr:uid="{00000000-0005-0000-0000-0000DCA30000}"/>
    <cellStyle name="常规 9 3 3 4 2 2 2 2 2 2 2" xfId="24670" xr:uid="{00000000-0005-0000-0000-0000DDA30000}"/>
    <cellStyle name="常规 9 3 3 4 2 2 2 2 2 2 2 2" xfId="49246" xr:uid="{00000000-0005-0000-0000-0000DEA30000}"/>
    <cellStyle name="常规 9 3 3 4 2 2 2 2 2 2 3" xfId="36958" xr:uid="{00000000-0005-0000-0000-0000DFA30000}"/>
    <cellStyle name="常规 9 3 3 4 2 2 2 2 2 3" xfId="18526" xr:uid="{00000000-0005-0000-0000-0000E0A30000}"/>
    <cellStyle name="常规 9 3 3 4 2 2 2 2 2 3 2" xfId="43102" xr:uid="{00000000-0005-0000-0000-0000E1A30000}"/>
    <cellStyle name="常规 9 3 3 4 2 2 2 2 2 4" xfId="30814" xr:uid="{00000000-0005-0000-0000-0000E2A30000}"/>
    <cellStyle name="常规 9 3 3 4 2 2 2 2 3" xfId="9310" xr:uid="{00000000-0005-0000-0000-0000E3A30000}"/>
    <cellStyle name="常规 9 3 3 4 2 2 2 2 3 2" xfId="21598" xr:uid="{00000000-0005-0000-0000-0000E4A30000}"/>
    <cellStyle name="常规 9 3 3 4 2 2 2 2 3 2 2" xfId="46174" xr:uid="{00000000-0005-0000-0000-0000E5A30000}"/>
    <cellStyle name="常规 9 3 3 4 2 2 2 2 3 3" xfId="33886" xr:uid="{00000000-0005-0000-0000-0000E6A30000}"/>
    <cellStyle name="常规 9 3 3 4 2 2 2 2 4" xfId="15454" xr:uid="{00000000-0005-0000-0000-0000E7A30000}"/>
    <cellStyle name="常规 9 3 3 4 2 2 2 2 4 2" xfId="40030" xr:uid="{00000000-0005-0000-0000-0000E8A30000}"/>
    <cellStyle name="常规 9 3 3 4 2 2 2 2 5" xfId="27742" xr:uid="{00000000-0005-0000-0000-0000E9A30000}"/>
    <cellStyle name="常规 9 3 3 4 2 2 2 3" xfId="4702" xr:uid="{00000000-0005-0000-0000-0000EAA30000}"/>
    <cellStyle name="常规 9 3 3 4 2 2 2 3 2" xfId="10846" xr:uid="{00000000-0005-0000-0000-0000EBA30000}"/>
    <cellStyle name="常规 9 3 3 4 2 2 2 3 2 2" xfId="23134" xr:uid="{00000000-0005-0000-0000-0000ECA30000}"/>
    <cellStyle name="常规 9 3 3 4 2 2 2 3 2 2 2" xfId="47710" xr:uid="{00000000-0005-0000-0000-0000EDA30000}"/>
    <cellStyle name="常规 9 3 3 4 2 2 2 3 2 3" xfId="35422" xr:uid="{00000000-0005-0000-0000-0000EEA30000}"/>
    <cellStyle name="常规 9 3 3 4 2 2 2 3 3" xfId="16990" xr:uid="{00000000-0005-0000-0000-0000EFA30000}"/>
    <cellStyle name="常规 9 3 3 4 2 2 2 3 3 2" xfId="41566" xr:uid="{00000000-0005-0000-0000-0000F0A30000}"/>
    <cellStyle name="常规 9 3 3 4 2 2 2 3 4" xfId="29278" xr:uid="{00000000-0005-0000-0000-0000F1A30000}"/>
    <cellStyle name="常规 9 3 3 4 2 2 2 4" xfId="7774" xr:uid="{00000000-0005-0000-0000-0000F2A30000}"/>
    <cellStyle name="常规 9 3 3 4 2 2 2 4 2" xfId="20062" xr:uid="{00000000-0005-0000-0000-0000F3A30000}"/>
    <cellStyle name="常规 9 3 3 4 2 2 2 4 2 2" xfId="44638" xr:uid="{00000000-0005-0000-0000-0000F4A30000}"/>
    <cellStyle name="常规 9 3 3 4 2 2 2 4 3" xfId="32350" xr:uid="{00000000-0005-0000-0000-0000F5A30000}"/>
    <cellStyle name="常规 9 3 3 4 2 2 2 5" xfId="13918" xr:uid="{00000000-0005-0000-0000-0000F6A30000}"/>
    <cellStyle name="常规 9 3 3 4 2 2 2 5 2" xfId="38494" xr:uid="{00000000-0005-0000-0000-0000F7A30000}"/>
    <cellStyle name="常规 9 3 3 4 2 2 2 6" xfId="26206" xr:uid="{00000000-0005-0000-0000-0000F8A30000}"/>
    <cellStyle name="常规 9 3 3 4 2 2 3" xfId="2394" xr:uid="{00000000-0005-0000-0000-0000F9A30000}"/>
    <cellStyle name="常规 9 3 3 4 2 2 3 2" xfId="5470" xr:uid="{00000000-0005-0000-0000-0000FAA30000}"/>
    <cellStyle name="常规 9 3 3 4 2 2 3 2 2" xfId="11614" xr:uid="{00000000-0005-0000-0000-0000FBA30000}"/>
    <cellStyle name="常规 9 3 3 4 2 2 3 2 2 2" xfId="23902" xr:uid="{00000000-0005-0000-0000-0000FCA30000}"/>
    <cellStyle name="常规 9 3 3 4 2 2 3 2 2 2 2" xfId="48478" xr:uid="{00000000-0005-0000-0000-0000FDA30000}"/>
    <cellStyle name="常规 9 3 3 4 2 2 3 2 2 3" xfId="36190" xr:uid="{00000000-0005-0000-0000-0000FEA30000}"/>
    <cellStyle name="常规 9 3 3 4 2 2 3 2 3" xfId="17758" xr:uid="{00000000-0005-0000-0000-0000FFA30000}"/>
    <cellStyle name="常规 9 3 3 4 2 2 3 2 3 2" xfId="42334" xr:uid="{00000000-0005-0000-0000-000000A40000}"/>
    <cellStyle name="常规 9 3 3 4 2 2 3 2 4" xfId="30046" xr:uid="{00000000-0005-0000-0000-000001A40000}"/>
    <cellStyle name="常规 9 3 3 4 2 2 3 3" xfId="8542" xr:uid="{00000000-0005-0000-0000-000002A40000}"/>
    <cellStyle name="常规 9 3 3 4 2 2 3 3 2" xfId="20830" xr:uid="{00000000-0005-0000-0000-000003A40000}"/>
    <cellStyle name="常规 9 3 3 4 2 2 3 3 2 2" xfId="45406" xr:uid="{00000000-0005-0000-0000-000004A40000}"/>
    <cellStyle name="常规 9 3 3 4 2 2 3 3 3" xfId="33118" xr:uid="{00000000-0005-0000-0000-000005A40000}"/>
    <cellStyle name="常规 9 3 3 4 2 2 3 4" xfId="14686" xr:uid="{00000000-0005-0000-0000-000006A40000}"/>
    <cellStyle name="常规 9 3 3 4 2 2 3 4 2" xfId="39262" xr:uid="{00000000-0005-0000-0000-000007A40000}"/>
    <cellStyle name="常规 9 3 3 4 2 2 3 5" xfId="26974" xr:uid="{00000000-0005-0000-0000-000008A40000}"/>
    <cellStyle name="常规 9 3 3 4 2 2 4" xfId="3934" xr:uid="{00000000-0005-0000-0000-000009A40000}"/>
    <cellStyle name="常规 9 3 3 4 2 2 4 2" xfId="10078" xr:uid="{00000000-0005-0000-0000-00000AA40000}"/>
    <cellStyle name="常规 9 3 3 4 2 2 4 2 2" xfId="22366" xr:uid="{00000000-0005-0000-0000-00000BA40000}"/>
    <cellStyle name="常规 9 3 3 4 2 2 4 2 2 2" xfId="46942" xr:uid="{00000000-0005-0000-0000-00000CA40000}"/>
    <cellStyle name="常规 9 3 3 4 2 2 4 2 3" xfId="34654" xr:uid="{00000000-0005-0000-0000-00000DA40000}"/>
    <cellStyle name="常规 9 3 3 4 2 2 4 3" xfId="16222" xr:uid="{00000000-0005-0000-0000-00000EA40000}"/>
    <cellStyle name="常规 9 3 3 4 2 2 4 3 2" xfId="40798" xr:uid="{00000000-0005-0000-0000-00000FA40000}"/>
    <cellStyle name="常规 9 3 3 4 2 2 4 4" xfId="28510" xr:uid="{00000000-0005-0000-0000-000010A40000}"/>
    <cellStyle name="常规 9 3 3 4 2 2 5" xfId="7006" xr:uid="{00000000-0005-0000-0000-000011A40000}"/>
    <cellStyle name="常规 9 3 3 4 2 2 5 2" xfId="19294" xr:uid="{00000000-0005-0000-0000-000012A40000}"/>
    <cellStyle name="常规 9 3 3 4 2 2 5 2 2" xfId="43870" xr:uid="{00000000-0005-0000-0000-000013A40000}"/>
    <cellStyle name="常规 9 3 3 4 2 2 5 3" xfId="31582" xr:uid="{00000000-0005-0000-0000-000014A40000}"/>
    <cellStyle name="常规 9 3 3 4 2 2 6" xfId="13150" xr:uid="{00000000-0005-0000-0000-000015A40000}"/>
    <cellStyle name="常规 9 3 3 4 2 2 6 2" xfId="37726" xr:uid="{00000000-0005-0000-0000-000016A40000}"/>
    <cellStyle name="常规 9 3 3 4 2 2 7" xfId="25438" xr:uid="{00000000-0005-0000-0000-000017A40000}"/>
    <cellStyle name="常规 9 3 3 4 2 3" xfId="1242" xr:uid="{00000000-0005-0000-0000-000018A40000}"/>
    <cellStyle name="常规 9 3 3 4 2 3 2" xfId="2778" xr:uid="{00000000-0005-0000-0000-000019A40000}"/>
    <cellStyle name="常规 9 3 3 4 2 3 2 2" xfId="5854" xr:uid="{00000000-0005-0000-0000-00001AA40000}"/>
    <cellStyle name="常规 9 3 3 4 2 3 2 2 2" xfId="11998" xr:uid="{00000000-0005-0000-0000-00001BA40000}"/>
    <cellStyle name="常规 9 3 3 4 2 3 2 2 2 2" xfId="24286" xr:uid="{00000000-0005-0000-0000-00001CA40000}"/>
    <cellStyle name="常规 9 3 3 4 2 3 2 2 2 2 2" xfId="48862" xr:uid="{00000000-0005-0000-0000-00001DA40000}"/>
    <cellStyle name="常规 9 3 3 4 2 3 2 2 2 3" xfId="36574" xr:uid="{00000000-0005-0000-0000-00001EA40000}"/>
    <cellStyle name="常规 9 3 3 4 2 3 2 2 3" xfId="18142" xr:uid="{00000000-0005-0000-0000-00001FA40000}"/>
    <cellStyle name="常规 9 3 3 4 2 3 2 2 3 2" xfId="42718" xr:uid="{00000000-0005-0000-0000-000020A40000}"/>
    <cellStyle name="常规 9 3 3 4 2 3 2 2 4" xfId="30430" xr:uid="{00000000-0005-0000-0000-000021A40000}"/>
    <cellStyle name="常规 9 3 3 4 2 3 2 3" xfId="8926" xr:uid="{00000000-0005-0000-0000-000022A40000}"/>
    <cellStyle name="常规 9 3 3 4 2 3 2 3 2" xfId="21214" xr:uid="{00000000-0005-0000-0000-000023A40000}"/>
    <cellStyle name="常规 9 3 3 4 2 3 2 3 2 2" xfId="45790" xr:uid="{00000000-0005-0000-0000-000024A40000}"/>
    <cellStyle name="常规 9 3 3 4 2 3 2 3 3" xfId="33502" xr:uid="{00000000-0005-0000-0000-000025A40000}"/>
    <cellStyle name="常规 9 3 3 4 2 3 2 4" xfId="15070" xr:uid="{00000000-0005-0000-0000-000026A40000}"/>
    <cellStyle name="常规 9 3 3 4 2 3 2 4 2" xfId="39646" xr:uid="{00000000-0005-0000-0000-000027A40000}"/>
    <cellStyle name="常规 9 3 3 4 2 3 2 5" xfId="27358" xr:uid="{00000000-0005-0000-0000-000028A40000}"/>
    <cellStyle name="常规 9 3 3 4 2 3 3" xfId="4318" xr:uid="{00000000-0005-0000-0000-000029A40000}"/>
    <cellStyle name="常规 9 3 3 4 2 3 3 2" xfId="10462" xr:uid="{00000000-0005-0000-0000-00002AA40000}"/>
    <cellStyle name="常规 9 3 3 4 2 3 3 2 2" xfId="22750" xr:uid="{00000000-0005-0000-0000-00002BA40000}"/>
    <cellStyle name="常规 9 3 3 4 2 3 3 2 2 2" xfId="47326" xr:uid="{00000000-0005-0000-0000-00002CA40000}"/>
    <cellStyle name="常规 9 3 3 4 2 3 3 2 3" xfId="35038" xr:uid="{00000000-0005-0000-0000-00002DA40000}"/>
    <cellStyle name="常规 9 3 3 4 2 3 3 3" xfId="16606" xr:uid="{00000000-0005-0000-0000-00002EA40000}"/>
    <cellStyle name="常规 9 3 3 4 2 3 3 3 2" xfId="41182" xr:uid="{00000000-0005-0000-0000-00002FA40000}"/>
    <cellStyle name="常规 9 3 3 4 2 3 3 4" xfId="28894" xr:uid="{00000000-0005-0000-0000-000030A40000}"/>
    <cellStyle name="常规 9 3 3 4 2 3 4" xfId="7390" xr:uid="{00000000-0005-0000-0000-000031A40000}"/>
    <cellStyle name="常规 9 3 3 4 2 3 4 2" xfId="19678" xr:uid="{00000000-0005-0000-0000-000032A40000}"/>
    <cellStyle name="常规 9 3 3 4 2 3 4 2 2" xfId="44254" xr:uid="{00000000-0005-0000-0000-000033A40000}"/>
    <cellStyle name="常规 9 3 3 4 2 3 4 3" xfId="31966" xr:uid="{00000000-0005-0000-0000-000034A40000}"/>
    <cellStyle name="常规 9 3 3 4 2 3 5" xfId="13534" xr:uid="{00000000-0005-0000-0000-000035A40000}"/>
    <cellStyle name="常规 9 3 3 4 2 3 5 2" xfId="38110" xr:uid="{00000000-0005-0000-0000-000036A40000}"/>
    <cellStyle name="常规 9 3 3 4 2 3 6" xfId="25822" xr:uid="{00000000-0005-0000-0000-000037A40000}"/>
    <cellStyle name="常规 9 3 3 4 2 4" xfId="2010" xr:uid="{00000000-0005-0000-0000-000038A40000}"/>
    <cellStyle name="常规 9 3 3 4 2 4 2" xfId="5086" xr:uid="{00000000-0005-0000-0000-000039A40000}"/>
    <cellStyle name="常规 9 3 3 4 2 4 2 2" xfId="11230" xr:uid="{00000000-0005-0000-0000-00003AA40000}"/>
    <cellStyle name="常规 9 3 3 4 2 4 2 2 2" xfId="23518" xr:uid="{00000000-0005-0000-0000-00003BA40000}"/>
    <cellStyle name="常规 9 3 3 4 2 4 2 2 2 2" xfId="48094" xr:uid="{00000000-0005-0000-0000-00003CA40000}"/>
    <cellStyle name="常规 9 3 3 4 2 4 2 2 3" xfId="35806" xr:uid="{00000000-0005-0000-0000-00003DA40000}"/>
    <cellStyle name="常规 9 3 3 4 2 4 2 3" xfId="17374" xr:uid="{00000000-0005-0000-0000-00003EA40000}"/>
    <cellStyle name="常规 9 3 3 4 2 4 2 3 2" xfId="41950" xr:uid="{00000000-0005-0000-0000-00003FA40000}"/>
    <cellStyle name="常规 9 3 3 4 2 4 2 4" xfId="29662" xr:uid="{00000000-0005-0000-0000-000040A40000}"/>
    <cellStyle name="常规 9 3 3 4 2 4 3" xfId="8158" xr:uid="{00000000-0005-0000-0000-000041A40000}"/>
    <cellStyle name="常规 9 3 3 4 2 4 3 2" xfId="20446" xr:uid="{00000000-0005-0000-0000-000042A40000}"/>
    <cellStyle name="常规 9 3 3 4 2 4 3 2 2" xfId="45022" xr:uid="{00000000-0005-0000-0000-000043A40000}"/>
    <cellStyle name="常规 9 3 3 4 2 4 3 3" xfId="32734" xr:uid="{00000000-0005-0000-0000-000044A40000}"/>
    <cellStyle name="常规 9 3 3 4 2 4 4" xfId="14302" xr:uid="{00000000-0005-0000-0000-000045A40000}"/>
    <cellStyle name="常规 9 3 3 4 2 4 4 2" xfId="38878" xr:uid="{00000000-0005-0000-0000-000046A40000}"/>
    <cellStyle name="常规 9 3 3 4 2 4 5" xfId="26590" xr:uid="{00000000-0005-0000-0000-000047A40000}"/>
    <cellStyle name="常规 9 3 3 4 2 5" xfId="3550" xr:uid="{00000000-0005-0000-0000-000048A40000}"/>
    <cellStyle name="常规 9 3 3 4 2 5 2" xfId="9694" xr:uid="{00000000-0005-0000-0000-000049A40000}"/>
    <cellStyle name="常规 9 3 3 4 2 5 2 2" xfId="21982" xr:uid="{00000000-0005-0000-0000-00004AA40000}"/>
    <cellStyle name="常规 9 3 3 4 2 5 2 2 2" xfId="46558" xr:uid="{00000000-0005-0000-0000-00004BA40000}"/>
    <cellStyle name="常规 9 3 3 4 2 5 2 3" xfId="34270" xr:uid="{00000000-0005-0000-0000-00004CA40000}"/>
    <cellStyle name="常规 9 3 3 4 2 5 3" xfId="15838" xr:uid="{00000000-0005-0000-0000-00004DA40000}"/>
    <cellStyle name="常规 9 3 3 4 2 5 3 2" xfId="40414" xr:uid="{00000000-0005-0000-0000-00004EA40000}"/>
    <cellStyle name="常规 9 3 3 4 2 5 4" xfId="28126" xr:uid="{00000000-0005-0000-0000-00004FA40000}"/>
    <cellStyle name="常规 9 3 3 4 2 6" xfId="6622" xr:uid="{00000000-0005-0000-0000-000050A40000}"/>
    <cellStyle name="常规 9 3 3 4 2 6 2" xfId="18910" xr:uid="{00000000-0005-0000-0000-000051A40000}"/>
    <cellStyle name="常规 9 3 3 4 2 6 2 2" xfId="43486" xr:uid="{00000000-0005-0000-0000-000052A40000}"/>
    <cellStyle name="常规 9 3 3 4 2 6 3" xfId="31198" xr:uid="{00000000-0005-0000-0000-000053A40000}"/>
    <cellStyle name="常规 9 3 3 4 2 7" xfId="12766" xr:uid="{00000000-0005-0000-0000-000054A40000}"/>
    <cellStyle name="常规 9 3 3 4 2 7 2" xfId="37342" xr:uid="{00000000-0005-0000-0000-000055A40000}"/>
    <cellStyle name="常规 9 3 3 4 2 8" xfId="25054" xr:uid="{00000000-0005-0000-0000-000056A40000}"/>
    <cellStyle name="常规 9 3 3 4 3" xfId="666" xr:uid="{00000000-0005-0000-0000-000057A40000}"/>
    <cellStyle name="常规 9 3 3 4 3 2" xfId="1434" xr:uid="{00000000-0005-0000-0000-000058A40000}"/>
    <cellStyle name="常规 9 3 3 4 3 2 2" xfId="2970" xr:uid="{00000000-0005-0000-0000-000059A40000}"/>
    <cellStyle name="常规 9 3 3 4 3 2 2 2" xfId="6046" xr:uid="{00000000-0005-0000-0000-00005AA40000}"/>
    <cellStyle name="常规 9 3 3 4 3 2 2 2 2" xfId="12190" xr:uid="{00000000-0005-0000-0000-00005BA40000}"/>
    <cellStyle name="常规 9 3 3 4 3 2 2 2 2 2" xfId="24478" xr:uid="{00000000-0005-0000-0000-00005CA40000}"/>
    <cellStyle name="常规 9 3 3 4 3 2 2 2 2 2 2" xfId="49054" xr:uid="{00000000-0005-0000-0000-00005DA40000}"/>
    <cellStyle name="常规 9 3 3 4 3 2 2 2 2 3" xfId="36766" xr:uid="{00000000-0005-0000-0000-00005EA40000}"/>
    <cellStyle name="常规 9 3 3 4 3 2 2 2 3" xfId="18334" xr:uid="{00000000-0005-0000-0000-00005FA40000}"/>
    <cellStyle name="常规 9 3 3 4 3 2 2 2 3 2" xfId="42910" xr:uid="{00000000-0005-0000-0000-000060A40000}"/>
    <cellStyle name="常规 9 3 3 4 3 2 2 2 4" xfId="30622" xr:uid="{00000000-0005-0000-0000-000061A40000}"/>
    <cellStyle name="常规 9 3 3 4 3 2 2 3" xfId="9118" xr:uid="{00000000-0005-0000-0000-000062A40000}"/>
    <cellStyle name="常规 9 3 3 4 3 2 2 3 2" xfId="21406" xr:uid="{00000000-0005-0000-0000-000063A40000}"/>
    <cellStyle name="常规 9 3 3 4 3 2 2 3 2 2" xfId="45982" xr:uid="{00000000-0005-0000-0000-000064A40000}"/>
    <cellStyle name="常规 9 3 3 4 3 2 2 3 3" xfId="33694" xr:uid="{00000000-0005-0000-0000-000065A40000}"/>
    <cellStyle name="常规 9 3 3 4 3 2 2 4" xfId="15262" xr:uid="{00000000-0005-0000-0000-000066A40000}"/>
    <cellStyle name="常规 9 3 3 4 3 2 2 4 2" xfId="39838" xr:uid="{00000000-0005-0000-0000-000067A40000}"/>
    <cellStyle name="常规 9 3 3 4 3 2 2 5" xfId="27550" xr:uid="{00000000-0005-0000-0000-000068A40000}"/>
    <cellStyle name="常规 9 3 3 4 3 2 3" xfId="4510" xr:uid="{00000000-0005-0000-0000-000069A40000}"/>
    <cellStyle name="常规 9 3 3 4 3 2 3 2" xfId="10654" xr:uid="{00000000-0005-0000-0000-00006AA40000}"/>
    <cellStyle name="常规 9 3 3 4 3 2 3 2 2" xfId="22942" xr:uid="{00000000-0005-0000-0000-00006BA40000}"/>
    <cellStyle name="常规 9 3 3 4 3 2 3 2 2 2" xfId="47518" xr:uid="{00000000-0005-0000-0000-00006CA40000}"/>
    <cellStyle name="常规 9 3 3 4 3 2 3 2 3" xfId="35230" xr:uid="{00000000-0005-0000-0000-00006DA40000}"/>
    <cellStyle name="常规 9 3 3 4 3 2 3 3" xfId="16798" xr:uid="{00000000-0005-0000-0000-00006EA40000}"/>
    <cellStyle name="常规 9 3 3 4 3 2 3 3 2" xfId="41374" xr:uid="{00000000-0005-0000-0000-00006FA40000}"/>
    <cellStyle name="常规 9 3 3 4 3 2 3 4" xfId="29086" xr:uid="{00000000-0005-0000-0000-000070A40000}"/>
    <cellStyle name="常规 9 3 3 4 3 2 4" xfId="7582" xr:uid="{00000000-0005-0000-0000-000071A40000}"/>
    <cellStyle name="常规 9 3 3 4 3 2 4 2" xfId="19870" xr:uid="{00000000-0005-0000-0000-000072A40000}"/>
    <cellStyle name="常规 9 3 3 4 3 2 4 2 2" xfId="44446" xr:uid="{00000000-0005-0000-0000-000073A40000}"/>
    <cellStyle name="常规 9 3 3 4 3 2 4 3" xfId="32158" xr:uid="{00000000-0005-0000-0000-000074A40000}"/>
    <cellStyle name="常规 9 3 3 4 3 2 5" xfId="13726" xr:uid="{00000000-0005-0000-0000-000075A40000}"/>
    <cellStyle name="常规 9 3 3 4 3 2 5 2" xfId="38302" xr:uid="{00000000-0005-0000-0000-000076A40000}"/>
    <cellStyle name="常规 9 3 3 4 3 2 6" xfId="26014" xr:uid="{00000000-0005-0000-0000-000077A40000}"/>
    <cellStyle name="常规 9 3 3 4 3 3" xfId="2202" xr:uid="{00000000-0005-0000-0000-000078A40000}"/>
    <cellStyle name="常规 9 3 3 4 3 3 2" xfId="5278" xr:uid="{00000000-0005-0000-0000-000079A40000}"/>
    <cellStyle name="常规 9 3 3 4 3 3 2 2" xfId="11422" xr:uid="{00000000-0005-0000-0000-00007AA40000}"/>
    <cellStyle name="常规 9 3 3 4 3 3 2 2 2" xfId="23710" xr:uid="{00000000-0005-0000-0000-00007BA40000}"/>
    <cellStyle name="常规 9 3 3 4 3 3 2 2 2 2" xfId="48286" xr:uid="{00000000-0005-0000-0000-00007CA40000}"/>
    <cellStyle name="常规 9 3 3 4 3 3 2 2 3" xfId="35998" xr:uid="{00000000-0005-0000-0000-00007DA40000}"/>
    <cellStyle name="常规 9 3 3 4 3 3 2 3" xfId="17566" xr:uid="{00000000-0005-0000-0000-00007EA40000}"/>
    <cellStyle name="常规 9 3 3 4 3 3 2 3 2" xfId="42142" xr:uid="{00000000-0005-0000-0000-00007FA40000}"/>
    <cellStyle name="常规 9 3 3 4 3 3 2 4" xfId="29854" xr:uid="{00000000-0005-0000-0000-000080A40000}"/>
    <cellStyle name="常规 9 3 3 4 3 3 3" xfId="8350" xr:uid="{00000000-0005-0000-0000-000081A40000}"/>
    <cellStyle name="常规 9 3 3 4 3 3 3 2" xfId="20638" xr:uid="{00000000-0005-0000-0000-000082A40000}"/>
    <cellStyle name="常规 9 3 3 4 3 3 3 2 2" xfId="45214" xr:uid="{00000000-0005-0000-0000-000083A40000}"/>
    <cellStyle name="常规 9 3 3 4 3 3 3 3" xfId="32926" xr:uid="{00000000-0005-0000-0000-000084A40000}"/>
    <cellStyle name="常规 9 3 3 4 3 3 4" xfId="14494" xr:uid="{00000000-0005-0000-0000-000085A40000}"/>
    <cellStyle name="常规 9 3 3 4 3 3 4 2" xfId="39070" xr:uid="{00000000-0005-0000-0000-000086A40000}"/>
    <cellStyle name="常规 9 3 3 4 3 3 5" xfId="26782" xr:uid="{00000000-0005-0000-0000-000087A40000}"/>
    <cellStyle name="常规 9 3 3 4 3 4" xfId="3742" xr:uid="{00000000-0005-0000-0000-000088A40000}"/>
    <cellStyle name="常规 9 3 3 4 3 4 2" xfId="9886" xr:uid="{00000000-0005-0000-0000-000089A40000}"/>
    <cellStyle name="常规 9 3 3 4 3 4 2 2" xfId="22174" xr:uid="{00000000-0005-0000-0000-00008AA40000}"/>
    <cellStyle name="常规 9 3 3 4 3 4 2 2 2" xfId="46750" xr:uid="{00000000-0005-0000-0000-00008BA40000}"/>
    <cellStyle name="常规 9 3 3 4 3 4 2 3" xfId="34462" xr:uid="{00000000-0005-0000-0000-00008CA40000}"/>
    <cellStyle name="常规 9 3 3 4 3 4 3" xfId="16030" xr:uid="{00000000-0005-0000-0000-00008DA40000}"/>
    <cellStyle name="常规 9 3 3 4 3 4 3 2" xfId="40606" xr:uid="{00000000-0005-0000-0000-00008EA40000}"/>
    <cellStyle name="常规 9 3 3 4 3 4 4" xfId="28318" xr:uid="{00000000-0005-0000-0000-00008FA40000}"/>
    <cellStyle name="常规 9 3 3 4 3 5" xfId="6814" xr:uid="{00000000-0005-0000-0000-000090A40000}"/>
    <cellStyle name="常规 9 3 3 4 3 5 2" xfId="19102" xr:uid="{00000000-0005-0000-0000-000091A40000}"/>
    <cellStyle name="常规 9 3 3 4 3 5 2 2" xfId="43678" xr:uid="{00000000-0005-0000-0000-000092A40000}"/>
    <cellStyle name="常规 9 3 3 4 3 5 3" xfId="31390" xr:uid="{00000000-0005-0000-0000-000093A40000}"/>
    <cellStyle name="常规 9 3 3 4 3 6" xfId="12958" xr:uid="{00000000-0005-0000-0000-000094A40000}"/>
    <cellStyle name="常规 9 3 3 4 3 6 2" xfId="37534" xr:uid="{00000000-0005-0000-0000-000095A40000}"/>
    <cellStyle name="常规 9 3 3 4 3 7" xfId="25246" xr:uid="{00000000-0005-0000-0000-000096A40000}"/>
    <cellStyle name="常规 9 3 3 4 4" xfId="1050" xr:uid="{00000000-0005-0000-0000-000097A40000}"/>
    <cellStyle name="常规 9 3 3 4 4 2" xfId="2586" xr:uid="{00000000-0005-0000-0000-000098A40000}"/>
    <cellStyle name="常规 9 3 3 4 4 2 2" xfId="5662" xr:uid="{00000000-0005-0000-0000-000099A40000}"/>
    <cellStyle name="常规 9 3 3 4 4 2 2 2" xfId="11806" xr:uid="{00000000-0005-0000-0000-00009AA40000}"/>
    <cellStyle name="常规 9 3 3 4 4 2 2 2 2" xfId="24094" xr:uid="{00000000-0005-0000-0000-00009BA40000}"/>
    <cellStyle name="常规 9 3 3 4 4 2 2 2 2 2" xfId="48670" xr:uid="{00000000-0005-0000-0000-00009CA40000}"/>
    <cellStyle name="常规 9 3 3 4 4 2 2 2 3" xfId="36382" xr:uid="{00000000-0005-0000-0000-00009DA40000}"/>
    <cellStyle name="常规 9 3 3 4 4 2 2 3" xfId="17950" xr:uid="{00000000-0005-0000-0000-00009EA40000}"/>
    <cellStyle name="常规 9 3 3 4 4 2 2 3 2" xfId="42526" xr:uid="{00000000-0005-0000-0000-00009FA40000}"/>
    <cellStyle name="常规 9 3 3 4 4 2 2 4" xfId="30238" xr:uid="{00000000-0005-0000-0000-0000A0A40000}"/>
    <cellStyle name="常规 9 3 3 4 4 2 3" xfId="8734" xr:uid="{00000000-0005-0000-0000-0000A1A40000}"/>
    <cellStyle name="常规 9 3 3 4 4 2 3 2" xfId="21022" xr:uid="{00000000-0005-0000-0000-0000A2A40000}"/>
    <cellStyle name="常规 9 3 3 4 4 2 3 2 2" xfId="45598" xr:uid="{00000000-0005-0000-0000-0000A3A40000}"/>
    <cellStyle name="常规 9 3 3 4 4 2 3 3" xfId="33310" xr:uid="{00000000-0005-0000-0000-0000A4A40000}"/>
    <cellStyle name="常规 9 3 3 4 4 2 4" xfId="14878" xr:uid="{00000000-0005-0000-0000-0000A5A40000}"/>
    <cellStyle name="常规 9 3 3 4 4 2 4 2" xfId="39454" xr:uid="{00000000-0005-0000-0000-0000A6A40000}"/>
    <cellStyle name="常规 9 3 3 4 4 2 5" xfId="27166" xr:uid="{00000000-0005-0000-0000-0000A7A40000}"/>
    <cellStyle name="常规 9 3 3 4 4 3" xfId="4126" xr:uid="{00000000-0005-0000-0000-0000A8A40000}"/>
    <cellStyle name="常规 9 3 3 4 4 3 2" xfId="10270" xr:uid="{00000000-0005-0000-0000-0000A9A40000}"/>
    <cellStyle name="常规 9 3 3 4 4 3 2 2" xfId="22558" xr:uid="{00000000-0005-0000-0000-0000AAA40000}"/>
    <cellStyle name="常规 9 3 3 4 4 3 2 2 2" xfId="47134" xr:uid="{00000000-0005-0000-0000-0000ABA40000}"/>
    <cellStyle name="常规 9 3 3 4 4 3 2 3" xfId="34846" xr:uid="{00000000-0005-0000-0000-0000ACA40000}"/>
    <cellStyle name="常规 9 3 3 4 4 3 3" xfId="16414" xr:uid="{00000000-0005-0000-0000-0000ADA40000}"/>
    <cellStyle name="常规 9 3 3 4 4 3 3 2" xfId="40990" xr:uid="{00000000-0005-0000-0000-0000AEA40000}"/>
    <cellStyle name="常规 9 3 3 4 4 3 4" xfId="28702" xr:uid="{00000000-0005-0000-0000-0000AFA40000}"/>
    <cellStyle name="常规 9 3 3 4 4 4" xfId="7198" xr:uid="{00000000-0005-0000-0000-0000B0A40000}"/>
    <cellStyle name="常规 9 3 3 4 4 4 2" xfId="19486" xr:uid="{00000000-0005-0000-0000-0000B1A40000}"/>
    <cellStyle name="常规 9 3 3 4 4 4 2 2" xfId="44062" xr:uid="{00000000-0005-0000-0000-0000B2A40000}"/>
    <cellStyle name="常规 9 3 3 4 4 4 3" xfId="31774" xr:uid="{00000000-0005-0000-0000-0000B3A40000}"/>
    <cellStyle name="常规 9 3 3 4 4 5" xfId="13342" xr:uid="{00000000-0005-0000-0000-0000B4A40000}"/>
    <cellStyle name="常规 9 3 3 4 4 5 2" xfId="37918" xr:uid="{00000000-0005-0000-0000-0000B5A40000}"/>
    <cellStyle name="常规 9 3 3 4 4 6" xfId="25630" xr:uid="{00000000-0005-0000-0000-0000B6A40000}"/>
    <cellStyle name="常规 9 3 3 4 5" xfId="1818" xr:uid="{00000000-0005-0000-0000-0000B7A40000}"/>
    <cellStyle name="常规 9 3 3 4 5 2" xfId="4894" xr:uid="{00000000-0005-0000-0000-0000B8A40000}"/>
    <cellStyle name="常规 9 3 3 4 5 2 2" xfId="11038" xr:uid="{00000000-0005-0000-0000-0000B9A40000}"/>
    <cellStyle name="常规 9 3 3 4 5 2 2 2" xfId="23326" xr:uid="{00000000-0005-0000-0000-0000BAA40000}"/>
    <cellStyle name="常规 9 3 3 4 5 2 2 2 2" xfId="47902" xr:uid="{00000000-0005-0000-0000-0000BBA40000}"/>
    <cellStyle name="常规 9 3 3 4 5 2 2 3" xfId="35614" xr:uid="{00000000-0005-0000-0000-0000BCA40000}"/>
    <cellStyle name="常规 9 3 3 4 5 2 3" xfId="17182" xr:uid="{00000000-0005-0000-0000-0000BDA40000}"/>
    <cellStyle name="常规 9 3 3 4 5 2 3 2" xfId="41758" xr:uid="{00000000-0005-0000-0000-0000BEA40000}"/>
    <cellStyle name="常规 9 3 3 4 5 2 4" xfId="29470" xr:uid="{00000000-0005-0000-0000-0000BFA40000}"/>
    <cellStyle name="常规 9 3 3 4 5 3" xfId="7966" xr:uid="{00000000-0005-0000-0000-0000C0A40000}"/>
    <cellStyle name="常规 9 3 3 4 5 3 2" xfId="20254" xr:uid="{00000000-0005-0000-0000-0000C1A40000}"/>
    <cellStyle name="常规 9 3 3 4 5 3 2 2" xfId="44830" xr:uid="{00000000-0005-0000-0000-0000C2A40000}"/>
    <cellStyle name="常规 9 3 3 4 5 3 3" xfId="32542" xr:uid="{00000000-0005-0000-0000-0000C3A40000}"/>
    <cellStyle name="常规 9 3 3 4 5 4" xfId="14110" xr:uid="{00000000-0005-0000-0000-0000C4A40000}"/>
    <cellStyle name="常规 9 3 3 4 5 4 2" xfId="38686" xr:uid="{00000000-0005-0000-0000-0000C5A40000}"/>
    <cellStyle name="常规 9 3 3 4 5 5" xfId="26398" xr:uid="{00000000-0005-0000-0000-0000C6A40000}"/>
    <cellStyle name="常规 9 3 3 4 6" xfId="3358" xr:uid="{00000000-0005-0000-0000-0000C7A40000}"/>
    <cellStyle name="常规 9 3 3 4 6 2" xfId="9502" xr:uid="{00000000-0005-0000-0000-0000C8A40000}"/>
    <cellStyle name="常规 9 3 3 4 6 2 2" xfId="21790" xr:uid="{00000000-0005-0000-0000-0000C9A40000}"/>
    <cellStyle name="常规 9 3 3 4 6 2 2 2" xfId="46366" xr:uid="{00000000-0005-0000-0000-0000CAA40000}"/>
    <cellStyle name="常规 9 3 3 4 6 2 3" xfId="34078" xr:uid="{00000000-0005-0000-0000-0000CBA40000}"/>
    <cellStyle name="常规 9 3 3 4 6 3" xfId="15646" xr:uid="{00000000-0005-0000-0000-0000CCA40000}"/>
    <cellStyle name="常规 9 3 3 4 6 3 2" xfId="40222" xr:uid="{00000000-0005-0000-0000-0000CDA40000}"/>
    <cellStyle name="常规 9 3 3 4 6 4" xfId="27934" xr:uid="{00000000-0005-0000-0000-0000CEA40000}"/>
    <cellStyle name="常规 9 3 3 4 7" xfId="6430" xr:uid="{00000000-0005-0000-0000-0000CFA40000}"/>
    <cellStyle name="常规 9 3 3 4 7 2" xfId="18718" xr:uid="{00000000-0005-0000-0000-0000D0A40000}"/>
    <cellStyle name="常规 9 3 3 4 7 2 2" xfId="43294" xr:uid="{00000000-0005-0000-0000-0000D1A40000}"/>
    <cellStyle name="常规 9 3 3 4 7 3" xfId="31006" xr:uid="{00000000-0005-0000-0000-0000D2A40000}"/>
    <cellStyle name="常规 9 3 3 4 8" xfId="12574" xr:uid="{00000000-0005-0000-0000-0000D3A40000}"/>
    <cellStyle name="常规 9 3 3 4 8 2" xfId="37150" xr:uid="{00000000-0005-0000-0000-0000D4A40000}"/>
    <cellStyle name="常规 9 3 3 4 9" xfId="24862" xr:uid="{00000000-0005-0000-0000-0000D5A40000}"/>
    <cellStyle name="常规 9 3 3 5" xfId="346" xr:uid="{00000000-0005-0000-0000-0000D6A40000}"/>
    <cellStyle name="常规 9 3 3 5 2" xfId="730" xr:uid="{00000000-0005-0000-0000-0000D7A40000}"/>
    <cellStyle name="常规 9 3 3 5 2 2" xfId="1498" xr:uid="{00000000-0005-0000-0000-0000D8A40000}"/>
    <cellStyle name="常规 9 3 3 5 2 2 2" xfId="3034" xr:uid="{00000000-0005-0000-0000-0000D9A40000}"/>
    <cellStyle name="常规 9 3 3 5 2 2 2 2" xfId="6110" xr:uid="{00000000-0005-0000-0000-0000DAA40000}"/>
    <cellStyle name="常规 9 3 3 5 2 2 2 2 2" xfId="12254" xr:uid="{00000000-0005-0000-0000-0000DBA40000}"/>
    <cellStyle name="常规 9 3 3 5 2 2 2 2 2 2" xfId="24542" xr:uid="{00000000-0005-0000-0000-0000DCA40000}"/>
    <cellStyle name="常规 9 3 3 5 2 2 2 2 2 2 2" xfId="49118" xr:uid="{00000000-0005-0000-0000-0000DDA40000}"/>
    <cellStyle name="常规 9 3 3 5 2 2 2 2 2 3" xfId="36830" xr:uid="{00000000-0005-0000-0000-0000DEA40000}"/>
    <cellStyle name="常规 9 3 3 5 2 2 2 2 3" xfId="18398" xr:uid="{00000000-0005-0000-0000-0000DFA40000}"/>
    <cellStyle name="常规 9 3 3 5 2 2 2 2 3 2" xfId="42974" xr:uid="{00000000-0005-0000-0000-0000E0A40000}"/>
    <cellStyle name="常规 9 3 3 5 2 2 2 2 4" xfId="30686" xr:uid="{00000000-0005-0000-0000-0000E1A40000}"/>
    <cellStyle name="常规 9 3 3 5 2 2 2 3" xfId="9182" xr:uid="{00000000-0005-0000-0000-0000E2A40000}"/>
    <cellStyle name="常规 9 3 3 5 2 2 2 3 2" xfId="21470" xr:uid="{00000000-0005-0000-0000-0000E3A40000}"/>
    <cellStyle name="常规 9 3 3 5 2 2 2 3 2 2" xfId="46046" xr:uid="{00000000-0005-0000-0000-0000E4A40000}"/>
    <cellStyle name="常规 9 3 3 5 2 2 2 3 3" xfId="33758" xr:uid="{00000000-0005-0000-0000-0000E5A40000}"/>
    <cellStyle name="常规 9 3 3 5 2 2 2 4" xfId="15326" xr:uid="{00000000-0005-0000-0000-0000E6A40000}"/>
    <cellStyle name="常规 9 3 3 5 2 2 2 4 2" xfId="39902" xr:uid="{00000000-0005-0000-0000-0000E7A40000}"/>
    <cellStyle name="常规 9 3 3 5 2 2 2 5" xfId="27614" xr:uid="{00000000-0005-0000-0000-0000E8A40000}"/>
    <cellStyle name="常规 9 3 3 5 2 2 3" xfId="4574" xr:uid="{00000000-0005-0000-0000-0000E9A40000}"/>
    <cellStyle name="常规 9 3 3 5 2 2 3 2" xfId="10718" xr:uid="{00000000-0005-0000-0000-0000EAA40000}"/>
    <cellStyle name="常规 9 3 3 5 2 2 3 2 2" xfId="23006" xr:uid="{00000000-0005-0000-0000-0000EBA40000}"/>
    <cellStyle name="常规 9 3 3 5 2 2 3 2 2 2" xfId="47582" xr:uid="{00000000-0005-0000-0000-0000ECA40000}"/>
    <cellStyle name="常规 9 3 3 5 2 2 3 2 3" xfId="35294" xr:uid="{00000000-0005-0000-0000-0000EDA40000}"/>
    <cellStyle name="常规 9 3 3 5 2 2 3 3" xfId="16862" xr:uid="{00000000-0005-0000-0000-0000EEA40000}"/>
    <cellStyle name="常规 9 3 3 5 2 2 3 3 2" xfId="41438" xr:uid="{00000000-0005-0000-0000-0000EFA40000}"/>
    <cellStyle name="常规 9 3 3 5 2 2 3 4" xfId="29150" xr:uid="{00000000-0005-0000-0000-0000F0A40000}"/>
    <cellStyle name="常规 9 3 3 5 2 2 4" xfId="7646" xr:uid="{00000000-0005-0000-0000-0000F1A40000}"/>
    <cellStyle name="常规 9 3 3 5 2 2 4 2" xfId="19934" xr:uid="{00000000-0005-0000-0000-0000F2A40000}"/>
    <cellStyle name="常规 9 3 3 5 2 2 4 2 2" xfId="44510" xr:uid="{00000000-0005-0000-0000-0000F3A40000}"/>
    <cellStyle name="常规 9 3 3 5 2 2 4 3" xfId="32222" xr:uid="{00000000-0005-0000-0000-0000F4A40000}"/>
    <cellStyle name="常规 9 3 3 5 2 2 5" xfId="13790" xr:uid="{00000000-0005-0000-0000-0000F5A40000}"/>
    <cellStyle name="常规 9 3 3 5 2 2 5 2" xfId="38366" xr:uid="{00000000-0005-0000-0000-0000F6A40000}"/>
    <cellStyle name="常规 9 3 3 5 2 2 6" xfId="26078" xr:uid="{00000000-0005-0000-0000-0000F7A40000}"/>
    <cellStyle name="常规 9 3 3 5 2 3" xfId="2266" xr:uid="{00000000-0005-0000-0000-0000F8A40000}"/>
    <cellStyle name="常规 9 3 3 5 2 3 2" xfId="5342" xr:uid="{00000000-0005-0000-0000-0000F9A40000}"/>
    <cellStyle name="常规 9 3 3 5 2 3 2 2" xfId="11486" xr:uid="{00000000-0005-0000-0000-0000FAA40000}"/>
    <cellStyle name="常规 9 3 3 5 2 3 2 2 2" xfId="23774" xr:uid="{00000000-0005-0000-0000-0000FBA40000}"/>
    <cellStyle name="常规 9 3 3 5 2 3 2 2 2 2" xfId="48350" xr:uid="{00000000-0005-0000-0000-0000FCA40000}"/>
    <cellStyle name="常规 9 3 3 5 2 3 2 2 3" xfId="36062" xr:uid="{00000000-0005-0000-0000-0000FDA40000}"/>
    <cellStyle name="常规 9 3 3 5 2 3 2 3" xfId="17630" xr:uid="{00000000-0005-0000-0000-0000FEA40000}"/>
    <cellStyle name="常规 9 3 3 5 2 3 2 3 2" xfId="42206" xr:uid="{00000000-0005-0000-0000-0000FFA40000}"/>
    <cellStyle name="常规 9 3 3 5 2 3 2 4" xfId="29918" xr:uid="{00000000-0005-0000-0000-000000A50000}"/>
    <cellStyle name="常规 9 3 3 5 2 3 3" xfId="8414" xr:uid="{00000000-0005-0000-0000-000001A50000}"/>
    <cellStyle name="常规 9 3 3 5 2 3 3 2" xfId="20702" xr:uid="{00000000-0005-0000-0000-000002A50000}"/>
    <cellStyle name="常规 9 3 3 5 2 3 3 2 2" xfId="45278" xr:uid="{00000000-0005-0000-0000-000003A50000}"/>
    <cellStyle name="常规 9 3 3 5 2 3 3 3" xfId="32990" xr:uid="{00000000-0005-0000-0000-000004A50000}"/>
    <cellStyle name="常规 9 3 3 5 2 3 4" xfId="14558" xr:uid="{00000000-0005-0000-0000-000005A50000}"/>
    <cellStyle name="常规 9 3 3 5 2 3 4 2" xfId="39134" xr:uid="{00000000-0005-0000-0000-000006A50000}"/>
    <cellStyle name="常规 9 3 3 5 2 3 5" xfId="26846" xr:uid="{00000000-0005-0000-0000-000007A50000}"/>
    <cellStyle name="常规 9 3 3 5 2 4" xfId="3806" xr:uid="{00000000-0005-0000-0000-000008A50000}"/>
    <cellStyle name="常规 9 3 3 5 2 4 2" xfId="9950" xr:uid="{00000000-0005-0000-0000-000009A50000}"/>
    <cellStyle name="常规 9 3 3 5 2 4 2 2" xfId="22238" xr:uid="{00000000-0005-0000-0000-00000AA50000}"/>
    <cellStyle name="常规 9 3 3 5 2 4 2 2 2" xfId="46814" xr:uid="{00000000-0005-0000-0000-00000BA50000}"/>
    <cellStyle name="常规 9 3 3 5 2 4 2 3" xfId="34526" xr:uid="{00000000-0005-0000-0000-00000CA50000}"/>
    <cellStyle name="常规 9 3 3 5 2 4 3" xfId="16094" xr:uid="{00000000-0005-0000-0000-00000DA50000}"/>
    <cellStyle name="常规 9 3 3 5 2 4 3 2" xfId="40670" xr:uid="{00000000-0005-0000-0000-00000EA50000}"/>
    <cellStyle name="常规 9 3 3 5 2 4 4" xfId="28382" xr:uid="{00000000-0005-0000-0000-00000FA50000}"/>
    <cellStyle name="常规 9 3 3 5 2 5" xfId="6878" xr:uid="{00000000-0005-0000-0000-000010A50000}"/>
    <cellStyle name="常规 9 3 3 5 2 5 2" xfId="19166" xr:uid="{00000000-0005-0000-0000-000011A50000}"/>
    <cellStyle name="常规 9 3 3 5 2 5 2 2" xfId="43742" xr:uid="{00000000-0005-0000-0000-000012A50000}"/>
    <cellStyle name="常规 9 3 3 5 2 5 3" xfId="31454" xr:uid="{00000000-0005-0000-0000-000013A50000}"/>
    <cellStyle name="常规 9 3 3 5 2 6" xfId="13022" xr:uid="{00000000-0005-0000-0000-000014A50000}"/>
    <cellStyle name="常规 9 3 3 5 2 6 2" xfId="37598" xr:uid="{00000000-0005-0000-0000-000015A50000}"/>
    <cellStyle name="常规 9 3 3 5 2 7" xfId="25310" xr:uid="{00000000-0005-0000-0000-000016A50000}"/>
    <cellStyle name="常规 9 3 3 5 3" xfId="1114" xr:uid="{00000000-0005-0000-0000-000017A50000}"/>
    <cellStyle name="常规 9 3 3 5 3 2" xfId="2650" xr:uid="{00000000-0005-0000-0000-000018A50000}"/>
    <cellStyle name="常规 9 3 3 5 3 2 2" xfId="5726" xr:uid="{00000000-0005-0000-0000-000019A50000}"/>
    <cellStyle name="常规 9 3 3 5 3 2 2 2" xfId="11870" xr:uid="{00000000-0005-0000-0000-00001AA50000}"/>
    <cellStyle name="常规 9 3 3 5 3 2 2 2 2" xfId="24158" xr:uid="{00000000-0005-0000-0000-00001BA50000}"/>
    <cellStyle name="常规 9 3 3 5 3 2 2 2 2 2" xfId="48734" xr:uid="{00000000-0005-0000-0000-00001CA50000}"/>
    <cellStyle name="常规 9 3 3 5 3 2 2 2 3" xfId="36446" xr:uid="{00000000-0005-0000-0000-00001DA50000}"/>
    <cellStyle name="常规 9 3 3 5 3 2 2 3" xfId="18014" xr:uid="{00000000-0005-0000-0000-00001EA50000}"/>
    <cellStyle name="常规 9 3 3 5 3 2 2 3 2" xfId="42590" xr:uid="{00000000-0005-0000-0000-00001FA50000}"/>
    <cellStyle name="常规 9 3 3 5 3 2 2 4" xfId="30302" xr:uid="{00000000-0005-0000-0000-000020A50000}"/>
    <cellStyle name="常规 9 3 3 5 3 2 3" xfId="8798" xr:uid="{00000000-0005-0000-0000-000021A50000}"/>
    <cellStyle name="常规 9 3 3 5 3 2 3 2" xfId="21086" xr:uid="{00000000-0005-0000-0000-000022A50000}"/>
    <cellStyle name="常规 9 3 3 5 3 2 3 2 2" xfId="45662" xr:uid="{00000000-0005-0000-0000-000023A50000}"/>
    <cellStyle name="常规 9 3 3 5 3 2 3 3" xfId="33374" xr:uid="{00000000-0005-0000-0000-000024A50000}"/>
    <cellStyle name="常规 9 3 3 5 3 2 4" xfId="14942" xr:uid="{00000000-0005-0000-0000-000025A50000}"/>
    <cellStyle name="常规 9 3 3 5 3 2 4 2" xfId="39518" xr:uid="{00000000-0005-0000-0000-000026A50000}"/>
    <cellStyle name="常规 9 3 3 5 3 2 5" xfId="27230" xr:uid="{00000000-0005-0000-0000-000027A50000}"/>
    <cellStyle name="常规 9 3 3 5 3 3" xfId="4190" xr:uid="{00000000-0005-0000-0000-000028A50000}"/>
    <cellStyle name="常规 9 3 3 5 3 3 2" xfId="10334" xr:uid="{00000000-0005-0000-0000-000029A50000}"/>
    <cellStyle name="常规 9 3 3 5 3 3 2 2" xfId="22622" xr:uid="{00000000-0005-0000-0000-00002AA50000}"/>
    <cellStyle name="常规 9 3 3 5 3 3 2 2 2" xfId="47198" xr:uid="{00000000-0005-0000-0000-00002BA50000}"/>
    <cellStyle name="常规 9 3 3 5 3 3 2 3" xfId="34910" xr:uid="{00000000-0005-0000-0000-00002CA50000}"/>
    <cellStyle name="常规 9 3 3 5 3 3 3" xfId="16478" xr:uid="{00000000-0005-0000-0000-00002DA50000}"/>
    <cellStyle name="常规 9 3 3 5 3 3 3 2" xfId="41054" xr:uid="{00000000-0005-0000-0000-00002EA50000}"/>
    <cellStyle name="常规 9 3 3 5 3 3 4" xfId="28766" xr:uid="{00000000-0005-0000-0000-00002FA50000}"/>
    <cellStyle name="常规 9 3 3 5 3 4" xfId="7262" xr:uid="{00000000-0005-0000-0000-000030A50000}"/>
    <cellStyle name="常规 9 3 3 5 3 4 2" xfId="19550" xr:uid="{00000000-0005-0000-0000-000031A50000}"/>
    <cellStyle name="常规 9 3 3 5 3 4 2 2" xfId="44126" xr:uid="{00000000-0005-0000-0000-000032A50000}"/>
    <cellStyle name="常规 9 3 3 5 3 4 3" xfId="31838" xr:uid="{00000000-0005-0000-0000-000033A50000}"/>
    <cellStyle name="常规 9 3 3 5 3 5" xfId="13406" xr:uid="{00000000-0005-0000-0000-000034A50000}"/>
    <cellStyle name="常规 9 3 3 5 3 5 2" xfId="37982" xr:uid="{00000000-0005-0000-0000-000035A50000}"/>
    <cellStyle name="常规 9 3 3 5 3 6" xfId="25694" xr:uid="{00000000-0005-0000-0000-000036A50000}"/>
    <cellStyle name="常规 9 3 3 5 4" xfId="1882" xr:uid="{00000000-0005-0000-0000-000037A50000}"/>
    <cellStyle name="常规 9 3 3 5 4 2" xfId="4958" xr:uid="{00000000-0005-0000-0000-000038A50000}"/>
    <cellStyle name="常规 9 3 3 5 4 2 2" xfId="11102" xr:uid="{00000000-0005-0000-0000-000039A50000}"/>
    <cellStyle name="常规 9 3 3 5 4 2 2 2" xfId="23390" xr:uid="{00000000-0005-0000-0000-00003AA50000}"/>
    <cellStyle name="常规 9 3 3 5 4 2 2 2 2" xfId="47966" xr:uid="{00000000-0005-0000-0000-00003BA50000}"/>
    <cellStyle name="常规 9 3 3 5 4 2 2 3" xfId="35678" xr:uid="{00000000-0005-0000-0000-00003CA50000}"/>
    <cellStyle name="常规 9 3 3 5 4 2 3" xfId="17246" xr:uid="{00000000-0005-0000-0000-00003DA50000}"/>
    <cellStyle name="常规 9 3 3 5 4 2 3 2" xfId="41822" xr:uid="{00000000-0005-0000-0000-00003EA50000}"/>
    <cellStyle name="常规 9 3 3 5 4 2 4" xfId="29534" xr:uid="{00000000-0005-0000-0000-00003FA50000}"/>
    <cellStyle name="常规 9 3 3 5 4 3" xfId="8030" xr:uid="{00000000-0005-0000-0000-000040A50000}"/>
    <cellStyle name="常规 9 3 3 5 4 3 2" xfId="20318" xr:uid="{00000000-0005-0000-0000-000041A50000}"/>
    <cellStyle name="常规 9 3 3 5 4 3 2 2" xfId="44894" xr:uid="{00000000-0005-0000-0000-000042A50000}"/>
    <cellStyle name="常规 9 3 3 5 4 3 3" xfId="32606" xr:uid="{00000000-0005-0000-0000-000043A50000}"/>
    <cellStyle name="常规 9 3 3 5 4 4" xfId="14174" xr:uid="{00000000-0005-0000-0000-000044A50000}"/>
    <cellStyle name="常规 9 3 3 5 4 4 2" xfId="38750" xr:uid="{00000000-0005-0000-0000-000045A50000}"/>
    <cellStyle name="常规 9 3 3 5 4 5" xfId="26462" xr:uid="{00000000-0005-0000-0000-000046A50000}"/>
    <cellStyle name="常规 9 3 3 5 5" xfId="3422" xr:uid="{00000000-0005-0000-0000-000047A50000}"/>
    <cellStyle name="常规 9 3 3 5 5 2" xfId="9566" xr:uid="{00000000-0005-0000-0000-000048A50000}"/>
    <cellStyle name="常规 9 3 3 5 5 2 2" xfId="21854" xr:uid="{00000000-0005-0000-0000-000049A50000}"/>
    <cellStyle name="常规 9 3 3 5 5 2 2 2" xfId="46430" xr:uid="{00000000-0005-0000-0000-00004AA50000}"/>
    <cellStyle name="常规 9 3 3 5 5 2 3" xfId="34142" xr:uid="{00000000-0005-0000-0000-00004BA50000}"/>
    <cellStyle name="常规 9 3 3 5 5 3" xfId="15710" xr:uid="{00000000-0005-0000-0000-00004CA50000}"/>
    <cellStyle name="常规 9 3 3 5 5 3 2" xfId="40286" xr:uid="{00000000-0005-0000-0000-00004DA50000}"/>
    <cellStyle name="常规 9 3 3 5 5 4" xfId="27998" xr:uid="{00000000-0005-0000-0000-00004EA50000}"/>
    <cellStyle name="常规 9 3 3 5 6" xfId="6494" xr:uid="{00000000-0005-0000-0000-00004FA50000}"/>
    <cellStyle name="常规 9 3 3 5 6 2" xfId="18782" xr:uid="{00000000-0005-0000-0000-000050A50000}"/>
    <cellStyle name="常规 9 3 3 5 6 2 2" xfId="43358" xr:uid="{00000000-0005-0000-0000-000051A50000}"/>
    <cellStyle name="常规 9 3 3 5 6 3" xfId="31070" xr:uid="{00000000-0005-0000-0000-000052A50000}"/>
    <cellStyle name="常规 9 3 3 5 7" xfId="12638" xr:uid="{00000000-0005-0000-0000-000053A50000}"/>
    <cellStyle name="常规 9 3 3 5 7 2" xfId="37214" xr:uid="{00000000-0005-0000-0000-000054A50000}"/>
    <cellStyle name="常规 9 3 3 5 8" xfId="24926" xr:uid="{00000000-0005-0000-0000-000055A50000}"/>
    <cellStyle name="常规 9 3 3 6" xfId="538" xr:uid="{00000000-0005-0000-0000-000056A50000}"/>
    <cellStyle name="常规 9 3 3 6 2" xfId="1306" xr:uid="{00000000-0005-0000-0000-000057A50000}"/>
    <cellStyle name="常规 9 3 3 6 2 2" xfId="2842" xr:uid="{00000000-0005-0000-0000-000058A50000}"/>
    <cellStyle name="常规 9 3 3 6 2 2 2" xfId="5918" xr:uid="{00000000-0005-0000-0000-000059A50000}"/>
    <cellStyle name="常规 9 3 3 6 2 2 2 2" xfId="12062" xr:uid="{00000000-0005-0000-0000-00005AA50000}"/>
    <cellStyle name="常规 9 3 3 6 2 2 2 2 2" xfId="24350" xr:uid="{00000000-0005-0000-0000-00005BA50000}"/>
    <cellStyle name="常规 9 3 3 6 2 2 2 2 2 2" xfId="48926" xr:uid="{00000000-0005-0000-0000-00005CA50000}"/>
    <cellStyle name="常规 9 3 3 6 2 2 2 2 3" xfId="36638" xr:uid="{00000000-0005-0000-0000-00005DA50000}"/>
    <cellStyle name="常规 9 3 3 6 2 2 2 3" xfId="18206" xr:uid="{00000000-0005-0000-0000-00005EA50000}"/>
    <cellStyle name="常规 9 3 3 6 2 2 2 3 2" xfId="42782" xr:uid="{00000000-0005-0000-0000-00005FA50000}"/>
    <cellStyle name="常规 9 3 3 6 2 2 2 4" xfId="30494" xr:uid="{00000000-0005-0000-0000-000060A50000}"/>
    <cellStyle name="常规 9 3 3 6 2 2 3" xfId="8990" xr:uid="{00000000-0005-0000-0000-000061A50000}"/>
    <cellStyle name="常规 9 3 3 6 2 2 3 2" xfId="21278" xr:uid="{00000000-0005-0000-0000-000062A50000}"/>
    <cellStyle name="常规 9 3 3 6 2 2 3 2 2" xfId="45854" xr:uid="{00000000-0005-0000-0000-000063A50000}"/>
    <cellStyle name="常规 9 3 3 6 2 2 3 3" xfId="33566" xr:uid="{00000000-0005-0000-0000-000064A50000}"/>
    <cellStyle name="常规 9 3 3 6 2 2 4" xfId="15134" xr:uid="{00000000-0005-0000-0000-000065A50000}"/>
    <cellStyle name="常规 9 3 3 6 2 2 4 2" xfId="39710" xr:uid="{00000000-0005-0000-0000-000066A50000}"/>
    <cellStyle name="常规 9 3 3 6 2 2 5" xfId="27422" xr:uid="{00000000-0005-0000-0000-000067A50000}"/>
    <cellStyle name="常规 9 3 3 6 2 3" xfId="4382" xr:uid="{00000000-0005-0000-0000-000068A50000}"/>
    <cellStyle name="常规 9 3 3 6 2 3 2" xfId="10526" xr:uid="{00000000-0005-0000-0000-000069A50000}"/>
    <cellStyle name="常规 9 3 3 6 2 3 2 2" xfId="22814" xr:uid="{00000000-0005-0000-0000-00006AA50000}"/>
    <cellStyle name="常规 9 3 3 6 2 3 2 2 2" xfId="47390" xr:uid="{00000000-0005-0000-0000-00006BA50000}"/>
    <cellStyle name="常规 9 3 3 6 2 3 2 3" xfId="35102" xr:uid="{00000000-0005-0000-0000-00006CA50000}"/>
    <cellStyle name="常规 9 3 3 6 2 3 3" xfId="16670" xr:uid="{00000000-0005-0000-0000-00006DA50000}"/>
    <cellStyle name="常规 9 3 3 6 2 3 3 2" xfId="41246" xr:uid="{00000000-0005-0000-0000-00006EA50000}"/>
    <cellStyle name="常规 9 3 3 6 2 3 4" xfId="28958" xr:uid="{00000000-0005-0000-0000-00006FA50000}"/>
    <cellStyle name="常规 9 3 3 6 2 4" xfId="7454" xr:uid="{00000000-0005-0000-0000-000070A50000}"/>
    <cellStyle name="常规 9 3 3 6 2 4 2" xfId="19742" xr:uid="{00000000-0005-0000-0000-000071A50000}"/>
    <cellStyle name="常规 9 3 3 6 2 4 2 2" xfId="44318" xr:uid="{00000000-0005-0000-0000-000072A50000}"/>
    <cellStyle name="常规 9 3 3 6 2 4 3" xfId="32030" xr:uid="{00000000-0005-0000-0000-000073A50000}"/>
    <cellStyle name="常规 9 3 3 6 2 5" xfId="13598" xr:uid="{00000000-0005-0000-0000-000074A50000}"/>
    <cellStyle name="常规 9 3 3 6 2 5 2" xfId="38174" xr:uid="{00000000-0005-0000-0000-000075A50000}"/>
    <cellStyle name="常规 9 3 3 6 2 6" xfId="25886" xr:uid="{00000000-0005-0000-0000-000076A50000}"/>
    <cellStyle name="常规 9 3 3 6 3" xfId="2074" xr:uid="{00000000-0005-0000-0000-000077A50000}"/>
    <cellStyle name="常规 9 3 3 6 3 2" xfId="5150" xr:uid="{00000000-0005-0000-0000-000078A50000}"/>
    <cellStyle name="常规 9 3 3 6 3 2 2" xfId="11294" xr:uid="{00000000-0005-0000-0000-000079A50000}"/>
    <cellStyle name="常规 9 3 3 6 3 2 2 2" xfId="23582" xr:uid="{00000000-0005-0000-0000-00007AA50000}"/>
    <cellStyle name="常规 9 3 3 6 3 2 2 2 2" xfId="48158" xr:uid="{00000000-0005-0000-0000-00007BA50000}"/>
    <cellStyle name="常规 9 3 3 6 3 2 2 3" xfId="35870" xr:uid="{00000000-0005-0000-0000-00007CA50000}"/>
    <cellStyle name="常规 9 3 3 6 3 2 3" xfId="17438" xr:uid="{00000000-0005-0000-0000-00007DA50000}"/>
    <cellStyle name="常规 9 3 3 6 3 2 3 2" xfId="42014" xr:uid="{00000000-0005-0000-0000-00007EA50000}"/>
    <cellStyle name="常规 9 3 3 6 3 2 4" xfId="29726" xr:uid="{00000000-0005-0000-0000-00007FA50000}"/>
    <cellStyle name="常规 9 3 3 6 3 3" xfId="8222" xr:uid="{00000000-0005-0000-0000-000080A50000}"/>
    <cellStyle name="常规 9 3 3 6 3 3 2" xfId="20510" xr:uid="{00000000-0005-0000-0000-000081A50000}"/>
    <cellStyle name="常规 9 3 3 6 3 3 2 2" xfId="45086" xr:uid="{00000000-0005-0000-0000-000082A50000}"/>
    <cellStyle name="常规 9 3 3 6 3 3 3" xfId="32798" xr:uid="{00000000-0005-0000-0000-000083A50000}"/>
    <cellStyle name="常规 9 3 3 6 3 4" xfId="14366" xr:uid="{00000000-0005-0000-0000-000084A50000}"/>
    <cellStyle name="常规 9 3 3 6 3 4 2" xfId="38942" xr:uid="{00000000-0005-0000-0000-000085A50000}"/>
    <cellStyle name="常规 9 3 3 6 3 5" xfId="26654" xr:uid="{00000000-0005-0000-0000-000086A50000}"/>
    <cellStyle name="常规 9 3 3 6 4" xfId="3614" xr:uid="{00000000-0005-0000-0000-000087A50000}"/>
    <cellStyle name="常规 9 3 3 6 4 2" xfId="9758" xr:uid="{00000000-0005-0000-0000-000088A50000}"/>
    <cellStyle name="常规 9 3 3 6 4 2 2" xfId="22046" xr:uid="{00000000-0005-0000-0000-000089A50000}"/>
    <cellStyle name="常规 9 3 3 6 4 2 2 2" xfId="46622" xr:uid="{00000000-0005-0000-0000-00008AA50000}"/>
    <cellStyle name="常规 9 3 3 6 4 2 3" xfId="34334" xr:uid="{00000000-0005-0000-0000-00008BA50000}"/>
    <cellStyle name="常规 9 3 3 6 4 3" xfId="15902" xr:uid="{00000000-0005-0000-0000-00008CA50000}"/>
    <cellStyle name="常规 9 3 3 6 4 3 2" xfId="40478" xr:uid="{00000000-0005-0000-0000-00008DA50000}"/>
    <cellStyle name="常规 9 3 3 6 4 4" xfId="28190" xr:uid="{00000000-0005-0000-0000-00008EA50000}"/>
    <cellStyle name="常规 9 3 3 6 5" xfId="6686" xr:uid="{00000000-0005-0000-0000-00008FA50000}"/>
    <cellStyle name="常规 9 3 3 6 5 2" xfId="18974" xr:uid="{00000000-0005-0000-0000-000090A50000}"/>
    <cellStyle name="常规 9 3 3 6 5 2 2" xfId="43550" xr:uid="{00000000-0005-0000-0000-000091A50000}"/>
    <cellStyle name="常规 9 3 3 6 5 3" xfId="31262" xr:uid="{00000000-0005-0000-0000-000092A50000}"/>
    <cellStyle name="常规 9 3 3 6 6" xfId="12830" xr:uid="{00000000-0005-0000-0000-000093A50000}"/>
    <cellStyle name="常规 9 3 3 6 6 2" xfId="37406" xr:uid="{00000000-0005-0000-0000-000094A50000}"/>
    <cellStyle name="常规 9 3 3 6 7" xfId="25118" xr:uid="{00000000-0005-0000-0000-000095A50000}"/>
    <cellStyle name="常规 9 3 3 7" xfId="922" xr:uid="{00000000-0005-0000-0000-000096A50000}"/>
    <cellStyle name="常规 9 3 3 7 2" xfId="2458" xr:uid="{00000000-0005-0000-0000-000097A50000}"/>
    <cellStyle name="常规 9 3 3 7 2 2" xfId="5534" xr:uid="{00000000-0005-0000-0000-000098A50000}"/>
    <cellStyle name="常规 9 3 3 7 2 2 2" xfId="11678" xr:uid="{00000000-0005-0000-0000-000099A50000}"/>
    <cellStyle name="常规 9 3 3 7 2 2 2 2" xfId="23966" xr:uid="{00000000-0005-0000-0000-00009AA50000}"/>
    <cellStyle name="常规 9 3 3 7 2 2 2 2 2" xfId="48542" xr:uid="{00000000-0005-0000-0000-00009BA50000}"/>
    <cellStyle name="常规 9 3 3 7 2 2 2 3" xfId="36254" xr:uid="{00000000-0005-0000-0000-00009CA50000}"/>
    <cellStyle name="常规 9 3 3 7 2 2 3" xfId="17822" xr:uid="{00000000-0005-0000-0000-00009DA50000}"/>
    <cellStyle name="常规 9 3 3 7 2 2 3 2" xfId="42398" xr:uid="{00000000-0005-0000-0000-00009EA50000}"/>
    <cellStyle name="常规 9 3 3 7 2 2 4" xfId="30110" xr:uid="{00000000-0005-0000-0000-00009FA50000}"/>
    <cellStyle name="常规 9 3 3 7 2 3" xfId="8606" xr:uid="{00000000-0005-0000-0000-0000A0A50000}"/>
    <cellStyle name="常规 9 3 3 7 2 3 2" xfId="20894" xr:uid="{00000000-0005-0000-0000-0000A1A50000}"/>
    <cellStyle name="常规 9 3 3 7 2 3 2 2" xfId="45470" xr:uid="{00000000-0005-0000-0000-0000A2A50000}"/>
    <cellStyle name="常规 9 3 3 7 2 3 3" xfId="33182" xr:uid="{00000000-0005-0000-0000-0000A3A50000}"/>
    <cellStyle name="常规 9 3 3 7 2 4" xfId="14750" xr:uid="{00000000-0005-0000-0000-0000A4A50000}"/>
    <cellStyle name="常规 9 3 3 7 2 4 2" xfId="39326" xr:uid="{00000000-0005-0000-0000-0000A5A50000}"/>
    <cellStyle name="常规 9 3 3 7 2 5" xfId="27038" xr:uid="{00000000-0005-0000-0000-0000A6A50000}"/>
    <cellStyle name="常规 9 3 3 7 3" xfId="3998" xr:uid="{00000000-0005-0000-0000-0000A7A50000}"/>
    <cellStyle name="常规 9 3 3 7 3 2" xfId="10142" xr:uid="{00000000-0005-0000-0000-0000A8A50000}"/>
    <cellStyle name="常规 9 3 3 7 3 2 2" xfId="22430" xr:uid="{00000000-0005-0000-0000-0000A9A50000}"/>
    <cellStyle name="常规 9 3 3 7 3 2 2 2" xfId="47006" xr:uid="{00000000-0005-0000-0000-0000AAA50000}"/>
    <cellStyle name="常规 9 3 3 7 3 2 3" xfId="34718" xr:uid="{00000000-0005-0000-0000-0000ABA50000}"/>
    <cellStyle name="常规 9 3 3 7 3 3" xfId="16286" xr:uid="{00000000-0005-0000-0000-0000ACA50000}"/>
    <cellStyle name="常规 9 3 3 7 3 3 2" xfId="40862" xr:uid="{00000000-0005-0000-0000-0000ADA50000}"/>
    <cellStyle name="常规 9 3 3 7 3 4" xfId="28574" xr:uid="{00000000-0005-0000-0000-0000AEA50000}"/>
    <cellStyle name="常规 9 3 3 7 4" xfId="7070" xr:uid="{00000000-0005-0000-0000-0000AFA50000}"/>
    <cellStyle name="常规 9 3 3 7 4 2" xfId="19358" xr:uid="{00000000-0005-0000-0000-0000B0A50000}"/>
    <cellStyle name="常规 9 3 3 7 4 2 2" xfId="43934" xr:uid="{00000000-0005-0000-0000-0000B1A50000}"/>
    <cellStyle name="常规 9 3 3 7 4 3" xfId="31646" xr:uid="{00000000-0005-0000-0000-0000B2A50000}"/>
    <cellStyle name="常规 9 3 3 7 5" xfId="13214" xr:uid="{00000000-0005-0000-0000-0000B3A50000}"/>
    <cellStyle name="常规 9 3 3 7 5 2" xfId="37790" xr:uid="{00000000-0005-0000-0000-0000B4A50000}"/>
    <cellStyle name="常规 9 3 3 7 6" xfId="25502" xr:uid="{00000000-0005-0000-0000-0000B5A50000}"/>
    <cellStyle name="常规 9 3 3 8" xfId="1690" xr:uid="{00000000-0005-0000-0000-0000B6A50000}"/>
    <cellStyle name="常规 9 3 3 8 2" xfId="4766" xr:uid="{00000000-0005-0000-0000-0000B7A50000}"/>
    <cellStyle name="常规 9 3 3 8 2 2" xfId="10910" xr:uid="{00000000-0005-0000-0000-0000B8A50000}"/>
    <cellStyle name="常规 9 3 3 8 2 2 2" xfId="23198" xr:uid="{00000000-0005-0000-0000-0000B9A50000}"/>
    <cellStyle name="常规 9 3 3 8 2 2 2 2" xfId="47774" xr:uid="{00000000-0005-0000-0000-0000BAA50000}"/>
    <cellStyle name="常规 9 3 3 8 2 2 3" xfId="35486" xr:uid="{00000000-0005-0000-0000-0000BBA50000}"/>
    <cellStyle name="常规 9 3 3 8 2 3" xfId="17054" xr:uid="{00000000-0005-0000-0000-0000BCA50000}"/>
    <cellStyle name="常规 9 3 3 8 2 3 2" xfId="41630" xr:uid="{00000000-0005-0000-0000-0000BDA50000}"/>
    <cellStyle name="常规 9 3 3 8 2 4" xfId="29342" xr:uid="{00000000-0005-0000-0000-0000BEA50000}"/>
    <cellStyle name="常规 9 3 3 8 3" xfId="7838" xr:uid="{00000000-0005-0000-0000-0000BFA50000}"/>
    <cellStyle name="常规 9 3 3 8 3 2" xfId="20126" xr:uid="{00000000-0005-0000-0000-0000C0A50000}"/>
    <cellStyle name="常规 9 3 3 8 3 2 2" xfId="44702" xr:uid="{00000000-0005-0000-0000-0000C1A50000}"/>
    <cellStyle name="常规 9 3 3 8 3 3" xfId="32414" xr:uid="{00000000-0005-0000-0000-0000C2A50000}"/>
    <cellStyle name="常规 9 3 3 8 4" xfId="13982" xr:uid="{00000000-0005-0000-0000-0000C3A50000}"/>
    <cellStyle name="常规 9 3 3 8 4 2" xfId="38558" xr:uid="{00000000-0005-0000-0000-0000C4A50000}"/>
    <cellStyle name="常规 9 3 3 8 5" xfId="26270" xr:uid="{00000000-0005-0000-0000-0000C5A50000}"/>
    <cellStyle name="常规 9 3 3 9" xfId="3230" xr:uid="{00000000-0005-0000-0000-0000C6A50000}"/>
    <cellStyle name="常规 9 3 3 9 2" xfId="9374" xr:uid="{00000000-0005-0000-0000-0000C7A50000}"/>
    <cellStyle name="常规 9 3 3 9 2 2" xfId="21662" xr:uid="{00000000-0005-0000-0000-0000C8A50000}"/>
    <cellStyle name="常规 9 3 3 9 2 2 2" xfId="46238" xr:uid="{00000000-0005-0000-0000-0000C9A50000}"/>
    <cellStyle name="常规 9 3 3 9 2 3" xfId="33950" xr:uid="{00000000-0005-0000-0000-0000CAA50000}"/>
    <cellStyle name="常规 9 3 3 9 3" xfId="15518" xr:uid="{00000000-0005-0000-0000-0000CBA50000}"/>
    <cellStyle name="常规 9 3 3 9 3 2" xfId="40094" xr:uid="{00000000-0005-0000-0000-0000CCA50000}"/>
    <cellStyle name="常规 9 3 3 9 4" xfId="27806" xr:uid="{00000000-0005-0000-0000-0000CDA50000}"/>
    <cellStyle name="常规 9 3 4" xfId="169" xr:uid="{00000000-0005-0000-0000-0000CEA50000}"/>
    <cellStyle name="常规 9 3 4 10" xfId="12462" xr:uid="{00000000-0005-0000-0000-0000CFA50000}"/>
    <cellStyle name="常规 9 3 4 10 2" xfId="37038" xr:uid="{00000000-0005-0000-0000-0000D0A50000}"/>
    <cellStyle name="常规 9 3 4 11" xfId="24750" xr:uid="{00000000-0005-0000-0000-0000D1A50000}"/>
    <cellStyle name="常规 9 3 4 2" xfId="234" xr:uid="{00000000-0005-0000-0000-0000D2A50000}"/>
    <cellStyle name="常规 9 3 4 2 2" xfId="426" xr:uid="{00000000-0005-0000-0000-0000D3A50000}"/>
    <cellStyle name="常规 9 3 4 2 2 2" xfId="810" xr:uid="{00000000-0005-0000-0000-0000D4A50000}"/>
    <cellStyle name="常规 9 3 4 2 2 2 2" xfId="1578" xr:uid="{00000000-0005-0000-0000-0000D5A50000}"/>
    <cellStyle name="常规 9 3 4 2 2 2 2 2" xfId="3114" xr:uid="{00000000-0005-0000-0000-0000D6A50000}"/>
    <cellStyle name="常规 9 3 4 2 2 2 2 2 2" xfId="6190" xr:uid="{00000000-0005-0000-0000-0000D7A50000}"/>
    <cellStyle name="常规 9 3 4 2 2 2 2 2 2 2" xfId="12334" xr:uid="{00000000-0005-0000-0000-0000D8A50000}"/>
    <cellStyle name="常规 9 3 4 2 2 2 2 2 2 2 2" xfId="24622" xr:uid="{00000000-0005-0000-0000-0000D9A50000}"/>
    <cellStyle name="常规 9 3 4 2 2 2 2 2 2 2 2 2" xfId="49198" xr:uid="{00000000-0005-0000-0000-0000DAA50000}"/>
    <cellStyle name="常规 9 3 4 2 2 2 2 2 2 2 3" xfId="36910" xr:uid="{00000000-0005-0000-0000-0000DBA50000}"/>
    <cellStyle name="常规 9 3 4 2 2 2 2 2 2 3" xfId="18478" xr:uid="{00000000-0005-0000-0000-0000DCA50000}"/>
    <cellStyle name="常规 9 3 4 2 2 2 2 2 2 3 2" xfId="43054" xr:uid="{00000000-0005-0000-0000-0000DDA50000}"/>
    <cellStyle name="常规 9 3 4 2 2 2 2 2 2 4" xfId="30766" xr:uid="{00000000-0005-0000-0000-0000DEA50000}"/>
    <cellStyle name="常规 9 3 4 2 2 2 2 2 3" xfId="9262" xr:uid="{00000000-0005-0000-0000-0000DFA50000}"/>
    <cellStyle name="常规 9 3 4 2 2 2 2 2 3 2" xfId="21550" xr:uid="{00000000-0005-0000-0000-0000E0A50000}"/>
    <cellStyle name="常规 9 3 4 2 2 2 2 2 3 2 2" xfId="46126" xr:uid="{00000000-0005-0000-0000-0000E1A50000}"/>
    <cellStyle name="常规 9 3 4 2 2 2 2 2 3 3" xfId="33838" xr:uid="{00000000-0005-0000-0000-0000E2A50000}"/>
    <cellStyle name="常规 9 3 4 2 2 2 2 2 4" xfId="15406" xr:uid="{00000000-0005-0000-0000-0000E3A50000}"/>
    <cellStyle name="常规 9 3 4 2 2 2 2 2 4 2" xfId="39982" xr:uid="{00000000-0005-0000-0000-0000E4A50000}"/>
    <cellStyle name="常规 9 3 4 2 2 2 2 2 5" xfId="27694" xr:uid="{00000000-0005-0000-0000-0000E5A50000}"/>
    <cellStyle name="常规 9 3 4 2 2 2 2 3" xfId="4654" xr:uid="{00000000-0005-0000-0000-0000E6A50000}"/>
    <cellStyle name="常规 9 3 4 2 2 2 2 3 2" xfId="10798" xr:uid="{00000000-0005-0000-0000-0000E7A50000}"/>
    <cellStyle name="常规 9 3 4 2 2 2 2 3 2 2" xfId="23086" xr:uid="{00000000-0005-0000-0000-0000E8A50000}"/>
    <cellStyle name="常规 9 3 4 2 2 2 2 3 2 2 2" xfId="47662" xr:uid="{00000000-0005-0000-0000-0000E9A50000}"/>
    <cellStyle name="常规 9 3 4 2 2 2 2 3 2 3" xfId="35374" xr:uid="{00000000-0005-0000-0000-0000EAA50000}"/>
    <cellStyle name="常规 9 3 4 2 2 2 2 3 3" xfId="16942" xr:uid="{00000000-0005-0000-0000-0000EBA50000}"/>
    <cellStyle name="常规 9 3 4 2 2 2 2 3 3 2" xfId="41518" xr:uid="{00000000-0005-0000-0000-0000ECA50000}"/>
    <cellStyle name="常规 9 3 4 2 2 2 2 3 4" xfId="29230" xr:uid="{00000000-0005-0000-0000-0000EDA50000}"/>
    <cellStyle name="常规 9 3 4 2 2 2 2 4" xfId="7726" xr:uid="{00000000-0005-0000-0000-0000EEA50000}"/>
    <cellStyle name="常规 9 3 4 2 2 2 2 4 2" xfId="20014" xr:uid="{00000000-0005-0000-0000-0000EFA50000}"/>
    <cellStyle name="常规 9 3 4 2 2 2 2 4 2 2" xfId="44590" xr:uid="{00000000-0005-0000-0000-0000F0A50000}"/>
    <cellStyle name="常规 9 3 4 2 2 2 2 4 3" xfId="32302" xr:uid="{00000000-0005-0000-0000-0000F1A50000}"/>
    <cellStyle name="常规 9 3 4 2 2 2 2 5" xfId="13870" xr:uid="{00000000-0005-0000-0000-0000F2A50000}"/>
    <cellStyle name="常规 9 3 4 2 2 2 2 5 2" xfId="38446" xr:uid="{00000000-0005-0000-0000-0000F3A50000}"/>
    <cellStyle name="常规 9 3 4 2 2 2 2 6" xfId="26158" xr:uid="{00000000-0005-0000-0000-0000F4A50000}"/>
    <cellStyle name="常规 9 3 4 2 2 2 3" xfId="2346" xr:uid="{00000000-0005-0000-0000-0000F5A50000}"/>
    <cellStyle name="常规 9 3 4 2 2 2 3 2" xfId="5422" xr:uid="{00000000-0005-0000-0000-0000F6A50000}"/>
    <cellStyle name="常规 9 3 4 2 2 2 3 2 2" xfId="11566" xr:uid="{00000000-0005-0000-0000-0000F7A50000}"/>
    <cellStyle name="常规 9 3 4 2 2 2 3 2 2 2" xfId="23854" xr:uid="{00000000-0005-0000-0000-0000F8A50000}"/>
    <cellStyle name="常规 9 3 4 2 2 2 3 2 2 2 2" xfId="48430" xr:uid="{00000000-0005-0000-0000-0000F9A50000}"/>
    <cellStyle name="常规 9 3 4 2 2 2 3 2 2 3" xfId="36142" xr:uid="{00000000-0005-0000-0000-0000FAA50000}"/>
    <cellStyle name="常规 9 3 4 2 2 2 3 2 3" xfId="17710" xr:uid="{00000000-0005-0000-0000-0000FBA50000}"/>
    <cellStyle name="常规 9 3 4 2 2 2 3 2 3 2" xfId="42286" xr:uid="{00000000-0005-0000-0000-0000FCA50000}"/>
    <cellStyle name="常规 9 3 4 2 2 2 3 2 4" xfId="29998" xr:uid="{00000000-0005-0000-0000-0000FDA50000}"/>
    <cellStyle name="常规 9 3 4 2 2 2 3 3" xfId="8494" xr:uid="{00000000-0005-0000-0000-0000FEA50000}"/>
    <cellStyle name="常规 9 3 4 2 2 2 3 3 2" xfId="20782" xr:uid="{00000000-0005-0000-0000-0000FFA50000}"/>
    <cellStyle name="常规 9 3 4 2 2 2 3 3 2 2" xfId="45358" xr:uid="{00000000-0005-0000-0000-000000A60000}"/>
    <cellStyle name="常规 9 3 4 2 2 2 3 3 3" xfId="33070" xr:uid="{00000000-0005-0000-0000-000001A60000}"/>
    <cellStyle name="常规 9 3 4 2 2 2 3 4" xfId="14638" xr:uid="{00000000-0005-0000-0000-000002A60000}"/>
    <cellStyle name="常规 9 3 4 2 2 2 3 4 2" xfId="39214" xr:uid="{00000000-0005-0000-0000-000003A60000}"/>
    <cellStyle name="常规 9 3 4 2 2 2 3 5" xfId="26926" xr:uid="{00000000-0005-0000-0000-000004A60000}"/>
    <cellStyle name="常规 9 3 4 2 2 2 4" xfId="3886" xr:uid="{00000000-0005-0000-0000-000005A60000}"/>
    <cellStyle name="常规 9 3 4 2 2 2 4 2" xfId="10030" xr:uid="{00000000-0005-0000-0000-000006A60000}"/>
    <cellStyle name="常规 9 3 4 2 2 2 4 2 2" xfId="22318" xr:uid="{00000000-0005-0000-0000-000007A60000}"/>
    <cellStyle name="常规 9 3 4 2 2 2 4 2 2 2" xfId="46894" xr:uid="{00000000-0005-0000-0000-000008A60000}"/>
    <cellStyle name="常规 9 3 4 2 2 2 4 2 3" xfId="34606" xr:uid="{00000000-0005-0000-0000-000009A60000}"/>
    <cellStyle name="常规 9 3 4 2 2 2 4 3" xfId="16174" xr:uid="{00000000-0005-0000-0000-00000AA60000}"/>
    <cellStyle name="常规 9 3 4 2 2 2 4 3 2" xfId="40750" xr:uid="{00000000-0005-0000-0000-00000BA60000}"/>
    <cellStyle name="常规 9 3 4 2 2 2 4 4" xfId="28462" xr:uid="{00000000-0005-0000-0000-00000CA60000}"/>
    <cellStyle name="常规 9 3 4 2 2 2 5" xfId="6958" xr:uid="{00000000-0005-0000-0000-00000DA60000}"/>
    <cellStyle name="常规 9 3 4 2 2 2 5 2" xfId="19246" xr:uid="{00000000-0005-0000-0000-00000EA60000}"/>
    <cellStyle name="常规 9 3 4 2 2 2 5 2 2" xfId="43822" xr:uid="{00000000-0005-0000-0000-00000FA60000}"/>
    <cellStyle name="常规 9 3 4 2 2 2 5 3" xfId="31534" xr:uid="{00000000-0005-0000-0000-000010A60000}"/>
    <cellStyle name="常规 9 3 4 2 2 2 6" xfId="13102" xr:uid="{00000000-0005-0000-0000-000011A60000}"/>
    <cellStyle name="常规 9 3 4 2 2 2 6 2" xfId="37678" xr:uid="{00000000-0005-0000-0000-000012A60000}"/>
    <cellStyle name="常规 9 3 4 2 2 2 7" xfId="25390" xr:uid="{00000000-0005-0000-0000-000013A60000}"/>
    <cellStyle name="常规 9 3 4 2 2 3" xfId="1194" xr:uid="{00000000-0005-0000-0000-000014A60000}"/>
    <cellStyle name="常规 9 3 4 2 2 3 2" xfId="2730" xr:uid="{00000000-0005-0000-0000-000015A60000}"/>
    <cellStyle name="常规 9 3 4 2 2 3 2 2" xfId="5806" xr:uid="{00000000-0005-0000-0000-000016A60000}"/>
    <cellStyle name="常规 9 3 4 2 2 3 2 2 2" xfId="11950" xr:uid="{00000000-0005-0000-0000-000017A60000}"/>
    <cellStyle name="常规 9 3 4 2 2 3 2 2 2 2" xfId="24238" xr:uid="{00000000-0005-0000-0000-000018A60000}"/>
    <cellStyle name="常规 9 3 4 2 2 3 2 2 2 2 2" xfId="48814" xr:uid="{00000000-0005-0000-0000-000019A60000}"/>
    <cellStyle name="常规 9 3 4 2 2 3 2 2 2 3" xfId="36526" xr:uid="{00000000-0005-0000-0000-00001AA60000}"/>
    <cellStyle name="常规 9 3 4 2 2 3 2 2 3" xfId="18094" xr:uid="{00000000-0005-0000-0000-00001BA60000}"/>
    <cellStyle name="常规 9 3 4 2 2 3 2 2 3 2" xfId="42670" xr:uid="{00000000-0005-0000-0000-00001CA60000}"/>
    <cellStyle name="常规 9 3 4 2 2 3 2 2 4" xfId="30382" xr:uid="{00000000-0005-0000-0000-00001DA60000}"/>
    <cellStyle name="常规 9 3 4 2 2 3 2 3" xfId="8878" xr:uid="{00000000-0005-0000-0000-00001EA60000}"/>
    <cellStyle name="常规 9 3 4 2 2 3 2 3 2" xfId="21166" xr:uid="{00000000-0005-0000-0000-00001FA60000}"/>
    <cellStyle name="常规 9 3 4 2 2 3 2 3 2 2" xfId="45742" xr:uid="{00000000-0005-0000-0000-000020A60000}"/>
    <cellStyle name="常规 9 3 4 2 2 3 2 3 3" xfId="33454" xr:uid="{00000000-0005-0000-0000-000021A60000}"/>
    <cellStyle name="常规 9 3 4 2 2 3 2 4" xfId="15022" xr:uid="{00000000-0005-0000-0000-000022A60000}"/>
    <cellStyle name="常规 9 3 4 2 2 3 2 4 2" xfId="39598" xr:uid="{00000000-0005-0000-0000-000023A60000}"/>
    <cellStyle name="常规 9 3 4 2 2 3 2 5" xfId="27310" xr:uid="{00000000-0005-0000-0000-000024A60000}"/>
    <cellStyle name="常规 9 3 4 2 2 3 3" xfId="4270" xr:uid="{00000000-0005-0000-0000-000025A60000}"/>
    <cellStyle name="常规 9 3 4 2 2 3 3 2" xfId="10414" xr:uid="{00000000-0005-0000-0000-000026A60000}"/>
    <cellStyle name="常规 9 3 4 2 2 3 3 2 2" xfId="22702" xr:uid="{00000000-0005-0000-0000-000027A60000}"/>
    <cellStyle name="常规 9 3 4 2 2 3 3 2 2 2" xfId="47278" xr:uid="{00000000-0005-0000-0000-000028A60000}"/>
    <cellStyle name="常规 9 3 4 2 2 3 3 2 3" xfId="34990" xr:uid="{00000000-0005-0000-0000-000029A60000}"/>
    <cellStyle name="常规 9 3 4 2 2 3 3 3" xfId="16558" xr:uid="{00000000-0005-0000-0000-00002AA60000}"/>
    <cellStyle name="常规 9 3 4 2 2 3 3 3 2" xfId="41134" xr:uid="{00000000-0005-0000-0000-00002BA60000}"/>
    <cellStyle name="常规 9 3 4 2 2 3 3 4" xfId="28846" xr:uid="{00000000-0005-0000-0000-00002CA60000}"/>
    <cellStyle name="常规 9 3 4 2 2 3 4" xfId="7342" xr:uid="{00000000-0005-0000-0000-00002DA60000}"/>
    <cellStyle name="常规 9 3 4 2 2 3 4 2" xfId="19630" xr:uid="{00000000-0005-0000-0000-00002EA60000}"/>
    <cellStyle name="常规 9 3 4 2 2 3 4 2 2" xfId="44206" xr:uid="{00000000-0005-0000-0000-00002FA60000}"/>
    <cellStyle name="常规 9 3 4 2 2 3 4 3" xfId="31918" xr:uid="{00000000-0005-0000-0000-000030A60000}"/>
    <cellStyle name="常规 9 3 4 2 2 3 5" xfId="13486" xr:uid="{00000000-0005-0000-0000-000031A60000}"/>
    <cellStyle name="常规 9 3 4 2 2 3 5 2" xfId="38062" xr:uid="{00000000-0005-0000-0000-000032A60000}"/>
    <cellStyle name="常规 9 3 4 2 2 3 6" xfId="25774" xr:uid="{00000000-0005-0000-0000-000033A60000}"/>
    <cellStyle name="常规 9 3 4 2 2 4" xfId="1962" xr:uid="{00000000-0005-0000-0000-000034A60000}"/>
    <cellStyle name="常规 9 3 4 2 2 4 2" xfId="5038" xr:uid="{00000000-0005-0000-0000-000035A60000}"/>
    <cellStyle name="常规 9 3 4 2 2 4 2 2" xfId="11182" xr:uid="{00000000-0005-0000-0000-000036A60000}"/>
    <cellStyle name="常规 9 3 4 2 2 4 2 2 2" xfId="23470" xr:uid="{00000000-0005-0000-0000-000037A60000}"/>
    <cellStyle name="常规 9 3 4 2 2 4 2 2 2 2" xfId="48046" xr:uid="{00000000-0005-0000-0000-000038A60000}"/>
    <cellStyle name="常规 9 3 4 2 2 4 2 2 3" xfId="35758" xr:uid="{00000000-0005-0000-0000-000039A60000}"/>
    <cellStyle name="常规 9 3 4 2 2 4 2 3" xfId="17326" xr:uid="{00000000-0005-0000-0000-00003AA60000}"/>
    <cellStyle name="常规 9 3 4 2 2 4 2 3 2" xfId="41902" xr:uid="{00000000-0005-0000-0000-00003BA60000}"/>
    <cellStyle name="常规 9 3 4 2 2 4 2 4" xfId="29614" xr:uid="{00000000-0005-0000-0000-00003CA60000}"/>
    <cellStyle name="常规 9 3 4 2 2 4 3" xfId="8110" xr:uid="{00000000-0005-0000-0000-00003DA60000}"/>
    <cellStyle name="常规 9 3 4 2 2 4 3 2" xfId="20398" xr:uid="{00000000-0005-0000-0000-00003EA60000}"/>
    <cellStyle name="常规 9 3 4 2 2 4 3 2 2" xfId="44974" xr:uid="{00000000-0005-0000-0000-00003FA60000}"/>
    <cellStyle name="常规 9 3 4 2 2 4 3 3" xfId="32686" xr:uid="{00000000-0005-0000-0000-000040A60000}"/>
    <cellStyle name="常规 9 3 4 2 2 4 4" xfId="14254" xr:uid="{00000000-0005-0000-0000-000041A60000}"/>
    <cellStyle name="常规 9 3 4 2 2 4 4 2" xfId="38830" xr:uid="{00000000-0005-0000-0000-000042A60000}"/>
    <cellStyle name="常规 9 3 4 2 2 4 5" xfId="26542" xr:uid="{00000000-0005-0000-0000-000043A60000}"/>
    <cellStyle name="常规 9 3 4 2 2 5" xfId="3502" xr:uid="{00000000-0005-0000-0000-000044A60000}"/>
    <cellStyle name="常规 9 3 4 2 2 5 2" xfId="9646" xr:uid="{00000000-0005-0000-0000-000045A60000}"/>
    <cellStyle name="常规 9 3 4 2 2 5 2 2" xfId="21934" xr:uid="{00000000-0005-0000-0000-000046A60000}"/>
    <cellStyle name="常规 9 3 4 2 2 5 2 2 2" xfId="46510" xr:uid="{00000000-0005-0000-0000-000047A60000}"/>
    <cellStyle name="常规 9 3 4 2 2 5 2 3" xfId="34222" xr:uid="{00000000-0005-0000-0000-000048A60000}"/>
    <cellStyle name="常规 9 3 4 2 2 5 3" xfId="15790" xr:uid="{00000000-0005-0000-0000-000049A60000}"/>
    <cellStyle name="常规 9 3 4 2 2 5 3 2" xfId="40366" xr:uid="{00000000-0005-0000-0000-00004AA60000}"/>
    <cellStyle name="常规 9 3 4 2 2 5 4" xfId="28078" xr:uid="{00000000-0005-0000-0000-00004BA60000}"/>
    <cellStyle name="常规 9 3 4 2 2 6" xfId="6574" xr:uid="{00000000-0005-0000-0000-00004CA60000}"/>
    <cellStyle name="常规 9 3 4 2 2 6 2" xfId="18862" xr:uid="{00000000-0005-0000-0000-00004DA60000}"/>
    <cellStyle name="常规 9 3 4 2 2 6 2 2" xfId="43438" xr:uid="{00000000-0005-0000-0000-00004EA60000}"/>
    <cellStyle name="常规 9 3 4 2 2 6 3" xfId="31150" xr:uid="{00000000-0005-0000-0000-00004FA60000}"/>
    <cellStyle name="常规 9 3 4 2 2 7" xfId="12718" xr:uid="{00000000-0005-0000-0000-000050A60000}"/>
    <cellStyle name="常规 9 3 4 2 2 7 2" xfId="37294" xr:uid="{00000000-0005-0000-0000-000051A60000}"/>
    <cellStyle name="常规 9 3 4 2 2 8" xfId="25006" xr:uid="{00000000-0005-0000-0000-000052A60000}"/>
    <cellStyle name="常规 9 3 4 2 3" xfId="618" xr:uid="{00000000-0005-0000-0000-000053A60000}"/>
    <cellStyle name="常规 9 3 4 2 3 2" xfId="1386" xr:uid="{00000000-0005-0000-0000-000054A60000}"/>
    <cellStyle name="常规 9 3 4 2 3 2 2" xfId="2922" xr:uid="{00000000-0005-0000-0000-000055A60000}"/>
    <cellStyle name="常规 9 3 4 2 3 2 2 2" xfId="5998" xr:uid="{00000000-0005-0000-0000-000056A60000}"/>
    <cellStyle name="常规 9 3 4 2 3 2 2 2 2" xfId="12142" xr:uid="{00000000-0005-0000-0000-000057A60000}"/>
    <cellStyle name="常规 9 3 4 2 3 2 2 2 2 2" xfId="24430" xr:uid="{00000000-0005-0000-0000-000058A60000}"/>
    <cellStyle name="常规 9 3 4 2 3 2 2 2 2 2 2" xfId="49006" xr:uid="{00000000-0005-0000-0000-000059A60000}"/>
    <cellStyle name="常规 9 3 4 2 3 2 2 2 2 3" xfId="36718" xr:uid="{00000000-0005-0000-0000-00005AA60000}"/>
    <cellStyle name="常规 9 3 4 2 3 2 2 2 3" xfId="18286" xr:uid="{00000000-0005-0000-0000-00005BA60000}"/>
    <cellStyle name="常规 9 3 4 2 3 2 2 2 3 2" xfId="42862" xr:uid="{00000000-0005-0000-0000-00005CA60000}"/>
    <cellStyle name="常规 9 3 4 2 3 2 2 2 4" xfId="30574" xr:uid="{00000000-0005-0000-0000-00005DA60000}"/>
    <cellStyle name="常规 9 3 4 2 3 2 2 3" xfId="9070" xr:uid="{00000000-0005-0000-0000-00005EA60000}"/>
    <cellStyle name="常规 9 3 4 2 3 2 2 3 2" xfId="21358" xr:uid="{00000000-0005-0000-0000-00005FA60000}"/>
    <cellStyle name="常规 9 3 4 2 3 2 2 3 2 2" xfId="45934" xr:uid="{00000000-0005-0000-0000-000060A60000}"/>
    <cellStyle name="常规 9 3 4 2 3 2 2 3 3" xfId="33646" xr:uid="{00000000-0005-0000-0000-000061A60000}"/>
    <cellStyle name="常规 9 3 4 2 3 2 2 4" xfId="15214" xr:uid="{00000000-0005-0000-0000-000062A60000}"/>
    <cellStyle name="常规 9 3 4 2 3 2 2 4 2" xfId="39790" xr:uid="{00000000-0005-0000-0000-000063A60000}"/>
    <cellStyle name="常规 9 3 4 2 3 2 2 5" xfId="27502" xr:uid="{00000000-0005-0000-0000-000064A60000}"/>
    <cellStyle name="常规 9 3 4 2 3 2 3" xfId="4462" xr:uid="{00000000-0005-0000-0000-000065A60000}"/>
    <cellStyle name="常规 9 3 4 2 3 2 3 2" xfId="10606" xr:uid="{00000000-0005-0000-0000-000066A60000}"/>
    <cellStyle name="常规 9 3 4 2 3 2 3 2 2" xfId="22894" xr:uid="{00000000-0005-0000-0000-000067A60000}"/>
    <cellStyle name="常规 9 3 4 2 3 2 3 2 2 2" xfId="47470" xr:uid="{00000000-0005-0000-0000-000068A60000}"/>
    <cellStyle name="常规 9 3 4 2 3 2 3 2 3" xfId="35182" xr:uid="{00000000-0005-0000-0000-000069A60000}"/>
    <cellStyle name="常规 9 3 4 2 3 2 3 3" xfId="16750" xr:uid="{00000000-0005-0000-0000-00006AA60000}"/>
    <cellStyle name="常规 9 3 4 2 3 2 3 3 2" xfId="41326" xr:uid="{00000000-0005-0000-0000-00006BA60000}"/>
    <cellStyle name="常规 9 3 4 2 3 2 3 4" xfId="29038" xr:uid="{00000000-0005-0000-0000-00006CA60000}"/>
    <cellStyle name="常规 9 3 4 2 3 2 4" xfId="7534" xr:uid="{00000000-0005-0000-0000-00006DA60000}"/>
    <cellStyle name="常规 9 3 4 2 3 2 4 2" xfId="19822" xr:uid="{00000000-0005-0000-0000-00006EA60000}"/>
    <cellStyle name="常规 9 3 4 2 3 2 4 2 2" xfId="44398" xr:uid="{00000000-0005-0000-0000-00006FA60000}"/>
    <cellStyle name="常规 9 3 4 2 3 2 4 3" xfId="32110" xr:uid="{00000000-0005-0000-0000-000070A60000}"/>
    <cellStyle name="常规 9 3 4 2 3 2 5" xfId="13678" xr:uid="{00000000-0005-0000-0000-000071A60000}"/>
    <cellStyle name="常规 9 3 4 2 3 2 5 2" xfId="38254" xr:uid="{00000000-0005-0000-0000-000072A60000}"/>
    <cellStyle name="常规 9 3 4 2 3 2 6" xfId="25966" xr:uid="{00000000-0005-0000-0000-000073A60000}"/>
    <cellStyle name="常规 9 3 4 2 3 3" xfId="2154" xr:uid="{00000000-0005-0000-0000-000074A60000}"/>
    <cellStyle name="常规 9 3 4 2 3 3 2" xfId="5230" xr:uid="{00000000-0005-0000-0000-000075A60000}"/>
    <cellStyle name="常规 9 3 4 2 3 3 2 2" xfId="11374" xr:uid="{00000000-0005-0000-0000-000076A60000}"/>
    <cellStyle name="常规 9 3 4 2 3 3 2 2 2" xfId="23662" xr:uid="{00000000-0005-0000-0000-000077A60000}"/>
    <cellStyle name="常规 9 3 4 2 3 3 2 2 2 2" xfId="48238" xr:uid="{00000000-0005-0000-0000-000078A60000}"/>
    <cellStyle name="常规 9 3 4 2 3 3 2 2 3" xfId="35950" xr:uid="{00000000-0005-0000-0000-000079A60000}"/>
    <cellStyle name="常规 9 3 4 2 3 3 2 3" xfId="17518" xr:uid="{00000000-0005-0000-0000-00007AA60000}"/>
    <cellStyle name="常规 9 3 4 2 3 3 2 3 2" xfId="42094" xr:uid="{00000000-0005-0000-0000-00007BA60000}"/>
    <cellStyle name="常规 9 3 4 2 3 3 2 4" xfId="29806" xr:uid="{00000000-0005-0000-0000-00007CA60000}"/>
    <cellStyle name="常规 9 3 4 2 3 3 3" xfId="8302" xr:uid="{00000000-0005-0000-0000-00007DA60000}"/>
    <cellStyle name="常规 9 3 4 2 3 3 3 2" xfId="20590" xr:uid="{00000000-0005-0000-0000-00007EA60000}"/>
    <cellStyle name="常规 9 3 4 2 3 3 3 2 2" xfId="45166" xr:uid="{00000000-0005-0000-0000-00007FA60000}"/>
    <cellStyle name="常规 9 3 4 2 3 3 3 3" xfId="32878" xr:uid="{00000000-0005-0000-0000-000080A60000}"/>
    <cellStyle name="常规 9 3 4 2 3 3 4" xfId="14446" xr:uid="{00000000-0005-0000-0000-000081A60000}"/>
    <cellStyle name="常规 9 3 4 2 3 3 4 2" xfId="39022" xr:uid="{00000000-0005-0000-0000-000082A60000}"/>
    <cellStyle name="常规 9 3 4 2 3 3 5" xfId="26734" xr:uid="{00000000-0005-0000-0000-000083A60000}"/>
    <cellStyle name="常规 9 3 4 2 3 4" xfId="3694" xr:uid="{00000000-0005-0000-0000-000084A60000}"/>
    <cellStyle name="常规 9 3 4 2 3 4 2" xfId="9838" xr:uid="{00000000-0005-0000-0000-000085A60000}"/>
    <cellStyle name="常规 9 3 4 2 3 4 2 2" xfId="22126" xr:uid="{00000000-0005-0000-0000-000086A60000}"/>
    <cellStyle name="常规 9 3 4 2 3 4 2 2 2" xfId="46702" xr:uid="{00000000-0005-0000-0000-000087A60000}"/>
    <cellStyle name="常规 9 3 4 2 3 4 2 3" xfId="34414" xr:uid="{00000000-0005-0000-0000-000088A60000}"/>
    <cellStyle name="常规 9 3 4 2 3 4 3" xfId="15982" xr:uid="{00000000-0005-0000-0000-000089A60000}"/>
    <cellStyle name="常规 9 3 4 2 3 4 3 2" xfId="40558" xr:uid="{00000000-0005-0000-0000-00008AA60000}"/>
    <cellStyle name="常规 9 3 4 2 3 4 4" xfId="28270" xr:uid="{00000000-0005-0000-0000-00008BA60000}"/>
    <cellStyle name="常规 9 3 4 2 3 5" xfId="6766" xr:uid="{00000000-0005-0000-0000-00008CA60000}"/>
    <cellStyle name="常规 9 3 4 2 3 5 2" xfId="19054" xr:uid="{00000000-0005-0000-0000-00008DA60000}"/>
    <cellStyle name="常规 9 3 4 2 3 5 2 2" xfId="43630" xr:uid="{00000000-0005-0000-0000-00008EA60000}"/>
    <cellStyle name="常规 9 3 4 2 3 5 3" xfId="31342" xr:uid="{00000000-0005-0000-0000-00008FA60000}"/>
    <cellStyle name="常规 9 3 4 2 3 6" xfId="12910" xr:uid="{00000000-0005-0000-0000-000090A60000}"/>
    <cellStyle name="常规 9 3 4 2 3 6 2" xfId="37486" xr:uid="{00000000-0005-0000-0000-000091A60000}"/>
    <cellStyle name="常规 9 3 4 2 3 7" xfId="25198" xr:uid="{00000000-0005-0000-0000-000092A60000}"/>
    <cellStyle name="常规 9 3 4 2 4" xfId="1002" xr:uid="{00000000-0005-0000-0000-000093A60000}"/>
    <cellStyle name="常规 9 3 4 2 4 2" xfId="2538" xr:uid="{00000000-0005-0000-0000-000094A60000}"/>
    <cellStyle name="常规 9 3 4 2 4 2 2" xfId="5614" xr:uid="{00000000-0005-0000-0000-000095A60000}"/>
    <cellStyle name="常规 9 3 4 2 4 2 2 2" xfId="11758" xr:uid="{00000000-0005-0000-0000-000096A60000}"/>
    <cellStyle name="常规 9 3 4 2 4 2 2 2 2" xfId="24046" xr:uid="{00000000-0005-0000-0000-000097A60000}"/>
    <cellStyle name="常规 9 3 4 2 4 2 2 2 2 2" xfId="48622" xr:uid="{00000000-0005-0000-0000-000098A60000}"/>
    <cellStyle name="常规 9 3 4 2 4 2 2 2 3" xfId="36334" xr:uid="{00000000-0005-0000-0000-000099A60000}"/>
    <cellStyle name="常规 9 3 4 2 4 2 2 3" xfId="17902" xr:uid="{00000000-0005-0000-0000-00009AA60000}"/>
    <cellStyle name="常规 9 3 4 2 4 2 2 3 2" xfId="42478" xr:uid="{00000000-0005-0000-0000-00009BA60000}"/>
    <cellStyle name="常规 9 3 4 2 4 2 2 4" xfId="30190" xr:uid="{00000000-0005-0000-0000-00009CA60000}"/>
    <cellStyle name="常规 9 3 4 2 4 2 3" xfId="8686" xr:uid="{00000000-0005-0000-0000-00009DA60000}"/>
    <cellStyle name="常规 9 3 4 2 4 2 3 2" xfId="20974" xr:uid="{00000000-0005-0000-0000-00009EA60000}"/>
    <cellStyle name="常规 9 3 4 2 4 2 3 2 2" xfId="45550" xr:uid="{00000000-0005-0000-0000-00009FA60000}"/>
    <cellStyle name="常规 9 3 4 2 4 2 3 3" xfId="33262" xr:uid="{00000000-0005-0000-0000-0000A0A60000}"/>
    <cellStyle name="常规 9 3 4 2 4 2 4" xfId="14830" xr:uid="{00000000-0005-0000-0000-0000A1A60000}"/>
    <cellStyle name="常规 9 3 4 2 4 2 4 2" xfId="39406" xr:uid="{00000000-0005-0000-0000-0000A2A60000}"/>
    <cellStyle name="常规 9 3 4 2 4 2 5" xfId="27118" xr:uid="{00000000-0005-0000-0000-0000A3A60000}"/>
    <cellStyle name="常规 9 3 4 2 4 3" xfId="4078" xr:uid="{00000000-0005-0000-0000-0000A4A60000}"/>
    <cellStyle name="常规 9 3 4 2 4 3 2" xfId="10222" xr:uid="{00000000-0005-0000-0000-0000A5A60000}"/>
    <cellStyle name="常规 9 3 4 2 4 3 2 2" xfId="22510" xr:uid="{00000000-0005-0000-0000-0000A6A60000}"/>
    <cellStyle name="常规 9 3 4 2 4 3 2 2 2" xfId="47086" xr:uid="{00000000-0005-0000-0000-0000A7A60000}"/>
    <cellStyle name="常规 9 3 4 2 4 3 2 3" xfId="34798" xr:uid="{00000000-0005-0000-0000-0000A8A60000}"/>
    <cellStyle name="常规 9 3 4 2 4 3 3" xfId="16366" xr:uid="{00000000-0005-0000-0000-0000A9A60000}"/>
    <cellStyle name="常规 9 3 4 2 4 3 3 2" xfId="40942" xr:uid="{00000000-0005-0000-0000-0000AAA60000}"/>
    <cellStyle name="常规 9 3 4 2 4 3 4" xfId="28654" xr:uid="{00000000-0005-0000-0000-0000ABA60000}"/>
    <cellStyle name="常规 9 3 4 2 4 4" xfId="7150" xr:uid="{00000000-0005-0000-0000-0000ACA60000}"/>
    <cellStyle name="常规 9 3 4 2 4 4 2" xfId="19438" xr:uid="{00000000-0005-0000-0000-0000ADA60000}"/>
    <cellStyle name="常规 9 3 4 2 4 4 2 2" xfId="44014" xr:uid="{00000000-0005-0000-0000-0000AEA60000}"/>
    <cellStyle name="常规 9 3 4 2 4 4 3" xfId="31726" xr:uid="{00000000-0005-0000-0000-0000AFA60000}"/>
    <cellStyle name="常规 9 3 4 2 4 5" xfId="13294" xr:uid="{00000000-0005-0000-0000-0000B0A60000}"/>
    <cellStyle name="常规 9 3 4 2 4 5 2" xfId="37870" xr:uid="{00000000-0005-0000-0000-0000B1A60000}"/>
    <cellStyle name="常规 9 3 4 2 4 6" xfId="25582" xr:uid="{00000000-0005-0000-0000-0000B2A60000}"/>
    <cellStyle name="常规 9 3 4 2 5" xfId="1770" xr:uid="{00000000-0005-0000-0000-0000B3A60000}"/>
    <cellStyle name="常规 9 3 4 2 5 2" xfId="4846" xr:uid="{00000000-0005-0000-0000-0000B4A60000}"/>
    <cellStyle name="常规 9 3 4 2 5 2 2" xfId="10990" xr:uid="{00000000-0005-0000-0000-0000B5A60000}"/>
    <cellStyle name="常规 9 3 4 2 5 2 2 2" xfId="23278" xr:uid="{00000000-0005-0000-0000-0000B6A60000}"/>
    <cellStyle name="常规 9 3 4 2 5 2 2 2 2" xfId="47854" xr:uid="{00000000-0005-0000-0000-0000B7A60000}"/>
    <cellStyle name="常规 9 3 4 2 5 2 2 3" xfId="35566" xr:uid="{00000000-0005-0000-0000-0000B8A60000}"/>
    <cellStyle name="常规 9 3 4 2 5 2 3" xfId="17134" xr:uid="{00000000-0005-0000-0000-0000B9A60000}"/>
    <cellStyle name="常规 9 3 4 2 5 2 3 2" xfId="41710" xr:uid="{00000000-0005-0000-0000-0000BAA60000}"/>
    <cellStyle name="常规 9 3 4 2 5 2 4" xfId="29422" xr:uid="{00000000-0005-0000-0000-0000BBA60000}"/>
    <cellStyle name="常规 9 3 4 2 5 3" xfId="7918" xr:uid="{00000000-0005-0000-0000-0000BCA60000}"/>
    <cellStyle name="常规 9 3 4 2 5 3 2" xfId="20206" xr:uid="{00000000-0005-0000-0000-0000BDA60000}"/>
    <cellStyle name="常规 9 3 4 2 5 3 2 2" xfId="44782" xr:uid="{00000000-0005-0000-0000-0000BEA60000}"/>
    <cellStyle name="常规 9 3 4 2 5 3 3" xfId="32494" xr:uid="{00000000-0005-0000-0000-0000BFA60000}"/>
    <cellStyle name="常规 9 3 4 2 5 4" xfId="14062" xr:uid="{00000000-0005-0000-0000-0000C0A60000}"/>
    <cellStyle name="常规 9 3 4 2 5 4 2" xfId="38638" xr:uid="{00000000-0005-0000-0000-0000C1A60000}"/>
    <cellStyle name="常规 9 3 4 2 5 5" xfId="26350" xr:uid="{00000000-0005-0000-0000-0000C2A60000}"/>
    <cellStyle name="常规 9 3 4 2 6" xfId="3310" xr:uid="{00000000-0005-0000-0000-0000C3A60000}"/>
    <cellStyle name="常规 9 3 4 2 6 2" xfId="9454" xr:uid="{00000000-0005-0000-0000-0000C4A60000}"/>
    <cellStyle name="常规 9 3 4 2 6 2 2" xfId="21742" xr:uid="{00000000-0005-0000-0000-0000C5A60000}"/>
    <cellStyle name="常规 9 3 4 2 6 2 2 2" xfId="46318" xr:uid="{00000000-0005-0000-0000-0000C6A60000}"/>
    <cellStyle name="常规 9 3 4 2 6 2 3" xfId="34030" xr:uid="{00000000-0005-0000-0000-0000C7A60000}"/>
    <cellStyle name="常规 9 3 4 2 6 3" xfId="15598" xr:uid="{00000000-0005-0000-0000-0000C8A60000}"/>
    <cellStyle name="常规 9 3 4 2 6 3 2" xfId="40174" xr:uid="{00000000-0005-0000-0000-0000C9A60000}"/>
    <cellStyle name="常规 9 3 4 2 6 4" xfId="27886" xr:uid="{00000000-0005-0000-0000-0000CAA60000}"/>
    <cellStyle name="常规 9 3 4 2 7" xfId="6382" xr:uid="{00000000-0005-0000-0000-0000CBA60000}"/>
    <cellStyle name="常规 9 3 4 2 7 2" xfId="18670" xr:uid="{00000000-0005-0000-0000-0000CCA60000}"/>
    <cellStyle name="常规 9 3 4 2 7 2 2" xfId="43246" xr:uid="{00000000-0005-0000-0000-0000CDA60000}"/>
    <cellStyle name="常规 9 3 4 2 7 3" xfId="30958" xr:uid="{00000000-0005-0000-0000-0000CEA60000}"/>
    <cellStyle name="常规 9 3 4 2 8" xfId="12526" xr:uid="{00000000-0005-0000-0000-0000CFA60000}"/>
    <cellStyle name="常规 9 3 4 2 8 2" xfId="37102" xr:uid="{00000000-0005-0000-0000-0000D0A60000}"/>
    <cellStyle name="常规 9 3 4 2 9" xfId="24814" xr:uid="{00000000-0005-0000-0000-0000D1A60000}"/>
    <cellStyle name="常规 9 3 4 3" xfId="298" xr:uid="{00000000-0005-0000-0000-0000D2A60000}"/>
    <cellStyle name="常规 9 3 4 3 2" xfId="490" xr:uid="{00000000-0005-0000-0000-0000D3A60000}"/>
    <cellStyle name="常规 9 3 4 3 2 2" xfId="874" xr:uid="{00000000-0005-0000-0000-0000D4A60000}"/>
    <cellStyle name="常规 9 3 4 3 2 2 2" xfId="1642" xr:uid="{00000000-0005-0000-0000-0000D5A60000}"/>
    <cellStyle name="常规 9 3 4 3 2 2 2 2" xfId="3178" xr:uid="{00000000-0005-0000-0000-0000D6A60000}"/>
    <cellStyle name="常规 9 3 4 3 2 2 2 2 2" xfId="6254" xr:uid="{00000000-0005-0000-0000-0000D7A60000}"/>
    <cellStyle name="常规 9 3 4 3 2 2 2 2 2 2" xfId="12398" xr:uid="{00000000-0005-0000-0000-0000D8A60000}"/>
    <cellStyle name="常规 9 3 4 3 2 2 2 2 2 2 2" xfId="24686" xr:uid="{00000000-0005-0000-0000-0000D9A60000}"/>
    <cellStyle name="常规 9 3 4 3 2 2 2 2 2 2 2 2" xfId="49262" xr:uid="{00000000-0005-0000-0000-0000DAA60000}"/>
    <cellStyle name="常规 9 3 4 3 2 2 2 2 2 2 3" xfId="36974" xr:uid="{00000000-0005-0000-0000-0000DBA60000}"/>
    <cellStyle name="常规 9 3 4 3 2 2 2 2 2 3" xfId="18542" xr:uid="{00000000-0005-0000-0000-0000DCA60000}"/>
    <cellStyle name="常规 9 3 4 3 2 2 2 2 2 3 2" xfId="43118" xr:uid="{00000000-0005-0000-0000-0000DDA60000}"/>
    <cellStyle name="常规 9 3 4 3 2 2 2 2 2 4" xfId="30830" xr:uid="{00000000-0005-0000-0000-0000DEA60000}"/>
    <cellStyle name="常规 9 3 4 3 2 2 2 2 3" xfId="9326" xr:uid="{00000000-0005-0000-0000-0000DFA60000}"/>
    <cellStyle name="常规 9 3 4 3 2 2 2 2 3 2" xfId="21614" xr:uid="{00000000-0005-0000-0000-0000E0A60000}"/>
    <cellStyle name="常规 9 3 4 3 2 2 2 2 3 2 2" xfId="46190" xr:uid="{00000000-0005-0000-0000-0000E1A60000}"/>
    <cellStyle name="常规 9 3 4 3 2 2 2 2 3 3" xfId="33902" xr:uid="{00000000-0005-0000-0000-0000E2A60000}"/>
    <cellStyle name="常规 9 3 4 3 2 2 2 2 4" xfId="15470" xr:uid="{00000000-0005-0000-0000-0000E3A60000}"/>
    <cellStyle name="常规 9 3 4 3 2 2 2 2 4 2" xfId="40046" xr:uid="{00000000-0005-0000-0000-0000E4A60000}"/>
    <cellStyle name="常规 9 3 4 3 2 2 2 2 5" xfId="27758" xr:uid="{00000000-0005-0000-0000-0000E5A60000}"/>
    <cellStyle name="常规 9 3 4 3 2 2 2 3" xfId="4718" xr:uid="{00000000-0005-0000-0000-0000E6A60000}"/>
    <cellStyle name="常规 9 3 4 3 2 2 2 3 2" xfId="10862" xr:uid="{00000000-0005-0000-0000-0000E7A60000}"/>
    <cellStyle name="常规 9 3 4 3 2 2 2 3 2 2" xfId="23150" xr:uid="{00000000-0005-0000-0000-0000E8A60000}"/>
    <cellStyle name="常规 9 3 4 3 2 2 2 3 2 2 2" xfId="47726" xr:uid="{00000000-0005-0000-0000-0000E9A60000}"/>
    <cellStyle name="常规 9 3 4 3 2 2 2 3 2 3" xfId="35438" xr:uid="{00000000-0005-0000-0000-0000EAA60000}"/>
    <cellStyle name="常规 9 3 4 3 2 2 2 3 3" xfId="17006" xr:uid="{00000000-0005-0000-0000-0000EBA60000}"/>
    <cellStyle name="常规 9 3 4 3 2 2 2 3 3 2" xfId="41582" xr:uid="{00000000-0005-0000-0000-0000ECA60000}"/>
    <cellStyle name="常规 9 3 4 3 2 2 2 3 4" xfId="29294" xr:uid="{00000000-0005-0000-0000-0000EDA60000}"/>
    <cellStyle name="常规 9 3 4 3 2 2 2 4" xfId="7790" xr:uid="{00000000-0005-0000-0000-0000EEA60000}"/>
    <cellStyle name="常规 9 3 4 3 2 2 2 4 2" xfId="20078" xr:uid="{00000000-0005-0000-0000-0000EFA60000}"/>
    <cellStyle name="常规 9 3 4 3 2 2 2 4 2 2" xfId="44654" xr:uid="{00000000-0005-0000-0000-0000F0A60000}"/>
    <cellStyle name="常规 9 3 4 3 2 2 2 4 3" xfId="32366" xr:uid="{00000000-0005-0000-0000-0000F1A60000}"/>
    <cellStyle name="常规 9 3 4 3 2 2 2 5" xfId="13934" xr:uid="{00000000-0005-0000-0000-0000F2A60000}"/>
    <cellStyle name="常规 9 3 4 3 2 2 2 5 2" xfId="38510" xr:uid="{00000000-0005-0000-0000-0000F3A60000}"/>
    <cellStyle name="常规 9 3 4 3 2 2 2 6" xfId="26222" xr:uid="{00000000-0005-0000-0000-0000F4A60000}"/>
    <cellStyle name="常规 9 3 4 3 2 2 3" xfId="2410" xr:uid="{00000000-0005-0000-0000-0000F5A60000}"/>
    <cellStyle name="常规 9 3 4 3 2 2 3 2" xfId="5486" xr:uid="{00000000-0005-0000-0000-0000F6A60000}"/>
    <cellStyle name="常规 9 3 4 3 2 2 3 2 2" xfId="11630" xr:uid="{00000000-0005-0000-0000-0000F7A60000}"/>
    <cellStyle name="常规 9 3 4 3 2 2 3 2 2 2" xfId="23918" xr:uid="{00000000-0005-0000-0000-0000F8A60000}"/>
    <cellStyle name="常规 9 3 4 3 2 2 3 2 2 2 2" xfId="48494" xr:uid="{00000000-0005-0000-0000-0000F9A60000}"/>
    <cellStyle name="常规 9 3 4 3 2 2 3 2 2 3" xfId="36206" xr:uid="{00000000-0005-0000-0000-0000FAA60000}"/>
    <cellStyle name="常规 9 3 4 3 2 2 3 2 3" xfId="17774" xr:uid="{00000000-0005-0000-0000-0000FBA60000}"/>
    <cellStyle name="常规 9 3 4 3 2 2 3 2 3 2" xfId="42350" xr:uid="{00000000-0005-0000-0000-0000FCA60000}"/>
    <cellStyle name="常规 9 3 4 3 2 2 3 2 4" xfId="30062" xr:uid="{00000000-0005-0000-0000-0000FDA60000}"/>
    <cellStyle name="常规 9 3 4 3 2 2 3 3" xfId="8558" xr:uid="{00000000-0005-0000-0000-0000FEA60000}"/>
    <cellStyle name="常规 9 3 4 3 2 2 3 3 2" xfId="20846" xr:uid="{00000000-0005-0000-0000-0000FFA60000}"/>
    <cellStyle name="常规 9 3 4 3 2 2 3 3 2 2" xfId="45422" xr:uid="{00000000-0005-0000-0000-000000A70000}"/>
    <cellStyle name="常规 9 3 4 3 2 2 3 3 3" xfId="33134" xr:uid="{00000000-0005-0000-0000-000001A70000}"/>
    <cellStyle name="常规 9 3 4 3 2 2 3 4" xfId="14702" xr:uid="{00000000-0005-0000-0000-000002A70000}"/>
    <cellStyle name="常规 9 3 4 3 2 2 3 4 2" xfId="39278" xr:uid="{00000000-0005-0000-0000-000003A70000}"/>
    <cellStyle name="常规 9 3 4 3 2 2 3 5" xfId="26990" xr:uid="{00000000-0005-0000-0000-000004A70000}"/>
    <cellStyle name="常规 9 3 4 3 2 2 4" xfId="3950" xr:uid="{00000000-0005-0000-0000-000005A70000}"/>
    <cellStyle name="常规 9 3 4 3 2 2 4 2" xfId="10094" xr:uid="{00000000-0005-0000-0000-000006A70000}"/>
    <cellStyle name="常规 9 3 4 3 2 2 4 2 2" xfId="22382" xr:uid="{00000000-0005-0000-0000-000007A70000}"/>
    <cellStyle name="常规 9 3 4 3 2 2 4 2 2 2" xfId="46958" xr:uid="{00000000-0005-0000-0000-000008A70000}"/>
    <cellStyle name="常规 9 3 4 3 2 2 4 2 3" xfId="34670" xr:uid="{00000000-0005-0000-0000-000009A70000}"/>
    <cellStyle name="常规 9 3 4 3 2 2 4 3" xfId="16238" xr:uid="{00000000-0005-0000-0000-00000AA70000}"/>
    <cellStyle name="常规 9 3 4 3 2 2 4 3 2" xfId="40814" xr:uid="{00000000-0005-0000-0000-00000BA70000}"/>
    <cellStyle name="常规 9 3 4 3 2 2 4 4" xfId="28526" xr:uid="{00000000-0005-0000-0000-00000CA70000}"/>
    <cellStyle name="常规 9 3 4 3 2 2 5" xfId="7022" xr:uid="{00000000-0005-0000-0000-00000DA70000}"/>
    <cellStyle name="常规 9 3 4 3 2 2 5 2" xfId="19310" xr:uid="{00000000-0005-0000-0000-00000EA70000}"/>
    <cellStyle name="常规 9 3 4 3 2 2 5 2 2" xfId="43886" xr:uid="{00000000-0005-0000-0000-00000FA70000}"/>
    <cellStyle name="常规 9 3 4 3 2 2 5 3" xfId="31598" xr:uid="{00000000-0005-0000-0000-000010A70000}"/>
    <cellStyle name="常规 9 3 4 3 2 2 6" xfId="13166" xr:uid="{00000000-0005-0000-0000-000011A70000}"/>
    <cellStyle name="常规 9 3 4 3 2 2 6 2" xfId="37742" xr:uid="{00000000-0005-0000-0000-000012A70000}"/>
    <cellStyle name="常规 9 3 4 3 2 2 7" xfId="25454" xr:uid="{00000000-0005-0000-0000-000013A70000}"/>
    <cellStyle name="常规 9 3 4 3 2 3" xfId="1258" xr:uid="{00000000-0005-0000-0000-000014A70000}"/>
    <cellStyle name="常规 9 3 4 3 2 3 2" xfId="2794" xr:uid="{00000000-0005-0000-0000-000015A70000}"/>
    <cellStyle name="常规 9 3 4 3 2 3 2 2" xfId="5870" xr:uid="{00000000-0005-0000-0000-000016A70000}"/>
    <cellStyle name="常规 9 3 4 3 2 3 2 2 2" xfId="12014" xr:uid="{00000000-0005-0000-0000-000017A70000}"/>
    <cellStyle name="常规 9 3 4 3 2 3 2 2 2 2" xfId="24302" xr:uid="{00000000-0005-0000-0000-000018A70000}"/>
    <cellStyle name="常规 9 3 4 3 2 3 2 2 2 2 2" xfId="48878" xr:uid="{00000000-0005-0000-0000-000019A70000}"/>
    <cellStyle name="常规 9 3 4 3 2 3 2 2 2 3" xfId="36590" xr:uid="{00000000-0005-0000-0000-00001AA70000}"/>
    <cellStyle name="常规 9 3 4 3 2 3 2 2 3" xfId="18158" xr:uid="{00000000-0005-0000-0000-00001BA70000}"/>
    <cellStyle name="常规 9 3 4 3 2 3 2 2 3 2" xfId="42734" xr:uid="{00000000-0005-0000-0000-00001CA70000}"/>
    <cellStyle name="常规 9 3 4 3 2 3 2 2 4" xfId="30446" xr:uid="{00000000-0005-0000-0000-00001DA70000}"/>
    <cellStyle name="常规 9 3 4 3 2 3 2 3" xfId="8942" xr:uid="{00000000-0005-0000-0000-00001EA70000}"/>
    <cellStyle name="常规 9 3 4 3 2 3 2 3 2" xfId="21230" xr:uid="{00000000-0005-0000-0000-00001FA70000}"/>
    <cellStyle name="常规 9 3 4 3 2 3 2 3 2 2" xfId="45806" xr:uid="{00000000-0005-0000-0000-000020A70000}"/>
    <cellStyle name="常规 9 3 4 3 2 3 2 3 3" xfId="33518" xr:uid="{00000000-0005-0000-0000-000021A70000}"/>
    <cellStyle name="常规 9 3 4 3 2 3 2 4" xfId="15086" xr:uid="{00000000-0005-0000-0000-000022A70000}"/>
    <cellStyle name="常规 9 3 4 3 2 3 2 4 2" xfId="39662" xr:uid="{00000000-0005-0000-0000-000023A70000}"/>
    <cellStyle name="常规 9 3 4 3 2 3 2 5" xfId="27374" xr:uid="{00000000-0005-0000-0000-000024A70000}"/>
    <cellStyle name="常规 9 3 4 3 2 3 3" xfId="4334" xr:uid="{00000000-0005-0000-0000-000025A70000}"/>
    <cellStyle name="常规 9 3 4 3 2 3 3 2" xfId="10478" xr:uid="{00000000-0005-0000-0000-000026A70000}"/>
    <cellStyle name="常规 9 3 4 3 2 3 3 2 2" xfId="22766" xr:uid="{00000000-0005-0000-0000-000027A70000}"/>
    <cellStyle name="常规 9 3 4 3 2 3 3 2 2 2" xfId="47342" xr:uid="{00000000-0005-0000-0000-000028A70000}"/>
    <cellStyle name="常规 9 3 4 3 2 3 3 2 3" xfId="35054" xr:uid="{00000000-0005-0000-0000-000029A70000}"/>
    <cellStyle name="常规 9 3 4 3 2 3 3 3" xfId="16622" xr:uid="{00000000-0005-0000-0000-00002AA70000}"/>
    <cellStyle name="常规 9 3 4 3 2 3 3 3 2" xfId="41198" xr:uid="{00000000-0005-0000-0000-00002BA70000}"/>
    <cellStyle name="常规 9 3 4 3 2 3 3 4" xfId="28910" xr:uid="{00000000-0005-0000-0000-00002CA70000}"/>
    <cellStyle name="常规 9 3 4 3 2 3 4" xfId="7406" xr:uid="{00000000-0005-0000-0000-00002DA70000}"/>
    <cellStyle name="常规 9 3 4 3 2 3 4 2" xfId="19694" xr:uid="{00000000-0005-0000-0000-00002EA70000}"/>
    <cellStyle name="常规 9 3 4 3 2 3 4 2 2" xfId="44270" xr:uid="{00000000-0005-0000-0000-00002FA70000}"/>
    <cellStyle name="常规 9 3 4 3 2 3 4 3" xfId="31982" xr:uid="{00000000-0005-0000-0000-000030A70000}"/>
    <cellStyle name="常规 9 3 4 3 2 3 5" xfId="13550" xr:uid="{00000000-0005-0000-0000-000031A70000}"/>
    <cellStyle name="常规 9 3 4 3 2 3 5 2" xfId="38126" xr:uid="{00000000-0005-0000-0000-000032A70000}"/>
    <cellStyle name="常规 9 3 4 3 2 3 6" xfId="25838" xr:uid="{00000000-0005-0000-0000-000033A70000}"/>
    <cellStyle name="常规 9 3 4 3 2 4" xfId="2026" xr:uid="{00000000-0005-0000-0000-000034A70000}"/>
    <cellStyle name="常规 9 3 4 3 2 4 2" xfId="5102" xr:uid="{00000000-0005-0000-0000-000035A70000}"/>
    <cellStyle name="常规 9 3 4 3 2 4 2 2" xfId="11246" xr:uid="{00000000-0005-0000-0000-000036A70000}"/>
    <cellStyle name="常规 9 3 4 3 2 4 2 2 2" xfId="23534" xr:uid="{00000000-0005-0000-0000-000037A70000}"/>
    <cellStyle name="常规 9 3 4 3 2 4 2 2 2 2" xfId="48110" xr:uid="{00000000-0005-0000-0000-000038A70000}"/>
    <cellStyle name="常规 9 3 4 3 2 4 2 2 3" xfId="35822" xr:uid="{00000000-0005-0000-0000-000039A70000}"/>
    <cellStyle name="常规 9 3 4 3 2 4 2 3" xfId="17390" xr:uid="{00000000-0005-0000-0000-00003AA70000}"/>
    <cellStyle name="常规 9 3 4 3 2 4 2 3 2" xfId="41966" xr:uid="{00000000-0005-0000-0000-00003BA70000}"/>
    <cellStyle name="常规 9 3 4 3 2 4 2 4" xfId="29678" xr:uid="{00000000-0005-0000-0000-00003CA70000}"/>
    <cellStyle name="常规 9 3 4 3 2 4 3" xfId="8174" xr:uid="{00000000-0005-0000-0000-00003DA70000}"/>
    <cellStyle name="常规 9 3 4 3 2 4 3 2" xfId="20462" xr:uid="{00000000-0005-0000-0000-00003EA70000}"/>
    <cellStyle name="常规 9 3 4 3 2 4 3 2 2" xfId="45038" xr:uid="{00000000-0005-0000-0000-00003FA70000}"/>
    <cellStyle name="常规 9 3 4 3 2 4 3 3" xfId="32750" xr:uid="{00000000-0005-0000-0000-000040A70000}"/>
    <cellStyle name="常规 9 3 4 3 2 4 4" xfId="14318" xr:uid="{00000000-0005-0000-0000-000041A70000}"/>
    <cellStyle name="常规 9 3 4 3 2 4 4 2" xfId="38894" xr:uid="{00000000-0005-0000-0000-000042A70000}"/>
    <cellStyle name="常规 9 3 4 3 2 4 5" xfId="26606" xr:uid="{00000000-0005-0000-0000-000043A70000}"/>
    <cellStyle name="常规 9 3 4 3 2 5" xfId="3566" xr:uid="{00000000-0005-0000-0000-000044A70000}"/>
    <cellStyle name="常规 9 3 4 3 2 5 2" xfId="9710" xr:uid="{00000000-0005-0000-0000-000045A70000}"/>
    <cellStyle name="常规 9 3 4 3 2 5 2 2" xfId="21998" xr:uid="{00000000-0005-0000-0000-000046A70000}"/>
    <cellStyle name="常规 9 3 4 3 2 5 2 2 2" xfId="46574" xr:uid="{00000000-0005-0000-0000-000047A70000}"/>
    <cellStyle name="常规 9 3 4 3 2 5 2 3" xfId="34286" xr:uid="{00000000-0005-0000-0000-000048A70000}"/>
    <cellStyle name="常规 9 3 4 3 2 5 3" xfId="15854" xr:uid="{00000000-0005-0000-0000-000049A70000}"/>
    <cellStyle name="常规 9 3 4 3 2 5 3 2" xfId="40430" xr:uid="{00000000-0005-0000-0000-00004AA70000}"/>
    <cellStyle name="常规 9 3 4 3 2 5 4" xfId="28142" xr:uid="{00000000-0005-0000-0000-00004BA70000}"/>
    <cellStyle name="常规 9 3 4 3 2 6" xfId="6638" xr:uid="{00000000-0005-0000-0000-00004CA70000}"/>
    <cellStyle name="常规 9 3 4 3 2 6 2" xfId="18926" xr:uid="{00000000-0005-0000-0000-00004DA70000}"/>
    <cellStyle name="常规 9 3 4 3 2 6 2 2" xfId="43502" xr:uid="{00000000-0005-0000-0000-00004EA70000}"/>
    <cellStyle name="常规 9 3 4 3 2 6 3" xfId="31214" xr:uid="{00000000-0005-0000-0000-00004FA70000}"/>
    <cellStyle name="常规 9 3 4 3 2 7" xfId="12782" xr:uid="{00000000-0005-0000-0000-000050A70000}"/>
    <cellStyle name="常规 9 3 4 3 2 7 2" xfId="37358" xr:uid="{00000000-0005-0000-0000-000051A70000}"/>
    <cellStyle name="常规 9 3 4 3 2 8" xfId="25070" xr:uid="{00000000-0005-0000-0000-000052A70000}"/>
    <cellStyle name="常规 9 3 4 3 3" xfId="682" xr:uid="{00000000-0005-0000-0000-000053A70000}"/>
    <cellStyle name="常规 9 3 4 3 3 2" xfId="1450" xr:uid="{00000000-0005-0000-0000-000054A70000}"/>
    <cellStyle name="常规 9 3 4 3 3 2 2" xfId="2986" xr:uid="{00000000-0005-0000-0000-000055A70000}"/>
    <cellStyle name="常规 9 3 4 3 3 2 2 2" xfId="6062" xr:uid="{00000000-0005-0000-0000-000056A70000}"/>
    <cellStyle name="常规 9 3 4 3 3 2 2 2 2" xfId="12206" xr:uid="{00000000-0005-0000-0000-000057A70000}"/>
    <cellStyle name="常规 9 3 4 3 3 2 2 2 2 2" xfId="24494" xr:uid="{00000000-0005-0000-0000-000058A70000}"/>
    <cellStyle name="常规 9 3 4 3 3 2 2 2 2 2 2" xfId="49070" xr:uid="{00000000-0005-0000-0000-000059A70000}"/>
    <cellStyle name="常规 9 3 4 3 3 2 2 2 2 3" xfId="36782" xr:uid="{00000000-0005-0000-0000-00005AA70000}"/>
    <cellStyle name="常规 9 3 4 3 3 2 2 2 3" xfId="18350" xr:uid="{00000000-0005-0000-0000-00005BA70000}"/>
    <cellStyle name="常规 9 3 4 3 3 2 2 2 3 2" xfId="42926" xr:uid="{00000000-0005-0000-0000-00005CA70000}"/>
    <cellStyle name="常规 9 3 4 3 3 2 2 2 4" xfId="30638" xr:uid="{00000000-0005-0000-0000-00005DA70000}"/>
    <cellStyle name="常规 9 3 4 3 3 2 2 3" xfId="9134" xr:uid="{00000000-0005-0000-0000-00005EA70000}"/>
    <cellStyle name="常规 9 3 4 3 3 2 2 3 2" xfId="21422" xr:uid="{00000000-0005-0000-0000-00005FA70000}"/>
    <cellStyle name="常规 9 3 4 3 3 2 2 3 2 2" xfId="45998" xr:uid="{00000000-0005-0000-0000-000060A70000}"/>
    <cellStyle name="常规 9 3 4 3 3 2 2 3 3" xfId="33710" xr:uid="{00000000-0005-0000-0000-000061A70000}"/>
    <cellStyle name="常规 9 3 4 3 3 2 2 4" xfId="15278" xr:uid="{00000000-0005-0000-0000-000062A70000}"/>
    <cellStyle name="常规 9 3 4 3 3 2 2 4 2" xfId="39854" xr:uid="{00000000-0005-0000-0000-000063A70000}"/>
    <cellStyle name="常规 9 3 4 3 3 2 2 5" xfId="27566" xr:uid="{00000000-0005-0000-0000-000064A70000}"/>
    <cellStyle name="常规 9 3 4 3 3 2 3" xfId="4526" xr:uid="{00000000-0005-0000-0000-000065A70000}"/>
    <cellStyle name="常规 9 3 4 3 3 2 3 2" xfId="10670" xr:uid="{00000000-0005-0000-0000-000066A70000}"/>
    <cellStyle name="常规 9 3 4 3 3 2 3 2 2" xfId="22958" xr:uid="{00000000-0005-0000-0000-000067A70000}"/>
    <cellStyle name="常规 9 3 4 3 3 2 3 2 2 2" xfId="47534" xr:uid="{00000000-0005-0000-0000-000068A70000}"/>
    <cellStyle name="常规 9 3 4 3 3 2 3 2 3" xfId="35246" xr:uid="{00000000-0005-0000-0000-000069A70000}"/>
    <cellStyle name="常规 9 3 4 3 3 2 3 3" xfId="16814" xr:uid="{00000000-0005-0000-0000-00006AA70000}"/>
    <cellStyle name="常规 9 3 4 3 3 2 3 3 2" xfId="41390" xr:uid="{00000000-0005-0000-0000-00006BA70000}"/>
    <cellStyle name="常规 9 3 4 3 3 2 3 4" xfId="29102" xr:uid="{00000000-0005-0000-0000-00006CA70000}"/>
    <cellStyle name="常规 9 3 4 3 3 2 4" xfId="7598" xr:uid="{00000000-0005-0000-0000-00006DA70000}"/>
    <cellStyle name="常规 9 3 4 3 3 2 4 2" xfId="19886" xr:uid="{00000000-0005-0000-0000-00006EA70000}"/>
    <cellStyle name="常规 9 3 4 3 3 2 4 2 2" xfId="44462" xr:uid="{00000000-0005-0000-0000-00006FA70000}"/>
    <cellStyle name="常规 9 3 4 3 3 2 4 3" xfId="32174" xr:uid="{00000000-0005-0000-0000-000070A70000}"/>
    <cellStyle name="常规 9 3 4 3 3 2 5" xfId="13742" xr:uid="{00000000-0005-0000-0000-000071A70000}"/>
    <cellStyle name="常规 9 3 4 3 3 2 5 2" xfId="38318" xr:uid="{00000000-0005-0000-0000-000072A70000}"/>
    <cellStyle name="常规 9 3 4 3 3 2 6" xfId="26030" xr:uid="{00000000-0005-0000-0000-000073A70000}"/>
    <cellStyle name="常规 9 3 4 3 3 3" xfId="2218" xr:uid="{00000000-0005-0000-0000-000074A70000}"/>
    <cellStyle name="常规 9 3 4 3 3 3 2" xfId="5294" xr:uid="{00000000-0005-0000-0000-000075A70000}"/>
    <cellStyle name="常规 9 3 4 3 3 3 2 2" xfId="11438" xr:uid="{00000000-0005-0000-0000-000076A70000}"/>
    <cellStyle name="常规 9 3 4 3 3 3 2 2 2" xfId="23726" xr:uid="{00000000-0005-0000-0000-000077A70000}"/>
    <cellStyle name="常规 9 3 4 3 3 3 2 2 2 2" xfId="48302" xr:uid="{00000000-0005-0000-0000-000078A70000}"/>
    <cellStyle name="常规 9 3 4 3 3 3 2 2 3" xfId="36014" xr:uid="{00000000-0005-0000-0000-000079A70000}"/>
    <cellStyle name="常规 9 3 4 3 3 3 2 3" xfId="17582" xr:uid="{00000000-0005-0000-0000-00007AA70000}"/>
    <cellStyle name="常规 9 3 4 3 3 3 2 3 2" xfId="42158" xr:uid="{00000000-0005-0000-0000-00007BA70000}"/>
    <cellStyle name="常规 9 3 4 3 3 3 2 4" xfId="29870" xr:uid="{00000000-0005-0000-0000-00007CA70000}"/>
    <cellStyle name="常规 9 3 4 3 3 3 3" xfId="8366" xr:uid="{00000000-0005-0000-0000-00007DA70000}"/>
    <cellStyle name="常规 9 3 4 3 3 3 3 2" xfId="20654" xr:uid="{00000000-0005-0000-0000-00007EA70000}"/>
    <cellStyle name="常规 9 3 4 3 3 3 3 2 2" xfId="45230" xr:uid="{00000000-0005-0000-0000-00007FA70000}"/>
    <cellStyle name="常规 9 3 4 3 3 3 3 3" xfId="32942" xr:uid="{00000000-0005-0000-0000-000080A70000}"/>
    <cellStyle name="常规 9 3 4 3 3 3 4" xfId="14510" xr:uid="{00000000-0005-0000-0000-000081A70000}"/>
    <cellStyle name="常规 9 3 4 3 3 3 4 2" xfId="39086" xr:uid="{00000000-0005-0000-0000-000082A70000}"/>
    <cellStyle name="常规 9 3 4 3 3 3 5" xfId="26798" xr:uid="{00000000-0005-0000-0000-000083A70000}"/>
    <cellStyle name="常规 9 3 4 3 3 4" xfId="3758" xr:uid="{00000000-0005-0000-0000-000084A70000}"/>
    <cellStyle name="常规 9 3 4 3 3 4 2" xfId="9902" xr:uid="{00000000-0005-0000-0000-000085A70000}"/>
    <cellStyle name="常规 9 3 4 3 3 4 2 2" xfId="22190" xr:uid="{00000000-0005-0000-0000-000086A70000}"/>
    <cellStyle name="常规 9 3 4 3 3 4 2 2 2" xfId="46766" xr:uid="{00000000-0005-0000-0000-000087A70000}"/>
    <cellStyle name="常规 9 3 4 3 3 4 2 3" xfId="34478" xr:uid="{00000000-0005-0000-0000-000088A70000}"/>
    <cellStyle name="常规 9 3 4 3 3 4 3" xfId="16046" xr:uid="{00000000-0005-0000-0000-000089A70000}"/>
    <cellStyle name="常规 9 3 4 3 3 4 3 2" xfId="40622" xr:uid="{00000000-0005-0000-0000-00008AA70000}"/>
    <cellStyle name="常规 9 3 4 3 3 4 4" xfId="28334" xr:uid="{00000000-0005-0000-0000-00008BA70000}"/>
    <cellStyle name="常规 9 3 4 3 3 5" xfId="6830" xr:uid="{00000000-0005-0000-0000-00008CA70000}"/>
    <cellStyle name="常规 9 3 4 3 3 5 2" xfId="19118" xr:uid="{00000000-0005-0000-0000-00008DA70000}"/>
    <cellStyle name="常规 9 3 4 3 3 5 2 2" xfId="43694" xr:uid="{00000000-0005-0000-0000-00008EA70000}"/>
    <cellStyle name="常规 9 3 4 3 3 5 3" xfId="31406" xr:uid="{00000000-0005-0000-0000-00008FA70000}"/>
    <cellStyle name="常规 9 3 4 3 3 6" xfId="12974" xr:uid="{00000000-0005-0000-0000-000090A70000}"/>
    <cellStyle name="常规 9 3 4 3 3 6 2" xfId="37550" xr:uid="{00000000-0005-0000-0000-000091A70000}"/>
    <cellStyle name="常规 9 3 4 3 3 7" xfId="25262" xr:uid="{00000000-0005-0000-0000-000092A70000}"/>
    <cellStyle name="常规 9 3 4 3 4" xfId="1066" xr:uid="{00000000-0005-0000-0000-000093A70000}"/>
    <cellStyle name="常规 9 3 4 3 4 2" xfId="2602" xr:uid="{00000000-0005-0000-0000-000094A70000}"/>
    <cellStyle name="常规 9 3 4 3 4 2 2" xfId="5678" xr:uid="{00000000-0005-0000-0000-000095A70000}"/>
    <cellStyle name="常规 9 3 4 3 4 2 2 2" xfId="11822" xr:uid="{00000000-0005-0000-0000-000096A70000}"/>
    <cellStyle name="常规 9 3 4 3 4 2 2 2 2" xfId="24110" xr:uid="{00000000-0005-0000-0000-000097A70000}"/>
    <cellStyle name="常规 9 3 4 3 4 2 2 2 2 2" xfId="48686" xr:uid="{00000000-0005-0000-0000-000098A70000}"/>
    <cellStyle name="常规 9 3 4 3 4 2 2 2 3" xfId="36398" xr:uid="{00000000-0005-0000-0000-000099A70000}"/>
    <cellStyle name="常规 9 3 4 3 4 2 2 3" xfId="17966" xr:uid="{00000000-0005-0000-0000-00009AA70000}"/>
    <cellStyle name="常规 9 3 4 3 4 2 2 3 2" xfId="42542" xr:uid="{00000000-0005-0000-0000-00009BA70000}"/>
    <cellStyle name="常规 9 3 4 3 4 2 2 4" xfId="30254" xr:uid="{00000000-0005-0000-0000-00009CA70000}"/>
    <cellStyle name="常规 9 3 4 3 4 2 3" xfId="8750" xr:uid="{00000000-0005-0000-0000-00009DA70000}"/>
    <cellStyle name="常规 9 3 4 3 4 2 3 2" xfId="21038" xr:uid="{00000000-0005-0000-0000-00009EA70000}"/>
    <cellStyle name="常规 9 3 4 3 4 2 3 2 2" xfId="45614" xr:uid="{00000000-0005-0000-0000-00009FA70000}"/>
    <cellStyle name="常规 9 3 4 3 4 2 3 3" xfId="33326" xr:uid="{00000000-0005-0000-0000-0000A0A70000}"/>
    <cellStyle name="常规 9 3 4 3 4 2 4" xfId="14894" xr:uid="{00000000-0005-0000-0000-0000A1A70000}"/>
    <cellStyle name="常规 9 3 4 3 4 2 4 2" xfId="39470" xr:uid="{00000000-0005-0000-0000-0000A2A70000}"/>
    <cellStyle name="常规 9 3 4 3 4 2 5" xfId="27182" xr:uid="{00000000-0005-0000-0000-0000A3A70000}"/>
    <cellStyle name="常规 9 3 4 3 4 3" xfId="4142" xr:uid="{00000000-0005-0000-0000-0000A4A70000}"/>
    <cellStyle name="常规 9 3 4 3 4 3 2" xfId="10286" xr:uid="{00000000-0005-0000-0000-0000A5A70000}"/>
    <cellStyle name="常规 9 3 4 3 4 3 2 2" xfId="22574" xr:uid="{00000000-0005-0000-0000-0000A6A70000}"/>
    <cellStyle name="常规 9 3 4 3 4 3 2 2 2" xfId="47150" xr:uid="{00000000-0005-0000-0000-0000A7A70000}"/>
    <cellStyle name="常规 9 3 4 3 4 3 2 3" xfId="34862" xr:uid="{00000000-0005-0000-0000-0000A8A70000}"/>
    <cellStyle name="常规 9 3 4 3 4 3 3" xfId="16430" xr:uid="{00000000-0005-0000-0000-0000A9A70000}"/>
    <cellStyle name="常规 9 3 4 3 4 3 3 2" xfId="41006" xr:uid="{00000000-0005-0000-0000-0000AAA70000}"/>
    <cellStyle name="常规 9 3 4 3 4 3 4" xfId="28718" xr:uid="{00000000-0005-0000-0000-0000ABA70000}"/>
    <cellStyle name="常规 9 3 4 3 4 4" xfId="7214" xr:uid="{00000000-0005-0000-0000-0000ACA70000}"/>
    <cellStyle name="常规 9 3 4 3 4 4 2" xfId="19502" xr:uid="{00000000-0005-0000-0000-0000ADA70000}"/>
    <cellStyle name="常规 9 3 4 3 4 4 2 2" xfId="44078" xr:uid="{00000000-0005-0000-0000-0000AEA70000}"/>
    <cellStyle name="常规 9 3 4 3 4 4 3" xfId="31790" xr:uid="{00000000-0005-0000-0000-0000AFA70000}"/>
    <cellStyle name="常规 9 3 4 3 4 5" xfId="13358" xr:uid="{00000000-0005-0000-0000-0000B0A70000}"/>
    <cellStyle name="常规 9 3 4 3 4 5 2" xfId="37934" xr:uid="{00000000-0005-0000-0000-0000B1A70000}"/>
    <cellStyle name="常规 9 3 4 3 4 6" xfId="25646" xr:uid="{00000000-0005-0000-0000-0000B2A70000}"/>
    <cellStyle name="常规 9 3 4 3 5" xfId="1834" xr:uid="{00000000-0005-0000-0000-0000B3A70000}"/>
    <cellStyle name="常规 9 3 4 3 5 2" xfId="4910" xr:uid="{00000000-0005-0000-0000-0000B4A70000}"/>
    <cellStyle name="常规 9 3 4 3 5 2 2" xfId="11054" xr:uid="{00000000-0005-0000-0000-0000B5A70000}"/>
    <cellStyle name="常规 9 3 4 3 5 2 2 2" xfId="23342" xr:uid="{00000000-0005-0000-0000-0000B6A70000}"/>
    <cellStyle name="常规 9 3 4 3 5 2 2 2 2" xfId="47918" xr:uid="{00000000-0005-0000-0000-0000B7A70000}"/>
    <cellStyle name="常规 9 3 4 3 5 2 2 3" xfId="35630" xr:uid="{00000000-0005-0000-0000-0000B8A70000}"/>
    <cellStyle name="常规 9 3 4 3 5 2 3" xfId="17198" xr:uid="{00000000-0005-0000-0000-0000B9A70000}"/>
    <cellStyle name="常规 9 3 4 3 5 2 3 2" xfId="41774" xr:uid="{00000000-0005-0000-0000-0000BAA70000}"/>
    <cellStyle name="常规 9 3 4 3 5 2 4" xfId="29486" xr:uid="{00000000-0005-0000-0000-0000BBA70000}"/>
    <cellStyle name="常规 9 3 4 3 5 3" xfId="7982" xr:uid="{00000000-0005-0000-0000-0000BCA70000}"/>
    <cellStyle name="常规 9 3 4 3 5 3 2" xfId="20270" xr:uid="{00000000-0005-0000-0000-0000BDA70000}"/>
    <cellStyle name="常规 9 3 4 3 5 3 2 2" xfId="44846" xr:uid="{00000000-0005-0000-0000-0000BEA70000}"/>
    <cellStyle name="常规 9 3 4 3 5 3 3" xfId="32558" xr:uid="{00000000-0005-0000-0000-0000BFA70000}"/>
    <cellStyle name="常规 9 3 4 3 5 4" xfId="14126" xr:uid="{00000000-0005-0000-0000-0000C0A70000}"/>
    <cellStyle name="常规 9 3 4 3 5 4 2" xfId="38702" xr:uid="{00000000-0005-0000-0000-0000C1A70000}"/>
    <cellStyle name="常规 9 3 4 3 5 5" xfId="26414" xr:uid="{00000000-0005-0000-0000-0000C2A70000}"/>
    <cellStyle name="常规 9 3 4 3 6" xfId="3374" xr:uid="{00000000-0005-0000-0000-0000C3A70000}"/>
    <cellStyle name="常规 9 3 4 3 6 2" xfId="9518" xr:uid="{00000000-0005-0000-0000-0000C4A70000}"/>
    <cellStyle name="常规 9 3 4 3 6 2 2" xfId="21806" xr:uid="{00000000-0005-0000-0000-0000C5A70000}"/>
    <cellStyle name="常规 9 3 4 3 6 2 2 2" xfId="46382" xr:uid="{00000000-0005-0000-0000-0000C6A70000}"/>
    <cellStyle name="常规 9 3 4 3 6 2 3" xfId="34094" xr:uid="{00000000-0005-0000-0000-0000C7A70000}"/>
    <cellStyle name="常规 9 3 4 3 6 3" xfId="15662" xr:uid="{00000000-0005-0000-0000-0000C8A70000}"/>
    <cellStyle name="常规 9 3 4 3 6 3 2" xfId="40238" xr:uid="{00000000-0005-0000-0000-0000C9A70000}"/>
    <cellStyle name="常规 9 3 4 3 6 4" xfId="27950" xr:uid="{00000000-0005-0000-0000-0000CAA70000}"/>
    <cellStyle name="常规 9 3 4 3 7" xfId="6446" xr:uid="{00000000-0005-0000-0000-0000CBA70000}"/>
    <cellStyle name="常规 9 3 4 3 7 2" xfId="18734" xr:uid="{00000000-0005-0000-0000-0000CCA70000}"/>
    <cellStyle name="常规 9 3 4 3 7 2 2" xfId="43310" xr:uid="{00000000-0005-0000-0000-0000CDA70000}"/>
    <cellStyle name="常规 9 3 4 3 7 3" xfId="31022" xr:uid="{00000000-0005-0000-0000-0000CEA70000}"/>
    <cellStyle name="常规 9 3 4 3 8" xfId="12590" xr:uid="{00000000-0005-0000-0000-0000CFA70000}"/>
    <cellStyle name="常规 9 3 4 3 8 2" xfId="37166" xr:uid="{00000000-0005-0000-0000-0000D0A70000}"/>
    <cellStyle name="常规 9 3 4 3 9" xfId="24878" xr:uid="{00000000-0005-0000-0000-0000D1A70000}"/>
    <cellStyle name="常规 9 3 4 4" xfId="362" xr:uid="{00000000-0005-0000-0000-0000D2A70000}"/>
    <cellStyle name="常规 9 3 4 4 2" xfId="746" xr:uid="{00000000-0005-0000-0000-0000D3A70000}"/>
    <cellStyle name="常规 9 3 4 4 2 2" xfId="1514" xr:uid="{00000000-0005-0000-0000-0000D4A70000}"/>
    <cellStyle name="常规 9 3 4 4 2 2 2" xfId="3050" xr:uid="{00000000-0005-0000-0000-0000D5A70000}"/>
    <cellStyle name="常规 9 3 4 4 2 2 2 2" xfId="6126" xr:uid="{00000000-0005-0000-0000-0000D6A70000}"/>
    <cellStyle name="常规 9 3 4 4 2 2 2 2 2" xfId="12270" xr:uid="{00000000-0005-0000-0000-0000D7A70000}"/>
    <cellStyle name="常规 9 3 4 4 2 2 2 2 2 2" xfId="24558" xr:uid="{00000000-0005-0000-0000-0000D8A70000}"/>
    <cellStyle name="常规 9 3 4 4 2 2 2 2 2 2 2" xfId="49134" xr:uid="{00000000-0005-0000-0000-0000D9A70000}"/>
    <cellStyle name="常规 9 3 4 4 2 2 2 2 2 3" xfId="36846" xr:uid="{00000000-0005-0000-0000-0000DAA70000}"/>
    <cellStyle name="常规 9 3 4 4 2 2 2 2 3" xfId="18414" xr:uid="{00000000-0005-0000-0000-0000DBA70000}"/>
    <cellStyle name="常规 9 3 4 4 2 2 2 2 3 2" xfId="42990" xr:uid="{00000000-0005-0000-0000-0000DCA70000}"/>
    <cellStyle name="常规 9 3 4 4 2 2 2 2 4" xfId="30702" xr:uid="{00000000-0005-0000-0000-0000DDA70000}"/>
    <cellStyle name="常规 9 3 4 4 2 2 2 3" xfId="9198" xr:uid="{00000000-0005-0000-0000-0000DEA70000}"/>
    <cellStyle name="常规 9 3 4 4 2 2 2 3 2" xfId="21486" xr:uid="{00000000-0005-0000-0000-0000DFA70000}"/>
    <cellStyle name="常规 9 3 4 4 2 2 2 3 2 2" xfId="46062" xr:uid="{00000000-0005-0000-0000-0000E0A70000}"/>
    <cellStyle name="常规 9 3 4 4 2 2 2 3 3" xfId="33774" xr:uid="{00000000-0005-0000-0000-0000E1A70000}"/>
    <cellStyle name="常规 9 3 4 4 2 2 2 4" xfId="15342" xr:uid="{00000000-0005-0000-0000-0000E2A70000}"/>
    <cellStyle name="常规 9 3 4 4 2 2 2 4 2" xfId="39918" xr:uid="{00000000-0005-0000-0000-0000E3A70000}"/>
    <cellStyle name="常规 9 3 4 4 2 2 2 5" xfId="27630" xr:uid="{00000000-0005-0000-0000-0000E4A70000}"/>
    <cellStyle name="常规 9 3 4 4 2 2 3" xfId="4590" xr:uid="{00000000-0005-0000-0000-0000E5A70000}"/>
    <cellStyle name="常规 9 3 4 4 2 2 3 2" xfId="10734" xr:uid="{00000000-0005-0000-0000-0000E6A70000}"/>
    <cellStyle name="常规 9 3 4 4 2 2 3 2 2" xfId="23022" xr:uid="{00000000-0005-0000-0000-0000E7A70000}"/>
    <cellStyle name="常规 9 3 4 4 2 2 3 2 2 2" xfId="47598" xr:uid="{00000000-0005-0000-0000-0000E8A70000}"/>
    <cellStyle name="常规 9 3 4 4 2 2 3 2 3" xfId="35310" xr:uid="{00000000-0005-0000-0000-0000E9A70000}"/>
    <cellStyle name="常规 9 3 4 4 2 2 3 3" xfId="16878" xr:uid="{00000000-0005-0000-0000-0000EAA70000}"/>
    <cellStyle name="常规 9 3 4 4 2 2 3 3 2" xfId="41454" xr:uid="{00000000-0005-0000-0000-0000EBA70000}"/>
    <cellStyle name="常规 9 3 4 4 2 2 3 4" xfId="29166" xr:uid="{00000000-0005-0000-0000-0000ECA70000}"/>
    <cellStyle name="常规 9 3 4 4 2 2 4" xfId="7662" xr:uid="{00000000-0005-0000-0000-0000EDA70000}"/>
    <cellStyle name="常规 9 3 4 4 2 2 4 2" xfId="19950" xr:uid="{00000000-0005-0000-0000-0000EEA70000}"/>
    <cellStyle name="常规 9 3 4 4 2 2 4 2 2" xfId="44526" xr:uid="{00000000-0005-0000-0000-0000EFA70000}"/>
    <cellStyle name="常规 9 3 4 4 2 2 4 3" xfId="32238" xr:uid="{00000000-0005-0000-0000-0000F0A70000}"/>
    <cellStyle name="常规 9 3 4 4 2 2 5" xfId="13806" xr:uid="{00000000-0005-0000-0000-0000F1A70000}"/>
    <cellStyle name="常规 9 3 4 4 2 2 5 2" xfId="38382" xr:uid="{00000000-0005-0000-0000-0000F2A70000}"/>
    <cellStyle name="常规 9 3 4 4 2 2 6" xfId="26094" xr:uid="{00000000-0005-0000-0000-0000F3A70000}"/>
    <cellStyle name="常规 9 3 4 4 2 3" xfId="2282" xr:uid="{00000000-0005-0000-0000-0000F4A70000}"/>
    <cellStyle name="常规 9 3 4 4 2 3 2" xfId="5358" xr:uid="{00000000-0005-0000-0000-0000F5A70000}"/>
    <cellStyle name="常规 9 3 4 4 2 3 2 2" xfId="11502" xr:uid="{00000000-0005-0000-0000-0000F6A70000}"/>
    <cellStyle name="常规 9 3 4 4 2 3 2 2 2" xfId="23790" xr:uid="{00000000-0005-0000-0000-0000F7A70000}"/>
    <cellStyle name="常规 9 3 4 4 2 3 2 2 2 2" xfId="48366" xr:uid="{00000000-0005-0000-0000-0000F8A70000}"/>
    <cellStyle name="常规 9 3 4 4 2 3 2 2 3" xfId="36078" xr:uid="{00000000-0005-0000-0000-0000F9A70000}"/>
    <cellStyle name="常规 9 3 4 4 2 3 2 3" xfId="17646" xr:uid="{00000000-0005-0000-0000-0000FAA70000}"/>
    <cellStyle name="常规 9 3 4 4 2 3 2 3 2" xfId="42222" xr:uid="{00000000-0005-0000-0000-0000FBA70000}"/>
    <cellStyle name="常规 9 3 4 4 2 3 2 4" xfId="29934" xr:uid="{00000000-0005-0000-0000-0000FCA70000}"/>
    <cellStyle name="常规 9 3 4 4 2 3 3" xfId="8430" xr:uid="{00000000-0005-0000-0000-0000FDA70000}"/>
    <cellStyle name="常规 9 3 4 4 2 3 3 2" xfId="20718" xr:uid="{00000000-0005-0000-0000-0000FEA70000}"/>
    <cellStyle name="常规 9 3 4 4 2 3 3 2 2" xfId="45294" xr:uid="{00000000-0005-0000-0000-0000FFA70000}"/>
    <cellStyle name="常规 9 3 4 4 2 3 3 3" xfId="33006" xr:uid="{00000000-0005-0000-0000-000000A80000}"/>
    <cellStyle name="常规 9 3 4 4 2 3 4" xfId="14574" xr:uid="{00000000-0005-0000-0000-000001A80000}"/>
    <cellStyle name="常规 9 3 4 4 2 3 4 2" xfId="39150" xr:uid="{00000000-0005-0000-0000-000002A80000}"/>
    <cellStyle name="常规 9 3 4 4 2 3 5" xfId="26862" xr:uid="{00000000-0005-0000-0000-000003A80000}"/>
    <cellStyle name="常规 9 3 4 4 2 4" xfId="3822" xr:uid="{00000000-0005-0000-0000-000004A80000}"/>
    <cellStyle name="常规 9 3 4 4 2 4 2" xfId="9966" xr:uid="{00000000-0005-0000-0000-000005A80000}"/>
    <cellStyle name="常规 9 3 4 4 2 4 2 2" xfId="22254" xr:uid="{00000000-0005-0000-0000-000006A80000}"/>
    <cellStyle name="常规 9 3 4 4 2 4 2 2 2" xfId="46830" xr:uid="{00000000-0005-0000-0000-000007A80000}"/>
    <cellStyle name="常规 9 3 4 4 2 4 2 3" xfId="34542" xr:uid="{00000000-0005-0000-0000-000008A80000}"/>
    <cellStyle name="常规 9 3 4 4 2 4 3" xfId="16110" xr:uid="{00000000-0005-0000-0000-000009A80000}"/>
    <cellStyle name="常规 9 3 4 4 2 4 3 2" xfId="40686" xr:uid="{00000000-0005-0000-0000-00000AA80000}"/>
    <cellStyle name="常规 9 3 4 4 2 4 4" xfId="28398" xr:uid="{00000000-0005-0000-0000-00000BA80000}"/>
    <cellStyle name="常规 9 3 4 4 2 5" xfId="6894" xr:uid="{00000000-0005-0000-0000-00000CA80000}"/>
    <cellStyle name="常规 9 3 4 4 2 5 2" xfId="19182" xr:uid="{00000000-0005-0000-0000-00000DA80000}"/>
    <cellStyle name="常规 9 3 4 4 2 5 2 2" xfId="43758" xr:uid="{00000000-0005-0000-0000-00000EA80000}"/>
    <cellStyle name="常规 9 3 4 4 2 5 3" xfId="31470" xr:uid="{00000000-0005-0000-0000-00000FA80000}"/>
    <cellStyle name="常规 9 3 4 4 2 6" xfId="13038" xr:uid="{00000000-0005-0000-0000-000010A80000}"/>
    <cellStyle name="常规 9 3 4 4 2 6 2" xfId="37614" xr:uid="{00000000-0005-0000-0000-000011A80000}"/>
    <cellStyle name="常规 9 3 4 4 2 7" xfId="25326" xr:uid="{00000000-0005-0000-0000-000012A80000}"/>
    <cellStyle name="常规 9 3 4 4 3" xfId="1130" xr:uid="{00000000-0005-0000-0000-000013A80000}"/>
    <cellStyle name="常规 9 3 4 4 3 2" xfId="2666" xr:uid="{00000000-0005-0000-0000-000014A80000}"/>
    <cellStyle name="常规 9 3 4 4 3 2 2" xfId="5742" xr:uid="{00000000-0005-0000-0000-000015A80000}"/>
    <cellStyle name="常规 9 3 4 4 3 2 2 2" xfId="11886" xr:uid="{00000000-0005-0000-0000-000016A80000}"/>
    <cellStyle name="常规 9 3 4 4 3 2 2 2 2" xfId="24174" xr:uid="{00000000-0005-0000-0000-000017A80000}"/>
    <cellStyle name="常规 9 3 4 4 3 2 2 2 2 2" xfId="48750" xr:uid="{00000000-0005-0000-0000-000018A80000}"/>
    <cellStyle name="常规 9 3 4 4 3 2 2 2 3" xfId="36462" xr:uid="{00000000-0005-0000-0000-000019A80000}"/>
    <cellStyle name="常规 9 3 4 4 3 2 2 3" xfId="18030" xr:uid="{00000000-0005-0000-0000-00001AA80000}"/>
    <cellStyle name="常规 9 3 4 4 3 2 2 3 2" xfId="42606" xr:uid="{00000000-0005-0000-0000-00001BA80000}"/>
    <cellStyle name="常规 9 3 4 4 3 2 2 4" xfId="30318" xr:uid="{00000000-0005-0000-0000-00001CA80000}"/>
    <cellStyle name="常规 9 3 4 4 3 2 3" xfId="8814" xr:uid="{00000000-0005-0000-0000-00001DA80000}"/>
    <cellStyle name="常规 9 3 4 4 3 2 3 2" xfId="21102" xr:uid="{00000000-0005-0000-0000-00001EA80000}"/>
    <cellStyle name="常规 9 3 4 4 3 2 3 2 2" xfId="45678" xr:uid="{00000000-0005-0000-0000-00001FA80000}"/>
    <cellStyle name="常规 9 3 4 4 3 2 3 3" xfId="33390" xr:uid="{00000000-0005-0000-0000-000020A80000}"/>
    <cellStyle name="常规 9 3 4 4 3 2 4" xfId="14958" xr:uid="{00000000-0005-0000-0000-000021A80000}"/>
    <cellStyle name="常规 9 3 4 4 3 2 4 2" xfId="39534" xr:uid="{00000000-0005-0000-0000-000022A80000}"/>
    <cellStyle name="常规 9 3 4 4 3 2 5" xfId="27246" xr:uid="{00000000-0005-0000-0000-000023A80000}"/>
    <cellStyle name="常规 9 3 4 4 3 3" xfId="4206" xr:uid="{00000000-0005-0000-0000-000024A80000}"/>
    <cellStyle name="常规 9 3 4 4 3 3 2" xfId="10350" xr:uid="{00000000-0005-0000-0000-000025A80000}"/>
    <cellStyle name="常规 9 3 4 4 3 3 2 2" xfId="22638" xr:uid="{00000000-0005-0000-0000-000026A80000}"/>
    <cellStyle name="常规 9 3 4 4 3 3 2 2 2" xfId="47214" xr:uid="{00000000-0005-0000-0000-000027A80000}"/>
    <cellStyle name="常规 9 3 4 4 3 3 2 3" xfId="34926" xr:uid="{00000000-0005-0000-0000-000028A80000}"/>
    <cellStyle name="常规 9 3 4 4 3 3 3" xfId="16494" xr:uid="{00000000-0005-0000-0000-000029A80000}"/>
    <cellStyle name="常规 9 3 4 4 3 3 3 2" xfId="41070" xr:uid="{00000000-0005-0000-0000-00002AA80000}"/>
    <cellStyle name="常规 9 3 4 4 3 3 4" xfId="28782" xr:uid="{00000000-0005-0000-0000-00002BA80000}"/>
    <cellStyle name="常规 9 3 4 4 3 4" xfId="7278" xr:uid="{00000000-0005-0000-0000-00002CA80000}"/>
    <cellStyle name="常规 9 3 4 4 3 4 2" xfId="19566" xr:uid="{00000000-0005-0000-0000-00002DA80000}"/>
    <cellStyle name="常规 9 3 4 4 3 4 2 2" xfId="44142" xr:uid="{00000000-0005-0000-0000-00002EA80000}"/>
    <cellStyle name="常规 9 3 4 4 3 4 3" xfId="31854" xr:uid="{00000000-0005-0000-0000-00002FA80000}"/>
    <cellStyle name="常规 9 3 4 4 3 5" xfId="13422" xr:uid="{00000000-0005-0000-0000-000030A80000}"/>
    <cellStyle name="常规 9 3 4 4 3 5 2" xfId="37998" xr:uid="{00000000-0005-0000-0000-000031A80000}"/>
    <cellStyle name="常规 9 3 4 4 3 6" xfId="25710" xr:uid="{00000000-0005-0000-0000-000032A80000}"/>
    <cellStyle name="常规 9 3 4 4 4" xfId="1898" xr:uid="{00000000-0005-0000-0000-000033A80000}"/>
    <cellStyle name="常规 9 3 4 4 4 2" xfId="4974" xr:uid="{00000000-0005-0000-0000-000034A80000}"/>
    <cellStyle name="常规 9 3 4 4 4 2 2" xfId="11118" xr:uid="{00000000-0005-0000-0000-000035A80000}"/>
    <cellStyle name="常规 9 3 4 4 4 2 2 2" xfId="23406" xr:uid="{00000000-0005-0000-0000-000036A80000}"/>
    <cellStyle name="常规 9 3 4 4 4 2 2 2 2" xfId="47982" xr:uid="{00000000-0005-0000-0000-000037A80000}"/>
    <cellStyle name="常规 9 3 4 4 4 2 2 3" xfId="35694" xr:uid="{00000000-0005-0000-0000-000038A80000}"/>
    <cellStyle name="常规 9 3 4 4 4 2 3" xfId="17262" xr:uid="{00000000-0005-0000-0000-000039A80000}"/>
    <cellStyle name="常规 9 3 4 4 4 2 3 2" xfId="41838" xr:uid="{00000000-0005-0000-0000-00003AA80000}"/>
    <cellStyle name="常规 9 3 4 4 4 2 4" xfId="29550" xr:uid="{00000000-0005-0000-0000-00003BA80000}"/>
    <cellStyle name="常规 9 3 4 4 4 3" xfId="8046" xr:uid="{00000000-0005-0000-0000-00003CA80000}"/>
    <cellStyle name="常规 9 3 4 4 4 3 2" xfId="20334" xr:uid="{00000000-0005-0000-0000-00003DA80000}"/>
    <cellStyle name="常规 9 3 4 4 4 3 2 2" xfId="44910" xr:uid="{00000000-0005-0000-0000-00003EA80000}"/>
    <cellStyle name="常规 9 3 4 4 4 3 3" xfId="32622" xr:uid="{00000000-0005-0000-0000-00003FA80000}"/>
    <cellStyle name="常规 9 3 4 4 4 4" xfId="14190" xr:uid="{00000000-0005-0000-0000-000040A80000}"/>
    <cellStyle name="常规 9 3 4 4 4 4 2" xfId="38766" xr:uid="{00000000-0005-0000-0000-000041A80000}"/>
    <cellStyle name="常规 9 3 4 4 4 5" xfId="26478" xr:uid="{00000000-0005-0000-0000-000042A80000}"/>
    <cellStyle name="常规 9 3 4 4 5" xfId="3438" xr:uid="{00000000-0005-0000-0000-000043A80000}"/>
    <cellStyle name="常规 9 3 4 4 5 2" xfId="9582" xr:uid="{00000000-0005-0000-0000-000044A80000}"/>
    <cellStyle name="常规 9 3 4 4 5 2 2" xfId="21870" xr:uid="{00000000-0005-0000-0000-000045A80000}"/>
    <cellStyle name="常规 9 3 4 4 5 2 2 2" xfId="46446" xr:uid="{00000000-0005-0000-0000-000046A80000}"/>
    <cellStyle name="常规 9 3 4 4 5 2 3" xfId="34158" xr:uid="{00000000-0005-0000-0000-000047A80000}"/>
    <cellStyle name="常规 9 3 4 4 5 3" xfId="15726" xr:uid="{00000000-0005-0000-0000-000048A80000}"/>
    <cellStyle name="常规 9 3 4 4 5 3 2" xfId="40302" xr:uid="{00000000-0005-0000-0000-000049A80000}"/>
    <cellStyle name="常规 9 3 4 4 5 4" xfId="28014" xr:uid="{00000000-0005-0000-0000-00004AA80000}"/>
    <cellStyle name="常规 9 3 4 4 6" xfId="6510" xr:uid="{00000000-0005-0000-0000-00004BA80000}"/>
    <cellStyle name="常规 9 3 4 4 6 2" xfId="18798" xr:uid="{00000000-0005-0000-0000-00004CA80000}"/>
    <cellStyle name="常规 9 3 4 4 6 2 2" xfId="43374" xr:uid="{00000000-0005-0000-0000-00004DA80000}"/>
    <cellStyle name="常规 9 3 4 4 6 3" xfId="31086" xr:uid="{00000000-0005-0000-0000-00004EA80000}"/>
    <cellStyle name="常规 9 3 4 4 7" xfId="12654" xr:uid="{00000000-0005-0000-0000-00004FA80000}"/>
    <cellStyle name="常规 9 3 4 4 7 2" xfId="37230" xr:uid="{00000000-0005-0000-0000-000050A80000}"/>
    <cellStyle name="常规 9 3 4 4 8" xfId="24942" xr:uid="{00000000-0005-0000-0000-000051A80000}"/>
    <cellStyle name="常规 9 3 4 5" xfId="554" xr:uid="{00000000-0005-0000-0000-000052A80000}"/>
    <cellStyle name="常规 9 3 4 5 2" xfId="1322" xr:uid="{00000000-0005-0000-0000-000053A80000}"/>
    <cellStyle name="常规 9 3 4 5 2 2" xfId="2858" xr:uid="{00000000-0005-0000-0000-000054A80000}"/>
    <cellStyle name="常规 9 3 4 5 2 2 2" xfId="5934" xr:uid="{00000000-0005-0000-0000-000055A80000}"/>
    <cellStyle name="常规 9 3 4 5 2 2 2 2" xfId="12078" xr:uid="{00000000-0005-0000-0000-000056A80000}"/>
    <cellStyle name="常规 9 3 4 5 2 2 2 2 2" xfId="24366" xr:uid="{00000000-0005-0000-0000-000057A80000}"/>
    <cellStyle name="常规 9 3 4 5 2 2 2 2 2 2" xfId="48942" xr:uid="{00000000-0005-0000-0000-000058A80000}"/>
    <cellStyle name="常规 9 3 4 5 2 2 2 2 3" xfId="36654" xr:uid="{00000000-0005-0000-0000-000059A80000}"/>
    <cellStyle name="常规 9 3 4 5 2 2 2 3" xfId="18222" xr:uid="{00000000-0005-0000-0000-00005AA80000}"/>
    <cellStyle name="常规 9 3 4 5 2 2 2 3 2" xfId="42798" xr:uid="{00000000-0005-0000-0000-00005BA80000}"/>
    <cellStyle name="常规 9 3 4 5 2 2 2 4" xfId="30510" xr:uid="{00000000-0005-0000-0000-00005CA80000}"/>
    <cellStyle name="常规 9 3 4 5 2 2 3" xfId="9006" xr:uid="{00000000-0005-0000-0000-00005DA80000}"/>
    <cellStyle name="常规 9 3 4 5 2 2 3 2" xfId="21294" xr:uid="{00000000-0005-0000-0000-00005EA80000}"/>
    <cellStyle name="常规 9 3 4 5 2 2 3 2 2" xfId="45870" xr:uid="{00000000-0005-0000-0000-00005FA80000}"/>
    <cellStyle name="常规 9 3 4 5 2 2 3 3" xfId="33582" xr:uid="{00000000-0005-0000-0000-000060A80000}"/>
    <cellStyle name="常规 9 3 4 5 2 2 4" xfId="15150" xr:uid="{00000000-0005-0000-0000-000061A80000}"/>
    <cellStyle name="常规 9 3 4 5 2 2 4 2" xfId="39726" xr:uid="{00000000-0005-0000-0000-000062A80000}"/>
    <cellStyle name="常规 9 3 4 5 2 2 5" xfId="27438" xr:uid="{00000000-0005-0000-0000-000063A80000}"/>
    <cellStyle name="常规 9 3 4 5 2 3" xfId="4398" xr:uid="{00000000-0005-0000-0000-000064A80000}"/>
    <cellStyle name="常规 9 3 4 5 2 3 2" xfId="10542" xr:uid="{00000000-0005-0000-0000-000065A80000}"/>
    <cellStyle name="常规 9 3 4 5 2 3 2 2" xfId="22830" xr:uid="{00000000-0005-0000-0000-000066A80000}"/>
    <cellStyle name="常规 9 3 4 5 2 3 2 2 2" xfId="47406" xr:uid="{00000000-0005-0000-0000-000067A80000}"/>
    <cellStyle name="常规 9 3 4 5 2 3 2 3" xfId="35118" xr:uid="{00000000-0005-0000-0000-000068A80000}"/>
    <cellStyle name="常规 9 3 4 5 2 3 3" xfId="16686" xr:uid="{00000000-0005-0000-0000-000069A80000}"/>
    <cellStyle name="常规 9 3 4 5 2 3 3 2" xfId="41262" xr:uid="{00000000-0005-0000-0000-00006AA80000}"/>
    <cellStyle name="常规 9 3 4 5 2 3 4" xfId="28974" xr:uid="{00000000-0005-0000-0000-00006BA80000}"/>
    <cellStyle name="常规 9 3 4 5 2 4" xfId="7470" xr:uid="{00000000-0005-0000-0000-00006CA80000}"/>
    <cellStyle name="常规 9 3 4 5 2 4 2" xfId="19758" xr:uid="{00000000-0005-0000-0000-00006DA80000}"/>
    <cellStyle name="常规 9 3 4 5 2 4 2 2" xfId="44334" xr:uid="{00000000-0005-0000-0000-00006EA80000}"/>
    <cellStyle name="常规 9 3 4 5 2 4 3" xfId="32046" xr:uid="{00000000-0005-0000-0000-00006FA80000}"/>
    <cellStyle name="常规 9 3 4 5 2 5" xfId="13614" xr:uid="{00000000-0005-0000-0000-000070A80000}"/>
    <cellStyle name="常规 9 3 4 5 2 5 2" xfId="38190" xr:uid="{00000000-0005-0000-0000-000071A80000}"/>
    <cellStyle name="常规 9 3 4 5 2 6" xfId="25902" xr:uid="{00000000-0005-0000-0000-000072A80000}"/>
    <cellStyle name="常规 9 3 4 5 3" xfId="2090" xr:uid="{00000000-0005-0000-0000-000073A80000}"/>
    <cellStyle name="常规 9 3 4 5 3 2" xfId="5166" xr:uid="{00000000-0005-0000-0000-000074A80000}"/>
    <cellStyle name="常规 9 3 4 5 3 2 2" xfId="11310" xr:uid="{00000000-0005-0000-0000-000075A80000}"/>
    <cellStyle name="常规 9 3 4 5 3 2 2 2" xfId="23598" xr:uid="{00000000-0005-0000-0000-000076A80000}"/>
    <cellStyle name="常规 9 3 4 5 3 2 2 2 2" xfId="48174" xr:uid="{00000000-0005-0000-0000-000077A80000}"/>
    <cellStyle name="常规 9 3 4 5 3 2 2 3" xfId="35886" xr:uid="{00000000-0005-0000-0000-000078A80000}"/>
    <cellStyle name="常规 9 3 4 5 3 2 3" xfId="17454" xr:uid="{00000000-0005-0000-0000-000079A80000}"/>
    <cellStyle name="常规 9 3 4 5 3 2 3 2" xfId="42030" xr:uid="{00000000-0005-0000-0000-00007AA80000}"/>
    <cellStyle name="常规 9 3 4 5 3 2 4" xfId="29742" xr:uid="{00000000-0005-0000-0000-00007BA80000}"/>
    <cellStyle name="常规 9 3 4 5 3 3" xfId="8238" xr:uid="{00000000-0005-0000-0000-00007CA80000}"/>
    <cellStyle name="常规 9 3 4 5 3 3 2" xfId="20526" xr:uid="{00000000-0005-0000-0000-00007DA80000}"/>
    <cellStyle name="常规 9 3 4 5 3 3 2 2" xfId="45102" xr:uid="{00000000-0005-0000-0000-00007EA80000}"/>
    <cellStyle name="常规 9 3 4 5 3 3 3" xfId="32814" xr:uid="{00000000-0005-0000-0000-00007FA80000}"/>
    <cellStyle name="常规 9 3 4 5 3 4" xfId="14382" xr:uid="{00000000-0005-0000-0000-000080A80000}"/>
    <cellStyle name="常规 9 3 4 5 3 4 2" xfId="38958" xr:uid="{00000000-0005-0000-0000-000081A80000}"/>
    <cellStyle name="常规 9 3 4 5 3 5" xfId="26670" xr:uid="{00000000-0005-0000-0000-000082A80000}"/>
    <cellStyle name="常规 9 3 4 5 4" xfId="3630" xr:uid="{00000000-0005-0000-0000-000083A80000}"/>
    <cellStyle name="常规 9 3 4 5 4 2" xfId="9774" xr:uid="{00000000-0005-0000-0000-000084A80000}"/>
    <cellStyle name="常规 9 3 4 5 4 2 2" xfId="22062" xr:uid="{00000000-0005-0000-0000-000085A80000}"/>
    <cellStyle name="常规 9 3 4 5 4 2 2 2" xfId="46638" xr:uid="{00000000-0005-0000-0000-000086A80000}"/>
    <cellStyle name="常规 9 3 4 5 4 2 3" xfId="34350" xr:uid="{00000000-0005-0000-0000-000087A80000}"/>
    <cellStyle name="常规 9 3 4 5 4 3" xfId="15918" xr:uid="{00000000-0005-0000-0000-000088A80000}"/>
    <cellStyle name="常规 9 3 4 5 4 3 2" xfId="40494" xr:uid="{00000000-0005-0000-0000-000089A80000}"/>
    <cellStyle name="常规 9 3 4 5 4 4" xfId="28206" xr:uid="{00000000-0005-0000-0000-00008AA80000}"/>
    <cellStyle name="常规 9 3 4 5 5" xfId="6702" xr:uid="{00000000-0005-0000-0000-00008BA80000}"/>
    <cellStyle name="常规 9 3 4 5 5 2" xfId="18990" xr:uid="{00000000-0005-0000-0000-00008CA80000}"/>
    <cellStyle name="常规 9 3 4 5 5 2 2" xfId="43566" xr:uid="{00000000-0005-0000-0000-00008DA80000}"/>
    <cellStyle name="常规 9 3 4 5 5 3" xfId="31278" xr:uid="{00000000-0005-0000-0000-00008EA80000}"/>
    <cellStyle name="常规 9 3 4 5 6" xfId="12846" xr:uid="{00000000-0005-0000-0000-00008FA80000}"/>
    <cellStyle name="常规 9 3 4 5 6 2" xfId="37422" xr:uid="{00000000-0005-0000-0000-000090A80000}"/>
    <cellStyle name="常规 9 3 4 5 7" xfId="25134" xr:uid="{00000000-0005-0000-0000-000091A80000}"/>
    <cellStyle name="常规 9 3 4 6" xfId="938" xr:uid="{00000000-0005-0000-0000-000092A80000}"/>
    <cellStyle name="常规 9 3 4 6 2" xfId="2474" xr:uid="{00000000-0005-0000-0000-000093A80000}"/>
    <cellStyle name="常规 9 3 4 6 2 2" xfId="5550" xr:uid="{00000000-0005-0000-0000-000094A80000}"/>
    <cellStyle name="常规 9 3 4 6 2 2 2" xfId="11694" xr:uid="{00000000-0005-0000-0000-000095A80000}"/>
    <cellStyle name="常规 9 3 4 6 2 2 2 2" xfId="23982" xr:uid="{00000000-0005-0000-0000-000096A80000}"/>
    <cellStyle name="常规 9 3 4 6 2 2 2 2 2" xfId="48558" xr:uid="{00000000-0005-0000-0000-000097A80000}"/>
    <cellStyle name="常规 9 3 4 6 2 2 2 3" xfId="36270" xr:uid="{00000000-0005-0000-0000-000098A80000}"/>
    <cellStyle name="常规 9 3 4 6 2 2 3" xfId="17838" xr:uid="{00000000-0005-0000-0000-000099A80000}"/>
    <cellStyle name="常规 9 3 4 6 2 2 3 2" xfId="42414" xr:uid="{00000000-0005-0000-0000-00009AA80000}"/>
    <cellStyle name="常规 9 3 4 6 2 2 4" xfId="30126" xr:uid="{00000000-0005-0000-0000-00009BA80000}"/>
    <cellStyle name="常规 9 3 4 6 2 3" xfId="8622" xr:uid="{00000000-0005-0000-0000-00009CA80000}"/>
    <cellStyle name="常规 9 3 4 6 2 3 2" xfId="20910" xr:uid="{00000000-0005-0000-0000-00009DA80000}"/>
    <cellStyle name="常规 9 3 4 6 2 3 2 2" xfId="45486" xr:uid="{00000000-0005-0000-0000-00009EA80000}"/>
    <cellStyle name="常规 9 3 4 6 2 3 3" xfId="33198" xr:uid="{00000000-0005-0000-0000-00009FA80000}"/>
    <cellStyle name="常规 9 3 4 6 2 4" xfId="14766" xr:uid="{00000000-0005-0000-0000-0000A0A80000}"/>
    <cellStyle name="常规 9 3 4 6 2 4 2" xfId="39342" xr:uid="{00000000-0005-0000-0000-0000A1A80000}"/>
    <cellStyle name="常规 9 3 4 6 2 5" xfId="27054" xr:uid="{00000000-0005-0000-0000-0000A2A80000}"/>
    <cellStyle name="常规 9 3 4 6 3" xfId="4014" xr:uid="{00000000-0005-0000-0000-0000A3A80000}"/>
    <cellStyle name="常规 9 3 4 6 3 2" xfId="10158" xr:uid="{00000000-0005-0000-0000-0000A4A80000}"/>
    <cellStyle name="常规 9 3 4 6 3 2 2" xfId="22446" xr:uid="{00000000-0005-0000-0000-0000A5A80000}"/>
    <cellStyle name="常规 9 3 4 6 3 2 2 2" xfId="47022" xr:uid="{00000000-0005-0000-0000-0000A6A80000}"/>
    <cellStyle name="常规 9 3 4 6 3 2 3" xfId="34734" xr:uid="{00000000-0005-0000-0000-0000A7A80000}"/>
    <cellStyle name="常规 9 3 4 6 3 3" xfId="16302" xr:uid="{00000000-0005-0000-0000-0000A8A80000}"/>
    <cellStyle name="常规 9 3 4 6 3 3 2" xfId="40878" xr:uid="{00000000-0005-0000-0000-0000A9A80000}"/>
    <cellStyle name="常规 9 3 4 6 3 4" xfId="28590" xr:uid="{00000000-0005-0000-0000-0000AAA80000}"/>
    <cellStyle name="常规 9 3 4 6 4" xfId="7086" xr:uid="{00000000-0005-0000-0000-0000ABA80000}"/>
    <cellStyle name="常规 9 3 4 6 4 2" xfId="19374" xr:uid="{00000000-0005-0000-0000-0000ACA80000}"/>
    <cellStyle name="常规 9 3 4 6 4 2 2" xfId="43950" xr:uid="{00000000-0005-0000-0000-0000ADA80000}"/>
    <cellStyle name="常规 9 3 4 6 4 3" xfId="31662" xr:uid="{00000000-0005-0000-0000-0000AEA80000}"/>
    <cellStyle name="常规 9 3 4 6 5" xfId="13230" xr:uid="{00000000-0005-0000-0000-0000AFA80000}"/>
    <cellStyle name="常规 9 3 4 6 5 2" xfId="37806" xr:uid="{00000000-0005-0000-0000-0000B0A80000}"/>
    <cellStyle name="常规 9 3 4 6 6" xfId="25518" xr:uid="{00000000-0005-0000-0000-0000B1A80000}"/>
    <cellStyle name="常规 9 3 4 7" xfId="1706" xr:uid="{00000000-0005-0000-0000-0000B2A80000}"/>
    <cellStyle name="常规 9 3 4 7 2" xfId="4782" xr:uid="{00000000-0005-0000-0000-0000B3A80000}"/>
    <cellStyle name="常规 9 3 4 7 2 2" xfId="10926" xr:uid="{00000000-0005-0000-0000-0000B4A80000}"/>
    <cellStyle name="常规 9 3 4 7 2 2 2" xfId="23214" xr:uid="{00000000-0005-0000-0000-0000B5A80000}"/>
    <cellStyle name="常规 9 3 4 7 2 2 2 2" xfId="47790" xr:uid="{00000000-0005-0000-0000-0000B6A80000}"/>
    <cellStyle name="常规 9 3 4 7 2 2 3" xfId="35502" xr:uid="{00000000-0005-0000-0000-0000B7A80000}"/>
    <cellStyle name="常规 9 3 4 7 2 3" xfId="17070" xr:uid="{00000000-0005-0000-0000-0000B8A80000}"/>
    <cellStyle name="常规 9 3 4 7 2 3 2" xfId="41646" xr:uid="{00000000-0005-0000-0000-0000B9A80000}"/>
    <cellStyle name="常规 9 3 4 7 2 4" xfId="29358" xr:uid="{00000000-0005-0000-0000-0000BAA80000}"/>
    <cellStyle name="常规 9 3 4 7 3" xfId="7854" xr:uid="{00000000-0005-0000-0000-0000BBA80000}"/>
    <cellStyle name="常规 9 3 4 7 3 2" xfId="20142" xr:uid="{00000000-0005-0000-0000-0000BCA80000}"/>
    <cellStyle name="常规 9 3 4 7 3 2 2" xfId="44718" xr:uid="{00000000-0005-0000-0000-0000BDA80000}"/>
    <cellStyle name="常规 9 3 4 7 3 3" xfId="32430" xr:uid="{00000000-0005-0000-0000-0000BEA80000}"/>
    <cellStyle name="常规 9 3 4 7 4" xfId="13998" xr:uid="{00000000-0005-0000-0000-0000BFA80000}"/>
    <cellStyle name="常规 9 3 4 7 4 2" xfId="38574" xr:uid="{00000000-0005-0000-0000-0000C0A80000}"/>
    <cellStyle name="常规 9 3 4 7 5" xfId="26286" xr:uid="{00000000-0005-0000-0000-0000C1A80000}"/>
    <cellStyle name="常规 9 3 4 8" xfId="3246" xr:uid="{00000000-0005-0000-0000-0000C2A80000}"/>
    <cellStyle name="常规 9 3 4 8 2" xfId="9390" xr:uid="{00000000-0005-0000-0000-0000C3A80000}"/>
    <cellStyle name="常规 9 3 4 8 2 2" xfId="21678" xr:uid="{00000000-0005-0000-0000-0000C4A80000}"/>
    <cellStyle name="常规 9 3 4 8 2 2 2" xfId="46254" xr:uid="{00000000-0005-0000-0000-0000C5A80000}"/>
    <cellStyle name="常规 9 3 4 8 2 3" xfId="33966" xr:uid="{00000000-0005-0000-0000-0000C6A80000}"/>
    <cellStyle name="常规 9 3 4 8 3" xfId="15534" xr:uid="{00000000-0005-0000-0000-0000C7A80000}"/>
    <cellStyle name="常规 9 3 4 8 3 2" xfId="40110" xr:uid="{00000000-0005-0000-0000-0000C8A80000}"/>
    <cellStyle name="常规 9 3 4 8 4" xfId="27822" xr:uid="{00000000-0005-0000-0000-0000C9A80000}"/>
    <cellStyle name="常规 9 3 4 9" xfId="6318" xr:uid="{00000000-0005-0000-0000-0000CAA80000}"/>
    <cellStyle name="常规 9 3 4 9 2" xfId="18606" xr:uid="{00000000-0005-0000-0000-0000CBA80000}"/>
    <cellStyle name="常规 9 3 4 9 2 2" xfId="43182" xr:uid="{00000000-0005-0000-0000-0000CCA80000}"/>
    <cellStyle name="常规 9 3 4 9 3" xfId="30894" xr:uid="{00000000-0005-0000-0000-0000CDA80000}"/>
    <cellStyle name="常规 9 3 5" xfId="202" xr:uid="{00000000-0005-0000-0000-0000CEA80000}"/>
    <cellStyle name="常规 9 3 5 2" xfId="394" xr:uid="{00000000-0005-0000-0000-0000CFA80000}"/>
    <cellStyle name="常规 9 3 5 2 2" xfId="778" xr:uid="{00000000-0005-0000-0000-0000D0A80000}"/>
    <cellStyle name="常规 9 3 5 2 2 2" xfId="1546" xr:uid="{00000000-0005-0000-0000-0000D1A80000}"/>
    <cellStyle name="常规 9 3 5 2 2 2 2" xfId="3082" xr:uid="{00000000-0005-0000-0000-0000D2A80000}"/>
    <cellStyle name="常规 9 3 5 2 2 2 2 2" xfId="6158" xr:uid="{00000000-0005-0000-0000-0000D3A80000}"/>
    <cellStyle name="常规 9 3 5 2 2 2 2 2 2" xfId="12302" xr:uid="{00000000-0005-0000-0000-0000D4A80000}"/>
    <cellStyle name="常规 9 3 5 2 2 2 2 2 2 2" xfId="24590" xr:uid="{00000000-0005-0000-0000-0000D5A80000}"/>
    <cellStyle name="常规 9 3 5 2 2 2 2 2 2 2 2" xfId="49166" xr:uid="{00000000-0005-0000-0000-0000D6A80000}"/>
    <cellStyle name="常规 9 3 5 2 2 2 2 2 2 3" xfId="36878" xr:uid="{00000000-0005-0000-0000-0000D7A80000}"/>
    <cellStyle name="常规 9 3 5 2 2 2 2 2 3" xfId="18446" xr:uid="{00000000-0005-0000-0000-0000D8A80000}"/>
    <cellStyle name="常规 9 3 5 2 2 2 2 2 3 2" xfId="43022" xr:uid="{00000000-0005-0000-0000-0000D9A80000}"/>
    <cellStyle name="常规 9 3 5 2 2 2 2 2 4" xfId="30734" xr:uid="{00000000-0005-0000-0000-0000DAA80000}"/>
    <cellStyle name="常规 9 3 5 2 2 2 2 3" xfId="9230" xr:uid="{00000000-0005-0000-0000-0000DBA80000}"/>
    <cellStyle name="常规 9 3 5 2 2 2 2 3 2" xfId="21518" xr:uid="{00000000-0005-0000-0000-0000DCA80000}"/>
    <cellStyle name="常规 9 3 5 2 2 2 2 3 2 2" xfId="46094" xr:uid="{00000000-0005-0000-0000-0000DDA80000}"/>
    <cellStyle name="常规 9 3 5 2 2 2 2 3 3" xfId="33806" xr:uid="{00000000-0005-0000-0000-0000DEA80000}"/>
    <cellStyle name="常规 9 3 5 2 2 2 2 4" xfId="15374" xr:uid="{00000000-0005-0000-0000-0000DFA80000}"/>
    <cellStyle name="常规 9 3 5 2 2 2 2 4 2" xfId="39950" xr:uid="{00000000-0005-0000-0000-0000E0A80000}"/>
    <cellStyle name="常规 9 3 5 2 2 2 2 5" xfId="27662" xr:uid="{00000000-0005-0000-0000-0000E1A80000}"/>
    <cellStyle name="常规 9 3 5 2 2 2 3" xfId="4622" xr:uid="{00000000-0005-0000-0000-0000E2A80000}"/>
    <cellStyle name="常规 9 3 5 2 2 2 3 2" xfId="10766" xr:uid="{00000000-0005-0000-0000-0000E3A80000}"/>
    <cellStyle name="常规 9 3 5 2 2 2 3 2 2" xfId="23054" xr:uid="{00000000-0005-0000-0000-0000E4A80000}"/>
    <cellStyle name="常规 9 3 5 2 2 2 3 2 2 2" xfId="47630" xr:uid="{00000000-0005-0000-0000-0000E5A80000}"/>
    <cellStyle name="常规 9 3 5 2 2 2 3 2 3" xfId="35342" xr:uid="{00000000-0005-0000-0000-0000E6A80000}"/>
    <cellStyle name="常规 9 3 5 2 2 2 3 3" xfId="16910" xr:uid="{00000000-0005-0000-0000-0000E7A80000}"/>
    <cellStyle name="常规 9 3 5 2 2 2 3 3 2" xfId="41486" xr:uid="{00000000-0005-0000-0000-0000E8A80000}"/>
    <cellStyle name="常规 9 3 5 2 2 2 3 4" xfId="29198" xr:uid="{00000000-0005-0000-0000-0000E9A80000}"/>
    <cellStyle name="常规 9 3 5 2 2 2 4" xfId="7694" xr:uid="{00000000-0005-0000-0000-0000EAA80000}"/>
    <cellStyle name="常规 9 3 5 2 2 2 4 2" xfId="19982" xr:uid="{00000000-0005-0000-0000-0000EBA80000}"/>
    <cellStyle name="常规 9 3 5 2 2 2 4 2 2" xfId="44558" xr:uid="{00000000-0005-0000-0000-0000ECA80000}"/>
    <cellStyle name="常规 9 3 5 2 2 2 4 3" xfId="32270" xr:uid="{00000000-0005-0000-0000-0000EDA80000}"/>
    <cellStyle name="常规 9 3 5 2 2 2 5" xfId="13838" xr:uid="{00000000-0005-0000-0000-0000EEA80000}"/>
    <cellStyle name="常规 9 3 5 2 2 2 5 2" xfId="38414" xr:uid="{00000000-0005-0000-0000-0000EFA80000}"/>
    <cellStyle name="常规 9 3 5 2 2 2 6" xfId="26126" xr:uid="{00000000-0005-0000-0000-0000F0A80000}"/>
    <cellStyle name="常规 9 3 5 2 2 3" xfId="2314" xr:uid="{00000000-0005-0000-0000-0000F1A80000}"/>
    <cellStyle name="常规 9 3 5 2 2 3 2" xfId="5390" xr:uid="{00000000-0005-0000-0000-0000F2A80000}"/>
    <cellStyle name="常规 9 3 5 2 2 3 2 2" xfId="11534" xr:uid="{00000000-0005-0000-0000-0000F3A80000}"/>
    <cellStyle name="常规 9 3 5 2 2 3 2 2 2" xfId="23822" xr:uid="{00000000-0005-0000-0000-0000F4A80000}"/>
    <cellStyle name="常规 9 3 5 2 2 3 2 2 2 2" xfId="48398" xr:uid="{00000000-0005-0000-0000-0000F5A80000}"/>
    <cellStyle name="常规 9 3 5 2 2 3 2 2 3" xfId="36110" xr:uid="{00000000-0005-0000-0000-0000F6A80000}"/>
    <cellStyle name="常规 9 3 5 2 2 3 2 3" xfId="17678" xr:uid="{00000000-0005-0000-0000-0000F7A80000}"/>
    <cellStyle name="常规 9 3 5 2 2 3 2 3 2" xfId="42254" xr:uid="{00000000-0005-0000-0000-0000F8A80000}"/>
    <cellStyle name="常规 9 3 5 2 2 3 2 4" xfId="29966" xr:uid="{00000000-0005-0000-0000-0000F9A80000}"/>
    <cellStyle name="常规 9 3 5 2 2 3 3" xfId="8462" xr:uid="{00000000-0005-0000-0000-0000FAA80000}"/>
    <cellStyle name="常规 9 3 5 2 2 3 3 2" xfId="20750" xr:uid="{00000000-0005-0000-0000-0000FBA80000}"/>
    <cellStyle name="常规 9 3 5 2 2 3 3 2 2" xfId="45326" xr:uid="{00000000-0005-0000-0000-0000FCA80000}"/>
    <cellStyle name="常规 9 3 5 2 2 3 3 3" xfId="33038" xr:uid="{00000000-0005-0000-0000-0000FDA80000}"/>
    <cellStyle name="常规 9 3 5 2 2 3 4" xfId="14606" xr:uid="{00000000-0005-0000-0000-0000FEA80000}"/>
    <cellStyle name="常规 9 3 5 2 2 3 4 2" xfId="39182" xr:uid="{00000000-0005-0000-0000-0000FFA80000}"/>
    <cellStyle name="常规 9 3 5 2 2 3 5" xfId="26894" xr:uid="{00000000-0005-0000-0000-000000A90000}"/>
    <cellStyle name="常规 9 3 5 2 2 4" xfId="3854" xr:uid="{00000000-0005-0000-0000-000001A90000}"/>
    <cellStyle name="常规 9 3 5 2 2 4 2" xfId="9998" xr:uid="{00000000-0005-0000-0000-000002A90000}"/>
    <cellStyle name="常规 9 3 5 2 2 4 2 2" xfId="22286" xr:uid="{00000000-0005-0000-0000-000003A90000}"/>
    <cellStyle name="常规 9 3 5 2 2 4 2 2 2" xfId="46862" xr:uid="{00000000-0005-0000-0000-000004A90000}"/>
    <cellStyle name="常规 9 3 5 2 2 4 2 3" xfId="34574" xr:uid="{00000000-0005-0000-0000-000005A90000}"/>
    <cellStyle name="常规 9 3 5 2 2 4 3" xfId="16142" xr:uid="{00000000-0005-0000-0000-000006A90000}"/>
    <cellStyle name="常规 9 3 5 2 2 4 3 2" xfId="40718" xr:uid="{00000000-0005-0000-0000-000007A90000}"/>
    <cellStyle name="常规 9 3 5 2 2 4 4" xfId="28430" xr:uid="{00000000-0005-0000-0000-000008A90000}"/>
    <cellStyle name="常规 9 3 5 2 2 5" xfId="6926" xr:uid="{00000000-0005-0000-0000-000009A90000}"/>
    <cellStyle name="常规 9 3 5 2 2 5 2" xfId="19214" xr:uid="{00000000-0005-0000-0000-00000AA90000}"/>
    <cellStyle name="常规 9 3 5 2 2 5 2 2" xfId="43790" xr:uid="{00000000-0005-0000-0000-00000BA90000}"/>
    <cellStyle name="常规 9 3 5 2 2 5 3" xfId="31502" xr:uid="{00000000-0005-0000-0000-00000CA90000}"/>
    <cellStyle name="常规 9 3 5 2 2 6" xfId="13070" xr:uid="{00000000-0005-0000-0000-00000DA90000}"/>
    <cellStyle name="常规 9 3 5 2 2 6 2" xfId="37646" xr:uid="{00000000-0005-0000-0000-00000EA90000}"/>
    <cellStyle name="常规 9 3 5 2 2 7" xfId="25358" xr:uid="{00000000-0005-0000-0000-00000FA90000}"/>
    <cellStyle name="常规 9 3 5 2 3" xfId="1162" xr:uid="{00000000-0005-0000-0000-000010A90000}"/>
    <cellStyle name="常规 9 3 5 2 3 2" xfId="2698" xr:uid="{00000000-0005-0000-0000-000011A90000}"/>
    <cellStyle name="常规 9 3 5 2 3 2 2" xfId="5774" xr:uid="{00000000-0005-0000-0000-000012A90000}"/>
    <cellStyle name="常规 9 3 5 2 3 2 2 2" xfId="11918" xr:uid="{00000000-0005-0000-0000-000013A90000}"/>
    <cellStyle name="常规 9 3 5 2 3 2 2 2 2" xfId="24206" xr:uid="{00000000-0005-0000-0000-000014A90000}"/>
    <cellStyle name="常规 9 3 5 2 3 2 2 2 2 2" xfId="48782" xr:uid="{00000000-0005-0000-0000-000015A90000}"/>
    <cellStyle name="常规 9 3 5 2 3 2 2 2 3" xfId="36494" xr:uid="{00000000-0005-0000-0000-000016A90000}"/>
    <cellStyle name="常规 9 3 5 2 3 2 2 3" xfId="18062" xr:uid="{00000000-0005-0000-0000-000017A90000}"/>
    <cellStyle name="常规 9 3 5 2 3 2 2 3 2" xfId="42638" xr:uid="{00000000-0005-0000-0000-000018A90000}"/>
    <cellStyle name="常规 9 3 5 2 3 2 2 4" xfId="30350" xr:uid="{00000000-0005-0000-0000-000019A90000}"/>
    <cellStyle name="常规 9 3 5 2 3 2 3" xfId="8846" xr:uid="{00000000-0005-0000-0000-00001AA90000}"/>
    <cellStyle name="常规 9 3 5 2 3 2 3 2" xfId="21134" xr:uid="{00000000-0005-0000-0000-00001BA90000}"/>
    <cellStyle name="常规 9 3 5 2 3 2 3 2 2" xfId="45710" xr:uid="{00000000-0005-0000-0000-00001CA90000}"/>
    <cellStyle name="常规 9 3 5 2 3 2 3 3" xfId="33422" xr:uid="{00000000-0005-0000-0000-00001DA90000}"/>
    <cellStyle name="常规 9 3 5 2 3 2 4" xfId="14990" xr:uid="{00000000-0005-0000-0000-00001EA90000}"/>
    <cellStyle name="常规 9 3 5 2 3 2 4 2" xfId="39566" xr:uid="{00000000-0005-0000-0000-00001FA90000}"/>
    <cellStyle name="常规 9 3 5 2 3 2 5" xfId="27278" xr:uid="{00000000-0005-0000-0000-000020A90000}"/>
    <cellStyle name="常规 9 3 5 2 3 3" xfId="4238" xr:uid="{00000000-0005-0000-0000-000021A90000}"/>
    <cellStyle name="常规 9 3 5 2 3 3 2" xfId="10382" xr:uid="{00000000-0005-0000-0000-000022A90000}"/>
    <cellStyle name="常规 9 3 5 2 3 3 2 2" xfId="22670" xr:uid="{00000000-0005-0000-0000-000023A90000}"/>
    <cellStyle name="常规 9 3 5 2 3 3 2 2 2" xfId="47246" xr:uid="{00000000-0005-0000-0000-000024A90000}"/>
    <cellStyle name="常规 9 3 5 2 3 3 2 3" xfId="34958" xr:uid="{00000000-0005-0000-0000-000025A90000}"/>
    <cellStyle name="常规 9 3 5 2 3 3 3" xfId="16526" xr:uid="{00000000-0005-0000-0000-000026A90000}"/>
    <cellStyle name="常规 9 3 5 2 3 3 3 2" xfId="41102" xr:uid="{00000000-0005-0000-0000-000027A90000}"/>
    <cellStyle name="常规 9 3 5 2 3 3 4" xfId="28814" xr:uid="{00000000-0005-0000-0000-000028A90000}"/>
    <cellStyle name="常规 9 3 5 2 3 4" xfId="7310" xr:uid="{00000000-0005-0000-0000-000029A90000}"/>
    <cellStyle name="常规 9 3 5 2 3 4 2" xfId="19598" xr:uid="{00000000-0005-0000-0000-00002AA90000}"/>
    <cellStyle name="常规 9 3 5 2 3 4 2 2" xfId="44174" xr:uid="{00000000-0005-0000-0000-00002BA90000}"/>
    <cellStyle name="常规 9 3 5 2 3 4 3" xfId="31886" xr:uid="{00000000-0005-0000-0000-00002CA90000}"/>
    <cellStyle name="常规 9 3 5 2 3 5" xfId="13454" xr:uid="{00000000-0005-0000-0000-00002DA90000}"/>
    <cellStyle name="常规 9 3 5 2 3 5 2" xfId="38030" xr:uid="{00000000-0005-0000-0000-00002EA90000}"/>
    <cellStyle name="常规 9 3 5 2 3 6" xfId="25742" xr:uid="{00000000-0005-0000-0000-00002FA90000}"/>
    <cellStyle name="常规 9 3 5 2 4" xfId="1930" xr:uid="{00000000-0005-0000-0000-000030A90000}"/>
    <cellStyle name="常规 9 3 5 2 4 2" xfId="5006" xr:uid="{00000000-0005-0000-0000-000031A90000}"/>
    <cellStyle name="常规 9 3 5 2 4 2 2" xfId="11150" xr:uid="{00000000-0005-0000-0000-000032A90000}"/>
    <cellStyle name="常规 9 3 5 2 4 2 2 2" xfId="23438" xr:uid="{00000000-0005-0000-0000-000033A90000}"/>
    <cellStyle name="常规 9 3 5 2 4 2 2 2 2" xfId="48014" xr:uid="{00000000-0005-0000-0000-000034A90000}"/>
    <cellStyle name="常规 9 3 5 2 4 2 2 3" xfId="35726" xr:uid="{00000000-0005-0000-0000-000035A90000}"/>
    <cellStyle name="常规 9 3 5 2 4 2 3" xfId="17294" xr:uid="{00000000-0005-0000-0000-000036A90000}"/>
    <cellStyle name="常规 9 3 5 2 4 2 3 2" xfId="41870" xr:uid="{00000000-0005-0000-0000-000037A90000}"/>
    <cellStyle name="常规 9 3 5 2 4 2 4" xfId="29582" xr:uid="{00000000-0005-0000-0000-000038A90000}"/>
    <cellStyle name="常规 9 3 5 2 4 3" xfId="8078" xr:uid="{00000000-0005-0000-0000-000039A90000}"/>
    <cellStyle name="常规 9 3 5 2 4 3 2" xfId="20366" xr:uid="{00000000-0005-0000-0000-00003AA90000}"/>
    <cellStyle name="常规 9 3 5 2 4 3 2 2" xfId="44942" xr:uid="{00000000-0005-0000-0000-00003BA90000}"/>
    <cellStyle name="常规 9 3 5 2 4 3 3" xfId="32654" xr:uid="{00000000-0005-0000-0000-00003CA90000}"/>
    <cellStyle name="常规 9 3 5 2 4 4" xfId="14222" xr:uid="{00000000-0005-0000-0000-00003DA90000}"/>
    <cellStyle name="常规 9 3 5 2 4 4 2" xfId="38798" xr:uid="{00000000-0005-0000-0000-00003EA90000}"/>
    <cellStyle name="常规 9 3 5 2 4 5" xfId="26510" xr:uid="{00000000-0005-0000-0000-00003FA90000}"/>
    <cellStyle name="常规 9 3 5 2 5" xfId="3470" xr:uid="{00000000-0005-0000-0000-000040A90000}"/>
    <cellStyle name="常规 9 3 5 2 5 2" xfId="9614" xr:uid="{00000000-0005-0000-0000-000041A90000}"/>
    <cellStyle name="常规 9 3 5 2 5 2 2" xfId="21902" xr:uid="{00000000-0005-0000-0000-000042A90000}"/>
    <cellStyle name="常规 9 3 5 2 5 2 2 2" xfId="46478" xr:uid="{00000000-0005-0000-0000-000043A90000}"/>
    <cellStyle name="常规 9 3 5 2 5 2 3" xfId="34190" xr:uid="{00000000-0005-0000-0000-000044A90000}"/>
    <cellStyle name="常规 9 3 5 2 5 3" xfId="15758" xr:uid="{00000000-0005-0000-0000-000045A90000}"/>
    <cellStyle name="常规 9 3 5 2 5 3 2" xfId="40334" xr:uid="{00000000-0005-0000-0000-000046A90000}"/>
    <cellStyle name="常规 9 3 5 2 5 4" xfId="28046" xr:uid="{00000000-0005-0000-0000-000047A90000}"/>
    <cellStyle name="常规 9 3 5 2 6" xfId="6542" xr:uid="{00000000-0005-0000-0000-000048A90000}"/>
    <cellStyle name="常规 9 3 5 2 6 2" xfId="18830" xr:uid="{00000000-0005-0000-0000-000049A90000}"/>
    <cellStyle name="常规 9 3 5 2 6 2 2" xfId="43406" xr:uid="{00000000-0005-0000-0000-00004AA90000}"/>
    <cellStyle name="常规 9 3 5 2 6 3" xfId="31118" xr:uid="{00000000-0005-0000-0000-00004BA90000}"/>
    <cellStyle name="常规 9 3 5 2 7" xfId="12686" xr:uid="{00000000-0005-0000-0000-00004CA90000}"/>
    <cellStyle name="常规 9 3 5 2 7 2" xfId="37262" xr:uid="{00000000-0005-0000-0000-00004DA90000}"/>
    <cellStyle name="常规 9 3 5 2 8" xfId="24974" xr:uid="{00000000-0005-0000-0000-00004EA90000}"/>
    <cellStyle name="常规 9 3 5 3" xfId="586" xr:uid="{00000000-0005-0000-0000-00004FA90000}"/>
    <cellStyle name="常规 9 3 5 3 2" xfId="1354" xr:uid="{00000000-0005-0000-0000-000050A90000}"/>
    <cellStyle name="常规 9 3 5 3 2 2" xfId="2890" xr:uid="{00000000-0005-0000-0000-000051A90000}"/>
    <cellStyle name="常规 9 3 5 3 2 2 2" xfId="5966" xr:uid="{00000000-0005-0000-0000-000052A90000}"/>
    <cellStyle name="常规 9 3 5 3 2 2 2 2" xfId="12110" xr:uid="{00000000-0005-0000-0000-000053A90000}"/>
    <cellStyle name="常规 9 3 5 3 2 2 2 2 2" xfId="24398" xr:uid="{00000000-0005-0000-0000-000054A90000}"/>
    <cellStyle name="常规 9 3 5 3 2 2 2 2 2 2" xfId="48974" xr:uid="{00000000-0005-0000-0000-000055A90000}"/>
    <cellStyle name="常规 9 3 5 3 2 2 2 2 3" xfId="36686" xr:uid="{00000000-0005-0000-0000-000056A90000}"/>
    <cellStyle name="常规 9 3 5 3 2 2 2 3" xfId="18254" xr:uid="{00000000-0005-0000-0000-000057A90000}"/>
    <cellStyle name="常规 9 3 5 3 2 2 2 3 2" xfId="42830" xr:uid="{00000000-0005-0000-0000-000058A90000}"/>
    <cellStyle name="常规 9 3 5 3 2 2 2 4" xfId="30542" xr:uid="{00000000-0005-0000-0000-000059A90000}"/>
    <cellStyle name="常规 9 3 5 3 2 2 3" xfId="9038" xr:uid="{00000000-0005-0000-0000-00005AA90000}"/>
    <cellStyle name="常规 9 3 5 3 2 2 3 2" xfId="21326" xr:uid="{00000000-0005-0000-0000-00005BA90000}"/>
    <cellStyle name="常规 9 3 5 3 2 2 3 2 2" xfId="45902" xr:uid="{00000000-0005-0000-0000-00005CA90000}"/>
    <cellStyle name="常规 9 3 5 3 2 2 3 3" xfId="33614" xr:uid="{00000000-0005-0000-0000-00005DA90000}"/>
    <cellStyle name="常规 9 3 5 3 2 2 4" xfId="15182" xr:uid="{00000000-0005-0000-0000-00005EA90000}"/>
    <cellStyle name="常规 9 3 5 3 2 2 4 2" xfId="39758" xr:uid="{00000000-0005-0000-0000-00005FA90000}"/>
    <cellStyle name="常规 9 3 5 3 2 2 5" xfId="27470" xr:uid="{00000000-0005-0000-0000-000060A90000}"/>
    <cellStyle name="常规 9 3 5 3 2 3" xfId="4430" xr:uid="{00000000-0005-0000-0000-000061A90000}"/>
    <cellStyle name="常规 9 3 5 3 2 3 2" xfId="10574" xr:uid="{00000000-0005-0000-0000-000062A90000}"/>
    <cellStyle name="常规 9 3 5 3 2 3 2 2" xfId="22862" xr:uid="{00000000-0005-0000-0000-000063A90000}"/>
    <cellStyle name="常规 9 3 5 3 2 3 2 2 2" xfId="47438" xr:uid="{00000000-0005-0000-0000-000064A90000}"/>
    <cellStyle name="常规 9 3 5 3 2 3 2 3" xfId="35150" xr:uid="{00000000-0005-0000-0000-000065A90000}"/>
    <cellStyle name="常规 9 3 5 3 2 3 3" xfId="16718" xr:uid="{00000000-0005-0000-0000-000066A90000}"/>
    <cellStyle name="常规 9 3 5 3 2 3 3 2" xfId="41294" xr:uid="{00000000-0005-0000-0000-000067A90000}"/>
    <cellStyle name="常规 9 3 5 3 2 3 4" xfId="29006" xr:uid="{00000000-0005-0000-0000-000068A90000}"/>
    <cellStyle name="常规 9 3 5 3 2 4" xfId="7502" xr:uid="{00000000-0005-0000-0000-000069A90000}"/>
    <cellStyle name="常规 9 3 5 3 2 4 2" xfId="19790" xr:uid="{00000000-0005-0000-0000-00006AA90000}"/>
    <cellStyle name="常规 9 3 5 3 2 4 2 2" xfId="44366" xr:uid="{00000000-0005-0000-0000-00006BA90000}"/>
    <cellStyle name="常规 9 3 5 3 2 4 3" xfId="32078" xr:uid="{00000000-0005-0000-0000-00006CA90000}"/>
    <cellStyle name="常规 9 3 5 3 2 5" xfId="13646" xr:uid="{00000000-0005-0000-0000-00006DA90000}"/>
    <cellStyle name="常规 9 3 5 3 2 5 2" xfId="38222" xr:uid="{00000000-0005-0000-0000-00006EA90000}"/>
    <cellStyle name="常规 9 3 5 3 2 6" xfId="25934" xr:uid="{00000000-0005-0000-0000-00006FA90000}"/>
    <cellStyle name="常规 9 3 5 3 3" xfId="2122" xr:uid="{00000000-0005-0000-0000-000070A90000}"/>
    <cellStyle name="常规 9 3 5 3 3 2" xfId="5198" xr:uid="{00000000-0005-0000-0000-000071A90000}"/>
    <cellStyle name="常规 9 3 5 3 3 2 2" xfId="11342" xr:uid="{00000000-0005-0000-0000-000072A90000}"/>
    <cellStyle name="常规 9 3 5 3 3 2 2 2" xfId="23630" xr:uid="{00000000-0005-0000-0000-000073A90000}"/>
    <cellStyle name="常规 9 3 5 3 3 2 2 2 2" xfId="48206" xr:uid="{00000000-0005-0000-0000-000074A90000}"/>
    <cellStyle name="常规 9 3 5 3 3 2 2 3" xfId="35918" xr:uid="{00000000-0005-0000-0000-000075A90000}"/>
    <cellStyle name="常规 9 3 5 3 3 2 3" xfId="17486" xr:uid="{00000000-0005-0000-0000-000076A90000}"/>
    <cellStyle name="常规 9 3 5 3 3 2 3 2" xfId="42062" xr:uid="{00000000-0005-0000-0000-000077A90000}"/>
    <cellStyle name="常规 9 3 5 3 3 2 4" xfId="29774" xr:uid="{00000000-0005-0000-0000-000078A90000}"/>
    <cellStyle name="常规 9 3 5 3 3 3" xfId="8270" xr:uid="{00000000-0005-0000-0000-000079A90000}"/>
    <cellStyle name="常规 9 3 5 3 3 3 2" xfId="20558" xr:uid="{00000000-0005-0000-0000-00007AA90000}"/>
    <cellStyle name="常规 9 3 5 3 3 3 2 2" xfId="45134" xr:uid="{00000000-0005-0000-0000-00007BA90000}"/>
    <cellStyle name="常规 9 3 5 3 3 3 3" xfId="32846" xr:uid="{00000000-0005-0000-0000-00007CA90000}"/>
    <cellStyle name="常规 9 3 5 3 3 4" xfId="14414" xr:uid="{00000000-0005-0000-0000-00007DA90000}"/>
    <cellStyle name="常规 9 3 5 3 3 4 2" xfId="38990" xr:uid="{00000000-0005-0000-0000-00007EA90000}"/>
    <cellStyle name="常规 9 3 5 3 3 5" xfId="26702" xr:uid="{00000000-0005-0000-0000-00007FA90000}"/>
    <cellStyle name="常规 9 3 5 3 4" xfId="3662" xr:uid="{00000000-0005-0000-0000-000080A90000}"/>
    <cellStyle name="常规 9 3 5 3 4 2" xfId="9806" xr:uid="{00000000-0005-0000-0000-000081A90000}"/>
    <cellStyle name="常规 9 3 5 3 4 2 2" xfId="22094" xr:uid="{00000000-0005-0000-0000-000082A90000}"/>
    <cellStyle name="常规 9 3 5 3 4 2 2 2" xfId="46670" xr:uid="{00000000-0005-0000-0000-000083A90000}"/>
    <cellStyle name="常规 9 3 5 3 4 2 3" xfId="34382" xr:uid="{00000000-0005-0000-0000-000084A90000}"/>
    <cellStyle name="常规 9 3 5 3 4 3" xfId="15950" xr:uid="{00000000-0005-0000-0000-000085A90000}"/>
    <cellStyle name="常规 9 3 5 3 4 3 2" xfId="40526" xr:uid="{00000000-0005-0000-0000-000086A90000}"/>
    <cellStyle name="常规 9 3 5 3 4 4" xfId="28238" xr:uid="{00000000-0005-0000-0000-000087A90000}"/>
    <cellStyle name="常规 9 3 5 3 5" xfId="6734" xr:uid="{00000000-0005-0000-0000-000088A90000}"/>
    <cellStyle name="常规 9 3 5 3 5 2" xfId="19022" xr:uid="{00000000-0005-0000-0000-000089A90000}"/>
    <cellStyle name="常规 9 3 5 3 5 2 2" xfId="43598" xr:uid="{00000000-0005-0000-0000-00008AA90000}"/>
    <cellStyle name="常规 9 3 5 3 5 3" xfId="31310" xr:uid="{00000000-0005-0000-0000-00008BA90000}"/>
    <cellStyle name="常规 9 3 5 3 6" xfId="12878" xr:uid="{00000000-0005-0000-0000-00008CA90000}"/>
    <cellStyle name="常规 9 3 5 3 6 2" xfId="37454" xr:uid="{00000000-0005-0000-0000-00008DA90000}"/>
    <cellStyle name="常规 9 3 5 3 7" xfId="25166" xr:uid="{00000000-0005-0000-0000-00008EA90000}"/>
    <cellStyle name="常规 9 3 5 4" xfId="970" xr:uid="{00000000-0005-0000-0000-00008FA90000}"/>
    <cellStyle name="常规 9 3 5 4 2" xfId="2506" xr:uid="{00000000-0005-0000-0000-000090A90000}"/>
    <cellStyle name="常规 9 3 5 4 2 2" xfId="5582" xr:uid="{00000000-0005-0000-0000-000091A90000}"/>
    <cellStyle name="常规 9 3 5 4 2 2 2" xfId="11726" xr:uid="{00000000-0005-0000-0000-000092A90000}"/>
    <cellStyle name="常规 9 3 5 4 2 2 2 2" xfId="24014" xr:uid="{00000000-0005-0000-0000-000093A90000}"/>
    <cellStyle name="常规 9 3 5 4 2 2 2 2 2" xfId="48590" xr:uid="{00000000-0005-0000-0000-000094A90000}"/>
    <cellStyle name="常规 9 3 5 4 2 2 2 3" xfId="36302" xr:uid="{00000000-0005-0000-0000-000095A90000}"/>
    <cellStyle name="常规 9 3 5 4 2 2 3" xfId="17870" xr:uid="{00000000-0005-0000-0000-000096A90000}"/>
    <cellStyle name="常规 9 3 5 4 2 2 3 2" xfId="42446" xr:uid="{00000000-0005-0000-0000-000097A90000}"/>
    <cellStyle name="常规 9 3 5 4 2 2 4" xfId="30158" xr:uid="{00000000-0005-0000-0000-000098A90000}"/>
    <cellStyle name="常规 9 3 5 4 2 3" xfId="8654" xr:uid="{00000000-0005-0000-0000-000099A90000}"/>
    <cellStyle name="常规 9 3 5 4 2 3 2" xfId="20942" xr:uid="{00000000-0005-0000-0000-00009AA90000}"/>
    <cellStyle name="常规 9 3 5 4 2 3 2 2" xfId="45518" xr:uid="{00000000-0005-0000-0000-00009BA90000}"/>
    <cellStyle name="常规 9 3 5 4 2 3 3" xfId="33230" xr:uid="{00000000-0005-0000-0000-00009CA90000}"/>
    <cellStyle name="常规 9 3 5 4 2 4" xfId="14798" xr:uid="{00000000-0005-0000-0000-00009DA90000}"/>
    <cellStyle name="常规 9 3 5 4 2 4 2" xfId="39374" xr:uid="{00000000-0005-0000-0000-00009EA90000}"/>
    <cellStyle name="常规 9 3 5 4 2 5" xfId="27086" xr:uid="{00000000-0005-0000-0000-00009FA90000}"/>
    <cellStyle name="常规 9 3 5 4 3" xfId="4046" xr:uid="{00000000-0005-0000-0000-0000A0A90000}"/>
    <cellStyle name="常规 9 3 5 4 3 2" xfId="10190" xr:uid="{00000000-0005-0000-0000-0000A1A90000}"/>
    <cellStyle name="常规 9 3 5 4 3 2 2" xfId="22478" xr:uid="{00000000-0005-0000-0000-0000A2A90000}"/>
    <cellStyle name="常规 9 3 5 4 3 2 2 2" xfId="47054" xr:uid="{00000000-0005-0000-0000-0000A3A90000}"/>
    <cellStyle name="常规 9 3 5 4 3 2 3" xfId="34766" xr:uid="{00000000-0005-0000-0000-0000A4A90000}"/>
    <cellStyle name="常规 9 3 5 4 3 3" xfId="16334" xr:uid="{00000000-0005-0000-0000-0000A5A90000}"/>
    <cellStyle name="常规 9 3 5 4 3 3 2" xfId="40910" xr:uid="{00000000-0005-0000-0000-0000A6A90000}"/>
    <cellStyle name="常规 9 3 5 4 3 4" xfId="28622" xr:uid="{00000000-0005-0000-0000-0000A7A90000}"/>
    <cellStyle name="常规 9 3 5 4 4" xfId="7118" xr:uid="{00000000-0005-0000-0000-0000A8A90000}"/>
    <cellStyle name="常规 9 3 5 4 4 2" xfId="19406" xr:uid="{00000000-0005-0000-0000-0000A9A90000}"/>
    <cellStyle name="常规 9 3 5 4 4 2 2" xfId="43982" xr:uid="{00000000-0005-0000-0000-0000AAA90000}"/>
    <cellStyle name="常规 9 3 5 4 4 3" xfId="31694" xr:uid="{00000000-0005-0000-0000-0000ABA90000}"/>
    <cellStyle name="常规 9 3 5 4 5" xfId="13262" xr:uid="{00000000-0005-0000-0000-0000ACA90000}"/>
    <cellStyle name="常规 9 3 5 4 5 2" xfId="37838" xr:uid="{00000000-0005-0000-0000-0000ADA90000}"/>
    <cellStyle name="常规 9 3 5 4 6" xfId="25550" xr:uid="{00000000-0005-0000-0000-0000AEA90000}"/>
    <cellStyle name="常规 9 3 5 5" xfId="1738" xr:uid="{00000000-0005-0000-0000-0000AFA90000}"/>
    <cellStyle name="常规 9 3 5 5 2" xfId="4814" xr:uid="{00000000-0005-0000-0000-0000B0A90000}"/>
    <cellStyle name="常规 9 3 5 5 2 2" xfId="10958" xr:uid="{00000000-0005-0000-0000-0000B1A90000}"/>
    <cellStyle name="常规 9 3 5 5 2 2 2" xfId="23246" xr:uid="{00000000-0005-0000-0000-0000B2A90000}"/>
    <cellStyle name="常规 9 3 5 5 2 2 2 2" xfId="47822" xr:uid="{00000000-0005-0000-0000-0000B3A90000}"/>
    <cellStyle name="常规 9 3 5 5 2 2 3" xfId="35534" xr:uid="{00000000-0005-0000-0000-0000B4A90000}"/>
    <cellStyle name="常规 9 3 5 5 2 3" xfId="17102" xr:uid="{00000000-0005-0000-0000-0000B5A90000}"/>
    <cellStyle name="常规 9 3 5 5 2 3 2" xfId="41678" xr:uid="{00000000-0005-0000-0000-0000B6A90000}"/>
    <cellStyle name="常规 9 3 5 5 2 4" xfId="29390" xr:uid="{00000000-0005-0000-0000-0000B7A90000}"/>
    <cellStyle name="常规 9 3 5 5 3" xfId="7886" xr:uid="{00000000-0005-0000-0000-0000B8A90000}"/>
    <cellStyle name="常规 9 3 5 5 3 2" xfId="20174" xr:uid="{00000000-0005-0000-0000-0000B9A90000}"/>
    <cellStyle name="常规 9 3 5 5 3 2 2" xfId="44750" xr:uid="{00000000-0005-0000-0000-0000BAA90000}"/>
    <cellStyle name="常规 9 3 5 5 3 3" xfId="32462" xr:uid="{00000000-0005-0000-0000-0000BBA90000}"/>
    <cellStyle name="常规 9 3 5 5 4" xfId="14030" xr:uid="{00000000-0005-0000-0000-0000BCA90000}"/>
    <cellStyle name="常规 9 3 5 5 4 2" xfId="38606" xr:uid="{00000000-0005-0000-0000-0000BDA90000}"/>
    <cellStyle name="常规 9 3 5 5 5" xfId="26318" xr:uid="{00000000-0005-0000-0000-0000BEA90000}"/>
    <cellStyle name="常规 9 3 5 6" xfId="3278" xr:uid="{00000000-0005-0000-0000-0000BFA90000}"/>
    <cellStyle name="常规 9 3 5 6 2" xfId="9422" xr:uid="{00000000-0005-0000-0000-0000C0A90000}"/>
    <cellStyle name="常规 9 3 5 6 2 2" xfId="21710" xr:uid="{00000000-0005-0000-0000-0000C1A90000}"/>
    <cellStyle name="常规 9 3 5 6 2 2 2" xfId="46286" xr:uid="{00000000-0005-0000-0000-0000C2A90000}"/>
    <cellStyle name="常规 9 3 5 6 2 3" xfId="33998" xr:uid="{00000000-0005-0000-0000-0000C3A90000}"/>
    <cellStyle name="常规 9 3 5 6 3" xfId="15566" xr:uid="{00000000-0005-0000-0000-0000C4A90000}"/>
    <cellStyle name="常规 9 3 5 6 3 2" xfId="40142" xr:uid="{00000000-0005-0000-0000-0000C5A90000}"/>
    <cellStyle name="常规 9 3 5 6 4" xfId="27854" xr:uid="{00000000-0005-0000-0000-0000C6A90000}"/>
    <cellStyle name="常规 9 3 5 7" xfId="6350" xr:uid="{00000000-0005-0000-0000-0000C7A90000}"/>
    <cellStyle name="常规 9 3 5 7 2" xfId="18638" xr:uid="{00000000-0005-0000-0000-0000C8A90000}"/>
    <cellStyle name="常规 9 3 5 7 2 2" xfId="43214" xr:uid="{00000000-0005-0000-0000-0000C9A90000}"/>
    <cellStyle name="常规 9 3 5 7 3" xfId="30926" xr:uid="{00000000-0005-0000-0000-0000CAA90000}"/>
    <cellStyle name="常规 9 3 5 8" xfId="12494" xr:uid="{00000000-0005-0000-0000-0000CBA90000}"/>
    <cellStyle name="常规 9 3 5 8 2" xfId="37070" xr:uid="{00000000-0005-0000-0000-0000CCA90000}"/>
    <cellStyle name="常规 9 3 5 9" xfId="24782" xr:uid="{00000000-0005-0000-0000-0000CDA90000}"/>
    <cellStyle name="常规 9 3 6" xfId="266" xr:uid="{00000000-0005-0000-0000-0000CEA90000}"/>
    <cellStyle name="常规 9 3 6 2" xfId="458" xr:uid="{00000000-0005-0000-0000-0000CFA90000}"/>
    <cellStyle name="常规 9 3 6 2 2" xfId="842" xr:uid="{00000000-0005-0000-0000-0000D0A90000}"/>
    <cellStyle name="常规 9 3 6 2 2 2" xfId="1610" xr:uid="{00000000-0005-0000-0000-0000D1A90000}"/>
    <cellStyle name="常规 9 3 6 2 2 2 2" xfId="3146" xr:uid="{00000000-0005-0000-0000-0000D2A90000}"/>
    <cellStyle name="常规 9 3 6 2 2 2 2 2" xfId="6222" xr:uid="{00000000-0005-0000-0000-0000D3A90000}"/>
    <cellStyle name="常规 9 3 6 2 2 2 2 2 2" xfId="12366" xr:uid="{00000000-0005-0000-0000-0000D4A90000}"/>
    <cellStyle name="常规 9 3 6 2 2 2 2 2 2 2" xfId="24654" xr:uid="{00000000-0005-0000-0000-0000D5A90000}"/>
    <cellStyle name="常规 9 3 6 2 2 2 2 2 2 2 2" xfId="49230" xr:uid="{00000000-0005-0000-0000-0000D6A90000}"/>
    <cellStyle name="常规 9 3 6 2 2 2 2 2 2 3" xfId="36942" xr:uid="{00000000-0005-0000-0000-0000D7A90000}"/>
    <cellStyle name="常规 9 3 6 2 2 2 2 2 3" xfId="18510" xr:uid="{00000000-0005-0000-0000-0000D8A90000}"/>
    <cellStyle name="常规 9 3 6 2 2 2 2 2 3 2" xfId="43086" xr:uid="{00000000-0005-0000-0000-0000D9A90000}"/>
    <cellStyle name="常规 9 3 6 2 2 2 2 2 4" xfId="30798" xr:uid="{00000000-0005-0000-0000-0000DAA90000}"/>
    <cellStyle name="常规 9 3 6 2 2 2 2 3" xfId="9294" xr:uid="{00000000-0005-0000-0000-0000DBA90000}"/>
    <cellStyle name="常规 9 3 6 2 2 2 2 3 2" xfId="21582" xr:uid="{00000000-0005-0000-0000-0000DCA90000}"/>
    <cellStyle name="常规 9 3 6 2 2 2 2 3 2 2" xfId="46158" xr:uid="{00000000-0005-0000-0000-0000DDA90000}"/>
    <cellStyle name="常规 9 3 6 2 2 2 2 3 3" xfId="33870" xr:uid="{00000000-0005-0000-0000-0000DEA90000}"/>
    <cellStyle name="常规 9 3 6 2 2 2 2 4" xfId="15438" xr:uid="{00000000-0005-0000-0000-0000DFA90000}"/>
    <cellStyle name="常规 9 3 6 2 2 2 2 4 2" xfId="40014" xr:uid="{00000000-0005-0000-0000-0000E0A90000}"/>
    <cellStyle name="常规 9 3 6 2 2 2 2 5" xfId="27726" xr:uid="{00000000-0005-0000-0000-0000E1A90000}"/>
    <cellStyle name="常规 9 3 6 2 2 2 3" xfId="4686" xr:uid="{00000000-0005-0000-0000-0000E2A90000}"/>
    <cellStyle name="常规 9 3 6 2 2 2 3 2" xfId="10830" xr:uid="{00000000-0005-0000-0000-0000E3A90000}"/>
    <cellStyle name="常规 9 3 6 2 2 2 3 2 2" xfId="23118" xr:uid="{00000000-0005-0000-0000-0000E4A90000}"/>
    <cellStyle name="常规 9 3 6 2 2 2 3 2 2 2" xfId="47694" xr:uid="{00000000-0005-0000-0000-0000E5A90000}"/>
    <cellStyle name="常规 9 3 6 2 2 2 3 2 3" xfId="35406" xr:uid="{00000000-0005-0000-0000-0000E6A90000}"/>
    <cellStyle name="常规 9 3 6 2 2 2 3 3" xfId="16974" xr:uid="{00000000-0005-0000-0000-0000E7A90000}"/>
    <cellStyle name="常规 9 3 6 2 2 2 3 3 2" xfId="41550" xr:uid="{00000000-0005-0000-0000-0000E8A90000}"/>
    <cellStyle name="常规 9 3 6 2 2 2 3 4" xfId="29262" xr:uid="{00000000-0005-0000-0000-0000E9A90000}"/>
    <cellStyle name="常规 9 3 6 2 2 2 4" xfId="7758" xr:uid="{00000000-0005-0000-0000-0000EAA90000}"/>
    <cellStyle name="常规 9 3 6 2 2 2 4 2" xfId="20046" xr:uid="{00000000-0005-0000-0000-0000EBA90000}"/>
    <cellStyle name="常规 9 3 6 2 2 2 4 2 2" xfId="44622" xr:uid="{00000000-0005-0000-0000-0000ECA90000}"/>
    <cellStyle name="常规 9 3 6 2 2 2 4 3" xfId="32334" xr:uid="{00000000-0005-0000-0000-0000EDA90000}"/>
    <cellStyle name="常规 9 3 6 2 2 2 5" xfId="13902" xr:uid="{00000000-0005-0000-0000-0000EEA90000}"/>
    <cellStyle name="常规 9 3 6 2 2 2 5 2" xfId="38478" xr:uid="{00000000-0005-0000-0000-0000EFA90000}"/>
    <cellStyle name="常规 9 3 6 2 2 2 6" xfId="26190" xr:uid="{00000000-0005-0000-0000-0000F0A90000}"/>
    <cellStyle name="常规 9 3 6 2 2 3" xfId="2378" xr:uid="{00000000-0005-0000-0000-0000F1A90000}"/>
    <cellStyle name="常规 9 3 6 2 2 3 2" xfId="5454" xr:uid="{00000000-0005-0000-0000-0000F2A90000}"/>
    <cellStyle name="常规 9 3 6 2 2 3 2 2" xfId="11598" xr:uid="{00000000-0005-0000-0000-0000F3A90000}"/>
    <cellStyle name="常规 9 3 6 2 2 3 2 2 2" xfId="23886" xr:uid="{00000000-0005-0000-0000-0000F4A90000}"/>
    <cellStyle name="常规 9 3 6 2 2 3 2 2 2 2" xfId="48462" xr:uid="{00000000-0005-0000-0000-0000F5A90000}"/>
    <cellStyle name="常规 9 3 6 2 2 3 2 2 3" xfId="36174" xr:uid="{00000000-0005-0000-0000-0000F6A90000}"/>
    <cellStyle name="常规 9 3 6 2 2 3 2 3" xfId="17742" xr:uid="{00000000-0005-0000-0000-0000F7A90000}"/>
    <cellStyle name="常规 9 3 6 2 2 3 2 3 2" xfId="42318" xr:uid="{00000000-0005-0000-0000-0000F8A90000}"/>
    <cellStyle name="常规 9 3 6 2 2 3 2 4" xfId="30030" xr:uid="{00000000-0005-0000-0000-0000F9A90000}"/>
    <cellStyle name="常规 9 3 6 2 2 3 3" xfId="8526" xr:uid="{00000000-0005-0000-0000-0000FAA90000}"/>
    <cellStyle name="常规 9 3 6 2 2 3 3 2" xfId="20814" xr:uid="{00000000-0005-0000-0000-0000FBA90000}"/>
    <cellStyle name="常规 9 3 6 2 2 3 3 2 2" xfId="45390" xr:uid="{00000000-0005-0000-0000-0000FCA90000}"/>
    <cellStyle name="常规 9 3 6 2 2 3 3 3" xfId="33102" xr:uid="{00000000-0005-0000-0000-0000FDA90000}"/>
    <cellStyle name="常规 9 3 6 2 2 3 4" xfId="14670" xr:uid="{00000000-0005-0000-0000-0000FEA90000}"/>
    <cellStyle name="常规 9 3 6 2 2 3 4 2" xfId="39246" xr:uid="{00000000-0005-0000-0000-0000FFA90000}"/>
    <cellStyle name="常规 9 3 6 2 2 3 5" xfId="26958" xr:uid="{00000000-0005-0000-0000-000000AA0000}"/>
    <cellStyle name="常规 9 3 6 2 2 4" xfId="3918" xr:uid="{00000000-0005-0000-0000-000001AA0000}"/>
    <cellStyle name="常规 9 3 6 2 2 4 2" xfId="10062" xr:uid="{00000000-0005-0000-0000-000002AA0000}"/>
    <cellStyle name="常规 9 3 6 2 2 4 2 2" xfId="22350" xr:uid="{00000000-0005-0000-0000-000003AA0000}"/>
    <cellStyle name="常规 9 3 6 2 2 4 2 2 2" xfId="46926" xr:uid="{00000000-0005-0000-0000-000004AA0000}"/>
    <cellStyle name="常规 9 3 6 2 2 4 2 3" xfId="34638" xr:uid="{00000000-0005-0000-0000-000005AA0000}"/>
    <cellStyle name="常规 9 3 6 2 2 4 3" xfId="16206" xr:uid="{00000000-0005-0000-0000-000006AA0000}"/>
    <cellStyle name="常规 9 3 6 2 2 4 3 2" xfId="40782" xr:uid="{00000000-0005-0000-0000-000007AA0000}"/>
    <cellStyle name="常规 9 3 6 2 2 4 4" xfId="28494" xr:uid="{00000000-0005-0000-0000-000008AA0000}"/>
    <cellStyle name="常规 9 3 6 2 2 5" xfId="6990" xr:uid="{00000000-0005-0000-0000-000009AA0000}"/>
    <cellStyle name="常规 9 3 6 2 2 5 2" xfId="19278" xr:uid="{00000000-0005-0000-0000-00000AAA0000}"/>
    <cellStyle name="常规 9 3 6 2 2 5 2 2" xfId="43854" xr:uid="{00000000-0005-0000-0000-00000BAA0000}"/>
    <cellStyle name="常规 9 3 6 2 2 5 3" xfId="31566" xr:uid="{00000000-0005-0000-0000-00000CAA0000}"/>
    <cellStyle name="常规 9 3 6 2 2 6" xfId="13134" xr:uid="{00000000-0005-0000-0000-00000DAA0000}"/>
    <cellStyle name="常规 9 3 6 2 2 6 2" xfId="37710" xr:uid="{00000000-0005-0000-0000-00000EAA0000}"/>
    <cellStyle name="常规 9 3 6 2 2 7" xfId="25422" xr:uid="{00000000-0005-0000-0000-00000FAA0000}"/>
    <cellStyle name="常规 9 3 6 2 3" xfId="1226" xr:uid="{00000000-0005-0000-0000-000010AA0000}"/>
    <cellStyle name="常规 9 3 6 2 3 2" xfId="2762" xr:uid="{00000000-0005-0000-0000-000011AA0000}"/>
    <cellStyle name="常规 9 3 6 2 3 2 2" xfId="5838" xr:uid="{00000000-0005-0000-0000-000012AA0000}"/>
    <cellStyle name="常规 9 3 6 2 3 2 2 2" xfId="11982" xr:uid="{00000000-0005-0000-0000-000013AA0000}"/>
    <cellStyle name="常规 9 3 6 2 3 2 2 2 2" xfId="24270" xr:uid="{00000000-0005-0000-0000-000014AA0000}"/>
    <cellStyle name="常规 9 3 6 2 3 2 2 2 2 2" xfId="48846" xr:uid="{00000000-0005-0000-0000-000015AA0000}"/>
    <cellStyle name="常规 9 3 6 2 3 2 2 2 3" xfId="36558" xr:uid="{00000000-0005-0000-0000-000016AA0000}"/>
    <cellStyle name="常规 9 3 6 2 3 2 2 3" xfId="18126" xr:uid="{00000000-0005-0000-0000-000017AA0000}"/>
    <cellStyle name="常规 9 3 6 2 3 2 2 3 2" xfId="42702" xr:uid="{00000000-0005-0000-0000-000018AA0000}"/>
    <cellStyle name="常规 9 3 6 2 3 2 2 4" xfId="30414" xr:uid="{00000000-0005-0000-0000-000019AA0000}"/>
    <cellStyle name="常规 9 3 6 2 3 2 3" xfId="8910" xr:uid="{00000000-0005-0000-0000-00001AAA0000}"/>
    <cellStyle name="常规 9 3 6 2 3 2 3 2" xfId="21198" xr:uid="{00000000-0005-0000-0000-00001BAA0000}"/>
    <cellStyle name="常规 9 3 6 2 3 2 3 2 2" xfId="45774" xr:uid="{00000000-0005-0000-0000-00001CAA0000}"/>
    <cellStyle name="常规 9 3 6 2 3 2 3 3" xfId="33486" xr:uid="{00000000-0005-0000-0000-00001DAA0000}"/>
    <cellStyle name="常规 9 3 6 2 3 2 4" xfId="15054" xr:uid="{00000000-0005-0000-0000-00001EAA0000}"/>
    <cellStyle name="常规 9 3 6 2 3 2 4 2" xfId="39630" xr:uid="{00000000-0005-0000-0000-00001FAA0000}"/>
    <cellStyle name="常规 9 3 6 2 3 2 5" xfId="27342" xr:uid="{00000000-0005-0000-0000-000020AA0000}"/>
    <cellStyle name="常规 9 3 6 2 3 3" xfId="4302" xr:uid="{00000000-0005-0000-0000-000021AA0000}"/>
    <cellStyle name="常规 9 3 6 2 3 3 2" xfId="10446" xr:uid="{00000000-0005-0000-0000-000022AA0000}"/>
    <cellStyle name="常规 9 3 6 2 3 3 2 2" xfId="22734" xr:uid="{00000000-0005-0000-0000-000023AA0000}"/>
    <cellStyle name="常规 9 3 6 2 3 3 2 2 2" xfId="47310" xr:uid="{00000000-0005-0000-0000-000024AA0000}"/>
    <cellStyle name="常规 9 3 6 2 3 3 2 3" xfId="35022" xr:uid="{00000000-0005-0000-0000-000025AA0000}"/>
    <cellStyle name="常规 9 3 6 2 3 3 3" xfId="16590" xr:uid="{00000000-0005-0000-0000-000026AA0000}"/>
    <cellStyle name="常规 9 3 6 2 3 3 3 2" xfId="41166" xr:uid="{00000000-0005-0000-0000-000027AA0000}"/>
    <cellStyle name="常规 9 3 6 2 3 3 4" xfId="28878" xr:uid="{00000000-0005-0000-0000-000028AA0000}"/>
    <cellStyle name="常规 9 3 6 2 3 4" xfId="7374" xr:uid="{00000000-0005-0000-0000-000029AA0000}"/>
    <cellStyle name="常规 9 3 6 2 3 4 2" xfId="19662" xr:uid="{00000000-0005-0000-0000-00002AAA0000}"/>
    <cellStyle name="常规 9 3 6 2 3 4 2 2" xfId="44238" xr:uid="{00000000-0005-0000-0000-00002BAA0000}"/>
    <cellStyle name="常规 9 3 6 2 3 4 3" xfId="31950" xr:uid="{00000000-0005-0000-0000-00002CAA0000}"/>
    <cellStyle name="常规 9 3 6 2 3 5" xfId="13518" xr:uid="{00000000-0005-0000-0000-00002DAA0000}"/>
    <cellStyle name="常规 9 3 6 2 3 5 2" xfId="38094" xr:uid="{00000000-0005-0000-0000-00002EAA0000}"/>
    <cellStyle name="常规 9 3 6 2 3 6" xfId="25806" xr:uid="{00000000-0005-0000-0000-00002FAA0000}"/>
    <cellStyle name="常规 9 3 6 2 4" xfId="1994" xr:uid="{00000000-0005-0000-0000-000030AA0000}"/>
    <cellStyle name="常规 9 3 6 2 4 2" xfId="5070" xr:uid="{00000000-0005-0000-0000-000031AA0000}"/>
    <cellStyle name="常规 9 3 6 2 4 2 2" xfId="11214" xr:uid="{00000000-0005-0000-0000-000032AA0000}"/>
    <cellStyle name="常规 9 3 6 2 4 2 2 2" xfId="23502" xr:uid="{00000000-0005-0000-0000-000033AA0000}"/>
    <cellStyle name="常规 9 3 6 2 4 2 2 2 2" xfId="48078" xr:uid="{00000000-0005-0000-0000-000034AA0000}"/>
    <cellStyle name="常规 9 3 6 2 4 2 2 3" xfId="35790" xr:uid="{00000000-0005-0000-0000-000035AA0000}"/>
    <cellStyle name="常规 9 3 6 2 4 2 3" xfId="17358" xr:uid="{00000000-0005-0000-0000-000036AA0000}"/>
    <cellStyle name="常规 9 3 6 2 4 2 3 2" xfId="41934" xr:uid="{00000000-0005-0000-0000-000037AA0000}"/>
    <cellStyle name="常规 9 3 6 2 4 2 4" xfId="29646" xr:uid="{00000000-0005-0000-0000-000038AA0000}"/>
    <cellStyle name="常规 9 3 6 2 4 3" xfId="8142" xr:uid="{00000000-0005-0000-0000-000039AA0000}"/>
    <cellStyle name="常规 9 3 6 2 4 3 2" xfId="20430" xr:uid="{00000000-0005-0000-0000-00003AAA0000}"/>
    <cellStyle name="常规 9 3 6 2 4 3 2 2" xfId="45006" xr:uid="{00000000-0005-0000-0000-00003BAA0000}"/>
    <cellStyle name="常规 9 3 6 2 4 3 3" xfId="32718" xr:uid="{00000000-0005-0000-0000-00003CAA0000}"/>
    <cellStyle name="常规 9 3 6 2 4 4" xfId="14286" xr:uid="{00000000-0005-0000-0000-00003DAA0000}"/>
    <cellStyle name="常规 9 3 6 2 4 4 2" xfId="38862" xr:uid="{00000000-0005-0000-0000-00003EAA0000}"/>
    <cellStyle name="常规 9 3 6 2 4 5" xfId="26574" xr:uid="{00000000-0005-0000-0000-00003FAA0000}"/>
    <cellStyle name="常规 9 3 6 2 5" xfId="3534" xr:uid="{00000000-0005-0000-0000-000040AA0000}"/>
    <cellStyle name="常规 9 3 6 2 5 2" xfId="9678" xr:uid="{00000000-0005-0000-0000-000041AA0000}"/>
    <cellStyle name="常规 9 3 6 2 5 2 2" xfId="21966" xr:uid="{00000000-0005-0000-0000-000042AA0000}"/>
    <cellStyle name="常规 9 3 6 2 5 2 2 2" xfId="46542" xr:uid="{00000000-0005-0000-0000-000043AA0000}"/>
    <cellStyle name="常规 9 3 6 2 5 2 3" xfId="34254" xr:uid="{00000000-0005-0000-0000-000044AA0000}"/>
    <cellStyle name="常规 9 3 6 2 5 3" xfId="15822" xr:uid="{00000000-0005-0000-0000-000045AA0000}"/>
    <cellStyle name="常规 9 3 6 2 5 3 2" xfId="40398" xr:uid="{00000000-0005-0000-0000-000046AA0000}"/>
    <cellStyle name="常规 9 3 6 2 5 4" xfId="28110" xr:uid="{00000000-0005-0000-0000-000047AA0000}"/>
    <cellStyle name="常规 9 3 6 2 6" xfId="6606" xr:uid="{00000000-0005-0000-0000-000048AA0000}"/>
    <cellStyle name="常规 9 3 6 2 6 2" xfId="18894" xr:uid="{00000000-0005-0000-0000-000049AA0000}"/>
    <cellStyle name="常规 9 3 6 2 6 2 2" xfId="43470" xr:uid="{00000000-0005-0000-0000-00004AAA0000}"/>
    <cellStyle name="常规 9 3 6 2 6 3" xfId="31182" xr:uid="{00000000-0005-0000-0000-00004BAA0000}"/>
    <cellStyle name="常规 9 3 6 2 7" xfId="12750" xr:uid="{00000000-0005-0000-0000-00004CAA0000}"/>
    <cellStyle name="常规 9 3 6 2 7 2" xfId="37326" xr:uid="{00000000-0005-0000-0000-00004DAA0000}"/>
    <cellStyle name="常规 9 3 6 2 8" xfId="25038" xr:uid="{00000000-0005-0000-0000-00004EAA0000}"/>
    <cellStyle name="常规 9 3 6 3" xfId="650" xr:uid="{00000000-0005-0000-0000-00004FAA0000}"/>
    <cellStyle name="常规 9 3 6 3 2" xfId="1418" xr:uid="{00000000-0005-0000-0000-000050AA0000}"/>
    <cellStyle name="常规 9 3 6 3 2 2" xfId="2954" xr:uid="{00000000-0005-0000-0000-000051AA0000}"/>
    <cellStyle name="常规 9 3 6 3 2 2 2" xfId="6030" xr:uid="{00000000-0005-0000-0000-000052AA0000}"/>
    <cellStyle name="常规 9 3 6 3 2 2 2 2" xfId="12174" xr:uid="{00000000-0005-0000-0000-000053AA0000}"/>
    <cellStyle name="常规 9 3 6 3 2 2 2 2 2" xfId="24462" xr:uid="{00000000-0005-0000-0000-000054AA0000}"/>
    <cellStyle name="常规 9 3 6 3 2 2 2 2 2 2" xfId="49038" xr:uid="{00000000-0005-0000-0000-000055AA0000}"/>
    <cellStyle name="常规 9 3 6 3 2 2 2 2 3" xfId="36750" xr:uid="{00000000-0005-0000-0000-000056AA0000}"/>
    <cellStyle name="常规 9 3 6 3 2 2 2 3" xfId="18318" xr:uid="{00000000-0005-0000-0000-000057AA0000}"/>
    <cellStyle name="常规 9 3 6 3 2 2 2 3 2" xfId="42894" xr:uid="{00000000-0005-0000-0000-000058AA0000}"/>
    <cellStyle name="常规 9 3 6 3 2 2 2 4" xfId="30606" xr:uid="{00000000-0005-0000-0000-000059AA0000}"/>
    <cellStyle name="常规 9 3 6 3 2 2 3" xfId="9102" xr:uid="{00000000-0005-0000-0000-00005AAA0000}"/>
    <cellStyle name="常规 9 3 6 3 2 2 3 2" xfId="21390" xr:uid="{00000000-0005-0000-0000-00005BAA0000}"/>
    <cellStyle name="常规 9 3 6 3 2 2 3 2 2" xfId="45966" xr:uid="{00000000-0005-0000-0000-00005CAA0000}"/>
    <cellStyle name="常规 9 3 6 3 2 2 3 3" xfId="33678" xr:uid="{00000000-0005-0000-0000-00005DAA0000}"/>
    <cellStyle name="常规 9 3 6 3 2 2 4" xfId="15246" xr:uid="{00000000-0005-0000-0000-00005EAA0000}"/>
    <cellStyle name="常规 9 3 6 3 2 2 4 2" xfId="39822" xr:uid="{00000000-0005-0000-0000-00005FAA0000}"/>
    <cellStyle name="常规 9 3 6 3 2 2 5" xfId="27534" xr:uid="{00000000-0005-0000-0000-000060AA0000}"/>
    <cellStyle name="常规 9 3 6 3 2 3" xfId="4494" xr:uid="{00000000-0005-0000-0000-000061AA0000}"/>
    <cellStyle name="常规 9 3 6 3 2 3 2" xfId="10638" xr:uid="{00000000-0005-0000-0000-000062AA0000}"/>
    <cellStyle name="常规 9 3 6 3 2 3 2 2" xfId="22926" xr:uid="{00000000-0005-0000-0000-000063AA0000}"/>
    <cellStyle name="常规 9 3 6 3 2 3 2 2 2" xfId="47502" xr:uid="{00000000-0005-0000-0000-000064AA0000}"/>
    <cellStyle name="常规 9 3 6 3 2 3 2 3" xfId="35214" xr:uid="{00000000-0005-0000-0000-000065AA0000}"/>
    <cellStyle name="常规 9 3 6 3 2 3 3" xfId="16782" xr:uid="{00000000-0005-0000-0000-000066AA0000}"/>
    <cellStyle name="常规 9 3 6 3 2 3 3 2" xfId="41358" xr:uid="{00000000-0005-0000-0000-000067AA0000}"/>
    <cellStyle name="常规 9 3 6 3 2 3 4" xfId="29070" xr:uid="{00000000-0005-0000-0000-000068AA0000}"/>
    <cellStyle name="常规 9 3 6 3 2 4" xfId="7566" xr:uid="{00000000-0005-0000-0000-000069AA0000}"/>
    <cellStyle name="常规 9 3 6 3 2 4 2" xfId="19854" xr:uid="{00000000-0005-0000-0000-00006AAA0000}"/>
    <cellStyle name="常规 9 3 6 3 2 4 2 2" xfId="44430" xr:uid="{00000000-0005-0000-0000-00006BAA0000}"/>
    <cellStyle name="常规 9 3 6 3 2 4 3" xfId="32142" xr:uid="{00000000-0005-0000-0000-00006CAA0000}"/>
    <cellStyle name="常规 9 3 6 3 2 5" xfId="13710" xr:uid="{00000000-0005-0000-0000-00006DAA0000}"/>
    <cellStyle name="常规 9 3 6 3 2 5 2" xfId="38286" xr:uid="{00000000-0005-0000-0000-00006EAA0000}"/>
    <cellStyle name="常规 9 3 6 3 2 6" xfId="25998" xr:uid="{00000000-0005-0000-0000-00006FAA0000}"/>
    <cellStyle name="常规 9 3 6 3 3" xfId="2186" xr:uid="{00000000-0005-0000-0000-000070AA0000}"/>
    <cellStyle name="常规 9 3 6 3 3 2" xfId="5262" xr:uid="{00000000-0005-0000-0000-000071AA0000}"/>
    <cellStyle name="常规 9 3 6 3 3 2 2" xfId="11406" xr:uid="{00000000-0005-0000-0000-000072AA0000}"/>
    <cellStyle name="常规 9 3 6 3 3 2 2 2" xfId="23694" xr:uid="{00000000-0005-0000-0000-000073AA0000}"/>
    <cellStyle name="常规 9 3 6 3 3 2 2 2 2" xfId="48270" xr:uid="{00000000-0005-0000-0000-000074AA0000}"/>
    <cellStyle name="常规 9 3 6 3 3 2 2 3" xfId="35982" xr:uid="{00000000-0005-0000-0000-000075AA0000}"/>
    <cellStyle name="常规 9 3 6 3 3 2 3" xfId="17550" xr:uid="{00000000-0005-0000-0000-000076AA0000}"/>
    <cellStyle name="常规 9 3 6 3 3 2 3 2" xfId="42126" xr:uid="{00000000-0005-0000-0000-000077AA0000}"/>
    <cellStyle name="常规 9 3 6 3 3 2 4" xfId="29838" xr:uid="{00000000-0005-0000-0000-000078AA0000}"/>
    <cellStyle name="常规 9 3 6 3 3 3" xfId="8334" xr:uid="{00000000-0005-0000-0000-000079AA0000}"/>
    <cellStyle name="常规 9 3 6 3 3 3 2" xfId="20622" xr:uid="{00000000-0005-0000-0000-00007AAA0000}"/>
    <cellStyle name="常规 9 3 6 3 3 3 2 2" xfId="45198" xr:uid="{00000000-0005-0000-0000-00007BAA0000}"/>
    <cellStyle name="常规 9 3 6 3 3 3 3" xfId="32910" xr:uid="{00000000-0005-0000-0000-00007CAA0000}"/>
    <cellStyle name="常规 9 3 6 3 3 4" xfId="14478" xr:uid="{00000000-0005-0000-0000-00007DAA0000}"/>
    <cellStyle name="常规 9 3 6 3 3 4 2" xfId="39054" xr:uid="{00000000-0005-0000-0000-00007EAA0000}"/>
    <cellStyle name="常规 9 3 6 3 3 5" xfId="26766" xr:uid="{00000000-0005-0000-0000-00007FAA0000}"/>
    <cellStyle name="常规 9 3 6 3 4" xfId="3726" xr:uid="{00000000-0005-0000-0000-000080AA0000}"/>
    <cellStyle name="常规 9 3 6 3 4 2" xfId="9870" xr:uid="{00000000-0005-0000-0000-000081AA0000}"/>
    <cellStyle name="常规 9 3 6 3 4 2 2" xfId="22158" xr:uid="{00000000-0005-0000-0000-000082AA0000}"/>
    <cellStyle name="常规 9 3 6 3 4 2 2 2" xfId="46734" xr:uid="{00000000-0005-0000-0000-000083AA0000}"/>
    <cellStyle name="常规 9 3 6 3 4 2 3" xfId="34446" xr:uid="{00000000-0005-0000-0000-000084AA0000}"/>
    <cellStyle name="常规 9 3 6 3 4 3" xfId="16014" xr:uid="{00000000-0005-0000-0000-000085AA0000}"/>
    <cellStyle name="常规 9 3 6 3 4 3 2" xfId="40590" xr:uid="{00000000-0005-0000-0000-000086AA0000}"/>
    <cellStyle name="常规 9 3 6 3 4 4" xfId="28302" xr:uid="{00000000-0005-0000-0000-000087AA0000}"/>
    <cellStyle name="常规 9 3 6 3 5" xfId="6798" xr:uid="{00000000-0005-0000-0000-000088AA0000}"/>
    <cellStyle name="常规 9 3 6 3 5 2" xfId="19086" xr:uid="{00000000-0005-0000-0000-000089AA0000}"/>
    <cellStyle name="常规 9 3 6 3 5 2 2" xfId="43662" xr:uid="{00000000-0005-0000-0000-00008AAA0000}"/>
    <cellStyle name="常规 9 3 6 3 5 3" xfId="31374" xr:uid="{00000000-0005-0000-0000-00008BAA0000}"/>
    <cellStyle name="常规 9 3 6 3 6" xfId="12942" xr:uid="{00000000-0005-0000-0000-00008CAA0000}"/>
    <cellStyle name="常规 9 3 6 3 6 2" xfId="37518" xr:uid="{00000000-0005-0000-0000-00008DAA0000}"/>
    <cellStyle name="常规 9 3 6 3 7" xfId="25230" xr:uid="{00000000-0005-0000-0000-00008EAA0000}"/>
    <cellStyle name="常规 9 3 6 4" xfId="1034" xr:uid="{00000000-0005-0000-0000-00008FAA0000}"/>
    <cellStyle name="常规 9 3 6 4 2" xfId="2570" xr:uid="{00000000-0005-0000-0000-000090AA0000}"/>
    <cellStyle name="常规 9 3 6 4 2 2" xfId="5646" xr:uid="{00000000-0005-0000-0000-000091AA0000}"/>
    <cellStyle name="常规 9 3 6 4 2 2 2" xfId="11790" xr:uid="{00000000-0005-0000-0000-000092AA0000}"/>
    <cellStyle name="常规 9 3 6 4 2 2 2 2" xfId="24078" xr:uid="{00000000-0005-0000-0000-000093AA0000}"/>
    <cellStyle name="常规 9 3 6 4 2 2 2 2 2" xfId="48654" xr:uid="{00000000-0005-0000-0000-000094AA0000}"/>
    <cellStyle name="常规 9 3 6 4 2 2 2 3" xfId="36366" xr:uid="{00000000-0005-0000-0000-000095AA0000}"/>
    <cellStyle name="常规 9 3 6 4 2 2 3" xfId="17934" xr:uid="{00000000-0005-0000-0000-000096AA0000}"/>
    <cellStyle name="常规 9 3 6 4 2 2 3 2" xfId="42510" xr:uid="{00000000-0005-0000-0000-000097AA0000}"/>
    <cellStyle name="常规 9 3 6 4 2 2 4" xfId="30222" xr:uid="{00000000-0005-0000-0000-000098AA0000}"/>
    <cellStyle name="常规 9 3 6 4 2 3" xfId="8718" xr:uid="{00000000-0005-0000-0000-000099AA0000}"/>
    <cellStyle name="常规 9 3 6 4 2 3 2" xfId="21006" xr:uid="{00000000-0005-0000-0000-00009AAA0000}"/>
    <cellStyle name="常规 9 3 6 4 2 3 2 2" xfId="45582" xr:uid="{00000000-0005-0000-0000-00009BAA0000}"/>
    <cellStyle name="常规 9 3 6 4 2 3 3" xfId="33294" xr:uid="{00000000-0005-0000-0000-00009CAA0000}"/>
    <cellStyle name="常规 9 3 6 4 2 4" xfId="14862" xr:uid="{00000000-0005-0000-0000-00009DAA0000}"/>
    <cellStyle name="常规 9 3 6 4 2 4 2" xfId="39438" xr:uid="{00000000-0005-0000-0000-00009EAA0000}"/>
    <cellStyle name="常规 9 3 6 4 2 5" xfId="27150" xr:uid="{00000000-0005-0000-0000-00009FAA0000}"/>
    <cellStyle name="常规 9 3 6 4 3" xfId="4110" xr:uid="{00000000-0005-0000-0000-0000A0AA0000}"/>
    <cellStyle name="常规 9 3 6 4 3 2" xfId="10254" xr:uid="{00000000-0005-0000-0000-0000A1AA0000}"/>
    <cellStyle name="常规 9 3 6 4 3 2 2" xfId="22542" xr:uid="{00000000-0005-0000-0000-0000A2AA0000}"/>
    <cellStyle name="常规 9 3 6 4 3 2 2 2" xfId="47118" xr:uid="{00000000-0005-0000-0000-0000A3AA0000}"/>
    <cellStyle name="常规 9 3 6 4 3 2 3" xfId="34830" xr:uid="{00000000-0005-0000-0000-0000A4AA0000}"/>
    <cellStyle name="常规 9 3 6 4 3 3" xfId="16398" xr:uid="{00000000-0005-0000-0000-0000A5AA0000}"/>
    <cellStyle name="常规 9 3 6 4 3 3 2" xfId="40974" xr:uid="{00000000-0005-0000-0000-0000A6AA0000}"/>
    <cellStyle name="常规 9 3 6 4 3 4" xfId="28686" xr:uid="{00000000-0005-0000-0000-0000A7AA0000}"/>
    <cellStyle name="常规 9 3 6 4 4" xfId="7182" xr:uid="{00000000-0005-0000-0000-0000A8AA0000}"/>
    <cellStyle name="常规 9 3 6 4 4 2" xfId="19470" xr:uid="{00000000-0005-0000-0000-0000A9AA0000}"/>
    <cellStyle name="常规 9 3 6 4 4 2 2" xfId="44046" xr:uid="{00000000-0005-0000-0000-0000AAAA0000}"/>
    <cellStyle name="常规 9 3 6 4 4 3" xfId="31758" xr:uid="{00000000-0005-0000-0000-0000ABAA0000}"/>
    <cellStyle name="常规 9 3 6 4 5" xfId="13326" xr:uid="{00000000-0005-0000-0000-0000ACAA0000}"/>
    <cellStyle name="常规 9 3 6 4 5 2" xfId="37902" xr:uid="{00000000-0005-0000-0000-0000ADAA0000}"/>
    <cellStyle name="常规 9 3 6 4 6" xfId="25614" xr:uid="{00000000-0005-0000-0000-0000AEAA0000}"/>
    <cellStyle name="常规 9 3 6 5" xfId="1802" xr:uid="{00000000-0005-0000-0000-0000AFAA0000}"/>
    <cellStyle name="常规 9 3 6 5 2" xfId="4878" xr:uid="{00000000-0005-0000-0000-0000B0AA0000}"/>
    <cellStyle name="常规 9 3 6 5 2 2" xfId="11022" xr:uid="{00000000-0005-0000-0000-0000B1AA0000}"/>
    <cellStyle name="常规 9 3 6 5 2 2 2" xfId="23310" xr:uid="{00000000-0005-0000-0000-0000B2AA0000}"/>
    <cellStyle name="常规 9 3 6 5 2 2 2 2" xfId="47886" xr:uid="{00000000-0005-0000-0000-0000B3AA0000}"/>
    <cellStyle name="常规 9 3 6 5 2 2 3" xfId="35598" xr:uid="{00000000-0005-0000-0000-0000B4AA0000}"/>
    <cellStyle name="常规 9 3 6 5 2 3" xfId="17166" xr:uid="{00000000-0005-0000-0000-0000B5AA0000}"/>
    <cellStyle name="常规 9 3 6 5 2 3 2" xfId="41742" xr:uid="{00000000-0005-0000-0000-0000B6AA0000}"/>
    <cellStyle name="常规 9 3 6 5 2 4" xfId="29454" xr:uid="{00000000-0005-0000-0000-0000B7AA0000}"/>
    <cellStyle name="常规 9 3 6 5 3" xfId="7950" xr:uid="{00000000-0005-0000-0000-0000B8AA0000}"/>
    <cellStyle name="常规 9 3 6 5 3 2" xfId="20238" xr:uid="{00000000-0005-0000-0000-0000B9AA0000}"/>
    <cellStyle name="常规 9 3 6 5 3 2 2" xfId="44814" xr:uid="{00000000-0005-0000-0000-0000BAAA0000}"/>
    <cellStyle name="常规 9 3 6 5 3 3" xfId="32526" xr:uid="{00000000-0005-0000-0000-0000BBAA0000}"/>
    <cellStyle name="常规 9 3 6 5 4" xfId="14094" xr:uid="{00000000-0005-0000-0000-0000BCAA0000}"/>
    <cellStyle name="常规 9 3 6 5 4 2" xfId="38670" xr:uid="{00000000-0005-0000-0000-0000BDAA0000}"/>
    <cellStyle name="常规 9 3 6 5 5" xfId="26382" xr:uid="{00000000-0005-0000-0000-0000BEAA0000}"/>
    <cellStyle name="常规 9 3 6 6" xfId="3342" xr:uid="{00000000-0005-0000-0000-0000BFAA0000}"/>
    <cellStyle name="常规 9 3 6 6 2" xfId="9486" xr:uid="{00000000-0005-0000-0000-0000C0AA0000}"/>
    <cellStyle name="常规 9 3 6 6 2 2" xfId="21774" xr:uid="{00000000-0005-0000-0000-0000C1AA0000}"/>
    <cellStyle name="常规 9 3 6 6 2 2 2" xfId="46350" xr:uid="{00000000-0005-0000-0000-0000C2AA0000}"/>
    <cellStyle name="常规 9 3 6 6 2 3" xfId="34062" xr:uid="{00000000-0005-0000-0000-0000C3AA0000}"/>
    <cellStyle name="常规 9 3 6 6 3" xfId="15630" xr:uid="{00000000-0005-0000-0000-0000C4AA0000}"/>
    <cellStyle name="常规 9 3 6 6 3 2" xfId="40206" xr:uid="{00000000-0005-0000-0000-0000C5AA0000}"/>
    <cellStyle name="常规 9 3 6 6 4" xfId="27918" xr:uid="{00000000-0005-0000-0000-0000C6AA0000}"/>
    <cellStyle name="常规 9 3 6 7" xfId="6414" xr:uid="{00000000-0005-0000-0000-0000C7AA0000}"/>
    <cellStyle name="常规 9 3 6 7 2" xfId="18702" xr:uid="{00000000-0005-0000-0000-0000C8AA0000}"/>
    <cellStyle name="常规 9 3 6 7 2 2" xfId="43278" xr:uid="{00000000-0005-0000-0000-0000C9AA0000}"/>
    <cellStyle name="常规 9 3 6 7 3" xfId="30990" xr:uid="{00000000-0005-0000-0000-0000CAAA0000}"/>
    <cellStyle name="常规 9 3 6 8" xfId="12558" xr:uid="{00000000-0005-0000-0000-0000CBAA0000}"/>
    <cellStyle name="常规 9 3 6 8 2" xfId="37134" xr:uid="{00000000-0005-0000-0000-0000CCAA0000}"/>
    <cellStyle name="常规 9 3 6 9" xfId="24846" xr:uid="{00000000-0005-0000-0000-0000CDAA0000}"/>
    <cellStyle name="常规 9 3 7" xfId="330" xr:uid="{00000000-0005-0000-0000-0000CEAA0000}"/>
    <cellStyle name="常规 9 3 7 2" xfId="714" xr:uid="{00000000-0005-0000-0000-0000CFAA0000}"/>
    <cellStyle name="常规 9 3 7 2 2" xfId="1482" xr:uid="{00000000-0005-0000-0000-0000D0AA0000}"/>
    <cellStyle name="常规 9 3 7 2 2 2" xfId="3018" xr:uid="{00000000-0005-0000-0000-0000D1AA0000}"/>
    <cellStyle name="常规 9 3 7 2 2 2 2" xfId="6094" xr:uid="{00000000-0005-0000-0000-0000D2AA0000}"/>
    <cellStyle name="常规 9 3 7 2 2 2 2 2" xfId="12238" xr:uid="{00000000-0005-0000-0000-0000D3AA0000}"/>
    <cellStyle name="常规 9 3 7 2 2 2 2 2 2" xfId="24526" xr:uid="{00000000-0005-0000-0000-0000D4AA0000}"/>
    <cellStyle name="常规 9 3 7 2 2 2 2 2 2 2" xfId="49102" xr:uid="{00000000-0005-0000-0000-0000D5AA0000}"/>
    <cellStyle name="常规 9 3 7 2 2 2 2 2 3" xfId="36814" xr:uid="{00000000-0005-0000-0000-0000D6AA0000}"/>
    <cellStyle name="常规 9 3 7 2 2 2 2 3" xfId="18382" xr:uid="{00000000-0005-0000-0000-0000D7AA0000}"/>
    <cellStyle name="常规 9 3 7 2 2 2 2 3 2" xfId="42958" xr:uid="{00000000-0005-0000-0000-0000D8AA0000}"/>
    <cellStyle name="常规 9 3 7 2 2 2 2 4" xfId="30670" xr:uid="{00000000-0005-0000-0000-0000D9AA0000}"/>
    <cellStyle name="常规 9 3 7 2 2 2 3" xfId="9166" xr:uid="{00000000-0005-0000-0000-0000DAAA0000}"/>
    <cellStyle name="常规 9 3 7 2 2 2 3 2" xfId="21454" xr:uid="{00000000-0005-0000-0000-0000DBAA0000}"/>
    <cellStyle name="常规 9 3 7 2 2 2 3 2 2" xfId="46030" xr:uid="{00000000-0005-0000-0000-0000DCAA0000}"/>
    <cellStyle name="常规 9 3 7 2 2 2 3 3" xfId="33742" xr:uid="{00000000-0005-0000-0000-0000DDAA0000}"/>
    <cellStyle name="常规 9 3 7 2 2 2 4" xfId="15310" xr:uid="{00000000-0005-0000-0000-0000DEAA0000}"/>
    <cellStyle name="常规 9 3 7 2 2 2 4 2" xfId="39886" xr:uid="{00000000-0005-0000-0000-0000DFAA0000}"/>
    <cellStyle name="常规 9 3 7 2 2 2 5" xfId="27598" xr:uid="{00000000-0005-0000-0000-0000E0AA0000}"/>
    <cellStyle name="常规 9 3 7 2 2 3" xfId="4558" xr:uid="{00000000-0005-0000-0000-0000E1AA0000}"/>
    <cellStyle name="常规 9 3 7 2 2 3 2" xfId="10702" xr:uid="{00000000-0005-0000-0000-0000E2AA0000}"/>
    <cellStyle name="常规 9 3 7 2 2 3 2 2" xfId="22990" xr:uid="{00000000-0005-0000-0000-0000E3AA0000}"/>
    <cellStyle name="常规 9 3 7 2 2 3 2 2 2" xfId="47566" xr:uid="{00000000-0005-0000-0000-0000E4AA0000}"/>
    <cellStyle name="常规 9 3 7 2 2 3 2 3" xfId="35278" xr:uid="{00000000-0005-0000-0000-0000E5AA0000}"/>
    <cellStyle name="常规 9 3 7 2 2 3 3" xfId="16846" xr:uid="{00000000-0005-0000-0000-0000E6AA0000}"/>
    <cellStyle name="常规 9 3 7 2 2 3 3 2" xfId="41422" xr:uid="{00000000-0005-0000-0000-0000E7AA0000}"/>
    <cellStyle name="常规 9 3 7 2 2 3 4" xfId="29134" xr:uid="{00000000-0005-0000-0000-0000E8AA0000}"/>
    <cellStyle name="常规 9 3 7 2 2 4" xfId="7630" xr:uid="{00000000-0005-0000-0000-0000E9AA0000}"/>
    <cellStyle name="常规 9 3 7 2 2 4 2" xfId="19918" xr:uid="{00000000-0005-0000-0000-0000EAAA0000}"/>
    <cellStyle name="常规 9 3 7 2 2 4 2 2" xfId="44494" xr:uid="{00000000-0005-0000-0000-0000EBAA0000}"/>
    <cellStyle name="常规 9 3 7 2 2 4 3" xfId="32206" xr:uid="{00000000-0005-0000-0000-0000ECAA0000}"/>
    <cellStyle name="常规 9 3 7 2 2 5" xfId="13774" xr:uid="{00000000-0005-0000-0000-0000EDAA0000}"/>
    <cellStyle name="常规 9 3 7 2 2 5 2" xfId="38350" xr:uid="{00000000-0005-0000-0000-0000EEAA0000}"/>
    <cellStyle name="常规 9 3 7 2 2 6" xfId="26062" xr:uid="{00000000-0005-0000-0000-0000EFAA0000}"/>
    <cellStyle name="常规 9 3 7 2 3" xfId="2250" xr:uid="{00000000-0005-0000-0000-0000F0AA0000}"/>
    <cellStyle name="常规 9 3 7 2 3 2" xfId="5326" xr:uid="{00000000-0005-0000-0000-0000F1AA0000}"/>
    <cellStyle name="常规 9 3 7 2 3 2 2" xfId="11470" xr:uid="{00000000-0005-0000-0000-0000F2AA0000}"/>
    <cellStyle name="常规 9 3 7 2 3 2 2 2" xfId="23758" xr:uid="{00000000-0005-0000-0000-0000F3AA0000}"/>
    <cellStyle name="常规 9 3 7 2 3 2 2 2 2" xfId="48334" xr:uid="{00000000-0005-0000-0000-0000F4AA0000}"/>
    <cellStyle name="常规 9 3 7 2 3 2 2 3" xfId="36046" xr:uid="{00000000-0005-0000-0000-0000F5AA0000}"/>
    <cellStyle name="常规 9 3 7 2 3 2 3" xfId="17614" xr:uid="{00000000-0005-0000-0000-0000F6AA0000}"/>
    <cellStyle name="常规 9 3 7 2 3 2 3 2" xfId="42190" xr:uid="{00000000-0005-0000-0000-0000F7AA0000}"/>
    <cellStyle name="常规 9 3 7 2 3 2 4" xfId="29902" xr:uid="{00000000-0005-0000-0000-0000F8AA0000}"/>
    <cellStyle name="常规 9 3 7 2 3 3" xfId="8398" xr:uid="{00000000-0005-0000-0000-0000F9AA0000}"/>
    <cellStyle name="常规 9 3 7 2 3 3 2" xfId="20686" xr:uid="{00000000-0005-0000-0000-0000FAAA0000}"/>
    <cellStyle name="常规 9 3 7 2 3 3 2 2" xfId="45262" xr:uid="{00000000-0005-0000-0000-0000FBAA0000}"/>
    <cellStyle name="常规 9 3 7 2 3 3 3" xfId="32974" xr:uid="{00000000-0005-0000-0000-0000FCAA0000}"/>
    <cellStyle name="常规 9 3 7 2 3 4" xfId="14542" xr:uid="{00000000-0005-0000-0000-0000FDAA0000}"/>
    <cellStyle name="常规 9 3 7 2 3 4 2" xfId="39118" xr:uid="{00000000-0005-0000-0000-0000FEAA0000}"/>
    <cellStyle name="常规 9 3 7 2 3 5" xfId="26830" xr:uid="{00000000-0005-0000-0000-0000FFAA0000}"/>
    <cellStyle name="常规 9 3 7 2 4" xfId="3790" xr:uid="{00000000-0005-0000-0000-000000AB0000}"/>
    <cellStyle name="常规 9 3 7 2 4 2" xfId="9934" xr:uid="{00000000-0005-0000-0000-000001AB0000}"/>
    <cellStyle name="常规 9 3 7 2 4 2 2" xfId="22222" xr:uid="{00000000-0005-0000-0000-000002AB0000}"/>
    <cellStyle name="常规 9 3 7 2 4 2 2 2" xfId="46798" xr:uid="{00000000-0005-0000-0000-000003AB0000}"/>
    <cellStyle name="常规 9 3 7 2 4 2 3" xfId="34510" xr:uid="{00000000-0005-0000-0000-000004AB0000}"/>
    <cellStyle name="常规 9 3 7 2 4 3" xfId="16078" xr:uid="{00000000-0005-0000-0000-000005AB0000}"/>
    <cellStyle name="常规 9 3 7 2 4 3 2" xfId="40654" xr:uid="{00000000-0005-0000-0000-000006AB0000}"/>
    <cellStyle name="常规 9 3 7 2 4 4" xfId="28366" xr:uid="{00000000-0005-0000-0000-000007AB0000}"/>
    <cellStyle name="常规 9 3 7 2 5" xfId="6862" xr:uid="{00000000-0005-0000-0000-000008AB0000}"/>
    <cellStyle name="常规 9 3 7 2 5 2" xfId="19150" xr:uid="{00000000-0005-0000-0000-000009AB0000}"/>
    <cellStyle name="常规 9 3 7 2 5 2 2" xfId="43726" xr:uid="{00000000-0005-0000-0000-00000AAB0000}"/>
    <cellStyle name="常规 9 3 7 2 5 3" xfId="31438" xr:uid="{00000000-0005-0000-0000-00000BAB0000}"/>
    <cellStyle name="常规 9 3 7 2 6" xfId="13006" xr:uid="{00000000-0005-0000-0000-00000CAB0000}"/>
    <cellStyle name="常规 9 3 7 2 6 2" xfId="37582" xr:uid="{00000000-0005-0000-0000-00000DAB0000}"/>
    <cellStyle name="常规 9 3 7 2 7" xfId="25294" xr:uid="{00000000-0005-0000-0000-00000EAB0000}"/>
    <cellStyle name="常规 9 3 7 3" xfId="1098" xr:uid="{00000000-0005-0000-0000-00000FAB0000}"/>
    <cellStyle name="常规 9 3 7 3 2" xfId="2634" xr:uid="{00000000-0005-0000-0000-000010AB0000}"/>
    <cellStyle name="常规 9 3 7 3 2 2" xfId="5710" xr:uid="{00000000-0005-0000-0000-000011AB0000}"/>
    <cellStyle name="常规 9 3 7 3 2 2 2" xfId="11854" xr:uid="{00000000-0005-0000-0000-000012AB0000}"/>
    <cellStyle name="常规 9 3 7 3 2 2 2 2" xfId="24142" xr:uid="{00000000-0005-0000-0000-000013AB0000}"/>
    <cellStyle name="常规 9 3 7 3 2 2 2 2 2" xfId="48718" xr:uid="{00000000-0005-0000-0000-000014AB0000}"/>
    <cellStyle name="常规 9 3 7 3 2 2 2 3" xfId="36430" xr:uid="{00000000-0005-0000-0000-000015AB0000}"/>
    <cellStyle name="常规 9 3 7 3 2 2 3" xfId="17998" xr:uid="{00000000-0005-0000-0000-000016AB0000}"/>
    <cellStyle name="常规 9 3 7 3 2 2 3 2" xfId="42574" xr:uid="{00000000-0005-0000-0000-000017AB0000}"/>
    <cellStyle name="常规 9 3 7 3 2 2 4" xfId="30286" xr:uid="{00000000-0005-0000-0000-000018AB0000}"/>
    <cellStyle name="常规 9 3 7 3 2 3" xfId="8782" xr:uid="{00000000-0005-0000-0000-000019AB0000}"/>
    <cellStyle name="常规 9 3 7 3 2 3 2" xfId="21070" xr:uid="{00000000-0005-0000-0000-00001AAB0000}"/>
    <cellStyle name="常规 9 3 7 3 2 3 2 2" xfId="45646" xr:uid="{00000000-0005-0000-0000-00001BAB0000}"/>
    <cellStyle name="常规 9 3 7 3 2 3 3" xfId="33358" xr:uid="{00000000-0005-0000-0000-00001CAB0000}"/>
    <cellStyle name="常规 9 3 7 3 2 4" xfId="14926" xr:uid="{00000000-0005-0000-0000-00001DAB0000}"/>
    <cellStyle name="常规 9 3 7 3 2 4 2" xfId="39502" xr:uid="{00000000-0005-0000-0000-00001EAB0000}"/>
    <cellStyle name="常规 9 3 7 3 2 5" xfId="27214" xr:uid="{00000000-0005-0000-0000-00001FAB0000}"/>
    <cellStyle name="常规 9 3 7 3 3" xfId="4174" xr:uid="{00000000-0005-0000-0000-000020AB0000}"/>
    <cellStyle name="常规 9 3 7 3 3 2" xfId="10318" xr:uid="{00000000-0005-0000-0000-000021AB0000}"/>
    <cellStyle name="常规 9 3 7 3 3 2 2" xfId="22606" xr:uid="{00000000-0005-0000-0000-000022AB0000}"/>
    <cellStyle name="常规 9 3 7 3 3 2 2 2" xfId="47182" xr:uid="{00000000-0005-0000-0000-000023AB0000}"/>
    <cellStyle name="常规 9 3 7 3 3 2 3" xfId="34894" xr:uid="{00000000-0005-0000-0000-000024AB0000}"/>
    <cellStyle name="常规 9 3 7 3 3 3" xfId="16462" xr:uid="{00000000-0005-0000-0000-000025AB0000}"/>
    <cellStyle name="常规 9 3 7 3 3 3 2" xfId="41038" xr:uid="{00000000-0005-0000-0000-000026AB0000}"/>
    <cellStyle name="常规 9 3 7 3 3 4" xfId="28750" xr:uid="{00000000-0005-0000-0000-000027AB0000}"/>
    <cellStyle name="常规 9 3 7 3 4" xfId="7246" xr:uid="{00000000-0005-0000-0000-000028AB0000}"/>
    <cellStyle name="常规 9 3 7 3 4 2" xfId="19534" xr:uid="{00000000-0005-0000-0000-000029AB0000}"/>
    <cellStyle name="常规 9 3 7 3 4 2 2" xfId="44110" xr:uid="{00000000-0005-0000-0000-00002AAB0000}"/>
    <cellStyle name="常规 9 3 7 3 4 3" xfId="31822" xr:uid="{00000000-0005-0000-0000-00002BAB0000}"/>
    <cellStyle name="常规 9 3 7 3 5" xfId="13390" xr:uid="{00000000-0005-0000-0000-00002CAB0000}"/>
    <cellStyle name="常规 9 3 7 3 5 2" xfId="37966" xr:uid="{00000000-0005-0000-0000-00002DAB0000}"/>
    <cellStyle name="常规 9 3 7 3 6" xfId="25678" xr:uid="{00000000-0005-0000-0000-00002EAB0000}"/>
    <cellStyle name="常规 9 3 7 4" xfId="1866" xr:uid="{00000000-0005-0000-0000-00002FAB0000}"/>
    <cellStyle name="常规 9 3 7 4 2" xfId="4942" xr:uid="{00000000-0005-0000-0000-000030AB0000}"/>
    <cellStyle name="常规 9 3 7 4 2 2" xfId="11086" xr:uid="{00000000-0005-0000-0000-000031AB0000}"/>
    <cellStyle name="常规 9 3 7 4 2 2 2" xfId="23374" xr:uid="{00000000-0005-0000-0000-000032AB0000}"/>
    <cellStyle name="常规 9 3 7 4 2 2 2 2" xfId="47950" xr:uid="{00000000-0005-0000-0000-000033AB0000}"/>
    <cellStyle name="常规 9 3 7 4 2 2 3" xfId="35662" xr:uid="{00000000-0005-0000-0000-000034AB0000}"/>
    <cellStyle name="常规 9 3 7 4 2 3" xfId="17230" xr:uid="{00000000-0005-0000-0000-000035AB0000}"/>
    <cellStyle name="常规 9 3 7 4 2 3 2" xfId="41806" xr:uid="{00000000-0005-0000-0000-000036AB0000}"/>
    <cellStyle name="常规 9 3 7 4 2 4" xfId="29518" xr:uid="{00000000-0005-0000-0000-000037AB0000}"/>
    <cellStyle name="常规 9 3 7 4 3" xfId="8014" xr:uid="{00000000-0005-0000-0000-000038AB0000}"/>
    <cellStyle name="常规 9 3 7 4 3 2" xfId="20302" xr:uid="{00000000-0005-0000-0000-000039AB0000}"/>
    <cellStyle name="常规 9 3 7 4 3 2 2" xfId="44878" xr:uid="{00000000-0005-0000-0000-00003AAB0000}"/>
    <cellStyle name="常规 9 3 7 4 3 3" xfId="32590" xr:uid="{00000000-0005-0000-0000-00003BAB0000}"/>
    <cellStyle name="常规 9 3 7 4 4" xfId="14158" xr:uid="{00000000-0005-0000-0000-00003CAB0000}"/>
    <cellStyle name="常规 9 3 7 4 4 2" xfId="38734" xr:uid="{00000000-0005-0000-0000-00003DAB0000}"/>
    <cellStyle name="常规 9 3 7 4 5" xfId="26446" xr:uid="{00000000-0005-0000-0000-00003EAB0000}"/>
    <cellStyle name="常规 9 3 7 5" xfId="3406" xr:uid="{00000000-0005-0000-0000-00003FAB0000}"/>
    <cellStyle name="常规 9 3 7 5 2" xfId="9550" xr:uid="{00000000-0005-0000-0000-000040AB0000}"/>
    <cellStyle name="常规 9 3 7 5 2 2" xfId="21838" xr:uid="{00000000-0005-0000-0000-000041AB0000}"/>
    <cellStyle name="常规 9 3 7 5 2 2 2" xfId="46414" xr:uid="{00000000-0005-0000-0000-000042AB0000}"/>
    <cellStyle name="常规 9 3 7 5 2 3" xfId="34126" xr:uid="{00000000-0005-0000-0000-000043AB0000}"/>
    <cellStyle name="常规 9 3 7 5 3" xfId="15694" xr:uid="{00000000-0005-0000-0000-000044AB0000}"/>
    <cellStyle name="常规 9 3 7 5 3 2" xfId="40270" xr:uid="{00000000-0005-0000-0000-000045AB0000}"/>
    <cellStyle name="常规 9 3 7 5 4" xfId="27982" xr:uid="{00000000-0005-0000-0000-000046AB0000}"/>
    <cellStyle name="常规 9 3 7 6" xfId="6478" xr:uid="{00000000-0005-0000-0000-000047AB0000}"/>
    <cellStyle name="常规 9 3 7 6 2" xfId="18766" xr:uid="{00000000-0005-0000-0000-000048AB0000}"/>
    <cellStyle name="常规 9 3 7 6 2 2" xfId="43342" xr:uid="{00000000-0005-0000-0000-000049AB0000}"/>
    <cellStyle name="常规 9 3 7 6 3" xfId="31054" xr:uid="{00000000-0005-0000-0000-00004AAB0000}"/>
    <cellStyle name="常规 9 3 7 7" xfId="12622" xr:uid="{00000000-0005-0000-0000-00004BAB0000}"/>
    <cellStyle name="常规 9 3 7 7 2" xfId="37198" xr:uid="{00000000-0005-0000-0000-00004CAB0000}"/>
    <cellStyle name="常规 9 3 7 8" xfId="24910" xr:uid="{00000000-0005-0000-0000-00004DAB0000}"/>
    <cellStyle name="常规 9 3 8" xfId="522" xr:uid="{00000000-0005-0000-0000-00004EAB0000}"/>
    <cellStyle name="常规 9 3 8 2" xfId="1290" xr:uid="{00000000-0005-0000-0000-00004FAB0000}"/>
    <cellStyle name="常规 9 3 8 2 2" xfId="2826" xr:uid="{00000000-0005-0000-0000-000050AB0000}"/>
    <cellStyle name="常规 9 3 8 2 2 2" xfId="5902" xr:uid="{00000000-0005-0000-0000-000051AB0000}"/>
    <cellStyle name="常规 9 3 8 2 2 2 2" xfId="12046" xr:uid="{00000000-0005-0000-0000-000052AB0000}"/>
    <cellStyle name="常规 9 3 8 2 2 2 2 2" xfId="24334" xr:uid="{00000000-0005-0000-0000-000053AB0000}"/>
    <cellStyle name="常规 9 3 8 2 2 2 2 2 2" xfId="48910" xr:uid="{00000000-0005-0000-0000-000054AB0000}"/>
    <cellStyle name="常规 9 3 8 2 2 2 2 3" xfId="36622" xr:uid="{00000000-0005-0000-0000-000055AB0000}"/>
    <cellStyle name="常规 9 3 8 2 2 2 3" xfId="18190" xr:uid="{00000000-0005-0000-0000-000056AB0000}"/>
    <cellStyle name="常规 9 3 8 2 2 2 3 2" xfId="42766" xr:uid="{00000000-0005-0000-0000-000057AB0000}"/>
    <cellStyle name="常规 9 3 8 2 2 2 4" xfId="30478" xr:uid="{00000000-0005-0000-0000-000058AB0000}"/>
    <cellStyle name="常规 9 3 8 2 2 3" xfId="8974" xr:uid="{00000000-0005-0000-0000-000059AB0000}"/>
    <cellStyle name="常规 9 3 8 2 2 3 2" xfId="21262" xr:uid="{00000000-0005-0000-0000-00005AAB0000}"/>
    <cellStyle name="常规 9 3 8 2 2 3 2 2" xfId="45838" xr:uid="{00000000-0005-0000-0000-00005BAB0000}"/>
    <cellStyle name="常规 9 3 8 2 2 3 3" xfId="33550" xr:uid="{00000000-0005-0000-0000-00005CAB0000}"/>
    <cellStyle name="常规 9 3 8 2 2 4" xfId="15118" xr:uid="{00000000-0005-0000-0000-00005DAB0000}"/>
    <cellStyle name="常规 9 3 8 2 2 4 2" xfId="39694" xr:uid="{00000000-0005-0000-0000-00005EAB0000}"/>
    <cellStyle name="常规 9 3 8 2 2 5" xfId="27406" xr:uid="{00000000-0005-0000-0000-00005FAB0000}"/>
    <cellStyle name="常规 9 3 8 2 3" xfId="4366" xr:uid="{00000000-0005-0000-0000-000060AB0000}"/>
    <cellStyle name="常规 9 3 8 2 3 2" xfId="10510" xr:uid="{00000000-0005-0000-0000-000061AB0000}"/>
    <cellStyle name="常规 9 3 8 2 3 2 2" xfId="22798" xr:uid="{00000000-0005-0000-0000-000062AB0000}"/>
    <cellStyle name="常规 9 3 8 2 3 2 2 2" xfId="47374" xr:uid="{00000000-0005-0000-0000-000063AB0000}"/>
    <cellStyle name="常规 9 3 8 2 3 2 3" xfId="35086" xr:uid="{00000000-0005-0000-0000-000064AB0000}"/>
    <cellStyle name="常规 9 3 8 2 3 3" xfId="16654" xr:uid="{00000000-0005-0000-0000-000065AB0000}"/>
    <cellStyle name="常规 9 3 8 2 3 3 2" xfId="41230" xr:uid="{00000000-0005-0000-0000-000066AB0000}"/>
    <cellStyle name="常规 9 3 8 2 3 4" xfId="28942" xr:uid="{00000000-0005-0000-0000-000067AB0000}"/>
    <cellStyle name="常规 9 3 8 2 4" xfId="7438" xr:uid="{00000000-0005-0000-0000-000068AB0000}"/>
    <cellStyle name="常规 9 3 8 2 4 2" xfId="19726" xr:uid="{00000000-0005-0000-0000-000069AB0000}"/>
    <cellStyle name="常规 9 3 8 2 4 2 2" xfId="44302" xr:uid="{00000000-0005-0000-0000-00006AAB0000}"/>
    <cellStyle name="常规 9 3 8 2 4 3" xfId="32014" xr:uid="{00000000-0005-0000-0000-00006BAB0000}"/>
    <cellStyle name="常规 9 3 8 2 5" xfId="13582" xr:uid="{00000000-0005-0000-0000-00006CAB0000}"/>
    <cellStyle name="常规 9 3 8 2 5 2" xfId="38158" xr:uid="{00000000-0005-0000-0000-00006DAB0000}"/>
    <cellStyle name="常规 9 3 8 2 6" xfId="25870" xr:uid="{00000000-0005-0000-0000-00006EAB0000}"/>
    <cellStyle name="常规 9 3 8 3" xfId="2058" xr:uid="{00000000-0005-0000-0000-00006FAB0000}"/>
    <cellStyle name="常规 9 3 8 3 2" xfId="5134" xr:uid="{00000000-0005-0000-0000-000070AB0000}"/>
    <cellStyle name="常规 9 3 8 3 2 2" xfId="11278" xr:uid="{00000000-0005-0000-0000-000071AB0000}"/>
    <cellStyle name="常规 9 3 8 3 2 2 2" xfId="23566" xr:uid="{00000000-0005-0000-0000-000072AB0000}"/>
    <cellStyle name="常规 9 3 8 3 2 2 2 2" xfId="48142" xr:uid="{00000000-0005-0000-0000-000073AB0000}"/>
    <cellStyle name="常规 9 3 8 3 2 2 3" xfId="35854" xr:uid="{00000000-0005-0000-0000-000074AB0000}"/>
    <cellStyle name="常规 9 3 8 3 2 3" xfId="17422" xr:uid="{00000000-0005-0000-0000-000075AB0000}"/>
    <cellStyle name="常规 9 3 8 3 2 3 2" xfId="41998" xr:uid="{00000000-0005-0000-0000-000076AB0000}"/>
    <cellStyle name="常规 9 3 8 3 2 4" xfId="29710" xr:uid="{00000000-0005-0000-0000-000077AB0000}"/>
    <cellStyle name="常规 9 3 8 3 3" xfId="8206" xr:uid="{00000000-0005-0000-0000-000078AB0000}"/>
    <cellStyle name="常规 9 3 8 3 3 2" xfId="20494" xr:uid="{00000000-0005-0000-0000-000079AB0000}"/>
    <cellStyle name="常规 9 3 8 3 3 2 2" xfId="45070" xr:uid="{00000000-0005-0000-0000-00007AAB0000}"/>
    <cellStyle name="常规 9 3 8 3 3 3" xfId="32782" xr:uid="{00000000-0005-0000-0000-00007BAB0000}"/>
    <cellStyle name="常规 9 3 8 3 4" xfId="14350" xr:uid="{00000000-0005-0000-0000-00007CAB0000}"/>
    <cellStyle name="常规 9 3 8 3 4 2" xfId="38926" xr:uid="{00000000-0005-0000-0000-00007DAB0000}"/>
    <cellStyle name="常规 9 3 8 3 5" xfId="26638" xr:uid="{00000000-0005-0000-0000-00007EAB0000}"/>
    <cellStyle name="常规 9 3 8 4" xfId="3598" xr:uid="{00000000-0005-0000-0000-00007FAB0000}"/>
    <cellStyle name="常规 9 3 8 4 2" xfId="9742" xr:uid="{00000000-0005-0000-0000-000080AB0000}"/>
    <cellStyle name="常规 9 3 8 4 2 2" xfId="22030" xr:uid="{00000000-0005-0000-0000-000081AB0000}"/>
    <cellStyle name="常规 9 3 8 4 2 2 2" xfId="46606" xr:uid="{00000000-0005-0000-0000-000082AB0000}"/>
    <cellStyle name="常规 9 3 8 4 2 3" xfId="34318" xr:uid="{00000000-0005-0000-0000-000083AB0000}"/>
    <cellStyle name="常规 9 3 8 4 3" xfId="15886" xr:uid="{00000000-0005-0000-0000-000084AB0000}"/>
    <cellStyle name="常规 9 3 8 4 3 2" xfId="40462" xr:uid="{00000000-0005-0000-0000-000085AB0000}"/>
    <cellStyle name="常规 9 3 8 4 4" xfId="28174" xr:uid="{00000000-0005-0000-0000-000086AB0000}"/>
    <cellStyle name="常规 9 3 8 5" xfId="6670" xr:uid="{00000000-0005-0000-0000-000087AB0000}"/>
    <cellStyle name="常规 9 3 8 5 2" xfId="18958" xr:uid="{00000000-0005-0000-0000-000088AB0000}"/>
    <cellStyle name="常规 9 3 8 5 2 2" xfId="43534" xr:uid="{00000000-0005-0000-0000-000089AB0000}"/>
    <cellStyle name="常规 9 3 8 5 3" xfId="31246" xr:uid="{00000000-0005-0000-0000-00008AAB0000}"/>
    <cellStyle name="常规 9 3 8 6" xfId="12814" xr:uid="{00000000-0005-0000-0000-00008BAB0000}"/>
    <cellStyle name="常规 9 3 8 6 2" xfId="37390" xr:uid="{00000000-0005-0000-0000-00008CAB0000}"/>
    <cellStyle name="常规 9 3 8 7" xfId="25102" xr:uid="{00000000-0005-0000-0000-00008DAB0000}"/>
    <cellStyle name="常规 9 3 9" xfId="906" xr:uid="{00000000-0005-0000-0000-00008EAB0000}"/>
    <cellStyle name="常规 9 3 9 2" xfId="2442" xr:uid="{00000000-0005-0000-0000-00008FAB0000}"/>
    <cellStyle name="常规 9 3 9 2 2" xfId="5518" xr:uid="{00000000-0005-0000-0000-000090AB0000}"/>
    <cellStyle name="常规 9 3 9 2 2 2" xfId="11662" xr:uid="{00000000-0005-0000-0000-000091AB0000}"/>
    <cellStyle name="常规 9 3 9 2 2 2 2" xfId="23950" xr:uid="{00000000-0005-0000-0000-000092AB0000}"/>
    <cellStyle name="常规 9 3 9 2 2 2 2 2" xfId="48526" xr:uid="{00000000-0005-0000-0000-000093AB0000}"/>
    <cellStyle name="常规 9 3 9 2 2 2 3" xfId="36238" xr:uid="{00000000-0005-0000-0000-000094AB0000}"/>
    <cellStyle name="常规 9 3 9 2 2 3" xfId="17806" xr:uid="{00000000-0005-0000-0000-000095AB0000}"/>
    <cellStyle name="常规 9 3 9 2 2 3 2" xfId="42382" xr:uid="{00000000-0005-0000-0000-000096AB0000}"/>
    <cellStyle name="常规 9 3 9 2 2 4" xfId="30094" xr:uid="{00000000-0005-0000-0000-000097AB0000}"/>
    <cellStyle name="常规 9 3 9 2 3" xfId="8590" xr:uid="{00000000-0005-0000-0000-000098AB0000}"/>
    <cellStyle name="常规 9 3 9 2 3 2" xfId="20878" xr:uid="{00000000-0005-0000-0000-000099AB0000}"/>
    <cellStyle name="常规 9 3 9 2 3 2 2" xfId="45454" xr:uid="{00000000-0005-0000-0000-00009AAB0000}"/>
    <cellStyle name="常规 9 3 9 2 3 3" xfId="33166" xr:uid="{00000000-0005-0000-0000-00009BAB0000}"/>
    <cellStyle name="常规 9 3 9 2 4" xfId="14734" xr:uid="{00000000-0005-0000-0000-00009CAB0000}"/>
    <cellStyle name="常规 9 3 9 2 4 2" xfId="39310" xr:uid="{00000000-0005-0000-0000-00009DAB0000}"/>
    <cellStyle name="常规 9 3 9 2 5" xfId="27022" xr:uid="{00000000-0005-0000-0000-00009EAB0000}"/>
    <cellStyle name="常规 9 3 9 3" xfId="3982" xr:uid="{00000000-0005-0000-0000-00009FAB0000}"/>
    <cellStyle name="常规 9 3 9 3 2" xfId="10126" xr:uid="{00000000-0005-0000-0000-0000A0AB0000}"/>
    <cellStyle name="常规 9 3 9 3 2 2" xfId="22414" xr:uid="{00000000-0005-0000-0000-0000A1AB0000}"/>
    <cellStyle name="常规 9 3 9 3 2 2 2" xfId="46990" xr:uid="{00000000-0005-0000-0000-0000A2AB0000}"/>
    <cellStyle name="常规 9 3 9 3 2 3" xfId="34702" xr:uid="{00000000-0005-0000-0000-0000A3AB0000}"/>
    <cellStyle name="常规 9 3 9 3 3" xfId="16270" xr:uid="{00000000-0005-0000-0000-0000A4AB0000}"/>
    <cellStyle name="常规 9 3 9 3 3 2" xfId="40846" xr:uid="{00000000-0005-0000-0000-0000A5AB0000}"/>
    <cellStyle name="常规 9 3 9 3 4" xfId="28558" xr:uid="{00000000-0005-0000-0000-0000A6AB0000}"/>
    <cellStyle name="常规 9 3 9 4" xfId="7054" xr:uid="{00000000-0005-0000-0000-0000A7AB0000}"/>
    <cellStyle name="常规 9 3 9 4 2" xfId="19342" xr:uid="{00000000-0005-0000-0000-0000A8AB0000}"/>
    <cellStyle name="常规 9 3 9 4 2 2" xfId="43918" xr:uid="{00000000-0005-0000-0000-0000A9AB0000}"/>
    <cellStyle name="常规 9 3 9 4 3" xfId="31630" xr:uid="{00000000-0005-0000-0000-0000AAAB0000}"/>
    <cellStyle name="常规 9 3 9 5" xfId="13198" xr:uid="{00000000-0005-0000-0000-0000ABAB0000}"/>
    <cellStyle name="常规 9 3 9 5 2" xfId="37774" xr:uid="{00000000-0005-0000-0000-0000ACAB0000}"/>
    <cellStyle name="常规 9 3 9 6" xfId="25486" xr:uid="{00000000-0005-0000-0000-0000ADAB0000}"/>
    <cellStyle name="常规 9 4" xfId="101" xr:uid="{00000000-0005-0000-0000-0000AEAB0000}"/>
    <cellStyle name="常规 9 4 10" xfId="3218" xr:uid="{00000000-0005-0000-0000-0000AFAB0000}"/>
    <cellStyle name="常规 9 4 10 2" xfId="9362" xr:uid="{00000000-0005-0000-0000-0000B0AB0000}"/>
    <cellStyle name="常规 9 4 10 2 2" xfId="21650" xr:uid="{00000000-0005-0000-0000-0000B1AB0000}"/>
    <cellStyle name="常规 9 4 10 2 2 2" xfId="46226" xr:uid="{00000000-0005-0000-0000-0000B2AB0000}"/>
    <cellStyle name="常规 9 4 10 2 3" xfId="33938" xr:uid="{00000000-0005-0000-0000-0000B3AB0000}"/>
    <cellStyle name="常规 9 4 10 3" xfId="15506" xr:uid="{00000000-0005-0000-0000-0000B4AB0000}"/>
    <cellStyle name="常规 9 4 10 3 2" xfId="40082" xr:uid="{00000000-0005-0000-0000-0000B5AB0000}"/>
    <cellStyle name="常规 9 4 10 4" xfId="27794" xr:uid="{00000000-0005-0000-0000-0000B6AB0000}"/>
    <cellStyle name="常规 9 4 11" xfId="6290" xr:uid="{00000000-0005-0000-0000-0000B7AB0000}"/>
    <cellStyle name="常规 9 4 11 2" xfId="18578" xr:uid="{00000000-0005-0000-0000-0000B8AB0000}"/>
    <cellStyle name="常规 9 4 11 2 2" xfId="43154" xr:uid="{00000000-0005-0000-0000-0000B9AB0000}"/>
    <cellStyle name="常规 9 4 11 3" xfId="30866" xr:uid="{00000000-0005-0000-0000-0000BAAB0000}"/>
    <cellStyle name="常规 9 4 12" xfId="12434" xr:uid="{00000000-0005-0000-0000-0000BBAB0000}"/>
    <cellStyle name="常规 9 4 12 2" xfId="37010" xr:uid="{00000000-0005-0000-0000-0000BCAB0000}"/>
    <cellStyle name="常规 9 4 13" xfId="24722" xr:uid="{00000000-0005-0000-0000-0000BDAB0000}"/>
    <cellStyle name="常规 9 4 2" xfId="117" xr:uid="{00000000-0005-0000-0000-0000BEAB0000}"/>
    <cellStyle name="常规 9 4 2 10" xfId="6306" xr:uid="{00000000-0005-0000-0000-0000BFAB0000}"/>
    <cellStyle name="常规 9 4 2 10 2" xfId="18594" xr:uid="{00000000-0005-0000-0000-0000C0AB0000}"/>
    <cellStyle name="常规 9 4 2 10 2 2" xfId="43170" xr:uid="{00000000-0005-0000-0000-0000C1AB0000}"/>
    <cellStyle name="常规 9 4 2 10 3" xfId="30882" xr:uid="{00000000-0005-0000-0000-0000C2AB0000}"/>
    <cellStyle name="常规 9 4 2 11" xfId="12450" xr:uid="{00000000-0005-0000-0000-0000C3AB0000}"/>
    <cellStyle name="常规 9 4 2 11 2" xfId="37026" xr:uid="{00000000-0005-0000-0000-0000C4AB0000}"/>
    <cellStyle name="常规 9 4 2 12" xfId="24738" xr:uid="{00000000-0005-0000-0000-0000C5AB0000}"/>
    <cellStyle name="常规 9 4 2 2" xfId="189" xr:uid="{00000000-0005-0000-0000-0000C6AB0000}"/>
    <cellStyle name="常规 9 4 2 2 10" xfId="12482" xr:uid="{00000000-0005-0000-0000-0000C7AB0000}"/>
    <cellStyle name="常规 9 4 2 2 10 2" xfId="37058" xr:uid="{00000000-0005-0000-0000-0000C8AB0000}"/>
    <cellStyle name="常规 9 4 2 2 11" xfId="24770" xr:uid="{00000000-0005-0000-0000-0000C9AB0000}"/>
    <cellStyle name="常规 9 4 2 2 2" xfId="254" xr:uid="{00000000-0005-0000-0000-0000CAAB0000}"/>
    <cellStyle name="常规 9 4 2 2 2 2" xfId="446" xr:uid="{00000000-0005-0000-0000-0000CBAB0000}"/>
    <cellStyle name="常规 9 4 2 2 2 2 2" xfId="830" xr:uid="{00000000-0005-0000-0000-0000CCAB0000}"/>
    <cellStyle name="常规 9 4 2 2 2 2 2 2" xfId="1598" xr:uid="{00000000-0005-0000-0000-0000CDAB0000}"/>
    <cellStyle name="常规 9 4 2 2 2 2 2 2 2" xfId="3134" xr:uid="{00000000-0005-0000-0000-0000CEAB0000}"/>
    <cellStyle name="常规 9 4 2 2 2 2 2 2 2 2" xfId="6210" xr:uid="{00000000-0005-0000-0000-0000CFAB0000}"/>
    <cellStyle name="常规 9 4 2 2 2 2 2 2 2 2 2" xfId="12354" xr:uid="{00000000-0005-0000-0000-0000D0AB0000}"/>
    <cellStyle name="常规 9 4 2 2 2 2 2 2 2 2 2 2" xfId="24642" xr:uid="{00000000-0005-0000-0000-0000D1AB0000}"/>
    <cellStyle name="常规 9 4 2 2 2 2 2 2 2 2 2 2 2" xfId="49218" xr:uid="{00000000-0005-0000-0000-0000D2AB0000}"/>
    <cellStyle name="常规 9 4 2 2 2 2 2 2 2 2 2 3" xfId="36930" xr:uid="{00000000-0005-0000-0000-0000D3AB0000}"/>
    <cellStyle name="常规 9 4 2 2 2 2 2 2 2 2 3" xfId="18498" xr:uid="{00000000-0005-0000-0000-0000D4AB0000}"/>
    <cellStyle name="常规 9 4 2 2 2 2 2 2 2 2 3 2" xfId="43074" xr:uid="{00000000-0005-0000-0000-0000D5AB0000}"/>
    <cellStyle name="常规 9 4 2 2 2 2 2 2 2 2 4" xfId="30786" xr:uid="{00000000-0005-0000-0000-0000D6AB0000}"/>
    <cellStyle name="常规 9 4 2 2 2 2 2 2 2 3" xfId="9282" xr:uid="{00000000-0005-0000-0000-0000D7AB0000}"/>
    <cellStyle name="常规 9 4 2 2 2 2 2 2 2 3 2" xfId="21570" xr:uid="{00000000-0005-0000-0000-0000D8AB0000}"/>
    <cellStyle name="常规 9 4 2 2 2 2 2 2 2 3 2 2" xfId="46146" xr:uid="{00000000-0005-0000-0000-0000D9AB0000}"/>
    <cellStyle name="常规 9 4 2 2 2 2 2 2 2 3 3" xfId="33858" xr:uid="{00000000-0005-0000-0000-0000DAAB0000}"/>
    <cellStyle name="常规 9 4 2 2 2 2 2 2 2 4" xfId="15426" xr:uid="{00000000-0005-0000-0000-0000DBAB0000}"/>
    <cellStyle name="常规 9 4 2 2 2 2 2 2 2 4 2" xfId="40002" xr:uid="{00000000-0005-0000-0000-0000DCAB0000}"/>
    <cellStyle name="常规 9 4 2 2 2 2 2 2 2 5" xfId="27714" xr:uid="{00000000-0005-0000-0000-0000DDAB0000}"/>
    <cellStyle name="常规 9 4 2 2 2 2 2 2 3" xfId="4674" xr:uid="{00000000-0005-0000-0000-0000DEAB0000}"/>
    <cellStyle name="常规 9 4 2 2 2 2 2 2 3 2" xfId="10818" xr:uid="{00000000-0005-0000-0000-0000DFAB0000}"/>
    <cellStyle name="常规 9 4 2 2 2 2 2 2 3 2 2" xfId="23106" xr:uid="{00000000-0005-0000-0000-0000E0AB0000}"/>
    <cellStyle name="常规 9 4 2 2 2 2 2 2 3 2 2 2" xfId="47682" xr:uid="{00000000-0005-0000-0000-0000E1AB0000}"/>
    <cellStyle name="常规 9 4 2 2 2 2 2 2 3 2 3" xfId="35394" xr:uid="{00000000-0005-0000-0000-0000E2AB0000}"/>
    <cellStyle name="常规 9 4 2 2 2 2 2 2 3 3" xfId="16962" xr:uid="{00000000-0005-0000-0000-0000E3AB0000}"/>
    <cellStyle name="常规 9 4 2 2 2 2 2 2 3 3 2" xfId="41538" xr:uid="{00000000-0005-0000-0000-0000E4AB0000}"/>
    <cellStyle name="常规 9 4 2 2 2 2 2 2 3 4" xfId="29250" xr:uid="{00000000-0005-0000-0000-0000E5AB0000}"/>
    <cellStyle name="常规 9 4 2 2 2 2 2 2 4" xfId="7746" xr:uid="{00000000-0005-0000-0000-0000E6AB0000}"/>
    <cellStyle name="常规 9 4 2 2 2 2 2 2 4 2" xfId="20034" xr:uid="{00000000-0005-0000-0000-0000E7AB0000}"/>
    <cellStyle name="常规 9 4 2 2 2 2 2 2 4 2 2" xfId="44610" xr:uid="{00000000-0005-0000-0000-0000E8AB0000}"/>
    <cellStyle name="常规 9 4 2 2 2 2 2 2 4 3" xfId="32322" xr:uid="{00000000-0005-0000-0000-0000E9AB0000}"/>
    <cellStyle name="常规 9 4 2 2 2 2 2 2 5" xfId="13890" xr:uid="{00000000-0005-0000-0000-0000EAAB0000}"/>
    <cellStyle name="常规 9 4 2 2 2 2 2 2 5 2" xfId="38466" xr:uid="{00000000-0005-0000-0000-0000EBAB0000}"/>
    <cellStyle name="常规 9 4 2 2 2 2 2 2 6" xfId="26178" xr:uid="{00000000-0005-0000-0000-0000ECAB0000}"/>
    <cellStyle name="常规 9 4 2 2 2 2 2 3" xfId="2366" xr:uid="{00000000-0005-0000-0000-0000EDAB0000}"/>
    <cellStyle name="常规 9 4 2 2 2 2 2 3 2" xfId="5442" xr:uid="{00000000-0005-0000-0000-0000EEAB0000}"/>
    <cellStyle name="常规 9 4 2 2 2 2 2 3 2 2" xfId="11586" xr:uid="{00000000-0005-0000-0000-0000EFAB0000}"/>
    <cellStyle name="常规 9 4 2 2 2 2 2 3 2 2 2" xfId="23874" xr:uid="{00000000-0005-0000-0000-0000F0AB0000}"/>
    <cellStyle name="常规 9 4 2 2 2 2 2 3 2 2 2 2" xfId="48450" xr:uid="{00000000-0005-0000-0000-0000F1AB0000}"/>
    <cellStyle name="常规 9 4 2 2 2 2 2 3 2 2 3" xfId="36162" xr:uid="{00000000-0005-0000-0000-0000F2AB0000}"/>
    <cellStyle name="常规 9 4 2 2 2 2 2 3 2 3" xfId="17730" xr:uid="{00000000-0005-0000-0000-0000F3AB0000}"/>
    <cellStyle name="常规 9 4 2 2 2 2 2 3 2 3 2" xfId="42306" xr:uid="{00000000-0005-0000-0000-0000F4AB0000}"/>
    <cellStyle name="常规 9 4 2 2 2 2 2 3 2 4" xfId="30018" xr:uid="{00000000-0005-0000-0000-0000F5AB0000}"/>
    <cellStyle name="常规 9 4 2 2 2 2 2 3 3" xfId="8514" xr:uid="{00000000-0005-0000-0000-0000F6AB0000}"/>
    <cellStyle name="常规 9 4 2 2 2 2 2 3 3 2" xfId="20802" xr:uid="{00000000-0005-0000-0000-0000F7AB0000}"/>
    <cellStyle name="常规 9 4 2 2 2 2 2 3 3 2 2" xfId="45378" xr:uid="{00000000-0005-0000-0000-0000F8AB0000}"/>
    <cellStyle name="常规 9 4 2 2 2 2 2 3 3 3" xfId="33090" xr:uid="{00000000-0005-0000-0000-0000F9AB0000}"/>
    <cellStyle name="常规 9 4 2 2 2 2 2 3 4" xfId="14658" xr:uid="{00000000-0005-0000-0000-0000FAAB0000}"/>
    <cellStyle name="常规 9 4 2 2 2 2 2 3 4 2" xfId="39234" xr:uid="{00000000-0005-0000-0000-0000FBAB0000}"/>
    <cellStyle name="常规 9 4 2 2 2 2 2 3 5" xfId="26946" xr:uid="{00000000-0005-0000-0000-0000FCAB0000}"/>
    <cellStyle name="常规 9 4 2 2 2 2 2 4" xfId="3906" xr:uid="{00000000-0005-0000-0000-0000FDAB0000}"/>
    <cellStyle name="常规 9 4 2 2 2 2 2 4 2" xfId="10050" xr:uid="{00000000-0005-0000-0000-0000FEAB0000}"/>
    <cellStyle name="常规 9 4 2 2 2 2 2 4 2 2" xfId="22338" xr:uid="{00000000-0005-0000-0000-0000FFAB0000}"/>
    <cellStyle name="常规 9 4 2 2 2 2 2 4 2 2 2" xfId="46914" xr:uid="{00000000-0005-0000-0000-000000AC0000}"/>
    <cellStyle name="常规 9 4 2 2 2 2 2 4 2 3" xfId="34626" xr:uid="{00000000-0005-0000-0000-000001AC0000}"/>
    <cellStyle name="常规 9 4 2 2 2 2 2 4 3" xfId="16194" xr:uid="{00000000-0005-0000-0000-000002AC0000}"/>
    <cellStyle name="常规 9 4 2 2 2 2 2 4 3 2" xfId="40770" xr:uid="{00000000-0005-0000-0000-000003AC0000}"/>
    <cellStyle name="常规 9 4 2 2 2 2 2 4 4" xfId="28482" xr:uid="{00000000-0005-0000-0000-000004AC0000}"/>
    <cellStyle name="常规 9 4 2 2 2 2 2 5" xfId="6978" xr:uid="{00000000-0005-0000-0000-000005AC0000}"/>
    <cellStyle name="常规 9 4 2 2 2 2 2 5 2" xfId="19266" xr:uid="{00000000-0005-0000-0000-000006AC0000}"/>
    <cellStyle name="常规 9 4 2 2 2 2 2 5 2 2" xfId="43842" xr:uid="{00000000-0005-0000-0000-000007AC0000}"/>
    <cellStyle name="常规 9 4 2 2 2 2 2 5 3" xfId="31554" xr:uid="{00000000-0005-0000-0000-000008AC0000}"/>
    <cellStyle name="常规 9 4 2 2 2 2 2 6" xfId="13122" xr:uid="{00000000-0005-0000-0000-000009AC0000}"/>
    <cellStyle name="常规 9 4 2 2 2 2 2 6 2" xfId="37698" xr:uid="{00000000-0005-0000-0000-00000AAC0000}"/>
    <cellStyle name="常规 9 4 2 2 2 2 2 7" xfId="25410" xr:uid="{00000000-0005-0000-0000-00000BAC0000}"/>
    <cellStyle name="常规 9 4 2 2 2 2 3" xfId="1214" xr:uid="{00000000-0005-0000-0000-00000CAC0000}"/>
    <cellStyle name="常规 9 4 2 2 2 2 3 2" xfId="2750" xr:uid="{00000000-0005-0000-0000-00000DAC0000}"/>
    <cellStyle name="常规 9 4 2 2 2 2 3 2 2" xfId="5826" xr:uid="{00000000-0005-0000-0000-00000EAC0000}"/>
    <cellStyle name="常规 9 4 2 2 2 2 3 2 2 2" xfId="11970" xr:uid="{00000000-0005-0000-0000-00000FAC0000}"/>
    <cellStyle name="常规 9 4 2 2 2 2 3 2 2 2 2" xfId="24258" xr:uid="{00000000-0005-0000-0000-000010AC0000}"/>
    <cellStyle name="常规 9 4 2 2 2 2 3 2 2 2 2 2" xfId="48834" xr:uid="{00000000-0005-0000-0000-000011AC0000}"/>
    <cellStyle name="常规 9 4 2 2 2 2 3 2 2 2 3" xfId="36546" xr:uid="{00000000-0005-0000-0000-000012AC0000}"/>
    <cellStyle name="常规 9 4 2 2 2 2 3 2 2 3" xfId="18114" xr:uid="{00000000-0005-0000-0000-000013AC0000}"/>
    <cellStyle name="常规 9 4 2 2 2 2 3 2 2 3 2" xfId="42690" xr:uid="{00000000-0005-0000-0000-000014AC0000}"/>
    <cellStyle name="常规 9 4 2 2 2 2 3 2 2 4" xfId="30402" xr:uid="{00000000-0005-0000-0000-000015AC0000}"/>
    <cellStyle name="常规 9 4 2 2 2 2 3 2 3" xfId="8898" xr:uid="{00000000-0005-0000-0000-000016AC0000}"/>
    <cellStyle name="常规 9 4 2 2 2 2 3 2 3 2" xfId="21186" xr:uid="{00000000-0005-0000-0000-000017AC0000}"/>
    <cellStyle name="常规 9 4 2 2 2 2 3 2 3 2 2" xfId="45762" xr:uid="{00000000-0005-0000-0000-000018AC0000}"/>
    <cellStyle name="常规 9 4 2 2 2 2 3 2 3 3" xfId="33474" xr:uid="{00000000-0005-0000-0000-000019AC0000}"/>
    <cellStyle name="常规 9 4 2 2 2 2 3 2 4" xfId="15042" xr:uid="{00000000-0005-0000-0000-00001AAC0000}"/>
    <cellStyle name="常规 9 4 2 2 2 2 3 2 4 2" xfId="39618" xr:uid="{00000000-0005-0000-0000-00001BAC0000}"/>
    <cellStyle name="常规 9 4 2 2 2 2 3 2 5" xfId="27330" xr:uid="{00000000-0005-0000-0000-00001CAC0000}"/>
    <cellStyle name="常规 9 4 2 2 2 2 3 3" xfId="4290" xr:uid="{00000000-0005-0000-0000-00001DAC0000}"/>
    <cellStyle name="常规 9 4 2 2 2 2 3 3 2" xfId="10434" xr:uid="{00000000-0005-0000-0000-00001EAC0000}"/>
    <cellStyle name="常规 9 4 2 2 2 2 3 3 2 2" xfId="22722" xr:uid="{00000000-0005-0000-0000-00001FAC0000}"/>
    <cellStyle name="常规 9 4 2 2 2 2 3 3 2 2 2" xfId="47298" xr:uid="{00000000-0005-0000-0000-000020AC0000}"/>
    <cellStyle name="常规 9 4 2 2 2 2 3 3 2 3" xfId="35010" xr:uid="{00000000-0005-0000-0000-000021AC0000}"/>
    <cellStyle name="常规 9 4 2 2 2 2 3 3 3" xfId="16578" xr:uid="{00000000-0005-0000-0000-000022AC0000}"/>
    <cellStyle name="常规 9 4 2 2 2 2 3 3 3 2" xfId="41154" xr:uid="{00000000-0005-0000-0000-000023AC0000}"/>
    <cellStyle name="常规 9 4 2 2 2 2 3 3 4" xfId="28866" xr:uid="{00000000-0005-0000-0000-000024AC0000}"/>
    <cellStyle name="常规 9 4 2 2 2 2 3 4" xfId="7362" xr:uid="{00000000-0005-0000-0000-000025AC0000}"/>
    <cellStyle name="常规 9 4 2 2 2 2 3 4 2" xfId="19650" xr:uid="{00000000-0005-0000-0000-000026AC0000}"/>
    <cellStyle name="常规 9 4 2 2 2 2 3 4 2 2" xfId="44226" xr:uid="{00000000-0005-0000-0000-000027AC0000}"/>
    <cellStyle name="常规 9 4 2 2 2 2 3 4 3" xfId="31938" xr:uid="{00000000-0005-0000-0000-000028AC0000}"/>
    <cellStyle name="常规 9 4 2 2 2 2 3 5" xfId="13506" xr:uid="{00000000-0005-0000-0000-000029AC0000}"/>
    <cellStyle name="常规 9 4 2 2 2 2 3 5 2" xfId="38082" xr:uid="{00000000-0005-0000-0000-00002AAC0000}"/>
    <cellStyle name="常规 9 4 2 2 2 2 3 6" xfId="25794" xr:uid="{00000000-0005-0000-0000-00002BAC0000}"/>
    <cellStyle name="常规 9 4 2 2 2 2 4" xfId="1982" xr:uid="{00000000-0005-0000-0000-00002CAC0000}"/>
    <cellStyle name="常规 9 4 2 2 2 2 4 2" xfId="5058" xr:uid="{00000000-0005-0000-0000-00002DAC0000}"/>
    <cellStyle name="常规 9 4 2 2 2 2 4 2 2" xfId="11202" xr:uid="{00000000-0005-0000-0000-00002EAC0000}"/>
    <cellStyle name="常规 9 4 2 2 2 2 4 2 2 2" xfId="23490" xr:uid="{00000000-0005-0000-0000-00002FAC0000}"/>
    <cellStyle name="常规 9 4 2 2 2 2 4 2 2 2 2" xfId="48066" xr:uid="{00000000-0005-0000-0000-000030AC0000}"/>
    <cellStyle name="常规 9 4 2 2 2 2 4 2 2 3" xfId="35778" xr:uid="{00000000-0005-0000-0000-000031AC0000}"/>
    <cellStyle name="常规 9 4 2 2 2 2 4 2 3" xfId="17346" xr:uid="{00000000-0005-0000-0000-000032AC0000}"/>
    <cellStyle name="常规 9 4 2 2 2 2 4 2 3 2" xfId="41922" xr:uid="{00000000-0005-0000-0000-000033AC0000}"/>
    <cellStyle name="常规 9 4 2 2 2 2 4 2 4" xfId="29634" xr:uid="{00000000-0005-0000-0000-000034AC0000}"/>
    <cellStyle name="常规 9 4 2 2 2 2 4 3" xfId="8130" xr:uid="{00000000-0005-0000-0000-000035AC0000}"/>
    <cellStyle name="常规 9 4 2 2 2 2 4 3 2" xfId="20418" xr:uid="{00000000-0005-0000-0000-000036AC0000}"/>
    <cellStyle name="常规 9 4 2 2 2 2 4 3 2 2" xfId="44994" xr:uid="{00000000-0005-0000-0000-000037AC0000}"/>
    <cellStyle name="常规 9 4 2 2 2 2 4 3 3" xfId="32706" xr:uid="{00000000-0005-0000-0000-000038AC0000}"/>
    <cellStyle name="常规 9 4 2 2 2 2 4 4" xfId="14274" xr:uid="{00000000-0005-0000-0000-000039AC0000}"/>
    <cellStyle name="常规 9 4 2 2 2 2 4 4 2" xfId="38850" xr:uid="{00000000-0005-0000-0000-00003AAC0000}"/>
    <cellStyle name="常规 9 4 2 2 2 2 4 5" xfId="26562" xr:uid="{00000000-0005-0000-0000-00003BAC0000}"/>
    <cellStyle name="常规 9 4 2 2 2 2 5" xfId="3522" xr:uid="{00000000-0005-0000-0000-00003CAC0000}"/>
    <cellStyle name="常规 9 4 2 2 2 2 5 2" xfId="9666" xr:uid="{00000000-0005-0000-0000-00003DAC0000}"/>
    <cellStyle name="常规 9 4 2 2 2 2 5 2 2" xfId="21954" xr:uid="{00000000-0005-0000-0000-00003EAC0000}"/>
    <cellStyle name="常规 9 4 2 2 2 2 5 2 2 2" xfId="46530" xr:uid="{00000000-0005-0000-0000-00003FAC0000}"/>
    <cellStyle name="常规 9 4 2 2 2 2 5 2 3" xfId="34242" xr:uid="{00000000-0005-0000-0000-000040AC0000}"/>
    <cellStyle name="常规 9 4 2 2 2 2 5 3" xfId="15810" xr:uid="{00000000-0005-0000-0000-000041AC0000}"/>
    <cellStyle name="常规 9 4 2 2 2 2 5 3 2" xfId="40386" xr:uid="{00000000-0005-0000-0000-000042AC0000}"/>
    <cellStyle name="常规 9 4 2 2 2 2 5 4" xfId="28098" xr:uid="{00000000-0005-0000-0000-000043AC0000}"/>
    <cellStyle name="常规 9 4 2 2 2 2 6" xfId="6594" xr:uid="{00000000-0005-0000-0000-000044AC0000}"/>
    <cellStyle name="常规 9 4 2 2 2 2 6 2" xfId="18882" xr:uid="{00000000-0005-0000-0000-000045AC0000}"/>
    <cellStyle name="常规 9 4 2 2 2 2 6 2 2" xfId="43458" xr:uid="{00000000-0005-0000-0000-000046AC0000}"/>
    <cellStyle name="常规 9 4 2 2 2 2 6 3" xfId="31170" xr:uid="{00000000-0005-0000-0000-000047AC0000}"/>
    <cellStyle name="常规 9 4 2 2 2 2 7" xfId="12738" xr:uid="{00000000-0005-0000-0000-000048AC0000}"/>
    <cellStyle name="常规 9 4 2 2 2 2 7 2" xfId="37314" xr:uid="{00000000-0005-0000-0000-000049AC0000}"/>
    <cellStyle name="常规 9 4 2 2 2 2 8" xfId="25026" xr:uid="{00000000-0005-0000-0000-00004AAC0000}"/>
    <cellStyle name="常规 9 4 2 2 2 3" xfId="638" xr:uid="{00000000-0005-0000-0000-00004BAC0000}"/>
    <cellStyle name="常规 9 4 2 2 2 3 2" xfId="1406" xr:uid="{00000000-0005-0000-0000-00004CAC0000}"/>
    <cellStyle name="常规 9 4 2 2 2 3 2 2" xfId="2942" xr:uid="{00000000-0005-0000-0000-00004DAC0000}"/>
    <cellStyle name="常规 9 4 2 2 2 3 2 2 2" xfId="6018" xr:uid="{00000000-0005-0000-0000-00004EAC0000}"/>
    <cellStyle name="常规 9 4 2 2 2 3 2 2 2 2" xfId="12162" xr:uid="{00000000-0005-0000-0000-00004FAC0000}"/>
    <cellStyle name="常规 9 4 2 2 2 3 2 2 2 2 2" xfId="24450" xr:uid="{00000000-0005-0000-0000-000050AC0000}"/>
    <cellStyle name="常规 9 4 2 2 2 3 2 2 2 2 2 2" xfId="49026" xr:uid="{00000000-0005-0000-0000-000051AC0000}"/>
    <cellStyle name="常规 9 4 2 2 2 3 2 2 2 2 3" xfId="36738" xr:uid="{00000000-0005-0000-0000-000052AC0000}"/>
    <cellStyle name="常规 9 4 2 2 2 3 2 2 2 3" xfId="18306" xr:uid="{00000000-0005-0000-0000-000053AC0000}"/>
    <cellStyle name="常规 9 4 2 2 2 3 2 2 2 3 2" xfId="42882" xr:uid="{00000000-0005-0000-0000-000054AC0000}"/>
    <cellStyle name="常规 9 4 2 2 2 3 2 2 2 4" xfId="30594" xr:uid="{00000000-0005-0000-0000-000055AC0000}"/>
    <cellStyle name="常规 9 4 2 2 2 3 2 2 3" xfId="9090" xr:uid="{00000000-0005-0000-0000-000056AC0000}"/>
    <cellStyle name="常规 9 4 2 2 2 3 2 2 3 2" xfId="21378" xr:uid="{00000000-0005-0000-0000-000057AC0000}"/>
    <cellStyle name="常规 9 4 2 2 2 3 2 2 3 2 2" xfId="45954" xr:uid="{00000000-0005-0000-0000-000058AC0000}"/>
    <cellStyle name="常规 9 4 2 2 2 3 2 2 3 3" xfId="33666" xr:uid="{00000000-0005-0000-0000-000059AC0000}"/>
    <cellStyle name="常规 9 4 2 2 2 3 2 2 4" xfId="15234" xr:uid="{00000000-0005-0000-0000-00005AAC0000}"/>
    <cellStyle name="常规 9 4 2 2 2 3 2 2 4 2" xfId="39810" xr:uid="{00000000-0005-0000-0000-00005BAC0000}"/>
    <cellStyle name="常规 9 4 2 2 2 3 2 2 5" xfId="27522" xr:uid="{00000000-0005-0000-0000-00005CAC0000}"/>
    <cellStyle name="常规 9 4 2 2 2 3 2 3" xfId="4482" xr:uid="{00000000-0005-0000-0000-00005DAC0000}"/>
    <cellStyle name="常规 9 4 2 2 2 3 2 3 2" xfId="10626" xr:uid="{00000000-0005-0000-0000-00005EAC0000}"/>
    <cellStyle name="常规 9 4 2 2 2 3 2 3 2 2" xfId="22914" xr:uid="{00000000-0005-0000-0000-00005FAC0000}"/>
    <cellStyle name="常规 9 4 2 2 2 3 2 3 2 2 2" xfId="47490" xr:uid="{00000000-0005-0000-0000-000060AC0000}"/>
    <cellStyle name="常规 9 4 2 2 2 3 2 3 2 3" xfId="35202" xr:uid="{00000000-0005-0000-0000-000061AC0000}"/>
    <cellStyle name="常规 9 4 2 2 2 3 2 3 3" xfId="16770" xr:uid="{00000000-0005-0000-0000-000062AC0000}"/>
    <cellStyle name="常规 9 4 2 2 2 3 2 3 3 2" xfId="41346" xr:uid="{00000000-0005-0000-0000-000063AC0000}"/>
    <cellStyle name="常规 9 4 2 2 2 3 2 3 4" xfId="29058" xr:uid="{00000000-0005-0000-0000-000064AC0000}"/>
    <cellStyle name="常规 9 4 2 2 2 3 2 4" xfId="7554" xr:uid="{00000000-0005-0000-0000-000065AC0000}"/>
    <cellStyle name="常规 9 4 2 2 2 3 2 4 2" xfId="19842" xr:uid="{00000000-0005-0000-0000-000066AC0000}"/>
    <cellStyle name="常规 9 4 2 2 2 3 2 4 2 2" xfId="44418" xr:uid="{00000000-0005-0000-0000-000067AC0000}"/>
    <cellStyle name="常规 9 4 2 2 2 3 2 4 3" xfId="32130" xr:uid="{00000000-0005-0000-0000-000068AC0000}"/>
    <cellStyle name="常规 9 4 2 2 2 3 2 5" xfId="13698" xr:uid="{00000000-0005-0000-0000-000069AC0000}"/>
    <cellStyle name="常规 9 4 2 2 2 3 2 5 2" xfId="38274" xr:uid="{00000000-0005-0000-0000-00006AAC0000}"/>
    <cellStyle name="常规 9 4 2 2 2 3 2 6" xfId="25986" xr:uid="{00000000-0005-0000-0000-00006BAC0000}"/>
    <cellStyle name="常规 9 4 2 2 2 3 3" xfId="2174" xr:uid="{00000000-0005-0000-0000-00006CAC0000}"/>
    <cellStyle name="常规 9 4 2 2 2 3 3 2" xfId="5250" xr:uid="{00000000-0005-0000-0000-00006DAC0000}"/>
    <cellStyle name="常规 9 4 2 2 2 3 3 2 2" xfId="11394" xr:uid="{00000000-0005-0000-0000-00006EAC0000}"/>
    <cellStyle name="常规 9 4 2 2 2 3 3 2 2 2" xfId="23682" xr:uid="{00000000-0005-0000-0000-00006FAC0000}"/>
    <cellStyle name="常规 9 4 2 2 2 3 3 2 2 2 2" xfId="48258" xr:uid="{00000000-0005-0000-0000-000070AC0000}"/>
    <cellStyle name="常规 9 4 2 2 2 3 3 2 2 3" xfId="35970" xr:uid="{00000000-0005-0000-0000-000071AC0000}"/>
    <cellStyle name="常规 9 4 2 2 2 3 3 2 3" xfId="17538" xr:uid="{00000000-0005-0000-0000-000072AC0000}"/>
    <cellStyle name="常规 9 4 2 2 2 3 3 2 3 2" xfId="42114" xr:uid="{00000000-0005-0000-0000-000073AC0000}"/>
    <cellStyle name="常规 9 4 2 2 2 3 3 2 4" xfId="29826" xr:uid="{00000000-0005-0000-0000-000074AC0000}"/>
    <cellStyle name="常规 9 4 2 2 2 3 3 3" xfId="8322" xr:uid="{00000000-0005-0000-0000-000075AC0000}"/>
    <cellStyle name="常规 9 4 2 2 2 3 3 3 2" xfId="20610" xr:uid="{00000000-0005-0000-0000-000076AC0000}"/>
    <cellStyle name="常规 9 4 2 2 2 3 3 3 2 2" xfId="45186" xr:uid="{00000000-0005-0000-0000-000077AC0000}"/>
    <cellStyle name="常规 9 4 2 2 2 3 3 3 3" xfId="32898" xr:uid="{00000000-0005-0000-0000-000078AC0000}"/>
    <cellStyle name="常规 9 4 2 2 2 3 3 4" xfId="14466" xr:uid="{00000000-0005-0000-0000-000079AC0000}"/>
    <cellStyle name="常规 9 4 2 2 2 3 3 4 2" xfId="39042" xr:uid="{00000000-0005-0000-0000-00007AAC0000}"/>
    <cellStyle name="常规 9 4 2 2 2 3 3 5" xfId="26754" xr:uid="{00000000-0005-0000-0000-00007BAC0000}"/>
    <cellStyle name="常规 9 4 2 2 2 3 4" xfId="3714" xr:uid="{00000000-0005-0000-0000-00007CAC0000}"/>
    <cellStyle name="常规 9 4 2 2 2 3 4 2" xfId="9858" xr:uid="{00000000-0005-0000-0000-00007DAC0000}"/>
    <cellStyle name="常规 9 4 2 2 2 3 4 2 2" xfId="22146" xr:uid="{00000000-0005-0000-0000-00007EAC0000}"/>
    <cellStyle name="常规 9 4 2 2 2 3 4 2 2 2" xfId="46722" xr:uid="{00000000-0005-0000-0000-00007FAC0000}"/>
    <cellStyle name="常规 9 4 2 2 2 3 4 2 3" xfId="34434" xr:uid="{00000000-0005-0000-0000-000080AC0000}"/>
    <cellStyle name="常规 9 4 2 2 2 3 4 3" xfId="16002" xr:uid="{00000000-0005-0000-0000-000081AC0000}"/>
    <cellStyle name="常规 9 4 2 2 2 3 4 3 2" xfId="40578" xr:uid="{00000000-0005-0000-0000-000082AC0000}"/>
    <cellStyle name="常规 9 4 2 2 2 3 4 4" xfId="28290" xr:uid="{00000000-0005-0000-0000-000083AC0000}"/>
    <cellStyle name="常规 9 4 2 2 2 3 5" xfId="6786" xr:uid="{00000000-0005-0000-0000-000084AC0000}"/>
    <cellStyle name="常规 9 4 2 2 2 3 5 2" xfId="19074" xr:uid="{00000000-0005-0000-0000-000085AC0000}"/>
    <cellStyle name="常规 9 4 2 2 2 3 5 2 2" xfId="43650" xr:uid="{00000000-0005-0000-0000-000086AC0000}"/>
    <cellStyle name="常规 9 4 2 2 2 3 5 3" xfId="31362" xr:uid="{00000000-0005-0000-0000-000087AC0000}"/>
    <cellStyle name="常规 9 4 2 2 2 3 6" xfId="12930" xr:uid="{00000000-0005-0000-0000-000088AC0000}"/>
    <cellStyle name="常规 9 4 2 2 2 3 6 2" xfId="37506" xr:uid="{00000000-0005-0000-0000-000089AC0000}"/>
    <cellStyle name="常规 9 4 2 2 2 3 7" xfId="25218" xr:uid="{00000000-0005-0000-0000-00008AAC0000}"/>
    <cellStyle name="常规 9 4 2 2 2 4" xfId="1022" xr:uid="{00000000-0005-0000-0000-00008BAC0000}"/>
    <cellStyle name="常规 9 4 2 2 2 4 2" xfId="2558" xr:uid="{00000000-0005-0000-0000-00008CAC0000}"/>
    <cellStyle name="常规 9 4 2 2 2 4 2 2" xfId="5634" xr:uid="{00000000-0005-0000-0000-00008DAC0000}"/>
    <cellStyle name="常规 9 4 2 2 2 4 2 2 2" xfId="11778" xr:uid="{00000000-0005-0000-0000-00008EAC0000}"/>
    <cellStyle name="常规 9 4 2 2 2 4 2 2 2 2" xfId="24066" xr:uid="{00000000-0005-0000-0000-00008FAC0000}"/>
    <cellStyle name="常规 9 4 2 2 2 4 2 2 2 2 2" xfId="48642" xr:uid="{00000000-0005-0000-0000-000090AC0000}"/>
    <cellStyle name="常规 9 4 2 2 2 4 2 2 2 3" xfId="36354" xr:uid="{00000000-0005-0000-0000-000091AC0000}"/>
    <cellStyle name="常规 9 4 2 2 2 4 2 2 3" xfId="17922" xr:uid="{00000000-0005-0000-0000-000092AC0000}"/>
    <cellStyle name="常规 9 4 2 2 2 4 2 2 3 2" xfId="42498" xr:uid="{00000000-0005-0000-0000-000093AC0000}"/>
    <cellStyle name="常规 9 4 2 2 2 4 2 2 4" xfId="30210" xr:uid="{00000000-0005-0000-0000-000094AC0000}"/>
    <cellStyle name="常规 9 4 2 2 2 4 2 3" xfId="8706" xr:uid="{00000000-0005-0000-0000-000095AC0000}"/>
    <cellStyle name="常规 9 4 2 2 2 4 2 3 2" xfId="20994" xr:uid="{00000000-0005-0000-0000-000096AC0000}"/>
    <cellStyle name="常规 9 4 2 2 2 4 2 3 2 2" xfId="45570" xr:uid="{00000000-0005-0000-0000-000097AC0000}"/>
    <cellStyle name="常规 9 4 2 2 2 4 2 3 3" xfId="33282" xr:uid="{00000000-0005-0000-0000-000098AC0000}"/>
    <cellStyle name="常规 9 4 2 2 2 4 2 4" xfId="14850" xr:uid="{00000000-0005-0000-0000-000099AC0000}"/>
    <cellStyle name="常规 9 4 2 2 2 4 2 4 2" xfId="39426" xr:uid="{00000000-0005-0000-0000-00009AAC0000}"/>
    <cellStyle name="常规 9 4 2 2 2 4 2 5" xfId="27138" xr:uid="{00000000-0005-0000-0000-00009BAC0000}"/>
    <cellStyle name="常规 9 4 2 2 2 4 3" xfId="4098" xr:uid="{00000000-0005-0000-0000-00009CAC0000}"/>
    <cellStyle name="常规 9 4 2 2 2 4 3 2" xfId="10242" xr:uid="{00000000-0005-0000-0000-00009DAC0000}"/>
    <cellStyle name="常规 9 4 2 2 2 4 3 2 2" xfId="22530" xr:uid="{00000000-0005-0000-0000-00009EAC0000}"/>
    <cellStyle name="常规 9 4 2 2 2 4 3 2 2 2" xfId="47106" xr:uid="{00000000-0005-0000-0000-00009FAC0000}"/>
    <cellStyle name="常规 9 4 2 2 2 4 3 2 3" xfId="34818" xr:uid="{00000000-0005-0000-0000-0000A0AC0000}"/>
    <cellStyle name="常规 9 4 2 2 2 4 3 3" xfId="16386" xr:uid="{00000000-0005-0000-0000-0000A1AC0000}"/>
    <cellStyle name="常规 9 4 2 2 2 4 3 3 2" xfId="40962" xr:uid="{00000000-0005-0000-0000-0000A2AC0000}"/>
    <cellStyle name="常规 9 4 2 2 2 4 3 4" xfId="28674" xr:uid="{00000000-0005-0000-0000-0000A3AC0000}"/>
    <cellStyle name="常规 9 4 2 2 2 4 4" xfId="7170" xr:uid="{00000000-0005-0000-0000-0000A4AC0000}"/>
    <cellStyle name="常规 9 4 2 2 2 4 4 2" xfId="19458" xr:uid="{00000000-0005-0000-0000-0000A5AC0000}"/>
    <cellStyle name="常规 9 4 2 2 2 4 4 2 2" xfId="44034" xr:uid="{00000000-0005-0000-0000-0000A6AC0000}"/>
    <cellStyle name="常规 9 4 2 2 2 4 4 3" xfId="31746" xr:uid="{00000000-0005-0000-0000-0000A7AC0000}"/>
    <cellStyle name="常规 9 4 2 2 2 4 5" xfId="13314" xr:uid="{00000000-0005-0000-0000-0000A8AC0000}"/>
    <cellStyle name="常规 9 4 2 2 2 4 5 2" xfId="37890" xr:uid="{00000000-0005-0000-0000-0000A9AC0000}"/>
    <cellStyle name="常规 9 4 2 2 2 4 6" xfId="25602" xr:uid="{00000000-0005-0000-0000-0000AAAC0000}"/>
    <cellStyle name="常规 9 4 2 2 2 5" xfId="1790" xr:uid="{00000000-0005-0000-0000-0000ABAC0000}"/>
    <cellStyle name="常规 9 4 2 2 2 5 2" xfId="4866" xr:uid="{00000000-0005-0000-0000-0000ACAC0000}"/>
    <cellStyle name="常规 9 4 2 2 2 5 2 2" xfId="11010" xr:uid="{00000000-0005-0000-0000-0000ADAC0000}"/>
    <cellStyle name="常规 9 4 2 2 2 5 2 2 2" xfId="23298" xr:uid="{00000000-0005-0000-0000-0000AEAC0000}"/>
    <cellStyle name="常规 9 4 2 2 2 5 2 2 2 2" xfId="47874" xr:uid="{00000000-0005-0000-0000-0000AFAC0000}"/>
    <cellStyle name="常规 9 4 2 2 2 5 2 2 3" xfId="35586" xr:uid="{00000000-0005-0000-0000-0000B0AC0000}"/>
    <cellStyle name="常规 9 4 2 2 2 5 2 3" xfId="17154" xr:uid="{00000000-0005-0000-0000-0000B1AC0000}"/>
    <cellStyle name="常规 9 4 2 2 2 5 2 3 2" xfId="41730" xr:uid="{00000000-0005-0000-0000-0000B2AC0000}"/>
    <cellStyle name="常规 9 4 2 2 2 5 2 4" xfId="29442" xr:uid="{00000000-0005-0000-0000-0000B3AC0000}"/>
    <cellStyle name="常规 9 4 2 2 2 5 3" xfId="7938" xr:uid="{00000000-0005-0000-0000-0000B4AC0000}"/>
    <cellStyle name="常规 9 4 2 2 2 5 3 2" xfId="20226" xr:uid="{00000000-0005-0000-0000-0000B5AC0000}"/>
    <cellStyle name="常规 9 4 2 2 2 5 3 2 2" xfId="44802" xr:uid="{00000000-0005-0000-0000-0000B6AC0000}"/>
    <cellStyle name="常规 9 4 2 2 2 5 3 3" xfId="32514" xr:uid="{00000000-0005-0000-0000-0000B7AC0000}"/>
    <cellStyle name="常规 9 4 2 2 2 5 4" xfId="14082" xr:uid="{00000000-0005-0000-0000-0000B8AC0000}"/>
    <cellStyle name="常规 9 4 2 2 2 5 4 2" xfId="38658" xr:uid="{00000000-0005-0000-0000-0000B9AC0000}"/>
    <cellStyle name="常规 9 4 2 2 2 5 5" xfId="26370" xr:uid="{00000000-0005-0000-0000-0000BAAC0000}"/>
    <cellStyle name="常规 9 4 2 2 2 6" xfId="3330" xr:uid="{00000000-0005-0000-0000-0000BBAC0000}"/>
    <cellStyle name="常规 9 4 2 2 2 6 2" xfId="9474" xr:uid="{00000000-0005-0000-0000-0000BCAC0000}"/>
    <cellStyle name="常规 9 4 2 2 2 6 2 2" xfId="21762" xr:uid="{00000000-0005-0000-0000-0000BDAC0000}"/>
    <cellStyle name="常规 9 4 2 2 2 6 2 2 2" xfId="46338" xr:uid="{00000000-0005-0000-0000-0000BEAC0000}"/>
    <cellStyle name="常规 9 4 2 2 2 6 2 3" xfId="34050" xr:uid="{00000000-0005-0000-0000-0000BFAC0000}"/>
    <cellStyle name="常规 9 4 2 2 2 6 3" xfId="15618" xr:uid="{00000000-0005-0000-0000-0000C0AC0000}"/>
    <cellStyle name="常规 9 4 2 2 2 6 3 2" xfId="40194" xr:uid="{00000000-0005-0000-0000-0000C1AC0000}"/>
    <cellStyle name="常规 9 4 2 2 2 6 4" xfId="27906" xr:uid="{00000000-0005-0000-0000-0000C2AC0000}"/>
    <cellStyle name="常规 9 4 2 2 2 7" xfId="6402" xr:uid="{00000000-0005-0000-0000-0000C3AC0000}"/>
    <cellStyle name="常规 9 4 2 2 2 7 2" xfId="18690" xr:uid="{00000000-0005-0000-0000-0000C4AC0000}"/>
    <cellStyle name="常规 9 4 2 2 2 7 2 2" xfId="43266" xr:uid="{00000000-0005-0000-0000-0000C5AC0000}"/>
    <cellStyle name="常规 9 4 2 2 2 7 3" xfId="30978" xr:uid="{00000000-0005-0000-0000-0000C6AC0000}"/>
    <cellStyle name="常规 9 4 2 2 2 8" xfId="12546" xr:uid="{00000000-0005-0000-0000-0000C7AC0000}"/>
    <cellStyle name="常规 9 4 2 2 2 8 2" xfId="37122" xr:uid="{00000000-0005-0000-0000-0000C8AC0000}"/>
    <cellStyle name="常规 9 4 2 2 2 9" xfId="24834" xr:uid="{00000000-0005-0000-0000-0000C9AC0000}"/>
    <cellStyle name="常规 9 4 2 2 3" xfId="318" xr:uid="{00000000-0005-0000-0000-0000CAAC0000}"/>
    <cellStyle name="常规 9 4 2 2 3 2" xfId="510" xr:uid="{00000000-0005-0000-0000-0000CBAC0000}"/>
    <cellStyle name="常规 9 4 2 2 3 2 2" xfId="894" xr:uid="{00000000-0005-0000-0000-0000CCAC0000}"/>
    <cellStyle name="常规 9 4 2 2 3 2 2 2" xfId="1662" xr:uid="{00000000-0005-0000-0000-0000CDAC0000}"/>
    <cellStyle name="常规 9 4 2 2 3 2 2 2 2" xfId="3198" xr:uid="{00000000-0005-0000-0000-0000CEAC0000}"/>
    <cellStyle name="常规 9 4 2 2 3 2 2 2 2 2" xfId="6274" xr:uid="{00000000-0005-0000-0000-0000CFAC0000}"/>
    <cellStyle name="常规 9 4 2 2 3 2 2 2 2 2 2" xfId="12418" xr:uid="{00000000-0005-0000-0000-0000D0AC0000}"/>
    <cellStyle name="常规 9 4 2 2 3 2 2 2 2 2 2 2" xfId="24706" xr:uid="{00000000-0005-0000-0000-0000D1AC0000}"/>
    <cellStyle name="常规 9 4 2 2 3 2 2 2 2 2 2 2 2" xfId="49282" xr:uid="{00000000-0005-0000-0000-0000D2AC0000}"/>
    <cellStyle name="常规 9 4 2 2 3 2 2 2 2 2 2 3" xfId="36994" xr:uid="{00000000-0005-0000-0000-0000D3AC0000}"/>
    <cellStyle name="常规 9 4 2 2 3 2 2 2 2 2 3" xfId="18562" xr:uid="{00000000-0005-0000-0000-0000D4AC0000}"/>
    <cellStyle name="常规 9 4 2 2 3 2 2 2 2 2 3 2" xfId="43138" xr:uid="{00000000-0005-0000-0000-0000D5AC0000}"/>
    <cellStyle name="常规 9 4 2 2 3 2 2 2 2 2 4" xfId="30850" xr:uid="{00000000-0005-0000-0000-0000D6AC0000}"/>
    <cellStyle name="常规 9 4 2 2 3 2 2 2 2 3" xfId="9346" xr:uid="{00000000-0005-0000-0000-0000D7AC0000}"/>
    <cellStyle name="常规 9 4 2 2 3 2 2 2 2 3 2" xfId="21634" xr:uid="{00000000-0005-0000-0000-0000D8AC0000}"/>
    <cellStyle name="常规 9 4 2 2 3 2 2 2 2 3 2 2" xfId="46210" xr:uid="{00000000-0005-0000-0000-0000D9AC0000}"/>
    <cellStyle name="常规 9 4 2 2 3 2 2 2 2 3 3" xfId="33922" xr:uid="{00000000-0005-0000-0000-0000DAAC0000}"/>
    <cellStyle name="常规 9 4 2 2 3 2 2 2 2 4" xfId="15490" xr:uid="{00000000-0005-0000-0000-0000DBAC0000}"/>
    <cellStyle name="常规 9 4 2 2 3 2 2 2 2 4 2" xfId="40066" xr:uid="{00000000-0005-0000-0000-0000DCAC0000}"/>
    <cellStyle name="常规 9 4 2 2 3 2 2 2 2 5" xfId="27778" xr:uid="{00000000-0005-0000-0000-0000DDAC0000}"/>
    <cellStyle name="常规 9 4 2 2 3 2 2 2 3" xfId="4738" xr:uid="{00000000-0005-0000-0000-0000DEAC0000}"/>
    <cellStyle name="常规 9 4 2 2 3 2 2 2 3 2" xfId="10882" xr:uid="{00000000-0005-0000-0000-0000DFAC0000}"/>
    <cellStyle name="常规 9 4 2 2 3 2 2 2 3 2 2" xfId="23170" xr:uid="{00000000-0005-0000-0000-0000E0AC0000}"/>
    <cellStyle name="常规 9 4 2 2 3 2 2 2 3 2 2 2" xfId="47746" xr:uid="{00000000-0005-0000-0000-0000E1AC0000}"/>
    <cellStyle name="常规 9 4 2 2 3 2 2 2 3 2 3" xfId="35458" xr:uid="{00000000-0005-0000-0000-0000E2AC0000}"/>
    <cellStyle name="常规 9 4 2 2 3 2 2 2 3 3" xfId="17026" xr:uid="{00000000-0005-0000-0000-0000E3AC0000}"/>
    <cellStyle name="常规 9 4 2 2 3 2 2 2 3 3 2" xfId="41602" xr:uid="{00000000-0005-0000-0000-0000E4AC0000}"/>
    <cellStyle name="常规 9 4 2 2 3 2 2 2 3 4" xfId="29314" xr:uid="{00000000-0005-0000-0000-0000E5AC0000}"/>
    <cellStyle name="常规 9 4 2 2 3 2 2 2 4" xfId="7810" xr:uid="{00000000-0005-0000-0000-0000E6AC0000}"/>
    <cellStyle name="常规 9 4 2 2 3 2 2 2 4 2" xfId="20098" xr:uid="{00000000-0005-0000-0000-0000E7AC0000}"/>
    <cellStyle name="常规 9 4 2 2 3 2 2 2 4 2 2" xfId="44674" xr:uid="{00000000-0005-0000-0000-0000E8AC0000}"/>
    <cellStyle name="常规 9 4 2 2 3 2 2 2 4 3" xfId="32386" xr:uid="{00000000-0005-0000-0000-0000E9AC0000}"/>
    <cellStyle name="常规 9 4 2 2 3 2 2 2 5" xfId="13954" xr:uid="{00000000-0005-0000-0000-0000EAAC0000}"/>
    <cellStyle name="常规 9 4 2 2 3 2 2 2 5 2" xfId="38530" xr:uid="{00000000-0005-0000-0000-0000EBAC0000}"/>
    <cellStyle name="常规 9 4 2 2 3 2 2 2 6" xfId="26242" xr:uid="{00000000-0005-0000-0000-0000ECAC0000}"/>
    <cellStyle name="常规 9 4 2 2 3 2 2 3" xfId="2430" xr:uid="{00000000-0005-0000-0000-0000EDAC0000}"/>
    <cellStyle name="常规 9 4 2 2 3 2 2 3 2" xfId="5506" xr:uid="{00000000-0005-0000-0000-0000EEAC0000}"/>
    <cellStyle name="常规 9 4 2 2 3 2 2 3 2 2" xfId="11650" xr:uid="{00000000-0005-0000-0000-0000EFAC0000}"/>
    <cellStyle name="常规 9 4 2 2 3 2 2 3 2 2 2" xfId="23938" xr:uid="{00000000-0005-0000-0000-0000F0AC0000}"/>
    <cellStyle name="常规 9 4 2 2 3 2 2 3 2 2 2 2" xfId="48514" xr:uid="{00000000-0005-0000-0000-0000F1AC0000}"/>
    <cellStyle name="常规 9 4 2 2 3 2 2 3 2 2 3" xfId="36226" xr:uid="{00000000-0005-0000-0000-0000F2AC0000}"/>
    <cellStyle name="常规 9 4 2 2 3 2 2 3 2 3" xfId="17794" xr:uid="{00000000-0005-0000-0000-0000F3AC0000}"/>
    <cellStyle name="常规 9 4 2 2 3 2 2 3 2 3 2" xfId="42370" xr:uid="{00000000-0005-0000-0000-0000F4AC0000}"/>
    <cellStyle name="常规 9 4 2 2 3 2 2 3 2 4" xfId="30082" xr:uid="{00000000-0005-0000-0000-0000F5AC0000}"/>
    <cellStyle name="常规 9 4 2 2 3 2 2 3 3" xfId="8578" xr:uid="{00000000-0005-0000-0000-0000F6AC0000}"/>
    <cellStyle name="常规 9 4 2 2 3 2 2 3 3 2" xfId="20866" xr:uid="{00000000-0005-0000-0000-0000F7AC0000}"/>
    <cellStyle name="常规 9 4 2 2 3 2 2 3 3 2 2" xfId="45442" xr:uid="{00000000-0005-0000-0000-0000F8AC0000}"/>
    <cellStyle name="常规 9 4 2 2 3 2 2 3 3 3" xfId="33154" xr:uid="{00000000-0005-0000-0000-0000F9AC0000}"/>
    <cellStyle name="常规 9 4 2 2 3 2 2 3 4" xfId="14722" xr:uid="{00000000-0005-0000-0000-0000FAAC0000}"/>
    <cellStyle name="常规 9 4 2 2 3 2 2 3 4 2" xfId="39298" xr:uid="{00000000-0005-0000-0000-0000FBAC0000}"/>
    <cellStyle name="常规 9 4 2 2 3 2 2 3 5" xfId="27010" xr:uid="{00000000-0005-0000-0000-0000FCAC0000}"/>
    <cellStyle name="常规 9 4 2 2 3 2 2 4" xfId="3970" xr:uid="{00000000-0005-0000-0000-0000FDAC0000}"/>
    <cellStyle name="常规 9 4 2 2 3 2 2 4 2" xfId="10114" xr:uid="{00000000-0005-0000-0000-0000FEAC0000}"/>
    <cellStyle name="常规 9 4 2 2 3 2 2 4 2 2" xfId="22402" xr:uid="{00000000-0005-0000-0000-0000FFAC0000}"/>
    <cellStyle name="常规 9 4 2 2 3 2 2 4 2 2 2" xfId="46978" xr:uid="{00000000-0005-0000-0000-000000AD0000}"/>
    <cellStyle name="常规 9 4 2 2 3 2 2 4 2 3" xfId="34690" xr:uid="{00000000-0005-0000-0000-000001AD0000}"/>
    <cellStyle name="常规 9 4 2 2 3 2 2 4 3" xfId="16258" xr:uid="{00000000-0005-0000-0000-000002AD0000}"/>
    <cellStyle name="常规 9 4 2 2 3 2 2 4 3 2" xfId="40834" xr:uid="{00000000-0005-0000-0000-000003AD0000}"/>
    <cellStyle name="常规 9 4 2 2 3 2 2 4 4" xfId="28546" xr:uid="{00000000-0005-0000-0000-000004AD0000}"/>
    <cellStyle name="常规 9 4 2 2 3 2 2 5" xfId="7042" xr:uid="{00000000-0005-0000-0000-000005AD0000}"/>
    <cellStyle name="常规 9 4 2 2 3 2 2 5 2" xfId="19330" xr:uid="{00000000-0005-0000-0000-000006AD0000}"/>
    <cellStyle name="常规 9 4 2 2 3 2 2 5 2 2" xfId="43906" xr:uid="{00000000-0005-0000-0000-000007AD0000}"/>
    <cellStyle name="常规 9 4 2 2 3 2 2 5 3" xfId="31618" xr:uid="{00000000-0005-0000-0000-000008AD0000}"/>
    <cellStyle name="常规 9 4 2 2 3 2 2 6" xfId="13186" xr:uid="{00000000-0005-0000-0000-000009AD0000}"/>
    <cellStyle name="常规 9 4 2 2 3 2 2 6 2" xfId="37762" xr:uid="{00000000-0005-0000-0000-00000AAD0000}"/>
    <cellStyle name="常规 9 4 2 2 3 2 2 7" xfId="25474" xr:uid="{00000000-0005-0000-0000-00000BAD0000}"/>
    <cellStyle name="常规 9 4 2 2 3 2 3" xfId="1278" xr:uid="{00000000-0005-0000-0000-00000CAD0000}"/>
    <cellStyle name="常规 9 4 2 2 3 2 3 2" xfId="2814" xr:uid="{00000000-0005-0000-0000-00000DAD0000}"/>
    <cellStyle name="常规 9 4 2 2 3 2 3 2 2" xfId="5890" xr:uid="{00000000-0005-0000-0000-00000EAD0000}"/>
    <cellStyle name="常规 9 4 2 2 3 2 3 2 2 2" xfId="12034" xr:uid="{00000000-0005-0000-0000-00000FAD0000}"/>
    <cellStyle name="常规 9 4 2 2 3 2 3 2 2 2 2" xfId="24322" xr:uid="{00000000-0005-0000-0000-000010AD0000}"/>
    <cellStyle name="常规 9 4 2 2 3 2 3 2 2 2 2 2" xfId="48898" xr:uid="{00000000-0005-0000-0000-000011AD0000}"/>
    <cellStyle name="常规 9 4 2 2 3 2 3 2 2 2 3" xfId="36610" xr:uid="{00000000-0005-0000-0000-000012AD0000}"/>
    <cellStyle name="常规 9 4 2 2 3 2 3 2 2 3" xfId="18178" xr:uid="{00000000-0005-0000-0000-000013AD0000}"/>
    <cellStyle name="常规 9 4 2 2 3 2 3 2 2 3 2" xfId="42754" xr:uid="{00000000-0005-0000-0000-000014AD0000}"/>
    <cellStyle name="常规 9 4 2 2 3 2 3 2 2 4" xfId="30466" xr:uid="{00000000-0005-0000-0000-000015AD0000}"/>
    <cellStyle name="常规 9 4 2 2 3 2 3 2 3" xfId="8962" xr:uid="{00000000-0005-0000-0000-000016AD0000}"/>
    <cellStyle name="常规 9 4 2 2 3 2 3 2 3 2" xfId="21250" xr:uid="{00000000-0005-0000-0000-000017AD0000}"/>
    <cellStyle name="常规 9 4 2 2 3 2 3 2 3 2 2" xfId="45826" xr:uid="{00000000-0005-0000-0000-000018AD0000}"/>
    <cellStyle name="常规 9 4 2 2 3 2 3 2 3 3" xfId="33538" xr:uid="{00000000-0005-0000-0000-000019AD0000}"/>
    <cellStyle name="常规 9 4 2 2 3 2 3 2 4" xfId="15106" xr:uid="{00000000-0005-0000-0000-00001AAD0000}"/>
    <cellStyle name="常规 9 4 2 2 3 2 3 2 4 2" xfId="39682" xr:uid="{00000000-0005-0000-0000-00001BAD0000}"/>
    <cellStyle name="常规 9 4 2 2 3 2 3 2 5" xfId="27394" xr:uid="{00000000-0005-0000-0000-00001CAD0000}"/>
    <cellStyle name="常规 9 4 2 2 3 2 3 3" xfId="4354" xr:uid="{00000000-0005-0000-0000-00001DAD0000}"/>
    <cellStyle name="常规 9 4 2 2 3 2 3 3 2" xfId="10498" xr:uid="{00000000-0005-0000-0000-00001EAD0000}"/>
    <cellStyle name="常规 9 4 2 2 3 2 3 3 2 2" xfId="22786" xr:uid="{00000000-0005-0000-0000-00001FAD0000}"/>
    <cellStyle name="常规 9 4 2 2 3 2 3 3 2 2 2" xfId="47362" xr:uid="{00000000-0005-0000-0000-000020AD0000}"/>
    <cellStyle name="常规 9 4 2 2 3 2 3 3 2 3" xfId="35074" xr:uid="{00000000-0005-0000-0000-000021AD0000}"/>
    <cellStyle name="常规 9 4 2 2 3 2 3 3 3" xfId="16642" xr:uid="{00000000-0005-0000-0000-000022AD0000}"/>
    <cellStyle name="常规 9 4 2 2 3 2 3 3 3 2" xfId="41218" xr:uid="{00000000-0005-0000-0000-000023AD0000}"/>
    <cellStyle name="常规 9 4 2 2 3 2 3 3 4" xfId="28930" xr:uid="{00000000-0005-0000-0000-000024AD0000}"/>
    <cellStyle name="常规 9 4 2 2 3 2 3 4" xfId="7426" xr:uid="{00000000-0005-0000-0000-000025AD0000}"/>
    <cellStyle name="常规 9 4 2 2 3 2 3 4 2" xfId="19714" xr:uid="{00000000-0005-0000-0000-000026AD0000}"/>
    <cellStyle name="常规 9 4 2 2 3 2 3 4 2 2" xfId="44290" xr:uid="{00000000-0005-0000-0000-000027AD0000}"/>
    <cellStyle name="常规 9 4 2 2 3 2 3 4 3" xfId="32002" xr:uid="{00000000-0005-0000-0000-000028AD0000}"/>
    <cellStyle name="常规 9 4 2 2 3 2 3 5" xfId="13570" xr:uid="{00000000-0005-0000-0000-000029AD0000}"/>
    <cellStyle name="常规 9 4 2 2 3 2 3 5 2" xfId="38146" xr:uid="{00000000-0005-0000-0000-00002AAD0000}"/>
    <cellStyle name="常规 9 4 2 2 3 2 3 6" xfId="25858" xr:uid="{00000000-0005-0000-0000-00002BAD0000}"/>
    <cellStyle name="常规 9 4 2 2 3 2 4" xfId="2046" xr:uid="{00000000-0005-0000-0000-00002CAD0000}"/>
    <cellStyle name="常规 9 4 2 2 3 2 4 2" xfId="5122" xr:uid="{00000000-0005-0000-0000-00002DAD0000}"/>
    <cellStyle name="常规 9 4 2 2 3 2 4 2 2" xfId="11266" xr:uid="{00000000-0005-0000-0000-00002EAD0000}"/>
    <cellStyle name="常规 9 4 2 2 3 2 4 2 2 2" xfId="23554" xr:uid="{00000000-0005-0000-0000-00002FAD0000}"/>
    <cellStyle name="常规 9 4 2 2 3 2 4 2 2 2 2" xfId="48130" xr:uid="{00000000-0005-0000-0000-000030AD0000}"/>
    <cellStyle name="常规 9 4 2 2 3 2 4 2 2 3" xfId="35842" xr:uid="{00000000-0005-0000-0000-000031AD0000}"/>
    <cellStyle name="常规 9 4 2 2 3 2 4 2 3" xfId="17410" xr:uid="{00000000-0005-0000-0000-000032AD0000}"/>
    <cellStyle name="常规 9 4 2 2 3 2 4 2 3 2" xfId="41986" xr:uid="{00000000-0005-0000-0000-000033AD0000}"/>
    <cellStyle name="常规 9 4 2 2 3 2 4 2 4" xfId="29698" xr:uid="{00000000-0005-0000-0000-000034AD0000}"/>
    <cellStyle name="常规 9 4 2 2 3 2 4 3" xfId="8194" xr:uid="{00000000-0005-0000-0000-000035AD0000}"/>
    <cellStyle name="常规 9 4 2 2 3 2 4 3 2" xfId="20482" xr:uid="{00000000-0005-0000-0000-000036AD0000}"/>
    <cellStyle name="常规 9 4 2 2 3 2 4 3 2 2" xfId="45058" xr:uid="{00000000-0005-0000-0000-000037AD0000}"/>
    <cellStyle name="常规 9 4 2 2 3 2 4 3 3" xfId="32770" xr:uid="{00000000-0005-0000-0000-000038AD0000}"/>
    <cellStyle name="常规 9 4 2 2 3 2 4 4" xfId="14338" xr:uid="{00000000-0005-0000-0000-000039AD0000}"/>
    <cellStyle name="常规 9 4 2 2 3 2 4 4 2" xfId="38914" xr:uid="{00000000-0005-0000-0000-00003AAD0000}"/>
    <cellStyle name="常规 9 4 2 2 3 2 4 5" xfId="26626" xr:uid="{00000000-0005-0000-0000-00003BAD0000}"/>
    <cellStyle name="常规 9 4 2 2 3 2 5" xfId="3586" xr:uid="{00000000-0005-0000-0000-00003CAD0000}"/>
    <cellStyle name="常规 9 4 2 2 3 2 5 2" xfId="9730" xr:uid="{00000000-0005-0000-0000-00003DAD0000}"/>
    <cellStyle name="常规 9 4 2 2 3 2 5 2 2" xfId="22018" xr:uid="{00000000-0005-0000-0000-00003EAD0000}"/>
    <cellStyle name="常规 9 4 2 2 3 2 5 2 2 2" xfId="46594" xr:uid="{00000000-0005-0000-0000-00003FAD0000}"/>
    <cellStyle name="常规 9 4 2 2 3 2 5 2 3" xfId="34306" xr:uid="{00000000-0005-0000-0000-000040AD0000}"/>
    <cellStyle name="常规 9 4 2 2 3 2 5 3" xfId="15874" xr:uid="{00000000-0005-0000-0000-000041AD0000}"/>
    <cellStyle name="常规 9 4 2 2 3 2 5 3 2" xfId="40450" xr:uid="{00000000-0005-0000-0000-000042AD0000}"/>
    <cellStyle name="常规 9 4 2 2 3 2 5 4" xfId="28162" xr:uid="{00000000-0005-0000-0000-000043AD0000}"/>
    <cellStyle name="常规 9 4 2 2 3 2 6" xfId="6658" xr:uid="{00000000-0005-0000-0000-000044AD0000}"/>
    <cellStyle name="常规 9 4 2 2 3 2 6 2" xfId="18946" xr:uid="{00000000-0005-0000-0000-000045AD0000}"/>
    <cellStyle name="常规 9 4 2 2 3 2 6 2 2" xfId="43522" xr:uid="{00000000-0005-0000-0000-000046AD0000}"/>
    <cellStyle name="常规 9 4 2 2 3 2 6 3" xfId="31234" xr:uid="{00000000-0005-0000-0000-000047AD0000}"/>
    <cellStyle name="常规 9 4 2 2 3 2 7" xfId="12802" xr:uid="{00000000-0005-0000-0000-000048AD0000}"/>
    <cellStyle name="常规 9 4 2 2 3 2 7 2" xfId="37378" xr:uid="{00000000-0005-0000-0000-000049AD0000}"/>
    <cellStyle name="常规 9 4 2 2 3 2 8" xfId="25090" xr:uid="{00000000-0005-0000-0000-00004AAD0000}"/>
    <cellStyle name="常规 9 4 2 2 3 3" xfId="702" xr:uid="{00000000-0005-0000-0000-00004BAD0000}"/>
    <cellStyle name="常规 9 4 2 2 3 3 2" xfId="1470" xr:uid="{00000000-0005-0000-0000-00004CAD0000}"/>
    <cellStyle name="常规 9 4 2 2 3 3 2 2" xfId="3006" xr:uid="{00000000-0005-0000-0000-00004DAD0000}"/>
    <cellStyle name="常规 9 4 2 2 3 3 2 2 2" xfId="6082" xr:uid="{00000000-0005-0000-0000-00004EAD0000}"/>
    <cellStyle name="常规 9 4 2 2 3 3 2 2 2 2" xfId="12226" xr:uid="{00000000-0005-0000-0000-00004FAD0000}"/>
    <cellStyle name="常规 9 4 2 2 3 3 2 2 2 2 2" xfId="24514" xr:uid="{00000000-0005-0000-0000-000050AD0000}"/>
    <cellStyle name="常规 9 4 2 2 3 3 2 2 2 2 2 2" xfId="49090" xr:uid="{00000000-0005-0000-0000-000051AD0000}"/>
    <cellStyle name="常规 9 4 2 2 3 3 2 2 2 2 3" xfId="36802" xr:uid="{00000000-0005-0000-0000-000052AD0000}"/>
    <cellStyle name="常规 9 4 2 2 3 3 2 2 2 3" xfId="18370" xr:uid="{00000000-0005-0000-0000-000053AD0000}"/>
    <cellStyle name="常规 9 4 2 2 3 3 2 2 2 3 2" xfId="42946" xr:uid="{00000000-0005-0000-0000-000054AD0000}"/>
    <cellStyle name="常规 9 4 2 2 3 3 2 2 2 4" xfId="30658" xr:uid="{00000000-0005-0000-0000-000055AD0000}"/>
    <cellStyle name="常规 9 4 2 2 3 3 2 2 3" xfId="9154" xr:uid="{00000000-0005-0000-0000-000056AD0000}"/>
    <cellStyle name="常规 9 4 2 2 3 3 2 2 3 2" xfId="21442" xr:uid="{00000000-0005-0000-0000-000057AD0000}"/>
    <cellStyle name="常规 9 4 2 2 3 3 2 2 3 2 2" xfId="46018" xr:uid="{00000000-0005-0000-0000-000058AD0000}"/>
    <cellStyle name="常规 9 4 2 2 3 3 2 2 3 3" xfId="33730" xr:uid="{00000000-0005-0000-0000-000059AD0000}"/>
    <cellStyle name="常规 9 4 2 2 3 3 2 2 4" xfId="15298" xr:uid="{00000000-0005-0000-0000-00005AAD0000}"/>
    <cellStyle name="常规 9 4 2 2 3 3 2 2 4 2" xfId="39874" xr:uid="{00000000-0005-0000-0000-00005BAD0000}"/>
    <cellStyle name="常规 9 4 2 2 3 3 2 2 5" xfId="27586" xr:uid="{00000000-0005-0000-0000-00005CAD0000}"/>
    <cellStyle name="常规 9 4 2 2 3 3 2 3" xfId="4546" xr:uid="{00000000-0005-0000-0000-00005DAD0000}"/>
    <cellStyle name="常规 9 4 2 2 3 3 2 3 2" xfId="10690" xr:uid="{00000000-0005-0000-0000-00005EAD0000}"/>
    <cellStyle name="常规 9 4 2 2 3 3 2 3 2 2" xfId="22978" xr:uid="{00000000-0005-0000-0000-00005FAD0000}"/>
    <cellStyle name="常规 9 4 2 2 3 3 2 3 2 2 2" xfId="47554" xr:uid="{00000000-0005-0000-0000-000060AD0000}"/>
    <cellStyle name="常规 9 4 2 2 3 3 2 3 2 3" xfId="35266" xr:uid="{00000000-0005-0000-0000-000061AD0000}"/>
    <cellStyle name="常规 9 4 2 2 3 3 2 3 3" xfId="16834" xr:uid="{00000000-0005-0000-0000-000062AD0000}"/>
    <cellStyle name="常规 9 4 2 2 3 3 2 3 3 2" xfId="41410" xr:uid="{00000000-0005-0000-0000-000063AD0000}"/>
    <cellStyle name="常规 9 4 2 2 3 3 2 3 4" xfId="29122" xr:uid="{00000000-0005-0000-0000-000064AD0000}"/>
    <cellStyle name="常规 9 4 2 2 3 3 2 4" xfId="7618" xr:uid="{00000000-0005-0000-0000-000065AD0000}"/>
    <cellStyle name="常规 9 4 2 2 3 3 2 4 2" xfId="19906" xr:uid="{00000000-0005-0000-0000-000066AD0000}"/>
    <cellStyle name="常规 9 4 2 2 3 3 2 4 2 2" xfId="44482" xr:uid="{00000000-0005-0000-0000-000067AD0000}"/>
    <cellStyle name="常规 9 4 2 2 3 3 2 4 3" xfId="32194" xr:uid="{00000000-0005-0000-0000-000068AD0000}"/>
    <cellStyle name="常规 9 4 2 2 3 3 2 5" xfId="13762" xr:uid="{00000000-0005-0000-0000-000069AD0000}"/>
    <cellStyle name="常规 9 4 2 2 3 3 2 5 2" xfId="38338" xr:uid="{00000000-0005-0000-0000-00006AAD0000}"/>
    <cellStyle name="常规 9 4 2 2 3 3 2 6" xfId="26050" xr:uid="{00000000-0005-0000-0000-00006BAD0000}"/>
    <cellStyle name="常规 9 4 2 2 3 3 3" xfId="2238" xr:uid="{00000000-0005-0000-0000-00006CAD0000}"/>
    <cellStyle name="常规 9 4 2 2 3 3 3 2" xfId="5314" xr:uid="{00000000-0005-0000-0000-00006DAD0000}"/>
    <cellStyle name="常规 9 4 2 2 3 3 3 2 2" xfId="11458" xr:uid="{00000000-0005-0000-0000-00006EAD0000}"/>
    <cellStyle name="常规 9 4 2 2 3 3 3 2 2 2" xfId="23746" xr:uid="{00000000-0005-0000-0000-00006FAD0000}"/>
    <cellStyle name="常规 9 4 2 2 3 3 3 2 2 2 2" xfId="48322" xr:uid="{00000000-0005-0000-0000-000070AD0000}"/>
    <cellStyle name="常规 9 4 2 2 3 3 3 2 2 3" xfId="36034" xr:uid="{00000000-0005-0000-0000-000071AD0000}"/>
    <cellStyle name="常规 9 4 2 2 3 3 3 2 3" xfId="17602" xr:uid="{00000000-0005-0000-0000-000072AD0000}"/>
    <cellStyle name="常规 9 4 2 2 3 3 3 2 3 2" xfId="42178" xr:uid="{00000000-0005-0000-0000-000073AD0000}"/>
    <cellStyle name="常规 9 4 2 2 3 3 3 2 4" xfId="29890" xr:uid="{00000000-0005-0000-0000-000074AD0000}"/>
    <cellStyle name="常规 9 4 2 2 3 3 3 3" xfId="8386" xr:uid="{00000000-0005-0000-0000-000075AD0000}"/>
    <cellStyle name="常规 9 4 2 2 3 3 3 3 2" xfId="20674" xr:uid="{00000000-0005-0000-0000-000076AD0000}"/>
    <cellStyle name="常规 9 4 2 2 3 3 3 3 2 2" xfId="45250" xr:uid="{00000000-0005-0000-0000-000077AD0000}"/>
    <cellStyle name="常规 9 4 2 2 3 3 3 3 3" xfId="32962" xr:uid="{00000000-0005-0000-0000-000078AD0000}"/>
    <cellStyle name="常规 9 4 2 2 3 3 3 4" xfId="14530" xr:uid="{00000000-0005-0000-0000-000079AD0000}"/>
    <cellStyle name="常规 9 4 2 2 3 3 3 4 2" xfId="39106" xr:uid="{00000000-0005-0000-0000-00007AAD0000}"/>
    <cellStyle name="常规 9 4 2 2 3 3 3 5" xfId="26818" xr:uid="{00000000-0005-0000-0000-00007BAD0000}"/>
    <cellStyle name="常规 9 4 2 2 3 3 4" xfId="3778" xr:uid="{00000000-0005-0000-0000-00007CAD0000}"/>
    <cellStyle name="常规 9 4 2 2 3 3 4 2" xfId="9922" xr:uid="{00000000-0005-0000-0000-00007DAD0000}"/>
    <cellStyle name="常规 9 4 2 2 3 3 4 2 2" xfId="22210" xr:uid="{00000000-0005-0000-0000-00007EAD0000}"/>
    <cellStyle name="常规 9 4 2 2 3 3 4 2 2 2" xfId="46786" xr:uid="{00000000-0005-0000-0000-00007FAD0000}"/>
    <cellStyle name="常规 9 4 2 2 3 3 4 2 3" xfId="34498" xr:uid="{00000000-0005-0000-0000-000080AD0000}"/>
    <cellStyle name="常规 9 4 2 2 3 3 4 3" xfId="16066" xr:uid="{00000000-0005-0000-0000-000081AD0000}"/>
    <cellStyle name="常规 9 4 2 2 3 3 4 3 2" xfId="40642" xr:uid="{00000000-0005-0000-0000-000082AD0000}"/>
    <cellStyle name="常规 9 4 2 2 3 3 4 4" xfId="28354" xr:uid="{00000000-0005-0000-0000-000083AD0000}"/>
    <cellStyle name="常规 9 4 2 2 3 3 5" xfId="6850" xr:uid="{00000000-0005-0000-0000-000084AD0000}"/>
    <cellStyle name="常规 9 4 2 2 3 3 5 2" xfId="19138" xr:uid="{00000000-0005-0000-0000-000085AD0000}"/>
    <cellStyle name="常规 9 4 2 2 3 3 5 2 2" xfId="43714" xr:uid="{00000000-0005-0000-0000-000086AD0000}"/>
    <cellStyle name="常规 9 4 2 2 3 3 5 3" xfId="31426" xr:uid="{00000000-0005-0000-0000-000087AD0000}"/>
    <cellStyle name="常规 9 4 2 2 3 3 6" xfId="12994" xr:uid="{00000000-0005-0000-0000-000088AD0000}"/>
    <cellStyle name="常规 9 4 2 2 3 3 6 2" xfId="37570" xr:uid="{00000000-0005-0000-0000-000089AD0000}"/>
    <cellStyle name="常规 9 4 2 2 3 3 7" xfId="25282" xr:uid="{00000000-0005-0000-0000-00008AAD0000}"/>
    <cellStyle name="常规 9 4 2 2 3 4" xfId="1086" xr:uid="{00000000-0005-0000-0000-00008BAD0000}"/>
    <cellStyle name="常规 9 4 2 2 3 4 2" xfId="2622" xr:uid="{00000000-0005-0000-0000-00008CAD0000}"/>
    <cellStyle name="常规 9 4 2 2 3 4 2 2" xfId="5698" xr:uid="{00000000-0005-0000-0000-00008DAD0000}"/>
    <cellStyle name="常规 9 4 2 2 3 4 2 2 2" xfId="11842" xr:uid="{00000000-0005-0000-0000-00008EAD0000}"/>
    <cellStyle name="常规 9 4 2 2 3 4 2 2 2 2" xfId="24130" xr:uid="{00000000-0005-0000-0000-00008FAD0000}"/>
    <cellStyle name="常规 9 4 2 2 3 4 2 2 2 2 2" xfId="48706" xr:uid="{00000000-0005-0000-0000-000090AD0000}"/>
    <cellStyle name="常规 9 4 2 2 3 4 2 2 2 3" xfId="36418" xr:uid="{00000000-0005-0000-0000-000091AD0000}"/>
    <cellStyle name="常规 9 4 2 2 3 4 2 2 3" xfId="17986" xr:uid="{00000000-0005-0000-0000-000092AD0000}"/>
    <cellStyle name="常规 9 4 2 2 3 4 2 2 3 2" xfId="42562" xr:uid="{00000000-0005-0000-0000-000093AD0000}"/>
    <cellStyle name="常规 9 4 2 2 3 4 2 2 4" xfId="30274" xr:uid="{00000000-0005-0000-0000-000094AD0000}"/>
    <cellStyle name="常规 9 4 2 2 3 4 2 3" xfId="8770" xr:uid="{00000000-0005-0000-0000-000095AD0000}"/>
    <cellStyle name="常规 9 4 2 2 3 4 2 3 2" xfId="21058" xr:uid="{00000000-0005-0000-0000-000096AD0000}"/>
    <cellStyle name="常规 9 4 2 2 3 4 2 3 2 2" xfId="45634" xr:uid="{00000000-0005-0000-0000-000097AD0000}"/>
    <cellStyle name="常规 9 4 2 2 3 4 2 3 3" xfId="33346" xr:uid="{00000000-0005-0000-0000-000098AD0000}"/>
    <cellStyle name="常规 9 4 2 2 3 4 2 4" xfId="14914" xr:uid="{00000000-0005-0000-0000-000099AD0000}"/>
    <cellStyle name="常规 9 4 2 2 3 4 2 4 2" xfId="39490" xr:uid="{00000000-0005-0000-0000-00009AAD0000}"/>
    <cellStyle name="常规 9 4 2 2 3 4 2 5" xfId="27202" xr:uid="{00000000-0005-0000-0000-00009BAD0000}"/>
    <cellStyle name="常规 9 4 2 2 3 4 3" xfId="4162" xr:uid="{00000000-0005-0000-0000-00009CAD0000}"/>
    <cellStyle name="常规 9 4 2 2 3 4 3 2" xfId="10306" xr:uid="{00000000-0005-0000-0000-00009DAD0000}"/>
    <cellStyle name="常规 9 4 2 2 3 4 3 2 2" xfId="22594" xr:uid="{00000000-0005-0000-0000-00009EAD0000}"/>
    <cellStyle name="常规 9 4 2 2 3 4 3 2 2 2" xfId="47170" xr:uid="{00000000-0005-0000-0000-00009FAD0000}"/>
    <cellStyle name="常规 9 4 2 2 3 4 3 2 3" xfId="34882" xr:uid="{00000000-0005-0000-0000-0000A0AD0000}"/>
    <cellStyle name="常规 9 4 2 2 3 4 3 3" xfId="16450" xr:uid="{00000000-0005-0000-0000-0000A1AD0000}"/>
    <cellStyle name="常规 9 4 2 2 3 4 3 3 2" xfId="41026" xr:uid="{00000000-0005-0000-0000-0000A2AD0000}"/>
    <cellStyle name="常规 9 4 2 2 3 4 3 4" xfId="28738" xr:uid="{00000000-0005-0000-0000-0000A3AD0000}"/>
    <cellStyle name="常规 9 4 2 2 3 4 4" xfId="7234" xr:uid="{00000000-0005-0000-0000-0000A4AD0000}"/>
    <cellStyle name="常规 9 4 2 2 3 4 4 2" xfId="19522" xr:uid="{00000000-0005-0000-0000-0000A5AD0000}"/>
    <cellStyle name="常规 9 4 2 2 3 4 4 2 2" xfId="44098" xr:uid="{00000000-0005-0000-0000-0000A6AD0000}"/>
    <cellStyle name="常规 9 4 2 2 3 4 4 3" xfId="31810" xr:uid="{00000000-0005-0000-0000-0000A7AD0000}"/>
    <cellStyle name="常规 9 4 2 2 3 4 5" xfId="13378" xr:uid="{00000000-0005-0000-0000-0000A8AD0000}"/>
    <cellStyle name="常规 9 4 2 2 3 4 5 2" xfId="37954" xr:uid="{00000000-0005-0000-0000-0000A9AD0000}"/>
    <cellStyle name="常规 9 4 2 2 3 4 6" xfId="25666" xr:uid="{00000000-0005-0000-0000-0000AAAD0000}"/>
    <cellStyle name="常规 9 4 2 2 3 5" xfId="1854" xr:uid="{00000000-0005-0000-0000-0000ABAD0000}"/>
    <cellStyle name="常规 9 4 2 2 3 5 2" xfId="4930" xr:uid="{00000000-0005-0000-0000-0000ACAD0000}"/>
    <cellStyle name="常规 9 4 2 2 3 5 2 2" xfId="11074" xr:uid="{00000000-0005-0000-0000-0000ADAD0000}"/>
    <cellStyle name="常规 9 4 2 2 3 5 2 2 2" xfId="23362" xr:uid="{00000000-0005-0000-0000-0000AEAD0000}"/>
    <cellStyle name="常规 9 4 2 2 3 5 2 2 2 2" xfId="47938" xr:uid="{00000000-0005-0000-0000-0000AFAD0000}"/>
    <cellStyle name="常规 9 4 2 2 3 5 2 2 3" xfId="35650" xr:uid="{00000000-0005-0000-0000-0000B0AD0000}"/>
    <cellStyle name="常规 9 4 2 2 3 5 2 3" xfId="17218" xr:uid="{00000000-0005-0000-0000-0000B1AD0000}"/>
    <cellStyle name="常规 9 4 2 2 3 5 2 3 2" xfId="41794" xr:uid="{00000000-0005-0000-0000-0000B2AD0000}"/>
    <cellStyle name="常规 9 4 2 2 3 5 2 4" xfId="29506" xr:uid="{00000000-0005-0000-0000-0000B3AD0000}"/>
    <cellStyle name="常规 9 4 2 2 3 5 3" xfId="8002" xr:uid="{00000000-0005-0000-0000-0000B4AD0000}"/>
    <cellStyle name="常规 9 4 2 2 3 5 3 2" xfId="20290" xr:uid="{00000000-0005-0000-0000-0000B5AD0000}"/>
    <cellStyle name="常规 9 4 2 2 3 5 3 2 2" xfId="44866" xr:uid="{00000000-0005-0000-0000-0000B6AD0000}"/>
    <cellStyle name="常规 9 4 2 2 3 5 3 3" xfId="32578" xr:uid="{00000000-0005-0000-0000-0000B7AD0000}"/>
    <cellStyle name="常规 9 4 2 2 3 5 4" xfId="14146" xr:uid="{00000000-0005-0000-0000-0000B8AD0000}"/>
    <cellStyle name="常规 9 4 2 2 3 5 4 2" xfId="38722" xr:uid="{00000000-0005-0000-0000-0000B9AD0000}"/>
    <cellStyle name="常规 9 4 2 2 3 5 5" xfId="26434" xr:uid="{00000000-0005-0000-0000-0000BAAD0000}"/>
    <cellStyle name="常规 9 4 2 2 3 6" xfId="3394" xr:uid="{00000000-0005-0000-0000-0000BBAD0000}"/>
    <cellStyle name="常规 9 4 2 2 3 6 2" xfId="9538" xr:uid="{00000000-0005-0000-0000-0000BCAD0000}"/>
    <cellStyle name="常规 9 4 2 2 3 6 2 2" xfId="21826" xr:uid="{00000000-0005-0000-0000-0000BDAD0000}"/>
    <cellStyle name="常规 9 4 2 2 3 6 2 2 2" xfId="46402" xr:uid="{00000000-0005-0000-0000-0000BEAD0000}"/>
    <cellStyle name="常规 9 4 2 2 3 6 2 3" xfId="34114" xr:uid="{00000000-0005-0000-0000-0000BFAD0000}"/>
    <cellStyle name="常规 9 4 2 2 3 6 3" xfId="15682" xr:uid="{00000000-0005-0000-0000-0000C0AD0000}"/>
    <cellStyle name="常规 9 4 2 2 3 6 3 2" xfId="40258" xr:uid="{00000000-0005-0000-0000-0000C1AD0000}"/>
    <cellStyle name="常规 9 4 2 2 3 6 4" xfId="27970" xr:uid="{00000000-0005-0000-0000-0000C2AD0000}"/>
    <cellStyle name="常规 9 4 2 2 3 7" xfId="6466" xr:uid="{00000000-0005-0000-0000-0000C3AD0000}"/>
    <cellStyle name="常规 9 4 2 2 3 7 2" xfId="18754" xr:uid="{00000000-0005-0000-0000-0000C4AD0000}"/>
    <cellStyle name="常规 9 4 2 2 3 7 2 2" xfId="43330" xr:uid="{00000000-0005-0000-0000-0000C5AD0000}"/>
    <cellStyle name="常规 9 4 2 2 3 7 3" xfId="31042" xr:uid="{00000000-0005-0000-0000-0000C6AD0000}"/>
    <cellStyle name="常规 9 4 2 2 3 8" xfId="12610" xr:uid="{00000000-0005-0000-0000-0000C7AD0000}"/>
    <cellStyle name="常规 9 4 2 2 3 8 2" xfId="37186" xr:uid="{00000000-0005-0000-0000-0000C8AD0000}"/>
    <cellStyle name="常规 9 4 2 2 3 9" xfId="24898" xr:uid="{00000000-0005-0000-0000-0000C9AD0000}"/>
    <cellStyle name="常规 9 4 2 2 4" xfId="382" xr:uid="{00000000-0005-0000-0000-0000CAAD0000}"/>
    <cellStyle name="常规 9 4 2 2 4 2" xfId="766" xr:uid="{00000000-0005-0000-0000-0000CBAD0000}"/>
    <cellStyle name="常规 9 4 2 2 4 2 2" xfId="1534" xr:uid="{00000000-0005-0000-0000-0000CCAD0000}"/>
    <cellStyle name="常规 9 4 2 2 4 2 2 2" xfId="3070" xr:uid="{00000000-0005-0000-0000-0000CDAD0000}"/>
    <cellStyle name="常规 9 4 2 2 4 2 2 2 2" xfId="6146" xr:uid="{00000000-0005-0000-0000-0000CEAD0000}"/>
    <cellStyle name="常规 9 4 2 2 4 2 2 2 2 2" xfId="12290" xr:uid="{00000000-0005-0000-0000-0000CFAD0000}"/>
    <cellStyle name="常规 9 4 2 2 4 2 2 2 2 2 2" xfId="24578" xr:uid="{00000000-0005-0000-0000-0000D0AD0000}"/>
    <cellStyle name="常规 9 4 2 2 4 2 2 2 2 2 2 2" xfId="49154" xr:uid="{00000000-0005-0000-0000-0000D1AD0000}"/>
    <cellStyle name="常规 9 4 2 2 4 2 2 2 2 2 3" xfId="36866" xr:uid="{00000000-0005-0000-0000-0000D2AD0000}"/>
    <cellStyle name="常规 9 4 2 2 4 2 2 2 2 3" xfId="18434" xr:uid="{00000000-0005-0000-0000-0000D3AD0000}"/>
    <cellStyle name="常规 9 4 2 2 4 2 2 2 2 3 2" xfId="43010" xr:uid="{00000000-0005-0000-0000-0000D4AD0000}"/>
    <cellStyle name="常规 9 4 2 2 4 2 2 2 2 4" xfId="30722" xr:uid="{00000000-0005-0000-0000-0000D5AD0000}"/>
    <cellStyle name="常规 9 4 2 2 4 2 2 2 3" xfId="9218" xr:uid="{00000000-0005-0000-0000-0000D6AD0000}"/>
    <cellStyle name="常规 9 4 2 2 4 2 2 2 3 2" xfId="21506" xr:uid="{00000000-0005-0000-0000-0000D7AD0000}"/>
    <cellStyle name="常规 9 4 2 2 4 2 2 2 3 2 2" xfId="46082" xr:uid="{00000000-0005-0000-0000-0000D8AD0000}"/>
    <cellStyle name="常规 9 4 2 2 4 2 2 2 3 3" xfId="33794" xr:uid="{00000000-0005-0000-0000-0000D9AD0000}"/>
    <cellStyle name="常规 9 4 2 2 4 2 2 2 4" xfId="15362" xr:uid="{00000000-0005-0000-0000-0000DAAD0000}"/>
    <cellStyle name="常规 9 4 2 2 4 2 2 2 4 2" xfId="39938" xr:uid="{00000000-0005-0000-0000-0000DBAD0000}"/>
    <cellStyle name="常规 9 4 2 2 4 2 2 2 5" xfId="27650" xr:uid="{00000000-0005-0000-0000-0000DCAD0000}"/>
    <cellStyle name="常规 9 4 2 2 4 2 2 3" xfId="4610" xr:uid="{00000000-0005-0000-0000-0000DDAD0000}"/>
    <cellStyle name="常规 9 4 2 2 4 2 2 3 2" xfId="10754" xr:uid="{00000000-0005-0000-0000-0000DEAD0000}"/>
    <cellStyle name="常规 9 4 2 2 4 2 2 3 2 2" xfId="23042" xr:uid="{00000000-0005-0000-0000-0000DFAD0000}"/>
    <cellStyle name="常规 9 4 2 2 4 2 2 3 2 2 2" xfId="47618" xr:uid="{00000000-0005-0000-0000-0000E0AD0000}"/>
    <cellStyle name="常规 9 4 2 2 4 2 2 3 2 3" xfId="35330" xr:uid="{00000000-0005-0000-0000-0000E1AD0000}"/>
    <cellStyle name="常规 9 4 2 2 4 2 2 3 3" xfId="16898" xr:uid="{00000000-0005-0000-0000-0000E2AD0000}"/>
    <cellStyle name="常规 9 4 2 2 4 2 2 3 3 2" xfId="41474" xr:uid="{00000000-0005-0000-0000-0000E3AD0000}"/>
    <cellStyle name="常规 9 4 2 2 4 2 2 3 4" xfId="29186" xr:uid="{00000000-0005-0000-0000-0000E4AD0000}"/>
    <cellStyle name="常规 9 4 2 2 4 2 2 4" xfId="7682" xr:uid="{00000000-0005-0000-0000-0000E5AD0000}"/>
    <cellStyle name="常规 9 4 2 2 4 2 2 4 2" xfId="19970" xr:uid="{00000000-0005-0000-0000-0000E6AD0000}"/>
    <cellStyle name="常规 9 4 2 2 4 2 2 4 2 2" xfId="44546" xr:uid="{00000000-0005-0000-0000-0000E7AD0000}"/>
    <cellStyle name="常规 9 4 2 2 4 2 2 4 3" xfId="32258" xr:uid="{00000000-0005-0000-0000-0000E8AD0000}"/>
    <cellStyle name="常规 9 4 2 2 4 2 2 5" xfId="13826" xr:uid="{00000000-0005-0000-0000-0000E9AD0000}"/>
    <cellStyle name="常规 9 4 2 2 4 2 2 5 2" xfId="38402" xr:uid="{00000000-0005-0000-0000-0000EAAD0000}"/>
    <cellStyle name="常规 9 4 2 2 4 2 2 6" xfId="26114" xr:uid="{00000000-0005-0000-0000-0000EBAD0000}"/>
    <cellStyle name="常规 9 4 2 2 4 2 3" xfId="2302" xr:uid="{00000000-0005-0000-0000-0000ECAD0000}"/>
    <cellStyle name="常规 9 4 2 2 4 2 3 2" xfId="5378" xr:uid="{00000000-0005-0000-0000-0000EDAD0000}"/>
    <cellStyle name="常规 9 4 2 2 4 2 3 2 2" xfId="11522" xr:uid="{00000000-0005-0000-0000-0000EEAD0000}"/>
    <cellStyle name="常规 9 4 2 2 4 2 3 2 2 2" xfId="23810" xr:uid="{00000000-0005-0000-0000-0000EFAD0000}"/>
    <cellStyle name="常规 9 4 2 2 4 2 3 2 2 2 2" xfId="48386" xr:uid="{00000000-0005-0000-0000-0000F0AD0000}"/>
    <cellStyle name="常规 9 4 2 2 4 2 3 2 2 3" xfId="36098" xr:uid="{00000000-0005-0000-0000-0000F1AD0000}"/>
    <cellStyle name="常规 9 4 2 2 4 2 3 2 3" xfId="17666" xr:uid="{00000000-0005-0000-0000-0000F2AD0000}"/>
    <cellStyle name="常规 9 4 2 2 4 2 3 2 3 2" xfId="42242" xr:uid="{00000000-0005-0000-0000-0000F3AD0000}"/>
    <cellStyle name="常规 9 4 2 2 4 2 3 2 4" xfId="29954" xr:uid="{00000000-0005-0000-0000-0000F4AD0000}"/>
    <cellStyle name="常规 9 4 2 2 4 2 3 3" xfId="8450" xr:uid="{00000000-0005-0000-0000-0000F5AD0000}"/>
    <cellStyle name="常规 9 4 2 2 4 2 3 3 2" xfId="20738" xr:uid="{00000000-0005-0000-0000-0000F6AD0000}"/>
    <cellStyle name="常规 9 4 2 2 4 2 3 3 2 2" xfId="45314" xr:uid="{00000000-0005-0000-0000-0000F7AD0000}"/>
    <cellStyle name="常规 9 4 2 2 4 2 3 3 3" xfId="33026" xr:uid="{00000000-0005-0000-0000-0000F8AD0000}"/>
    <cellStyle name="常规 9 4 2 2 4 2 3 4" xfId="14594" xr:uid="{00000000-0005-0000-0000-0000F9AD0000}"/>
    <cellStyle name="常规 9 4 2 2 4 2 3 4 2" xfId="39170" xr:uid="{00000000-0005-0000-0000-0000FAAD0000}"/>
    <cellStyle name="常规 9 4 2 2 4 2 3 5" xfId="26882" xr:uid="{00000000-0005-0000-0000-0000FBAD0000}"/>
    <cellStyle name="常规 9 4 2 2 4 2 4" xfId="3842" xr:uid="{00000000-0005-0000-0000-0000FCAD0000}"/>
    <cellStyle name="常规 9 4 2 2 4 2 4 2" xfId="9986" xr:uid="{00000000-0005-0000-0000-0000FDAD0000}"/>
    <cellStyle name="常规 9 4 2 2 4 2 4 2 2" xfId="22274" xr:uid="{00000000-0005-0000-0000-0000FEAD0000}"/>
    <cellStyle name="常规 9 4 2 2 4 2 4 2 2 2" xfId="46850" xr:uid="{00000000-0005-0000-0000-0000FFAD0000}"/>
    <cellStyle name="常规 9 4 2 2 4 2 4 2 3" xfId="34562" xr:uid="{00000000-0005-0000-0000-000000AE0000}"/>
    <cellStyle name="常规 9 4 2 2 4 2 4 3" xfId="16130" xr:uid="{00000000-0005-0000-0000-000001AE0000}"/>
    <cellStyle name="常规 9 4 2 2 4 2 4 3 2" xfId="40706" xr:uid="{00000000-0005-0000-0000-000002AE0000}"/>
    <cellStyle name="常规 9 4 2 2 4 2 4 4" xfId="28418" xr:uid="{00000000-0005-0000-0000-000003AE0000}"/>
    <cellStyle name="常规 9 4 2 2 4 2 5" xfId="6914" xr:uid="{00000000-0005-0000-0000-000004AE0000}"/>
    <cellStyle name="常规 9 4 2 2 4 2 5 2" xfId="19202" xr:uid="{00000000-0005-0000-0000-000005AE0000}"/>
    <cellStyle name="常规 9 4 2 2 4 2 5 2 2" xfId="43778" xr:uid="{00000000-0005-0000-0000-000006AE0000}"/>
    <cellStyle name="常规 9 4 2 2 4 2 5 3" xfId="31490" xr:uid="{00000000-0005-0000-0000-000007AE0000}"/>
    <cellStyle name="常规 9 4 2 2 4 2 6" xfId="13058" xr:uid="{00000000-0005-0000-0000-000008AE0000}"/>
    <cellStyle name="常规 9 4 2 2 4 2 6 2" xfId="37634" xr:uid="{00000000-0005-0000-0000-000009AE0000}"/>
    <cellStyle name="常规 9 4 2 2 4 2 7" xfId="25346" xr:uid="{00000000-0005-0000-0000-00000AAE0000}"/>
    <cellStyle name="常规 9 4 2 2 4 3" xfId="1150" xr:uid="{00000000-0005-0000-0000-00000BAE0000}"/>
    <cellStyle name="常规 9 4 2 2 4 3 2" xfId="2686" xr:uid="{00000000-0005-0000-0000-00000CAE0000}"/>
    <cellStyle name="常规 9 4 2 2 4 3 2 2" xfId="5762" xr:uid="{00000000-0005-0000-0000-00000DAE0000}"/>
    <cellStyle name="常规 9 4 2 2 4 3 2 2 2" xfId="11906" xr:uid="{00000000-0005-0000-0000-00000EAE0000}"/>
    <cellStyle name="常规 9 4 2 2 4 3 2 2 2 2" xfId="24194" xr:uid="{00000000-0005-0000-0000-00000FAE0000}"/>
    <cellStyle name="常规 9 4 2 2 4 3 2 2 2 2 2" xfId="48770" xr:uid="{00000000-0005-0000-0000-000010AE0000}"/>
    <cellStyle name="常规 9 4 2 2 4 3 2 2 2 3" xfId="36482" xr:uid="{00000000-0005-0000-0000-000011AE0000}"/>
    <cellStyle name="常规 9 4 2 2 4 3 2 2 3" xfId="18050" xr:uid="{00000000-0005-0000-0000-000012AE0000}"/>
    <cellStyle name="常规 9 4 2 2 4 3 2 2 3 2" xfId="42626" xr:uid="{00000000-0005-0000-0000-000013AE0000}"/>
    <cellStyle name="常规 9 4 2 2 4 3 2 2 4" xfId="30338" xr:uid="{00000000-0005-0000-0000-000014AE0000}"/>
    <cellStyle name="常规 9 4 2 2 4 3 2 3" xfId="8834" xr:uid="{00000000-0005-0000-0000-000015AE0000}"/>
    <cellStyle name="常规 9 4 2 2 4 3 2 3 2" xfId="21122" xr:uid="{00000000-0005-0000-0000-000016AE0000}"/>
    <cellStyle name="常规 9 4 2 2 4 3 2 3 2 2" xfId="45698" xr:uid="{00000000-0005-0000-0000-000017AE0000}"/>
    <cellStyle name="常规 9 4 2 2 4 3 2 3 3" xfId="33410" xr:uid="{00000000-0005-0000-0000-000018AE0000}"/>
    <cellStyle name="常规 9 4 2 2 4 3 2 4" xfId="14978" xr:uid="{00000000-0005-0000-0000-000019AE0000}"/>
    <cellStyle name="常规 9 4 2 2 4 3 2 4 2" xfId="39554" xr:uid="{00000000-0005-0000-0000-00001AAE0000}"/>
    <cellStyle name="常规 9 4 2 2 4 3 2 5" xfId="27266" xr:uid="{00000000-0005-0000-0000-00001BAE0000}"/>
    <cellStyle name="常规 9 4 2 2 4 3 3" xfId="4226" xr:uid="{00000000-0005-0000-0000-00001CAE0000}"/>
    <cellStyle name="常规 9 4 2 2 4 3 3 2" xfId="10370" xr:uid="{00000000-0005-0000-0000-00001DAE0000}"/>
    <cellStyle name="常规 9 4 2 2 4 3 3 2 2" xfId="22658" xr:uid="{00000000-0005-0000-0000-00001EAE0000}"/>
    <cellStyle name="常规 9 4 2 2 4 3 3 2 2 2" xfId="47234" xr:uid="{00000000-0005-0000-0000-00001FAE0000}"/>
    <cellStyle name="常规 9 4 2 2 4 3 3 2 3" xfId="34946" xr:uid="{00000000-0005-0000-0000-000020AE0000}"/>
    <cellStyle name="常规 9 4 2 2 4 3 3 3" xfId="16514" xr:uid="{00000000-0005-0000-0000-000021AE0000}"/>
    <cellStyle name="常规 9 4 2 2 4 3 3 3 2" xfId="41090" xr:uid="{00000000-0005-0000-0000-000022AE0000}"/>
    <cellStyle name="常规 9 4 2 2 4 3 3 4" xfId="28802" xr:uid="{00000000-0005-0000-0000-000023AE0000}"/>
    <cellStyle name="常规 9 4 2 2 4 3 4" xfId="7298" xr:uid="{00000000-0005-0000-0000-000024AE0000}"/>
    <cellStyle name="常规 9 4 2 2 4 3 4 2" xfId="19586" xr:uid="{00000000-0005-0000-0000-000025AE0000}"/>
    <cellStyle name="常规 9 4 2 2 4 3 4 2 2" xfId="44162" xr:uid="{00000000-0005-0000-0000-000026AE0000}"/>
    <cellStyle name="常规 9 4 2 2 4 3 4 3" xfId="31874" xr:uid="{00000000-0005-0000-0000-000027AE0000}"/>
    <cellStyle name="常规 9 4 2 2 4 3 5" xfId="13442" xr:uid="{00000000-0005-0000-0000-000028AE0000}"/>
    <cellStyle name="常规 9 4 2 2 4 3 5 2" xfId="38018" xr:uid="{00000000-0005-0000-0000-000029AE0000}"/>
    <cellStyle name="常规 9 4 2 2 4 3 6" xfId="25730" xr:uid="{00000000-0005-0000-0000-00002AAE0000}"/>
    <cellStyle name="常规 9 4 2 2 4 4" xfId="1918" xr:uid="{00000000-0005-0000-0000-00002BAE0000}"/>
    <cellStyle name="常规 9 4 2 2 4 4 2" xfId="4994" xr:uid="{00000000-0005-0000-0000-00002CAE0000}"/>
    <cellStyle name="常规 9 4 2 2 4 4 2 2" xfId="11138" xr:uid="{00000000-0005-0000-0000-00002DAE0000}"/>
    <cellStyle name="常规 9 4 2 2 4 4 2 2 2" xfId="23426" xr:uid="{00000000-0005-0000-0000-00002EAE0000}"/>
    <cellStyle name="常规 9 4 2 2 4 4 2 2 2 2" xfId="48002" xr:uid="{00000000-0005-0000-0000-00002FAE0000}"/>
    <cellStyle name="常规 9 4 2 2 4 4 2 2 3" xfId="35714" xr:uid="{00000000-0005-0000-0000-000030AE0000}"/>
    <cellStyle name="常规 9 4 2 2 4 4 2 3" xfId="17282" xr:uid="{00000000-0005-0000-0000-000031AE0000}"/>
    <cellStyle name="常规 9 4 2 2 4 4 2 3 2" xfId="41858" xr:uid="{00000000-0005-0000-0000-000032AE0000}"/>
    <cellStyle name="常规 9 4 2 2 4 4 2 4" xfId="29570" xr:uid="{00000000-0005-0000-0000-000033AE0000}"/>
    <cellStyle name="常规 9 4 2 2 4 4 3" xfId="8066" xr:uid="{00000000-0005-0000-0000-000034AE0000}"/>
    <cellStyle name="常规 9 4 2 2 4 4 3 2" xfId="20354" xr:uid="{00000000-0005-0000-0000-000035AE0000}"/>
    <cellStyle name="常规 9 4 2 2 4 4 3 2 2" xfId="44930" xr:uid="{00000000-0005-0000-0000-000036AE0000}"/>
    <cellStyle name="常规 9 4 2 2 4 4 3 3" xfId="32642" xr:uid="{00000000-0005-0000-0000-000037AE0000}"/>
    <cellStyle name="常规 9 4 2 2 4 4 4" xfId="14210" xr:uid="{00000000-0005-0000-0000-000038AE0000}"/>
    <cellStyle name="常规 9 4 2 2 4 4 4 2" xfId="38786" xr:uid="{00000000-0005-0000-0000-000039AE0000}"/>
    <cellStyle name="常规 9 4 2 2 4 4 5" xfId="26498" xr:uid="{00000000-0005-0000-0000-00003AAE0000}"/>
    <cellStyle name="常规 9 4 2 2 4 5" xfId="3458" xr:uid="{00000000-0005-0000-0000-00003BAE0000}"/>
    <cellStyle name="常规 9 4 2 2 4 5 2" xfId="9602" xr:uid="{00000000-0005-0000-0000-00003CAE0000}"/>
    <cellStyle name="常规 9 4 2 2 4 5 2 2" xfId="21890" xr:uid="{00000000-0005-0000-0000-00003DAE0000}"/>
    <cellStyle name="常规 9 4 2 2 4 5 2 2 2" xfId="46466" xr:uid="{00000000-0005-0000-0000-00003EAE0000}"/>
    <cellStyle name="常规 9 4 2 2 4 5 2 3" xfId="34178" xr:uid="{00000000-0005-0000-0000-00003FAE0000}"/>
    <cellStyle name="常规 9 4 2 2 4 5 3" xfId="15746" xr:uid="{00000000-0005-0000-0000-000040AE0000}"/>
    <cellStyle name="常规 9 4 2 2 4 5 3 2" xfId="40322" xr:uid="{00000000-0005-0000-0000-000041AE0000}"/>
    <cellStyle name="常规 9 4 2 2 4 5 4" xfId="28034" xr:uid="{00000000-0005-0000-0000-000042AE0000}"/>
    <cellStyle name="常规 9 4 2 2 4 6" xfId="6530" xr:uid="{00000000-0005-0000-0000-000043AE0000}"/>
    <cellStyle name="常规 9 4 2 2 4 6 2" xfId="18818" xr:uid="{00000000-0005-0000-0000-000044AE0000}"/>
    <cellStyle name="常规 9 4 2 2 4 6 2 2" xfId="43394" xr:uid="{00000000-0005-0000-0000-000045AE0000}"/>
    <cellStyle name="常规 9 4 2 2 4 6 3" xfId="31106" xr:uid="{00000000-0005-0000-0000-000046AE0000}"/>
    <cellStyle name="常规 9 4 2 2 4 7" xfId="12674" xr:uid="{00000000-0005-0000-0000-000047AE0000}"/>
    <cellStyle name="常规 9 4 2 2 4 7 2" xfId="37250" xr:uid="{00000000-0005-0000-0000-000048AE0000}"/>
    <cellStyle name="常规 9 4 2 2 4 8" xfId="24962" xr:uid="{00000000-0005-0000-0000-000049AE0000}"/>
    <cellStyle name="常规 9 4 2 2 5" xfId="574" xr:uid="{00000000-0005-0000-0000-00004AAE0000}"/>
    <cellStyle name="常规 9 4 2 2 5 2" xfId="1342" xr:uid="{00000000-0005-0000-0000-00004BAE0000}"/>
    <cellStyle name="常规 9 4 2 2 5 2 2" xfId="2878" xr:uid="{00000000-0005-0000-0000-00004CAE0000}"/>
    <cellStyle name="常规 9 4 2 2 5 2 2 2" xfId="5954" xr:uid="{00000000-0005-0000-0000-00004DAE0000}"/>
    <cellStyle name="常规 9 4 2 2 5 2 2 2 2" xfId="12098" xr:uid="{00000000-0005-0000-0000-00004EAE0000}"/>
    <cellStyle name="常规 9 4 2 2 5 2 2 2 2 2" xfId="24386" xr:uid="{00000000-0005-0000-0000-00004FAE0000}"/>
    <cellStyle name="常规 9 4 2 2 5 2 2 2 2 2 2" xfId="48962" xr:uid="{00000000-0005-0000-0000-000050AE0000}"/>
    <cellStyle name="常规 9 4 2 2 5 2 2 2 2 3" xfId="36674" xr:uid="{00000000-0005-0000-0000-000051AE0000}"/>
    <cellStyle name="常规 9 4 2 2 5 2 2 2 3" xfId="18242" xr:uid="{00000000-0005-0000-0000-000052AE0000}"/>
    <cellStyle name="常规 9 4 2 2 5 2 2 2 3 2" xfId="42818" xr:uid="{00000000-0005-0000-0000-000053AE0000}"/>
    <cellStyle name="常规 9 4 2 2 5 2 2 2 4" xfId="30530" xr:uid="{00000000-0005-0000-0000-000054AE0000}"/>
    <cellStyle name="常规 9 4 2 2 5 2 2 3" xfId="9026" xr:uid="{00000000-0005-0000-0000-000055AE0000}"/>
    <cellStyle name="常规 9 4 2 2 5 2 2 3 2" xfId="21314" xr:uid="{00000000-0005-0000-0000-000056AE0000}"/>
    <cellStyle name="常规 9 4 2 2 5 2 2 3 2 2" xfId="45890" xr:uid="{00000000-0005-0000-0000-000057AE0000}"/>
    <cellStyle name="常规 9 4 2 2 5 2 2 3 3" xfId="33602" xr:uid="{00000000-0005-0000-0000-000058AE0000}"/>
    <cellStyle name="常规 9 4 2 2 5 2 2 4" xfId="15170" xr:uid="{00000000-0005-0000-0000-000059AE0000}"/>
    <cellStyle name="常规 9 4 2 2 5 2 2 4 2" xfId="39746" xr:uid="{00000000-0005-0000-0000-00005AAE0000}"/>
    <cellStyle name="常规 9 4 2 2 5 2 2 5" xfId="27458" xr:uid="{00000000-0005-0000-0000-00005BAE0000}"/>
    <cellStyle name="常规 9 4 2 2 5 2 3" xfId="4418" xr:uid="{00000000-0005-0000-0000-00005CAE0000}"/>
    <cellStyle name="常规 9 4 2 2 5 2 3 2" xfId="10562" xr:uid="{00000000-0005-0000-0000-00005DAE0000}"/>
    <cellStyle name="常规 9 4 2 2 5 2 3 2 2" xfId="22850" xr:uid="{00000000-0005-0000-0000-00005EAE0000}"/>
    <cellStyle name="常规 9 4 2 2 5 2 3 2 2 2" xfId="47426" xr:uid="{00000000-0005-0000-0000-00005FAE0000}"/>
    <cellStyle name="常规 9 4 2 2 5 2 3 2 3" xfId="35138" xr:uid="{00000000-0005-0000-0000-000060AE0000}"/>
    <cellStyle name="常规 9 4 2 2 5 2 3 3" xfId="16706" xr:uid="{00000000-0005-0000-0000-000061AE0000}"/>
    <cellStyle name="常规 9 4 2 2 5 2 3 3 2" xfId="41282" xr:uid="{00000000-0005-0000-0000-000062AE0000}"/>
    <cellStyle name="常规 9 4 2 2 5 2 3 4" xfId="28994" xr:uid="{00000000-0005-0000-0000-000063AE0000}"/>
    <cellStyle name="常规 9 4 2 2 5 2 4" xfId="7490" xr:uid="{00000000-0005-0000-0000-000064AE0000}"/>
    <cellStyle name="常规 9 4 2 2 5 2 4 2" xfId="19778" xr:uid="{00000000-0005-0000-0000-000065AE0000}"/>
    <cellStyle name="常规 9 4 2 2 5 2 4 2 2" xfId="44354" xr:uid="{00000000-0005-0000-0000-000066AE0000}"/>
    <cellStyle name="常规 9 4 2 2 5 2 4 3" xfId="32066" xr:uid="{00000000-0005-0000-0000-000067AE0000}"/>
    <cellStyle name="常规 9 4 2 2 5 2 5" xfId="13634" xr:uid="{00000000-0005-0000-0000-000068AE0000}"/>
    <cellStyle name="常规 9 4 2 2 5 2 5 2" xfId="38210" xr:uid="{00000000-0005-0000-0000-000069AE0000}"/>
    <cellStyle name="常规 9 4 2 2 5 2 6" xfId="25922" xr:uid="{00000000-0005-0000-0000-00006AAE0000}"/>
    <cellStyle name="常规 9 4 2 2 5 3" xfId="2110" xr:uid="{00000000-0005-0000-0000-00006BAE0000}"/>
    <cellStyle name="常规 9 4 2 2 5 3 2" xfId="5186" xr:uid="{00000000-0005-0000-0000-00006CAE0000}"/>
    <cellStyle name="常规 9 4 2 2 5 3 2 2" xfId="11330" xr:uid="{00000000-0005-0000-0000-00006DAE0000}"/>
    <cellStyle name="常规 9 4 2 2 5 3 2 2 2" xfId="23618" xr:uid="{00000000-0005-0000-0000-00006EAE0000}"/>
    <cellStyle name="常规 9 4 2 2 5 3 2 2 2 2" xfId="48194" xr:uid="{00000000-0005-0000-0000-00006FAE0000}"/>
    <cellStyle name="常规 9 4 2 2 5 3 2 2 3" xfId="35906" xr:uid="{00000000-0005-0000-0000-000070AE0000}"/>
    <cellStyle name="常规 9 4 2 2 5 3 2 3" xfId="17474" xr:uid="{00000000-0005-0000-0000-000071AE0000}"/>
    <cellStyle name="常规 9 4 2 2 5 3 2 3 2" xfId="42050" xr:uid="{00000000-0005-0000-0000-000072AE0000}"/>
    <cellStyle name="常规 9 4 2 2 5 3 2 4" xfId="29762" xr:uid="{00000000-0005-0000-0000-000073AE0000}"/>
    <cellStyle name="常规 9 4 2 2 5 3 3" xfId="8258" xr:uid="{00000000-0005-0000-0000-000074AE0000}"/>
    <cellStyle name="常规 9 4 2 2 5 3 3 2" xfId="20546" xr:uid="{00000000-0005-0000-0000-000075AE0000}"/>
    <cellStyle name="常规 9 4 2 2 5 3 3 2 2" xfId="45122" xr:uid="{00000000-0005-0000-0000-000076AE0000}"/>
    <cellStyle name="常规 9 4 2 2 5 3 3 3" xfId="32834" xr:uid="{00000000-0005-0000-0000-000077AE0000}"/>
    <cellStyle name="常规 9 4 2 2 5 3 4" xfId="14402" xr:uid="{00000000-0005-0000-0000-000078AE0000}"/>
    <cellStyle name="常规 9 4 2 2 5 3 4 2" xfId="38978" xr:uid="{00000000-0005-0000-0000-000079AE0000}"/>
    <cellStyle name="常规 9 4 2 2 5 3 5" xfId="26690" xr:uid="{00000000-0005-0000-0000-00007AAE0000}"/>
    <cellStyle name="常规 9 4 2 2 5 4" xfId="3650" xr:uid="{00000000-0005-0000-0000-00007BAE0000}"/>
    <cellStyle name="常规 9 4 2 2 5 4 2" xfId="9794" xr:uid="{00000000-0005-0000-0000-00007CAE0000}"/>
    <cellStyle name="常规 9 4 2 2 5 4 2 2" xfId="22082" xr:uid="{00000000-0005-0000-0000-00007DAE0000}"/>
    <cellStyle name="常规 9 4 2 2 5 4 2 2 2" xfId="46658" xr:uid="{00000000-0005-0000-0000-00007EAE0000}"/>
    <cellStyle name="常规 9 4 2 2 5 4 2 3" xfId="34370" xr:uid="{00000000-0005-0000-0000-00007FAE0000}"/>
    <cellStyle name="常规 9 4 2 2 5 4 3" xfId="15938" xr:uid="{00000000-0005-0000-0000-000080AE0000}"/>
    <cellStyle name="常规 9 4 2 2 5 4 3 2" xfId="40514" xr:uid="{00000000-0005-0000-0000-000081AE0000}"/>
    <cellStyle name="常规 9 4 2 2 5 4 4" xfId="28226" xr:uid="{00000000-0005-0000-0000-000082AE0000}"/>
    <cellStyle name="常规 9 4 2 2 5 5" xfId="6722" xr:uid="{00000000-0005-0000-0000-000083AE0000}"/>
    <cellStyle name="常规 9 4 2 2 5 5 2" xfId="19010" xr:uid="{00000000-0005-0000-0000-000084AE0000}"/>
    <cellStyle name="常规 9 4 2 2 5 5 2 2" xfId="43586" xr:uid="{00000000-0005-0000-0000-000085AE0000}"/>
    <cellStyle name="常规 9 4 2 2 5 5 3" xfId="31298" xr:uid="{00000000-0005-0000-0000-000086AE0000}"/>
    <cellStyle name="常规 9 4 2 2 5 6" xfId="12866" xr:uid="{00000000-0005-0000-0000-000087AE0000}"/>
    <cellStyle name="常规 9 4 2 2 5 6 2" xfId="37442" xr:uid="{00000000-0005-0000-0000-000088AE0000}"/>
    <cellStyle name="常规 9 4 2 2 5 7" xfId="25154" xr:uid="{00000000-0005-0000-0000-000089AE0000}"/>
    <cellStyle name="常规 9 4 2 2 6" xfId="958" xr:uid="{00000000-0005-0000-0000-00008AAE0000}"/>
    <cellStyle name="常规 9 4 2 2 6 2" xfId="2494" xr:uid="{00000000-0005-0000-0000-00008BAE0000}"/>
    <cellStyle name="常规 9 4 2 2 6 2 2" xfId="5570" xr:uid="{00000000-0005-0000-0000-00008CAE0000}"/>
    <cellStyle name="常规 9 4 2 2 6 2 2 2" xfId="11714" xr:uid="{00000000-0005-0000-0000-00008DAE0000}"/>
    <cellStyle name="常规 9 4 2 2 6 2 2 2 2" xfId="24002" xr:uid="{00000000-0005-0000-0000-00008EAE0000}"/>
    <cellStyle name="常规 9 4 2 2 6 2 2 2 2 2" xfId="48578" xr:uid="{00000000-0005-0000-0000-00008FAE0000}"/>
    <cellStyle name="常规 9 4 2 2 6 2 2 2 3" xfId="36290" xr:uid="{00000000-0005-0000-0000-000090AE0000}"/>
    <cellStyle name="常规 9 4 2 2 6 2 2 3" xfId="17858" xr:uid="{00000000-0005-0000-0000-000091AE0000}"/>
    <cellStyle name="常规 9 4 2 2 6 2 2 3 2" xfId="42434" xr:uid="{00000000-0005-0000-0000-000092AE0000}"/>
    <cellStyle name="常规 9 4 2 2 6 2 2 4" xfId="30146" xr:uid="{00000000-0005-0000-0000-000093AE0000}"/>
    <cellStyle name="常规 9 4 2 2 6 2 3" xfId="8642" xr:uid="{00000000-0005-0000-0000-000094AE0000}"/>
    <cellStyle name="常规 9 4 2 2 6 2 3 2" xfId="20930" xr:uid="{00000000-0005-0000-0000-000095AE0000}"/>
    <cellStyle name="常规 9 4 2 2 6 2 3 2 2" xfId="45506" xr:uid="{00000000-0005-0000-0000-000096AE0000}"/>
    <cellStyle name="常规 9 4 2 2 6 2 3 3" xfId="33218" xr:uid="{00000000-0005-0000-0000-000097AE0000}"/>
    <cellStyle name="常规 9 4 2 2 6 2 4" xfId="14786" xr:uid="{00000000-0005-0000-0000-000098AE0000}"/>
    <cellStyle name="常规 9 4 2 2 6 2 4 2" xfId="39362" xr:uid="{00000000-0005-0000-0000-000099AE0000}"/>
    <cellStyle name="常规 9 4 2 2 6 2 5" xfId="27074" xr:uid="{00000000-0005-0000-0000-00009AAE0000}"/>
    <cellStyle name="常规 9 4 2 2 6 3" xfId="4034" xr:uid="{00000000-0005-0000-0000-00009BAE0000}"/>
    <cellStyle name="常规 9 4 2 2 6 3 2" xfId="10178" xr:uid="{00000000-0005-0000-0000-00009CAE0000}"/>
    <cellStyle name="常规 9 4 2 2 6 3 2 2" xfId="22466" xr:uid="{00000000-0005-0000-0000-00009DAE0000}"/>
    <cellStyle name="常规 9 4 2 2 6 3 2 2 2" xfId="47042" xr:uid="{00000000-0005-0000-0000-00009EAE0000}"/>
    <cellStyle name="常规 9 4 2 2 6 3 2 3" xfId="34754" xr:uid="{00000000-0005-0000-0000-00009FAE0000}"/>
    <cellStyle name="常规 9 4 2 2 6 3 3" xfId="16322" xr:uid="{00000000-0005-0000-0000-0000A0AE0000}"/>
    <cellStyle name="常规 9 4 2 2 6 3 3 2" xfId="40898" xr:uid="{00000000-0005-0000-0000-0000A1AE0000}"/>
    <cellStyle name="常规 9 4 2 2 6 3 4" xfId="28610" xr:uid="{00000000-0005-0000-0000-0000A2AE0000}"/>
    <cellStyle name="常规 9 4 2 2 6 4" xfId="7106" xr:uid="{00000000-0005-0000-0000-0000A3AE0000}"/>
    <cellStyle name="常规 9 4 2 2 6 4 2" xfId="19394" xr:uid="{00000000-0005-0000-0000-0000A4AE0000}"/>
    <cellStyle name="常规 9 4 2 2 6 4 2 2" xfId="43970" xr:uid="{00000000-0005-0000-0000-0000A5AE0000}"/>
    <cellStyle name="常规 9 4 2 2 6 4 3" xfId="31682" xr:uid="{00000000-0005-0000-0000-0000A6AE0000}"/>
    <cellStyle name="常规 9 4 2 2 6 5" xfId="13250" xr:uid="{00000000-0005-0000-0000-0000A7AE0000}"/>
    <cellStyle name="常规 9 4 2 2 6 5 2" xfId="37826" xr:uid="{00000000-0005-0000-0000-0000A8AE0000}"/>
    <cellStyle name="常规 9 4 2 2 6 6" xfId="25538" xr:uid="{00000000-0005-0000-0000-0000A9AE0000}"/>
    <cellStyle name="常规 9 4 2 2 7" xfId="1726" xr:uid="{00000000-0005-0000-0000-0000AAAE0000}"/>
    <cellStyle name="常规 9 4 2 2 7 2" xfId="4802" xr:uid="{00000000-0005-0000-0000-0000ABAE0000}"/>
    <cellStyle name="常规 9 4 2 2 7 2 2" xfId="10946" xr:uid="{00000000-0005-0000-0000-0000ACAE0000}"/>
    <cellStyle name="常规 9 4 2 2 7 2 2 2" xfId="23234" xr:uid="{00000000-0005-0000-0000-0000ADAE0000}"/>
    <cellStyle name="常规 9 4 2 2 7 2 2 2 2" xfId="47810" xr:uid="{00000000-0005-0000-0000-0000AEAE0000}"/>
    <cellStyle name="常规 9 4 2 2 7 2 2 3" xfId="35522" xr:uid="{00000000-0005-0000-0000-0000AFAE0000}"/>
    <cellStyle name="常规 9 4 2 2 7 2 3" xfId="17090" xr:uid="{00000000-0005-0000-0000-0000B0AE0000}"/>
    <cellStyle name="常规 9 4 2 2 7 2 3 2" xfId="41666" xr:uid="{00000000-0005-0000-0000-0000B1AE0000}"/>
    <cellStyle name="常规 9 4 2 2 7 2 4" xfId="29378" xr:uid="{00000000-0005-0000-0000-0000B2AE0000}"/>
    <cellStyle name="常规 9 4 2 2 7 3" xfId="7874" xr:uid="{00000000-0005-0000-0000-0000B3AE0000}"/>
    <cellStyle name="常规 9 4 2 2 7 3 2" xfId="20162" xr:uid="{00000000-0005-0000-0000-0000B4AE0000}"/>
    <cellStyle name="常规 9 4 2 2 7 3 2 2" xfId="44738" xr:uid="{00000000-0005-0000-0000-0000B5AE0000}"/>
    <cellStyle name="常规 9 4 2 2 7 3 3" xfId="32450" xr:uid="{00000000-0005-0000-0000-0000B6AE0000}"/>
    <cellStyle name="常规 9 4 2 2 7 4" xfId="14018" xr:uid="{00000000-0005-0000-0000-0000B7AE0000}"/>
    <cellStyle name="常规 9 4 2 2 7 4 2" xfId="38594" xr:uid="{00000000-0005-0000-0000-0000B8AE0000}"/>
    <cellStyle name="常规 9 4 2 2 7 5" xfId="26306" xr:uid="{00000000-0005-0000-0000-0000B9AE0000}"/>
    <cellStyle name="常规 9 4 2 2 8" xfId="3266" xr:uid="{00000000-0005-0000-0000-0000BAAE0000}"/>
    <cellStyle name="常规 9 4 2 2 8 2" xfId="9410" xr:uid="{00000000-0005-0000-0000-0000BBAE0000}"/>
    <cellStyle name="常规 9 4 2 2 8 2 2" xfId="21698" xr:uid="{00000000-0005-0000-0000-0000BCAE0000}"/>
    <cellStyle name="常规 9 4 2 2 8 2 2 2" xfId="46274" xr:uid="{00000000-0005-0000-0000-0000BDAE0000}"/>
    <cellStyle name="常规 9 4 2 2 8 2 3" xfId="33986" xr:uid="{00000000-0005-0000-0000-0000BEAE0000}"/>
    <cellStyle name="常规 9 4 2 2 8 3" xfId="15554" xr:uid="{00000000-0005-0000-0000-0000BFAE0000}"/>
    <cellStyle name="常规 9 4 2 2 8 3 2" xfId="40130" xr:uid="{00000000-0005-0000-0000-0000C0AE0000}"/>
    <cellStyle name="常规 9 4 2 2 8 4" xfId="27842" xr:uid="{00000000-0005-0000-0000-0000C1AE0000}"/>
    <cellStyle name="常规 9 4 2 2 9" xfId="6338" xr:uid="{00000000-0005-0000-0000-0000C2AE0000}"/>
    <cellStyle name="常规 9 4 2 2 9 2" xfId="18626" xr:uid="{00000000-0005-0000-0000-0000C3AE0000}"/>
    <cellStyle name="常规 9 4 2 2 9 2 2" xfId="43202" xr:uid="{00000000-0005-0000-0000-0000C4AE0000}"/>
    <cellStyle name="常规 9 4 2 2 9 3" xfId="30914" xr:uid="{00000000-0005-0000-0000-0000C5AE0000}"/>
    <cellStyle name="常规 9 4 2 3" xfId="222" xr:uid="{00000000-0005-0000-0000-0000C6AE0000}"/>
    <cellStyle name="常规 9 4 2 3 2" xfId="414" xr:uid="{00000000-0005-0000-0000-0000C7AE0000}"/>
    <cellStyle name="常规 9 4 2 3 2 2" xfId="798" xr:uid="{00000000-0005-0000-0000-0000C8AE0000}"/>
    <cellStyle name="常规 9 4 2 3 2 2 2" xfId="1566" xr:uid="{00000000-0005-0000-0000-0000C9AE0000}"/>
    <cellStyle name="常规 9 4 2 3 2 2 2 2" xfId="3102" xr:uid="{00000000-0005-0000-0000-0000CAAE0000}"/>
    <cellStyle name="常规 9 4 2 3 2 2 2 2 2" xfId="6178" xr:uid="{00000000-0005-0000-0000-0000CBAE0000}"/>
    <cellStyle name="常规 9 4 2 3 2 2 2 2 2 2" xfId="12322" xr:uid="{00000000-0005-0000-0000-0000CCAE0000}"/>
    <cellStyle name="常规 9 4 2 3 2 2 2 2 2 2 2" xfId="24610" xr:uid="{00000000-0005-0000-0000-0000CDAE0000}"/>
    <cellStyle name="常规 9 4 2 3 2 2 2 2 2 2 2 2" xfId="49186" xr:uid="{00000000-0005-0000-0000-0000CEAE0000}"/>
    <cellStyle name="常规 9 4 2 3 2 2 2 2 2 2 3" xfId="36898" xr:uid="{00000000-0005-0000-0000-0000CFAE0000}"/>
    <cellStyle name="常规 9 4 2 3 2 2 2 2 2 3" xfId="18466" xr:uid="{00000000-0005-0000-0000-0000D0AE0000}"/>
    <cellStyle name="常规 9 4 2 3 2 2 2 2 2 3 2" xfId="43042" xr:uid="{00000000-0005-0000-0000-0000D1AE0000}"/>
    <cellStyle name="常规 9 4 2 3 2 2 2 2 2 4" xfId="30754" xr:uid="{00000000-0005-0000-0000-0000D2AE0000}"/>
    <cellStyle name="常规 9 4 2 3 2 2 2 2 3" xfId="9250" xr:uid="{00000000-0005-0000-0000-0000D3AE0000}"/>
    <cellStyle name="常规 9 4 2 3 2 2 2 2 3 2" xfId="21538" xr:uid="{00000000-0005-0000-0000-0000D4AE0000}"/>
    <cellStyle name="常规 9 4 2 3 2 2 2 2 3 2 2" xfId="46114" xr:uid="{00000000-0005-0000-0000-0000D5AE0000}"/>
    <cellStyle name="常规 9 4 2 3 2 2 2 2 3 3" xfId="33826" xr:uid="{00000000-0005-0000-0000-0000D6AE0000}"/>
    <cellStyle name="常规 9 4 2 3 2 2 2 2 4" xfId="15394" xr:uid="{00000000-0005-0000-0000-0000D7AE0000}"/>
    <cellStyle name="常规 9 4 2 3 2 2 2 2 4 2" xfId="39970" xr:uid="{00000000-0005-0000-0000-0000D8AE0000}"/>
    <cellStyle name="常规 9 4 2 3 2 2 2 2 5" xfId="27682" xr:uid="{00000000-0005-0000-0000-0000D9AE0000}"/>
    <cellStyle name="常规 9 4 2 3 2 2 2 3" xfId="4642" xr:uid="{00000000-0005-0000-0000-0000DAAE0000}"/>
    <cellStyle name="常规 9 4 2 3 2 2 2 3 2" xfId="10786" xr:uid="{00000000-0005-0000-0000-0000DBAE0000}"/>
    <cellStyle name="常规 9 4 2 3 2 2 2 3 2 2" xfId="23074" xr:uid="{00000000-0005-0000-0000-0000DCAE0000}"/>
    <cellStyle name="常规 9 4 2 3 2 2 2 3 2 2 2" xfId="47650" xr:uid="{00000000-0005-0000-0000-0000DDAE0000}"/>
    <cellStyle name="常规 9 4 2 3 2 2 2 3 2 3" xfId="35362" xr:uid="{00000000-0005-0000-0000-0000DEAE0000}"/>
    <cellStyle name="常规 9 4 2 3 2 2 2 3 3" xfId="16930" xr:uid="{00000000-0005-0000-0000-0000DFAE0000}"/>
    <cellStyle name="常规 9 4 2 3 2 2 2 3 3 2" xfId="41506" xr:uid="{00000000-0005-0000-0000-0000E0AE0000}"/>
    <cellStyle name="常规 9 4 2 3 2 2 2 3 4" xfId="29218" xr:uid="{00000000-0005-0000-0000-0000E1AE0000}"/>
    <cellStyle name="常规 9 4 2 3 2 2 2 4" xfId="7714" xr:uid="{00000000-0005-0000-0000-0000E2AE0000}"/>
    <cellStyle name="常规 9 4 2 3 2 2 2 4 2" xfId="20002" xr:uid="{00000000-0005-0000-0000-0000E3AE0000}"/>
    <cellStyle name="常规 9 4 2 3 2 2 2 4 2 2" xfId="44578" xr:uid="{00000000-0005-0000-0000-0000E4AE0000}"/>
    <cellStyle name="常规 9 4 2 3 2 2 2 4 3" xfId="32290" xr:uid="{00000000-0005-0000-0000-0000E5AE0000}"/>
    <cellStyle name="常规 9 4 2 3 2 2 2 5" xfId="13858" xr:uid="{00000000-0005-0000-0000-0000E6AE0000}"/>
    <cellStyle name="常规 9 4 2 3 2 2 2 5 2" xfId="38434" xr:uid="{00000000-0005-0000-0000-0000E7AE0000}"/>
    <cellStyle name="常规 9 4 2 3 2 2 2 6" xfId="26146" xr:uid="{00000000-0005-0000-0000-0000E8AE0000}"/>
    <cellStyle name="常规 9 4 2 3 2 2 3" xfId="2334" xr:uid="{00000000-0005-0000-0000-0000E9AE0000}"/>
    <cellStyle name="常规 9 4 2 3 2 2 3 2" xfId="5410" xr:uid="{00000000-0005-0000-0000-0000EAAE0000}"/>
    <cellStyle name="常规 9 4 2 3 2 2 3 2 2" xfId="11554" xr:uid="{00000000-0005-0000-0000-0000EBAE0000}"/>
    <cellStyle name="常规 9 4 2 3 2 2 3 2 2 2" xfId="23842" xr:uid="{00000000-0005-0000-0000-0000ECAE0000}"/>
    <cellStyle name="常规 9 4 2 3 2 2 3 2 2 2 2" xfId="48418" xr:uid="{00000000-0005-0000-0000-0000EDAE0000}"/>
    <cellStyle name="常规 9 4 2 3 2 2 3 2 2 3" xfId="36130" xr:uid="{00000000-0005-0000-0000-0000EEAE0000}"/>
    <cellStyle name="常规 9 4 2 3 2 2 3 2 3" xfId="17698" xr:uid="{00000000-0005-0000-0000-0000EFAE0000}"/>
    <cellStyle name="常规 9 4 2 3 2 2 3 2 3 2" xfId="42274" xr:uid="{00000000-0005-0000-0000-0000F0AE0000}"/>
    <cellStyle name="常规 9 4 2 3 2 2 3 2 4" xfId="29986" xr:uid="{00000000-0005-0000-0000-0000F1AE0000}"/>
    <cellStyle name="常规 9 4 2 3 2 2 3 3" xfId="8482" xr:uid="{00000000-0005-0000-0000-0000F2AE0000}"/>
    <cellStyle name="常规 9 4 2 3 2 2 3 3 2" xfId="20770" xr:uid="{00000000-0005-0000-0000-0000F3AE0000}"/>
    <cellStyle name="常规 9 4 2 3 2 2 3 3 2 2" xfId="45346" xr:uid="{00000000-0005-0000-0000-0000F4AE0000}"/>
    <cellStyle name="常规 9 4 2 3 2 2 3 3 3" xfId="33058" xr:uid="{00000000-0005-0000-0000-0000F5AE0000}"/>
    <cellStyle name="常规 9 4 2 3 2 2 3 4" xfId="14626" xr:uid="{00000000-0005-0000-0000-0000F6AE0000}"/>
    <cellStyle name="常规 9 4 2 3 2 2 3 4 2" xfId="39202" xr:uid="{00000000-0005-0000-0000-0000F7AE0000}"/>
    <cellStyle name="常规 9 4 2 3 2 2 3 5" xfId="26914" xr:uid="{00000000-0005-0000-0000-0000F8AE0000}"/>
    <cellStyle name="常规 9 4 2 3 2 2 4" xfId="3874" xr:uid="{00000000-0005-0000-0000-0000F9AE0000}"/>
    <cellStyle name="常规 9 4 2 3 2 2 4 2" xfId="10018" xr:uid="{00000000-0005-0000-0000-0000FAAE0000}"/>
    <cellStyle name="常规 9 4 2 3 2 2 4 2 2" xfId="22306" xr:uid="{00000000-0005-0000-0000-0000FBAE0000}"/>
    <cellStyle name="常规 9 4 2 3 2 2 4 2 2 2" xfId="46882" xr:uid="{00000000-0005-0000-0000-0000FCAE0000}"/>
    <cellStyle name="常规 9 4 2 3 2 2 4 2 3" xfId="34594" xr:uid="{00000000-0005-0000-0000-0000FDAE0000}"/>
    <cellStyle name="常规 9 4 2 3 2 2 4 3" xfId="16162" xr:uid="{00000000-0005-0000-0000-0000FEAE0000}"/>
    <cellStyle name="常规 9 4 2 3 2 2 4 3 2" xfId="40738" xr:uid="{00000000-0005-0000-0000-0000FFAE0000}"/>
    <cellStyle name="常规 9 4 2 3 2 2 4 4" xfId="28450" xr:uid="{00000000-0005-0000-0000-000000AF0000}"/>
    <cellStyle name="常规 9 4 2 3 2 2 5" xfId="6946" xr:uid="{00000000-0005-0000-0000-000001AF0000}"/>
    <cellStyle name="常规 9 4 2 3 2 2 5 2" xfId="19234" xr:uid="{00000000-0005-0000-0000-000002AF0000}"/>
    <cellStyle name="常规 9 4 2 3 2 2 5 2 2" xfId="43810" xr:uid="{00000000-0005-0000-0000-000003AF0000}"/>
    <cellStyle name="常规 9 4 2 3 2 2 5 3" xfId="31522" xr:uid="{00000000-0005-0000-0000-000004AF0000}"/>
    <cellStyle name="常规 9 4 2 3 2 2 6" xfId="13090" xr:uid="{00000000-0005-0000-0000-000005AF0000}"/>
    <cellStyle name="常规 9 4 2 3 2 2 6 2" xfId="37666" xr:uid="{00000000-0005-0000-0000-000006AF0000}"/>
    <cellStyle name="常规 9 4 2 3 2 2 7" xfId="25378" xr:uid="{00000000-0005-0000-0000-000007AF0000}"/>
    <cellStyle name="常规 9 4 2 3 2 3" xfId="1182" xr:uid="{00000000-0005-0000-0000-000008AF0000}"/>
    <cellStyle name="常规 9 4 2 3 2 3 2" xfId="2718" xr:uid="{00000000-0005-0000-0000-000009AF0000}"/>
    <cellStyle name="常规 9 4 2 3 2 3 2 2" xfId="5794" xr:uid="{00000000-0005-0000-0000-00000AAF0000}"/>
    <cellStyle name="常规 9 4 2 3 2 3 2 2 2" xfId="11938" xr:uid="{00000000-0005-0000-0000-00000BAF0000}"/>
    <cellStyle name="常规 9 4 2 3 2 3 2 2 2 2" xfId="24226" xr:uid="{00000000-0005-0000-0000-00000CAF0000}"/>
    <cellStyle name="常规 9 4 2 3 2 3 2 2 2 2 2" xfId="48802" xr:uid="{00000000-0005-0000-0000-00000DAF0000}"/>
    <cellStyle name="常规 9 4 2 3 2 3 2 2 2 3" xfId="36514" xr:uid="{00000000-0005-0000-0000-00000EAF0000}"/>
    <cellStyle name="常规 9 4 2 3 2 3 2 2 3" xfId="18082" xr:uid="{00000000-0005-0000-0000-00000FAF0000}"/>
    <cellStyle name="常规 9 4 2 3 2 3 2 2 3 2" xfId="42658" xr:uid="{00000000-0005-0000-0000-000010AF0000}"/>
    <cellStyle name="常规 9 4 2 3 2 3 2 2 4" xfId="30370" xr:uid="{00000000-0005-0000-0000-000011AF0000}"/>
    <cellStyle name="常规 9 4 2 3 2 3 2 3" xfId="8866" xr:uid="{00000000-0005-0000-0000-000012AF0000}"/>
    <cellStyle name="常规 9 4 2 3 2 3 2 3 2" xfId="21154" xr:uid="{00000000-0005-0000-0000-000013AF0000}"/>
    <cellStyle name="常规 9 4 2 3 2 3 2 3 2 2" xfId="45730" xr:uid="{00000000-0005-0000-0000-000014AF0000}"/>
    <cellStyle name="常规 9 4 2 3 2 3 2 3 3" xfId="33442" xr:uid="{00000000-0005-0000-0000-000015AF0000}"/>
    <cellStyle name="常规 9 4 2 3 2 3 2 4" xfId="15010" xr:uid="{00000000-0005-0000-0000-000016AF0000}"/>
    <cellStyle name="常规 9 4 2 3 2 3 2 4 2" xfId="39586" xr:uid="{00000000-0005-0000-0000-000017AF0000}"/>
    <cellStyle name="常规 9 4 2 3 2 3 2 5" xfId="27298" xr:uid="{00000000-0005-0000-0000-000018AF0000}"/>
    <cellStyle name="常规 9 4 2 3 2 3 3" xfId="4258" xr:uid="{00000000-0005-0000-0000-000019AF0000}"/>
    <cellStyle name="常规 9 4 2 3 2 3 3 2" xfId="10402" xr:uid="{00000000-0005-0000-0000-00001AAF0000}"/>
    <cellStyle name="常规 9 4 2 3 2 3 3 2 2" xfId="22690" xr:uid="{00000000-0005-0000-0000-00001BAF0000}"/>
    <cellStyle name="常规 9 4 2 3 2 3 3 2 2 2" xfId="47266" xr:uid="{00000000-0005-0000-0000-00001CAF0000}"/>
    <cellStyle name="常规 9 4 2 3 2 3 3 2 3" xfId="34978" xr:uid="{00000000-0005-0000-0000-00001DAF0000}"/>
    <cellStyle name="常规 9 4 2 3 2 3 3 3" xfId="16546" xr:uid="{00000000-0005-0000-0000-00001EAF0000}"/>
    <cellStyle name="常规 9 4 2 3 2 3 3 3 2" xfId="41122" xr:uid="{00000000-0005-0000-0000-00001FAF0000}"/>
    <cellStyle name="常规 9 4 2 3 2 3 3 4" xfId="28834" xr:uid="{00000000-0005-0000-0000-000020AF0000}"/>
    <cellStyle name="常规 9 4 2 3 2 3 4" xfId="7330" xr:uid="{00000000-0005-0000-0000-000021AF0000}"/>
    <cellStyle name="常规 9 4 2 3 2 3 4 2" xfId="19618" xr:uid="{00000000-0005-0000-0000-000022AF0000}"/>
    <cellStyle name="常规 9 4 2 3 2 3 4 2 2" xfId="44194" xr:uid="{00000000-0005-0000-0000-000023AF0000}"/>
    <cellStyle name="常规 9 4 2 3 2 3 4 3" xfId="31906" xr:uid="{00000000-0005-0000-0000-000024AF0000}"/>
    <cellStyle name="常规 9 4 2 3 2 3 5" xfId="13474" xr:uid="{00000000-0005-0000-0000-000025AF0000}"/>
    <cellStyle name="常规 9 4 2 3 2 3 5 2" xfId="38050" xr:uid="{00000000-0005-0000-0000-000026AF0000}"/>
    <cellStyle name="常规 9 4 2 3 2 3 6" xfId="25762" xr:uid="{00000000-0005-0000-0000-000027AF0000}"/>
    <cellStyle name="常规 9 4 2 3 2 4" xfId="1950" xr:uid="{00000000-0005-0000-0000-000028AF0000}"/>
    <cellStyle name="常规 9 4 2 3 2 4 2" xfId="5026" xr:uid="{00000000-0005-0000-0000-000029AF0000}"/>
    <cellStyle name="常规 9 4 2 3 2 4 2 2" xfId="11170" xr:uid="{00000000-0005-0000-0000-00002AAF0000}"/>
    <cellStyle name="常规 9 4 2 3 2 4 2 2 2" xfId="23458" xr:uid="{00000000-0005-0000-0000-00002BAF0000}"/>
    <cellStyle name="常规 9 4 2 3 2 4 2 2 2 2" xfId="48034" xr:uid="{00000000-0005-0000-0000-00002CAF0000}"/>
    <cellStyle name="常规 9 4 2 3 2 4 2 2 3" xfId="35746" xr:uid="{00000000-0005-0000-0000-00002DAF0000}"/>
    <cellStyle name="常规 9 4 2 3 2 4 2 3" xfId="17314" xr:uid="{00000000-0005-0000-0000-00002EAF0000}"/>
    <cellStyle name="常规 9 4 2 3 2 4 2 3 2" xfId="41890" xr:uid="{00000000-0005-0000-0000-00002FAF0000}"/>
    <cellStyle name="常规 9 4 2 3 2 4 2 4" xfId="29602" xr:uid="{00000000-0005-0000-0000-000030AF0000}"/>
    <cellStyle name="常规 9 4 2 3 2 4 3" xfId="8098" xr:uid="{00000000-0005-0000-0000-000031AF0000}"/>
    <cellStyle name="常规 9 4 2 3 2 4 3 2" xfId="20386" xr:uid="{00000000-0005-0000-0000-000032AF0000}"/>
    <cellStyle name="常规 9 4 2 3 2 4 3 2 2" xfId="44962" xr:uid="{00000000-0005-0000-0000-000033AF0000}"/>
    <cellStyle name="常规 9 4 2 3 2 4 3 3" xfId="32674" xr:uid="{00000000-0005-0000-0000-000034AF0000}"/>
    <cellStyle name="常规 9 4 2 3 2 4 4" xfId="14242" xr:uid="{00000000-0005-0000-0000-000035AF0000}"/>
    <cellStyle name="常规 9 4 2 3 2 4 4 2" xfId="38818" xr:uid="{00000000-0005-0000-0000-000036AF0000}"/>
    <cellStyle name="常规 9 4 2 3 2 4 5" xfId="26530" xr:uid="{00000000-0005-0000-0000-000037AF0000}"/>
    <cellStyle name="常规 9 4 2 3 2 5" xfId="3490" xr:uid="{00000000-0005-0000-0000-000038AF0000}"/>
    <cellStyle name="常规 9 4 2 3 2 5 2" xfId="9634" xr:uid="{00000000-0005-0000-0000-000039AF0000}"/>
    <cellStyle name="常规 9 4 2 3 2 5 2 2" xfId="21922" xr:uid="{00000000-0005-0000-0000-00003AAF0000}"/>
    <cellStyle name="常规 9 4 2 3 2 5 2 2 2" xfId="46498" xr:uid="{00000000-0005-0000-0000-00003BAF0000}"/>
    <cellStyle name="常规 9 4 2 3 2 5 2 3" xfId="34210" xr:uid="{00000000-0005-0000-0000-00003CAF0000}"/>
    <cellStyle name="常规 9 4 2 3 2 5 3" xfId="15778" xr:uid="{00000000-0005-0000-0000-00003DAF0000}"/>
    <cellStyle name="常规 9 4 2 3 2 5 3 2" xfId="40354" xr:uid="{00000000-0005-0000-0000-00003EAF0000}"/>
    <cellStyle name="常规 9 4 2 3 2 5 4" xfId="28066" xr:uid="{00000000-0005-0000-0000-00003FAF0000}"/>
    <cellStyle name="常规 9 4 2 3 2 6" xfId="6562" xr:uid="{00000000-0005-0000-0000-000040AF0000}"/>
    <cellStyle name="常规 9 4 2 3 2 6 2" xfId="18850" xr:uid="{00000000-0005-0000-0000-000041AF0000}"/>
    <cellStyle name="常规 9 4 2 3 2 6 2 2" xfId="43426" xr:uid="{00000000-0005-0000-0000-000042AF0000}"/>
    <cellStyle name="常规 9 4 2 3 2 6 3" xfId="31138" xr:uid="{00000000-0005-0000-0000-000043AF0000}"/>
    <cellStyle name="常规 9 4 2 3 2 7" xfId="12706" xr:uid="{00000000-0005-0000-0000-000044AF0000}"/>
    <cellStyle name="常规 9 4 2 3 2 7 2" xfId="37282" xr:uid="{00000000-0005-0000-0000-000045AF0000}"/>
    <cellStyle name="常规 9 4 2 3 2 8" xfId="24994" xr:uid="{00000000-0005-0000-0000-000046AF0000}"/>
    <cellStyle name="常规 9 4 2 3 3" xfId="606" xr:uid="{00000000-0005-0000-0000-000047AF0000}"/>
    <cellStyle name="常规 9 4 2 3 3 2" xfId="1374" xr:uid="{00000000-0005-0000-0000-000048AF0000}"/>
    <cellStyle name="常规 9 4 2 3 3 2 2" xfId="2910" xr:uid="{00000000-0005-0000-0000-000049AF0000}"/>
    <cellStyle name="常规 9 4 2 3 3 2 2 2" xfId="5986" xr:uid="{00000000-0005-0000-0000-00004AAF0000}"/>
    <cellStyle name="常规 9 4 2 3 3 2 2 2 2" xfId="12130" xr:uid="{00000000-0005-0000-0000-00004BAF0000}"/>
    <cellStyle name="常规 9 4 2 3 3 2 2 2 2 2" xfId="24418" xr:uid="{00000000-0005-0000-0000-00004CAF0000}"/>
    <cellStyle name="常规 9 4 2 3 3 2 2 2 2 2 2" xfId="48994" xr:uid="{00000000-0005-0000-0000-00004DAF0000}"/>
    <cellStyle name="常规 9 4 2 3 3 2 2 2 2 3" xfId="36706" xr:uid="{00000000-0005-0000-0000-00004EAF0000}"/>
    <cellStyle name="常规 9 4 2 3 3 2 2 2 3" xfId="18274" xr:uid="{00000000-0005-0000-0000-00004FAF0000}"/>
    <cellStyle name="常规 9 4 2 3 3 2 2 2 3 2" xfId="42850" xr:uid="{00000000-0005-0000-0000-000050AF0000}"/>
    <cellStyle name="常规 9 4 2 3 3 2 2 2 4" xfId="30562" xr:uid="{00000000-0005-0000-0000-000051AF0000}"/>
    <cellStyle name="常规 9 4 2 3 3 2 2 3" xfId="9058" xr:uid="{00000000-0005-0000-0000-000052AF0000}"/>
    <cellStyle name="常规 9 4 2 3 3 2 2 3 2" xfId="21346" xr:uid="{00000000-0005-0000-0000-000053AF0000}"/>
    <cellStyle name="常规 9 4 2 3 3 2 2 3 2 2" xfId="45922" xr:uid="{00000000-0005-0000-0000-000054AF0000}"/>
    <cellStyle name="常规 9 4 2 3 3 2 2 3 3" xfId="33634" xr:uid="{00000000-0005-0000-0000-000055AF0000}"/>
    <cellStyle name="常规 9 4 2 3 3 2 2 4" xfId="15202" xr:uid="{00000000-0005-0000-0000-000056AF0000}"/>
    <cellStyle name="常规 9 4 2 3 3 2 2 4 2" xfId="39778" xr:uid="{00000000-0005-0000-0000-000057AF0000}"/>
    <cellStyle name="常规 9 4 2 3 3 2 2 5" xfId="27490" xr:uid="{00000000-0005-0000-0000-000058AF0000}"/>
    <cellStyle name="常规 9 4 2 3 3 2 3" xfId="4450" xr:uid="{00000000-0005-0000-0000-000059AF0000}"/>
    <cellStyle name="常规 9 4 2 3 3 2 3 2" xfId="10594" xr:uid="{00000000-0005-0000-0000-00005AAF0000}"/>
    <cellStyle name="常规 9 4 2 3 3 2 3 2 2" xfId="22882" xr:uid="{00000000-0005-0000-0000-00005BAF0000}"/>
    <cellStyle name="常规 9 4 2 3 3 2 3 2 2 2" xfId="47458" xr:uid="{00000000-0005-0000-0000-00005CAF0000}"/>
    <cellStyle name="常规 9 4 2 3 3 2 3 2 3" xfId="35170" xr:uid="{00000000-0005-0000-0000-00005DAF0000}"/>
    <cellStyle name="常规 9 4 2 3 3 2 3 3" xfId="16738" xr:uid="{00000000-0005-0000-0000-00005EAF0000}"/>
    <cellStyle name="常规 9 4 2 3 3 2 3 3 2" xfId="41314" xr:uid="{00000000-0005-0000-0000-00005FAF0000}"/>
    <cellStyle name="常规 9 4 2 3 3 2 3 4" xfId="29026" xr:uid="{00000000-0005-0000-0000-000060AF0000}"/>
    <cellStyle name="常规 9 4 2 3 3 2 4" xfId="7522" xr:uid="{00000000-0005-0000-0000-000061AF0000}"/>
    <cellStyle name="常规 9 4 2 3 3 2 4 2" xfId="19810" xr:uid="{00000000-0005-0000-0000-000062AF0000}"/>
    <cellStyle name="常规 9 4 2 3 3 2 4 2 2" xfId="44386" xr:uid="{00000000-0005-0000-0000-000063AF0000}"/>
    <cellStyle name="常规 9 4 2 3 3 2 4 3" xfId="32098" xr:uid="{00000000-0005-0000-0000-000064AF0000}"/>
    <cellStyle name="常规 9 4 2 3 3 2 5" xfId="13666" xr:uid="{00000000-0005-0000-0000-000065AF0000}"/>
    <cellStyle name="常规 9 4 2 3 3 2 5 2" xfId="38242" xr:uid="{00000000-0005-0000-0000-000066AF0000}"/>
    <cellStyle name="常规 9 4 2 3 3 2 6" xfId="25954" xr:uid="{00000000-0005-0000-0000-000067AF0000}"/>
    <cellStyle name="常规 9 4 2 3 3 3" xfId="2142" xr:uid="{00000000-0005-0000-0000-000068AF0000}"/>
    <cellStyle name="常规 9 4 2 3 3 3 2" xfId="5218" xr:uid="{00000000-0005-0000-0000-000069AF0000}"/>
    <cellStyle name="常规 9 4 2 3 3 3 2 2" xfId="11362" xr:uid="{00000000-0005-0000-0000-00006AAF0000}"/>
    <cellStyle name="常规 9 4 2 3 3 3 2 2 2" xfId="23650" xr:uid="{00000000-0005-0000-0000-00006BAF0000}"/>
    <cellStyle name="常规 9 4 2 3 3 3 2 2 2 2" xfId="48226" xr:uid="{00000000-0005-0000-0000-00006CAF0000}"/>
    <cellStyle name="常规 9 4 2 3 3 3 2 2 3" xfId="35938" xr:uid="{00000000-0005-0000-0000-00006DAF0000}"/>
    <cellStyle name="常规 9 4 2 3 3 3 2 3" xfId="17506" xr:uid="{00000000-0005-0000-0000-00006EAF0000}"/>
    <cellStyle name="常规 9 4 2 3 3 3 2 3 2" xfId="42082" xr:uid="{00000000-0005-0000-0000-00006FAF0000}"/>
    <cellStyle name="常规 9 4 2 3 3 3 2 4" xfId="29794" xr:uid="{00000000-0005-0000-0000-000070AF0000}"/>
    <cellStyle name="常规 9 4 2 3 3 3 3" xfId="8290" xr:uid="{00000000-0005-0000-0000-000071AF0000}"/>
    <cellStyle name="常规 9 4 2 3 3 3 3 2" xfId="20578" xr:uid="{00000000-0005-0000-0000-000072AF0000}"/>
    <cellStyle name="常规 9 4 2 3 3 3 3 2 2" xfId="45154" xr:uid="{00000000-0005-0000-0000-000073AF0000}"/>
    <cellStyle name="常规 9 4 2 3 3 3 3 3" xfId="32866" xr:uid="{00000000-0005-0000-0000-000074AF0000}"/>
    <cellStyle name="常规 9 4 2 3 3 3 4" xfId="14434" xr:uid="{00000000-0005-0000-0000-000075AF0000}"/>
    <cellStyle name="常规 9 4 2 3 3 3 4 2" xfId="39010" xr:uid="{00000000-0005-0000-0000-000076AF0000}"/>
    <cellStyle name="常规 9 4 2 3 3 3 5" xfId="26722" xr:uid="{00000000-0005-0000-0000-000077AF0000}"/>
    <cellStyle name="常规 9 4 2 3 3 4" xfId="3682" xr:uid="{00000000-0005-0000-0000-000078AF0000}"/>
    <cellStyle name="常规 9 4 2 3 3 4 2" xfId="9826" xr:uid="{00000000-0005-0000-0000-000079AF0000}"/>
    <cellStyle name="常规 9 4 2 3 3 4 2 2" xfId="22114" xr:uid="{00000000-0005-0000-0000-00007AAF0000}"/>
    <cellStyle name="常规 9 4 2 3 3 4 2 2 2" xfId="46690" xr:uid="{00000000-0005-0000-0000-00007BAF0000}"/>
    <cellStyle name="常规 9 4 2 3 3 4 2 3" xfId="34402" xr:uid="{00000000-0005-0000-0000-00007CAF0000}"/>
    <cellStyle name="常规 9 4 2 3 3 4 3" xfId="15970" xr:uid="{00000000-0005-0000-0000-00007DAF0000}"/>
    <cellStyle name="常规 9 4 2 3 3 4 3 2" xfId="40546" xr:uid="{00000000-0005-0000-0000-00007EAF0000}"/>
    <cellStyle name="常规 9 4 2 3 3 4 4" xfId="28258" xr:uid="{00000000-0005-0000-0000-00007FAF0000}"/>
    <cellStyle name="常规 9 4 2 3 3 5" xfId="6754" xr:uid="{00000000-0005-0000-0000-000080AF0000}"/>
    <cellStyle name="常规 9 4 2 3 3 5 2" xfId="19042" xr:uid="{00000000-0005-0000-0000-000081AF0000}"/>
    <cellStyle name="常规 9 4 2 3 3 5 2 2" xfId="43618" xr:uid="{00000000-0005-0000-0000-000082AF0000}"/>
    <cellStyle name="常规 9 4 2 3 3 5 3" xfId="31330" xr:uid="{00000000-0005-0000-0000-000083AF0000}"/>
    <cellStyle name="常规 9 4 2 3 3 6" xfId="12898" xr:uid="{00000000-0005-0000-0000-000084AF0000}"/>
    <cellStyle name="常规 9 4 2 3 3 6 2" xfId="37474" xr:uid="{00000000-0005-0000-0000-000085AF0000}"/>
    <cellStyle name="常规 9 4 2 3 3 7" xfId="25186" xr:uid="{00000000-0005-0000-0000-000086AF0000}"/>
    <cellStyle name="常规 9 4 2 3 4" xfId="990" xr:uid="{00000000-0005-0000-0000-000087AF0000}"/>
    <cellStyle name="常规 9 4 2 3 4 2" xfId="2526" xr:uid="{00000000-0005-0000-0000-000088AF0000}"/>
    <cellStyle name="常规 9 4 2 3 4 2 2" xfId="5602" xr:uid="{00000000-0005-0000-0000-000089AF0000}"/>
    <cellStyle name="常规 9 4 2 3 4 2 2 2" xfId="11746" xr:uid="{00000000-0005-0000-0000-00008AAF0000}"/>
    <cellStyle name="常规 9 4 2 3 4 2 2 2 2" xfId="24034" xr:uid="{00000000-0005-0000-0000-00008BAF0000}"/>
    <cellStyle name="常规 9 4 2 3 4 2 2 2 2 2" xfId="48610" xr:uid="{00000000-0005-0000-0000-00008CAF0000}"/>
    <cellStyle name="常规 9 4 2 3 4 2 2 2 3" xfId="36322" xr:uid="{00000000-0005-0000-0000-00008DAF0000}"/>
    <cellStyle name="常规 9 4 2 3 4 2 2 3" xfId="17890" xr:uid="{00000000-0005-0000-0000-00008EAF0000}"/>
    <cellStyle name="常规 9 4 2 3 4 2 2 3 2" xfId="42466" xr:uid="{00000000-0005-0000-0000-00008FAF0000}"/>
    <cellStyle name="常规 9 4 2 3 4 2 2 4" xfId="30178" xr:uid="{00000000-0005-0000-0000-000090AF0000}"/>
    <cellStyle name="常规 9 4 2 3 4 2 3" xfId="8674" xr:uid="{00000000-0005-0000-0000-000091AF0000}"/>
    <cellStyle name="常规 9 4 2 3 4 2 3 2" xfId="20962" xr:uid="{00000000-0005-0000-0000-000092AF0000}"/>
    <cellStyle name="常规 9 4 2 3 4 2 3 2 2" xfId="45538" xr:uid="{00000000-0005-0000-0000-000093AF0000}"/>
    <cellStyle name="常规 9 4 2 3 4 2 3 3" xfId="33250" xr:uid="{00000000-0005-0000-0000-000094AF0000}"/>
    <cellStyle name="常规 9 4 2 3 4 2 4" xfId="14818" xr:uid="{00000000-0005-0000-0000-000095AF0000}"/>
    <cellStyle name="常规 9 4 2 3 4 2 4 2" xfId="39394" xr:uid="{00000000-0005-0000-0000-000096AF0000}"/>
    <cellStyle name="常规 9 4 2 3 4 2 5" xfId="27106" xr:uid="{00000000-0005-0000-0000-000097AF0000}"/>
    <cellStyle name="常规 9 4 2 3 4 3" xfId="4066" xr:uid="{00000000-0005-0000-0000-000098AF0000}"/>
    <cellStyle name="常规 9 4 2 3 4 3 2" xfId="10210" xr:uid="{00000000-0005-0000-0000-000099AF0000}"/>
    <cellStyle name="常规 9 4 2 3 4 3 2 2" xfId="22498" xr:uid="{00000000-0005-0000-0000-00009AAF0000}"/>
    <cellStyle name="常规 9 4 2 3 4 3 2 2 2" xfId="47074" xr:uid="{00000000-0005-0000-0000-00009BAF0000}"/>
    <cellStyle name="常规 9 4 2 3 4 3 2 3" xfId="34786" xr:uid="{00000000-0005-0000-0000-00009CAF0000}"/>
    <cellStyle name="常规 9 4 2 3 4 3 3" xfId="16354" xr:uid="{00000000-0005-0000-0000-00009DAF0000}"/>
    <cellStyle name="常规 9 4 2 3 4 3 3 2" xfId="40930" xr:uid="{00000000-0005-0000-0000-00009EAF0000}"/>
    <cellStyle name="常规 9 4 2 3 4 3 4" xfId="28642" xr:uid="{00000000-0005-0000-0000-00009FAF0000}"/>
    <cellStyle name="常规 9 4 2 3 4 4" xfId="7138" xr:uid="{00000000-0005-0000-0000-0000A0AF0000}"/>
    <cellStyle name="常规 9 4 2 3 4 4 2" xfId="19426" xr:uid="{00000000-0005-0000-0000-0000A1AF0000}"/>
    <cellStyle name="常规 9 4 2 3 4 4 2 2" xfId="44002" xr:uid="{00000000-0005-0000-0000-0000A2AF0000}"/>
    <cellStyle name="常规 9 4 2 3 4 4 3" xfId="31714" xr:uid="{00000000-0005-0000-0000-0000A3AF0000}"/>
    <cellStyle name="常规 9 4 2 3 4 5" xfId="13282" xr:uid="{00000000-0005-0000-0000-0000A4AF0000}"/>
    <cellStyle name="常规 9 4 2 3 4 5 2" xfId="37858" xr:uid="{00000000-0005-0000-0000-0000A5AF0000}"/>
    <cellStyle name="常规 9 4 2 3 4 6" xfId="25570" xr:uid="{00000000-0005-0000-0000-0000A6AF0000}"/>
    <cellStyle name="常规 9 4 2 3 5" xfId="1758" xr:uid="{00000000-0005-0000-0000-0000A7AF0000}"/>
    <cellStyle name="常规 9 4 2 3 5 2" xfId="4834" xr:uid="{00000000-0005-0000-0000-0000A8AF0000}"/>
    <cellStyle name="常规 9 4 2 3 5 2 2" xfId="10978" xr:uid="{00000000-0005-0000-0000-0000A9AF0000}"/>
    <cellStyle name="常规 9 4 2 3 5 2 2 2" xfId="23266" xr:uid="{00000000-0005-0000-0000-0000AAAF0000}"/>
    <cellStyle name="常规 9 4 2 3 5 2 2 2 2" xfId="47842" xr:uid="{00000000-0005-0000-0000-0000ABAF0000}"/>
    <cellStyle name="常规 9 4 2 3 5 2 2 3" xfId="35554" xr:uid="{00000000-0005-0000-0000-0000ACAF0000}"/>
    <cellStyle name="常规 9 4 2 3 5 2 3" xfId="17122" xr:uid="{00000000-0005-0000-0000-0000ADAF0000}"/>
    <cellStyle name="常规 9 4 2 3 5 2 3 2" xfId="41698" xr:uid="{00000000-0005-0000-0000-0000AEAF0000}"/>
    <cellStyle name="常规 9 4 2 3 5 2 4" xfId="29410" xr:uid="{00000000-0005-0000-0000-0000AFAF0000}"/>
    <cellStyle name="常规 9 4 2 3 5 3" xfId="7906" xr:uid="{00000000-0005-0000-0000-0000B0AF0000}"/>
    <cellStyle name="常规 9 4 2 3 5 3 2" xfId="20194" xr:uid="{00000000-0005-0000-0000-0000B1AF0000}"/>
    <cellStyle name="常规 9 4 2 3 5 3 2 2" xfId="44770" xr:uid="{00000000-0005-0000-0000-0000B2AF0000}"/>
    <cellStyle name="常规 9 4 2 3 5 3 3" xfId="32482" xr:uid="{00000000-0005-0000-0000-0000B3AF0000}"/>
    <cellStyle name="常规 9 4 2 3 5 4" xfId="14050" xr:uid="{00000000-0005-0000-0000-0000B4AF0000}"/>
    <cellStyle name="常规 9 4 2 3 5 4 2" xfId="38626" xr:uid="{00000000-0005-0000-0000-0000B5AF0000}"/>
    <cellStyle name="常规 9 4 2 3 5 5" xfId="26338" xr:uid="{00000000-0005-0000-0000-0000B6AF0000}"/>
    <cellStyle name="常规 9 4 2 3 6" xfId="3298" xr:uid="{00000000-0005-0000-0000-0000B7AF0000}"/>
    <cellStyle name="常规 9 4 2 3 6 2" xfId="9442" xr:uid="{00000000-0005-0000-0000-0000B8AF0000}"/>
    <cellStyle name="常规 9 4 2 3 6 2 2" xfId="21730" xr:uid="{00000000-0005-0000-0000-0000B9AF0000}"/>
    <cellStyle name="常规 9 4 2 3 6 2 2 2" xfId="46306" xr:uid="{00000000-0005-0000-0000-0000BAAF0000}"/>
    <cellStyle name="常规 9 4 2 3 6 2 3" xfId="34018" xr:uid="{00000000-0005-0000-0000-0000BBAF0000}"/>
    <cellStyle name="常规 9 4 2 3 6 3" xfId="15586" xr:uid="{00000000-0005-0000-0000-0000BCAF0000}"/>
    <cellStyle name="常规 9 4 2 3 6 3 2" xfId="40162" xr:uid="{00000000-0005-0000-0000-0000BDAF0000}"/>
    <cellStyle name="常规 9 4 2 3 6 4" xfId="27874" xr:uid="{00000000-0005-0000-0000-0000BEAF0000}"/>
    <cellStyle name="常规 9 4 2 3 7" xfId="6370" xr:uid="{00000000-0005-0000-0000-0000BFAF0000}"/>
    <cellStyle name="常规 9 4 2 3 7 2" xfId="18658" xr:uid="{00000000-0005-0000-0000-0000C0AF0000}"/>
    <cellStyle name="常规 9 4 2 3 7 2 2" xfId="43234" xr:uid="{00000000-0005-0000-0000-0000C1AF0000}"/>
    <cellStyle name="常规 9 4 2 3 7 3" xfId="30946" xr:uid="{00000000-0005-0000-0000-0000C2AF0000}"/>
    <cellStyle name="常规 9 4 2 3 8" xfId="12514" xr:uid="{00000000-0005-0000-0000-0000C3AF0000}"/>
    <cellStyle name="常规 9 4 2 3 8 2" xfId="37090" xr:uid="{00000000-0005-0000-0000-0000C4AF0000}"/>
    <cellStyle name="常规 9 4 2 3 9" xfId="24802" xr:uid="{00000000-0005-0000-0000-0000C5AF0000}"/>
    <cellStyle name="常规 9 4 2 4" xfId="286" xr:uid="{00000000-0005-0000-0000-0000C6AF0000}"/>
    <cellStyle name="常规 9 4 2 4 2" xfId="478" xr:uid="{00000000-0005-0000-0000-0000C7AF0000}"/>
    <cellStyle name="常规 9 4 2 4 2 2" xfId="862" xr:uid="{00000000-0005-0000-0000-0000C8AF0000}"/>
    <cellStyle name="常规 9 4 2 4 2 2 2" xfId="1630" xr:uid="{00000000-0005-0000-0000-0000C9AF0000}"/>
    <cellStyle name="常规 9 4 2 4 2 2 2 2" xfId="3166" xr:uid="{00000000-0005-0000-0000-0000CAAF0000}"/>
    <cellStyle name="常规 9 4 2 4 2 2 2 2 2" xfId="6242" xr:uid="{00000000-0005-0000-0000-0000CBAF0000}"/>
    <cellStyle name="常规 9 4 2 4 2 2 2 2 2 2" xfId="12386" xr:uid="{00000000-0005-0000-0000-0000CCAF0000}"/>
    <cellStyle name="常规 9 4 2 4 2 2 2 2 2 2 2" xfId="24674" xr:uid="{00000000-0005-0000-0000-0000CDAF0000}"/>
    <cellStyle name="常规 9 4 2 4 2 2 2 2 2 2 2 2" xfId="49250" xr:uid="{00000000-0005-0000-0000-0000CEAF0000}"/>
    <cellStyle name="常规 9 4 2 4 2 2 2 2 2 2 3" xfId="36962" xr:uid="{00000000-0005-0000-0000-0000CFAF0000}"/>
    <cellStyle name="常规 9 4 2 4 2 2 2 2 2 3" xfId="18530" xr:uid="{00000000-0005-0000-0000-0000D0AF0000}"/>
    <cellStyle name="常规 9 4 2 4 2 2 2 2 2 3 2" xfId="43106" xr:uid="{00000000-0005-0000-0000-0000D1AF0000}"/>
    <cellStyle name="常规 9 4 2 4 2 2 2 2 2 4" xfId="30818" xr:uid="{00000000-0005-0000-0000-0000D2AF0000}"/>
    <cellStyle name="常规 9 4 2 4 2 2 2 2 3" xfId="9314" xr:uid="{00000000-0005-0000-0000-0000D3AF0000}"/>
    <cellStyle name="常规 9 4 2 4 2 2 2 2 3 2" xfId="21602" xr:uid="{00000000-0005-0000-0000-0000D4AF0000}"/>
    <cellStyle name="常规 9 4 2 4 2 2 2 2 3 2 2" xfId="46178" xr:uid="{00000000-0005-0000-0000-0000D5AF0000}"/>
    <cellStyle name="常规 9 4 2 4 2 2 2 2 3 3" xfId="33890" xr:uid="{00000000-0005-0000-0000-0000D6AF0000}"/>
    <cellStyle name="常规 9 4 2 4 2 2 2 2 4" xfId="15458" xr:uid="{00000000-0005-0000-0000-0000D7AF0000}"/>
    <cellStyle name="常规 9 4 2 4 2 2 2 2 4 2" xfId="40034" xr:uid="{00000000-0005-0000-0000-0000D8AF0000}"/>
    <cellStyle name="常规 9 4 2 4 2 2 2 2 5" xfId="27746" xr:uid="{00000000-0005-0000-0000-0000D9AF0000}"/>
    <cellStyle name="常规 9 4 2 4 2 2 2 3" xfId="4706" xr:uid="{00000000-0005-0000-0000-0000DAAF0000}"/>
    <cellStyle name="常规 9 4 2 4 2 2 2 3 2" xfId="10850" xr:uid="{00000000-0005-0000-0000-0000DBAF0000}"/>
    <cellStyle name="常规 9 4 2 4 2 2 2 3 2 2" xfId="23138" xr:uid="{00000000-0005-0000-0000-0000DCAF0000}"/>
    <cellStyle name="常规 9 4 2 4 2 2 2 3 2 2 2" xfId="47714" xr:uid="{00000000-0005-0000-0000-0000DDAF0000}"/>
    <cellStyle name="常规 9 4 2 4 2 2 2 3 2 3" xfId="35426" xr:uid="{00000000-0005-0000-0000-0000DEAF0000}"/>
    <cellStyle name="常规 9 4 2 4 2 2 2 3 3" xfId="16994" xr:uid="{00000000-0005-0000-0000-0000DFAF0000}"/>
    <cellStyle name="常规 9 4 2 4 2 2 2 3 3 2" xfId="41570" xr:uid="{00000000-0005-0000-0000-0000E0AF0000}"/>
    <cellStyle name="常规 9 4 2 4 2 2 2 3 4" xfId="29282" xr:uid="{00000000-0005-0000-0000-0000E1AF0000}"/>
    <cellStyle name="常规 9 4 2 4 2 2 2 4" xfId="7778" xr:uid="{00000000-0005-0000-0000-0000E2AF0000}"/>
    <cellStyle name="常规 9 4 2 4 2 2 2 4 2" xfId="20066" xr:uid="{00000000-0005-0000-0000-0000E3AF0000}"/>
    <cellStyle name="常规 9 4 2 4 2 2 2 4 2 2" xfId="44642" xr:uid="{00000000-0005-0000-0000-0000E4AF0000}"/>
    <cellStyle name="常规 9 4 2 4 2 2 2 4 3" xfId="32354" xr:uid="{00000000-0005-0000-0000-0000E5AF0000}"/>
    <cellStyle name="常规 9 4 2 4 2 2 2 5" xfId="13922" xr:uid="{00000000-0005-0000-0000-0000E6AF0000}"/>
    <cellStyle name="常规 9 4 2 4 2 2 2 5 2" xfId="38498" xr:uid="{00000000-0005-0000-0000-0000E7AF0000}"/>
    <cellStyle name="常规 9 4 2 4 2 2 2 6" xfId="26210" xr:uid="{00000000-0005-0000-0000-0000E8AF0000}"/>
    <cellStyle name="常规 9 4 2 4 2 2 3" xfId="2398" xr:uid="{00000000-0005-0000-0000-0000E9AF0000}"/>
    <cellStyle name="常规 9 4 2 4 2 2 3 2" xfId="5474" xr:uid="{00000000-0005-0000-0000-0000EAAF0000}"/>
    <cellStyle name="常规 9 4 2 4 2 2 3 2 2" xfId="11618" xr:uid="{00000000-0005-0000-0000-0000EBAF0000}"/>
    <cellStyle name="常规 9 4 2 4 2 2 3 2 2 2" xfId="23906" xr:uid="{00000000-0005-0000-0000-0000ECAF0000}"/>
    <cellStyle name="常规 9 4 2 4 2 2 3 2 2 2 2" xfId="48482" xr:uid="{00000000-0005-0000-0000-0000EDAF0000}"/>
    <cellStyle name="常规 9 4 2 4 2 2 3 2 2 3" xfId="36194" xr:uid="{00000000-0005-0000-0000-0000EEAF0000}"/>
    <cellStyle name="常规 9 4 2 4 2 2 3 2 3" xfId="17762" xr:uid="{00000000-0005-0000-0000-0000EFAF0000}"/>
    <cellStyle name="常规 9 4 2 4 2 2 3 2 3 2" xfId="42338" xr:uid="{00000000-0005-0000-0000-0000F0AF0000}"/>
    <cellStyle name="常规 9 4 2 4 2 2 3 2 4" xfId="30050" xr:uid="{00000000-0005-0000-0000-0000F1AF0000}"/>
    <cellStyle name="常规 9 4 2 4 2 2 3 3" xfId="8546" xr:uid="{00000000-0005-0000-0000-0000F2AF0000}"/>
    <cellStyle name="常规 9 4 2 4 2 2 3 3 2" xfId="20834" xr:uid="{00000000-0005-0000-0000-0000F3AF0000}"/>
    <cellStyle name="常规 9 4 2 4 2 2 3 3 2 2" xfId="45410" xr:uid="{00000000-0005-0000-0000-0000F4AF0000}"/>
    <cellStyle name="常规 9 4 2 4 2 2 3 3 3" xfId="33122" xr:uid="{00000000-0005-0000-0000-0000F5AF0000}"/>
    <cellStyle name="常规 9 4 2 4 2 2 3 4" xfId="14690" xr:uid="{00000000-0005-0000-0000-0000F6AF0000}"/>
    <cellStyle name="常规 9 4 2 4 2 2 3 4 2" xfId="39266" xr:uid="{00000000-0005-0000-0000-0000F7AF0000}"/>
    <cellStyle name="常规 9 4 2 4 2 2 3 5" xfId="26978" xr:uid="{00000000-0005-0000-0000-0000F8AF0000}"/>
    <cellStyle name="常规 9 4 2 4 2 2 4" xfId="3938" xr:uid="{00000000-0005-0000-0000-0000F9AF0000}"/>
    <cellStyle name="常规 9 4 2 4 2 2 4 2" xfId="10082" xr:uid="{00000000-0005-0000-0000-0000FAAF0000}"/>
    <cellStyle name="常规 9 4 2 4 2 2 4 2 2" xfId="22370" xr:uid="{00000000-0005-0000-0000-0000FBAF0000}"/>
    <cellStyle name="常规 9 4 2 4 2 2 4 2 2 2" xfId="46946" xr:uid="{00000000-0005-0000-0000-0000FCAF0000}"/>
    <cellStyle name="常规 9 4 2 4 2 2 4 2 3" xfId="34658" xr:uid="{00000000-0005-0000-0000-0000FDAF0000}"/>
    <cellStyle name="常规 9 4 2 4 2 2 4 3" xfId="16226" xr:uid="{00000000-0005-0000-0000-0000FEAF0000}"/>
    <cellStyle name="常规 9 4 2 4 2 2 4 3 2" xfId="40802" xr:uid="{00000000-0005-0000-0000-0000FFAF0000}"/>
    <cellStyle name="常规 9 4 2 4 2 2 4 4" xfId="28514" xr:uid="{00000000-0005-0000-0000-000000B00000}"/>
    <cellStyle name="常规 9 4 2 4 2 2 5" xfId="7010" xr:uid="{00000000-0005-0000-0000-000001B00000}"/>
    <cellStyle name="常规 9 4 2 4 2 2 5 2" xfId="19298" xr:uid="{00000000-0005-0000-0000-000002B00000}"/>
    <cellStyle name="常规 9 4 2 4 2 2 5 2 2" xfId="43874" xr:uid="{00000000-0005-0000-0000-000003B00000}"/>
    <cellStyle name="常规 9 4 2 4 2 2 5 3" xfId="31586" xr:uid="{00000000-0005-0000-0000-000004B00000}"/>
    <cellStyle name="常规 9 4 2 4 2 2 6" xfId="13154" xr:uid="{00000000-0005-0000-0000-000005B00000}"/>
    <cellStyle name="常规 9 4 2 4 2 2 6 2" xfId="37730" xr:uid="{00000000-0005-0000-0000-000006B00000}"/>
    <cellStyle name="常规 9 4 2 4 2 2 7" xfId="25442" xr:uid="{00000000-0005-0000-0000-000007B00000}"/>
    <cellStyle name="常规 9 4 2 4 2 3" xfId="1246" xr:uid="{00000000-0005-0000-0000-000008B00000}"/>
    <cellStyle name="常规 9 4 2 4 2 3 2" xfId="2782" xr:uid="{00000000-0005-0000-0000-000009B00000}"/>
    <cellStyle name="常规 9 4 2 4 2 3 2 2" xfId="5858" xr:uid="{00000000-0005-0000-0000-00000AB00000}"/>
    <cellStyle name="常规 9 4 2 4 2 3 2 2 2" xfId="12002" xr:uid="{00000000-0005-0000-0000-00000BB00000}"/>
    <cellStyle name="常规 9 4 2 4 2 3 2 2 2 2" xfId="24290" xr:uid="{00000000-0005-0000-0000-00000CB00000}"/>
    <cellStyle name="常规 9 4 2 4 2 3 2 2 2 2 2" xfId="48866" xr:uid="{00000000-0005-0000-0000-00000DB00000}"/>
    <cellStyle name="常规 9 4 2 4 2 3 2 2 2 3" xfId="36578" xr:uid="{00000000-0005-0000-0000-00000EB00000}"/>
    <cellStyle name="常规 9 4 2 4 2 3 2 2 3" xfId="18146" xr:uid="{00000000-0005-0000-0000-00000FB00000}"/>
    <cellStyle name="常规 9 4 2 4 2 3 2 2 3 2" xfId="42722" xr:uid="{00000000-0005-0000-0000-000010B00000}"/>
    <cellStyle name="常规 9 4 2 4 2 3 2 2 4" xfId="30434" xr:uid="{00000000-0005-0000-0000-000011B00000}"/>
    <cellStyle name="常规 9 4 2 4 2 3 2 3" xfId="8930" xr:uid="{00000000-0005-0000-0000-000012B00000}"/>
    <cellStyle name="常规 9 4 2 4 2 3 2 3 2" xfId="21218" xr:uid="{00000000-0005-0000-0000-000013B00000}"/>
    <cellStyle name="常规 9 4 2 4 2 3 2 3 2 2" xfId="45794" xr:uid="{00000000-0005-0000-0000-000014B00000}"/>
    <cellStyle name="常规 9 4 2 4 2 3 2 3 3" xfId="33506" xr:uid="{00000000-0005-0000-0000-000015B00000}"/>
    <cellStyle name="常规 9 4 2 4 2 3 2 4" xfId="15074" xr:uid="{00000000-0005-0000-0000-000016B00000}"/>
    <cellStyle name="常规 9 4 2 4 2 3 2 4 2" xfId="39650" xr:uid="{00000000-0005-0000-0000-000017B00000}"/>
    <cellStyle name="常规 9 4 2 4 2 3 2 5" xfId="27362" xr:uid="{00000000-0005-0000-0000-000018B00000}"/>
    <cellStyle name="常规 9 4 2 4 2 3 3" xfId="4322" xr:uid="{00000000-0005-0000-0000-000019B00000}"/>
    <cellStyle name="常规 9 4 2 4 2 3 3 2" xfId="10466" xr:uid="{00000000-0005-0000-0000-00001AB00000}"/>
    <cellStyle name="常规 9 4 2 4 2 3 3 2 2" xfId="22754" xr:uid="{00000000-0005-0000-0000-00001BB00000}"/>
    <cellStyle name="常规 9 4 2 4 2 3 3 2 2 2" xfId="47330" xr:uid="{00000000-0005-0000-0000-00001CB00000}"/>
    <cellStyle name="常规 9 4 2 4 2 3 3 2 3" xfId="35042" xr:uid="{00000000-0005-0000-0000-00001DB00000}"/>
    <cellStyle name="常规 9 4 2 4 2 3 3 3" xfId="16610" xr:uid="{00000000-0005-0000-0000-00001EB00000}"/>
    <cellStyle name="常规 9 4 2 4 2 3 3 3 2" xfId="41186" xr:uid="{00000000-0005-0000-0000-00001FB00000}"/>
    <cellStyle name="常规 9 4 2 4 2 3 3 4" xfId="28898" xr:uid="{00000000-0005-0000-0000-000020B00000}"/>
    <cellStyle name="常规 9 4 2 4 2 3 4" xfId="7394" xr:uid="{00000000-0005-0000-0000-000021B00000}"/>
    <cellStyle name="常规 9 4 2 4 2 3 4 2" xfId="19682" xr:uid="{00000000-0005-0000-0000-000022B00000}"/>
    <cellStyle name="常规 9 4 2 4 2 3 4 2 2" xfId="44258" xr:uid="{00000000-0005-0000-0000-000023B00000}"/>
    <cellStyle name="常规 9 4 2 4 2 3 4 3" xfId="31970" xr:uid="{00000000-0005-0000-0000-000024B00000}"/>
    <cellStyle name="常规 9 4 2 4 2 3 5" xfId="13538" xr:uid="{00000000-0005-0000-0000-000025B00000}"/>
    <cellStyle name="常规 9 4 2 4 2 3 5 2" xfId="38114" xr:uid="{00000000-0005-0000-0000-000026B00000}"/>
    <cellStyle name="常规 9 4 2 4 2 3 6" xfId="25826" xr:uid="{00000000-0005-0000-0000-000027B00000}"/>
    <cellStyle name="常规 9 4 2 4 2 4" xfId="2014" xr:uid="{00000000-0005-0000-0000-000028B00000}"/>
    <cellStyle name="常规 9 4 2 4 2 4 2" xfId="5090" xr:uid="{00000000-0005-0000-0000-000029B00000}"/>
    <cellStyle name="常规 9 4 2 4 2 4 2 2" xfId="11234" xr:uid="{00000000-0005-0000-0000-00002AB00000}"/>
    <cellStyle name="常规 9 4 2 4 2 4 2 2 2" xfId="23522" xr:uid="{00000000-0005-0000-0000-00002BB00000}"/>
    <cellStyle name="常规 9 4 2 4 2 4 2 2 2 2" xfId="48098" xr:uid="{00000000-0005-0000-0000-00002CB00000}"/>
    <cellStyle name="常规 9 4 2 4 2 4 2 2 3" xfId="35810" xr:uid="{00000000-0005-0000-0000-00002DB00000}"/>
    <cellStyle name="常规 9 4 2 4 2 4 2 3" xfId="17378" xr:uid="{00000000-0005-0000-0000-00002EB00000}"/>
    <cellStyle name="常规 9 4 2 4 2 4 2 3 2" xfId="41954" xr:uid="{00000000-0005-0000-0000-00002FB00000}"/>
    <cellStyle name="常规 9 4 2 4 2 4 2 4" xfId="29666" xr:uid="{00000000-0005-0000-0000-000030B00000}"/>
    <cellStyle name="常规 9 4 2 4 2 4 3" xfId="8162" xr:uid="{00000000-0005-0000-0000-000031B00000}"/>
    <cellStyle name="常规 9 4 2 4 2 4 3 2" xfId="20450" xr:uid="{00000000-0005-0000-0000-000032B00000}"/>
    <cellStyle name="常规 9 4 2 4 2 4 3 2 2" xfId="45026" xr:uid="{00000000-0005-0000-0000-000033B00000}"/>
    <cellStyle name="常规 9 4 2 4 2 4 3 3" xfId="32738" xr:uid="{00000000-0005-0000-0000-000034B00000}"/>
    <cellStyle name="常规 9 4 2 4 2 4 4" xfId="14306" xr:uid="{00000000-0005-0000-0000-000035B00000}"/>
    <cellStyle name="常规 9 4 2 4 2 4 4 2" xfId="38882" xr:uid="{00000000-0005-0000-0000-000036B00000}"/>
    <cellStyle name="常规 9 4 2 4 2 4 5" xfId="26594" xr:uid="{00000000-0005-0000-0000-000037B00000}"/>
    <cellStyle name="常规 9 4 2 4 2 5" xfId="3554" xr:uid="{00000000-0005-0000-0000-000038B00000}"/>
    <cellStyle name="常规 9 4 2 4 2 5 2" xfId="9698" xr:uid="{00000000-0005-0000-0000-000039B00000}"/>
    <cellStyle name="常规 9 4 2 4 2 5 2 2" xfId="21986" xr:uid="{00000000-0005-0000-0000-00003AB00000}"/>
    <cellStyle name="常规 9 4 2 4 2 5 2 2 2" xfId="46562" xr:uid="{00000000-0005-0000-0000-00003BB00000}"/>
    <cellStyle name="常规 9 4 2 4 2 5 2 3" xfId="34274" xr:uid="{00000000-0005-0000-0000-00003CB00000}"/>
    <cellStyle name="常规 9 4 2 4 2 5 3" xfId="15842" xr:uid="{00000000-0005-0000-0000-00003DB00000}"/>
    <cellStyle name="常规 9 4 2 4 2 5 3 2" xfId="40418" xr:uid="{00000000-0005-0000-0000-00003EB00000}"/>
    <cellStyle name="常规 9 4 2 4 2 5 4" xfId="28130" xr:uid="{00000000-0005-0000-0000-00003FB00000}"/>
    <cellStyle name="常规 9 4 2 4 2 6" xfId="6626" xr:uid="{00000000-0005-0000-0000-000040B00000}"/>
    <cellStyle name="常规 9 4 2 4 2 6 2" xfId="18914" xr:uid="{00000000-0005-0000-0000-000041B00000}"/>
    <cellStyle name="常规 9 4 2 4 2 6 2 2" xfId="43490" xr:uid="{00000000-0005-0000-0000-000042B00000}"/>
    <cellStyle name="常规 9 4 2 4 2 6 3" xfId="31202" xr:uid="{00000000-0005-0000-0000-000043B00000}"/>
    <cellStyle name="常规 9 4 2 4 2 7" xfId="12770" xr:uid="{00000000-0005-0000-0000-000044B00000}"/>
    <cellStyle name="常规 9 4 2 4 2 7 2" xfId="37346" xr:uid="{00000000-0005-0000-0000-000045B00000}"/>
    <cellStyle name="常规 9 4 2 4 2 8" xfId="25058" xr:uid="{00000000-0005-0000-0000-000046B00000}"/>
    <cellStyle name="常规 9 4 2 4 3" xfId="670" xr:uid="{00000000-0005-0000-0000-000047B00000}"/>
    <cellStyle name="常规 9 4 2 4 3 2" xfId="1438" xr:uid="{00000000-0005-0000-0000-000048B00000}"/>
    <cellStyle name="常规 9 4 2 4 3 2 2" xfId="2974" xr:uid="{00000000-0005-0000-0000-000049B00000}"/>
    <cellStyle name="常规 9 4 2 4 3 2 2 2" xfId="6050" xr:uid="{00000000-0005-0000-0000-00004AB00000}"/>
    <cellStyle name="常规 9 4 2 4 3 2 2 2 2" xfId="12194" xr:uid="{00000000-0005-0000-0000-00004BB00000}"/>
    <cellStyle name="常规 9 4 2 4 3 2 2 2 2 2" xfId="24482" xr:uid="{00000000-0005-0000-0000-00004CB00000}"/>
    <cellStyle name="常规 9 4 2 4 3 2 2 2 2 2 2" xfId="49058" xr:uid="{00000000-0005-0000-0000-00004DB00000}"/>
    <cellStyle name="常规 9 4 2 4 3 2 2 2 2 3" xfId="36770" xr:uid="{00000000-0005-0000-0000-00004EB00000}"/>
    <cellStyle name="常规 9 4 2 4 3 2 2 2 3" xfId="18338" xr:uid="{00000000-0005-0000-0000-00004FB00000}"/>
    <cellStyle name="常规 9 4 2 4 3 2 2 2 3 2" xfId="42914" xr:uid="{00000000-0005-0000-0000-000050B00000}"/>
    <cellStyle name="常规 9 4 2 4 3 2 2 2 4" xfId="30626" xr:uid="{00000000-0005-0000-0000-000051B00000}"/>
    <cellStyle name="常规 9 4 2 4 3 2 2 3" xfId="9122" xr:uid="{00000000-0005-0000-0000-000052B00000}"/>
    <cellStyle name="常规 9 4 2 4 3 2 2 3 2" xfId="21410" xr:uid="{00000000-0005-0000-0000-000053B00000}"/>
    <cellStyle name="常规 9 4 2 4 3 2 2 3 2 2" xfId="45986" xr:uid="{00000000-0005-0000-0000-000054B00000}"/>
    <cellStyle name="常规 9 4 2 4 3 2 2 3 3" xfId="33698" xr:uid="{00000000-0005-0000-0000-000055B00000}"/>
    <cellStyle name="常规 9 4 2 4 3 2 2 4" xfId="15266" xr:uid="{00000000-0005-0000-0000-000056B00000}"/>
    <cellStyle name="常规 9 4 2 4 3 2 2 4 2" xfId="39842" xr:uid="{00000000-0005-0000-0000-000057B00000}"/>
    <cellStyle name="常规 9 4 2 4 3 2 2 5" xfId="27554" xr:uid="{00000000-0005-0000-0000-000058B00000}"/>
    <cellStyle name="常规 9 4 2 4 3 2 3" xfId="4514" xr:uid="{00000000-0005-0000-0000-000059B00000}"/>
    <cellStyle name="常规 9 4 2 4 3 2 3 2" xfId="10658" xr:uid="{00000000-0005-0000-0000-00005AB00000}"/>
    <cellStyle name="常规 9 4 2 4 3 2 3 2 2" xfId="22946" xr:uid="{00000000-0005-0000-0000-00005BB00000}"/>
    <cellStyle name="常规 9 4 2 4 3 2 3 2 2 2" xfId="47522" xr:uid="{00000000-0005-0000-0000-00005CB00000}"/>
    <cellStyle name="常规 9 4 2 4 3 2 3 2 3" xfId="35234" xr:uid="{00000000-0005-0000-0000-00005DB00000}"/>
    <cellStyle name="常规 9 4 2 4 3 2 3 3" xfId="16802" xr:uid="{00000000-0005-0000-0000-00005EB00000}"/>
    <cellStyle name="常规 9 4 2 4 3 2 3 3 2" xfId="41378" xr:uid="{00000000-0005-0000-0000-00005FB00000}"/>
    <cellStyle name="常规 9 4 2 4 3 2 3 4" xfId="29090" xr:uid="{00000000-0005-0000-0000-000060B00000}"/>
    <cellStyle name="常规 9 4 2 4 3 2 4" xfId="7586" xr:uid="{00000000-0005-0000-0000-000061B00000}"/>
    <cellStyle name="常规 9 4 2 4 3 2 4 2" xfId="19874" xr:uid="{00000000-0005-0000-0000-000062B00000}"/>
    <cellStyle name="常规 9 4 2 4 3 2 4 2 2" xfId="44450" xr:uid="{00000000-0005-0000-0000-000063B00000}"/>
    <cellStyle name="常规 9 4 2 4 3 2 4 3" xfId="32162" xr:uid="{00000000-0005-0000-0000-000064B00000}"/>
    <cellStyle name="常规 9 4 2 4 3 2 5" xfId="13730" xr:uid="{00000000-0005-0000-0000-000065B00000}"/>
    <cellStyle name="常规 9 4 2 4 3 2 5 2" xfId="38306" xr:uid="{00000000-0005-0000-0000-000066B00000}"/>
    <cellStyle name="常规 9 4 2 4 3 2 6" xfId="26018" xr:uid="{00000000-0005-0000-0000-000067B00000}"/>
    <cellStyle name="常规 9 4 2 4 3 3" xfId="2206" xr:uid="{00000000-0005-0000-0000-000068B00000}"/>
    <cellStyle name="常规 9 4 2 4 3 3 2" xfId="5282" xr:uid="{00000000-0005-0000-0000-000069B00000}"/>
    <cellStyle name="常规 9 4 2 4 3 3 2 2" xfId="11426" xr:uid="{00000000-0005-0000-0000-00006AB00000}"/>
    <cellStyle name="常规 9 4 2 4 3 3 2 2 2" xfId="23714" xr:uid="{00000000-0005-0000-0000-00006BB00000}"/>
    <cellStyle name="常规 9 4 2 4 3 3 2 2 2 2" xfId="48290" xr:uid="{00000000-0005-0000-0000-00006CB00000}"/>
    <cellStyle name="常规 9 4 2 4 3 3 2 2 3" xfId="36002" xr:uid="{00000000-0005-0000-0000-00006DB00000}"/>
    <cellStyle name="常规 9 4 2 4 3 3 2 3" xfId="17570" xr:uid="{00000000-0005-0000-0000-00006EB00000}"/>
    <cellStyle name="常规 9 4 2 4 3 3 2 3 2" xfId="42146" xr:uid="{00000000-0005-0000-0000-00006FB00000}"/>
    <cellStyle name="常规 9 4 2 4 3 3 2 4" xfId="29858" xr:uid="{00000000-0005-0000-0000-000070B00000}"/>
    <cellStyle name="常规 9 4 2 4 3 3 3" xfId="8354" xr:uid="{00000000-0005-0000-0000-000071B00000}"/>
    <cellStyle name="常规 9 4 2 4 3 3 3 2" xfId="20642" xr:uid="{00000000-0005-0000-0000-000072B00000}"/>
    <cellStyle name="常规 9 4 2 4 3 3 3 2 2" xfId="45218" xr:uid="{00000000-0005-0000-0000-000073B00000}"/>
    <cellStyle name="常规 9 4 2 4 3 3 3 3" xfId="32930" xr:uid="{00000000-0005-0000-0000-000074B00000}"/>
    <cellStyle name="常规 9 4 2 4 3 3 4" xfId="14498" xr:uid="{00000000-0005-0000-0000-000075B00000}"/>
    <cellStyle name="常规 9 4 2 4 3 3 4 2" xfId="39074" xr:uid="{00000000-0005-0000-0000-000076B00000}"/>
    <cellStyle name="常规 9 4 2 4 3 3 5" xfId="26786" xr:uid="{00000000-0005-0000-0000-000077B00000}"/>
    <cellStyle name="常规 9 4 2 4 3 4" xfId="3746" xr:uid="{00000000-0005-0000-0000-000078B00000}"/>
    <cellStyle name="常规 9 4 2 4 3 4 2" xfId="9890" xr:uid="{00000000-0005-0000-0000-000079B00000}"/>
    <cellStyle name="常规 9 4 2 4 3 4 2 2" xfId="22178" xr:uid="{00000000-0005-0000-0000-00007AB00000}"/>
    <cellStyle name="常规 9 4 2 4 3 4 2 2 2" xfId="46754" xr:uid="{00000000-0005-0000-0000-00007BB00000}"/>
    <cellStyle name="常规 9 4 2 4 3 4 2 3" xfId="34466" xr:uid="{00000000-0005-0000-0000-00007CB00000}"/>
    <cellStyle name="常规 9 4 2 4 3 4 3" xfId="16034" xr:uid="{00000000-0005-0000-0000-00007DB00000}"/>
    <cellStyle name="常规 9 4 2 4 3 4 3 2" xfId="40610" xr:uid="{00000000-0005-0000-0000-00007EB00000}"/>
    <cellStyle name="常规 9 4 2 4 3 4 4" xfId="28322" xr:uid="{00000000-0005-0000-0000-00007FB00000}"/>
    <cellStyle name="常规 9 4 2 4 3 5" xfId="6818" xr:uid="{00000000-0005-0000-0000-000080B00000}"/>
    <cellStyle name="常规 9 4 2 4 3 5 2" xfId="19106" xr:uid="{00000000-0005-0000-0000-000081B00000}"/>
    <cellStyle name="常规 9 4 2 4 3 5 2 2" xfId="43682" xr:uid="{00000000-0005-0000-0000-000082B00000}"/>
    <cellStyle name="常规 9 4 2 4 3 5 3" xfId="31394" xr:uid="{00000000-0005-0000-0000-000083B00000}"/>
    <cellStyle name="常规 9 4 2 4 3 6" xfId="12962" xr:uid="{00000000-0005-0000-0000-000084B00000}"/>
    <cellStyle name="常规 9 4 2 4 3 6 2" xfId="37538" xr:uid="{00000000-0005-0000-0000-000085B00000}"/>
    <cellStyle name="常规 9 4 2 4 3 7" xfId="25250" xr:uid="{00000000-0005-0000-0000-000086B00000}"/>
    <cellStyle name="常规 9 4 2 4 4" xfId="1054" xr:uid="{00000000-0005-0000-0000-000087B00000}"/>
    <cellStyle name="常规 9 4 2 4 4 2" xfId="2590" xr:uid="{00000000-0005-0000-0000-000088B00000}"/>
    <cellStyle name="常规 9 4 2 4 4 2 2" xfId="5666" xr:uid="{00000000-0005-0000-0000-000089B00000}"/>
    <cellStyle name="常规 9 4 2 4 4 2 2 2" xfId="11810" xr:uid="{00000000-0005-0000-0000-00008AB00000}"/>
    <cellStyle name="常规 9 4 2 4 4 2 2 2 2" xfId="24098" xr:uid="{00000000-0005-0000-0000-00008BB00000}"/>
    <cellStyle name="常规 9 4 2 4 4 2 2 2 2 2" xfId="48674" xr:uid="{00000000-0005-0000-0000-00008CB00000}"/>
    <cellStyle name="常规 9 4 2 4 4 2 2 2 3" xfId="36386" xr:uid="{00000000-0005-0000-0000-00008DB00000}"/>
    <cellStyle name="常规 9 4 2 4 4 2 2 3" xfId="17954" xr:uid="{00000000-0005-0000-0000-00008EB00000}"/>
    <cellStyle name="常规 9 4 2 4 4 2 2 3 2" xfId="42530" xr:uid="{00000000-0005-0000-0000-00008FB00000}"/>
    <cellStyle name="常规 9 4 2 4 4 2 2 4" xfId="30242" xr:uid="{00000000-0005-0000-0000-000090B00000}"/>
    <cellStyle name="常规 9 4 2 4 4 2 3" xfId="8738" xr:uid="{00000000-0005-0000-0000-000091B00000}"/>
    <cellStyle name="常规 9 4 2 4 4 2 3 2" xfId="21026" xr:uid="{00000000-0005-0000-0000-000092B00000}"/>
    <cellStyle name="常规 9 4 2 4 4 2 3 2 2" xfId="45602" xr:uid="{00000000-0005-0000-0000-000093B00000}"/>
    <cellStyle name="常规 9 4 2 4 4 2 3 3" xfId="33314" xr:uid="{00000000-0005-0000-0000-000094B00000}"/>
    <cellStyle name="常规 9 4 2 4 4 2 4" xfId="14882" xr:uid="{00000000-0005-0000-0000-000095B00000}"/>
    <cellStyle name="常规 9 4 2 4 4 2 4 2" xfId="39458" xr:uid="{00000000-0005-0000-0000-000096B00000}"/>
    <cellStyle name="常规 9 4 2 4 4 2 5" xfId="27170" xr:uid="{00000000-0005-0000-0000-000097B00000}"/>
    <cellStyle name="常规 9 4 2 4 4 3" xfId="4130" xr:uid="{00000000-0005-0000-0000-000098B00000}"/>
    <cellStyle name="常规 9 4 2 4 4 3 2" xfId="10274" xr:uid="{00000000-0005-0000-0000-000099B00000}"/>
    <cellStyle name="常规 9 4 2 4 4 3 2 2" xfId="22562" xr:uid="{00000000-0005-0000-0000-00009AB00000}"/>
    <cellStyle name="常规 9 4 2 4 4 3 2 2 2" xfId="47138" xr:uid="{00000000-0005-0000-0000-00009BB00000}"/>
    <cellStyle name="常规 9 4 2 4 4 3 2 3" xfId="34850" xr:uid="{00000000-0005-0000-0000-00009CB00000}"/>
    <cellStyle name="常规 9 4 2 4 4 3 3" xfId="16418" xr:uid="{00000000-0005-0000-0000-00009DB00000}"/>
    <cellStyle name="常规 9 4 2 4 4 3 3 2" xfId="40994" xr:uid="{00000000-0005-0000-0000-00009EB00000}"/>
    <cellStyle name="常规 9 4 2 4 4 3 4" xfId="28706" xr:uid="{00000000-0005-0000-0000-00009FB00000}"/>
    <cellStyle name="常规 9 4 2 4 4 4" xfId="7202" xr:uid="{00000000-0005-0000-0000-0000A0B00000}"/>
    <cellStyle name="常规 9 4 2 4 4 4 2" xfId="19490" xr:uid="{00000000-0005-0000-0000-0000A1B00000}"/>
    <cellStyle name="常规 9 4 2 4 4 4 2 2" xfId="44066" xr:uid="{00000000-0005-0000-0000-0000A2B00000}"/>
    <cellStyle name="常规 9 4 2 4 4 4 3" xfId="31778" xr:uid="{00000000-0005-0000-0000-0000A3B00000}"/>
    <cellStyle name="常规 9 4 2 4 4 5" xfId="13346" xr:uid="{00000000-0005-0000-0000-0000A4B00000}"/>
    <cellStyle name="常规 9 4 2 4 4 5 2" xfId="37922" xr:uid="{00000000-0005-0000-0000-0000A5B00000}"/>
    <cellStyle name="常规 9 4 2 4 4 6" xfId="25634" xr:uid="{00000000-0005-0000-0000-0000A6B00000}"/>
    <cellStyle name="常规 9 4 2 4 5" xfId="1822" xr:uid="{00000000-0005-0000-0000-0000A7B00000}"/>
    <cellStyle name="常规 9 4 2 4 5 2" xfId="4898" xr:uid="{00000000-0005-0000-0000-0000A8B00000}"/>
    <cellStyle name="常规 9 4 2 4 5 2 2" xfId="11042" xr:uid="{00000000-0005-0000-0000-0000A9B00000}"/>
    <cellStyle name="常规 9 4 2 4 5 2 2 2" xfId="23330" xr:uid="{00000000-0005-0000-0000-0000AAB00000}"/>
    <cellStyle name="常规 9 4 2 4 5 2 2 2 2" xfId="47906" xr:uid="{00000000-0005-0000-0000-0000ABB00000}"/>
    <cellStyle name="常规 9 4 2 4 5 2 2 3" xfId="35618" xr:uid="{00000000-0005-0000-0000-0000ACB00000}"/>
    <cellStyle name="常规 9 4 2 4 5 2 3" xfId="17186" xr:uid="{00000000-0005-0000-0000-0000ADB00000}"/>
    <cellStyle name="常规 9 4 2 4 5 2 3 2" xfId="41762" xr:uid="{00000000-0005-0000-0000-0000AEB00000}"/>
    <cellStyle name="常规 9 4 2 4 5 2 4" xfId="29474" xr:uid="{00000000-0005-0000-0000-0000AFB00000}"/>
    <cellStyle name="常规 9 4 2 4 5 3" xfId="7970" xr:uid="{00000000-0005-0000-0000-0000B0B00000}"/>
    <cellStyle name="常规 9 4 2 4 5 3 2" xfId="20258" xr:uid="{00000000-0005-0000-0000-0000B1B00000}"/>
    <cellStyle name="常规 9 4 2 4 5 3 2 2" xfId="44834" xr:uid="{00000000-0005-0000-0000-0000B2B00000}"/>
    <cellStyle name="常规 9 4 2 4 5 3 3" xfId="32546" xr:uid="{00000000-0005-0000-0000-0000B3B00000}"/>
    <cellStyle name="常规 9 4 2 4 5 4" xfId="14114" xr:uid="{00000000-0005-0000-0000-0000B4B00000}"/>
    <cellStyle name="常规 9 4 2 4 5 4 2" xfId="38690" xr:uid="{00000000-0005-0000-0000-0000B5B00000}"/>
    <cellStyle name="常规 9 4 2 4 5 5" xfId="26402" xr:uid="{00000000-0005-0000-0000-0000B6B00000}"/>
    <cellStyle name="常规 9 4 2 4 6" xfId="3362" xr:uid="{00000000-0005-0000-0000-0000B7B00000}"/>
    <cellStyle name="常规 9 4 2 4 6 2" xfId="9506" xr:uid="{00000000-0005-0000-0000-0000B8B00000}"/>
    <cellStyle name="常规 9 4 2 4 6 2 2" xfId="21794" xr:uid="{00000000-0005-0000-0000-0000B9B00000}"/>
    <cellStyle name="常规 9 4 2 4 6 2 2 2" xfId="46370" xr:uid="{00000000-0005-0000-0000-0000BAB00000}"/>
    <cellStyle name="常规 9 4 2 4 6 2 3" xfId="34082" xr:uid="{00000000-0005-0000-0000-0000BBB00000}"/>
    <cellStyle name="常规 9 4 2 4 6 3" xfId="15650" xr:uid="{00000000-0005-0000-0000-0000BCB00000}"/>
    <cellStyle name="常规 9 4 2 4 6 3 2" xfId="40226" xr:uid="{00000000-0005-0000-0000-0000BDB00000}"/>
    <cellStyle name="常规 9 4 2 4 6 4" xfId="27938" xr:uid="{00000000-0005-0000-0000-0000BEB00000}"/>
    <cellStyle name="常规 9 4 2 4 7" xfId="6434" xr:uid="{00000000-0005-0000-0000-0000BFB00000}"/>
    <cellStyle name="常规 9 4 2 4 7 2" xfId="18722" xr:uid="{00000000-0005-0000-0000-0000C0B00000}"/>
    <cellStyle name="常规 9 4 2 4 7 2 2" xfId="43298" xr:uid="{00000000-0005-0000-0000-0000C1B00000}"/>
    <cellStyle name="常规 9 4 2 4 7 3" xfId="31010" xr:uid="{00000000-0005-0000-0000-0000C2B00000}"/>
    <cellStyle name="常规 9 4 2 4 8" xfId="12578" xr:uid="{00000000-0005-0000-0000-0000C3B00000}"/>
    <cellStyle name="常规 9 4 2 4 8 2" xfId="37154" xr:uid="{00000000-0005-0000-0000-0000C4B00000}"/>
    <cellStyle name="常规 9 4 2 4 9" xfId="24866" xr:uid="{00000000-0005-0000-0000-0000C5B00000}"/>
    <cellStyle name="常规 9 4 2 5" xfId="350" xr:uid="{00000000-0005-0000-0000-0000C6B00000}"/>
    <cellStyle name="常规 9 4 2 5 2" xfId="734" xr:uid="{00000000-0005-0000-0000-0000C7B00000}"/>
    <cellStyle name="常规 9 4 2 5 2 2" xfId="1502" xr:uid="{00000000-0005-0000-0000-0000C8B00000}"/>
    <cellStyle name="常规 9 4 2 5 2 2 2" xfId="3038" xr:uid="{00000000-0005-0000-0000-0000C9B00000}"/>
    <cellStyle name="常规 9 4 2 5 2 2 2 2" xfId="6114" xr:uid="{00000000-0005-0000-0000-0000CAB00000}"/>
    <cellStyle name="常规 9 4 2 5 2 2 2 2 2" xfId="12258" xr:uid="{00000000-0005-0000-0000-0000CBB00000}"/>
    <cellStyle name="常规 9 4 2 5 2 2 2 2 2 2" xfId="24546" xr:uid="{00000000-0005-0000-0000-0000CCB00000}"/>
    <cellStyle name="常规 9 4 2 5 2 2 2 2 2 2 2" xfId="49122" xr:uid="{00000000-0005-0000-0000-0000CDB00000}"/>
    <cellStyle name="常规 9 4 2 5 2 2 2 2 2 3" xfId="36834" xr:uid="{00000000-0005-0000-0000-0000CEB00000}"/>
    <cellStyle name="常规 9 4 2 5 2 2 2 2 3" xfId="18402" xr:uid="{00000000-0005-0000-0000-0000CFB00000}"/>
    <cellStyle name="常规 9 4 2 5 2 2 2 2 3 2" xfId="42978" xr:uid="{00000000-0005-0000-0000-0000D0B00000}"/>
    <cellStyle name="常规 9 4 2 5 2 2 2 2 4" xfId="30690" xr:uid="{00000000-0005-0000-0000-0000D1B00000}"/>
    <cellStyle name="常规 9 4 2 5 2 2 2 3" xfId="9186" xr:uid="{00000000-0005-0000-0000-0000D2B00000}"/>
    <cellStyle name="常规 9 4 2 5 2 2 2 3 2" xfId="21474" xr:uid="{00000000-0005-0000-0000-0000D3B00000}"/>
    <cellStyle name="常规 9 4 2 5 2 2 2 3 2 2" xfId="46050" xr:uid="{00000000-0005-0000-0000-0000D4B00000}"/>
    <cellStyle name="常规 9 4 2 5 2 2 2 3 3" xfId="33762" xr:uid="{00000000-0005-0000-0000-0000D5B00000}"/>
    <cellStyle name="常规 9 4 2 5 2 2 2 4" xfId="15330" xr:uid="{00000000-0005-0000-0000-0000D6B00000}"/>
    <cellStyle name="常规 9 4 2 5 2 2 2 4 2" xfId="39906" xr:uid="{00000000-0005-0000-0000-0000D7B00000}"/>
    <cellStyle name="常规 9 4 2 5 2 2 2 5" xfId="27618" xr:uid="{00000000-0005-0000-0000-0000D8B00000}"/>
    <cellStyle name="常规 9 4 2 5 2 2 3" xfId="4578" xr:uid="{00000000-0005-0000-0000-0000D9B00000}"/>
    <cellStyle name="常规 9 4 2 5 2 2 3 2" xfId="10722" xr:uid="{00000000-0005-0000-0000-0000DAB00000}"/>
    <cellStyle name="常规 9 4 2 5 2 2 3 2 2" xfId="23010" xr:uid="{00000000-0005-0000-0000-0000DBB00000}"/>
    <cellStyle name="常规 9 4 2 5 2 2 3 2 2 2" xfId="47586" xr:uid="{00000000-0005-0000-0000-0000DCB00000}"/>
    <cellStyle name="常规 9 4 2 5 2 2 3 2 3" xfId="35298" xr:uid="{00000000-0005-0000-0000-0000DDB00000}"/>
    <cellStyle name="常规 9 4 2 5 2 2 3 3" xfId="16866" xr:uid="{00000000-0005-0000-0000-0000DEB00000}"/>
    <cellStyle name="常规 9 4 2 5 2 2 3 3 2" xfId="41442" xr:uid="{00000000-0005-0000-0000-0000DFB00000}"/>
    <cellStyle name="常规 9 4 2 5 2 2 3 4" xfId="29154" xr:uid="{00000000-0005-0000-0000-0000E0B00000}"/>
    <cellStyle name="常规 9 4 2 5 2 2 4" xfId="7650" xr:uid="{00000000-0005-0000-0000-0000E1B00000}"/>
    <cellStyle name="常规 9 4 2 5 2 2 4 2" xfId="19938" xr:uid="{00000000-0005-0000-0000-0000E2B00000}"/>
    <cellStyle name="常规 9 4 2 5 2 2 4 2 2" xfId="44514" xr:uid="{00000000-0005-0000-0000-0000E3B00000}"/>
    <cellStyle name="常规 9 4 2 5 2 2 4 3" xfId="32226" xr:uid="{00000000-0005-0000-0000-0000E4B00000}"/>
    <cellStyle name="常规 9 4 2 5 2 2 5" xfId="13794" xr:uid="{00000000-0005-0000-0000-0000E5B00000}"/>
    <cellStyle name="常规 9 4 2 5 2 2 5 2" xfId="38370" xr:uid="{00000000-0005-0000-0000-0000E6B00000}"/>
    <cellStyle name="常规 9 4 2 5 2 2 6" xfId="26082" xr:uid="{00000000-0005-0000-0000-0000E7B00000}"/>
    <cellStyle name="常规 9 4 2 5 2 3" xfId="2270" xr:uid="{00000000-0005-0000-0000-0000E8B00000}"/>
    <cellStyle name="常规 9 4 2 5 2 3 2" xfId="5346" xr:uid="{00000000-0005-0000-0000-0000E9B00000}"/>
    <cellStyle name="常规 9 4 2 5 2 3 2 2" xfId="11490" xr:uid="{00000000-0005-0000-0000-0000EAB00000}"/>
    <cellStyle name="常规 9 4 2 5 2 3 2 2 2" xfId="23778" xr:uid="{00000000-0005-0000-0000-0000EBB00000}"/>
    <cellStyle name="常规 9 4 2 5 2 3 2 2 2 2" xfId="48354" xr:uid="{00000000-0005-0000-0000-0000ECB00000}"/>
    <cellStyle name="常规 9 4 2 5 2 3 2 2 3" xfId="36066" xr:uid="{00000000-0005-0000-0000-0000EDB00000}"/>
    <cellStyle name="常规 9 4 2 5 2 3 2 3" xfId="17634" xr:uid="{00000000-0005-0000-0000-0000EEB00000}"/>
    <cellStyle name="常规 9 4 2 5 2 3 2 3 2" xfId="42210" xr:uid="{00000000-0005-0000-0000-0000EFB00000}"/>
    <cellStyle name="常规 9 4 2 5 2 3 2 4" xfId="29922" xr:uid="{00000000-0005-0000-0000-0000F0B00000}"/>
    <cellStyle name="常规 9 4 2 5 2 3 3" xfId="8418" xr:uid="{00000000-0005-0000-0000-0000F1B00000}"/>
    <cellStyle name="常规 9 4 2 5 2 3 3 2" xfId="20706" xr:uid="{00000000-0005-0000-0000-0000F2B00000}"/>
    <cellStyle name="常规 9 4 2 5 2 3 3 2 2" xfId="45282" xr:uid="{00000000-0005-0000-0000-0000F3B00000}"/>
    <cellStyle name="常规 9 4 2 5 2 3 3 3" xfId="32994" xr:uid="{00000000-0005-0000-0000-0000F4B00000}"/>
    <cellStyle name="常规 9 4 2 5 2 3 4" xfId="14562" xr:uid="{00000000-0005-0000-0000-0000F5B00000}"/>
    <cellStyle name="常规 9 4 2 5 2 3 4 2" xfId="39138" xr:uid="{00000000-0005-0000-0000-0000F6B00000}"/>
    <cellStyle name="常规 9 4 2 5 2 3 5" xfId="26850" xr:uid="{00000000-0005-0000-0000-0000F7B00000}"/>
    <cellStyle name="常规 9 4 2 5 2 4" xfId="3810" xr:uid="{00000000-0005-0000-0000-0000F8B00000}"/>
    <cellStyle name="常规 9 4 2 5 2 4 2" xfId="9954" xr:uid="{00000000-0005-0000-0000-0000F9B00000}"/>
    <cellStyle name="常规 9 4 2 5 2 4 2 2" xfId="22242" xr:uid="{00000000-0005-0000-0000-0000FAB00000}"/>
    <cellStyle name="常规 9 4 2 5 2 4 2 2 2" xfId="46818" xr:uid="{00000000-0005-0000-0000-0000FBB00000}"/>
    <cellStyle name="常规 9 4 2 5 2 4 2 3" xfId="34530" xr:uid="{00000000-0005-0000-0000-0000FCB00000}"/>
    <cellStyle name="常规 9 4 2 5 2 4 3" xfId="16098" xr:uid="{00000000-0005-0000-0000-0000FDB00000}"/>
    <cellStyle name="常规 9 4 2 5 2 4 3 2" xfId="40674" xr:uid="{00000000-0005-0000-0000-0000FEB00000}"/>
    <cellStyle name="常规 9 4 2 5 2 4 4" xfId="28386" xr:uid="{00000000-0005-0000-0000-0000FFB00000}"/>
    <cellStyle name="常规 9 4 2 5 2 5" xfId="6882" xr:uid="{00000000-0005-0000-0000-000000B10000}"/>
    <cellStyle name="常规 9 4 2 5 2 5 2" xfId="19170" xr:uid="{00000000-0005-0000-0000-000001B10000}"/>
    <cellStyle name="常规 9 4 2 5 2 5 2 2" xfId="43746" xr:uid="{00000000-0005-0000-0000-000002B10000}"/>
    <cellStyle name="常规 9 4 2 5 2 5 3" xfId="31458" xr:uid="{00000000-0005-0000-0000-000003B10000}"/>
    <cellStyle name="常规 9 4 2 5 2 6" xfId="13026" xr:uid="{00000000-0005-0000-0000-000004B10000}"/>
    <cellStyle name="常规 9 4 2 5 2 6 2" xfId="37602" xr:uid="{00000000-0005-0000-0000-000005B10000}"/>
    <cellStyle name="常规 9 4 2 5 2 7" xfId="25314" xr:uid="{00000000-0005-0000-0000-000006B10000}"/>
    <cellStyle name="常规 9 4 2 5 3" xfId="1118" xr:uid="{00000000-0005-0000-0000-000007B10000}"/>
    <cellStyle name="常规 9 4 2 5 3 2" xfId="2654" xr:uid="{00000000-0005-0000-0000-000008B10000}"/>
    <cellStyle name="常规 9 4 2 5 3 2 2" xfId="5730" xr:uid="{00000000-0005-0000-0000-000009B10000}"/>
    <cellStyle name="常规 9 4 2 5 3 2 2 2" xfId="11874" xr:uid="{00000000-0005-0000-0000-00000AB10000}"/>
    <cellStyle name="常规 9 4 2 5 3 2 2 2 2" xfId="24162" xr:uid="{00000000-0005-0000-0000-00000BB10000}"/>
    <cellStyle name="常规 9 4 2 5 3 2 2 2 2 2" xfId="48738" xr:uid="{00000000-0005-0000-0000-00000CB10000}"/>
    <cellStyle name="常规 9 4 2 5 3 2 2 2 3" xfId="36450" xr:uid="{00000000-0005-0000-0000-00000DB10000}"/>
    <cellStyle name="常规 9 4 2 5 3 2 2 3" xfId="18018" xr:uid="{00000000-0005-0000-0000-00000EB10000}"/>
    <cellStyle name="常规 9 4 2 5 3 2 2 3 2" xfId="42594" xr:uid="{00000000-0005-0000-0000-00000FB10000}"/>
    <cellStyle name="常规 9 4 2 5 3 2 2 4" xfId="30306" xr:uid="{00000000-0005-0000-0000-000010B10000}"/>
    <cellStyle name="常规 9 4 2 5 3 2 3" xfId="8802" xr:uid="{00000000-0005-0000-0000-000011B10000}"/>
    <cellStyle name="常规 9 4 2 5 3 2 3 2" xfId="21090" xr:uid="{00000000-0005-0000-0000-000012B10000}"/>
    <cellStyle name="常规 9 4 2 5 3 2 3 2 2" xfId="45666" xr:uid="{00000000-0005-0000-0000-000013B10000}"/>
    <cellStyle name="常规 9 4 2 5 3 2 3 3" xfId="33378" xr:uid="{00000000-0005-0000-0000-000014B10000}"/>
    <cellStyle name="常规 9 4 2 5 3 2 4" xfId="14946" xr:uid="{00000000-0005-0000-0000-000015B10000}"/>
    <cellStyle name="常规 9 4 2 5 3 2 4 2" xfId="39522" xr:uid="{00000000-0005-0000-0000-000016B10000}"/>
    <cellStyle name="常规 9 4 2 5 3 2 5" xfId="27234" xr:uid="{00000000-0005-0000-0000-000017B10000}"/>
    <cellStyle name="常规 9 4 2 5 3 3" xfId="4194" xr:uid="{00000000-0005-0000-0000-000018B10000}"/>
    <cellStyle name="常规 9 4 2 5 3 3 2" xfId="10338" xr:uid="{00000000-0005-0000-0000-000019B10000}"/>
    <cellStyle name="常规 9 4 2 5 3 3 2 2" xfId="22626" xr:uid="{00000000-0005-0000-0000-00001AB10000}"/>
    <cellStyle name="常规 9 4 2 5 3 3 2 2 2" xfId="47202" xr:uid="{00000000-0005-0000-0000-00001BB10000}"/>
    <cellStyle name="常规 9 4 2 5 3 3 2 3" xfId="34914" xr:uid="{00000000-0005-0000-0000-00001CB10000}"/>
    <cellStyle name="常规 9 4 2 5 3 3 3" xfId="16482" xr:uid="{00000000-0005-0000-0000-00001DB10000}"/>
    <cellStyle name="常规 9 4 2 5 3 3 3 2" xfId="41058" xr:uid="{00000000-0005-0000-0000-00001EB10000}"/>
    <cellStyle name="常规 9 4 2 5 3 3 4" xfId="28770" xr:uid="{00000000-0005-0000-0000-00001FB10000}"/>
    <cellStyle name="常规 9 4 2 5 3 4" xfId="7266" xr:uid="{00000000-0005-0000-0000-000020B10000}"/>
    <cellStyle name="常规 9 4 2 5 3 4 2" xfId="19554" xr:uid="{00000000-0005-0000-0000-000021B10000}"/>
    <cellStyle name="常规 9 4 2 5 3 4 2 2" xfId="44130" xr:uid="{00000000-0005-0000-0000-000022B10000}"/>
    <cellStyle name="常规 9 4 2 5 3 4 3" xfId="31842" xr:uid="{00000000-0005-0000-0000-000023B10000}"/>
    <cellStyle name="常规 9 4 2 5 3 5" xfId="13410" xr:uid="{00000000-0005-0000-0000-000024B10000}"/>
    <cellStyle name="常规 9 4 2 5 3 5 2" xfId="37986" xr:uid="{00000000-0005-0000-0000-000025B10000}"/>
    <cellStyle name="常规 9 4 2 5 3 6" xfId="25698" xr:uid="{00000000-0005-0000-0000-000026B10000}"/>
    <cellStyle name="常规 9 4 2 5 4" xfId="1886" xr:uid="{00000000-0005-0000-0000-000027B10000}"/>
    <cellStyle name="常规 9 4 2 5 4 2" xfId="4962" xr:uid="{00000000-0005-0000-0000-000028B10000}"/>
    <cellStyle name="常规 9 4 2 5 4 2 2" xfId="11106" xr:uid="{00000000-0005-0000-0000-000029B10000}"/>
    <cellStyle name="常规 9 4 2 5 4 2 2 2" xfId="23394" xr:uid="{00000000-0005-0000-0000-00002AB10000}"/>
    <cellStyle name="常规 9 4 2 5 4 2 2 2 2" xfId="47970" xr:uid="{00000000-0005-0000-0000-00002BB10000}"/>
    <cellStyle name="常规 9 4 2 5 4 2 2 3" xfId="35682" xr:uid="{00000000-0005-0000-0000-00002CB10000}"/>
    <cellStyle name="常规 9 4 2 5 4 2 3" xfId="17250" xr:uid="{00000000-0005-0000-0000-00002DB10000}"/>
    <cellStyle name="常规 9 4 2 5 4 2 3 2" xfId="41826" xr:uid="{00000000-0005-0000-0000-00002EB10000}"/>
    <cellStyle name="常规 9 4 2 5 4 2 4" xfId="29538" xr:uid="{00000000-0005-0000-0000-00002FB10000}"/>
    <cellStyle name="常规 9 4 2 5 4 3" xfId="8034" xr:uid="{00000000-0005-0000-0000-000030B10000}"/>
    <cellStyle name="常规 9 4 2 5 4 3 2" xfId="20322" xr:uid="{00000000-0005-0000-0000-000031B10000}"/>
    <cellStyle name="常规 9 4 2 5 4 3 2 2" xfId="44898" xr:uid="{00000000-0005-0000-0000-000032B10000}"/>
    <cellStyle name="常规 9 4 2 5 4 3 3" xfId="32610" xr:uid="{00000000-0005-0000-0000-000033B10000}"/>
    <cellStyle name="常规 9 4 2 5 4 4" xfId="14178" xr:uid="{00000000-0005-0000-0000-000034B10000}"/>
    <cellStyle name="常规 9 4 2 5 4 4 2" xfId="38754" xr:uid="{00000000-0005-0000-0000-000035B10000}"/>
    <cellStyle name="常规 9 4 2 5 4 5" xfId="26466" xr:uid="{00000000-0005-0000-0000-000036B10000}"/>
    <cellStyle name="常规 9 4 2 5 5" xfId="3426" xr:uid="{00000000-0005-0000-0000-000037B10000}"/>
    <cellStyle name="常规 9 4 2 5 5 2" xfId="9570" xr:uid="{00000000-0005-0000-0000-000038B10000}"/>
    <cellStyle name="常规 9 4 2 5 5 2 2" xfId="21858" xr:uid="{00000000-0005-0000-0000-000039B10000}"/>
    <cellStyle name="常规 9 4 2 5 5 2 2 2" xfId="46434" xr:uid="{00000000-0005-0000-0000-00003AB10000}"/>
    <cellStyle name="常规 9 4 2 5 5 2 3" xfId="34146" xr:uid="{00000000-0005-0000-0000-00003BB10000}"/>
    <cellStyle name="常规 9 4 2 5 5 3" xfId="15714" xr:uid="{00000000-0005-0000-0000-00003CB10000}"/>
    <cellStyle name="常规 9 4 2 5 5 3 2" xfId="40290" xr:uid="{00000000-0005-0000-0000-00003DB10000}"/>
    <cellStyle name="常规 9 4 2 5 5 4" xfId="28002" xr:uid="{00000000-0005-0000-0000-00003EB10000}"/>
    <cellStyle name="常规 9 4 2 5 6" xfId="6498" xr:uid="{00000000-0005-0000-0000-00003FB10000}"/>
    <cellStyle name="常规 9 4 2 5 6 2" xfId="18786" xr:uid="{00000000-0005-0000-0000-000040B10000}"/>
    <cellStyle name="常规 9 4 2 5 6 2 2" xfId="43362" xr:uid="{00000000-0005-0000-0000-000041B10000}"/>
    <cellStyle name="常规 9 4 2 5 6 3" xfId="31074" xr:uid="{00000000-0005-0000-0000-000042B10000}"/>
    <cellStyle name="常规 9 4 2 5 7" xfId="12642" xr:uid="{00000000-0005-0000-0000-000043B10000}"/>
    <cellStyle name="常规 9 4 2 5 7 2" xfId="37218" xr:uid="{00000000-0005-0000-0000-000044B10000}"/>
    <cellStyle name="常规 9 4 2 5 8" xfId="24930" xr:uid="{00000000-0005-0000-0000-000045B10000}"/>
    <cellStyle name="常规 9 4 2 6" xfId="542" xr:uid="{00000000-0005-0000-0000-000046B10000}"/>
    <cellStyle name="常规 9 4 2 6 2" xfId="1310" xr:uid="{00000000-0005-0000-0000-000047B10000}"/>
    <cellStyle name="常规 9 4 2 6 2 2" xfId="2846" xr:uid="{00000000-0005-0000-0000-000048B10000}"/>
    <cellStyle name="常规 9 4 2 6 2 2 2" xfId="5922" xr:uid="{00000000-0005-0000-0000-000049B10000}"/>
    <cellStyle name="常规 9 4 2 6 2 2 2 2" xfId="12066" xr:uid="{00000000-0005-0000-0000-00004AB10000}"/>
    <cellStyle name="常规 9 4 2 6 2 2 2 2 2" xfId="24354" xr:uid="{00000000-0005-0000-0000-00004BB10000}"/>
    <cellStyle name="常规 9 4 2 6 2 2 2 2 2 2" xfId="48930" xr:uid="{00000000-0005-0000-0000-00004CB10000}"/>
    <cellStyle name="常规 9 4 2 6 2 2 2 2 3" xfId="36642" xr:uid="{00000000-0005-0000-0000-00004DB10000}"/>
    <cellStyle name="常规 9 4 2 6 2 2 2 3" xfId="18210" xr:uid="{00000000-0005-0000-0000-00004EB10000}"/>
    <cellStyle name="常规 9 4 2 6 2 2 2 3 2" xfId="42786" xr:uid="{00000000-0005-0000-0000-00004FB10000}"/>
    <cellStyle name="常规 9 4 2 6 2 2 2 4" xfId="30498" xr:uid="{00000000-0005-0000-0000-000050B10000}"/>
    <cellStyle name="常规 9 4 2 6 2 2 3" xfId="8994" xr:uid="{00000000-0005-0000-0000-000051B10000}"/>
    <cellStyle name="常规 9 4 2 6 2 2 3 2" xfId="21282" xr:uid="{00000000-0005-0000-0000-000052B10000}"/>
    <cellStyle name="常规 9 4 2 6 2 2 3 2 2" xfId="45858" xr:uid="{00000000-0005-0000-0000-000053B10000}"/>
    <cellStyle name="常规 9 4 2 6 2 2 3 3" xfId="33570" xr:uid="{00000000-0005-0000-0000-000054B10000}"/>
    <cellStyle name="常规 9 4 2 6 2 2 4" xfId="15138" xr:uid="{00000000-0005-0000-0000-000055B10000}"/>
    <cellStyle name="常规 9 4 2 6 2 2 4 2" xfId="39714" xr:uid="{00000000-0005-0000-0000-000056B10000}"/>
    <cellStyle name="常规 9 4 2 6 2 2 5" xfId="27426" xr:uid="{00000000-0005-0000-0000-000057B10000}"/>
    <cellStyle name="常规 9 4 2 6 2 3" xfId="4386" xr:uid="{00000000-0005-0000-0000-000058B10000}"/>
    <cellStyle name="常规 9 4 2 6 2 3 2" xfId="10530" xr:uid="{00000000-0005-0000-0000-000059B10000}"/>
    <cellStyle name="常规 9 4 2 6 2 3 2 2" xfId="22818" xr:uid="{00000000-0005-0000-0000-00005AB10000}"/>
    <cellStyle name="常规 9 4 2 6 2 3 2 2 2" xfId="47394" xr:uid="{00000000-0005-0000-0000-00005BB10000}"/>
    <cellStyle name="常规 9 4 2 6 2 3 2 3" xfId="35106" xr:uid="{00000000-0005-0000-0000-00005CB10000}"/>
    <cellStyle name="常规 9 4 2 6 2 3 3" xfId="16674" xr:uid="{00000000-0005-0000-0000-00005DB10000}"/>
    <cellStyle name="常规 9 4 2 6 2 3 3 2" xfId="41250" xr:uid="{00000000-0005-0000-0000-00005EB10000}"/>
    <cellStyle name="常规 9 4 2 6 2 3 4" xfId="28962" xr:uid="{00000000-0005-0000-0000-00005FB10000}"/>
    <cellStyle name="常规 9 4 2 6 2 4" xfId="7458" xr:uid="{00000000-0005-0000-0000-000060B10000}"/>
    <cellStyle name="常规 9 4 2 6 2 4 2" xfId="19746" xr:uid="{00000000-0005-0000-0000-000061B10000}"/>
    <cellStyle name="常规 9 4 2 6 2 4 2 2" xfId="44322" xr:uid="{00000000-0005-0000-0000-000062B10000}"/>
    <cellStyle name="常规 9 4 2 6 2 4 3" xfId="32034" xr:uid="{00000000-0005-0000-0000-000063B10000}"/>
    <cellStyle name="常规 9 4 2 6 2 5" xfId="13602" xr:uid="{00000000-0005-0000-0000-000064B10000}"/>
    <cellStyle name="常规 9 4 2 6 2 5 2" xfId="38178" xr:uid="{00000000-0005-0000-0000-000065B10000}"/>
    <cellStyle name="常规 9 4 2 6 2 6" xfId="25890" xr:uid="{00000000-0005-0000-0000-000066B10000}"/>
    <cellStyle name="常规 9 4 2 6 3" xfId="2078" xr:uid="{00000000-0005-0000-0000-000067B10000}"/>
    <cellStyle name="常规 9 4 2 6 3 2" xfId="5154" xr:uid="{00000000-0005-0000-0000-000068B10000}"/>
    <cellStyle name="常规 9 4 2 6 3 2 2" xfId="11298" xr:uid="{00000000-0005-0000-0000-000069B10000}"/>
    <cellStyle name="常规 9 4 2 6 3 2 2 2" xfId="23586" xr:uid="{00000000-0005-0000-0000-00006AB10000}"/>
    <cellStyle name="常规 9 4 2 6 3 2 2 2 2" xfId="48162" xr:uid="{00000000-0005-0000-0000-00006BB10000}"/>
    <cellStyle name="常规 9 4 2 6 3 2 2 3" xfId="35874" xr:uid="{00000000-0005-0000-0000-00006CB10000}"/>
    <cellStyle name="常规 9 4 2 6 3 2 3" xfId="17442" xr:uid="{00000000-0005-0000-0000-00006DB10000}"/>
    <cellStyle name="常规 9 4 2 6 3 2 3 2" xfId="42018" xr:uid="{00000000-0005-0000-0000-00006EB10000}"/>
    <cellStyle name="常规 9 4 2 6 3 2 4" xfId="29730" xr:uid="{00000000-0005-0000-0000-00006FB10000}"/>
    <cellStyle name="常规 9 4 2 6 3 3" xfId="8226" xr:uid="{00000000-0005-0000-0000-000070B10000}"/>
    <cellStyle name="常规 9 4 2 6 3 3 2" xfId="20514" xr:uid="{00000000-0005-0000-0000-000071B10000}"/>
    <cellStyle name="常规 9 4 2 6 3 3 2 2" xfId="45090" xr:uid="{00000000-0005-0000-0000-000072B10000}"/>
    <cellStyle name="常规 9 4 2 6 3 3 3" xfId="32802" xr:uid="{00000000-0005-0000-0000-000073B10000}"/>
    <cellStyle name="常规 9 4 2 6 3 4" xfId="14370" xr:uid="{00000000-0005-0000-0000-000074B10000}"/>
    <cellStyle name="常规 9 4 2 6 3 4 2" xfId="38946" xr:uid="{00000000-0005-0000-0000-000075B10000}"/>
    <cellStyle name="常规 9 4 2 6 3 5" xfId="26658" xr:uid="{00000000-0005-0000-0000-000076B10000}"/>
    <cellStyle name="常规 9 4 2 6 4" xfId="3618" xr:uid="{00000000-0005-0000-0000-000077B10000}"/>
    <cellStyle name="常规 9 4 2 6 4 2" xfId="9762" xr:uid="{00000000-0005-0000-0000-000078B10000}"/>
    <cellStyle name="常规 9 4 2 6 4 2 2" xfId="22050" xr:uid="{00000000-0005-0000-0000-000079B10000}"/>
    <cellStyle name="常规 9 4 2 6 4 2 2 2" xfId="46626" xr:uid="{00000000-0005-0000-0000-00007AB10000}"/>
    <cellStyle name="常规 9 4 2 6 4 2 3" xfId="34338" xr:uid="{00000000-0005-0000-0000-00007BB10000}"/>
    <cellStyle name="常规 9 4 2 6 4 3" xfId="15906" xr:uid="{00000000-0005-0000-0000-00007CB10000}"/>
    <cellStyle name="常规 9 4 2 6 4 3 2" xfId="40482" xr:uid="{00000000-0005-0000-0000-00007DB10000}"/>
    <cellStyle name="常规 9 4 2 6 4 4" xfId="28194" xr:uid="{00000000-0005-0000-0000-00007EB10000}"/>
    <cellStyle name="常规 9 4 2 6 5" xfId="6690" xr:uid="{00000000-0005-0000-0000-00007FB10000}"/>
    <cellStyle name="常规 9 4 2 6 5 2" xfId="18978" xr:uid="{00000000-0005-0000-0000-000080B10000}"/>
    <cellStyle name="常规 9 4 2 6 5 2 2" xfId="43554" xr:uid="{00000000-0005-0000-0000-000081B10000}"/>
    <cellStyle name="常规 9 4 2 6 5 3" xfId="31266" xr:uid="{00000000-0005-0000-0000-000082B10000}"/>
    <cellStyle name="常规 9 4 2 6 6" xfId="12834" xr:uid="{00000000-0005-0000-0000-000083B10000}"/>
    <cellStyle name="常规 9 4 2 6 6 2" xfId="37410" xr:uid="{00000000-0005-0000-0000-000084B10000}"/>
    <cellStyle name="常规 9 4 2 6 7" xfId="25122" xr:uid="{00000000-0005-0000-0000-000085B10000}"/>
    <cellStyle name="常规 9 4 2 7" xfId="926" xr:uid="{00000000-0005-0000-0000-000086B10000}"/>
    <cellStyle name="常规 9 4 2 7 2" xfId="2462" xr:uid="{00000000-0005-0000-0000-000087B10000}"/>
    <cellStyle name="常规 9 4 2 7 2 2" xfId="5538" xr:uid="{00000000-0005-0000-0000-000088B10000}"/>
    <cellStyle name="常规 9 4 2 7 2 2 2" xfId="11682" xr:uid="{00000000-0005-0000-0000-000089B10000}"/>
    <cellStyle name="常规 9 4 2 7 2 2 2 2" xfId="23970" xr:uid="{00000000-0005-0000-0000-00008AB10000}"/>
    <cellStyle name="常规 9 4 2 7 2 2 2 2 2" xfId="48546" xr:uid="{00000000-0005-0000-0000-00008BB10000}"/>
    <cellStyle name="常规 9 4 2 7 2 2 2 3" xfId="36258" xr:uid="{00000000-0005-0000-0000-00008CB10000}"/>
    <cellStyle name="常规 9 4 2 7 2 2 3" xfId="17826" xr:uid="{00000000-0005-0000-0000-00008DB10000}"/>
    <cellStyle name="常规 9 4 2 7 2 2 3 2" xfId="42402" xr:uid="{00000000-0005-0000-0000-00008EB10000}"/>
    <cellStyle name="常规 9 4 2 7 2 2 4" xfId="30114" xr:uid="{00000000-0005-0000-0000-00008FB10000}"/>
    <cellStyle name="常规 9 4 2 7 2 3" xfId="8610" xr:uid="{00000000-0005-0000-0000-000090B10000}"/>
    <cellStyle name="常规 9 4 2 7 2 3 2" xfId="20898" xr:uid="{00000000-0005-0000-0000-000091B10000}"/>
    <cellStyle name="常规 9 4 2 7 2 3 2 2" xfId="45474" xr:uid="{00000000-0005-0000-0000-000092B10000}"/>
    <cellStyle name="常规 9 4 2 7 2 3 3" xfId="33186" xr:uid="{00000000-0005-0000-0000-000093B10000}"/>
    <cellStyle name="常规 9 4 2 7 2 4" xfId="14754" xr:uid="{00000000-0005-0000-0000-000094B10000}"/>
    <cellStyle name="常规 9 4 2 7 2 4 2" xfId="39330" xr:uid="{00000000-0005-0000-0000-000095B10000}"/>
    <cellStyle name="常规 9 4 2 7 2 5" xfId="27042" xr:uid="{00000000-0005-0000-0000-000096B10000}"/>
    <cellStyle name="常规 9 4 2 7 3" xfId="4002" xr:uid="{00000000-0005-0000-0000-000097B10000}"/>
    <cellStyle name="常规 9 4 2 7 3 2" xfId="10146" xr:uid="{00000000-0005-0000-0000-000098B10000}"/>
    <cellStyle name="常规 9 4 2 7 3 2 2" xfId="22434" xr:uid="{00000000-0005-0000-0000-000099B10000}"/>
    <cellStyle name="常规 9 4 2 7 3 2 2 2" xfId="47010" xr:uid="{00000000-0005-0000-0000-00009AB10000}"/>
    <cellStyle name="常规 9 4 2 7 3 2 3" xfId="34722" xr:uid="{00000000-0005-0000-0000-00009BB10000}"/>
    <cellStyle name="常规 9 4 2 7 3 3" xfId="16290" xr:uid="{00000000-0005-0000-0000-00009CB10000}"/>
    <cellStyle name="常规 9 4 2 7 3 3 2" xfId="40866" xr:uid="{00000000-0005-0000-0000-00009DB10000}"/>
    <cellStyle name="常规 9 4 2 7 3 4" xfId="28578" xr:uid="{00000000-0005-0000-0000-00009EB10000}"/>
    <cellStyle name="常规 9 4 2 7 4" xfId="7074" xr:uid="{00000000-0005-0000-0000-00009FB10000}"/>
    <cellStyle name="常规 9 4 2 7 4 2" xfId="19362" xr:uid="{00000000-0005-0000-0000-0000A0B10000}"/>
    <cellStyle name="常规 9 4 2 7 4 2 2" xfId="43938" xr:uid="{00000000-0005-0000-0000-0000A1B10000}"/>
    <cellStyle name="常规 9 4 2 7 4 3" xfId="31650" xr:uid="{00000000-0005-0000-0000-0000A2B10000}"/>
    <cellStyle name="常规 9 4 2 7 5" xfId="13218" xr:uid="{00000000-0005-0000-0000-0000A3B10000}"/>
    <cellStyle name="常规 9 4 2 7 5 2" xfId="37794" xr:uid="{00000000-0005-0000-0000-0000A4B10000}"/>
    <cellStyle name="常规 9 4 2 7 6" xfId="25506" xr:uid="{00000000-0005-0000-0000-0000A5B10000}"/>
    <cellStyle name="常规 9 4 2 8" xfId="1694" xr:uid="{00000000-0005-0000-0000-0000A6B10000}"/>
    <cellStyle name="常规 9 4 2 8 2" xfId="4770" xr:uid="{00000000-0005-0000-0000-0000A7B10000}"/>
    <cellStyle name="常规 9 4 2 8 2 2" xfId="10914" xr:uid="{00000000-0005-0000-0000-0000A8B10000}"/>
    <cellStyle name="常规 9 4 2 8 2 2 2" xfId="23202" xr:uid="{00000000-0005-0000-0000-0000A9B10000}"/>
    <cellStyle name="常规 9 4 2 8 2 2 2 2" xfId="47778" xr:uid="{00000000-0005-0000-0000-0000AAB10000}"/>
    <cellStyle name="常规 9 4 2 8 2 2 3" xfId="35490" xr:uid="{00000000-0005-0000-0000-0000ABB10000}"/>
    <cellStyle name="常规 9 4 2 8 2 3" xfId="17058" xr:uid="{00000000-0005-0000-0000-0000ACB10000}"/>
    <cellStyle name="常规 9 4 2 8 2 3 2" xfId="41634" xr:uid="{00000000-0005-0000-0000-0000ADB10000}"/>
    <cellStyle name="常规 9 4 2 8 2 4" xfId="29346" xr:uid="{00000000-0005-0000-0000-0000AEB10000}"/>
    <cellStyle name="常规 9 4 2 8 3" xfId="7842" xr:uid="{00000000-0005-0000-0000-0000AFB10000}"/>
    <cellStyle name="常规 9 4 2 8 3 2" xfId="20130" xr:uid="{00000000-0005-0000-0000-0000B0B10000}"/>
    <cellStyle name="常规 9 4 2 8 3 2 2" xfId="44706" xr:uid="{00000000-0005-0000-0000-0000B1B10000}"/>
    <cellStyle name="常规 9 4 2 8 3 3" xfId="32418" xr:uid="{00000000-0005-0000-0000-0000B2B10000}"/>
    <cellStyle name="常规 9 4 2 8 4" xfId="13986" xr:uid="{00000000-0005-0000-0000-0000B3B10000}"/>
    <cellStyle name="常规 9 4 2 8 4 2" xfId="38562" xr:uid="{00000000-0005-0000-0000-0000B4B10000}"/>
    <cellStyle name="常规 9 4 2 8 5" xfId="26274" xr:uid="{00000000-0005-0000-0000-0000B5B10000}"/>
    <cellStyle name="常规 9 4 2 9" xfId="3234" xr:uid="{00000000-0005-0000-0000-0000B6B10000}"/>
    <cellStyle name="常规 9 4 2 9 2" xfId="9378" xr:uid="{00000000-0005-0000-0000-0000B7B10000}"/>
    <cellStyle name="常规 9 4 2 9 2 2" xfId="21666" xr:uid="{00000000-0005-0000-0000-0000B8B10000}"/>
    <cellStyle name="常规 9 4 2 9 2 2 2" xfId="46242" xr:uid="{00000000-0005-0000-0000-0000B9B10000}"/>
    <cellStyle name="常规 9 4 2 9 2 3" xfId="33954" xr:uid="{00000000-0005-0000-0000-0000BAB10000}"/>
    <cellStyle name="常规 9 4 2 9 3" xfId="15522" xr:uid="{00000000-0005-0000-0000-0000BBB10000}"/>
    <cellStyle name="常规 9 4 2 9 3 2" xfId="40098" xr:uid="{00000000-0005-0000-0000-0000BCB10000}"/>
    <cellStyle name="常规 9 4 2 9 4" xfId="27810" xr:uid="{00000000-0005-0000-0000-0000BDB10000}"/>
    <cellStyle name="常规 9 4 3" xfId="173" xr:uid="{00000000-0005-0000-0000-0000BEB10000}"/>
    <cellStyle name="常规 9 4 3 10" xfId="12466" xr:uid="{00000000-0005-0000-0000-0000BFB10000}"/>
    <cellStyle name="常规 9 4 3 10 2" xfId="37042" xr:uid="{00000000-0005-0000-0000-0000C0B10000}"/>
    <cellStyle name="常规 9 4 3 11" xfId="24754" xr:uid="{00000000-0005-0000-0000-0000C1B10000}"/>
    <cellStyle name="常规 9 4 3 2" xfId="238" xr:uid="{00000000-0005-0000-0000-0000C2B10000}"/>
    <cellStyle name="常规 9 4 3 2 2" xfId="430" xr:uid="{00000000-0005-0000-0000-0000C3B10000}"/>
    <cellStyle name="常规 9 4 3 2 2 2" xfId="814" xr:uid="{00000000-0005-0000-0000-0000C4B10000}"/>
    <cellStyle name="常规 9 4 3 2 2 2 2" xfId="1582" xr:uid="{00000000-0005-0000-0000-0000C5B10000}"/>
    <cellStyle name="常规 9 4 3 2 2 2 2 2" xfId="3118" xr:uid="{00000000-0005-0000-0000-0000C6B10000}"/>
    <cellStyle name="常规 9 4 3 2 2 2 2 2 2" xfId="6194" xr:uid="{00000000-0005-0000-0000-0000C7B10000}"/>
    <cellStyle name="常规 9 4 3 2 2 2 2 2 2 2" xfId="12338" xr:uid="{00000000-0005-0000-0000-0000C8B10000}"/>
    <cellStyle name="常规 9 4 3 2 2 2 2 2 2 2 2" xfId="24626" xr:uid="{00000000-0005-0000-0000-0000C9B10000}"/>
    <cellStyle name="常规 9 4 3 2 2 2 2 2 2 2 2 2" xfId="49202" xr:uid="{00000000-0005-0000-0000-0000CAB10000}"/>
    <cellStyle name="常规 9 4 3 2 2 2 2 2 2 2 3" xfId="36914" xr:uid="{00000000-0005-0000-0000-0000CBB10000}"/>
    <cellStyle name="常规 9 4 3 2 2 2 2 2 2 3" xfId="18482" xr:uid="{00000000-0005-0000-0000-0000CCB10000}"/>
    <cellStyle name="常规 9 4 3 2 2 2 2 2 2 3 2" xfId="43058" xr:uid="{00000000-0005-0000-0000-0000CDB10000}"/>
    <cellStyle name="常规 9 4 3 2 2 2 2 2 2 4" xfId="30770" xr:uid="{00000000-0005-0000-0000-0000CEB10000}"/>
    <cellStyle name="常规 9 4 3 2 2 2 2 2 3" xfId="9266" xr:uid="{00000000-0005-0000-0000-0000CFB10000}"/>
    <cellStyle name="常规 9 4 3 2 2 2 2 2 3 2" xfId="21554" xr:uid="{00000000-0005-0000-0000-0000D0B10000}"/>
    <cellStyle name="常规 9 4 3 2 2 2 2 2 3 2 2" xfId="46130" xr:uid="{00000000-0005-0000-0000-0000D1B10000}"/>
    <cellStyle name="常规 9 4 3 2 2 2 2 2 3 3" xfId="33842" xr:uid="{00000000-0005-0000-0000-0000D2B10000}"/>
    <cellStyle name="常规 9 4 3 2 2 2 2 2 4" xfId="15410" xr:uid="{00000000-0005-0000-0000-0000D3B10000}"/>
    <cellStyle name="常规 9 4 3 2 2 2 2 2 4 2" xfId="39986" xr:uid="{00000000-0005-0000-0000-0000D4B10000}"/>
    <cellStyle name="常规 9 4 3 2 2 2 2 2 5" xfId="27698" xr:uid="{00000000-0005-0000-0000-0000D5B10000}"/>
    <cellStyle name="常规 9 4 3 2 2 2 2 3" xfId="4658" xr:uid="{00000000-0005-0000-0000-0000D6B10000}"/>
    <cellStyle name="常规 9 4 3 2 2 2 2 3 2" xfId="10802" xr:uid="{00000000-0005-0000-0000-0000D7B10000}"/>
    <cellStyle name="常规 9 4 3 2 2 2 2 3 2 2" xfId="23090" xr:uid="{00000000-0005-0000-0000-0000D8B10000}"/>
    <cellStyle name="常规 9 4 3 2 2 2 2 3 2 2 2" xfId="47666" xr:uid="{00000000-0005-0000-0000-0000D9B10000}"/>
    <cellStyle name="常规 9 4 3 2 2 2 2 3 2 3" xfId="35378" xr:uid="{00000000-0005-0000-0000-0000DAB10000}"/>
    <cellStyle name="常规 9 4 3 2 2 2 2 3 3" xfId="16946" xr:uid="{00000000-0005-0000-0000-0000DBB10000}"/>
    <cellStyle name="常规 9 4 3 2 2 2 2 3 3 2" xfId="41522" xr:uid="{00000000-0005-0000-0000-0000DCB10000}"/>
    <cellStyle name="常规 9 4 3 2 2 2 2 3 4" xfId="29234" xr:uid="{00000000-0005-0000-0000-0000DDB10000}"/>
    <cellStyle name="常规 9 4 3 2 2 2 2 4" xfId="7730" xr:uid="{00000000-0005-0000-0000-0000DEB10000}"/>
    <cellStyle name="常规 9 4 3 2 2 2 2 4 2" xfId="20018" xr:uid="{00000000-0005-0000-0000-0000DFB10000}"/>
    <cellStyle name="常规 9 4 3 2 2 2 2 4 2 2" xfId="44594" xr:uid="{00000000-0005-0000-0000-0000E0B10000}"/>
    <cellStyle name="常规 9 4 3 2 2 2 2 4 3" xfId="32306" xr:uid="{00000000-0005-0000-0000-0000E1B10000}"/>
    <cellStyle name="常规 9 4 3 2 2 2 2 5" xfId="13874" xr:uid="{00000000-0005-0000-0000-0000E2B10000}"/>
    <cellStyle name="常规 9 4 3 2 2 2 2 5 2" xfId="38450" xr:uid="{00000000-0005-0000-0000-0000E3B10000}"/>
    <cellStyle name="常规 9 4 3 2 2 2 2 6" xfId="26162" xr:uid="{00000000-0005-0000-0000-0000E4B10000}"/>
    <cellStyle name="常规 9 4 3 2 2 2 3" xfId="2350" xr:uid="{00000000-0005-0000-0000-0000E5B10000}"/>
    <cellStyle name="常规 9 4 3 2 2 2 3 2" xfId="5426" xr:uid="{00000000-0005-0000-0000-0000E6B10000}"/>
    <cellStyle name="常规 9 4 3 2 2 2 3 2 2" xfId="11570" xr:uid="{00000000-0005-0000-0000-0000E7B10000}"/>
    <cellStyle name="常规 9 4 3 2 2 2 3 2 2 2" xfId="23858" xr:uid="{00000000-0005-0000-0000-0000E8B10000}"/>
    <cellStyle name="常规 9 4 3 2 2 2 3 2 2 2 2" xfId="48434" xr:uid="{00000000-0005-0000-0000-0000E9B10000}"/>
    <cellStyle name="常规 9 4 3 2 2 2 3 2 2 3" xfId="36146" xr:uid="{00000000-0005-0000-0000-0000EAB10000}"/>
    <cellStyle name="常规 9 4 3 2 2 2 3 2 3" xfId="17714" xr:uid="{00000000-0005-0000-0000-0000EBB10000}"/>
    <cellStyle name="常规 9 4 3 2 2 2 3 2 3 2" xfId="42290" xr:uid="{00000000-0005-0000-0000-0000ECB10000}"/>
    <cellStyle name="常规 9 4 3 2 2 2 3 2 4" xfId="30002" xr:uid="{00000000-0005-0000-0000-0000EDB10000}"/>
    <cellStyle name="常规 9 4 3 2 2 2 3 3" xfId="8498" xr:uid="{00000000-0005-0000-0000-0000EEB10000}"/>
    <cellStyle name="常规 9 4 3 2 2 2 3 3 2" xfId="20786" xr:uid="{00000000-0005-0000-0000-0000EFB10000}"/>
    <cellStyle name="常规 9 4 3 2 2 2 3 3 2 2" xfId="45362" xr:uid="{00000000-0005-0000-0000-0000F0B10000}"/>
    <cellStyle name="常规 9 4 3 2 2 2 3 3 3" xfId="33074" xr:uid="{00000000-0005-0000-0000-0000F1B10000}"/>
    <cellStyle name="常规 9 4 3 2 2 2 3 4" xfId="14642" xr:uid="{00000000-0005-0000-0000-0000F2B10000}"/>
    <cellStyle name="常规 9 4 3 2 2 2 3 4 2" xfId="39218" xr:uid="{00000000-0005-0000-0000-0000F3B10000}"/>
    <cellStyle name="常规 9 4 3 2 2 2 3 5" xfId="26930" xr:uid="{00000000-0005-0000-0000-0000F4B10000}"/>
    <cellStyle name="常规 9 4 3 2 2 2 4" xfId="3890" xr:uid="{00000000-0005-0000-0000-0000F5B10000}"/>
    <cellStyle name="常规 9 4 3 2 2 2 4 2" xfId="10034" xr:uid="{00000000-0005-0000-0000-0000F6B10000}"/>
    <cellStyle name="常规 9 4 3 2 2 2 4 2 2" xfId="22322" xr:uid="{00000000-0005-0000-0000-0000F7B10000}"/>
    <cellStyle name="常规 9 4 3 2 2 2 4 2 2 2" xfId="46898" xr:uid="{00000000-0005-0000-0000-0000F8B10000}"/>
    <cellStyle name="常规 9 4 3 2 2 2 4 2 3" xfId="34610" xr:uid="{00000000-0005-0000-0000-0000F9B10000}"/>
    <cellStyle name="常规 9 4 3 2 2 2 4 3" xfId="16178" xr:uid="{00000000-0005-0000-0000-0000FAB10000}"/>
    <cellStyle name="常规 9 4 3 2 2 2 4 3 2" xfId="40754" xr:uid="{00000000-0005-0000-0000-0000FBB10000}"/>
    <cellStyle name="常规 9 4 3 2 2 2 4 4" xfId="28466" xr:uid="{00000000-0005-0000-0000-0000FCB10000}"/>
    <cellStyle name="常规 9 4 3 2 2 2 5" xfId="6962" xr:uid="{00000000-0005-0000-0000-0000FDB10000}"/>
    <cellStyle name="常规 9 4 3 2 2 2 5 2" xfId="19250" xr:uid="{00000000-0005-0000-0000-0000FEB10000}"/>
    <cellStyle name="常规 9 4 3 2 2 2 5 2 2" xfId="43826" xr:uid="{00000000-0005-0000-0000-0000FFB10000}"/>
    <cellStyle name="常规 9 4 3 2 2 2 5 3" xfId="31538" xr:uid="{00000000-0005-0000-0000-000000B20000}"/>
    <cellStyle name="常规 9 4 3 2 2 2 6" xfId="13106" xr:uid="{00000000-0005-0000-0000-000001B20000}"/>
    <cellStyle name="常规 9 4 3 2 2 2 6 2" xfId="37682" xr:uid="{00000000-0005-0000-0000-000002B20000}"/>
    <cellStyle name="常规 9 4 3 2 2 2 7" xfId="25394" xr:uid="{00000000-0005-0000-0000-000003B20000}"/>
    <cellStyle name="常规 9 4 3 2 2 3" xfId="1198" xr:uid="{00000000-0005-0000-0000-000004B20000}"/>
    <cellStyle name="常规 9 4 3 2 2 3 2" xfId="2734" xr:uid="{00000000-0005-0000-0000-000005B20000}"/>
    <cellStyle name="常规 9 4 3 2 2 3 2 2" xfId="5810" xr:uid="{00000000-0005-0000-0000-000006B20000}"/>
    <cellStyle name="常规 9 4 3 2 2 3 2 2 2" xfId="11954" xr:uid="{00000000-0005-0000-0000-000007B20000}"/>
    <cellStyle name="常规 9 4 3 2 2 3 2 2 2 2" xfId="24242" xr:uid="{00000000-0005-0000-0000-000008B20000}"/>
    <cellStyle name="常规 9 4 3 2 2 3 2 2 2 2 2" xfId="48818" xr:uid="{00000000-0005-0000-0000-000009B20000}"/>
    <cellStyle name="常规 9 4 3 2 2 3 2 2 2 3" xfId="36530" xr:uid="{00000000-0005-0000-0000-00000AB20000}"/>
    <cellStyle name="常规 9 4 3 2 2 3 2 2 3" xfId="18098" xr:uid="{00000000-0005-0000-0000-00000BB20000}"/>
    <cellStyle name="常规 9 4 3 2 2 3 2 2 3 2" xfId="42674" xr:uid="{00000000-0005-0000-0000-00000CB20000}"/>
    <cellStyle name="常规 9 4 3 2 2 3 2 2 4" xfId="30386" xr:uid="{00000000-0005-0000-0000-00000DB20000}"/>
    <cellStyle name="常规 9 4 3 2 2 3 2 3" xfId="8882" xr:uid="{00000000-0005-0000-0000-00000EB20000}"/>
    <cellStyle name="常规 9 4 3 2 2 3 2 3 2" xfId="21170" xr:uid="{00000000-0005-0000-0000-00000FB20000}"/>
    <cellStyle name="常规 9 4 3 2 2 3 2 3 2 2" xfId="45746" xr:uid="{00000000-0005-0000-0000-000010B20000}"/>
    <cellStyle name="常规 9 4 3 2 2 3 2 3 3" xfId="33458" xr:uid="{00000000-0005-0000-0000-000011B20000}"/>
    <cellStyle name="常规 9 4 3 2 2 3 2 4" xfId="15026" xr:uid="{00000000-0005-0000-0000-000012B20000}"/>
    <cellStyle name="常规 9 4 3 2 2 3 2 4 2" xfId="39602" xr:uid="{00000000-0005-0000-0000-000013B20000}"/>
    <cellStyle name="常规 9 4 3 2 2 3 2 5" xfId="27314" xr:uid="{00000000-0005-0000-0000-000014B20000}"/>
    <cellStyle name="常规 9 4 3 2 2 3 3" xfId="4274" xr:uid="{00000000-0005-0000-0000-000015B20000}"/>
    <cellStyle name="常规 9 4 3 2 2 3 3 2" xfId="10418" xr:uid="{00000000-0005-0000-0000-000016B20000}"/>
    <cellStyle name="常规 9 4 3 2 2 3 3 2 2" xfId="22706" xr:uid="{00000000-0005-0000-0000-000017B20000}"/>
    <cellStyle name="常规 9 4 3 2 2 3 3 2 2 2" xfId="47282" xr:uid="{00000000-0005-0000-0000-000018B20000}"/>
    <cellStyle name="常规 9 4 3 2 2 3 3 2 3" xfId="34994" xr:uid="{00000000-0005-0000-0000-000019B20000}"/>
    <cellStyle name="常规 9 4 3 2 2 3 3 3" xfId="16562" xr:uid="{00000000-0005-0000-0000-00001AB20000}"/>
    <cellStyle name="常规 9 4 3 2 2 3 3 3 2" xfId="41138" xr:uid="{00000000-0005-0000-0000-00001BB20000}"/>
    <cellStyle name="常规 9 4 3 2 2 3 3 4" xfId="28850" xr:uid="{00000000-0005-0000-0000-00001CB20000}"/>
    <cellStyle name="常规 9 4 3 2 2 3 4" xfId="7346" xr:uid="{00000000-0005-0000-0000-00001DB20000}"/>
    <cellStyle name="常规 9 4 3 2 2 3 4 2" xfId="19634" xr:uid="{00000000-0005-0000-0000-00001EB20000}"/>
    <cellStyle name="常规 9 4 3 2 2 3 4 2 2" xfId="44210" xr:uid="{00000000-0005-0000-0000-00001FB20000}"/>
    <cellStyle name="常规 9 4 3 2 2 3 4 3" xfId="31922" xr:uid="{00000000-0005-0000-0000-000020B20000}"/>
    <cellStyle name="常规 9 4 3 2 2 3 5" xfId="13490" xr:uid="{00000000-0005-0000-0000-000021B20000}"/>
    <cellStyle name="常规 9 4 3 2 2 3 5 2" xfId="38066" xr:uid="{00000000-0005-0000-0000-000022B20000}"/>
    <cellStyle name="常规 9 4 3 2 2 3 6" xfId="25778" xr:uid="{00000000-0005-0000-0000-000023B20000}"/>
    <cellStyle name="常规 9 4 3 2 2 4" xfId="1966" xr:uid="{00000000-0005-0000-0000-000024B20000}"/>
    <cellStyle name="常规 9 4 3 2 2 4 2" xfId="5042" xr:uid="{00000000-0005-0000-0000-000025B20000}"/>
    <cellStyle name="常规 9 4 3 2 2 4 2 2" xfId="11186" xr:uid="{00000000-0005-0000-0000-000026B20000}"/>
    <cellStyle name="常规 9 4 3 2 2 4 2 2 2" xfId="23474" xr:uid="{00000000-0005-0000-0000-000027B20000}"/>
    <cellStyle name="常规 9 4 3 2 2 4 2 2 2 2" xfId="48050" xr:uid="{00000000-0005-0000-0000-000028B20000}"/>
    <cellStyle name="常规 9 4 3 2 2 4 2 2 3" xfId="35762" xr:uid="{00000000-0005-0000-0000-000029B20000}"/>
    <cellStyle name="常规 9 4 3 2 2 4 2 3" xfId="17330" xr:uid="{00000000-0005-0000-0000-00002AB20000}"/>
    <cellStyle name="常规 9 4 3 2 2 4 2 3 2" xfId="41906" xr:uid="{00000000-0005-0000-0000-00002BB20000}"/>
    <cellStyle name="常规 9 4 3 2 2 4 2 4" xfId="29618" xr:uid="{00000000-0005-0000-0000-00002CB20000}"/>
    <cellStyle name="常规 9 4 3 2 2 4 3" xfId="8114" xr:uid="{00000000-0005-0000-0000-00002DB20000}"/>
    <cellStyle name="常规 9 4 3 2 2 4 3 2" xfId="20402" xr:uid="{00000000-0005-0000-0000-00002EB20000}"/>
    <cellStyle name="常规 9 4 3 2 2 4 3 2 2" xfId="44978" xr:uid="{00000000-0005-0000-0000-00002FB20000}"/>
    <cellStyle name="常规 9 4 3 2 2 4 3 3" xfId="32690" xr:uid="{00000000-0005-0000-0000-000030B20000}"/>
    <cellStyle name="常规 9 4 3 2 2 4 4" xfId="14258" xr:uid="{00000000-0005-0000-0000-000031B20000}"/>
    <cellStyle name="常规 9 4 3 2 2 4 4 2" xfId="38834" xr:uid="{00000000-0005-0000-0000-000032B20000}"/>
    <cellStyle name="常规 9 4 3 2 2 4 5" xfId="26546" xr:uid="{00000000-0005-0000-0000-000033B20000}"/>
    <cellStyle name="常规 9 4 3 2 2 5" xfId="3506" xr:uid="{00000000-0005-0000-0000-000034B20000}"/>
    <cellStyle name="常规 9 4 3 2 2 5 2" xfId="9650" xr:uid="{00000000-0005-0000-0000-000035B20000}"/>
    <cellStyle name="常规 9 4 3 2 2 5 2 2" xfId="21938" xr:uid="{00000000-0005-0000-0000-000036B20000}"/>
    <cellStyle name="常规 9 4 3 2 2 5 2 2 2" xfId="46514" xr:uid="{00000000-0005-0000-0000-000037B20000}"/>
    <cellStyle name="常规 9 4 3 2 2 5 2 3" xfId="34226" xr:uid="{00000000-0005-0000-0000-000038B20000}"/>
    <cellStyle name="常规 9 4 3 2 2 5 3" xfId="15794" xr:uid="{00000000-0005-0000-0000-000039B20000}"/>
    <cellStyle name="常规 9 4 3 2 2 5 3 2" xfId="40370" xr:uid="{00000000-0005-0000-0000-00003AB20000}"/>
    <cellStyle name="常规 9 4 3 2 2 5 4" xfId="28082" xr:uid="{00000000-0005-0000-0000-00003BB20000}"/>
    <cellStyle name="常规 9 4 3 2 2 6" xfId="6578" xr:uid="{00000000-0005-0000-0000-00003CB20000}"/>
    <cellStyle name="常规 9 4 3 2 2 6 2" xfId="18866" xr:uid="{00000000-0005-0000-0000-00003DB20000}"/>
    <cellStyle name="常规 9 4 3 2 2 6 2 2" xfId="43442" xr:uid="{00000000-0005-0000-0000-00003EB20000}"/>
    <cellStyle name="常规 9 4 3 2 2 6 3" xfId="31154" xr:uid="{00000000-0005-0000-0000-00003FB20000}"/>
    <cellStyle name="常规 9 4 3 2 2 7" xfId="12722" xr:uid="{00000000-0005-0000-0000-000040B20000}"/>
    <cellStyle name="常规 9 4 3 2 2 7 2" xfId="37298" xr:uid="{00000000-0005-0000-0000-000041B20000}"/>
    <cellStyle name="常规 9 4 3 2 2 8" xfId="25010" xr:uid="{00000000-0005-0000-0000-000042B20000}"/>
    <cellStyle name="常规 9 4 3 2 3" xfId="622" xr:uid="{00000000-0005-0000-0000-000043B20000}"/>
    <cellStyle name="常规 9 4 3 2 3 2" xfId="1390" xr:uid="{00000000-0005-0000-0000-000044B20000}"/>
    <cellStyle name="常规 9 4 3 2 3 2 2" xfId="2926" xr:uid="{00000000-0005-0000-0000-000045B20000}"/>
    <cellStyle name="常规 9 4 3 2 3 2 2 2" xfId="6002" xr:uid="{00000000-0005-0000-0000-000046B20000}"/>
    <cellStyle name="常规 9 4 3 2 3 2 2 2 2" xfId="12146" xr:uid="{00000000-0005-0000-0000-000047B20000}"/>
    <cellStyle name="常规 9 4 3 2 3 2 2 2 2 2" xfId="24434" xr:uid="{00000000-0005-0000-0000-000048B20000}"/>
    <cellStyle name="常规 9 4 3 2 3 2 2 2 2 2 2" xfId="49010" xr:uid="{00000000-0005-0000-0000-000049B20000}"/>
    <cellStyle name="常规 9 4 3 2 3 2 2 2 2 3" xfId="36722" xr:uid="{00000000-0005-0000-0000-00004AB20000}"/>
    <cellStyle name="常规 9 4 3 2 3 2 2 2 3" xfId="18290" xr:uid="{00000000-0005-0000-0000-00004BB20000}"/>
    <cellStyle name="常规 9 4 3 2 3 2 2 2 3 2" xfId="42866" xr:uid="{00000000-0005-0000-0000-00004CB20000}"/>
    <cellStyle name="常规 9 4 3 2 3 2 2 2 4" xfId="30578" xr:uid="{00000000-0005-0000-0000-00004DB20000}"/>
    <cellStyle name="常规 9 4 3 2 3 2 2 3" xfId="9074" xr:uid="{00000000-0005-0000-0000-00004EB20000}"/>
    <cellStyle name="常规 9 4 3 2 3 2 2 3 2" xfId="21362" xr:uid="{00000000-0005-0000-0000-00004FB20000}"/>
    <cellStyle name="常规 9 4 3 2 3 2 2 3 2 2" xfId="45938" xr:uid="{00000000-0005-0000-0000-000050B20000}"/>
    <cellStyle name="常规 9 4 3 2 3 2 2 3 3" xfId="33650" xr:uid="{00000000-0005-0000-0000-000051B20000}"/>
    <cellStyle name="常规 9 4 3 2 3 2 2 4" xfId="15218" xr:uid="{00000000-0005-0000-0000-000052B20000}"/>
    <cellStyle name="常规 9 4 3 2 3 2 2 4 2" xfId="39794" xr:uid="{00000000-0005-0000-0000-000053B20000}"/>
    <cellStyle name="常规 9 4 3 2 3 2 2 5" xfId="27506" xr:uid="{00000000-0005-0000-0000-000054B20000}"/>
    <cellStyle name="常规 9 4 3 2 3 2 3" xfId="4466" xr:uid="{00000000-0005-0000-0000-000055B20000}"/>
    <cellStyle name="常规 9 4 3 2 3 2 3 2" xfId="10610" xr:uid="{00000000-0005-0000-0000-000056B20000}"/>
    <cellStyle name="常规 9 4 3 2 3 2 3 2 2" xfId="22898" xr:uid="{00000000-0005-0000-0000-000057B20000}"/>
    <cellStyle name="常规 9 4 3 2 3 2 3 2 2 2" xfId="47474" xr:uid="{00000000-0005-0000-0000-000058B20000}"/>
    <cellStyle name="常规 9 4 3 2 3 2 3 2 3" xfId="35186" xr:uid="{00000000-0005-0000-0000-000059B20000}"/>
    <cellStyle name="常规 9 4 3 2 3 2 3 3" xfId="16754" xr:uid="{00000000-0005-0000-0000-00005AB20000}"/>
    <cellStyle name="常规 9 4 3 2 3 2 3 3 2" xfId="41330" xr:uid="{00000000-0005-0000-0000-00005BB20000}"/>
    <cellStyle name="常规 9 4 3 2 3 2 3 4" xfId="29042" xr:uid="{00000000-0005-0000-0000-00005CB20000}"/>
    <cellStyle name="常规 9 4 3 2 3 2 4" xfId="7538" xr:uid="{00000000-0005-0000-0000-00005DB20000}"/>
    <cellStyle name="常规 9 4 3 2 3 2 4 2" xfId="19826" xr:uid="{00000000-0005-0000-0000-00005EB20000}"/>
    <cellStyle name="常规 9 4 3 2 3 2 4 2 2" xfId="44402" xr:uid="{00000000-0005-0000-0000-00005FB20000}"/>
    <cellStyle name="常规 9 4 3 2 3 2 4 3" xfId="32114" xr:uid="{00000000-0005-0000-0000-000060B20000}"/>
    <cellStyle name="常规 9 4 3 2 3 2 5" xfId="13682" xr:uid="{00000000-0005-0000-0000-000061B20000}"/>
    <cellStyle name="常规 9 4 3 2 3 2 5 2" xfId="38258" xr:uid="{00000000-0005-0000-0000-000062B20000}"/>
    <cellStyle name="常规 9 4 3 2 3 2 6" xfId="25970" xr:uid="{00000000-0005-0000-0000-000063B20000}"/>
    <cellStyle name="常规 9 4 3 2 3 3" xfId="2158" xr:uid="{00000000-0005-0000-0000-000064B20000}"/>
    <cellStyle name="常规 9 4 3 2 3 3 2" xfId="5234" xr:uid="{00000000-0005-0000-0000-000065B20000}"/>
    <cellStyle name="常规 9 4 3 2 3 3 2 2" xfId="11378" xr:uid="{00000000-0005-0000-0000-000066B20000}"/>
    <cellStyle name="常规 9 4 3 2 3 3 2 2 2" xfId="23666" xr:uid="{00000000-0005-0000-0000-000067B20000}"/>
    <cellStyle name="常规 9 4 3 2 3 3 2 2 2 2" xfId="48242" xr:uid="{00000000-0005-0000-0000-000068B20000}"/>
    <cellStyle name="常规 9 4 3 2 3 3 2 2 3" xfId="35954" xr:uid="{00000000-0005-0000-0000-000069B20000}"/>
    <cellStyle name="常规 9 4 3 2 3 3 2 3" xfId="17522" xr:uid="{00000000-0005-0000-0000-00006AB20000}"/>
    <cellStyle name="常规 9 4 3 2 3 3 2 3 2" xfId="42098" xr:uid="{00000000-0005-0000-0000-00006BB20000}"/>
    <cellStyle name="常规 9 4 3 2 3 3 2 4" xfId="29810" xr:uid="{00000000-0005-0000-0000-00006CB20000}"/>
    <cellStyle name="常规 9 4 3 2 3 3 3" xfId="8306" xr:uid="{00000000-0005-0000-0000-00006DB20000}"/>
    <cellStyle name="常规 9 4 3 2 3 3 3 2" xfId="20594" xr:uid="{00000000-0005-0000-0000-00006EB20000}"/>
    <cellStyle name="常规 9 4 3 2 3 3 3 2 2" xfId="45170" xr:uid="{00000000-0005-0000-0000-00006FB20000}"/>
    <cellStyle name="常规 9 4 3 2 3 3 3 3" xfId="32882" xr:uid="{00000000-0005-0000-0000-000070B20000}"/>
    <cellStyle name="常规 9 4 3 2 3 3 4" xfId="14450" xr:uid="{00000000-0005-0000-0000-000071B20000}"/>
    <cellStyle name="常规 9 4 3 2 3 3 4 2" xfId="39026" xr:uid="{00000000-0005-0000-0000-000072B20000}"/>
    <cellStyle name="常规 9 4 3 2 3 3 5" xfId="26738" xr:uid="{00000000-0005-0000-0000-000073B20000}"/>
    <cellStyle name="常规 9 4 3 2 3 4" xfId="3698" xr:uid="{00000000-0005-0000-0000-000074B20000}"/>
    <cellStyle name="常规 9 4 3 2 3 4 2" xfId="9842" xr:uid="{00000000-0005-0000-0000-000075B20000}"/>
    <cellStyle name="常规 9 4 3 2 3 4 2 2" xfId="22130" xr:uid="{00000000-0005-0000-0000-000076B20000}"/>
    <cellStyle name="常规 9 4 3 2 3 4 2 2 2" xfId="46706" xr:uid="{00000000-0005-0000-0000-000077B20000}"/>
    <cellStyle name="常规 9 4 3 2 3 4 2 3" xfId="34418" xr:uid="{00000000-0005-0000-0000-000078B20000}"/>
    <cellStyle name="常规 9 4 3 2 3 4 3" xfId="15986" xr:uid="{00000000-0005-0000-0000-000079B20000}"/>
    <cellStyle name="常规 9 4 3 2 3 4 3 2" xfId="40562" xr:uid="{00000000-0005-0000-0000-00007AB20000}"/>
    <cellStyle name="常规 9 4 3 2 3 4 4" xfId="28274" xr:uid="{00000000-0005-0000-0000-00007BB20000}"/>
    <cellStyle name="常规 9 4 3 2 3 5" xfId="6770" xr:uid="{00000000-0005-0000-0000-00007CB20000}"/>
    <cellStyle name="常规 9 4 3 2 3 5 2" xfId="19058" xr:uid="{00000000-0005-0000-0000-00007DB20000}"/>
    <cellStyle name="常规 9 4 3 2 3 5 2 2" xfId="43634" xr:uid="{00000000-0005-0000-0000-00007EB20000}"/>
    <cellStyle name="常规 9 4 3 2 3 5 3" xfId="31346" xr:uid="{00000000-0005-0000-0000-00007FB20000}"/>
    <cellStyle name="常规 9 4 3 2 3 6" xfId="12914" xr:uid="{00000000-0005-0000-0000-000080B20000}"/>
    <cellStyle name="常规 9 4 3 2 3 6 2" xfId="37490" xr:uid="{00000000-0005-0000-0000-000081B20000}"/>
    <cellStyle name="常规 9 4 3 2 3 7" xfId="25202" xr:uid="{00000000-0005-0000-0000-000082B20000}"/>
    <cellStyle name="常规 9 4 3 2 4" xfId="1006" xr:uid="{00000000-0005-0000-0000-000083B20000}"/>
    <cellStyle name="常规 9 4 3 2 4 2" xfId="2542" xr:uid="{00000000-0005-0000-0000-000084B20000}"/>
    <cellStyle name="常规 9 4 3 2 4 2 2" xfId="5618" xr:uid="{00000000-0005-0000-0000-000085B20000}"/>
    <cellStyle name="常规 9 4 3 2 4 2 2 2" xfId="11762" xr:uid="{00000000-0005-0000-0000-000086B20000}"/>
    <cellStyle name="常规 9 4 3 2 4 2 2 2 2" xfId="24050" xr:uid="{00000000-0005-0000-0000-000087B20000}"/>
    <cellStyle name="常规 9 4 3 2 4 2 2 2 2 2" xfId="48626" xr:uid="{00000000-0005-0000-0000-000088B20000}"/>
    <cellStyle name="常规 9 4 3 2 4 2 2 2 3" xfId="36338" xr:uid="{00000000-0005-0000-0000-000089B20000}"/>
    <cellStyle name="常规 9 4 3 2 4 2 2 3" xfId="17906" xr:uid="{00000000-0005-0000-0000-00008AB20000}"/>
    <cellStyle name="常规 9 4 3 2 4 2 2 3 2" xfId="42482" xr:uid="{00000000-0005-0000-0000-00008BB20000}"/>
    <cellStyle name="常规 9 4 3 2 4 2 2 4" xfId="30194" xr:uid="{00000000-0005-0000-0000-00008CB20000}"/>
    <cellStyle name="常规 9 4 3 2 4 2 3" xfId="8690" xr:uid="{00000000-0005-0000-0000-00008DB20000}"/>
    <cellStyle name="常规 9 4 3 2 4 2 3 2" xfId="20978" xr:uid="{00000000-0005-0000-0000-00008EB20000}"/>
    <cellStyle name="常规 9 4 3 2 4 2 3 2 2" xfId="45554" xr:uid="{00000000-0005-0000-0000-00008FB20000}"/>
    <cellStyle name="常规 9 4 3 2 4 2 3 3" xfId="33266" xr:uid="{00000000-0005-0000-0000-000090B20000}"/>
    <cellStyle name="常规 9 4 3 2 4 2 4" xfId="14834" xr:uid="{00000000-0005-0000-0000-000091B20000}"/>
    <cellStyle name="常规 9 4 3 2 4 2 4 2" xfId="39410" xr:uid="{00000000-0005-0000-0000-000092B20000}"/>
    <cellStyle name="常规 9 4 3 2 4 2 5" xfId="27122" xr:uid="{00000000-0005-0000-0000-000093B20000}"/>
    <cellStyle name="常规 9 4 3 2 4 3" xfId="4082" xr:uid="{00000000-0005-0000-0000-000094B20000}"/>
    <cellStyle name="常规 9 4 3 2 4 3 2" xfId="10226" xr:uid="{00000000-0005-0000-0000-000095B20000}"/>
    <cellStyle name="常规 9 4 3 2 4 3 2 2" xfId="22514" xr:uid="{00000000-0005-0000-0000-000096B20000}"/>
    <cellStyle name="常规 9 4 3 2 4 3 2 2 2" xfId="47090" xr:uid="{00000000-0005-0000-0000-000097B20000}"/>
    <cellStyle name="常规 9 4 3 2 4 3 2 3" xfId="34802" xr:uid="{00000000-0005-0000-0000-000098B20000}"/>
    <cellStyle name="常规 9 4 3 2 4 3 3" xfId="16370" xr:uid="{00000000-0005-0000-0000-000099B20000}"/>
    <cellStyle name="常规 9 4 3 2 4 3 3 2" xfId="40946" xr:uid="{00000000-0005-0000-0000-00009AB20000}"/>
    <cellStyle name="常规 9 4 3 2 4 3 4" xfId="28658" xr:uid="{00000000-0005-0000-0000-00009BB20000}"/>
    <cellStyle name="常规 9 4 3 2 4 4" xfId="7154" xr:uid="{00000000-0005-0000-0000-00009CB20000}"/>
    <cellStyle name="常规 9 4 3 2 4 4 2" xfId="19442" xr:uid="{00000000-0005-0000-0000-00009DB20000}"/>
    <cellStyle name="常规 9 4 3 2 4 4 2 2" xfId="44018" xr:uid="{00000000-0005-0000-0000-00009EB20000}"/>
    <cellStyle name="常规 9 4 3 2 4 4 3" xfId="31730" xr:uid="{00000000-0005-0000-0000-00009FB20000}"/>
    <cellStyle name="常规 9 4 3 2 4 5" xfId="13298" xr:uid="{00000000-0005-0000-0000-0000A0B20000}"/>
    <cellStyle name="常规 9 4 3 2 4 5 2" xfId="37874" xr:uid="{00000000-0005-0000-0000-0000A1B20000}"/>
    <cellStyle name="常规 9 4 3 2 4 6" xfId="25586" xr:uid="{00000000-0005-0000-0000-0000A2B20000}"/>
    <cellStyle name="常规 9 4 3 2 5" xfId="1774" xr:uid="{00000000-0005-0000-0000-0000A3B20000}"/>
    <cellStyle name="常规 9 4 3 2 5 2" xfId="4850" xr:uid="{00000000-0005-0000-0000-0000A4B20000}"/>
    <cellStyle name="常规 9 4 3 2 5 2 2" xfId="10994" xr:uid="{00000000-0005-0000-0000-0000A5B20000}"/>
    <cellStyle name="常规 9 4 3 2 5 2 2 2" xfId="23282" xr:uid="{00000000-0005-0000-0000-0000A6B20000}"/>
    <cellStyle name="常规 9 4 3 2 5 2 2 2 2" xfId="47858" xr:uid="{00000000-0005-0000-0000-0000A7B20000}"/>
    <cellStyle name="常规 9 4 3 2 5 2 2 3" xfId="35570" xr:uid="{00000000-0005-0000-0000-0000A8B20000}"/>
    <cellStyle name="常规 9 4 3 2 5 2 3" xfId="17138" xr:uid="{00000000-0005-0000-0000-0000A9B20000}"/>
    <cellStyle name="常规 9 4 3 2 5 2 3 2" xfId="41714" xr:uid="{00000000-0005-0000-0000-0000AAB20000}"/>
    <cellStyle name="常规 9 4 3 2 5 2 4" xfId="29426" xr:uid="{00000000-0005-0000-0000-0000ABB20000}"/>
    <cellStyle name="常规 9 4 3 2 5 3" xfId="7922" xr:uid="{00000000-0005-0000-0000-0000ACB20000}"/>
    <cellStyle name="常规 9 4 3 2 5 3 2" xfId="20210" xr:uid="{00000000-0005-0000-0000-0000ADB20000}"/>
    <cellStyle name="常规 9 4 3 2 5 3 2 2" xfId="44786" xr:uid="{00000000-0005-0000-0000-0000AEB20000}"/>
    <cellStyle name="常规 9 4 3 2 5 3 3" xfId="32498" xr:uid="{00000000-0005-0000-0000-0000AFB20000}"/>
    <cellStyle name="常规 9 4 3 2 5 4" xfId="14066" xr:uid="{00000000-0005-0000-0000-0000B0B20000}"/>
    <cellStyle name="常规 9 4 3 2 5 4 2" xfId="38642" xr:uid="{00000000-0005-0000-0000-0000B1B20000}"/>
    <cellStyle name="常规 9 4 3 2 5 5" xfId="26354" xr:uid="{00000000-0005-0000-0000-0000B2B20000}"/>
    <cellStyle name="常规 9 4 3 2 6" xfId="3314" xr:uid="{00000000-0005-0000-0000-0000B3B20000}"/>
    <cellStyle name="常规 9 4 3 2 6 2" xfId="9458" xr:uid="{00000000-0005-0000-0000-0000B4B20000}"/>
    <cellStyle name="常规 9 4 3 2 6 2 2" xfId="21746" xr:uid="{00000000-0005-0000-0000-0000B5B20000}"/>
    <cellStyle name="常规 9 4 3 2 6 2 2 2" xfId="46322" xr:uid="{00000000-0005-0000-0000-0000B6B20000}"/>
    <cellStyle name="常规 9 4 3 2 6 2 3" xfId="34034" xr:uid="{00000000-0005-0000-0000-0000B7B20000}"/>
    <cellStyle name="常规 9 4 3 2 6 3" xfId="15602" xr:uid="{00000000-0005-0000-0000-0000B8B20000}"/>
    <cellStyle name="常规 9 4 3 2 6 3 2" xfId="40178" xr:uid="{00000000-0005-0000-0000-0000B9B20000}"/>
    <cellStyle name="常规 9 4 3 2 6 4" xfId="27890" xr:uid="{00000000-0005-0000-0000-0000BAB20000}"/>
    <cellStyle name="常规 9 4 3 2 7" xfId="6386" xr:uid="{00000000-0005-0000-0000-0000BBB20000}"/>
    <cellStyle name="常规 9 4 3 2 7 2" xfId="18674" xr:uid="{00000000-0005-0000-0000-0000BCB20000}"/>
    <cellStyle name="常规 9 4 3 2 7 2 2" xfId="43250" xr:uid="{00000000-0005-0000-0000-0000BDB20000}"/>
    <cellStyle name="常规 9 4 3 2 7 3" xfId="30962" xr:uid="{00000000-0005-0000-0000-0000BEB20000}"/>
    <cellStyle name="常规 9 4 3 2 8" xfId="12530" xr:uid="{00000000-0005-0000-0000-0000BFB20000}"/>
    <cellStyle name="常规 9 4 3 2 8 2" xfId="37106" xr:uid="{00000000-0005-0000-0000-0000C0B20000}"/>
    <cellStyle name="常规 9 4 3 2 9" xfId="24818" xr:uid="{00000000-0005-0000-0000-0000C1B20000}"/>
    <cellStyle name="常规 9 4 3 3" xfId="302" xr:uid="{00000000-0005-0000-0000-0000C2B20000}"/>
    <cellStyle name="常规 9 4 3 3 2" xfId="494" xr:uid="{00000000-0005-0000-0000-0000C3B20000}"/>
    <cellStyle name="常规 9 4 3 3 2 2" xfId="878" xr:uid="{00000000-0005-0000-0000-0000C4B20000}"/>
    <cellStyle name="常规 9 4 3 3 2 2 2" xfId="1646" xr:uid="{00000000-0005-0000-0000-0000C5B20000}"/>
    <cellStyle name="常规 9 4 3 3 2 2 2 2" xfId="3182" xr:uid="{00000000-0005-0000-0000-0000C6B20000}"/>
    <cellStyle name="常规 9 4 3 3 2 2 2 2 2" xfId="6258" xr:uid="{00000000-0005-0000-0000-0000C7B20000}"/>
    <cellStyle name="常规 9 4 3 3 2 2 2 2 2 2" xfId="12402" xr:uid="{00000000-0005-0000-0000-0000C8B20000}"/>
    <cellStyle name="常规 9 4 3 3 2 2 2 2 2 2 2" xfId="24690" xr:uid="{00000000-0005-0000-0000-0000C9B20000}"/>
    <cellStyle name="常规 9 4 3 3 2 2 2 2 2 2 2 2" xfId="49266" xr:uid="{00000000-0005-0000-0000-0000CAB20000}"/>
    <cellStyle name="常规 9 4 3 3 2 2 2 2 2 2 3" xfId="36978" xr:uid="{00000000-0005-0000-0000-0000CBB20000}"/>
    <cellStyle name="常规 9 4 3 3 2 2 2 2 2 3" xfId="18546" xr:uid="{00000000-0005-0000-0000-0000CCB20000}"/>
    <cellStyle name="常规 9 4 3 3 2 2 2 2 2 3 2" xfId="43122" xr:uid="{00000000-0005-0000-0000-0000CDB20000}"/>
    <cellStyle name="常规 9 4 3 3 2 2 2 2 2 4" xfId="30834" xr:uid="{00000000-0005-0000-0000-0000CEB20000}"/>
    <cellStyle name="常规 9 4 3 3 2 2 2 2 3" xfId="9330" xr:uid="{00000000-0005-0000-0000-0000CFB20000}"/>
    <cellStyle name="常规 9 4 3 3 2 2 2 2 3 2" xfId="21618" xr:uid="{00000000-0005-0000-0000-0000D0B20000}"/>
    <cellStyle name="常规 9 4 3 3 2 2 2 2 3 2 2" xfId="46194" xr:uid="{00000000-0005-0000-0000-0000D1B20000}"/>
    <cellStyle name="常规 9 4 3 3 2 2 2 2 3 3" xfId="33906" xr:uid="{00000000-0005-0000-0000-0000D2B20000}"/>
    <cellStyle name="常规 9 4 3 3 2 2 2 2 4" xfId="15474" xr:uid="{00000000-0005-0000-0000-0000D3B20000}"/>
    <cellStyle name="常规 9 4 3 3 2 2 2 2 4 2" xfId="40050" xr:uid="{00000000-0005-0000-0000-0000D4B20000}"/>
    <cellStyle name="常规 9 4 3 3 2 2 2 2 5" xfId="27762" xr:uid="{00000000-0005-0000-0000-0000D5B20000}"/>
    <cellStyle name="常规 9 4 3 3 2 2 2 3" xfId="4722" xr:uid="{00000000-0005-0000-0000-0000D6B20000}"/>
    <cellStyle name="常规 9 4 3 3 2 2 2 3 2" xfId="10866" xr:uid="{00000000-0005-0000-0000-0000D7B20000}"/>
    <cellStyle name="常规 9 4 3 3 2 2 2 3 2 2" xfId="23154" xr:uid="{00000000-0005-0000-0000-0000D8B20000}"/>
    <cellStyle name="常规 9 4 3 3 2 2 2 3 2 2 2" xfId="47730" xr:uid="{00000000-0005-0000-0000-0000D9B20000}"/>
    <cellStyle name="常规 9 4 3 3 2 2 2 3 2 3" xfId="35442" xr:uid="{00000000-0005-0000-0000-0000DAB20000}"/>
    <cellStyle name="常规 9 4 3 3 2 2 2 3 3" xfId="17010" xr:uid="{00000000-0005-0000-0000-0000DBB20000}"/>
    <cellStyle name="常规 9 4 3 3 2 2 2 3 3 2" xfId="41586" xr:uid="{00000000-0005-0000-0000-0000DCB20000}"/>
    <cellStyle name="常规 9 4 3 3 2 2 2 3 4" xfId="29298" xr:uid="{00000000-0005-0000-0000-0000DDB20000}"/>
    <cellStyle name="常规 9 4 3 3 2 2 2 4" xfId="7794" xr:uid="{00000000-0005-0000-0000-0000DEB20000}"/>
    <cellStyle name="常规 9 4 3 3 2 2 2 4 2" xfId="20082" xr:uid="{00000000-0005-0000-0000-0000DFB20000}"/>
    <cellStyle name="常规 9 4 3 3 2 2 2 4 2 2" xfId="44658" xr:uid="{00000000-0005-0000-0000-0000E0B20000}"/>
    <cellStyle name="常规 9 4 3 3 2 2 2 4 3" xfId="32370" xr:uid="{00000000-0005-0000-0000-0000E1B20000}"/>
    <cellStyle name="常规 9 4 3 3 2 2 2 5" xfId="13938" xr:uid="{00000000-0005-0000-0000-0000E2B20000}"/>
    <cellStyle name="常规 9 4 3 3 2 2 2 5 2" xfId="38514" xr:uid="{00000000-0005-0000-0000-0000E3B20000}"/>
    <cellStyle name="常规 9 4 3 3 2 2 2 6" xfId="26226" xr:uid="{00000000-0005-0000-0000-0000E4B20000}"/>
    <cellStyle name="常规 9 4 3 3 2 2 3" xfId="2414" xr:uid="{00000000-0005-0000-0000-0000E5B20000}"/>
    <cellStyle name="常规 9 4 3 3 2 2 3 2" xfId="5490" xr:uid="{00000000-0005-0000-0000-0000E6B20000}"/>
    <cellStyle name="常规 9 4 3 3 2 2 3 2 2" xfId="11634" xr:uid="{00000000-0005-0000-0000-0000E7B20000}"/>
    <cellStyle name="常规 9 4 3 3 2 2 3 2 2 2" xfId="23922" xr:uid="{00000000-0005-0000-0000-0000E8B20000}"/>
    <cellStyle name="常规 9 4 3 3 2 2 3 2 2 2 2" xfId="48498" xr:uid="{00000000-0005-0000-0000-0000E9B20000}"/>
    <cellStyle name="常规 9 4 3 3 2 2 3 2 2 3" xfId="36210" xr:uid="{00000000-0005-0000-0000-0000EAB20000}"/>
    <cellStyle name="常规 9 4 3 3 2 2 3 2 3" xfId="17778" xr:uid="{00000000-0005-0000-0000-0000EBB20000}"/>
    <cellStyle name="常规 9 4 3 3 2 2 3 2 3 2" xfId="42354" xr:uid="{00000000-0005-0000-0000-0000ECB20000}"/>
    <cellStyle name="常规 9 4 3 3 2 2 3 2 4" xfId="30066" xr:uid="{00000000-0005-0000-0000-0000EDB20000}"/>
    <cellStyle name="常规 9 4 3 3 2 2 3 3" xfId="8562" xr:uid="{00000000-0005-0000-0000-0000EEB20000}"/>
    <cellStyle name="常规 9 4 3 3 2 2 3 3 2" xfId="20850" xr:uid="{00000000-0005-0000-0000-0000EFB20000}"/>
    <cellStyle name="常规 9 4 3 3 2 2 3 3 2 2" xfId="45426" xr:uid="{00000000-0005-0000-0000-0000F0B20000}"/>
    <cellStyle name="常规 9 4 3 3 2 2 3 3 3" xfId="33138" xr:uid="{00000000-0005-0000-0000-0000F1B20000}"/>
    <cellStyle name="常规 9 4 3 3 2 2 3 4" xfId="14706" xr:uid="{00000000-0005-0000-0000-0000F2B20000}"/>
    <cellStyle name="常规 9 4 3 3 2 2 3 4 2" xfId="39282" xr:uid="{00000000-0005-0000-0000-0000F3B20000}"/>
    <cellStyle name="常规 9 4 3 3 2 2 3 5" xfId="26994" xr:uid="{00000000-0005-0000-0000-0000F4B20000}"/>
    <cellStyle name="常规 9 4 3 3 2 2 4" xfId="3954" xr:uid="{00000000-0005-0000-0000-0000F5B20000}"/>
    <cellStyle name="常规 9 4 3 3 2 2 4 2" xfId="10098" xr:uid="{00000000-0005-0000-0000-0000F6B20000}"/>
    <cellStyle name="常规 9 4 3 3 2 2 4 2 2" xfId="22386" xr:uid="{00000000-0005-0000-0000-0000F7B20000}"/>
    <cellStyle name="常规 9 4 3 3 2 2 4 2 2 2" xfId="46962" xr:uid="{00000000-0005-0000-0000-0000F8B20000}"/>
    <cellStyle name="常规 9 4 3 3 2 2 4 2 3" xfId="34674" xr:uid="{00000000-0005-0000-0000-0000F9B20000}"/>
    <cellStyle name="常规 9 4 3 3 2 2 4 3" xfId="16242" xr:uid="{00000000-0005-0000-0000-0000FAB20000}"/>
    <cellStyle name="常规 9 4 3 3 2 2 4 3 2" xfId="40818" xr:uid="{00000000-0005-0000-0000-0000FBB20000}"/>
    <cellStyle name="常规 9 4 3 3 2 2 4 4" xfId="28530" xr:uid="{00000000-0005-0000-0000-0000FCB20000}"/>
    <cellStyle name="常规 9 4 3 3 2 2 5" xfId="7026" xr:uid="{00000000-0005-0000-0000-0000FDB20000}"/>
    <cellStyle name="常规 9 4 3 3 2 2 5 2" xfId="19314" xr:uid="{00000000-0005-0000-0000-0000FEB20000}"/>
    <cellStyle name="常规 9 4 3 3 2 2 5 2 2" xfId="43890" xr:uid="{00000000-0005-0000-0000-0000FFB20000}"/>
    <cellStyle name="常规 9 4 3 3 2 2 5 3" xfId="31602" xr:uid="{00000000-0005-0000-0000-000000B30000}"/>
    <cellStyle name="常规 9 4 3 3 2 2 6" xfId="13170" xr:uid="{00000000-0005-0000-0000-000001B30000}"/>
    <cellStyle name="常规 9 4 3 3 2 2 6 2" xfId="37746" xr:uid="{00000000-0005-0000-0000-000002B30000}"/>
    <cellStyle name="常规 9 4 3 3 2 2 7" xfId="25458" xr:uid="{00000000-0005-0000-0000-000003B30000}"/>
    <cellStyle name="常规 9 4 3 3 2 3" xfId="1262" xr:uid="{00000000-0005-0000-0000-000004B30000}"/>
    <cellStyle name="常规 9 4 3 3 2 3 2" xfId="2798" xr:uid="{00000000-0005-0000-0000-000005B30000}"/>
    <cellStyle name="常规 9 4 3 3 2 3 2 2" xfId="5874" xr:uid="{00000000-0005-0000-0000-000006B30000}"/>
    <cellStyle name="常规 9 4 3 3 2 3 2 2 2" xfId="12018" xr:uid="{00000000-0005-0000-0000-000007B30000}"/>
    <cellStyle name="常规 9 4 3 3 2 3 2 2 2 2" xfId="24306" xr:uid="{00000000-0005-0000-0000-000008B30000}"/>
    <cellStyle name="常规 9 4 3 3 2 3 2 2 2 2 2" xfId="48882" xr:uid="{00000000-0005-0000-0000-000009B30000}"/>
    <cellStyle name="常规 9 4 3 3 2 3 2 2 2 3" xfId="36594" xr:uid="{00000000-0005-0000-0000-00000AB30000}"/>
    <cellStyle name="常规 9 4 3 3 2 3 2 2 3" xfId="18162" xr:uid="{00000000-0005-0000-0000-00000BB30000}"/>
    <cellStyle name="常规 9 4 3 3 2 3 2 2 3 2" xfId="42738" xr:uid="{00000000-0005-0000-0000-00000CB30000}"/>
    <cellStyle name="常规 9 4 3 3 2 3 2 2 4" xfId="30450" xr:uid="{00000000-0005-0000-0000-00000DB30000}"/>
    <cellStyle name="常规 9 4 3 3 2 3 2 3" xfId="8946" xr:uid="{00000000-0005-0000-0000-00000EB30000}"/>
    <cellStyle name="常规 9 4 3 3 2 3 2 3 2" xfId="21234" xr:uid="{00000000-0005-0000-0000-00000FB30000}"/>
    <cellStyle name="常规 9 4 3 3 2 3 2 3 2 2" xfId="45810" xr:uid="{00000000-0005-0000-0000-000010B30000}"/>
    <cellStyle name="常规 9 4 3 3 2 3 2 3 3" xfId="33522" xr:uid="{00000000-0005-0000-0000-000011B30000}"/>
    <cellStyle name="常规 9 4 3 3 2 3 2 4" xfId="15090" xr:uid="{00000000-0005-0000-0000-000012B30000}"/>
    <cellStyle name="常规 9 4 3 3 2 3 2 4 2" xfId="39666" xr:uid="{00000000-0005-0000-0000-000013B30000}"/>
    <cellStyle name="常规 9 4 3 3 2 3 2 5" xfId="27378" xr:uid="{00000000-0005-0000-0000-000014B30000}"/>
    <cellStyle name="常规 9 4 3 3 2 3 3" xfId="4338" xr:uid="{00000000-0005-0000-0000-000015B30000}"/>
    <cellStyle name="常规 9 4 3 3 2 3 3 2" xfId="10482" xr:uid="{00000000-0005-0000-0000-000016B30000}"/>
    <cellStyle name="常规 9 4 3 3 2 3 3 2 2" xfId="22770" xr:uid="{00000000-0005-0000-0000-000017B30000}"/>
    <cellStyle name="常规 9 4 3 3 2 3 3 2 2 2" xfId="47346" xr:uid="{00000000-0005-0000-0000-000018B30000}"/>
    <cellStyle name="常规 9 4 3 3 2 3 3 2 3" xfId="35058" xr:uid="{00000000-0005-0000-0000-000019B30000}"/>
    <cellStyle name="常规 9 4 3 3 2 3 3 3" xfId="16626" xr:uid="{00000000-0005-0000-0000-00001AB30000}"/>
    <cellStyle name="常规 9 4 3 3 2 3 3 3 2" xfId="41202" xr:uid="{00000000-0005-0000-0000-00001BB30000}"/>
    <cellStyle name="常规 9 4 3 3 2 3 3 4" xfId="28914" xr:uid="{00000000-0005-0000-0000-00001CB30000}"/>
    <cellStyle name="常规 9 4 3 3 2 3 4" xfId="7410" xr:uid="{00000000-0005-0000-0000-00001DB30000}"/>
    <cellStyle name="常规 9 4 3 3 2 3 4 2" xfId="19698" xr:uid="{00000000-0005-0000-0000-00001EB30000}"/>
    <cellStyle name="常规 9 4 3 3 2 3 4 2 2" xfId="44274" xr:uid="{00000000-0005-0000-0000-00001FB30000}"/>
    <cellStyle name="常规 9 4 3 3 2 3 4 3" xfId="31986" xr:uid="{00000000-0005-0000-0000-000020B30000}"/>
    <cellStyle name="常规 9 4 3 3 2 3 5" xfId="13554" xr:uid="{00000000-0005-0000-0000-000021B30000}"/>
    <cellStyle name="常规 9 4 3 3 2 3 5 2" xfId="38130" xr:uid="{00000000-0005-0000-0000-000022B30000}"/>
    <cellStyle name="常规 9 4 3 3 2 3 6" xfId="25842" xr:uid="{00000000-0005-0000-0000-000023B30000}"/>
    <cellStyle name="常规 9 4 3 3 2 4" xfId="2030" xr:uid="{00000000-0005-0000-0000-000024B30000}"/>
    <cellStyle name="常规 9 4 3 3 2 4 2" xfId="5106" xr:uid="{00000000-0005-0000-0000-000025B30000}"/>
    <cellStyle name="常规 9 4 3 3 2 4 2 2" xfId="11250" xr:uid="{00000000-0005-0000-0000-000026B30000}"/>
    <cellStyle name="常规 9 4 3 3 2 4 2 2 2" xfId="23538" xr:uid="{00000000-0005-0000-0000-000027B30000}"/>
    <cellStyle name="常规 9 4 3 3 2 4 2 2 2 2" xfId="48114" xr:uid="{00000000-0005-0000-0000-000028B30000}"/>
    <cellStyle name="常规 9 4 3 3 2 4 2 2 3" xfId="35826" xr:uid="{00000000-0005-0000-0000-000029B30000}"/>
    <cellStyle name="常规 9 4 3 3 2 4 2 3" xfId="17394" xr:uid="{00000000-0005-0000-0000-00002AB30000}"/>
    <cellStyle name="常规 9 4 3 3 2 4 2 3 2" xfId="41970" xr:uid="{00000000-0005-0000-0000-00002BB30000}"/>
    <cellStyle name="常规 9 4 3 3 2 4 2 4" xfId="29682" xr:uid="{00000000-0005-0000-0000-00002CB30000}"/>
    <cellStyle name="常规 9 4 3 3 2 4 3" xfId="8178" xr:uid="{00000000-0005-0000-0000-00002DB30000}"/>
    <cellStyle name="常规 9 4 3 3 2 4 3 2" xfId="20466" xr:uid="{00000000-0005-0000-0000-00002EB30000}"/>
    <cellStyle name="常规 9 4 3 3 2 4 3 2 2" xfId="45042" xr:uid="{00000000-0005-0000-0000-00002FB30000}"/>
    <cellStyle name="常规 9 4 3 3 2 4 3 3" xfId="32754" xr:uid="{00000000-0005-0000-0000-000030B30000}"/>
    <cellStyle name="常规 9 4 3 3 2 4 4" xfId="14322" xr:uid="{00000000-0005-0000-0000-000031B30000}"/>
    <cellStyle name="常规 9 4 3 3 2 4 4 2" xfId="38898" xr:uid="{00000000-0005-0000-0000-000032B30000}"/>
    <cellStyle name="常规 9 4 3 3 2 4 5" xfId="26610" xr:uid="{00000000-0005-0000-0000-000033B30000}"/>
    <cellStyle name="常规 9 4 3 3 2 5" xfId="3570" xr:uid="{00000000-0005-0000-0000-000034B30000}"/>
    <cellStyle name="常规 9 4 3 3 2 5 2" xfId="9714" xr:uid="{00000000-0005-0000-0000-000035B30000}"/>
    <cellStyle name="常规 9 4 3 3 2 5 2 2" xfId="22002" xr:uid="{00000000-0005-0000-0000-000036B30000}"/>
    <cellStyle name="常规 9 4 3 3 2 5 2 2 2" xfId="46578" xr:uid="{00000000-0005-0000-0000-000037B30000}"/>
    <cellStyle name="常规 9 4 3 3 2 5 2 3" xfId="34290" xr:uid="{00000000-0005-0000-0000-000038B30000}"/>
    <cellStyle name="常规 9 4 3 3 2 5 3" xfId="15858" xr:uid="{00000000-0005-0000-0000-000039B30000}"/>
    <cellStyle name="常规 9 4 3 3 2 5 3 2" xfId="40434" xr:uid="{00000000-0005-0000-0000-00003AB30000}"/>
    <cellStyle name="常规 9 4 3 3 2 5 4" xfId="28146" xr:uid="{00000000-0005-0000-0000-00003BB30000}"/>
    <cellStyle name="常规 9 4 3 3 2 6" xfId="6642" xr:uid="{00000000-0005-0000-0000-00003CB30000}"/>
    <cellStyle name="常规 9 4 3 3 2 6 2" xfId="18930" xr:uid="{00000000-0005-0000-0000-00003DB30000}"/>
    <cellStyle name="常规 9 4 3 3 2 6 2 2" xfId="43506" xr:uid="{00000000-0005-0000-0000-00003EB30000}"/>
    <cellStyle name="常规 9 4 3 3 2 6 3" xfId="31218" xr:uid="{00000000-0005-0000-0000-00003FB30000}"/>
    <cellStyle name="常规 9 4 3 3 2 7" xfId="12786" xr:uid="{00000000-0005-0000-0000-000040B30000}"/>
    <cellStyle name="常规 9 4 3 3 2 7 2" xfId="37362" xr:uid="{00000000-0005-0000-0000-000041B30000}"/>
    <cellStyle name="常规 9 4 3 3 2 8" xfId="25074" xr:uid="{00000000-0005-0000-0000-000042B30000}"/>
    <cellStyle name="常规 9 4 3 3 3" xfId="686" xr:uid="{00000000-0005-0000-0000-000043B30000}"/>
    <cellStyle name="常规 9 4 3 3 3 2" xfId="1454" xr:uid="{00000000-0005-0000-0000-000044B30000}"/>
    <cellStyle name="常规 9 4 3 3 3 2 2" xfId="2990" xr:uid="{00000000-0005-0000-0000-000045B30000}"/>
    <cellStyle name="常规 9 4 3 3 3 2 2 2" xfId="6066" xr:uid="{00000000-0005-0000-0000-000046B30000}"/>
    <cellStyle name="常规 9 4 3 3 3 2 2 2 2" xfId="12210" xr:uid="{00000000-0005-0000-0000-000047B30000}"/>
    <cellStyle name="常规 9 4 3 3 3 2 2 2 2 2" xfId="24498" xr:uid="{00000000-0005-0000-0000-000048B30000}"/>
    <cellStyle name="常规 9 4 3 3 3 2 2 2 2 2 2" xfId="49074" xr:uid="{00000000-0005-0000-0000-000049B30000}"/>
    <cellStyle name="常规 9 4 3 3 3 2 2 2 2 3" xfId="36786" xr:uid="{00000000-0005-0000-0000-00004AB30000}"/>
    <cellStyle name="常规 9 4 3 3 3 2 2 2 3" xfId="18354" xr:uid="{00000000-0005-0000-0000-00004BB30000}"/>
    <cellStyle name="常规 9 4 3 3 3 2 2 2 3 2" xfId="42930" xr:uid="{00000000-0005-0000-0000-00004CB30000}"/>
    <cellStyle name="常规 9 4 3 3 3 2 2 2 4" xfId="30642" xr:uid="{00000000-0005-0000-0000-00004DB30000}"/>
    <cellStyle name="常规 9 4 3 3 3 2 2 3" xfId="9138" xr:uid="{00000000-0005-0000-0000-00004EB30000}"/>
    <cellStyle name="常规 9 4 3 3 3 2 2 3 2" xfId="21426" xr:uid="{00000000-0005-0000-0000-00004FB30000}"/>
    <cellStyle name="常规 9 4 3 3 3 2 2 3 2 2" xfId="46002" xr:uid="{00000000-0005-0000-0000-000050B30000}"/>
    <cellStyle name="常规 9 4 3 3 3 2 2 3 3" xfId="33714" xr:uid="{00000000-0005-0000-0000-000051B30000}"/>
    <cellStyle name="常规 9 4 3 3 3 2 2 4" xfId="15282" xr:uid="{00000000-0005-0000-0000-000052B30000}"/>
    <cellStyle name="常规 9 4 3 3 3 2 2 4 2" xfId="39858" xr:uid="{00000000-0005-0000-0000-000053B30000}"/>
    <cellStyle name="常规 9 4 3 3 3 2 2 5" xfId="27570" xr:uid="{00000000-0005-0000-0000-000054B30000}"/>
    <cellStyle name="常规 9 4 3 3 3 2 3" xfId="4530" xr:uid="{00000000-0005-0000-0000-000055B30000}"/>
    <cellStyle name="常规 9 4 3 3 3 2 3 2" xfId="10674" xr:uid="{00000000-0005-0000-0000-000056B30000}"/>
    <cellStyle name="常规 9 4 3 3 3 2 3 2 2" xfId="22962" xr:uid="{00000000-0005-0000-0000-000057B30000}"/>
    <cellStyle name="常规 9 4 3 3 3 2 3 2 2 2" xfId="47538" xr:uid="{00000000-0005-0000-0000-000058B30000}"/>
    <cellStyle name="常规 9 4 3 3 3 2 3 2 3" xfId="35250" xr:uid="{00000000-0005-0000-0000-000059B30000}"/>
    <cellStyle name="常规 9 4 3 3 3 2 3 3" xfId="16818" xr:uid="{00000000-0005-0000-0000-00005AB30000}"/>
    <cellStyle name="常规 9 4 3 3 3 2 3 3 2" xfId="41394" xr:uid="{00000000-0005-0000-0000-00005BB30000}"/>
    <cellStyle name="常规 9 4 3 3 3 2 3 4" xfId="29106" xr:uid="{00000000-0005-0000-0000-00005CB30000}"/>
    <cellStyle name="常规 9 4 3 3 3 2 4" xfId="7602" xr:uid="{00000000-0005-0000-0000-00005DB30000}"/>
    <cellStyle name="常规 9 4 3 3 3 2 4 2" xfId="19890" xr:uid="{00000000-0005-0000-0000-00005EB30000}"/>
    <cellStyle name="常规 9 4 3 3 3 2 4 2 2" xfId="44466" xr:uid="{00000000-0005-0000-0000-00005FB30000}"/>
    <cellStyle name="常规 9 4 3 3 3 2 4 3" xfId="32178" xr:uid="{00000000-0005-0000-0000-000060B30000}"/>
    <cellStyle name="常规 9 4 3 3 3 2 5" xfId="13746" xr:uid="{00000000-0005-0000-0000-000061B30000}"/>
    <cellStyle name="常规 9 4 3 3 3 2 5 2" xfId="38322" xr:uid="{00000000-0005-0000-0000-000062B30000}"/>
    <cellStyle name="常规 9 4 3 3 3 2 6" xfId="26034" xr:uid="{00000000-0005-0000-0000-000063B30000}"/>
    <cellStyle name="常规 9 4 3 3 3 3" xfId="2222" xr:uid="{00000000-0005-0000-0000-000064B30000}"/>
    <cellStyle name="常规 9 4 3 3 3 3 2" xfId="5298" xr:uid="{00000000-0005-0000-0000-000065B30000}"/>
    <cellStyle name="常规 9 4 3 3 3 3 2 2" xfId="11442" xr:uid="{00000000-0005-0000-0000-000066B30000}"/>
    <cellStyle name="常规 9 4 3 3 3 3 2 2 2" xfId="23730" xr:uid="{00000000-0005-0000-0000-000067B30000}"/>
    <cellStyle name="常规 9 4 3 3 3 3 2 2 2 2" xfId="48306" xr:uid="{00000000-0005-0000-0000-000068B30000}"/>
    <cellStyle name="常规 9 4 3 3 3 3 2 2 3" xfId="36018" xr:uid="{00000000-0005-0000-0000-000069B30000}"/>
    <cellStyle name="常规 9 4 3 3 3 3 2 3" xfId="17586" xr:uid="{00000000-0005-0000-0000-00006AB30000}"/>
    <cellStyle name="常规 9 4 3 3 3 3 2 3 2" xfId="42162" xr:uid="{00000000-0005-0000-0000-00006BB30000}"/>
    <cellStyle name="常规 9 4 3 3 3 3 2 4" xfId="29874" xr:uid="{00000000-0005-0000-0000-00006CB30000}"/>
    <cellStyle name="常规 9 4 3 3 3 3 3" xfId="8370" xr:uid="{00000000-0005-0000-0000-00006DB30000}"/>
    <cellStyle name="常规 9 4 3 3 3 3 3 2" xfId="20658" xr:uid="{00000000-0005-0000-0000-00006EB30000}"/>
    <cellStyle name="常规 9 4 3 3 3 3 3 2 2" xfId="45234" xr:uid="{00000000-0005-0000-0000-00006FB30000}"/>
    <cellStyle name="常规 9 4 3 3 3 3 3 3" xfId="32946" xr:uid="{00000000-0005-0000-0000-000070B30000}"/>
    <cellStyle name="常规 9 4 3 3 3 3 4" xfId="14514" xr:uid="{00000000-0005-0000-0000-000071B30000}"/>
    <cellStyle name="常规 9 4 3 3 3 3 4 2" xfId="39090" xr:uid="{00000000-0005-0000-0000-000072B30000}"/>
    <cellStyle name="常规 9 4 3 3 3 3 5" xfId="26802" xr:uid="{00000000-0005-0000-0000-000073B30000}"/>
    <cellStyle name="常规 9 4 3 3 3 4" xfId="3762" xr:uid="{00000000-0005-0000-0000-000074B30000}"/>
    <cellStyle name="常规 9 4 3 3 3 4 2" xfId="9906" xr:uid="{00000000-0005-0000-0000-000075B30000}"/>
    <cellStyle name="常规 9 4 3 3 3 4 2 2" xfId="22194" xr:uid="{00000000-0005-0000-0000-000076B30000}"/>
    <cellStyle name="常规 9 4 3 3 3 4 2 2 2" xfId="46770" xr:uid="{00000000-0005-0000-0000-000077B30000}"/>
    <cellStyle name="常规 9 4 3 3 3 4 2 3" xfId="34482" xr:uid="{00000000-0005-0000-0000-000078B30000}"/>
    <cellStyle name="常规 9 4 3 3 3 4 3" xfId="16050" xr:uid="{00000000-0005-0000-0000-000079B30000}"/>
    <cellStyle name="常规 9 4 3 3 3 4 3 2" xfId="40626" xr:uid="{00000000-0005-0000-0000-00007AB30000}"/>
    <cellStyle name="常规 9 4 3 3 3 4 4" xfId="28338" xr:uid="{00000000-0005-0000-0000-00007BB30000}"/>
    <cellStyle name="常规 9 4 3 3 3 5" xfId="6834" xr:uid="{00000000-0005-0000-0000-00007CB30000}"/>
    <cellStyle name="常规 9 4 3 3 3 5 2" xfId="19122" xr:uid="{00000000-0005-0000-0000-00007DB30000}"/>
    <cellStyle name="常规 9 4 3 3 3 5 2 2" xfId="43698" xr:uid="{00000000-0005-0000-0000-00007EB30000}"/>
    <cellStyle name="常规 9 4 3 3 3 5 3" xfId="31410" xr:uid="{00000000-0005-0000-0000-00007FB30000}"/>
    <cellStyle name="常规 9 4 3 3 3 6" xfId="12978" xr:uid="{00000000-0005-0000-0000-000080B30000}"/>
    <cellStyle name="常规 9 4 3 3 3 6 2" xfId="37554" xr:uid="{00000000-0005-0000-0000-000081B30000}"/>
    <cellStyle name="常规 9 4 3 3 3 7" xfId="25266" xr:uid="{00000000-0005-0000-0000-000082B30000}"/>
    <cellStyle name="常规 9 4 3 3 4" xfId="1070" xr:uid="{00000000-0005-0000-0000-000083B30000}"/>
    <cellStyle name="常规 9 4 3 3 4 2" xfId="2606" xr:uid="{00000000-0005-0000-0000-000084B30000}"/>
    <cellStyle name="常规 9 4 3 3 4 2 2" xfId="5682" xr:uid="{00000000-0005-0000-0000-000085B30000}"/>
    <cellStyle name="常规 9 4 3 3 4 2 2 2" xfId="11826" xr:uid="{00000000-0005-0000-0000-000086B30000}"/>
    <cellStyle name="常规 9 4 3 3 4 2 2 2 2" xfId="24114" xr:uid="{00000000-0005-0000-0000-000087B30000}"/>
    <cellStyle name="常规 9 4 3 3 4 2 2 2 2 2" xfId="48690" xr:uid="{00000000-0005-0000-0000-000088B30000}"/>
    <cellStyle name="常规 9 4 3 3 4 2 2 2 3" xfId="36402" xr:uid="{00000000-0005-0000-0000-000089B30000}"/>
    <cellStyle name="常规 9 4 3 3 4 2 2 3" xfId="17970" xr:uid="{00000000-0005-0000-0000-00008AB30000}"/>
    <cellStyle name="常规 9 4 3 3 4 2 2 3 2" xfId="42546" xr:uid="{00000000-0005-0000-0000-00008BB30000}"/>
    <cellStyle name="常规 9 4 3 3 4 2 2 4" xfId="30258" xr:uid="{00000000-0005-0000-0000-00008CB30000}"/>
    <cellStyle name="常规 9 4 3 3 4 2 3" xfId="8754" xr:uid="{00000000-0005-0000-0000-00008DB30000}"/>
    <cellStyle name="常规 9 4 3 3 4 2 3 2" xfId="21042" xr:uid="{00000000-0005-0000-0000-00008EB30000}"/>
    <cellStyle name="常规 9 4 3 3 4 2 3 2 2" xfId="45618" xr:uid="{00000000-0005-0000-0000-00008FB30000}"/>
    <cellStyle name="常规 9 4 3 3 4 2 3 3" xfId="33330" xr:uid="{00000000-0005-0000-0000-000090B30000}"/>
    <cellStyle name="常规 9 4 3 3 4 2 4" xfId="14898" xr:uid="{00000000-0005-0000-0000-000091B30000}"/>
    <cellStyle name="常规 9 4 3 3 4 2 4 2" xfId="39474" xr:uid="{00000000-0005-0000-0000-000092B30000}"/>
    <cellStyle name="常规 9 4 3 3 4 2 5" xfId="27186" xr:uid="{00000000-0005-0000-0000-000093B30000}"/>
    <cellStyle name="常规 9 4 3 3 4 3" xfId="4146" xr:uid="{00000000-0005-0000-0000-000094B30000}"/>
    <cellStyle name="常规 9 4 3 3 4 3 2" xfId="10290" xr:uid="{00000000-0005-0000-0000-000095B30000}"/>
    <cellStyle name="常规 9 4 3 3 4 3 2 2" xfId="22578" xr:uid="{00000000-0005-0000-0000-000096B30000}"/>
    <cellStyle name="常规 9 4 3 3 4 3 2 2 2" xfId="47154" xr:uid="{00000000-0005-0000-0000-000097B30000}"/>
    <cellStyle name="常规 9 4 3 3 4 3 2 3" xfId="34866" xr:uid="{00000000-0005-0000-0000-000098B30000}"/>
    <cellStyle name="常规 9 4 3 3 4 3 3" xfId="16434" xr:uid="{00000000-0005-0000-0000-000099B30000}"/>
    <cellStyle name="常规 9 4 3 3 4 3 3 2" xfId="41010" xr:uid="{00000000-0005-0000-0000-00009AB30000}"/>
    <cellStyle name="常规 9 4 3 3 4 3 4" xfId="28722" xr:uid="{00000000-0005-0000-0000-00009BB30000}"/>
    <cellStyle name="常规 9 4 3 3 4 4" xfId="7218" xr:uid="{00000000-0005-0000-0000-00009CB30000}"/>
    <cellStyle name="常规 9 4 3 3 4 4 2" xfId="19506" xr:uid="{00000000-0005-0000-0000-00009DB30000}"/>
    <cellStyle name="常规 9 4 3 3 4 4 2 2" xfId="44082" xr:uid="{00000000-0005-0000-0000-00009EB30000}"/>
    <cellStyle name="常规 9 4 3 3 4 4 3" xfId="31794" xr:uid="{00000000-0005-0000-0000-00009FB30000}"/>
    <cellStyle name="常规 9 4 3 3 4 5" xfId="13362" xr:uid="{00000000-0005-0000-0000-0000A0B30000}"/>
    <cellStyle name="常规 9 4 3 3 4 5 2" xfId="37938" xr:uid="{00000000-0005-0000-0000-0000A1B30000}"/>
    <cellStyle name="常规 9 4 3 3 4 6" xfId="25650" xr:uid="{00000000-0005-0000-0000-0000A2B30000}"/>
    <cellStyle name="常规 9 4 3 3 5" xfId="1838" xr:uid="{00000000-0005-0000-0000-0000A3B30000}"/>
    <cellStyle name="常规 9 4 3 3 5 2" xfId="4914" xr:uid="{00000000-0005-0000-0000-0000A4B30000}"/>
    <cellStyle name="常规 9 4 3 3 5 2 2" xfId="11058" xr:uid="{00000000-0005-0000-0000-0000A5B30000}"/>
    <cellStyle name="常规 9 4 3 3 5 2 2 2" xfId="23346" xr:uid="{00000000-0005-0000-0000-0000A6B30000}"/>
    <cellStyle name="常规 9 4 3 3 5 2 2 2 2" xfId="47922" xr:uid="{00000000-0005-0000-0000-0000A7B30000}"/>
    <cellStyle name="常规 9 4 3 3 5 2 2 3" xfId="35634" xr:uid="{00000000-0005-0000-0000-0000A8B30000}"/>
    <cellStyle name="常规 9 4 3 3 5 2 3" xfId="17202" xr:uid="{00000000-0005-0000-0000-0000A9B30000}"/>
    <cellStyle name="常规 9 4 3 3 5 2 3 2" xfId="41778" xr:uid="{00000000-0005-0000-0000-0000AAB30000}"/>
    <cellStyle name="常规 9 4 3 3 5 2 4" xfId="29490" xr:uid="{00000000-0005-0000-0000-0000ABB30000}"/>
    <cellStyle name="常规 9 4 3 3 5 3" xfId="7986" xr:uid="{00000000-0005-0000-0000-0000ACB30000}"/>
    <cellStyle name="常规 9 4 3 3 5 3 2" xfId="20274" xr:uid="{00000000-0005-0000-0000-0000ADB30000}"/>
    <cellStyle name="常规 9 4 3 3 5 3 2 2" xfId="44850" xr:uid="{00000000-0005-0000-0000-0000AEB30000}"/>
    <cellStyle name="常规 9 4 3 3 5 3 3" xfId="32562" xr:uid="{00000000-0005-0000-0000-0000AFB30000}"/>
    <cellStyle name="常规 9 4 3 3 5 4" xfId="14130" xr:uid="{00000000-0005-0000-0000-0000B0B30000}"/>
    <cellStyle name="常规 9 4 3 3 5 4 2" xfId="38706" xr:uid="{00000000-0005-0000-0000-0000B1B30000}"/>
    <cellStyle name="常规 9 4 3 3 5 5" xfId="26418" xr:uid="{00000000-0005-0000-0000-0000B2B30000}"/>
    <cellStyle name="常规 9 4 3 3 6" xfId="3378" xr:uid="{00000000-0005-0000-0000-0000B3B30000}"/>
    <cellStyle name="常规 9 4 3 3 6 2" xfId="9522" xr:uid="{00000000-0005-0000-0000-0000B4B30000}"/>
    <cellStyle name="常规 9 4 3 3 6 2 2" xfId="21810" xr:uid="{00000000-0005-0000-0000-0000B5B30000}"/>
    <cellStyle name="常规 9 4 3 3 6 2 2 2" xfId="46386" xr:uid="{00000000-0005-0000-0000-0000B6B30000}"/>
    <cellStyle name="常规 9 4 3 3 6 2 3" xfId="34098" xr:uid="{00000000-0005-0000-0000-0000B7B30000}"/>
    <cellStyle name="常规 9 4 3 3 6 3" xfId="15666" xr:uid="{00000000-0005-0000-0000-0000B8B30000}"/>
    <cellStyle name="常规 9 4 3 3 6 3 2" xfId="40242" xr:uid="{00000000-0005-0000-0000-0000B9B30000}"/>
    <cellStyle name="常规 9 4 3 3 6 4" xfId="27954" xr:uid="{00000000-0005-0000-0000-0000BAB30000}"/>
    <cellStyle name="常规 9 4 3 3 7" xfId="6450" xr:uid="{00000000-0005-0000-0000-0000BBB30000}"/>
    <cellStyle name="常规 9 4 3 3 7 2" xfId="18738" xr:uid="{00000000-0005-0000-0000-0000BCB30000}"/>
    <cellStyle name="常规 9 4 3 3 7 2 2" xfId="43314" xr:uid="{00000000-0005-0000-0000-0000BDB30000}"/>
    <cellStyle name="常规 9 4 3 3 7 3" xfId="31026" xr:uid="{00000000-0005-0000-0000-0000BEB30000}"/>
    <cellStyle name="常规 9 4 3 3 8" xfId="12594" xr:uid="{00000000-0005-0000-0000-0000BFB30000}"/>
    <cellStyle name="常规 9 4 3 3 8 2" xfId="37170" xr:uid="{00000000-0005-0000-0000-0000C0B30000}"/>
    <cellStyle name="常规 9 4 3 3 9" xfId="24882" xr:uid="{00000000-0005-0000-0000-0000C1B30000}"/>
    <cellStyle name="常规 9 4 3 4" xfId="366" xr:uid="{00000000-0005-0000-0000-0000C2B30000}"/>
    <cellStyle name="常规 9 4 3 4 2" xfId="750" xr:uid="{00000000-0005-0000-0000-0000C3B30000}"/>
    <cellStyle name="常规 9 4 3 4 2 2" xfId="1518" xr:uid="{00000000-0005-0000-0000-0000C4B30000}"/>
    <cellStyle name="常规 9 4 3 4 2 2 2" xfId="3054" xr:uid="{00000000-0005-0000-0000-0000C5B30000}"/>
    <cellStyle name="常规 9 4 3 4 2 2 2 2" xfId="6130" xr:uid="{00000000-0005-0000-0000-0000C6B30000}"/>
    <cellStyle name="常规 9 4 3 4 2 2 2 2 2" xfId="12274" xr:uid="{00000000-0005-0000-0000-0000C7B30000}"/>
    <cellStyle name="常规 9 4 3 4 2 2 2 2 2 2" xfId="24562" xr:uid="{00000000-0005-0000-0000-0000C8B30000}"/>
    <cellStyle name="常规 9 4 3 4 2 2 2 2 2 2 2" xfId="49138" xr:uid="{00000000-0005-0000-0000-0000C9B30000}"/>
    <cellStyle name="常规 9 4 3 4 2 2 2 2 2 3" xfId="36850" xr:uid="{00000000-0005-0000-0000-0000CAB30000}"/>
    <cellStyle name="常规 9 4 3 4 2 2 2 2 3" xfId="18418" xr:uid="{00000000-0005-0000-0000-0000CBB30000}"/>
    <cellStyle name="常规 9 4 3 4 2 2 2 2 3 2" xfId="42994" xr:uid="{00000000-0005-0000-0000-0000CCB30000}"/>
    <cellStyle name="常规 9 4 3 4 2 2 2 2 4" xfId="30706" xr:uid="{00000000-0005-0000-0000-0000CDB30000}"/>
    <cellStyle name="常规 9 4 3 4 2 2 2 3" xfId="9202" xr:uid="{00000000-0005-0000-0000-0000CEB30000}"/>
    <cellStyle name="常规 9 4 3 4 2 2 2 3 2" xfId="21490" xr:uid="{00000000-0005-0000-0000-0000CFB30000}"/>
    <cellStyle name="常规 9 4 3 4 2 2 2 3 2 2" xfId="46066" xr:uid="{00000000-0005-0000-0000-0000D0B30000}"/>
    <cellStyle name="常规 9 4 3 4 2 2 2 3 3" xfId="33778" xr:uid="{00000000-0005-0000-0000-0000D1B30000}"/>
    <cellStyle name="常规 9 4 3 4 2 2 2 4" xfId="15346" xr:uid="{00000000-0005-0000-0000-0000D2B30000}"/>
    <cellStyle name="常规 9 4 3 4 2 2 2 4 2" xfId="39922" xr:uid="{00000000-0005-0000-0000-0000D3B30000}"/>
    <cellStyle name="常规 9 4 3 4 2 2 2 5" xfId="27634" xr:uid="{00000000-0005-0000-0000-0000D4B30000}"/>
    <cellStyle name="常规 9 4 3 4 2 2 3" xfId="4594" xr:uid="{00000000-0005-0000-0000-0000D5B30000}"/>
    <cellStyle name="常规 9 4 3 4 2 2 3 2" xfId="10738" xr:uid="{00000000-0005-0000-0000-0000D6B30000}"/>
    <cellStyle name="常规 9 4 3 4 2 2 3 2 2" xfId="23026" xr:uid="{00000000-0005-0000-0000-0000D7B30000}"/>
    <cellStyle name="常规 9 4 3 4 2 2 3 2 2 2" xfId="47602" xr:uid="{00000000-0005-0000-0000-0000D8B30000}"/>
    <cellStyle name="常规 9 4 3 4 2 2 3 2 3" xfId="35314" xr:uid="{00000000-0005-0000-0000-0000D9B30000}"/>
    <cellStyle name="常规 9 4 3 4 2 2 3 3" xfId="16882" xr:uid="{00000000-0005-0000-0000-0000DAB30000}"/>
    <cellStyle name="常规 9 4 3 4 2 2 3 3 2" xfId="41458" xr:uid="{00000000-0005-0000-0000-0000DBB30000}"/>
    <cellStyle name="常规 9 4 3 4 2 2 3 4" xfId="29170" xr:uid="{00000000-0005-0000-0000-0000DCB30000}"/>
    <cellStyle name="常规 9 4 3 4 2 2 4" xfId="7666" xr:uid="{00000000-0005-0000-0000-0000DDB30000}"/>
    <cellStyle name="常规 9 4 3 4 2 2 4 2" xfId="19954" xr:uid="{00000000-0005-0000-0000-0000DEB30000}"/>
    <cellStyle name="常规 9 4 3 4 2 2 4 2 2" xfId="44530" xr:uid="{00000000-0005-0000-0000-0000DFB30000}"/>
    <cellStyle name="常规 9 4 3 4 2 2 4 3" xfId="32242" xr:uid="{00000000-0005-0000-0000-0000E0B30000}"/>
    <cellStyle name="常规 9 4 3 4 2 2 5" xfId="13810" xr:uid="{00000000-0005-0000-0000-0000E1B30000}"/>
    <cellStyle name="常规 9 4 3 4 2 2 5 2" xfId="38386" xr:uid="{00000000-0005-0000-0000-0000E2B30000}"/>
    <cellStyle name="常规 9 4 3 4 2 2 6" xfId="26098" xr:uid="{00000000-0005-0000-0000-0000E3B30000}"/>
    <cellStyle name="常规 9 4 3 4 2 3" xfId="2286" xr:uid="{00000000-0005-0000-0000-0000E4B30000}"/>
    <cellStyle name="常规 9 4 3 4 2 3 2" xfId="5362" xr:uid="{00000000-0005-0000-0000-0000E5B30000}"/>
    <cellStyle name="常规 9 4 3 4 2 3 2 2" xfId="11506" xr:uid="{00000000-0005-0000-0000-0000E6B30000}"/>
    <cellStyle name="常规 9 4 3 4 2 3 2 2 2" xfId="23794" xr:uid="{00000000-0005-0000-0000-0000E7B30000}"/>
    <cellStyle name="常规 9 4 3 4 2 3 2 2 2 2" xfId="48370" xr:uid="{00000000-0005-0000-0000-0000E8B30000}"/>
    <cellStyle name="常规 9 4 3 4 2 3 2 2 3" xfId="36082" xr:uid="{00000000-0005-0000-0000-0000E9B30000}"/>
    <cellStyle name="常规 9 4 3 4 2 3 2 3" xfId="17650" xr:uid="{00000000-0005-0000-0000-0000EAB30000}"/>
    <cellStyle name="常规 9 4 3 4 2 3 2 3 2" xfId="42226" xr:uid="{00000000-0005-0000-0000-0000EBB30000}"/>
    <cellStyle name="常规 9 4 3 4 2 3 2 4" xfId="29938" xr:uid="{00000000-0005-0000-0000-0000ECB30000}"/>
    <cellStyle name="常规 9 4 3 4 2 3 3" xfId="8434" xr:uid="{00000000-0005-0000-0000-0000EDB30000}"/>
    <cellStyle name="常规 9 4 3 4 2 3 3 2" xfId="20722" xr:uid="{00000000-0005-0000-0000-0000EEB30000}"/>
    <cellStyle name="常规 9 4 3 4 2 3 3 2 2" xfId="45298" xr:uid="{00000000-0005-0000-0000-0000EFB30000}"/>
    <cellStyle name="常规 9 4 3 4 2 3 3 3" xfId="33010" xr:uid="{00000000-0005-0000-0000-0000F0B30000}"/>
    <cellStyle name="常规 9 4 3 4 2 3 4" xfId="14578" xr:uid="{00000000-0005-0000-0000-0000F1B30000}"/>
    <cellStyle name="常规 9 4 3 4 2 3 4 2" xfId="39154" xr:uid="{00000000-0005-0000-0000-0000F2B30000}"/>
    <cellStyle name="常规 9 4 3 4 2 3 5" xfId="26866" xr:uid="{00000000-0005-0000-0000-0000F3B30000}"/>
    <cellStyle name="常规 9 4 3 4 2 4" xfId="3826" xr:uid="{00000000-0005-0000-0000-0000F4B30000}"/>
    <cellStyle name="常规 9 4 3 4 2 4 2" xfId="9970" xr:uid="{00000000-0005-0000-0000-0000F5B30000}"/>
    <cellStyle name="常规 9 4 3 4 2 4 2 2" xfId="22258" xr:uid="{00000000-0005-0000-0000-0000F6B30000}"/>
    <cellStyle name="常规 9 4 3 4 2 4 2 2 2" xfId="46834" xr:uid="{00000000-0005-0000-0000-0000F7B30000}"/>
    <cellStyle name="常规 9 4 3 4 2 4 2 3" xfId="34546" xr:uid="{00000000-0005-0000-0000-0000F8B30000}"/>
    <cellStyle name="常规 9 4 3 4 2 4 3" xfId="16114" xr:uid="{00000000-0005-0000-0000-0000F9B30000}"/>
    <cellStyle name="常规 9 4 3 4 2 4 3 2" xfId="40690" xr:uid="{00000000-0005-0000-0000-0000FAB30000}"/>
    <cellStyle name="常规 9 4 3 4 2 4 4" xfId="28402" xr:uid="{00000000-0005-0000-0000-0000FBB30000}"/>
    <cellStyle name="常规 9 4 3 4 2 5" xfId="6898" xr:uid="{00000000-0005-0000-0000-0000FCB30000}"/>
    <cellStyle name="常规 9 4 3 4 2 5 2" xfId="19186" xr:uid="{00000000-0005-0000-0000-0000FDB30000}"/>
    <cellStyle name="常规 9 4 3 4 2 5 2 2" xfId="43762" xr:uid="{00000000-0005-0000-0000-0000FEB30000}"/>
    <cellStyle name="常规 9 4 3 4 2 5 3" xfId="31474" xr:uid="{00000000-0005-0000-0000-0000FFB30000}"/>
    <cellStyle name="常规 9 4 3 4 2 6" xfId="13042" xr:uid="{00000000-0005-0000-0000-000000B40000}"/>
    <cellStyle name="常规 9 4 3 4 2 6 2" xfId="37618" xr:uid="{00000000-0005-0000-0000-000001B40000}"/>
    <cellStyle name="常规 9 4 3 4 2 7" xfId="25330" xr:uid="{00000000-0005-0000-0000-000002B40000}"/>
    <cellStyle name="常规 9 4 3 4 3" xfId="1134" xr:uid="{00000000-0005-0000-0000-000003B40000}"/>
    <cellStyle name="常规 9 4 3 4 3 2" xfId="2670" xr:uid="{00000000-0005-0000-0000-000004B40000}"/>
    <cellStyle name="常规 9 4 3 4 3 2 2" xfId="5746" xr:uid="{00000000-0005-0000-0000-000005B40000}"/>
    <cellStyle name="常规 9 4 3 4 3 2 2 2" xfId="11890" xr:uid="{00000000-0005-0000-0000-000006B40000}"/>
    <cellStyle name="常规 9 4 3 4 3 2 2 2 2" xfId="24178" xr:uid="{00000000-0005-0000-0000-000007B40000}"/>
    <cellStyle name="常规 9 4 3 4 3 2 2 2 2 2" xfId="48754" xr:uid="{00000000-0005-0000-0000-000008B40000}"/>
    <cellStyle name="常规 9 4 3 4 3 2 2 2 3" xfId="36466" xr:uid="{00000000-0005-0000-0000-000009B40000}"/>
    <cellStyle name="常规 9 4 3 4 3 2 2 3" xfId="18034" xr:uid="{00000000-0005-0000-0000-00000AB40000}"/>
    <cellStyle name="常规 9 4 3 4 3 2 2 3 2" xfId="42610" xr:uid="{00000000-0005-0000-0000-00000BB40000}"/>
    <cellStyle name="常规 9 4 3 4 3 2 2 4" xfId="30322" xr:uid="{00000000-0005-0000-0000-00000CB40000}"/>
    <cellStyle name="常规 9 4 3 4 3 2 3" xfId="8818" xr:uid="{00000000-0005-0000-0000-00000DB40000}"/>
    <cellStyle name="常规 9 4 3 4 3 2 3 2" xfId="21106" xr:uid="{00000000-0005-0000-0000-00000EB40000}"/>
    <cellStyle name="常规 9 4 3 4 3 2 3 2 2" xfId="45682" xr:uid="{00000000-0005-0000-0000-00000FB40000}"/>
    <cellStyle name="常规 9 4 3 4 3 2 3 3" xfId="33394" xr:uid="{00000000-0005-0000-0000-000010B40000}"/>
    <cellStyle name="常规 9 4 3 4 3 2 4" xfId="14962" xr:uid="{00000000-0005-0000-0000-000011B40000}"/>
    <cellStyle name="常规 9 4 3 4 3 2 4 2" xfId="39538" xr:uid="{00000000-0005-0000-0000-000012B40000}"/>
    <cellStyle name="常规 9 4 3 4 3 2 5" xfId="27250" xr:uid="{00000000-0005-0000-0000-000013B40000}"/>
    <cellStyle name="常规 9 4 3 4 3 3" xfId="4210" xr:uid="{00000000-0005-0000-0000-000014B40000}"/>
    <cellStyle name="常规 9 4 3 4 3 3 2" xfId="10354" xr:uid="{00000000-0005-0000-0000-000015B40000}"/>
    <cellStyle name="常规 9 4 3 4 3 3 2 2" xfId="22642" xr:uid="{00000000-0005-0000-0000-000016B40000}"/>
    <cellStyle name="常规 9 4 3 4 3 3 2 2 2" xfId="47218" xr:uid="{00000000-0005-0000-0000-000017B40000}"/>
    <cellStyle name="常规 9 4 3 4 3 3 2 3" xfId="34930" xr:uid="{00000000-0005-0000-0000-000018B40000}"/>
    <cellStyle name="常规 9 4 3 4 3 3 3" xfId="16498" xr:uid="{00000000-0005-0000-0000-000019B40000}"/>
    <cellStyle name="常规 9 4 3 4 3 3 3 2" xfId="41074" xr:uid="{00000000-0005-0000-0000-00001AB40000}"/>
    <cellStyle name="常规 9 4 3 4 3 3 4" xfId="28786" xr:uid="{00000000-0005-0000-0000-00001BB40000}"/>
    <cellStyle name="常规 9 4 3 4 3 4" xfId="7282" xr:uid="{00000000-0005-0000-0000-00001CB40000}"/>
    <cellStyle name="常规 9 4 3 4 3 4 2" xfId="19570" xr:uid="{00000000-0005-0000-0000-00001DB40000}"/>
    <cellStyle name="常规 9 4 3 4 3 4 2 2" xfId="44146" xr:uid="{00000000-0005-0000-0000-00001EB40000}"/>
    <cellStyle name="常规 9 4 3 4 3 4 3" xfId="31858" xr:uid="{00000000-0005-0000-0000-00001FB40000}"/>
    <cellStyle name="常规 9 4 3 4 3 5" xfId="13426" xr:uid="{00000000-0005-0000-0000-000020B40000}"/>
    <cellStyle name="常规 9 4 3 4 3 5 2" xfId="38002" xr:uid="{00000000-0005-0000-0000-000021B40000}"/>
    <cellStyle name="常规 9 4 3 4 3 6" xfId="25714" xr:uid="{00000000-0005-0000-0000-000022B40000}"/>
    <cellStyle name="常规 9 4 3 4 4" xfId="1902" xr:uid="{00000000-0005-0000-0000-000023B40000}"/>
    <cellStyle name="常规 9 4 3 4 4 2" xfId="4978" xr:uid="{00000000-0005-0000-0000-000024B40000}"/>
    <cellStyle name="常规 9 4 3 4 4 2 2" xfId="11122" xr:uid="{00000000-0005-0000-0000-000025B40000}"/>
    <cellStyle name="常规 9 4 3 4 4 2 2 2" xfId="23410" xr:uid="{00000000-0005-0000-0000-000026B40000}"/>
    <cellStyle name="常规 9 4 3 4 4 2 2 2 2" xfId="47986" xr:uid="{00000000-0005-0000-0000-000027B40000}"/>
    <cellStyle name="常规 9 4 3 4 4 2 2 3" xfId="35698" xr:uid="{00000000-0005-0000-0000-000028B40000}"/>
    <cellStyle name="常规 9 4 3 4 4 2 3" xfId="17266" xr:uid="{00000000-0005-0000-0000-000029B40000}"/>
    <cellStyle name="常规 9 4 3 4 4 2 3 2" xfId="41842" xr:uid="{00000000-0005-0000-0000-00002AB40000}"/>
    <cellStyle name="常规 9 4 3 4 4 2 4" xfId="29554" xr:uid="{00000000-0005-0000-0000-00002BB40000}"/>
    <cellStyle name="常规 9 4 3 4 4 3" xfId="8050" xr:uid="{00000000-0005-0000-0000-00002CB40000}"/>
    <cellStyle name="常规 9 4 3 4 4 3 2" xfId="20338" xr:uid="{00000000-0005-0000-0000-00002DB40000}"/>
    <cellStyle name="常规 9 4 3 4 4 3 2 2" xfId="44914" xr:uid="{00000000-0005-0000-0000-00002EB40000}"/>
    <cellStyle name="常规 9 4 3 4 4 3 3" xfId="32626" xr:uid="{00000000-0005-0000-0000-00002FB40000}"/>
    <cellStyle name="常规 9 4 3 4 4 4" xfId="14194" xr:uid="{00000000-0005-0000-0000-000030B40000}"/>
    <cellStyle name="常规 9 4 3 4 4 4 2" xfId="38770" xr:uid="{00000000-0005-0000-0000-000031B40000}"/>
    <cellStyle name="常规 9 4 3 4 4 5" xfId="26482" xr:uid="{00000000-0005-0000-0000-000032B40000}"/>
    <cellStyle name="常规 9 4 3 4 5" xfId="3442" xr:uid="{00000000-0005-0000-0000-000033B40000}"/>
    <cellStyle name="常规 9 4 3 4 5 2" xfId="9586" xr:uid="{00000000-0005-0000-0000-000034B40000}"/>
    <cellStyle name="常规 9 4 3 4 5 2 2" xfId="21874" xr:uid="{00000000-0005-0000-0000-000035B40000}"/>
    <cellStyle name="常规 9 4 3 4 5 2 2 2" xfId="46450" xr:uid="{00000000-0005-0000-0000-000036B40000}"/>
    <cellStyle name="常规 9 4 3 4 5 2 3" xfId="34162" xr:uid="{00000000-0005-0000-0000-000037B40000}"/>
    <cellStyle name="常规 9 4 3 4 5 3" xfId="15730" xr:uid="{00000000-0005-0000-0000-000038B40000}"/>
    <cellStyle name="常规 9 4 3 4 5 3 2" xfId="40306" xr:uid="{00000000-0005-0000-0000-000039B40000}"/>
    <cellStyle name="常规 9 4 3 4 5 4" xfId="28018" xr:uid="{00000000-0005-0000-0000-00003AB40000}"/>
    <cellStyle name="常规 9 4 3 4 6" xfId="6514" xr:uid="{00000000-0005-0000-0000-00003BB40000}"/>
    <cellStyle name="常规 9 4 3 4 6 2" xfId="18802" xr:uid="{00000000-0005-0000-0000-00003CB40000}"/>
    <cellStyle name="常规 9 4 3 4 6 2 2" xfId="43378" xr:uid="{00000000-0005-0000-0000-00003DB40000}"/>
    <cellStyle name="常规 9 4 3 4 6 3" xfId="31090" xr:uid="{00000000-0005-0000-0000-00003EB40000}"/>
    <cellStyle name="常规 9 4 3 4 7" xfId="12658" xr:uid="{00000000-0005-0000-0000-00003FB40000}"/>
    <cellStyle name="常规 9 4 3 4 7 2" xfId="37234" xr:uid="{00000000-0005-0000-0000-000040B40000}"/>
    <cellStyle name="常规 9 4 3 4 8" xfId="24946" xr:uid="{00000000-0005-0000-0000-000041B40000}"/>
    <cellStyle name="常规 9 4 3 5" xfId="558" xr:uid="{00000000-0005-0000-0000-000042B40000}"/>
    <cellStyle name="常规 9 4 3 5 2" xfId="1326" xr:uid="{00000000-0005-0000-0000-000043B40000}"/>
    <cellStyle name="常规 9 4 3 5 2 2" xfId="2862" xr:uid="{00000000-0005-0000-0000-000044B40000}"/>
    <cellStyle name="常规 9 4 3 5 2 2 2" xfId="5938" xr:uid="{00000000-0005-0000-0000-000045B40000}"/>
    <cellStyle name="常规 9 4 3 5 2 2 2 2" xfId="12082" xr:uid="{00000000-0005-0000-0000-000046B40000}"/>
    <cellStyle name="常规 9 4 3 5 2 2 2 2 2" xfId="24370" xr:uid="{00000000-0005-0000-0000-000047B40000}"/>
    <cellStyle name="常规 9 4 3 5 2 2 2 2 2 2" xfId="48946" xr:uid="{00000000-0005-0000-0000-000048B40000}"/>
    <cellStyle name="常规 9 4 3 5 2 2 2 2 3" xfId="36658" xr:uid="{00000000-0005-0000-0000-000049B40000}"/>
    <cellStyle name="常规 9 4 3 5 2 2 2 3" xfId="18226" xr:uid="{00000000-0005-0000-0000-00004AB40000}"/>
    <cellStyle name="常规 9 4 3 5 2 2 2 3 2" xfId="42802" xr:uid="{00000000-0005-0000-0000-00004BB40000}"/>
    <cellStyle name="常规 9 4 3 5 2 2 2 4" xfId="30514" xr:uid="{00000000-0005-0000-0000-00004CB40000}"/>
    <cellStyle name="常规 9 4 3 5 2 2 3" xfId="9010" xr:uid="{00000000-0005-0000-0000-00004DB40000}"/>
    <cellStyle name="常规 9 4 3 5 2 2 3 2" xfId="21298" xr:uid="{00000000-0005-0000-0000-00004EB40000}"/>
    <cellStyle name="常规 9 4 3 5 2 2 3 2 2" xfId="45874" xr:uid="{00000000-0005-0000-0000-00004FB40000}"/>
    <cellStyle name="常规 9 4 3 5 2 2 3 3" xfId="33586" xr:uid="{00000000-0005-0000-0000-000050B40000}"/>
    <cellStyle name="常规 9 4 3 5 2 2 4" xfId="15154" xr:uid="{00000000-0005-0000-0000-000051B40000}"/>
    <cellStyle name="常规 9 4 3 5 2 2 4 2" xfId="39730" xr:uid="{00000000-0005-0000-0000-000052B40000}"/>
    <cellStyle name="常规 9 4 3 5 2 2 5" xfId="27442" xr:uid="{00000000-0005-0000-0000-000053B40000}"/>
    <cellStyle name="常规 9 4 3 5 2 3" xfId="4402" xr:uid="{00000000-0005-0000-0000-000054B40000}"/>
    <cellStyle name="常规 9 4 3 5 2 3 2" xfId="10546" xr:uid="{00000000-0005-0000-0000-000055B40000}"/>
    <cellStyle name="常规 9 4 3 5 2 3 2 2" xfId="22834" xr:uid="{00000000-0005-0000-0000-000056B40000}"/>
    <cellStyle name="常规 9 4 3 5 2 3 2 2 2" xfId="47410" xr:uid="{00000000-0005-0000-0000-000057B40000}"/>
    <cellStyle name="常规 9 4 3 5 2 3 2 3" xfId="35122" xr:uid="{00000000-0005-0000-0000-000058B40000}"/>
    <cellStyle name="常规 9 4 3 5 2 3 3" xfId="16690" xr:uid="{00000000-0005-0000-0000-000059B40000}"/>
    <cellStyle name="常规 9 4 3 5 2 3 3 2" xfId="41266" xr:uid="{00000000-0005-0000-0000-00005AB40000}"/>
    <cellStyle name="常规 9 4 3 5 2 3 4" xfId="28978" xr:uid="{00000000-0005-0000-0000-00005BB40000}"/>
    <cellStyle name="常规 9 4 3 5 2 4" xfId="7474" xr:uid="{00000000-0005-0000-0000-00005CB40000}"/>
    <cellStyle name="常规 9 4 3 5 2 4 2" xfId="19762" xr:uid="{00000000-0005-0000-0000-00005DB40000}"/>
    <cellStyle name="常规 9 4 3 5 2 4 2 2" xfId="44338" xr:uid="{00000000-0005-0000-0000-00005EB40000}"/>
    <cellStyle name="常规 9 4 3 5 2 4 3" xfId="32050" xr:uid="{00000000-0005-0000-0000-00005FB40000}"/>
    <cellStyle name="常规 9 4 3 5 2 5" xfId="13618" xr:uid="{00000000-0005-0000-0000-000060B40000}"/>
    <cellStyle name="常规 9 4 3 5 2 5 2" xfId="38194" xr:uid="{00000000-0005-0000-0000-000061B40000}"/>
    <cellStyle name="常规 9 4 3 5 2 6" xfId="25906" xr:uid="{00000000-0005-0000-0000-000062B40000}"/>
    <cellStyle name="常规 9 4 3 5 3" xfId="2094" xr:uid="{00000000-0005-0000-0000-000063B40000}"/>
    <cellStyle name="常规 9 4 3 5 3 2" xfId="5170" xr:uid="{00000000-0005-0000-0000-000064B40000}"/>
    <cellStyle name="常规 9 4 3 5 3 2 2" xfId="11314" xr:uid="{00000000-0005-0000-0000-000065B40000}"/>
    <cellStyle name="常规 9 4 3 5 3 2 2 2" xfId="23602" xr:uid="{00000000-0005-0000-0000-000066B40000}"/>
    <cellStyle name="常规 9 4 3 5 3 2 2 2 2" xfId="48178" xr:uid="{00000000-0005-0000-0000-000067B40000}"/>
    <cellStyle name="常规 9 4 3 5 3 2 2 3" xfId="35890" xr:uid="{00000000-0005-0000-0000-000068B40000}"/>
    <cellStyle name="常规 9 4 3 5 3 2 3" xfId="17458" xr:uid="{00000000-0005-0000-0000-000069B40000}"/>
    <cellStyle name="常规 9 4 3 5 3 2 3 2" xfId="42034" xr:uid="{00000000-0005-0000-0000-00006AB40000}"/>
    <cellStyle name="常规 9 4 3 5 3 2 4" xfId="29746" xr:uid="{00000000-0005-0000-0000-00006BB40000}"/>
    <cellStyle name="常规 9 4 3 5 3 3" xfId="8242" xr:uid="{00000000-0005-0000-0000-00006CB40000}"/>
    <cellStyle name="常规 9 4 3 5 3 3 2" xfId="20530" xr:uid="{00000000-0005-0000-0000-00006DB40000}"/>
    <cellStyle name="常规 9 4 3 5 3 3 2 2" xfId="45106" xr:uid="{00000000-0005-0000-0000-00006EB40000}"/>
    <cellStyle name="常规 9 4 3 5 3 3 3" xfId="32818" xr:uid="{00000000-0005-0000-0000-00006FB40000}"/>
    <cellStyle name="常规 9 4 3 5 3 4" xfId="14386" xr:uid="{00000000-0005-0000-0000-000070B40000}"/>
    <cellStyle name="常规 9 4 3 5 3 4 2" xfId="38962" xr:uid="{00000000-0005-0000-0000-000071B40000}"/>
    <cellStyle name="常规 9 4 3 5 3 5" xfId="26674" xr:uid="{00000000-0005-0000-0000-000072B40000}"/>
    <cellStyle name="常规 9 4 3 5 4" xfId="3634" xr:uid="{00000000-0005-0000-0000-000073B40000}"/>
    <cellStyle name="常规 9 4 3 5 4 2" xfId="9778" xr:uid="{00000000-0005-0000-0000-000074B40000}"/>
    <cellStyle name="常规 9 4 3 5 4 2 2" xfId="22066" xr:uid="{00000000-0005-0000-0000-000075B40000}"/>
    <cellStyle name="常规 9 4 3 5 4 2 2 2" xfId="46642" xr:uid="{00000000-0005-0000-0000-000076B40000}"/>
    <cellStyle name="常规 9 4 3 5 4 2 3" xfId="34354" xr:uid="{00000000-0005-0000-0000-000077B40000}"/>
    <cellStyle name="常规 9 4 3 5 4 3" xfId="15922" xr:uid="{00000000-0005-0000-0000-000078B40000}"/>
    <cellStyle name="常规 9 4 3 5 4 3 2" xfId="40498" xr:uid="{00000000-0005-0000-0000-000079B40000}"/>
    <cellStyle name="常规 9 4 3 5 4 4" xfId="28210" xr:uid="{00000000-0005-0000-0000-00007AB40000}"/>
    <cellStyle name="常规 9 4 3 5 5" xfId="6706" xr:uid="{00000000-0005-0000-0000-00007BB40000}"/>
    <cellStyle name="常规 9 4 3 5 5 2" xfId="18994" xr:uid="{00000000-0005-0000-0000-00007CB40000}"/>
    <cellStyle name="常规 9 4 3 5 5 2 2" xfId="43570" xr:uid="{00000000-0005-0000-0000-00007DB40000}"/>
    <cellStyle name="常规 9 4 3 5 5 3" xfId="31282" xr:uid="{00000000-0005-0000-0000-00007EB40000}"/>
    <cellStyle name="常规 9 4 3 5 6" xfId="12850" xr:uid="{00000000-0005-0000-0000-00007FB40000}"/>
    <cellStyle name="常规 9 4 3 5 6 2" xfId="37426" xr:uid="{00000000-0005-0000-0000-000080B40000}"/>
    <cellStyle name="常规 9 4 3 5 7" xfId="25138" xr:uid="{00000000-0005-0000-0000-000081B40000}"/>
    <cellStyle name="常规 9 4 3 6" xfId="942" xr:uid="{00000000-0005-0000-0000-000082B40000}"/>
    <cellStyle name="常规 9 4 3 6 2" xfId="2478" xr:uid="{00000000-0005-0000-0000-000083B40000}"/>
    <cellStyle name="常规 9 4 3 6 2 2" xfId="5554" xr:uid="{00000000-0005-0000-0000-000084B40000}"/>
    <cellStyle name="常规 9 4 3 6 2 2 2" xfId="11698" xr:uid="{00000000-0005-0000-0000-000085B40000}"/>
    <cellStyle name="常规 9 4 3 6 2 2 2 2" xfId="23986" xr:uid="{00000000-0005-0000-0000-000086B40000}"/>
    <cellStyle name="常规 9 4 3 6 2 2 2 2 2" xfId="48562" xr:uid="{00000000-0005-0000-0000-000087B40000}"/>
    <cellStyle name="常规 9 4 3 6 2 2 2 3" xfId="36274" xr:uid="{00000000-0005-0000-0000-000088B40000}"/>
    <cellStyle name="常规 9 4 3 6 2 2 3" xfId="17842" xr:uid="{00000000-0005-0000-0000-000089B40000}"/>
    <cellStyle name="常规 9 4 3 6 2 2 3 2" xfId="42418" xr:uid="{00000000-0005-0000-0000-00008AB40000}"/>
    <cellStyle name="常规 9 4 3 6 2 2 4" xfId="30130" xr:uid="{00000000-0005-0000-0000-00008BB40000}"/>
    <cellStyle name="常规 9 4 3 6 2 3" xfId="8626" xr:uid="{00000000-0005-0000-0000-00008CB40000}"/>
    <cellStyle name="常规 9 4 3 6 2 3 2" xfId="20914" xr:uid="{00000000-0005-0000-0000-00008DB40000}"/>
    <cellStyle name="常规 9 4 3 6 2 3 2 2" xfId="45490" xr:uid="{00000000-0005-0000-0000-00008EB40000}"/>
    <cellStyle name="常规 9 4 3 6 2 3 3" xfId="33202" xr:uid="{00000000-0005-0000-0000-00008FB40000}"/>
    <cellStyle name="常规 9 4 3 6 2 4" xfId="14770" xr:uid="{00000000-0005-0000-0000-000090B40000}"/>
    <cellStyle name="常规 9 4 3 6 2 4 2" xfId="39346" xr:uid="{00000000-0005-0000-0000-000091B40000}"/>
    <cellStyle name="常规 9 4 3 6 2 5" xfId="27058" xr:uid="{00000000-0005-0000-0000-000092B40000}"/>
    <cellStyle name="常规 9 4 3 6 3" xfId="4018" xr:uid="{00000000-0005-0000-0000-000093B40000}"/>
    <cellStyle name="常规 9 4 3 6 3 2" xfId="10162" xr:uid="{00000000-0005-0000-0000-000094B40000}"/>
    <cellStyle name="常规 9 4 3 6 3 2 2" xfId="22450" xr:uid="{00000000-0005-0000-0000-000095B40000}"/>
    <cellStyle name="常规 9 4 3 6 3 2 2 2" xfId="47026" xr:uid="{00000000-0005-0000-0000-000096B40000}"/>
    <cellStyle name="常规 9 4 3 6 3 2 3" xfId="34738" xr:uid="{00000000-0005-0000-0000-000097B40000}"/>
    <cellStyle name="常规 9 4 3 6 3 3" xfId="16306" xr:uid="{00000000-0005-0000-0000-000098B40000}"/>
    <cellStyle name="常规 9 4 3 6 3 3 2" xfId="40882" xr:uid="{00000000-0005-0000-0000-000099B40000}"/>
    <cellStyle name="常规 9 4 3 6 3 4" xfId="28594" xr:uid="{00000000-0005-0000-0000-00009AB40000}"/>
    <cellStyle name="常规 9 4 3 6 4" xfId="7090" xr:uid="{00000000-0005-0000-0000-00009BB40000}"/>
    <cellStyle name="常规 9 4 3 6 4 2" xfId="19378" xr:uid="{00000000-0005-0000-0000-00009CB40000}"/>
    <cellStyle name="常规 9 4 3 6 4 2 2" xfId="43954" xr:uid="{00000000-0005-0000-0000-00009DB40000}"/>
    <cellStyle name="常规 9 4 3 6 4 3" xfId="31666" xr:uid="{00000000-0005-0000-0000-00009EB40000}"/>
    <cellStyle name="常规 9 4 3 6 5" xfId="13234" xr:uid="{00000000-0005-0000-0000-00009FB40000}"/>
    <cellStyle name="常规 9 4 3 6 5 2" xfId="37810" xr:uid="{00000000-0005-0000-0000-0000A0B40000}"/>
    <cellStyle name="常规 9 4 3 6 6" xfId="25522" xr:uid="{00000000-0005-0000-0000-0000A1B40000}"/>
    <cellStyle name="常规 9 4 3 7" xfId="1710" xr:uid="{00000000-0005-0000-0000-0000A2B40000}"/>
    <cellStyle name="常规 9 4 3 7 2" xfId="4786" xr:uid="{00000000-0005-0000-0000-0000A3B40000}"/>
    <cellStyle name="常规 9 4 3 7 2 2" xfId="10930" xr:uid="{00000000-0005-0000-0000-0000A4B40000}"/>
    <cellStyle name="常规 9 4 3 7 2 2 2" xfId="23218" xr:uid="{00000000-0005-0000-0000-0000A5B40000}"/>
    <cellStyle name="常规 9 4 3 7 2 2 2 2" xfId="47794" xr:uid="{00000000-0005-0000-0000-0000A6B40000}"/>
    <cellStyle name="常规 9 4 3 7 2 2 3" xfId="35506" xr:uid="{00000000-0005-0000-0000-0000A7B40000}"/>
    <cellStyle name="常规 9 4 3 7 2 3" xfId="17074" xr:uid="{00000000-0005-0000-0000-0000A8B40000}"/>
    <cellStyle name="常规 9 4 3 7 2 3 2" xfId="41650" xr:uid="{00000000-0005-0000-0000-0000A9B40000}"/>
    <cellStyle name="常规 9 4 3 7 2 4" xfId="29362" xr:uid="{00000000-0005-0000-0000-0000AAB40000}"/>
    <cellStyle name="常规 9 4 3 7 3" xfId="7858" xr:uid="{00000000-0005-0000-0000-0000ABB40000}"/>
    <cellStyle name="常规 9 4 3 7 3 2" xfId="20146" xr:uid="{00000000-0005-0000-0000-0000ACB40000}"/>
    <cellStyle name="常规 9 4 3 7 3 2 2" xfId="44722" xr:uid="{00000000-0005-0000-0000-0000ADB40000}"/>
    <cellStyle name="常规 9 4 3 7 3 3" xfId="32434" xr:uid="{00000000-0005-0000-0000-0000AEB40000}"/>
    <cellStyle name="常规 9 4 3 7 4" xfId="14002" xr:uid="{00000000-0005-0000-0000-0000AFB40000}"/>
    <cellStyle name="常规 9 4 3 7 4 2" xfId="38578" xr:uid="{00000000-0005-0000-0000-0000B0B40000}"/>
    <cellStyle name="常规 9 4 3 7 5" xfId="26290" xr:uid="{00000000-0005-0000-0000-0000B1B40000}"/>
    <cellStyle name="常规 9 4 3 8" xfId="3250" xr:uid="{00000000-0005-0000-0000-0000B2B40000}"/>
    <cellStyle name="常规 9 4 3 8 2" xfId="9394" xr:uid="{00000000-0005-0000-0000-0000B3B40000}"/>
    <cellStyle name="常规 9 4 3 8 2 2" xfId="21682" xr:uid="{00000000-0005-0000-0000-0000B4B40000}"/>
    <cellStyle name="常规 9 4 3 8 2 2 2" xfId="46258" xr:uid="{00000000-0005-0000-0000-0000B5B40000}"/>
    <cellStyle name="常规 9 4 3 8 2 3" xfId="33970" xr:uid="{00000000-0005-0000-0000-0000B6B40000}"/>
    <cellStyle name="常规 9 4 3 8 3" xfId="15538" xr:uid="{00000000-0005-0000-0000-0000B7B40000}"/>
    <cellStyle name="常规 9 4 3 8 3 2" xfId="40114" xr:uid="{00000000-0005-0000-0000-0000B8B40000}"/>
    <cellStyle name="常规 9 4 3 8 4" xfId="27826" xr:uid="{00000000-0005-0000-0000-0000B9B40000}"/>
    <cellStyle name="常规 9 4 3 9" xfId="6322" xr:uid="{00000000-0005-0000-0000-0000BAB40000}"/>
    <cellStyle name="常规 9 4 3 9 2" xfId="18610" xr:uid="{00000000-0005-0000-0000-0000BBB40000}"/>
    <cellStyle name="常规 9 4 3 9 2 2" xfId="43186" xr:uid="{00000000-0005-0000-0000-0000BCB40000}"/>
    <cellStyle name="常规 9 4 3 9 3" xfId="30898" xr:uid="{00000000-0005-0000-0000-0000BDB40000}"/>
    <cellStyle name="常规 9 4 4" xfId="206" xr:uid="{00000000-0005-0000-0000-0000BEB40000}"/>
    <cellStyle name="常规 9 4 4 2" xfId="398" xr:uid="{00000000-0005-0000-0000-0000BFB40000}"/>
    <cellStyle name="常规 9 4 4 2 2" xfId="782" xr:uid="{00000000-0005-0000-0000-0000C0B40000}"/>
    <cellStyle name="常规 9 4 4 2 2 2" xfId="1550" xr:uid="{00000000-0005-0000-0000-0000C1B40000}"/>
    <cellStyle name="常规 9 4 4 2 2 2 2" xfId="3086" xr:uid="{00000000-0005-0000-0000-0000C2B40000}"/>
    <cellStyle name="常规 9 4 4 2 2 2 2 2" xfId="6162" xr:uid="{00000000-0005-0000-0000-0000C3B40000}"/>
    <cellStyle name="常规 9 4 4 2 2 2 2 2 2" xfId="12306" xr:uid="{00000000-0005-0000-0000-0000C4B40000}"/>
    <cellStyle name="常规 9 4 4 2 2 2 2 2 2 2" xfId="24594" xr:uid="{00000000-0005-0000-0000-0000C5B40000}"/>
    <cellStyle name="常规 9 4 4 2 2 2 2 2 2 2 2" xfId="49170" xr:uid="{00000000-0005-0000-0000-0000C6B40000}"/>
    <cellStyle name="常规 9 4 4 2 2 2 2 2 2 3" xfId="36882" xr:uid="{00000000-0005-0000-0000-0000C7B40000}"/>
    <cellStyle name="常规 9 4 4 2 2 2 2 2 3" xfId="18450" xr:uid="{00000000-0005-0000-0000-0000C8B40000}"/>
    <cellStyle name="常规 9 4 4 2 2 2 2 2 3 2" xfId="43026" xr:uid="{00000000-0005-0000-0000-0000C9B40000}"/>
    <cellStyle name="常规 9 4 4 2 2 2 2 2 4" xfId="30738" xr:uid="{00000000-0005-0000-0000-0000CAB40000}"/>
    <cellStyle name="常规 9 4 4 2 2 2 2 3" xfId="9234" xr:uid="{00000000-0005-0000-0000-0000CBB40000}"/>
    <cellStyle name="常规 9 4 4 2 2 2 2 3 2" xfId="21522" xr:uid="{00000000-0005-0000-0000-0000CCB40000}"/>
    <cellStyle name="常规 9 4 4 2 2 2 2 3 2 2" xfId="46098" xr:uid="{00000000-0005-0000-0000-0000CDB40000}"/>
    <cellStyle name="常规 9 4 4 2 2 2 2 3 3" xfId="33810" xr:uid="{00000000-0005-0000-0000-0000CEB40000}"/>
    <cellStyle name="常规 9 4 4 2 2 2 2 4" xfId="15378" xr:uid="{00000000-0005-0000-0000-0000CFB40000}"/>
    <cellStyle name="常规 9 4 4 2 2 2 2 4 2" xfId="39954" xr:uid="{00000000-0005-0000-0000-0000D0B40000}"/>
    <cellStyle name="常规 9 4 4 2 2 2 2 5" xfId="27666" xr:uid="{00000000-0005-0000-0000-0000D1B40000}"/>
    <cellStyle name="常规 9 4 4 2 2 2 3" xfId="4626" xr:uid="{00000000-0005-0000-0000-0000D2B40000}"/>
    <cellStyle name="常规 9 4 4 2 2 2 3 2" xfId="10770" xr:uid="{00000000-0005-0000-0000-0000D3B40000}"/>
    <cellStyle name="常规 9 4 4 2 2 2 3 2 2" xfId="23058" xr:uid="{00000000-0005-0000-0000-0000D4B40000}"/>
    <cellStyle name="常规 9 4 4 2 2 2 3 2 2 2" xfId="47634" xr:uid="{00000000-0005-0000-0000-0000D5B40000}"/>
    <cellStyle name="常规 9 4 4 2 2 2 3 2 3" xfId="35346" xr:uid="{00000000-0005-0000-0000-0000D6B40000}"/>
    <cellStyle name="常规 9 4 4 2 2 2 3 3" xfId="16914" xr:uid="{00000000-0005-0000-0000-0000D7B40000}"/>
    <cellStyle name="常规 9 4 4 2 2 2 3 3 2" xfId="41490" xr:uid="{00000000-0005-0000-0000-0000D8B40000}"/>
    <cellStyle name="常规 9 4 4 2 2 2 3 4" xfId="29202" xr:uid="{00000000-0005-0000-0000-0000D9B40000}"/>
    <cellStyle name="常规 9 4 4 2 2 2 4" xfId="7698" xr:uid="{00000000-0005-0000-0000-0000DAB40000}"/>
    <cellStyle name="常规 9 4 4 2 2 2 4 2" xfId="19986" xr:uid="{00000000-0005-0000-0000-0000DBB40000}"/>
    <cellStyle name="常规 9 4 4 2 2 2 4 2 2" xfId="44562" xr:uid="{00000000-0005-0000-0000-0000DCB40000}"/>
    <cellStyle name="常规 9 4 4 2 2 2 4 3" xfId="32274" xr:uid="{00000000-0005-0000-0000-0000DDB40000}"/>
    <cellStyle name="常规 9 4 4 2 2 2 5" xfId="13842" xr:uid="{00000000-0005-0000-0000-0000DEB40000}"/>
    <cellStyle name="常规 9 4 4 2 2 2 5 2" xfId="38418" xr:uid="{00000000-0005-0000-0000-0000DFB40000}"/>
    <cellStyle name="常规 9 4 4 2 2 2 6" xfId="26130" xr:uid="{00000000-0005-0000-0000-0000E0B40000}"/>
    <cellStyle name="常规 9 4 4 2 2 3" xfId="2318" xr:uid="{00000000-0005-0000-0000-0000E1B40000}"/>
    <cellStyle name="常规 9 4 4 2 2 3 2" xfId="5394" xr:uid="{00000000-0005-0000-0000-0000E2B40000}"/>
    <cellStyle name="常规 9 4 4 2 2 3 2 2" xfId="11538" xr:uid="{00000000-0005-0000-0000-0000E3B40000}"/>
    <cellStyle name="常规 9 4 4 2 2 3 2 2 2" xfId="23826" xr:uid="{00000000-0005-0000-0000-0000E4B40000}"/>
    <cellStyle name="常规 9 4 4 2 2 3 2 2 2 2" xfId="48402" xr:uid="{00000000-0005-0000-0000-0000E5B40000}"/>
    <cellStyle name="常规 9 4 4 2 2 3 2 2 3" xfId="36114" xr:uid="{00000000-0005-0000-0000-0000E6B40000}"/>
    <cellStyle name="常规 9 4 4 2 2 3 2 3" xfId="17682" xr:uid="{00000000-0005-0000-0000-0000E7B40000}"/>
    <cellStyle name="常规 9 4 4 2 2 3 2 3 2" xfId="42258" xr:uid="{00000000-0005-0000-0000-0000E8B40000}"/>
    <cellStyle name="常规 9 4 4 2 2 3 2 4" xfId="29970" xr:uid="{00000000-0005-0000-0000-0000E9B40000}"/>
    <cellStyle name="常规 9 4 4 2 2 3 3" xfId="8466" xr:uid="{00000000-0005-0000-0000-0000EAB40000}"/>
    <cellStyle name="常规 9 4 4 2 2 3 3 2" xfId="20754" xr:uid="{00000000-0005-0000-0000-0000EBB40000}"/>
    <cellStyle name="常规 9 4 4 2 2 3 3 2 2" xfId="45330" xr:uid="{00000000-0005-0000-0000-0000ECB40000}"/>
    <cellStyle name="常规 9 4 4 2 2 3 3 3" xfId="33042" xr:uid="{00000000-0005-0000-0000-0000EDB40000}"/>
    <cellStyle name="常规 9 4 4 2 2 3 4" xfId="14610" xr:uid="{00000000-0005-0000-0000-0000EEB40000}"/>
    <cellStyle name="常规 9 4 4 2 2 3 4 2" xfId="39186" xr:uid="{00000000-0005-0000-0000-0000EFB40000}"/>
    <cellStyle name="常规 9 4 4 2 2 3 5" xfId="26898" xr:uid="{00000000-0005-0000-0000-0000F0B40000}"/>
    <cellStyle name="常规 9 4 4 2 2 4" xfId="3858" xr:uid="{00000000-0005-0000-0000-0000F1B40000}"/>
    <cellStyle name="常规 9 4 4 2 2 4 2" xfId="10002" xr:uid="{00000000-0005-0000-0000-0000F2B40000}"/>
    <cellStyle name="常规 9 4 4 2 2 4 2 2" xfId="22290" xr:uid="{00000000-0005-0000-0000-0000F3B40000}"/>
    <cellStyle name="常规 9 4 4 2 2 4 2 2 2" xfId="46866" xr:uid="{00000000-0005-0000-0000-0000F4B40000}"/>
    <cellStyle name="常规 9 4 4 2 2 4 2 3" xfId="34578" xr:uid="{00000000-0005-0000-0000-0000F5B40000}"/>
    <cellStyle name="常规 9 4 4 2 2 4 3" xfId="16146" xr:uid="{00000000-0005-0000-0000-0000F6B40000}"/>
    <cellStyle name="常规 9 4 4 2 2 4 3 2" xfId="40722" xr:uid="{00000000-0005-0000-0000-0000F7B40000}"/>
    <cellStyle name="常规 9 4 4 2 2 4 4" xfId="28434" xr:uid="{00000000-0005-0000-0000-0000F8B40000}"/>
    <cellStyle name="常规 9 4 4 2 2 5" xfId="6930" xr:uid="{00000000-0005-0000-0000-0000F9B40000}"/>
    <cellStyle name="常规 9 4 4 2 2 5 2" xfId="19218" xr:uid="{00000000-0005-0000-0000-0000FAB40000}"/>
    <cellStyle name="常规 9 4 4 2 2 5 2 2" xfId="43794" xr:uid="{00000000-0005-0000-0000-0000FBB40000}"/>
    <cellStyle name="常规 9 4 4 2 2 5 3" xfId="31506" xr:uid="{00000000-0005-0000-0000-0000FCB40000}"/>
    <cellStyle name="常规 9 4 4 2 2 6" xfId="13074" xr:uid="{00000000-0005-0000-0000-0000FDB40000}"/>
    <cellStyle name="常规 9 4 4 2 2 6 2" xfId="37650" xr:uid="{00000000-0005-0000-0000-0000FEB40000}"/>
    <cellStyle name="常规 9 4 4 2 2 7" xfId="25362" xr:uid="{00000000-0005-0000-0000-0000FFB40000}"/>
    <cellStyle name="常规 9 4 4 2 3" xfId="1166" xr:uid="{00000000-0005-0000-0000-000000B50000}"/>
    <cellStyle name="常规 9 4 4 2 3 2" xfId="2702" xr:uid="{00000000-0005-0000-0000-000001B50000}"/>
    <cellStyle name="常规 9 4 4 2 3 2 2" xfId="5778" xr:uid="{00000000-0005-0000-0000-000002B50000}"/>
    <cellStyle name="常规 9 4 4 2 3 2 2 2" xfId="11922" xr:uid="{00000000-0005-0000-0000-000003B50000}"/>
    <cellStyle name="常规 9 4 4 2 3 2 2 2 2" xfId="24210" xr:uid="{00000000-0005-0000-0000-000004B50000}"/>
    <cellStyle name="常规 9 4 4 2 3 2 2 2 2 2" xfId="48786" xr:uid="{00000000-0005-0000-0000-000005B50000}"/>
    <cellStyle name="常规 9 4 4 2 3 2 2 2 3" xfId="36498" xr:uid="{00000000-0005-0000-0000-000006B50000}"/>
    <cellStyle name="常规 9 4 4 2 3 2 2 3" xfId="18066" xr:uid="{00000000-0005-0000-0000-000007B50000}"/>
    <cellStyle name="常规 9 4 4 2 3 2 2 3 2" xfId="42642" xr:uid="{00000000-0005-0000-0000-000008B50000}"/>
    <cellStyle name="常规 9 4 4 2 3 2 2 4" xfId="30354" xr:uid="{00000000-0005-0000-0000-000009B50000}"/>
    <cellStyle name="常规 9 4 4 2 3 2 3" xfId="8850" xr:uid="{00000000-0005-0000-0000-00000AB50000}"/>
    <cellStyle name="常规 9 4 4 2 3 2 3 2" xfId="21138" xr:uid="{00000000-0005-0000-0000-00000BB50000}"/>
    <cellStyle name="常规 9 4 4 2 3 2 3 2 2" xfId="45714" xr:uid="{00000000-0005-0000-0000-00000CB50000}"/>
    <cellStyle name="常规 9 4 4 2 3 2 3 3" xfId="33426" xr:uid="{00000000-0005-0000-0000-00000DB50000}"/>
    <cellStyle name="常规 9 4 4 2 3 2 4" xfId="14994" xr:uid="{00000000-0005-0000-0000-00000EB50000}"/>
    <cellStyle name="常规 9 4 4 2 3 2 4 2" xfId="39570" xr:uid="{00000000-0005-0000-0000-00000FB50000}"/>
    <cellStyle name="常规 9 4 4 2 3 2 5" xfId="27282" xr:uid="{00000000-0005-0000-0000-000010B50000}"/>
    <cellStyle name="常规 9 4 4 2 3 3" xfId="4242" xr:uid="{00000000-0005-0000-0000-000011B50000}"/>
    <cellStyle name="常规 9 4 4 2 3 3 2" xfId="10386" xr:uid="{00000000-0005-0000-0000-000012B50000}"/>
    <cellStyle name="常规 9 4 4 2 3 3 2 2" xfId="22674" xr:uid="{00000000-0005-0000-0000-000013B50000}"/>
    <cellStyle name="常规 9 4 4 2 3 3 2 2 2" xfId="47250" xr:uid="{00000000-0005-0000-0000-000014B50000}"/>
    <cellStyle name="常规 9 4 4 2 3 3 2 3" xfId="34962" xr:uid="{00000000-0005-0000-0000-000015B50000}"/>
    <cellStyle name="常规 9 4 4 2 3 3 3" xfId="16530" xr:uid="{00000000-0005-0000-0000-000016B50000}"/>
    <cellStyle name="常规 9 4 4 2 3 3 3 2" xfId="41106" xr:uid="{00000000-0005-0000-0000-000017B50000}"/>
    <cellStyle name="常规 9 4 4 2 3 3 4" xfId="28818" xr:uid="{00000000-0005-0000-0000-000018B50000}"/>
    <cellStyle name="常规 9 4 4 2 3 4" xfId="7314" xr:uid="{00000000-0005-0000-0000-000019B50000}"/>
    <cellStyle name="常规 9 4 4 2 3 4 2" xfId="19602" xr:uid="{00000000-0005-0000-0000-00001AB50000}"/>
    <cellStyle name="常规 9 4 4 2 3 4 2 2" xfId="44178" xr:uid="{00000000-0005-0000-0000-00001BB50000}"/>
    <cellStyle name="常规 9 4 4 2 3 4 3" xfId="31890" xr:uid="{00000000-0005-0000-0000-00001CB50000}"/>
    <cellStyle name="常规 9 4 4 2 3 5" xfId="13458" xr:uid="{00000000-0005-0000-0000-00001DB50000}"/>
    <cellStyle name="常规 9 4 4 2 3 5 2" xfId="38034" xr:uid="{00000000-0005-0000-0000-00001EB50000}"/>
    <cellStyle name="常规 9 4 4 2 3 6" xfId="25746" xr:uid="{00000000-0005-0000-0000-00001FB50000}"/>
    <cellStyle name="常规 9 4 4 2 4" xfId="1934" xr:uid="{00000000-0005-0000-0000-000020B50000}"/>
    <cellStyle name="常规 9 4 4 2 4 2" xfId="5010" xr:uid="{00000000-0005-0000-0000-000021B50000}"/>
    <cellStyle name="常规 9 4 4 2 4 2 2" xfId="11154" xr:uid="{00000000-0005-0000-0000-000022B50000}"/>
    <cellStyle name="常规 9 4 4 2 4 2 2 2" xfId="23442" xr:uid="{00000000-0005-0000-0000-000023B50000}"/>
    <cellStyle name="常规 9 4 4 2 4 2 2 2 2" xfId="48018" xr:uid="{00000000-0005-0000-0000-000024B50000}"/>
    <cellStyle name="常规 9 4 4 2 4 2 2 3" xfId="35730" xr:uid="{00000000-0005-0000-0000-000025B50000}"/>
    <cellStyle name="常规 9 4 4 2 4 2 3" xfId="17298" xr:uid="{00000000-0005-0000-0000-000026B50000}"/>
    <cellStyle name="常规 9 4 4 2 4 2 3 2" xfId="41874" xr:uid="{00000000-0005-0000-0000-000027B50000}"/>
    <cellStyle name="常规 9 4 4 2 4 2 4" xfId="29586" xr:uid="{00000000-0005-0000-0000-000028B50000}"/>
    <cellStyle name="常规 9 4 4 2 4 3" xfId="8082" xr:uid="{00000000-0005-0000-0000-000029B50000}"/>
    <cellStyle name="常规 9 4 4 2 4 3 2" xfId="20370" xr:uid="{00000000-0005-0000-0000-00002AB50000}"/>
    <cellStyle name="常规 9 4 4 2 4 3 2 2" xfId="44946" xr:uid="{00000000-0005-0000-0000-00002BB50000}"/>
    <cellStyle name="常规 9 4 4 2 4 3 3" xfId="32658" xr:uid="{00000000-0005-0000-0000-00002CB50000}"/>
    <cellStyle name="常规 9 4 4 2 4 4" xfId="14226" xr:uid="{00000000-0005-0000-0000-00002DB50000}"/>
    <cellStyle name="常规 9 4 4 2 4 4 2" xfId="38802" xr:uid="{00000000-0005-0000-0000-00002EB50000}"/>
    <cellStyle name="常规 9 4 4 2 4 5" xfId="26514" xr:uid="{00000000-0005-0000-0000-00002FB50000}"/>
    <cellStyle name="常规 9 4 4 2 5" xfId="3474" xr:uid="{00000000-0005-0000-0000-000030B50000}"/>
    <cellStyle name="常规 9 4 4 2 5 2" xfId="9618" xr:uid="{00000000-0005-0000-0000-000031B50000}"/>
    <cellStyle name="常规 9 4 4 2 5 2 2" xfId="21906" xr:uid="{00000000-0005-0000-0000-000032B50000}"/>
    <cellStyle name="常规 9 4 4 2 5 2 2 2" xfId="46482" xr:uid="{00000000-0005-0000-0000-000033B50000}"/>
    <cellStyle name="常规 9 4 4 2 5 2 3" xfId="34194" xr:uid="{00000000-0005-0000-0000-000034B50000}"/>
    <cellStyle name="常规 9 4 4 2 5 3" xfId="15762" xr:uid="{00000000-0005-0000-0000-000035B50000}"/>
    <cellStyle name="常规 9 4 4 2 5 3 2" xfId="40338" xr:uid="{00000000-0005-0000-0000-000036B50000}"/>
    <cellStyle name="常规 9 4 4 2 5 4" xfId="28050" xr:uid="{00000000-0005-0000-0000-000037B50000}"/>
    <cellStyle name="常规 9 4 4 2 6" xfId="6546" xr:uid="{00000000-0005-0000-0000-000038B50000}"/>
    <cellStyle name="常规 9 4 4 2 6 2" xfId="18834" xr:uid="{00000000-0005-0000-0000-000039B50000}"/>
    <cellStyle name="常规 9 4 4 2 6 2 2" xfId="43410" xr:uid="{00000000-0005-0000-0000-00003AB50000}"/>
    <cellStyle name="常规 9 4 4 2 6 3" xfId="31122" xr:uid="{00000000-0005-0000-0000-00003BB50000}"/>
    <cellStyle name="常规 9 4 4 2 7" xfId="12690" xr:uid="{00000000-0005-0000-0000-00003CB50000}"/>
    <cellStyle name="常规 9 4 4 2 7 2" xfId="37266" xr:uid="{00000000-0005-0000-0000-00003DB50000}"/>
    <cellStyle name="常规 9 4 4 2 8" xfId="24978" xr:uid="{00000000-0005-0000-0000-00003EB50000}"/>
    <cellStyle name="常规 9 4 4 3" xfId="590" xr:uid="{00000000-0005-0000-0000-00003FB50000}"/>
    <cellStyle name="常规 9 4 4 3 2" xfId="1358" xr:uid="{00000000-0005-0000-0000-000040B50000}"/>
    <cellStyle name="常规 9 4 4 3 2 2" xfId="2894" xr:uid="{00000000-0005-0000-0000-000041B50000}"/>
    <cellStyle name="常规 9 4 4 3 2 2 2" xfId="5970" xr:uid="{00000000-0005-0000-0000-000042B50000}"/>
    <cellStyle name="常规 9 4 4 3 2 2 2 2" xfId="12114" xr:uid="{00000000-0005-0000-0000-000043B50000}"/>
    <cellStyle name="常规 9 4 4 3 2 2 2 2 2" xfId="24402" xr:uid="{00000000-0005-0000-0000-000044B50000}"/>
    <cellStyle name="常规 9 4 4 3 2 2 2 2 2 2" xfId="48978" xr:uid="{00000000-0005-0000-0000-000045B50000}"/>
    <cellStyle name="常规 9 4 4 3 2 2 2 2 3" xfId="36690" xr:uid="{00000000-0005-0000-0000-000046B50000}"/>
    <cellStyle name="常规 9 4 4 3 2 2 2 3" xfId="18258" xr:uid="{00000000-0005-0000-0000-000047B50000}"/>
    <cellStyle name="常规 9 4 4 3 2 2 2 3 2" xfId="42834" xr:uid="{00000000-0005-0000-0000-000048B50000}"/>
    <cellStyle name="常规 9 4 4 3 2 2 2 4" xfId="30546" xr:uid="{00000000-0005-0000-0000-000049B50000}"/>
    <cellStyle name="常规 9 4 4 3 2 2 3" xfId="9042" xr:uid="{00000000-0005-0000-0000-00004AB50000}"/>
    <cellStyle name="常规 9 4 4 3 2 2 3 2" xfId="21330" xr:uid="{00000000-0005-0000-0000-00004BB50000}"/>
    <cellStyle name="常规 9 4 4 3 2 2 3 2 2" xfId="45906" xr:uid="{00000000-0005-0000-0000-00004CB50000}"/>
    <cellStyle name="常规 9 4 4 3 2 2 3 3" xfId="33618" xr:uid="{00000000-0005-0000-0000-00004DB50000}"/>
    <cellStyle name="常规 9 4 4 3 2 2 4" xfId="15186" xr:uid="{00000000-0005-0000-0000-00004EB50000}"/>
    <cellStyle name="常规 9 4 4 3 2 2 4 2" xfId="39762" xr:uid="{00000000-0005-0000-0000-00004FB50000}"/>
    <cellStyle name="常规 9 4 4 3 2 2 5" xfId="27474" xr:uid="{00000000-0005-0000-0000-000050B50000}"/>
    <cellStyle name="常规 9 4 4 3 2 3" xfId="4434" xr:uid="{00000000-0005-0000-0000-000051B50000}"/>
    <cellStyle name="常规 9 4 4 3 2 3 2" xfId="10578" xr:uid="{00000000-0005-0000-0000-000052B50000}"/>
    <cellStyle name="常规 9 4 4 3 2 3 2 2" xfId="22866" xr:uid="{00000000-0005-0000-0000-000053B50000}"/>
    <cellStyle name="常规 9 4 4 3 2 3 2 2 2" xfId="47442" xr:uid="{00000000-0005-0000-0000-000054B50000}"/>
    <cellStyle name="常规 9 4 4 3 2 3 2 3" xfId="35154" xr:uid="{00000000-0005-0000-0000-000055B50000}"/>
    <cellStyle name="常规 9 4 4 3 2 3 3" xfId="16722" xr:uid="{00000000-0005-0000-0000-000056B50000}"/>
    <cellStyle name="常规 9 4 4 3 2 3 3 2" xfId="41298" xr:uid="{00000000-0005-0000-0000-000057B50000}"/>
    <cellStyle name="常规 9 4 4 3 2 3 4" xfId="29010" xr:uid="{00000000-0005-0000-0000-000058B50000}"/>
    <cellStyle name="常规 9 4 4 3 2 4" xfId="7506" xr:uid="{00000000-0005-0000-0000-000059B50000}"/>
    <cellStyle name="常规 9 4 4 3 2 4 2" xfId="19794" xr:uid="{00000000-0005-0000-0000-00005AB50000}"/>
    <cellStyle name="常规 9 4 4 3 2 4 2 2" xfId="44370" xr:uid="{00000000-0005-0000-0000-00005BB50000}"/>
    <cellStyle name="常规 9 4 4 3 2 4 3" xfId="32082" xr:uid="{00000000-0005-0000-0000-00005CB50000}"/>
    <cellStyle name="常规 9 4 4 3 2 5" xfId="13650" xr:uid="{00000000-0005-0000-0000-00005DB50000}"/>
    <cellStyle name="常规 9 4 4 3 2 5 2" xfId="38226" xr:uid="{00000000-0005-0000-0000-00005EB50000}"/>
    <cellStyle name="常规 9 4 4 3 2 6" xfId="25938" xr:uid="{00000000-0005-0000-0000-00005FB50000}"/>
    <cellStyle name="常规 9 4 4 3 3" xfId="2126" xr:uid="{00000000-0005-0000-0000-000060B50000}"/>
    <cellStyle name="常规 9 4 4 3 3 2" xfId="5202" xr:uid="{00000000-0005-0000-0000-000061B50000}"/>
    <cellStyle name="常规 9 4 4 3 3 2 2" xfId="11346" xr:uid="{00000000-0005-0000-0000-000062B50000}"/>
    <cellStyle name="常规 9 4 4 3 3 2 2 2" xfId="23634" xr:uid="{00000000-0005-0000-0000-000063B50000}"/>
    <cellStyle name="常规 9 4 4 3 3 2 2 2 2" xfId="48210" xr:uid="{00000000-0005-0000-0000-000064B50000}"/>
    <cellStyle name="常规 9 4 4 3 3 2 2 3" xfId="35922" xr:uid="{00000000-0005-0000-0000-000065B50000}"/>
    <cellStyle name="常规 9 4 4 3 3 2 3" xfId="17490" xr:uid="{00000000-0005-0000-0000-000066B50000}"/>
    <cellStyle name="常规 9 4 4 3 3 2 3 2" xfId="42066" xr:uid="{00000000-0005-0000-0000-000067B50000}"/>
    <cellStyle name="常规 9 4 4 3 3 2 4" xfId="29778" xr:uid="{00000000-0005-0000-0000-000068B50000}"/>
    <cellStyle name="常规 9 4 4 3 3 3" xfId="8274" xr:uid="{00000000-0005-0000-0000-000069B50000}"/>
    <cellStyle name="常规 9 4 4 3 3 3 2" xfId="20562" xr:uid="{00000000-0005-0000-0000-00006AB50000}"/>
    <cellStyle name="常规 9 4 4 3 3 3 2 2" xfId="45138" xr:uid="{00000000-0005-0000-0000-00006BB50000}"/>
    <cellStyle name="常规 9 4 4 3 3 3 3" xfId="32850" xr:uid="{00000000-0005-0000-0000-00006CB50000}"/>
    <cellStyle name="常规 9 4 4 3 3 4" xfId="14418" xr:uid="{00000000-0005-0000-0000-00006DB50000}"/>
    <cellStyle name="常规 9 4 4 3 3 4 2" xfId="38994" xr:uid="{00000000-0005-0000-0000-00006EB50000}"/>
    <cellStyle name="常规 9 4 4 3 3 5" xfId="26706" xr:uid="{00000000-0005-0000-0000-00006FB50000}"/>
    <cellStyle name="常规 9 4 4 3 4" xfId="3666" xr:uid="{00000000-0005-0000-0000-000070B50000}"/>
    <cellStyle name="常规 9 4 4 3 4 2" xfId="9810" xr:uid="{00000000-0005-0000-0000-000071B50000}"/>
    <cellStyle name="常规 9 4 4 3 4 2 2" xfId="22098" xr:uid="{00000000-0005-0000-0000-000072B50000}"/>
    <cellStyle name="常规 9 4 4 3 4 2 2 2" xfId="46674" xr:uid="{00000000-0005-0000-0000-000073B50000}"/>
    <cellStyle name="常规 9 4 4 3 4 2 3" xfId="34386" xr:uid="{00000000-0005-0000-0000-000074B50000}"/>
    <cellStyle name="常规 9 4 4 3 4 3" xfId="15954" xr:uid="{00000000-0005-0000-0000-000075B50000}"/>
    <cellStyle name="常规 9 4 4 3 4 3 2" xfId="40530" xr:uid="{00000000-0005-0000-0000-000076B50000}"/>
    <cellStyle name="常规 9 4 4 3 4 4" xfId="28242" xr:uid="{00000000-0005-0000-0000-000077B50000}"/>
    <cellStyle name="常规 9 4 4 3 5" xfId="6738" xr:uid="{00000000-0005-0000-0000-000078B50000}"/>
    <cellStyle name="常规 9 4 4 3 5 2" xfId="19026" xr:uid="{00000000-0005-0000-0000-000079B50000}"/>
    <cellStyle name="常规 9 4 4 3 5 2 2" xfId="43602" xr:uid="{00000000-0005-0000-0000-00007AB50000}"/>
    <cellStyle name="常规 9 4 4 3 5 3" xfId="31314" xr:uid="{00000000-0005-0000-0000-00007BB50000}"/>
    <cellStyle name="常规 9 4 4 3 6" xfId="12882" xr:uid="{00000000-0005-0000-0000-00007CB50000}"/>
    <cellStyle name="常规 9 4 4 3 6 2" xfId="37458" xr:uid="{00000000-0005-0000-0000-00007DB50000}"/>
    <cellStyle name="常规 9 4 4 3 7" xfId="25170" xr:uid="{00000000-0005-0000-0000-00007EB50000}"/>
    <cellStyle name="常规 9 4 4 4" xfId="974" xr:uid="{00000000-0005-0000-0000-00007FB50000}"/>
    <cellStyle name="常规 9 4 4 4 2" xfId="2510" xr:uid="{00000000-0005-0000-0000-000080B50000}"/>
    <cellStyle name="常规 9 4 4 4 2 2" xfId="5586" xr:uid="{00000000-0005-0000-0000-000081B50000}"/>
    <cellStyle name="常规 9 4 4 4 2 2 2" xfId="11730" xr:uid="{00000000-0005-0000-0000-000082B50000}"/>
    <cellStyle name="常规 9 4 4 4 2 2 2 2" xfId="24018" xr:uid="{00000000-0005-0000-0000-000083B50000}"/>
    <cellStyle name="常规 9 4 4 4 2 2 2 2 2" xfId="48594" xr:uid="{00000000-0005-0000-0000-000084B50000}"/>
    <cellStyle name="常规 9 4 4 4 2 2 2 3" xfId="36306" xr:uid="{00000000-0005-0000-0000-000085B50000}"/>
    <cellStyle name="常规 9 4 4 4 2 2 3" xfId="17874" xr:uid="{00000000-0005-0000-0000-000086B50000}"/>
    <cellStyle name="常规 9 4 4 4 2 2 3 2" xfId="42450" xr:uid="{00000000-0005-0000-0000-000087B50000}"/>
    <cellStyle name="常规 9 4 4 4 2 2 4" xfId="30162" xr:uid="{00000000-0005-0000-0000-000088B50000}"/>
    <cellStyle name="常规 9 4 4 4 2 3" xfId="8658" xr:uid="{00000000-0005-0000-0000-000089B50000}"/>
    <cellStyle name="常规 9 4 4 4 2 3 2" xfId="20946" xr:uid="{00000000-0005-0000-0000-00008AB50000}"/>
    <cellStyle name="常规 9 4 4 4 2 3 2 2" xfId="45522" xr:uid="{00000000-0005-0000-0000-00008BB50000}"/>
    <cellStyle name="常规 9 4 4 4 2 3 3" xfId="33234" xr:uid="{00000000-0005-0000-0000-00008CB50000}"/>
    <cellStyle name="常规 9 4 4 4 2 4" xfId="14802" xr:uid="{00000000-0005-0000-0000-00008DB50000}"/>
    <cellStyle name="常规 9 4 4 4 2 4 2" xfId="39378" xr:uid="{00000000-0005-0000-0000-00008EB50000}"/>
    <cellStyle name="常规 9 4 4 4 2 5" xfId="27090" xr:uid="{00000000-0005-0000-0000-00008FB50000}"/>
    <cellStyle name="常规 9 4 4 4 3" xfId="4050" xr:uid="{00000000-0005-0000-0000-000090B50000}"/>
    <cellStyle name="常规 9 4 4 4 3 2" xfId="10194" xr:uid="{00000000-0005-0000-0000-000091B50000}"/>
    <cellStyle name="常规 9 4 4 4 3 2 2" xfId="22482" xr:uid="{00000000-0005-0000-0000-000092B50000}"/>
    <cellStyle name="常规 9 4 4 4 3 2 2 2" xfId="47058" xr:uid="{00000000-0005-0000-0000-000093B50000}"/>
    <cellStyle name="常规 9 4 4 4 3 2 3" xfId="34770" xr:uid="{00000000-0005-0000-0000-000094B50000}"/>
    <cellStyle name="常规 9 4 4 4 3 3" xfId="16338" xr:uid="{00000000-0005-0000-0000-000095B50000}"/>
    <cellStyle name="常规 9 4 4 4 3 3 2" xfId="40914" xr:uid="{00000000-0005-0000-0000-000096B50000}"/>
    <cellStyle name="常规 9 4 4 4 3 4" xfId="28626" xr:uid="{00000000-0005-0000-0000-000097B50000}"/>
    <cellStyle name="常规 9 4 4 4 4" xfId="7122" xr:uid="{00000000-0005-0000-0000-000098B50000}"/>
    <cellStyle name="常规 9 4 4 4 4 2" xfId="19410" xr:uid="{00000000-0005-0000-0000-000099B50000}"/>
    <cellStyle name="常规 9 4 4 4 4 2 2" xfId="43986" xr:uid="{00000000-0005-0000-0000-00009AB50000}"/>
    <cellStyle name="常规 9 4 4 4 4 3" xfId="31698" xr:uid="{00000000-0005-0000-0000-00009BB50000}"/>
    <cellStyle name="常规 9 4 4 4 5" xfId="13266" xr:uid="{00000000-0005-0000-0000-00009CB50000}"/>
    <cellStyle name="常规 9 4 4 4 5 2" xfId="37842" xr:uid="{00000000-0005-0000-0000-00009DB50000}"/>
    <cellStyle name="常规 9 4 4 4 6" xfId="25554" xr:uid="{00000000-0005-0000-0000-00009EB50000}"/>
    <cellStyle name="常规 9 4 4 5" xfId="1742" xr:uid="{00000000-0005-0000-0000-00009FB50000}"/>
    <cellStyle name="常规 9 4 4 5 2" xfId="4818" xr:uid="{00000000-0005-0000-0000-0000A0B50000}"/>
    <cellStyle name="常规 9 4 4 5 2 2" xfId="10962" xr:uid="{00000000-0005-0000-0000-0000A1B50000}"/>
    <cellStyle name="常规 9 4 4 5 2 2 2" xfId="23250" xr:uid="{00000000-0005-0000-0000-0000A2B50000}"/>
    <cellStyle name="常规 9 4 4 5 2 2 2 2" xfId="47826" xr:uid="{00000000-0005-0000-0000-0000A3B50000}"/>
    <cellStyle name="常规 9 4 4 5 2 2 3" xfId="35538" xr:uid="{00000000-0005-0000-0000-0000A4B50000}"/>
    <cellStyle name="常规 9 4 4 5 2 3" xfId="17106" xr:uid="{00000000-0005-0000-0000-0000A5B50000}"/>
    <cellStyle name="常规 9 4 4 5 2 3 2" xfId="41682" xr:uid="{00000000-0005-0000-0000-0000A6B50000}"/>
    <cellStyle name="常规 9 4 4 5 2 4" xfId="29394" xr:uid="{00000000-0005-0000-0000-0000A7B50000}"/>
    <cellStyle name="常规 9 4 4 5 3" xfId="7890" xr:uid="{00000000-0005-0000-0000-0000A8B50000}"/>
    <cellStyle name="常规 9 4 4 5 3 2" xfId="20178" xr:uid="{00000000-0005-0000-0000-0000A9B50000}"/>
    <cellStyle name="常规 9 4 4 5 3 2 2" xfId="44754" xr:uid="{00000000-0005-0000-0000-0000AAB50000}"/>
    <cellStyle name="常规 9 4 4 5 3 3" xfId="32466" xr:uid="{00000000-0005-0000-0000-0000ABB50000}"/>
    <cellStyle name="常规 9 4 4 5 4" xfId="14034" xr:uid="{00000000-0005-0000-0000-0000ACB50000}"/>
    <cellStyle name="常规 9 4 4 5 4 2" xfId="38610" xr:uid="{00000000-0005-0000-0000-0000ADB50000}"/>
    <cellStyle name="常规 9 4 4 5 5" xfId="26322" xr:uid="{00000000-0005-0000-0000-0000AEB50000}"/>
    <cellStyle name="常规 9 4 4 6" xfId="3282" xr:uid="{00000000-0005-0000-0000-0000AFB50000}"/>
    <cellStyle name="常规 9 4 4 6 2" xfId="9426" xr:uid="{00000000-0005-0000-0000-0000B0B50000}"/>
    <cellStyle name="常规 9 4 4 6 2 2" xfId="21714" xr:uid="{00000000-0005-0000-0000-0000B1B50000}"/>
    <cellStyle name="常规 9 4 4 6 2 2 2" xfId="46290" xr:uid="{00000000-0005-0000-0000-0000B2B50000}"/>
    <cellStyle name="常规 9 4 4 6 2 3" xfId="34002" xr:uid="{00000000-0005-0000-0000-0000B3B50000}"/>
    <cellStyle name="常规 9 4 4 6 3" xfId="15570" xr:uid="{00000000-0005-0000-0000-0000B4B50000}"/>
    <cellStyle name="常规 9 4 4 6 3 2" xfId="40146" xr:uid="{00000000-0005-0000-0000-0000B5B50000}"/>
    <cellStyle name="常规 9 4 4 6 4" xfId="27858" xr:uid="{00000000-0005-0000-0000-0000B6B50000}"/>
    <cellStyle name="常规 9 4 4 7" xfId="6354" xr:uid="{00000000-0005-0000-0000-0000B7B50000}"/>
    <cellStyle name="常规 9 4 4 7 2" xfId="18642" xr:uid="{00000000-0005-0000-0000-0000B8B50000}"/>
    <cellStyle name="常规 9 4 4 7 2 2" xfId="43218" xr:uid="{00000000-0005-0000-0000-0000B9B50000}"/>
    <cellStyle name="常规 9 4 4 7 3" xfId="30930" xr:uid="{00000000-0005-0000-0000-0000BAB50000}"/>
    <cellStyle name="常规 9 4 4 8" xfId="12498" xr:uid="{00000000-0005-0000-0000-0000BBB50000}"/>
    <cellStyle name="常规 9 4 4 8 2" xfId="37074" xr:uid="{00000000-0005-0000-0000-0000BCB50000}"/>
    <cellStyle name="常规 9 4 4 9" xfId="24786" xr:uid="{00000000-0005-0000-0000-0000BDB50000}"/>
    <cellStyle name="常规 9 4 5" xfId="270" xr:uid="{00000000-0005-0000-0000-0000BEB50000}"/>
    <cellStyle name="常规 9 4 5 2" xfId="462" xr:uid="{00000000-0005-0000-0000-0000BFB50000}"/>
    <cellStyle name="常规 9 4 5 2 2" xfId="846" xr:uid="{00000000-0005-0000-0000-0000C0B50000}"/>
    <cellStyle name="常规 9 4 5 2 2 2" xfId="1614" xr:uid="{00000000-0005-0000-0000-0000C1B50000}"/>
    <cellStyle name="常规 9 4 5 2 2 2 2" xfId="3150" xr:uid="{00000000-0005-0000-0000-0000C2B50000}"/>
    <cellStyle name="常规 9 4 5 2 2 2 2 2" xfId="6226" xr:uid="{00000000-0005-0000-0000-0000C3B50000}"/>
    <cellStyle name="常规 9 4 5 2 2 2 2 2 2" xfId="12370" xr:uid="{00000000-0005-0000-0000-0000C4B50000}"/>
    <cellStyle name="常规 9 4 5 2 2 2 2 2 2 2" xfId="24658" xr:uid="{00000000-0005-0000-0000-0000C5B50000}"/>
    <cellStyle name="常规 9 4 5 2 2 2 2 2 2 2 2" xfId="49234" xr:uid="{00000000-0005-0000-0000-0000C6B50000}"/>
    <cellStyle name="常规 9 4 5 2 2 2 2 2 2 3" xfId="36946" xr:uid="{00000000-0005-0000-0000-0000C7B50000}"/>
    <cellStyle name="常规 9 4 5 2 2 2 2 2 3" xfId="18514" xr:uid="{00000000-0005-0000-0000-0000C8B50000}"/>
    <cellStyle name="常规 9 4 5 2 2 2 2 2 3 2" xfId="43090" xr:uid="{00000000-0005-0000-0000-0000C9B50000}"/>
    <cellStyle name="常规 9 4 5 2 2 2 2 2 4" xfId="30802" xr:uid="{00000000-0005-0000-0000-0000CAB50000}"/>
    <cellStyle name="常规 9 4 5 2 2 2 2 3" xfId="9298" xr:uid="{00000000-0005-0000-0000-0000CBB50000}"/>
    <cellStyle name="常规 9 4 5 2 2 2 2 3 2" xfId="21586" xr:uid="{00000000-0005-0000-0000-0000CCB50000}"/>
    <cellStyle name="常规 9 4 5 2 2 2 2 3 2 2" xfId="46162" xr:uid="{00000000-0005-0000-0000-0000CDB50000}"/>
    <cellStyle name="常规 9 4 5 2 2 2 2 3 3" xfId="33874" xr:uid="{00000000-0005-0000-0000-0000CEB50000}"/>
    <cellStyle name="常规 9 4 5 2 2 2 2 4" xfId="15442" xr:uid="{00000000-0005-0000-0000-0000CFB50000}"/>
    <cellStyle name="常规 9 4 5 2 2 2 2 4 2" xfId="40018" xr:uid="{00000000-0005-0000-0000-0000D0B50000}"/>
    <cellStyle name="常规 9 4 5 2 2 2 2 5" xfId="27730" xr:uid="{00000000-0005-0000-0000-0000D1B50000}"/>
    <cellStyle name="常规 9 4 5 2 2 2 3" xfId="4690" xr:uid="{00000000-0005-0000-0000-0000D2B50000}"/>
    <cellStyle name="常规 9 4 5 2 2 2 3 2" xfId="10834" xr:uid="{00000000-0005-0000-0000-0000D3B50000}"/>
    <cellStyle name="常规 9 4 5 2 2 2 3 2 2" xfId="23122" xr:uid="{00000000-0005-0000-0000-0000D4B50000}"/>
    <cellStyle name="常规 9 4 5 2 2 2 3 2 2 2" xfId="47698" xr:uid="{00000000-0005-0000-0000-0000D5B50000}"/>
    <cellStyle name="常规 9 4 5 2 2 2 3 2 3" xfId="35410" xr:uid="{00000000-0005-0000-0000-0000D6B50000}"/>
    <cellStyle name="常规 9 4 5 2 2 2 3 3" xfId="16978" xr:uid="{00000000-0005-0000-0000-0000D7B50000}"/>
    <cellStyle name="常规 9 4 5 2 2 2 3 3 2" xfId="41554" xr:uid="{00000000-0005-0000-0000-0000D8B50000}"/>
    <cellStyle name="常规 9 4 5 2 2 2 3 4" xfId="29266" xr:uid="{00000000-0005-0000-0000-0000D9B50000}"/>
    <cellStyle name="常规 9 4 5 2 2 2 4" xfId="7762" xr:uid="{00000000-0005-0000-0000-0000DAB50000}"/>
    <cellStyle name="常规 9 4 5 2 2 2 4 2" xfId="20050" xr:uid="{00000000-0005-0000-0000-0000DBB50000}"/>
    <cellStyle name="常规 9 4 5 2 2 2 4 2 2" xfId="44626" xr:uid="{00000000-0005-0000-0000-0000DCB50000}"/>
    <cellStyle name="常规 9 4 5 2 2 2 4 3" xfId="32338" xr:uid="{00000000-0005-0000-0000-0000DDB50000}"/>
    <cellStyle name="常规 9 4 5 2 2 2 5" xfId="13906" xr:uid="{00000000-0005-0000-0000-0000DEB50000}"/>
    <cellStyle name="常规 9 4 5 2 2 2 5 2" xfId="38482" xr:uid="{00000000-0005-0000-0000-0000DFB50000}"/>
    <cellStyle name="常规 9 4 5 2 2 2 6" xfId="26194" xr:uid="{00000000-0005-0000-0000-0000E0B50000}"/>
    <cellStyle name="常规 9 4 5 2 2 3" xfId="2382" xr:uid="{00000000-0005-0000-0000-0000E1B50000}"/>
    <cellStyle name="常规 9 4 5 2 2 3 2" xfId="5458" xr:uid="{00000000-0005-0000-0000-0000E2B50000}"/>
    <cellStyle name="常规 9 4 5 2 2 3 2 2" xfId="11602" xr:uid="{00000000-0005-0000-0000-0000E3B50000}"/>
    <cellStyle name="常规 9 4 5 2 2 3 2 2 2" xfId="23890" xr:uid="{00000000-0005-0000-0000-0000E4B50000}"/>
    <cellStyle name="常规 9 4 5 2 2 3 2 2 2 2" xfId="48466" xr:uid="{00000000-0005-0000-0000-0000E5B50000}"/>
    <cellStyle name="常规 9 4 5 2 2 3 2 2 3" xfId="36178" xr:uid="{00000000-0005-0000-0000-0000E6B50000}"/>
    <cellStyle name="常规 9 4 5 2 2 3 2 3" xfId="17746" xr:uid="{00000000-0005-0000-0000-0000E7B50000}"/>
    <cellStyle name="常规 9 4 5 2 2 3 2 3 2" xfId="42322" xr:uid="{00000000-0005-0000-0000-0000E8B50000}"/>
    <cellStyle name="常规 9 4 5 2 2 3 2 4" xfId="30034" xr:uid="{00000000-0005-0000-0000-0000E9B50000}"/>
    <cellStyle name="常规 9 4 5 2 2 3 3" xfId="8530" xr:uid="{00000000-0005-0000-0000-0000EAB50000}"/>
    <cellStyle name="常规 9 4 5 2 2 3 3 2" xfId="20818" xr:uid="{00000000-0005-0000-0000-0000EBB50000}"/>
    <cellStyle name="常规 9 4 5 2 2 3 3 2 2" xfId="45394" xr:uid="{00000000-0005-0000-0000-0000ECB50000}"/>
    <cellStyle name="常规 9 4 5 2 2 3 3 3" xfId="33106" xr:uid="{00000000-0005-0000-0000-0000EDB50000}"/>
    <cellStyle name="常规 9 4 5 2 2 3 4" xfId="14674" xr:uid="{00000000-0005-0000-0000-0000EEB50000}"/>
    <cellStyle name="常规 9 4 5 2 2 3 4 2" xfId="39250" xr:uid="{00000000-0005-0000-0000-0000EFB50000}"/>
    <cellStyle name="常规 9 4 5 2 2 3 5" xfId="26962" xr:uid="{00000000-0005-0000-0000-0000F0B50000}"/>
    <cellStyle name="常规 9 4 5 2 2 4" xfId="3922" xr:uid="{00000000-0005-0000-0000-0000F1B50000}"/>
    <cellStyle name="常规 9 4 5 2 2 4 2" xfId="10066" xr:uid="{00000000-0005-0000-0000-0000F2B50000}"/>
    <cellStyle name="常规 9 4 5 2 2 4 2 2" xfId="22354" xr:uid="{00000000-0005-0000-0000-0000F3B50000}"/>
    <cellStyle name="常规 9 4 5 2 2 4 2 2 2" xfId="46930" xr:uid="{00000000-0005-0000-0000-0000F4B50000}"/>
    <cellStyle name="常规 9 4 5 2 2 4 2 3" xfId="34642" xr:uid="{00000000-0005-0000-0000-0000F5B50000}"/>
    <cellStyle name="常规 9 4 5 2 2 4 3" xfId="16210" xr:uid="{00000000-0005-0000-0000-0000F6B50000}"/>
    <cellStyle name="常规 9 4 5 2 2 4 3 2" xfId="40786" xr:uid="{00000000-0005-0000-0000-0000F7B50000}"/>
    <cellStyle name="常规 9 4 5 2 2 4 4" xfId="28498" xr:uid="{00000000-0005-0000-0000-0000F8B50000}"/>
    <cellStyle name="常规 9 4 5 2 2 5" xfId="6994" xr:uid="{00000000-0005-0000-0000-0000F9B50000}"/>
    <cellStyle name="常规 9 4 5 2 2 5 2" xfId="19282" xr:uid="{00000000-0005-0000-0000-0000FAB50000}"/>
    <cellStyle name="常规 9 4 5 2 2 5 2 2" xfId="43858" xr:uid="{00000000-0005-0000-0000-0000FBB50000}"/>
    <cellStyle name="常规 9 4 5 2 2 5 3" xfId="31570" xr:uid="{00000000-0005-0000-0000-0000FCB50000}"/>
    <cellStyle name="常规 9 4 5 2 2 6" xfId="13138" xr:uid="{00000000-0005-0000-0000-0000FDB50000}"/>
    <cellStyle name="常规 9 4 5 2 2 6 2" xfId="37714" xr:uid="{00000000-0005-0000-0000-0000FEB50000}"/>
    <cellStyle name="常规 9 4 5 2 2 7" xfId="25426" xr:uid="{00000000-0005-0000-0000-0000FFB50000}"/>
    <cellStyle name="常规 9 4 5 2 3" xfId="1230" xr:uid="{00000000-0005-0000-0000-000000B60000}"/>
    <cellStyle name="常规 9 4 5 2 3 2" xfId="2766" xr:uid="{00000000-0005-0000-0000-000001B60000}"/>
    <cellStyle name="常规 9 4 5 2 3 2 2" xfId="5842" xr:uid="{00000000-0005-0000-0000-000002B60000}"/>
    <cellStyle name="常规 9 4 5 2 3 2 2 2" xfId="11986" xr:uid="{00000000-0005-0000-0000-000003B60000}"/>
    <cellStyle name="常规 9 4 5 2 3 2 2 2 2" xfId="24274" xr:uid="{00000000-0005-0000-0000-000004B60000}"/>
    <cellStyle name="常规 9 4 5 2 3 2 2 2 2 2" xfId="48850" xr:uid="{00000000-0005-0000-0000-000005B60000}"/>
    <cellStyle name="常规 9 4 5 2 3 2 2 2 3" xfId="36562" xr:uid="{00000000-0005-0000-0000-000006B60000}"/>
    <cellStyle name="常规 9 4 5 2 3 2 2 3" xfId="18130" xr:uid="{00000000-0005-0000-0000-000007B60000}"/>
    <cellStyle name="常规 9 4 5 2 3 2 2 3 2" xfId="42706" xr:uid="{00000000-0005-0000-0000-000008B60000}"/>
    <cellStyle name="常规 9 4 5 2 3 2 2 4" xfId="30418" xr:uid="{00000000-0005-0000-0000-000009B60000}"/>
    <cellStyle name="常规 9 4 5 2 3 2 3" xfId="8914" xr:uid="{00000000-0005-0000-0000-00000AB60000}"/>
    <cellStyle name="常规 9 4 5 2 3 2 3 2" xfId="21202" xr:uid="{00000000-0005-0000-0000-00000BB60000}"/>
    <cellStyle name="常规 9 4 5 2 3 2 3 2 2" xfId="45778" xr:uid="{00000000-0005-0000-0000-00000CB60000}"/>
    <cellStyle name="常规 9 4 5 2 3 2 3 3" xfId="33490" xr:uid="{00000000-0005-0000-0000-00000DB60000}"/>
    <cellStyle name="常规 9 4 5 2 3 2 4" xfId="15058" xr:uid="{00000000-0005-0000-0000-00000EB60000}"/>
    <cellStyle name="常规 9 4 5 2 3 2 4 2" xfId="39634" xr:uid="{00000000-0005-0000-0000-00000FB60000}"/>
    <cellStyle name="常规 9 4 5 2 3 2 5" xfId="27346" xr:uid="{00000000-0005-0000-0000-000010B60000}"/>
    <cellStyle name="常规 9 4 5 2 3 3" xfId="4306" xr:uid="{00000000-0005-0000-0000-000011B60000}"/>
    <cellStyle name="常规 9 4 5 2 3 3 2" xfId="10450" xr:uid="{00000000-0005-0000-0000-000012B60000}"/>
    <cellStyle name="常规 9 4 5 2 3 3 2 2" xfId="22738" xr:uid="{00000000-0005-0000-0000-000013B60000}"/>
    <cellStyle name="常规 9 4 5 2 3 3 2 2 2" xfId="47314" xr:uid="{00000000-0005-0000-0000-000014B60000}"/>
    <cellStyle name="常规 9 4 5 2 3 3 2 3" xfId="35026" xr:uid="{00000000-0005-0000-0000-000015B60000}"/>
    <cellStyle name="常规 9 4 5 2 3 3 3" xfId="16594" xr:uid="{00000000-0005-0000-0000-000016B60000}"/>
    <cellStyle name="常规 9 4 5 2 3 3 3 2" xfId="41170" xr:uid="{00000000-0005-0000-0000-000017B60000}"/>
    <cellStyle name="常规 9 4 5 2 3 3 4" xfId="28882" xr:uid="{00000000-0005-0000-0000-000018B60000}"/>
    <cellStyle name="常规 9 4 5 2 3 4" xfId="7378" xr:uid="{00000000-0005-0000-0000-000019B60000}"/>
    <cellStyle name="常规 9 4 5 2 3 4 2" xfId="19666" xr:uid="{00000000-0005-0000-0000-00001AB60000}"/>
    <cellStyle name="常规 9 4 5 2 3 4 2 2" xfId="44242" xr:uid="{00000000-0005-0000-0000-00001BB60000}"/>
    <cellStyle name="常规 9 4 5 2 3 4 3" xfId="31954" xr:uid="{00000000-0005-0000-0000-00001CB60000}"/>
    <cellStyle name="常规 9 4 5 2 3 5" xfId="13522" xr:uid="{00000000-0005-0000-0000-00001DB60000}"/>
    <cellStyle name="常规 9 4 5 2 3 5 2" xfId="38098" xr:uid="{00000000-0005-0000-0000-00001EB60000}"/>
    <cellStyle name="常规 9 4 5 2 3 6" xfId="25810" xr:uid="{00000000-0005-0000-0000-00001FB60000}"/>
    <cellStyle name="常规 9 4 5 2 4" xfId="1998" xr:uid="{00000000-0005-0000-0000-000020B60000}"/>
    <cellStyle name="常规 9 4 5 2 4 2" xfId="5074" xr:uid="{00000000-0005-0000-0000-000021B60000}"/>
    <cellStyle name="常规 9 4 5 2 4 2 2" xfId="11218" xr:uid="{00000000-0005-0000-0000-000022B60000}"/>
    <cellStyle name="常规 9 4 5 2 4 2 2 2" xfId="23506" xr:uid="{00000000-0005-0000-0000-000023B60000}"/>
    <cellStyle name="常规 9 4 5 2 4 2 2 2 2" xfId="48082" xr:uid="{00000000-0005-0000-0000-000024B60000}"/>
    <cellStyle name="常规 9 4 5 2 4 2 2 3" xfId="35794" xr:uid="{00000000-0005-0000-0000-000025B60000}"/>
    <cellStyle name="常规 9 4 5 2 4 2 3" xfId="17362" xr:uid="{00000000-0005-0000-0000-000026B60000}"/>
    <cellStyle name="常规 9 4 5 2 4 2 3 2" xfId="41938" xr:uid="{00000000-0005-0000-0000-000027B60000}"/>
    <cellStyle name="常规 9 4 5 2 4 2 4" xfId="29650" xr:uid="{00000000-0005-0000-0000-000028B60000}"/>
    <cellStyle name="常规 9 4 5 2 4 3" xfId="8146" xr:uid="{00000000-0005-0000-0000-000029B60000}"/>
    <cellStyle name="常规 9 4 5 2 4 3 2" xfId="20434" xr:uid="{00000000-0005-0000-0000-00002AB60000}"/>
    <cellStyle name="常规 9 4 5 2 4 3 2 2" xfId="45010" xr:uid="{00000000-0005-0000-0000-00002BB60000}"/>
    <cellStyle name="常规 9 4 5 2 4 3 3" xfId="32722" xr:uid="{00000000-0005-0000-0000-00002CB60000}"/>
    <cellStyle name="常规 9 4 5 2 4 4" xfId="14290" xr:uid="{00000000-0005-0000-0000-00002DB60000}"/>
    <cellStyle name="常规 9 4 5 2 4 4 2" xfId="38866" xr:uid="{00000000-0005-0000-0000-00002EB60000}"/>
    <cellStyle name="常规 9 4 5 2 4 5" xfId="26578" xr:uid="{00000000-0005-0000-0000-00002FB60000}"/>
    <cellStyle name="常规 9 4 5 2 5" xfId="3538" xr:uid="{00000000-0005-0000-0000-000030B60000}"/>
    <cellStyle name="常规 9 4 5 2 5 2" xfId="9682" xr:uid="{00000000-0005-0000-0000-000031B60000}"/>
    <cellStyle name="常规 9 4 5 2 5 2 2" xfId="21970" xr:uid="{00000000-0005-0000-0000-000032B60000}"/>
    <cellStyle name="常规 9 4 5 2 5 2 2 2" xfId="46546" xr:uid="{00000000-0005-0000-0000-000033B60000}"/>
    <cellStyle name="常规 9 4 5 2 5 2 3" xfId="34258" xr:uid="{00000000-0005-0000-0000-000034B60000}"/>
    <cellStyle name="常规 9 4 5 2 5 3" xfId="15826" xr:uid="{00000000-0005-0000-0000-000035B60000}"/>
    <cellStyle name="常规 9 4 5 2 5 3 2" xfId="40402" xr:uid="{00000000-0005-0000-0000-000036B60000}"/>
    <cellStyle name="常规 9 4 5 2 5 4" xfId="28114" xr:uid="{00000000-0005-0000-0000-000037B60000}"/>
    <cellStyle name="常规 9 4 5 2 6" xfId="6610" xr:uid="{00000000-0005-0000-0000-000038B60000}"/>
    <cellStyle name="常规 9 4 5 2 6 2" xfId="18898" xr:uid="{00000000-0005-0000-0000-000039B60000}"/>
    <cellStyle name="常规 9 4 5 2 6 2 2" xfId="43474" xr:uid="{00000000-0005-0000-0000-00003AB60000}"/>
    <cellStyle name="常规 9 4 5 2 6 3" xfId="31186" xr:uid="{00000000-0005-0000-0000-00003BB60000}"/>
    <cellStyle name="常规 9 4 5 2 7" xfId="12754" xr:uid="{00000000-0005-0000-0000-00003CB60000}"/>
    <cellStyle name="常规 9 4 5 2 7 2" xfId="37330" xr:uid="{00000000-0005-0000-0000-00003DB60000}"/>
    <cellStyle name="常规 9 4 5 2 8" xfId="25042" xr:uid="{00000000-0005-0000-0000-00003EB60000}"/>
    <cellStyle name="常规 9 4 5 3" xfId="654" xr:uid="{00000000-0005-0000-0000-00003FB60000}"/>
    <cellStyle name="常规 9 4 5 3 2" xfId="1422" xr:uid="{00000000-0005-0000-0000-000040B60000}"/>
    <cellStyle name="常规 9 4 5 3 2 2" xfId="2958" xr:uid="{00000000-0005-0000-0000-000041B60000}"/>
    <cellStyle name="常规 9 4 5 3 2 2 2" xfId="6034" xr:uid="{00000000-0005-0000-0000-000042B60000}"/>
    <cellStyle name="常规 9 4 5 3 2 2 2 2" xfId="12178" xr:uid="{00000000-0005-0000-0000-000043B60000}"/>
    <cellStyle name="常规 9 4 5 3 2 2 2 2 2" xfId="24466" xr:uid="{00000000-0005-0000-0000-000044B60000}"/>
    <cellStyle name="常规 9 4 5 3 2 2 2 2 2 2" xfId="49042" xr:uid="{00000000-0005-0000-0000-000045B60000}"/>
    <cellStyle name="常规 9 4 5 3 2 2 2 2 3" xfId="36754" xr:uid="{00000000-0005-0000-0000-000046B60000}"/>
    <cellStyle name="常规 9 4 5 3 2 2 2 3" xfId="18322" xr:uid="{00000000-0005-0000-0000-000047B60000}"/>
    <cellStyle name="常规 9 4 5 3 2 2 2 3 2" xfId="42898" xr:uid="{00000000-0005-0000-0000-000048B60000}"/>
    <cellStyle name="常规 9 4 5 3 2 2 2 4" xfId="30610" xr:uid="{00000000-0005-0000-0000-000049B60000}"/>
    <cellStyle name="常规 9 4 5 3 2 2 3" xfId="9106" xr:uid="{00000000-0005-0000-0000-00004AB60000}"/>
    <cellStyle name="常规 9 4 5 3 2 2 3 2" xfId="21394" xr:uid="{00000000-0005-0000-0000-00004BB60000}"/>
    <cellStyle name="常规 9 4 5 3 2 2 3 2 2" xfId="45970" xr:uid="{00000000-0005-0000-0000-00004CB60000}"/>
    <cellStyle name="常规 9 4 5 3 2 2 3 3" xfId="33682" xr:uid="{00000000-0005-0000-0000-00004DB60000}"/>
    <cellStyle name="常规 9 4 5 3 2 2 4" xfId="15250" xr:uid="{00000000-0005-0000-0000-00004EB60000}"/>
    <cellStyle name="常规 9 4 5 3 2 2 4 2" xfId="39826" xr:uid="{00000000-0005-0000-0000-00004FB60000}"/>
    <cellStyle name="常规 9 4 5 3 2 2 5" xfId="27538" xr:uid="{00000000-0005-0000-0000-000050B60000}"/>
    <cellStyle name="常规 9 4 5 3 2 3" xfId="4498" xr:uid="{00000000-0005-0000-0000-000051B60000}"/>
    <cellStyle name="常规 9 4 5 3 2 3 2" xfId="10642" xr:uid="{00000000-0005-0000-0000-000052B60000}"/>
    <cellStyle name="常规 9 4 5 3 2 3 2 2" xfId="22930" xr:uid="{00000000-0005-0000-0000-000053B60000}"/>
    <cellStyle name="常规 9 4 5 3 2 3 2 2 2" xfId="47506" xr:uid="{00000000-0005-0000-0000-000054B60000}"/>
    <cellStyle name="常规 9 4 5 3 2 3 2 3" xfId="35218" xr:uid="{00000000-0005-0000-0000-000055B60000}"/>
    <cellStyle name="常规 9 4 5 3 2 3 3" xfId="16786" xr:uid="{00000000-0005-0000-0000-000056B60000}"/>
    <cellStyle name="常规 9 4 5 3 2 3 3 2" xfId="41362" xr:uid="{00000000-0005-0000-0000-000057B60000}"/>
    <cellStyle name="常规 9 4 5 3 2 3 4" xfId="29074" xr:uid="{00000000-0005-0000-0000-000058B60000}"/>
    <cellStyle name="常规 9 4 5 3 2 4" xfId="7570" xr:uid="{00000000-0005-0000-0000-000059B60000}"/>
    <cellStyle name="常规 9 4 5 3 2 4 2" xfId="19858" xr:uid="{00000000-0005-0000-0000-00005AB60000}"/>
    <cellStyle name="常规 9 4 5 3 2 4 2 2" xfId="44434" xr:uid="{00000000-0005-0000-0000-00005BB60000}"/>
    <cellStyle name="常规 9 4 5 3 2 4 3" xfId="32146" xr:uid="{00000000-0005-0000-0000-00005CB60000}"/>
    <cellStyle name="常规 9 4 5 3 2 5" xfId="13714" xr:uid="{00000000-0005-0000-0000-00005DB60000}"/>
    <cellStyle name="常规 9 4 5 3 2 5 2" xfId="38290" xr:uid="{00000000-0005-0000-0000-00005EB60000}"/>
    <cellStyle name="常规 9 4 5 3 2 6" xfId="26002" xr:uid="{00000000-0005-0000-0000-00005FB60000}"/>
    <cellStyle name="常规 9 4 5 3 3" xfId="2190" xr:uid="{00000000-0005-0000-0000-000060B60000}"/>
    <cellStyle name="常规 9 4 5 3 3 2" xfId="5266" xr:uid="{00000000-0005-0000-0000-000061B60000}"/>
    <cellStyle name="常规 9 4 5 3 3 2 2" xfId="11410" xr:uid="{00000000-0005-0000-0000-000062B60000}"/>
    <cellStyle name="常规 9 4 5 3 3 2 2 2" xfId="23698" xr:uid="{00000000-0005-0000-0000-000063B60000}"/>
    <cellStyle name="常规 9 4 5 3 3 2 2 2 2" xfId="48274" xr:uid="{00000000-0005-0000-0000-000064B60000}"/>
    <cellStyle name="常规 9 4 5 3 3 2 2 3" xfId="35986" xr:uid="{00000000-0005-0000-0000-000065B60000}"/>
    <cellStyle name="常规 9 4 5 3 3 2 3" xfId="17554" xr:uid="{00000000-0005-0000-0000-000066B60000}"/>
    <cellStyle name="常规 9 4 5 3 3 2 3 2" xfId="42130" xr:uid="{00000000-0005-0000-0000-000067B60000}"/>
    <cellStyle name="常规 9 4 5 3 3 2 4" xfId="29842" xr:uid="{00000000-0005-0000-0000-000068B60000}"/>
    <cellStyle name="常规 9 4 5 3 3 3" xfId="8338" xr:uid="{00000000-0005-0000-0000-000069B60000}"/>
    <cellStyle name="常规 9 4 5 3 3 3 2" xfId="20626" xr:uid="{00000000-0005-0000-0000-00006AB60000}"/>
    <cellStyle name="常规 9 4 5 3 3 3 2 2" xfId="45202" xr:uid="{00000000-0005-0000-0000-00006BB60000}"/>
    <cellStyle name="常规 9 4 5 3 3 3 3" xfId="32914" xr:uid="{00000000-0005-0000-0000-00006CB60000}"/>
    <cellStyle name="常规 9 4 5 3 3 4" xfId="14482" xr:uid="{00000000-0005-0000-0000-00006DB60000}"/>
    <cellStyle name="常规 9 4 5 3 3 4 2" xfId="39058" xr:uid="{00000000-0005-0000-0000-00006EB60000}"/>
    <cellStyle name="常规 9 4 5 3 3 5" xfId="26770" xr:uid="{00000000-0005-0000-0000-00006FB60000}"/>
    <cellStyle name="常规 9 4 5 3 4" xfId="3730" xr:uid="{00000000-0005-0000-0000-000070B60000}"/>
    <cellStyle name="常规 9 4 5 3 4 2" xfId="9874" xr:uid="{00000000-0005-0000-0000-000071B60000}"/>
    <cellStyle name="常规 9 4 5 3 4 2 2" xfId="22162" xr:uid="{00000000-0005-0000-0000-000072B60000}"/>
    <cellStyle name="常规 9 4 5 3 4 2 2 2" xfId="46738" xr:uid="{00000000-0005-0000-0000-000073B60000}"/>
    <cellStyle name="常规 9 4 5 3 4 2 3" xfId="34450" xr:uid="{00000000-0005-0000-0000-000074B60000}"/>
    <cellStyle name="常规 9 4 5 3 4 3" xfId="16018" xr:uid="{00000000-0005-0000-0000-000075B60000}"/>
    <cellStyle name="常规 9 4 5 3 4 3 2" xfId="40594" xr:uid="{00000000-0005-0000-0000-000076B60000}"/>
    <cellStyle name="常规 9 4 5 3 4 4" xfId="28306" xr:uid="{00000000-0005-0000-0000-000077B60000}"/>
    <cellStyle name="常规 9 4 5 3 5" xfId="6802" xr:uid="{00000000-0005-0000-0000-000078B60000}"/>
    <cellStyle name="常规 9 4 5 3 5 2" xfId="19090" xr:uid="{00000000-0005-0000-0000-000079B60000}"/>
    <cellStyle name="常规 9 4 5 3 5 2 2" xfId="43666" xr:uid="{00000000-0005-0000-0000-00007AB60000}"/>
    <cellStyle name="常规 9 4 5 3 5 3" xfId="31378" xr:uid="{00000000-0005-0000-0000-00007BB60000}"/>
    <cellStyle name="常规 9 4 5 3 6" xfId="12946" xr:uid="{00000000-0005-0000-0000-00007CB60000}"/>
    <cellStyle name="常规 9 4 5 3 6 2" xfId="37522" xr:uid="{00000000-0005-0000-0000-00007DB60000}"/>
    <cellStyle name="常规 9 4 5 3 7" xfId="25234" xr:uid="{00000000-0005-0000-0000-00007EB60000}"/>
    <cellStyle name="常规 9 4 5 4" xfId="1038" xr:uid="{00000000-0005-0000-0000-00007FB60000}"/>
    <cellStyle name="常规 9 4 5 4 2" xfId="2574" xr:uid="{00000000-0005-0000-0000-000080B60000}"/>
    <cellStyle name="常规 9 4 5 4 2 2" xfId="5650" xr:uid="{00000000-0005-0000-0000-000081B60000}"/>
    <cellStyle name="常规 9 4 5 4 2 2 2" xfId="11794" xr:uid="{00000000-0005-0000-0000-000082B60000}"/>
    <cellStyle name="常规 9 4 5 4 2 2 2 2" xfId="24082" xr:uid="{00000000-0005-0000-0000-000083B60000}"/>
    <cellStyle name="常规 9 4 5 4 2 2 2 2 2" xfId="48658" xr:uid="{00000000-0005-0000-0000-000084B60000}"/>
    <cellStyle name="常规 9 4 5 4 2 2 2 3" xfId="36370" xr:uid="{00000000-0005-0000-0000-000085B60000}"/>
    <cellStyle name="常规 9 4 5 4 2 2 3" xfId="17938" xr:uid="{00000000-0005-0000-0000-000086B60000}"/>
    <cellStyle name="常规 9 4 5 4 2 2 3 2" xfId="42514" xr:uid="{00000000-0005-0000-0000-000087B60000}"/>
    <cellStyle name="常规 9 4 5 4 2 2 4" xfId="30226" xr:uid="{00000000-0005-0000-0000-000088B60000}"/>
    <cellStyle name="常规 9 4 5 4 2 3" xfId="8722" xr:uid="{00000000-0005-0000-0000-000089B60000}"/>
    <cellStyle name="常规 9 4 5 4 2 3 2" xfId="21010" xr:uid="{00000000-0005-0000-0000-00008AB60000}"/>
    <cellStyle name="常规 9 4 5 4 2 3 2 2" xfId="45586" xr:uid="{00000000-0005-0000-0000-00008BB60000}"/>
    <cellStyle name="常规 9 4 5 4 2 3 3" xfId="33298" xr:uid="{00000000-0005-0000-0000-00008CB60000}"/>
    <cellStyle name="常规 9 4 5 4 2 4" xfId="14866" xr:uid="{00000000-0005-0000-0000-00008DB60000}"/>
    <cellStyle name="常规 9 4 5 4 2 4 2" xfId="39442" xr:uid="{00000000-0005-0000-0000-00008EB60000}"/>
    <cellStyle name="常规 9 4 5 4 2 5" xfId="27154" xr:uid="{00000000-0005-0000-0000-00008FB60000}"/>
    <cellStyle name="常规 9 4 5 4 3" xfId="4114" xr:uid="{00000000-0005-0000-0000-000090B60000}"/>
    <cellStyle name="常规 9 4 5 4 3 2" xfId="10258" xr:uid="{00000000-0005-0000-0000-000091B60000}"/>
    <cellStyle name="常规 9 4 5 4 3 2 2" xfId="22546" xr:uid="{00000000-0005-0000-0000-000092B60000}"/>
    <cellStyle name="常规 9 4 5 4 3 2 2 2" xfId="47122" xr:uid="{00000000-0005-0000-0000-000093B60000}"/>
    <cellStyle name="常规 9 4 5 4 3 2 3" xfId="34834" xr:uid="{00000000-0005-0000-0000-000094B60000}"/>
    <cellStyle name="常规 9 4 5 4 3 3" xfId="16402" xr:uid="{00000000-0005-0000-0000-000095B60000}"/>
    <cellStyle name="常规 9 4 5 4 3 3 2" xfId="40978" xr:uid="{00000000-0005-0000-0000-000096B60000}"/>
    <cellStyle name="常规 9 4 5 4 3 4" xfId="28690" xr:uid="{00000000-0005-0000-0000-000097B60000}"/>
    <cellStyle name="常规 9 4 5 4 4" xfId="7186" xr:uid="{00000000-0005-0000-0000-000098B60000}"/>
    <cellStyle name="常规 9 4 5 4 4 2" xfId="19474" xr:uid="{00000000-0005-0000-0000-000099B60000}"/>
    <cellStyle name="常规 9 4 5 4 4 2 2" xfId="44050" xr:uid="{00000000-0005-0000-0000-00009AB60000}"/>
    <cellStyle name="常规 9 4 5 4 4 3" xfId="31762" xr:uid="{00000000-0005-0000-0000-00009BB60000}"/>
    <cellStyle name="常规 9 4 5 4 5" xfId="13330" xr:uid="{00000000-0005-0000-0000-00009CB60000}"/>
    <cellStyle name="常规 9 4 5 4 5 2" xfId="37906" xr:uid="{00000000-0005-0000-0000-00009DB60000}"/>
    <cellStyle name="常规 9 4 5 4 6" xfId="25618" xr:uid="{00000000-0005-0000-0000-00009EB60000}"/>
    <cellStyle name="常规 9 4 5 5" xfId="1806" xr:uid="{00000000-0005-0000-0000-00009FB60000}"/>
    <cellStyle name="常规 9 4 5 5 2" xfId="4882" xr:uid="{00000000-0005-0000-0000-0000A0B60000}"/>
    <cellStyle name="常规 9 4 5 5 2 2" xfId="11026" xr:uid="{00000000-0005-0000-0000-0000A1B60000}"/>
    <cellStyle name="常规 9 4 5 5 2 2 2" xfId="23314" xr:uid="{00000000-0005-0000-0000-0000A2B60000}"/>
    <cellStyle name="常规 9 4 5 5 2 2 2 2" xfId="47890" xr:uid="{00000000-0005-0000-0000-0000A3B60000}"/>
    <cellStyle name="常规 9 4 5 5 2 2 3" xfId="35602" xr:uid="{00000000-0005-0000-0000-0000A4B60000}"/>
    <cellStyle name="常规 9 4 5 5 2 3" xfId="17170" xr:uid="{00000000-0005-0000-0000-0000A5B60000}"/>
    <cellStyle name="常规 9 4 5 5 2 3 2" xfId="41746" xr:uid="{00000000-0005-0000-0000-0000A6B60000}"/>
    <cellStyle name="常规 9 4 5 5 2 4" xfId="29458" xr:uid="{00000000-0005-0000-0000-0000A7B60000}"/>
    <cellStyle name="常规 9 4 5 5 3" xfId="7954" xr:uid="{00000000-0005-0000-0000-0000A8B60000}"/>
    <cellStyle name="常规 9 4 5 5 3 2" xfId="20242" xr:uid="{00000000-0005-0000-0000-0000A9B60000}"/>
    <cellStyle name="常规 9 4 5 5 3 2 2" xfId="44818" xr:uid="{00000000-0005-0000-0000-0000AAB60000}"/>
    <cellStyle name="常规 9 4 5 5 3 3" xfId="32530" xr:uid="{00000000-0005-0000-0000-0000ABB60000}"/>
    <cellStyle name="常规 9 4 5 5 4" xfId="14098" xr:uid="{00000000-0005-0000-0000-0000ACB60000}"/>
    <cellStyle name="常规 9 4 5 5 4 2" xfId="38674" xr:uid="{00000000-0005-0000-0000-0000ADB60000}"/>
    <cellStyle name="常规 9 4 5 5 5" xfId="26386" xr:uid="{00000000-0005-0000-0000-0000AEB60000}"/>
    <cellStyle name="常规 9 4 5 6" xfId="3346" xr:uid="{00000000-0005-0000-0000-0000AFB60000}"/>
    <cellStyle name="常规 9 4 5 6 2" xfId="9490" xr:uid="{00000000-0005-0000-0000-0000B0B60000}"/>
    <cellStyle name="常规 9 4 5 6 2 2" xfId="21778" xr:uid="{00000000-0005-0000-0000-0000B1B60000}"/>
    <cellStyle name="常规 9 4 5 6 2 2 2" xfId="46354" xr:uid="{00000000-0005-0000-0000-0000B2B60000}"/>
    <cellStyle name="常规 9 4 5 6 2 3" xfId="34066" xr:uid="{00000000-0005-0000-0000-0000B3B60000}"/>
    <cellStyle name="常规 9 4 5 6 3" xfId="15634" xr:uid="{00000000-0005-0000-0000-0000B4B60000}"/>
    <cellStyle name="常规 9 4 5 6 3 2" xfId="40210" xr:uid="{00000000-0005-0000-0000-0000B5B60000}"/>
    <cellStyle name="常规 9 4 5 6 4" xfId="27922" xr:uid="{00000000-0005-0000-0000-0000B6B60000}"/>
    <cellStyle name="常规 9 4 5 7" xfId="6418" xr:uid="{00000000-0005-0000-0000-0000B7B60000}"/>
    <cellStyle name="常规 9 4 5 7 2" xfId="18706" xr:uid="{00000000-0005-0000-0000-0000B8B60000}"/>
    <cellStyle name="常规 9 4 5 7 2 2" xfId="43282" xr:uid="{00000000-0005-0000-0000-0000B9B60000}"/>
    <cellStyle name="常规 9 4 5 7 3" xfId="30994" xr:uid="{00000000-0005-0000-0000-0000BAB60000}"/>
    <cellStyle name="常规 9 4 5 8" xfId="12562" xr:uid="{00000000-0005-0000-0000-0000BBB60000}"/>
    <cellStyle name="常规 9 4 5 8 2" xfId="37138" xr:uid="{00000000-0005-0000-0000-0000BCB60000}"/>
    <cellStyle name="常规 9 4 5 9" xfId="24850" xr:uid="{00000000-0005-0000-0000-0000BDB60000}"/>
    <cellStyle name="常规 9 4 6" xfId="334" xr:uid="{00000000-0005-0000-0000-0000BEB60000}"/>
    <cellStyle name="常规 9 4 6 2" xfId="718" xr:uid="{00000000-0005-0000-0000-0000BFB60000}"/>
    <cellStyle name="常规 9 4 6 2 2" xfId="1486" xr:uid="{00000000-0005-0000-0000-0000C0B60000}"/>
    <cellStyle name="常规 9 4 6 2 2 2" xfId="3022" xr:uid="{00000000-0005-0000-0000-0000C1B60000}"/>
    <cellStyle name="常规 9 4 6 2 2 2 2" xfId="6098" xr:uid="{00000000-0005-0000-0000-0000C2B60000}"/>
    <cellStyle name="常规 9 4 6 2 2 2 2 2" xfId="12242" xr:uid="{00000000-0005-0000-0000-0000C3B60000}"/>
    <cellStyle name="常规 9 4 6 2 2 2 2 2 2" xfId="24530" xr:uid="{00000000-0005-0000-0000-0000C4B60000}"/>
    <cellStyle name="常规 9 4 6 2 2 2 2 2 2 2" xfId="49106" xr:uid="{00000000-0005-0000-0000-0000C5B60000}"/>
    <cellStyle name="常规 9 4 6 2 2 2 2 2 3" xfId="36818" xr:uid="{00000000-0005-0000-0000-0000C6B60000}"/>
    <cellStyle name="常规 9 4 6 2 2 2 2 3" xfId="18386" xr:uid="{00000000-0005-0000-0000-0000C7B60000}"/>
    <cellStyle name="常规 9 4 6 2 2 2 2 3 2" xfId="42962" xr:uid="{00000000-0005-0000-0000-0000C8B60000}"/>
    <cellStyle name="常规 9 4 6 2 2 2 2 4" xfId="30674" xr:uid="{00000000-0005-0000-0000-0000C9B60000}"/>
    <cellStyle name="常规 9 4 6 2 2 2 3" xfId="9170" xr:uid="{00000000-0005-0000-0000-0000CAB60000}"/>
    <cellStyle name="常规 9 4 6 2 2 2 3 2" xfId="21458" xr:uid="{00000000-0005-0000-0000-0000CBB60000}"/>
    <cellStyle name="常规 9 4 6 2 2 2 3 2 2" xfId="46034" xr:uid="{00000000-0005-0000-0000-0000CCB60000}"/>
    <cellStyle name="常规 9 4 6 2 2 2 3 3" xfId="33746" xr:uid="{00000000-0005-0000-0000-0000CDB60000}"/>
    <cellStyle name="常规 9 4 6 2 2 2 4" xfId="15314" xr:uid="{00000000-0005-0000-0000-0000CEB60000}"/>
    <cellStyle name="常规 9 4 6 2 2 2 4 2" xfId="39890" xr:uid="{00000000-0005-0000-0000-0000CFB60000}"/>
    <cellStyle name="常规 9 4 6 2 2 2 5" xfId="27602" xr:uid="{00000000-0005-0000-0000-0000D0B60000}"/>
    <cellStyle name="常规 9 4 6 2 2 3" xfId="4562" xr:uid="{00000000-0005-0000-0000-0000D1B60000}"/>
    <cellStyle name="常规 9 4 6 2 2 3 2" xfId="10706" xr:uid="{00000000-0005-0000-0000-0000D2B60000}"/>
    <cellStyle name="常规 9 4 6 2 2 3 2 2" xfId="22994" xr:uid="{00000000-0005-0000-0000-0000D3B60000}"/>
    <cellStyle name="常规 9 4 6 2 2 3 2 2 2" xfId="47570" xr:uid="{00000000-0005-0000-0000-0000D4B60000}"/>
    <cellStyle name="常规 9 4 6 2 2 3 2 3" xfId="35282" xr:uid="{00000000-0005-0000-0000-0000D5B60000}"/>
    <cellStyle name="常规 9 4 6 2 2 3 3" xfId="16850" xr:uid="{00000000-0005-0000-0000-0000D6B60000}"/>
    <cellStyle name="常规 9 4 6 2 2 3 3 2" xfId="41426" xr:uid="{00000000-0005-0000-0000-0000D7B60000}"/>
    <cellStyle name="常规 9 4 6 2 2 3 4" xfId="29138" xr:uid="{00000000-0005-0000-0000-0000D8B60000}"/>
    <cellStyle name="常规 9 4 6 2 2 4" xfId="7634" xr:uid="{00000000-0005-0000-0000-0000D9B60000}"/>
    <cellStyle name="常规 9 4 6 2 2 4 2" xfId="19922" xr:uid="{00000000-0005-0000-0000-0000DAB60000}"/>
    <cellStyle name="常规 9 4 6 2 2 4 2 2" xfId="44498" xr:uid="{00000000-0005-0000-0000-0000DBB60000}"/>
    <cellStyle name="常规 9 4 6 2 2 4 3" xfId="32210" xr:uid="{00000000-0005-0000-0000-0000DCB60000}"/>
    <cellStyle name="常规 9 4 6 2 2 5" xfId="13778" xr:uid="{00000000-0005-0000-0000-0000DDB60000}"/>
    <cellStyle name="常规 9 4 6 2 2 5 2" xfId="38354" xr:uid="{00000000-0005-0000-0000-0000DEB60000}"/>
    <cellStyle name="常规 9 4 6 2 2 6" xfId="26066" xr:uid="{00000000-0005-0000-0000-0000DFB60000}"/>
    <cellStyle name="常规 9 4 6 2 3" xfId="2254" xr:uid="{00000000-0005-0000-0000-0000E0B60000}"/>
    <cellStyle name="常规 9 4 6 2 3 2" xfId="5330" xr:uid="{00000000-0005-0000-0000-0000E1B60000}"/>
    <cellStyle name="常规 9 4 6 2 3 2 2" xfId="11474" xr:uid="{00000000-0005-0000-0000-0000E2B60000}"/>
    <cellStyle name="常规 9 4 6 2 3 2 2 2" xfId="23762" xr:uid="{00000000-0005-0000-0000-0000E3B60000}"/>
    <cellStyle name="常规 9 4 6 2 3 2 2 2 2" xfId="48338" xr:uid="{00000000-0005-0000-0000-0000E4B60000}"/>
    <cellStyle name="常规 9 4 6 2 3 2 2 3" xfId="36050" xr:uid="{00000000-0005-0000-0000-0000E5B60000}"/>
    <cellStyle name="常规 9 4 6 2 3 2 3" xfId="17618" xr:uid="{00000000-0005-0000-0000-0000E6B60000}"/>
    <cellStyle name="常规 9 4 6 2 3 2 3 2" xfId="42194" xr:uid="{00000000-0005-0000-0000-0000E7B60000}"/>
    <cellStyle name="常规 9 4 6 2 3 2 4" xfId="29906" xr:uid="{00000000-0005-0000-0000-0000E8B60000}"/>
    <cellStyle name="常规 9 4 6 2 3 3" xfId="8402" xr:uid="{00000000-0005-0000-0000-0000E9B60000}"/>
    <cellStyle name="常规 9 4 6 2 3 3 2" xfId="20690" xr:uid="{00000000-0005-0000-0000-0000EAB60000}"/>
    <cellStyle name="常规 9 4 6 2 3 3 2 2" xfId="45266" xr:uid="{00000000-0005-0000-0000-0000EBB60000}"/>
    <cellStyle name="常规 9 4 6 2 3 3 3" xfId="32978" xr:uid="{00000000-0005-0000-0000-0000ECB60000}"/>
    <cellStyle name="常规 9 4 6 2 3 4" xfId="14546" xr:uid="{00000000-0005-0000-0000-0000EDB60000}"/>
    <cellStyle name="常规 9 4 6 2 3 4 2" xfId="39122" xr:uid="{00000000-0005-0000-0000-0000EEB60000}"/>
    <cellStyle name="常规 9 4 6 2 3 5" xfId="26834" xr:uid="{00000000-0005-0000-0000-0000EFB60000}"/>
    <cellStyle name="常规 9 4 6 2 4" xfId="3794" xr:uid="{00000000-0005-0000-0000-0000F0B60000}"/>
    <cellStyle name="常规 9 4 6 2 4 2" xfId="9938" xr:uid="{00000000-0005-0000-0000-0000F1B60000}"/>
    <cellStyle name="常规 9 4 6 2 4 2 2" xfId="22226" xr:uid="{00000000-0005-0000-0000-0000F2B60000}"/>
    <cellStyle name="常规 9 4 6 2 4 2 2 2" xfId="46802" xr:uid="{00000000-0005-0000-0000-0000F3B60000}"/>
    <cellStyle name="常规 9 4 6 2 4 2 3" xfId="34514" xr:uid="{00000000-0005-0000-0000-0000F4B60000}"/>
    <cellStyle name="常规 9 4 6 2 4 3" xfId="16082" xr:uid="{00000000-0005-0000-0000-0000F5B60000}"/>
    <cellStyle name="常规 9 4 6 2 4 3 2" xfId="40658" xr:uid="{00000000-0005-0000-0000-0000F6B60000}"/>
    <cellStyle name="常规 9 4 6 2 4 4" xfId="28370" xr:uid="{00000000-0005-0000-0000-0000F7B60000}"/>
    <cellStyle name="常规 9 4 6 2 5" xfId="6866" xr:uid="{00000000-0005-0000-0000-0000F8B60000}"/>
    <cellStyle name="常规 9 4 6 2 5 2" xfId="19154" xr:uid="{00000000-0005-0000-0000-0000F9B60000}"/>
    <cellStyle name="常规 9 4 6 2 5 2 2" xfId="43730" xr:uid="{00000000-0005-0000-0000-0000FAB60000}"/>
    <cellStyle name="常规 9 4 6 2 5 3" xfId="31442" xr:uid="{00000000-0005-0000-0000-0000FBB60000}"/>
    <cellStyle name="常规 9 4 6 2 6" xfId="13010" xr:uid="{00000000-0005-0000-0000-0000FCB60000}"/>
    <cellStyle name="常规 9 4 6 2 6 2" xfId="37586" xr:uid="{00000000-0005-0000-0000-0000FDB60000}"/>
    <cellStyle name="常规 9 4 6 2 7" xfId="25298" xr:uid="{00000000-0005-0000-0000-0000FEB60000}"/>
    <cellStyle name="常规 9 4 6 3" xfId="1102" xr:uid="{00000000-0005-0000-0000-0000FFB60000}"/>
    <cellStyle name="常规 9 4 6 3 2" xfId="2638" xr:uid="{00000000-0005-0000-0000-000000B70000}"/>
    <cellStyle name="常规 9 4 6 3 2 2" xfId="5714" xr:uid="{00000000-0005-0000-0000-000001B70000}"/>
    <cellStyle name="常规 9 4 6 3 2 2 2" xfId="11858" xr:uid="{00000000-0005-0000-0000-000002B70000}"/>
    <cellStyle name="常规 9 4 6 3 2 2 2 2" xfId="24146" xr:uid="{00000000-0005-0000-0000-000003B70000}"/>
    <cellStyle name="常规 9 4 6 3 2 2 2 2 2" xfId="48722" xr:uid="{00000000-0005-0000-0000-000004B70000}"/>
    <cellStyle name="常规 9 4 6 3 2 2 2 3" xfId="36434" xr:uid="{00000000-0005-0000-0000-000005B70000}"/>
    <cellStyle name="常规 9 4 6 3 2 2 3" xfId="18002" xr:uid="{00000000-0005-0000-0000-000006B70000}"/>
    <cellStyle name="常规 9 4 6 3 2 2 3 2" xfId="42578" xr:uid="{00000000-0005-0000-0000-000007B70000}"/>
    <cellStyle name="常规 9 4 6 3 2 2 4" xfId="30290" xr:uid="{00000000-0005-0000-0000-000008B70000}"/>
    <cellStyle name="常规 9 4 6 3 2 3" xfId="8786" xr:uid="{00000000-0005-0000-0000-000009B70000}"/>
    <cellStyle name="常规 9 4 6 3 2 3 2" xfId="21074" xr:uid="{00000000-0005-0000-0000-00000AB70000}"/>
    <cellStyle name="常规 9 4 6 3 2 3 2 2" xfId="45650" xr:uid="{00000000-0005-0000-0000-00000BB70000}"/>
    <cellStyle name="常规 9 4 6 3 2 3 3" xfId="33362" xr:uid="{00000000-0005-0000-0000-00000CB70000}"/>
    <cellStyle name="常规 9 4 6 3 2 4" xfId="14930" xr:uid="{00000000-0005-0000-0000-00000DB70000}"/>
    <cellStyle name="常规 9 4 6 3 2 4 2" xfId="39506" xr:uid="{00000000-0005-0000-0000-00000EB70000}"/>
    <cellStyle name="常规 9 4 6 3 2 5" xfId="27218" xr:uid="{00000000-0005-0000-0000-00000FB70000}"/>
    <cellStyle name="常规 9 4 6 3 3" xfId="4178" xr:uid="{00000000-0005-0000-0000-000010B70000}"/>
    <cellStyle name="常规 9 4 6 3 3 2" xfId="10322" xr:uid="{00000000-0005-0000-0000-000011B70000}"/>
    <cellStyle name="常规 9 4 6 3 3 2 2" xfId="22610" xr:uid="{00000000-0005-0000-0000-000012B70000}"/>
    <cellStyle name="常规 9 4 6 3 3 2 2 2" xfId="47186" xr:uid="{00000000-0005-0000-0000-000013B70000}"/>
    <cellStyle name="常规 9 4 6 3 3 2 3" xfId="34898" xr:uid="{00000000-0005-0000-0000-000014B70000}"/>
    <cellStyle name="常规 9 4 6 3 3 3" xfId="16466" xr:uid="{00000000-0005-0000-0000-000015B70000}"/>
    <cellStyle name="常规 9 4 6 3 3 3 2" xfId="41042" xr:uid="{00000000-0005-0000-0000-000016B70000}"/>
    <cellStyle name="常规 9 4 6 3 3 4" xfId="28754" xr:uid="{00000000-0005-0000-0000-000017B70000}"/>
    <cellStyle name="常规 9 4 6 3 4" xfId="7250" xr:uid="{00000000-0005-0000-0000-000018B70000}"/>
    <cellStyle name="常规 9 4 6 3 4 2" xfId="19538" xr:uid="{00000000-0005-0000-0000-000019B70000}"/>
    <cellStyle name="常规 9 4 6 3 4 2 2" xfId="44114" xr:uid="{00000000-0005-0000-0000-00001AB70000}"/>
    <cellStyle name="常规 9 4 6 3 4 3" xfId="31826" xr:uid="{00000000-0005-0000-0000-00001BB70000}"/>
    <cellStyle name="常规 9 4 6 3 5" xfId="13394" xr:uid="{00000000-0005-0000-0000-00001CB70000}"/>
    <cellStyle name="常规 9 4 6 3 5 2" xfId="37970" xr:uid="{00000000-0005-0000-0000-00001DB70000}"/>
    <cellStyle name="常规 9 4 6 3 6" xfId="25682" xr:uid="{00000000-0005-0000-0000-00001EB70000}"/>
    <cellStyle name="常规 9 4 6 4" xfId="1870" xr:uid="{00000000-0005-0000-0000-00001FB70000}"/>
    <cellStyle name="常规 9 4 6 4 2" xfId="4946" xr:uid="{00000000-0005-0000-0000-000020B70000}"/>
    <cellStyle name="常规 9 4 6 4 2 2" xfId="11090" xr:uid="{00000000-0005-0000-0000-000021B70000}"/>
    <cellStyle name="常规 9 4 6 4 2 2 2" xfId="23378" xr:uid="{00000000-0005-0000-0000-000022B70000}"/>
    <cellStyle name="常规 9 4 6 4 2 2 2 2" xfId="47954" xr:uid="{00000000-0005-0000-0000-000023B70000}"/>
    <cellStyle name="常规 9 4 6 4 2 2 3" xfId="35666" xr:uid="{00000000-0005-0000-0000-000024B70000}"/>
    <cellStyle name="常规 9 4 6 4 2 3" xfId="17234" xr:uid="{00000000-0005-0000-0000-000025B70000}"/>
    <cellStyle name="常规 9 4 6 4 2 3 2" xfId="41810" xr:uid="{00000000-0005-0000-0000-000026B70000}"/>
    <cellStyle name="常规 9 4 6 4 2 4" xfId="29522" xr:uid="{00000000-0005-0000-0000-000027B70000}"/>
    <cellStyle name="常规 9 4 6 4 3" xfId="8018" xr:uid="{00000000-0005-0000-0000-000028B70000}"/>
    <cellStyle name="常规 9 4 6 4 3 2" xfId="20306" xr:uid="{00000000-0005-0000-0000-000029B70000}"/>
    <cellStyle name="常规 9 4 6 4 3 2 2" xfId="44882" xr:uid="{00000000-0005-0000-0000-00002AB70000}"/>
    <cellStyle name="常规 9 4 6 4 3 3" xfId="32594" xr:uid="{00000000-0005-0000-0000-00002BB70000}"/>
    <cellStyle name="常规 9 4 6 4 4" xfId="14162" xr:uid="{00000000-0005-0000-0000-00002CB70000}"/>
    <cellStyle name="常规 9 4 6 4 4 2" xfId="38738" xr:uid="{00000000-0005-0000-0000-00002DB70000}"/>
    <cellStyle name="常规 9 4 6 4 5" xfId="26450" xr:uid="{00000000-0005-0000-0000-00002EB70000}"/>
    <cellStyle name="常规 9 4 6 5" xfId="3410" xr:uid="{00000000-0005-0000-0000-00002FB70000}"/>
    <cellStyle name="常规 9 4 6 5 2" xfId="9554" xr:uid="{00000000-0005-0000-0000-000030B70000}"/>
    <cellStyle name="常规 9 4 6 5 2 2" xfId="21842" xr:uid="{00000000-0005-0000-0000-000031B70000}"/>
    <cellStyle name="常规 9 4 6 5 2 2 2" xfId="46418" xr:uid="{00000000-0005-0000-0000-000032B70000}"/>
    <cellStyle name="常规 9 4 6 5 2 3" xfId="34130" xr:uid="{00000000-0005-0000-0000-000033B70000}"/>
    <cellStyle name="常规 9 4 6 5 3" xfId="15698" xr:uid="{00000000-0005-0000-0000-000034B70000}"/>
    <cellStyle name="常规 9 4 6 5 3 2" xfId="40274" xr:uid="{00000000-0005-0000-0000-000035B70000}"/>
    <cellStyle name="常规 9 4 6 5 4" xfId="27986" xr:uid="{00000000-0005-0000-0000-000036B70000}"/>
    <cellStyle name="常规 9 4 6 6" xfId="6482" xr:uid="{00000000-0005-0000-0000-000037B70000}"/>
    <cellStyle name="常规 9 4 6 6 2" xfId="18770" xr:uid="{00000000-0005-0000-0000-000038B70000}"/>
    <cellStyle name="常规 9 4 6 6 2 2" xfId="43346" xr:uid="{00000000-0005-0000-0000-000039B70000}"/>
    <cellStyle name="常规 9 4 6 6 3" xfId="31058" xr:uid="{00000000-0005-0000-0000-00003AB70000}"/>
    <cellStyle name="常规 9 4 6 7" xfId="12626" xr:uid="{00000000-0005-0000-0000-00003BB70000}"/>
    <cellStyle name="常规 9 4 6 7 2" xfId="37202" xr:uid="{00000000-0005-0000-0000-00003CB70000}"/>
    <cellStyle name="常规 9 4 6 8" xfId="24914" xr:uid="{00000000-0005-0000-0000-00003DB70000}"/>
    <cellStyle name="常规 9 4 7" xfId="526" xr:uid="{00000000-0005-0000-0000-00003EB70000}"/>
    <cellStyle name="常规 9 4 7 2" xfId="1294" xr:uid="{00000000-0005-0000-0000-00003FB70000}"/>
    <cellStyle name="常规 9 4 7 2 2" xfId="2830" xr:uid="{00000000-0005-0000-0000-000040B70000}"/>
    <cellStyle name="常规 9 4 7 2 2 2" xfId="5906" xr:uid="{00000000-0005-0000-0000-000041B70000}"/>
    <cellStyle name="常规 9 4 7 2 2 2 2" xfId="12050" xr:uid="{00000000-0005-0000-0000-000042B70000}"/>
    <cellStyle name="常规 9 4 7 2 2 2 2 2" xfId="24338" xr:uid="{00000000-0005-0000-0000-000043B70000}"/>
    <cellStyle name="常规 9 4 7 2 2 2 2 2 2" xfId="48914" xr:uid="{00000000-0005-0000-0000-000044B70000}"/>
    <cellStyle name="常规 9 4 7 2 2 2 2 3" xfId="36626" xr:uid="{00000000-0005-0000-0000-000045B70000}"/>
    <cellStyle name="常规 9 4 7 2 2 2 3" xfId="18194" xr:uid="{00000000-0005-0000-0000-000046B70000}"/>
    <cellStyle name="常规 9 4 7 2 2 2 3 2" xfId="42770" xr:uid="{00000000-0005-0000-0000-000047B70000}"/>
    <cellStyle name="常规 9 4 7 2 2 2 4" xfId="30482" xr:uid="{00000000-0005-0000-0000-000048B70000}"/>
    <cellStyle name="常规 9 4 7 2 2 3" xfId="8978" xr:uid="{00000000-0005-0000-0000-000049B70000}"/>
    <cellStyle name="常规 9 4 7 2 2 3 2" xfId="21266" xr:uid="{00000000-0005-0000-0000-00004AB70000}"/>
    <cellStyle name="常规 9 4 7 2 2 3 2 2" xfId="45842" xr:uid="{00000000-0005-0000-0000-00004BB70000}"/>
    <cellStyle name="常规 9 4 7 2 2 3 3" xfId="33554" xr:uid="{00000000-0005-0000-0000-00004CB70000}"/>
    <cellStyle name="常规 9 4 7 2 2 4" xfId="15122" xr:uid="{00000000-0005-0000-0000-00004DB70000}"/>
    <cellStyle name="常规 9 4 7 2 2 4 2" xfId="39698" xr:uid="{00000000-0005-0000-0000-00004EB70000}"/>
    <cellStyle name="常规 9 4 7 2 2 5" xfId="27410" xr:uid="{00000000-0005-0000-0000-00004FB70000}"/>
    <cellStyle name="常规 9 4 7 2 3" xfId="4370" xr:uid="{00000000-0005-0000-0000-000050B70000}"/>
    <cellStyle name="常规 9 4 7 2 3 2" xfId="10514" xr:uid="{00000000-0005-0000-0000-000051B70000}"/>
    <cellStyle name="常规 9 4 7 2 3 2 2" xfId="22802" xr:uid="{00000000-0005-0000-0000-000052B70000}"/>
    <cellStyle name="常规 9 4 7 2 3 2 2 2" xfId="47378" xr:uid="{00000000-0005-0000-0000-000053B70000}"/>
    <cellStyle name="常规 9 4 7 2 3 2 3" xfId="35090" xr:uid="{00000000-0005-0000-0000-000054B70000}"/>
    <cellStyle name="常规 9 4 7 2 3 3" xfId="16658" xr:uid="{00000000-0005-0000-0000-000055B70000}"/>
    <cellStyle name="常规 9 4 7 2 3 3 2" xfId="41234" xr:uid="{00000000-0005-0000-0000-000056B70000}"/>
    <cellStyle name="常规 9 4 7 2 3 4" xfId="28946" xr:uid="{00000000-0005-0000-0000-000057B70000}"/>
    <cellStyle name="常规 9 4 7 2 4" xfId="7442" xr:uid="{00000000-0005-0000-0000-000058B70000}"/>
    <cellStyle name="常规 9 4 7 2 4 2" xfId="19730" xr:uid="{00000000-0005-0000-0000-000059B70000}"/>
    <cellStyle name="常规 9 4 7 2 4 2 2" xfId="44306" xr:uid="{00000000-0005-0000-0000-00005AB70000}"/>
    <cellStyle name="常规 9 4 7 2 4 3" xfId="32018" xr:uid="{00000000-0005-0000-0000-00005BB70000}"/>
    <cellStyle name="常规 9 4 7 2 5" xfId="13586" xr:uid="{00000000-0005-0000-0000-00005CB70000}"/>
    <cellStyle name="常规 9 4 7 2 5 2" xfId="38162" xr:uid="{00000000-0005-0000-0000-00005DB70000}"/>
    <cellStyle name="常规 9 4 7 2 6" xfId="25874" xr:uid="{00000000-0005-0000-0000-00005EB70000}"/>
    <cellStyle name="常规 9 4 7 3" xfId="2062" xr:uid="{00000000-0005-0000-0000-00005FB70000}"/>
    <cellStyle name="常规 9 4 7 3 2" xfId="5138" xr:uid="{00000000-0005-0000-0000-000060B70000}"/>
    <cellStyle name="常规 9 4 7 3 2 2" xfId="11282" xr:uid="{00000000-0005-0000-0000-000061B70000}"/>
    <cellStyle name="常规 9 4 7 3 2 2 2" xfId="23570" xr:uid="{00000000-0005-0000-0000-000062B70000}"/>
    <cellStyle name="常规 9 4 7 3 2 2 2 2" xfId="48146" xr:uid="{00000000-0005-0000-0000-000063B70000}"/>
    <cellStyle name="常规 9 4 7 3 2 2 3" xfId="35858" xr:uid="{00000000-0005-0000-0000-000064B70000}"/>
    <cellStyle name="常规 9 4 7 3 2 3" xfId="17426" xr:uid="{00000000-0005-0000-0000-000065B70000}"/>
    <cellStyle name="常规 9 4 7 3 2 3 2" xfId="42002" xr:uid="{00000000-0005-0000-0000-000066B70000}"/>
    <cellStyle name="常规 9 4 7 3 2 4" xfId="29714" xr:uid="{00000000-0005-0000-0000-000067B70000}"/>
    <cellStyle name="常规 9 4 7 3 3" xfId="8210" xr:uid="{00000000-0005-0000-0000-000068B70000}"/>
    <cellStyle name="常规 9 4 7 3 3 2" xfId="20498" xr:uid="{00000000-0005-0000-0000-000069B70000}"/>
    <cellStyle name="常规 9 4 7 3 3 2 2" xfId="45074" xr:uid="{00000000-0005-0000-0000-00006AB70000}"/>
    <cellStyle name="常规 9 4 7 3 3 3" xfId="32786" xr:uid="{00000000-0005-0000-0000-00006BB70000}"/>
    <cellStyle name="常规 9 4 7 3 4" xfId="14354" xr:uid="{00000000-0005-0000-0000-00006CB70000}"/>
    <cellStyle name="常规 9 4 7 3 4 2" xfId="38930" xr:uid="{00000000-0005-0000-0000-00006DB70000}"/>
    <cellStyle name="常规 9 4 7 3 5" xfId="26642" xr:uid="{00000000-0005-0000-0000-00006EB70000}"/>
    <cellStyle name="常规 9 4 7 4" xfId="3602" xr:uid="{00000000-0005-0000-0000-00006FB70000}"/>
    <cellStyle name="常规 9 4 7 4 2" xfId="9746" xr:uid="{00000000-0005-0000-0000-000070B70000}"/>
    <cellStyle name="常规 9 4 7 4 2 2" xfId="22034" xr:uid="{00000000-0005-0000-0000-000071B70000}"/>
    <cellStyle name="常规 9 4 7 4 2 2 2" xfId="46610" xr:uid="{00000000-0005-0000-0000-000072B70000}"/>
    <cellStyle name="常规 9 4 7 4 2 3" xfId="34322" xr:uid="{00000000-0005-0000-0000-000073B70000}"/>
    <cellStyle name="常规 9 4 7 4 3" xfId="15890" xr:uid="{00000000-0005-0000-0000-000074B70000}"/>
    <cellStyle name="常规 9 4 7 4 3 2" xfId="40466" xr:uid="{00000000-0005-0000-0000-000075B70000}"/>
    <cellStyle name="常规 9 4 7 4 4" xfId="28178" xr:uid="{00000000-0005-0000-0000-000076B70000}"/>
    <cellStyle name="常规 9 4 7 5" xfId="6674" xr:uid="{00000000-0005-0000-0000-000077B70000}"/>
    <cellStyle name="常规 9 4 7 5 2" xfId="18962" xr:uid="{00000000-0005-0000-0000-000078B70000}"/>
    <cellStyle name="常规 9 4 7 5 2 2" xfId="43538" xr:uid="{00000000-0005-0000-0000-000079B70000}"/>
    <cellStyle name="常规 9 4 7 5 3" xfId="31250" xr:uid="{00000000-0005-0000-0000-00007AB70000}"/>
    <cellStyle name="常规 9 4 7 6" xfId="12818" xr:uid="{00000000-0005-0000-0000-00007BB70000}"/>
    <cellStyle name="常规 9 4 7 6 2" xfId="37394" xr:uid="{00000000-0005-0000-0000-00007CB70000}"/>
    <cellStyle name="常规 9 4 7 7" xfId="25106" xr:uid="{00000000-0005-0000-0000-00007DB70000}"/>
    <cellStyle name="常规 9 4 8" xfId="910" xr:uid="{00000000-0005-0000-0000-00007EB70000}"/>
    <cellStyle name="常规 9 4 8 2" xfId="2446" xr:uid="{00000000-0005-0000-0000-00007FB70000}"/>
    <cellStyle name="常规 9 4 8 2 2" xfId="5522" xr:uid="{00000000-0005-0000-0000-000080B70000}"/>
    <cellStyle name="常规 9 4 8 2 2 2" xfId="11666" xr:uid="{00000000-0005-0000-0000-000081B70000}"/>
    <cellStyle name="常规 9 4 8 2 2 2 2" xfId="23954" xr:uid="{00000000-0005-0000-0000-000082B70000}"/>
    <cellStyle name="常规 9 4 8 2 2 2 2 2" xfId="48530" xr:uid="{00000000-0005-0000-0000-000083B70000}"/>
    <cellStyle name="常规 9 4 8 2 2 2 3" xfId="36242" xr:uid="{00000000-0005-0000-0000-000084B70000}"/>
    <cellStyle name="常规 9 4 8 2 2 3" xfId="17810" xr:uid="{00000000-0005-0000-0000-000085B70000}"/>
    <cellStyle name="常规 9 4 8 2 2 3 2" xfId="42386" xr:uid="{00000000-0005-0000-0000-000086B70000}"/>
    <cellStyle name="常规 9 4 8 2 2 4" xfId="30098" xr:uid="{00000000-0005-0000-0000-000087B70000}"/>
    <cellStyle name="常规 9 4 8 2 3" xfId="8594" xr:uid="{00000000-0005-0000-0000-000088B70000}"/>
    <cellStyle name="常规 9 4 8 2 3 2" xfId="20882" xr:uid="{00000000-0005-0000-0000-000089B70000}"/>
    <cellStyle name="常规 9 4 8 2 3 2 2" xfId="45458" xr:uid="{00000000-0005-0000-0000-00008AB70000}"/>
    <cellStyle name="常规 9 4 8 2 3 3" xfId="33170" xr:uid="{00000000-0005-0000-0000-00008BB70000}"/>
    <cellStyle name="常规 9 4 8 2 4" xfId="14738" xr:uid="{00000000-0005-0000-0000-00008CB70000}"/>
    <cellStyle name="常规 9 4 8 2 4 2" xfId="39314" xr:uid="{00000000-0005-0000-0000-00008DB70000}"/>
    <cellStyle name="常规 9 4 8 2 5" xfId="27026" xr:uid="{00000000-0005-0000-0000-00008EB70000}"/>
    <cellStyle name="常规 9 4 8 3" xfId="3986" xr:uid="{00000000-0005-0000-0000-00008FB70000}"/>
    <cellStyle name="常规 9 4 8 3 2" xfId="10130" xr:uid="{00000000-0005-0000-0000-000090B70000}"/>
    <cellStyle name="常规 9 4 8 3 2 2" xfId="22418" xr:uid="{00000000-0005-0000-0000-000091B70000}"/>
    <cellStyle name="常规 9 4 8 3 2 2 2" xfId="46994" xr:uid="{00000000-0005-0000-0000-000092B70000}"/>
    <cellStyle name="常规 9 4 8 3 2 3" xfId="34706" xr:uid="{00000000-0005-0000-0000-000093B70000}"/>
    <cellStyle name="常规 9 4 8 3 3" xfId="16274" xr:uid="{00000000-0005-0000-0000-000094B70000}"/>
    <cellStyle name="常规 9 4 8 3 3 2" xfId="40850" xr:uid="{00000000-0005-0000-0000-000095B70000}"/>
    <cellStyle name="常规 9 4 8 3 4" xfId="28562" xr:uid="{00000000-0005-0000-0000-000096B70000}"/>
    <cellStyle name="常规 9 4 8 4" xfId="7058" xr:uid="{00000000-0005-0000-0000-000097B70000}"/>
    <cellStyle name="常规 9 4 8 4 2" xfId="19346" xr:uid="{00000000-0005-0000-0000-000098B70000}"/>
    <cellStyle name="常规 9 4 8 4 2 2" xfId="43922" xr:uid="{00000000-0005-0000-0000-000099B70000}"/>
    <cellStyle name="常规 9 4 8 4 3" xfId="31634" xr:uid="{00000000-0005-0000-0000-00009AB70000}"/>
    <cellStyle name="常规 9 4 8 5" xfId="13202" xr:uid="{00000000-0005-0000-0000-00009BB70000}"/>
    <cellStyle name="常规 9 4 8 5 2" xfId="37778" xr:uid="{00000000-0005-0000-0000-00009CB70000}"/>
    <cellStyle name="常规 9 4 8 6" xfId="25490" xr:uid="{00000000-0005-0000-0000-00009DB70000}"/>
    <cellStyle name="常规 9 4 9" xfId="1678" xr:uid="{00000000-0005-0000-0000-00009EB70000}"/>
    <cellStyle name="常规 9 4 9 2" xfId="4754" xr:uid="{00000000-0005-0000-0000-00009FB70000}"/>
    <cellStyle name="常规 9 4 9 2 2" xfId="10898" xr:uid="{00000000-0005-0000-0000-0000A0B70000}"/>
    <cellStyle name="常规 9 4 9 2 2 2" xfId="23186" xr:uid="{00000000-0005-0000-0000-0000A1B70000}"/>
    <cellStyle name="常规 9 4 9 2 2 2 2" xfId="47762" xr:uid="{00000000-0005-0000-0000-0000A2B70000}"/>
    <cellStyle name="常规 9 4 9 2 2 3" xfId="35474" xr:uid="{00000000-0005-0000-0000-0000A3B70000}"/>
    <cellStyle name="常规 9 4 9 2 3" xfId="17042" xr:uid="{00000000-0005-0000-0000-0000A4B70000}"/>
    <cellStyle name="常规 9 4 9 2 3 2" xfId="41618" xr:uid="{00000000-0005-0000-0000-0000A5B70000}"/>
    <cellStyle name="常规 9 4 9 2 4" xfId="29330" xr:uid="{00000000-0005-0000-0000-0000A6B70000}"/>
    <cellStyle name="常规 9 4 9 3" xfId="7826" xr:uid="{00000000-0005-0000-0000-0000A7B70000}"/>
    <cellStyle name="常规 9 4 9 3 2" xfId="20114" xr:uid="{00000000-0005-0000-0000-0000A8B70000}"/>
    <cellStyle name="常规 9 4 9 3 2 2" xfId="44690" xr:uid="{00000000-0005-0000-0000-0000A9B70000}"/>
    <cellStyle name="常规 9 4 9 3 3" xfId="32402" xr:uid="{00000000-0005-0000-0000-0000AAB70000}"/>
    <cellStyle name="常规 9 4 9 4" xfId="13970" xr:uid="{00000000-0005-0000-0000-0000ABB70000}"/>
    <cellStyle name="常规 9 4 9 4 2" xfId="38546" xr:uid="{00000000-0005-0000-0000-0000ACB70000}"/>
    <cellStyle name="常规 9 4 9 5" xfId="26258" xr:uid="{00000000-0005-0000-0000-0000ADB70000}"/>
    <cellStyle name="常规 9 5" xfId="109" xr:uid="{00000000-0005-0000-0000-0000AEB70000}"/>
    <cellStyle name="常规 9 5 10" xfId="6298" xr:uid="{00000000-0005-0000-0000-0000AFB70000}"/>
    <cellStyle name="常规 9 5 10 2" xfId="18586" xr:uid="{00000000-0005-0000-0000-0000B0B70000}"/>
    <cellStyle name="常规 9 5 10 2 2" xfId="43162" xr:uid="{00000000-0005-0000-0000-0000B1B70000}"/>
    <cellStyle name="常规 9 5 10 3" xfId="30874" xr:uid="{00000000-0005-0000-0000-0000B2B70000}"/>
    <cellStyle name="常规 9 5 11" xfId="12442" xr:uid="{00000000-0005-0000-0000-0000B3B70000}"/>
    <cellStyle name="常规 9 5 11 2" xfId="37018" xr:uid="{00000000-0005-0000-0000-0000B4B70000}"/>
    <cellStyle name="常规 9 5 12" xfId="24730" xr:uid="{00000000-0005-0000-0000-0000B5B70000}"/>
    <cellStyle name="常规 9 5 2" xfId="181" xr:uid="{00000000-0005-0000-0000-0000B6B70000}"/>
    <cellStyle name="常规 9 5 2 10" xfId="12474" xr:uid="{00000000-0005-0000-0000-0000B7B70000}"/>
    <cellStyle name="常规 9 5 2 10 2" xfId="37050" xr:uid="{00000000-0005-0000-0000-0000B8B70000}"/>
    <cellStyle name="常规 9 5 2 11" xfId="24762" xr:uid="{00000000-0005-0000-0000-0000B9B70000}"/>
    <cellStyle name="常规 9 5 2 2" xfId="246" xr:uid="{00000000-0005-0000-0000-0000BAB70000}"/>
    <cellStyle name="常规 9 5 2 2 2" xfId="438" xr:uid="{00000000-0005-0000-0000-0000BBB70000}"/>
    <cellStyle name="常规 9 5 2 2 2 2" xfId="822" xr:uid="{00000000-0005-0000-0000-0000BCB70000}"/>
    <cellStyle name="常规 9 5 2 2 2 2 2" xfId="1590" xr:uid="{00000000-0005-0000-0000-0000BDB70000}"/>
    <cellStyle name="常规 9 5 2 2 2 2 2 2" xfId="3126" xr:uid="{00000000-0005-0000-0000-0000BEB70000}"/>
    <cellStyle name="常规 9 5 2 2 2 2 2 2 2" xfId="6202" xr:uid="{00000000-0005-0000-0000-0000BFB70000}"/>
    <cellStyle name="常规 9 5 2 2 2 2 2 2 2 2" xfId="12346" xr:uid="{00000000-0005-0000-0000-0000C0B70000}"/>
    <cellStyle name="常规 9 5 2 2 2 2 2 2 2 2 2" xfId="24634" xr:uid="{00000000-0005-0000-0000-0000C1B70000}"/>
    <cellStyle name="常规 9 5 2 2 2 2 2 2 2 2 2 2" xfId="49210" xr:uid="{00000000-0005-0000-0000-0000C2B70000}"/>
    <cellStyle name="常规 9 5 2 2 2 2 2 2 2 2 3" xfId="36922" xr:uid="{00000000-0005-0000-0000-0000C3B70000}"/>
    <cellStyle name="常规 9 5 2 2 2 2 2 2 2 3" xfId="18490" xr:uid="{00000000-0005-0000-0000-0000C4B70000}"/>
    <cellStyle name="常规 9 5 2 2 2 2 2 2 2 3 2" xfId="43066" xr:uid="{00000000-0005-0000-0000-0000C5B70000}"/>
    <cellStyle name="常规 9 5 2 2 2 2 2 2 2 4" xfId="30778" xr:uid="{00000000-0005-0000-0000-0000C6B70000}"/>
    <cellStyle name="常规 9 5 2 2 2 2 2 2 3" xfId="9274" xr:uid="{00000000-0005-0000-0000-0000C7B70000}"/>
    <cellStyle name="常规 9 5 2 2 2 2 2 2 3 2" xfId="21562" xr:uid="{00000000-0005-0000-0000-0000C8B70000}"/>
    <cellStyle name="常规 9 5 2 2 2 2 2 2 3 2 2" xfId="46138" xr:uid="{00000000-0005-0000-0000-0000C9B70000}"/>
    <cellStyle name="常规 9 5 2 2 2 2 2 2 3 3" xfId="33850" xr:uid="{00000000-0005-0000-0000-0000CAB70000}"/>
    <cellStyle name="常规 9 5 2 2 2 2 2 2 4" xfId="15418" xr:uid="{00000000-0005-0000-0000-0000CBB70000}"/>
    <cellStyle name="常规 9 5 2 2 2 2 2 2 4 2" xfId="39994" xr:uid="{00000000-0005-0000-0000-0000CCB70000}"/>
    <cellStyle name="常规 9 5 2 2 2 2 2 2 5" xfId="27706" xr:uid="{00000000-0005-0000-0000-0000CDB70000}"/>
    <cellStyle name="常规 9 5 2 2 2 2 2 3" xfId="4666" xr:uid="{00000000-0005-0000-0000-0000CEB70000}"/>
    <cellStyle name="常规 9 5 2 2 2 2 2 3 2" xfId="10810" xr:uid="{00000000-0005-0000-0000-0000CFB70000}"/>
    <cellStyle name="常规 9 5 2 2 2 2 2 3 2 2" xfId="23098" xr:uid="{00000000-0005-0000-0000-0000D0B70000}"/>
    <cellStyle name="常规 9 5 2 2 2 2 2 3 2 2 2" xfId="47674" xr:uid="{00000000-0005-0000-0000-0000D1B70000}"/>
    <cellStyle name="常规 9 5 2 2 2 2 2 3 2 3" xfId="35386" xr:uid="{00000000-0005-0000-0000-0000D2B70000}"/>
    <cellStyle name="常规 9 5 2 2 2 2 2 3 3" xfId="16954" xr:uid="{00000000-0005-0000-0000-0000D3B70000}"/>
    <cellStyle name="常规 9 5 2 2 2 2 2 3 3 2" xfId="41530" xr:uid="{00000000-0005-0000-0000-0000D4B70000}"/>
    <cellStyle name="常规 9 5 2 2 2 2 2 3 4" xfId="29242" xr:uid="{00000000-0005-0000-0000-0000D5B70000}"/>
    <cellStyle name="常规 9 5 2 2 2 2 2 4" xfId="7738" xr:uid="{00000000-0005-0000-0000-0000D6B70000}"/>
    <cellStyle name="常规 9 5 2 2 2 2 2 4 2" xfId="20026" xr:uid="{00000000-0005-0000-0000-0000D7B70000}"/>
    <cellStyle name="常规 9 5 2 2 2 2 2 4 2 2" xfId="44602" xr:uid="{00000000-0005-0000-0000-0000D8B70000}"/>
    <cellStyle name="常规 9 5 2 2 2 2 2 4 3" xfId="32314" xr:uid="{00000000-0005-0000-0000-0000D9B70000}"/>
    <cellStyle name="常规 9 5 2 2 2 2 2 5" xfId="13882" xr:uid="{00000000-0005-0000-0000-0000DAB70000}"/>
    <cellStyle name="常规 9 5 2 2 2 2 2 5 2" xfId="38458" xr:uid="{00000000-0005-0000-0000-0000DBB70000}"/>
    <cellStyle name="常规 9 5 2 2 2 2 2 6" xfId="26170" xr:uid="{00000000-0005-0000-0000-0000DCB70000}"/>
    <cellStyle name="常规 9 5 2 2 2 2 3" xfId="2358" xr:uid="{00000000-0005-0000-0000-0000DDB70000}"/>
    <cellStyle name="常规 9 5 2 2 2 2 3 2" xfId="5434" xr:uid="{00000000-0005-0000-0000-0000DEB70000}"/>
    <cellStyle name="常规 9 5 2 2 2 2 3 2 2" xfId="11578" xr:uid="{00000000-0005-0000-0000-0000DFB70000}"/>
    <cellStyle name="常规 9 5 2 2 2 2 3 2 2 2" xfId="23866" xr:uid="{00000000-0005-0000-0000-0000E0B70000}"/>
    <cellStyle name="常规 9 5 2 2 2 2 3 2 2 2 2" xfId="48442" xr:uid="{00000000-0005-0000-0000-0000E1B70000}"/>
    <cellStyle name="常规 9 5 2 2 2 2 3 2 2 3" xfId="36154" xr:uid="{00000000-0005-0000-0000-0000E2B70000}"/>
    <cellStyle name="常规 9 5 2 2 2 2 3 2 3" xfId="17722" xr:uid="{00000000-0005-0000-0000-0000E3B70000}"/>
    <cellStyle name="常规 9 5 2 2 2 2 3 2 3 2" xfId="42298" xr:uid="{00000000-0005-0000-0000-0000E4B70000}"/>
    <cellStyle name="常规 9 5 2 2 2 2 3 2 4" xfId="30010" xr:uid="{00000000-0005-0000-0000-0000E5B70000}"/>
    <cellStyle name="常规 9 5 2 2 2 2 3 3" xfId="8506" xr:uid="{00000000-0005-0000-0000-0000E6B70000}"/>
    <cellStyle name="常规 9 5 2 2 2 2 3 3 2" xfId="20794" xr:uid="{00000000-0005-0000-0000-0000E7B70000}"/>
    <cellStyle name="常规 9 5 2 2 2 2 3 3 2 2" xfId="45370" xr:uid="{00000000-0005-0000-0000-0000E8B70000}"/>
    <cellStyle name="常规 9 5 2 2 2 2 3 3 3" xfId="33082" xr:uid="{00000000-0005-0000-0000-0000E9B70000}"/>
    <cellStyle name="常规 9 5 2 2 2 2 3 4" xfId="14650" xr:uid="{00000000-0005-0000-0000-0000EAB70000}"/>
    <cellStyle name="常规 9 5 2 2 2 2 3 4 2" xfId="39226" xr:uid="{00000000-0005-0000-0000-0000EBB70000}"/>
    <cellStyle name="常规 9 5 2 2 2 2 3 5" xfId="26938" xr:uid="{00000000-0005-0000-0000-0000ECB70000}"/>
    <cellStyle name="常规 9 5 2 2 2 2 4" xfId="3898" xr:uid="{00000000-0005-0000-0000-0000EDB70000}"/>
    <cellStyle name="常规 9 5 2 2 2 2 4 2" xfId="10042" xr:uid="{00000000-0005-0000-0000-0000EEB70000}"/>
    <cellStyle name="常规 9 5 2 2 2 2 4 2 2" xfId="22330" xr:uid="{00000000-0005-0000-0000-0000EFB70000}"/>
    <cellStyle name="常规 9 5 2 2 2 2 4 2 2 2" xfId="46906" xr:uid="{00000000-0005-0000-0000-0000F0B70000}"/>
    <cellStyle name="常规 9 5 2 2 2 2 4 2 3" xfId="34618" xr:uid="{00000000-0005-0000-0000-0000F1B70000}"/>
    <cellStyle name="常规 9 5 2 2 2 2 4 3" xfId="16186" xr:uid="{00000000-0005-0000-0000-0000F2B70000}"/>
    <cellStyle name="常规 9 5 2 2 2 2 4 3 2" xfId="40762" xr:uid="{00000000-0005-0000-0000-0000F3B70000}"/>
    <cellStyle name="常规 9 5 2 2 2 2 4 4" xfId="28474" xr:uid="{00000000-0005-0000-0000-0000F4B70000}"/>
    <cellStyle name="常规 9 5 2 2 2 2 5" xfId="6970" xr:uid="{00000000-0005-0000-0000-0000F5B70000}"/>
    <cellStyle name="常规 9 5 2 2 2 2 5 2" xfId="19258" xr:uid="{00000000-0005-0000-0000-0000F6B70000}"/>
    <cellStyle name="常规 9 5 2 2 2 2 5 2 2" xfId="43834" xr:uid="{00000000-0005-0000-0000-0000F7B70000}"/>
    <cellStyle name="常规 9 5 2 2 2 2 5 3" xfId="31546" xr:uid="{00000000-0005-0000-0000-0000F8B70000}"/>
    <cellStyle name="常规 9 5 2 2 2 2 6" xfId="13114" xr:uid="{00000000-0005-0000-0000-0000F9B70000}"/>
    <cellStyle name="常规 9 5 2 2 2 2 6 2" xfId="37690" xr:uid="{00000000-0005-0000-0000-0000FAB70000}"/>
    <cellStyle name="常规 9 5 2 2 2 2 7" xfId="25402" xr:uid="{00000000-0005-0000-0000-0000FBB70000}"/>
    <cellStyle name="常规 9 5 2 2 2 3" xfId="1206" xr:uid="{00000000-0005-0000-0000-0000FCB70000}"/>
    <cellStyle name="常规 9 5 2 2 2 3 2" xfId="2742" xr:uid="{00000000-0005-0000-0000-0000FDB70000}"/>
    <cellStyle name="常规 9 5 2 2 2 3 2 2" xfId="5818" xr:uid="{00000000-0005-0000-0000-0000FEB70000}"/>
    <cellStyle name="常规 9 5 2 2 2 3 2 2 2" xfId="11962" xr:uid="{00000000-0005-0000-0000-0000FFB70000}"/>
    <cellStyle name="常规 9 5 2 2 2 3 2 2 2 2" xfId="24250" xr:uid="{00000000-0005-0000-0000-000000B80000}"/>
    <cellStyle name="常规 9 5 2 2 2 3 2 2 2 2 2" xfId="48826" xr:uid="{00000000-0005-0000-0000-000001B80000}"/>
    <cellStyle name="常规 9 5 2 2 2 3 2 2 2 3" xfId="36538" xr:uid="{00000000-0005-0000-0000-000002B80000}"/>
    <cellStyle name="常规 9 5 2 2 2 3 2 2 3" xfId="18106" xr:uid="{00000000-0005-0000-0000-000003B80000}"/>
    <cellStyle name="常规 9 5 2 2 2 3 2 2 3 2" xfId="42682" xr:uid="{00000000-0005-0000-0000-000004B80000}"/>
    <cellStyle name="常规 9 5 2 2 2 3 2 2 4" xfId="30394" xr:uid="{00000000-0005-0000-0000-000005B80000}"/>
    <cellStyle name="常规 9 5 2 2 2 3 2 3" xfId="8890" xr:uid="{00000000-0005-0000-0000-000006B80000}"/>
    <cellStyle name="常规 9 5 2 2 2 3 2 3 2" xfId="21178" xr:uid="{00000000-0005-0000-0000-000007B80000}"/>
    <cellStyle name="常规 9 5 2 2 2 3 2 3 2 2" xfId="45754" xr:uid="{00000000-0005-0000-0000-000008B80000}"/>
    <cellStyle name="常规 9 5 2 2 2 3 2 3 3" xfId="33466" xr:uid="{00000000-0005-0000-0000-000009B80000}"/>
    <cellStyle name="常规 9 5 2 2 2 3 2 4" xfId="15034" xr:uid="{00000000-0005-0000-0000-00000AB80000}"/>
    <cellStyle name="常规 9 5 2 2 2 3 2 4 2" xfId="39610" xr:uid="{00000000-0005-0000-0000-00000BB80000}"/>
    <cellStyle name="常规 9 5 2 2 2 3 2 5" xfId="27322" xr:uid="{00000000-0005-0000-0000-00000CB80000}"/>
    <cellStyle name="常规 9 5 2 2 2 3 3" xfId="4282" xr:uid="{00000000-0005-0000-0000-00000DB80000}"/>
    <cellStyle name="常规 9 5 2 2 2 3 3 2" xfId="10426" xr:uid="{00000000-0005-0000-0000-00000EB80000}"/>
    <cellStyle name="常规 9 5 2 2 2 3 3 2 2" xfId="22714" xr:uid="{00000000-0005-0000-0000-00000FB80000}"/>
    <cellStyle name="常规 9 5 2 2 2 3 3 2 2 2" xfId="47290" xr:uid="{00000000-0005-0000-0000-000010B80000}"/>
    <cellStyle name="常规 9 5 2 2 2 3 3 2 3" xfId="35002" xr:uid="{00000000-0005-0000-0000-000011B80000}"/>
    <cellStyle name="常规 9 5 2 2 2 3 3 3" xfId="16570" xr:uid="{00000000-0005-0000-0000-000012B80000}"/>
    <cellStyle name="常规 9 5 2 2 2 3 3 3 2" xfId="41146" xr:uid="{00000000-0005-0000-0000-000013B80000}"/>
    <cellStyle name="常规 9 5 2 2 2 3 3 4" xfId="28858" xr:uid="{00000000-0005-0000-0000-000014B80000}"/>
    <cellStyle name="常规 9 5 2 2 2 3 4" xfId="7354" xr:uid="{00000000-0005-0000-0000-000015B80000}"/>
    <cellStyle name="常规 9 5 2 2 2 3 4 2" xfId="19642" xr:uid="{00000000-0005-0000-0000-000016B80000}"/>
    <cellStyle name="常规 9 5 2 2 2 3 4 2 2" xfId="44218" xr:uid="{00000000-0005-0000-0000-000017B80000}"/>
    <cellStyle name="常规 9 5 2 2 2 3 4 3" xfId="31930" xr:uid="{00000000-0005-0000-0000-000018B80000}"/>
    <cellStyle name="常规 9 5 2 2 2 3 5" xfId="13498" xr:uid="{00000000-0005-0000-0000-000019B80000}"/>
    <cellStyle name="常规 9 5 2 2 2 3 5 2" xfId="38074" xr:uid="{00000000-0005-0000-0000-00001AB80000}"/>
    <cellStyle name="常规 9 5 2 2 2 3 6" xfId="25786" xr:uid="{00000000-0005-0000-0000-00001BB80000}"/>
    <cellStyle name="常规 9 5 2 2 2 4" xfId="1974" xr:uid="{00000000-0005-0000-0000-00001CB80000}"/>
    <cellStyle name="常规 9 5 2 2 2 4 2" xfId="5050" xr:uid="{00000000-0005-0000-0000-00001DB80000}"/>
    <cellStyle name="常规 9 5 2 2 2 4 2 2" xfId="11194" xr:uid="{00000000-0005-0000-0000-00001EB80000}"/>
    <cellStyle name="常规 9 5 2 2 2 4 2 2 2" xfId="23482" xr:uid="{00000000-0005-0000-0000-00001FB80000}"/>
    <cellStyle name="常规 9 5 2 2 2 4 2 2 2 2" xfId="48058" xr:uid="{00000000-0005-0000-0000-000020B80000}"/>
    <cellStyle name="常规 9 5 2 2 2 4 2 2 3" xfId="35770" xr:uid="{00000000-0005-0000-0000-000021B80000}"/>
    <cellStyle name="常规 9 5 2 2 2 4 2 3" xfId="17338" xr:uid="{00000000-0005-0000-0000-000022B80000}"/>
    <cellStyle name="常规 9 5 2 2 2 4 2 3 2" xfId="41914" xr:uid="{00000000-0005-0000-0000-000023B80000}"/>
    <cellStyle name="常规 9 5 2 2 2 4 2 4" xfId="29626" xr:uid="{00000000-0005-0000-0000-000024B80000}"/>
    <cellStyle name="常规 9 5 2 2 2 4 3" xfId="8122" xr:uid="{00000000-0005-0000-0000-000025B80000}"/>
    <cellStyle name="常规 9 5 2 2 2 4 3 2" xfId="20410" xr:uid="{00000000-0005-0000-0000-000026B80000}"/>
    <cellStyle name="常规 9 5 2 2 2 4 3 2 2" xfId="44986" xr:uid="{00000000-0005-0000-0000-000027B80000}"/>
    <cellStyle name="常规 9 5 2 2 2 4 3 3" xfId="32698" xr:uid="{00000000-0005-0000-0000-000028B80000}"/>
    <cellStyle name="常规 9 5 2 2 2 4 4" xfId="14266" xr:uid="{00000000-0005-0000-0000-000029B80000}"/>
    <cellStyle name="常规 9 5 2 2 2 4 4 2" xfId="38842" xr:uid="{00000000-0005-0000-0000-00002AB80000}"/>
    <cellStyle name="常规 9 5 2 2 2 4 5" xfId="26554" xr:uid="{00000000-0005-0000-0000-00002BB80000}"/>
    <cellStyle name="常规 9 5 2 2 2 5" xfId="3514" xr:uid="{00000000-0005-0000-0000-00002CB80000}"/>
    <cellStyle name="常规 9 5 2 2 2 5 2" xfId="9658" xr:uid="{00000000-0005-0000-0000-00002DB80000}"/>
    <cellStyle name="常规 9 5 2 2 2 5 2 2" xfId="21946" xr:uid="{00000000-0005-0000-0000-00002EB80000}"/>
    <cellStyle name="常规 9 5 2 2 2 5 2 2 2" xfId="46522" xr:uid="{00000000-0005-0000-0000-00002FB80000}"/>
    <cellStyle name="常规 9 5 2 2 2 5 2 3" xfId="34234" xr:uid="{00000000-0005-0000-0000-000030B80000}"/>
    <cellStyle name="常规 9 5 2 2 2 5 3" xfId="15802" xr:uid="{00000000-0005-0000-0000-000031B80000}"/>
    <cellStyle name="常规 9 5 2 2 2 5 3 2" xfId="40378" xr:uid="{00000000-0005-0000-0000-000032B80000}"/>
    <cellStyle name="常规 9 5 2 2 2 5 4" xfId="28090" xr:uid="{00000000-0005-0000-0000-000033B80000}"/>
    <cellStyle name="常规 9 5 2 2 2 6" xfId="6586" xr:uid="{00000000-0005-0000-0000-000034B80000}"/>
    <cellStyle name="常规 9 5 2 2 2 6 2" xfId="18874" xr:uid="{00000000-0005-0000-0000-000035B80000}"/>
    <cellStyle name="常规 9 5 2 2 2 6 2 2" xfId="43450" xr:uid="{00000000-0005-0000-0000-000036B80000}"/>
    <cellStyle name="常规 9 5 2 2 2 6 3" xfId="31162" xr:uid="{00000000-0005-0000-0000-000037B80000}"/>
    <cellStyle name="常规 9 5 2 2 2 7" xfId="12730" xr:uid="{00000000-0005-0000-0000-000038B80000}"/>
    <cellStyle name="常规 9 5 2 2 2 7 2" xfId="37306" xr:uid="{00000000-0005-0000-0000-000039B80000}"/>
    <cellStyle name="常规 9 5 2 2 2 8" xfId="25018" xr:uid="{00000000-0005-0000-0000-00003AB80000}"/>
    <cellStyle name="常规 9 5 2 2 3" xfId="630" xr:uid="{00000000-0005-0000-0000-00003BB80000}"/>
    <cellStyle name="常规 9 5 2 2 3 2" xfId="1398" xr:uid="{00000000-0005-0000-0000-00003CB80000}"/>
    <cellStyle name="常规 9 5 2 2 3 2 2" xfId="2934" xr:uid="{00000000-0005-0000-0000-00003DB80000}"/>
    <cellStyle name="常规 9 5 2 2 3 2 2 2" xfId="6010" xr:uid="{00000000-0005-0000-0000-00003EB80000}"/>
    <cellStyle name="常规 9 5 2 2 3 2 2 2 2" xfId="12154" xr:uid="{00000000-0005-0000-0000-00003FB80000}"/>
    <cellStyle name="常规 9 5 2 2 3 2 2 2 2 2" xfId="24442" xr:uid="{00000000-0005-0000-0000-000040B80000}"/>
    <cellStyle name="常规 9 5 2 2 3 2 2 2 2 2 2" xfId="49018" xr:uid="{00000000-0005-0000-0000-000041B80000}"/>
    <cellStyle name="常规 9 5 2 2 3 2 2 2 2 3" xfId="36730" xr:uid="{00000000-0005-0000-0000-000042B80000}"/>
    <cellStyle name="常规 9 5 2 2 3 2 2 2 3" xfId="18298" xr:uid="{00000000-0005-0000-0000-000043B80000}"/>
    <cellStyle name="常规 9 5 2 2 3 2 2 2 3 2" xfId="42874" xr:uid="{00000000-0005-0000-0000-000044B80000}"/>
    <cellStyle name="常规 9 5 2 2 3 2 2 2 4" xfId="30586" xr:uid="{00000000-0005-0000-0000-000045B80000}"/>
    <cellStyle name="常规 9 5 2 2 3 2 2 3" xfId="9082" xr:uid="{00000000-0005-0000-0000-000046B80000}"/>
    <cellStyle name="常规 9 5 2 2 3 2 2 3 2" xfId="21370" xr:uid="{00000000-0005-0000-0000-000047B80000}"/>
    <cellStyle name="常规 9 5 2 2 3 2 2 3 2 2" xfId="45946" xr:uid="{00000000-0005-0000-0000-000048B80000}"/>
    <cellStyle name="常规 9 5 2 2 3 2 2 3 3" xfId="33658" xr:uid="{00000000-0005-0000-0000-000049B80000}"/>
    <cellStyle name="常规 9 5 2 2 3 2 2 4" xfId="15226" xr:uid="{00000000-0005-0000-0000-00004AB80000}"/>
    <cellStyle name="常规 9 5 2 2 3 2 2 4 2" xfId="39802" xr:uid="{00000000-0005-0000-0000-00004BB80000}"/>
    <cellStyle name="常规 9 5 2 2 3 2 2 5" xfId="27514" xr:uid="{00000000-0005-0000-0000-00004CB80000}"/>
    <cellStyle name="常规 9 5 2 2 3 2 3" xfId="4474" xr:uid="{00000000-0005-0000-0000-00004DB80000}"/>
    <cellStyle name="常规 9 5 2 2 3 2 3 2" xfId="10618" xr:uid="{00000000-0005-0000-0000-00004EB80000}"/>
    <cellStyle name="常规 9 5 2 2 3 2 3 2 2" xfId="22906" xr:uid="{00000000-0005-0000-0000-00004FB80000}"/>
    <cellStyle name="常规 9 5 2 2 3 2 3 2 2 2" xfId="47482" xr:uid="{00000000-0005-0000-0000-000050B80000}"/>
    <cellStyle name="常规 9 5 2 2 3 2 3 2 3" xfId="35194" xr:uid="{00000000-0005-0000-0000-000051B80000}"/>
    <cellStyle name="常规 9 5 2 2 3 2 3 3" xfId="16762" xr:uid="{00000000-0005-0000-0000-000052B80000}"/>
    <cellStyle name="常规 9 5 2 2 3 2 3 3 2" xfId="41338" xr:uid="{00000000-0005-0000-0000-000053B80000}"/>
    <cellStyle name="常规 9 5 2 2 3 2 3 4" xfId="29050" xr:uid="{00000000-0005-0000-0000-000054B80000}"/>
    <cellStyle name="常规 9 5 2 2 3 2 4" xfId="7546" xr:uid="{00000000-0005-0000-0000-000055B80000}"/>
    <cellStyle name="常规 9 5 2 2 3 2 4 2" xfId="19834" xr:uid="{00000000-0005-0000-0000-000056B80000}"/>
    <cellStyle name="常规 9 5 2 2 3 2 4 2 2" xfId="44410" xr:uid="{00000000-0005-0000-0000-000057B80000}"/>
    <cellStyle name="常规 9 5 2 2 3 2 4 3" xfId="32122" xr:uid="{00000000-0005-0000-0000-000058B80000}"/>
    <cellStyle name="常规 9 5 2 2 3 2 5" xfId="13690" xr:uid="{00000000-0005-0000-0000-000059B80000}"/>
    <cellStyle name="常规 9 5 2 2 3 2 5 2" xfId="38266" xr:uid="{00000000-0005-0000-0000-00005AB80000}"/>
    <cellStyle name="常规 9 5 2 2 3 2 6" xfId="25978" xr:uid="{00000000-0005-0000-0000-00005BB80000}"/>
    <cellStyle name="常规 9 5 2 2 3 3" xfId="2166" xr:uid="{00000000-0005-0000-0000-00005CB80000}"/>
    <cellStyle name="常规 9 5 2 2 3 3 2" xfId="5242" xr:uid="{00000000-0005-0000-0000-00005DB80000}"/>
    <cellStyle name="常规 9 5 2 2 3 3 2 2" xfId="11386" xr:uid="{00000000-0005-0000-0000-00005EB80000}"/>
    <cellStyle name="常规 9 5 2 2 3 3 2 2 2" xfId="23674" xr:uid="{00000000-0005-0000-0000-00005FB80000}"/>
    <cellStyle name="常规 9 5 2 2 3 3 2 2 2 2" xfId="48250" xr:uid="{00000000-0005-0000-0000-000060B80000}"/>
    <cellStyle name="常规 9 5 2 2 3 3 2 2 3" xfId="35962" xr:uid="{00000000-0005-0000-0000-000061B80000}"/>
    <cellStyle name="常规 9 5 2 2 3 3 2 3" xfId="17530" xr:uid="{00000000-0005-0000-0000-000062B80000}"/>
    <cellStyle name="常规 9 5 2 2 3 3 2 3 2" xfId="42106" xr:uid="{00000000-0005-0000-0000-000063B80000}"/>
    <cellStyle name="常规 9 5 2 2 3 3 2 4" xfId="29818" xr:uid="{00000000-0005-0000-0000-000064B80000}"/>
    <cellStyle name="常规 9 5 2 2 3 3 3" xfId="8314" xr:uid="{00000000-0005-0000-0000-000065B80000}"/>
    <cellStyle name="常规 9 5 2 2 3 3 3 2" xfId="20602" xr:uid="{00000000-0005-0000-0000-000066B80000}"/>
    <cellStyle name="常规 9 5 2 2 3 3 3 2 2" xfId="45178" xr:uid="{00000000-0005-0000-0000-000067B80000}"/>
    <cellStyle name="常规 9 5 2 2 3 3 3 3" xfId="32890" xr:uid="{00000000-0005-0000-0000-000068B80000}"/>
    <cellStyle name="常规 9 5 2 2 3 3 4" xfId="14458" xr:uid="{00000000-0005-0000-0000-000069B80000}"/>
    <cellStyle name="常规 9 5 2 2 3 3 4 2" xfId="39034" xr:uid="{00000000-0005-0000-0000-00006AB80000}"/>
    <cellStyle name="常规 9 5 2 2 3 3 5" xfId="26746" xr:uid="{00000000-0005-0000-0000-00006BB80000}"/>
    <cellStyle name="常规 9 5 2 2 3 4" xfId="3706" xr:uid="{00000000-0005-0000-0000-00006CB80000}"/>
    <cellStyle name="常规 9 5 2 2 3 4 2" xfId="9850" xr:uid="{00000000-0005-0000-0000-00006DB80000}"/>
    <cellStyle name="常规 9 5 2 2 3 4 2 2" xfId="22138" xr:uid="{00000000-0005-0000-0000-00006EB80000}"/>
    <cellStyle name="常规 9 5 2 2 3 4 2 2 2" xfId="46714" xr:uid="{00000000-0005-0000-0000-00006FB80000}"/>
    <cellStyle name="常规 9 5 2 2 3 4 2 3" xfId="34426" xr:uid="{00000000-0005-0000-0000-000070B80000}"/>
    <cellStyle name="常规 9 5 2 2 3 4 3" xfId="15994" xr:uid="{00000000-0005-0000-0000-000071B80000}"/>
    <cellStyle name="常规 9 5 2 2 3 4 3 2" xfId="40570" xr:uid="{00000000-0005-0000-0000-000072B80000}"/>
    <cellStyle name="常规 9 5 2 2 3 4 4" xfId="28282" xr:uid="{00000000-0005-0000-0000-000073B80000}"/>
    <cellStyle name="常规 9 5 2 2 3 5" xfId="6778" xr:uid="{00000000-0005-0000-0000-000074B80000}"/>
    <cellStyle name="常规 9 5 2 2 3 5 2" xfId="19066" xr:uid="{00000000-0005-0000-0000-000075B80000}"/>
    <cellStyle name="常规 9 5 2 2 3 5 2 2" xfId="43642" xr:uid="{00000000-0005-0000-0000-000076B80000}"/>
    <cellStyle name="常规 9 5 2 2 3 5 3" xfId="31354" xr:uid="{00000000-0005-0000-0000-000077B80000}"/>
    <cellStyle name="常规 9 5 2 2 3 6" xfId="12922" xr:uid="{00000000-0005-0000-0000-000078B80000}"/>
    <cellStyle name="常规 9 5 2 2 3 6 2" xfId="37498" xr:uid="{00000000-0005-0000-0000-000079B80000}"/>
    <cellStyle name="常规 9 5 2 2 3 7" xfId="25210" xr:uid="{00000000-0005-0000-0000-00007AB80000}"/>
    <cellStyle name="常规 9 5 2 2 4" xfId="1014" xr:uid="{00000000-0005-0000-0000-00007BB80000}"/>
    <cellStyle name="常规 9 5 2 2 4 2" xfId="2550" xr:uid="{00000000-0005-0000-0000-00007CB80000}"/>
    <cellStyle name="常规 9 5 2 2 4 2 2" xfId="5626" xr:uid="{00000000-0005-0000-0000-00007DB80000}"/>
    <cellStyle name="常规 9 5 2 2 4 2 2 2" xfId="11770" xr:uid="{00000000-0005-0000-0000-00007EB80000}"/>
    <cellStyle name="常规 9 5 2 2 4 2 2 2 2" xfId="24058" xr:uid="{00000000-0005-0000-0000-00007FB80000}"/>
    <cellStyle name="常规 9 5 2 2 4 2 2 2 2 2" xfId="48634" xr:uid="{00000000-0005-0000-0000-000080B80000}"/>
    <cellStyle name="常规 9 5 2 2 4 2 2 2 3" xfId="36346" xr:uid="{00000000-0005-0000-0000-000081B80000}"/>
    <cellStyle name="常规 9 5 2 2 4 2 2 3" xfId="17914" xr:uid="{00000000-0005-0000-0000-000082B80000}"/>
    <cellStyle name="常规 9 5 2 2 4 2 2 3 2" xfId="42490" xr:uid="{00000000-0005-0000-0000-000083B80000}"/>
    <cellStyle name="常规 9 5 2 2 4 2 2 4" xfId="30202" xr:uid="{00000000-0005-0000-0000-000084B80000}"/>
    <cellStyle name="常规 9 5 2 2 4 2 3" xfId="8698" xr:uid="{00000000-0005-0000-0000-000085B80000}"/>
    <cellStyle name="常规 9 5 2 2 4 2 3 2" xfId="20986" xr:uid="{00000000-0005-0000-0000-000086B80000}"/>
    <cellStyle name="常规 9 5 2 2 4 2 3 2 2" xfId="45562" xr:uid="{00000000-0005-0000-0000-000087B80000}"/>
    <cellStyle name="常规 9 5 2 2 4 2 3 3" xfId="33274" xr:uid="{00000000-0005-0000-0000-000088B80000}"/>
    <cellStyle name="常规 9 5 2 2 4 2 4" xfId="14842" xr:uid="{00000000-0005-0000-0000-000089B80000}"/>
    <cellStyle name="常规 9 5 2 2 4 2 4 2" xfId="39418" xr:uid="{00000000-0005-0000-0000-00008AB80000}"/>
    <cellStyle name="常规 9 5 2 2 4 2 5" xfId="27130" xr:uid="{00000000-0005-0000-0000-00008BB80000}"/>
    <cellStyle name="常规 9 5 2 2 4 3" xfId="4090" xr:uid="{00000000-0005-0000-0000-00008CB80000}"/>
    <cellStyle name="常规 9 5 2 2 4 3 2" xfId="10234" xr:uid="{00000000-0005-0000-0000-00008DB80000}"/>
    <cellStyle name="常规 9 5 2 2 4 3 2 2" xfId="22522" xr:uid="{00000000-0005-0000-0000-00008EB80000}"/>
    <cellStyle name="常规 9 5 2 2 4 3 2 2 2" xfId="47098" xr:uid="{00000000-0005-0000-0000-00008FB80000}"/>
    <cellStyle name="常规 9 5 2 2 4 3 2 3" xfId="34810" xr:uid="{00000000-0005-0000-0000-000090B80000}"/>
    <cellStyle name="常规 9 5 2 2 4 3 3" xfId="16378" xr:uid="{00000000-0005-0000-0000-000091B80000}"/>
    <cellStyle name="常规 9 5 2 2 4 3 3 2" xfId="40954" xr:uid="{00000000-0005-0000-0000-000092B80000}"/>
    <cellStyle name="常规 9 5 2 2 4 3 4" xfId="28666" xr:uid="{00000000-0005-0000-0000-000093B80000}"/>
    <cellStyle name="常规 9 5 2 2 4 4" xfId="7162" xr:uid="{00000000-0005-0000-0000-000094B80000}"/>
    <cellStyle name="常规 9 5 2 2 4 4 2" xfId="19450" xr:uid="{00000000-0005-0000-0000-000095B80000}"/>
    <cellStyle name="常规 9 5 2 2 4 4 2 2" xfId="44026" xr:uid="{00000000-0005-0000-0000-000096B80000}"/>
    <cellStyle name="常规 9 5 2 2 4 4 3" xfId="31738" xr:uid="{00000000-0005-0000-0000-000097B80000}"/>
    <cellStyle name="常规 9 5 2 2 4 5" xfId="13306" xr:uid="{00000000-0005-0000-0000-000098B80000}"/>
    <cellStyle name="常规 9 5 2 2 4 5 2" xfId="37882" xr:uid="{00000000-0005-0000-0000-000099B80000}"/>
    <cellStyle name="常规 9 5 2 2 4 6" xfId="25594" xr:uid="{00000000-0005-0000-0000-00009AB80000}"/>
    <cellStyle name="常规 9 5 2 2 5" xfId="1782" xr:uid="{00000000-0005-0000-0000-00009BB80000}"/>
    <cellStyle name="常规 9 5 2 2 5 2" xfId="4858" xr:uid="{00000000-0005-0000-0000-00009CB80000}"/>
    <cellStyle name="常规 9 5 2 2 5 2 2" xfId="11002" xr:uid="{00000000-0005-0000-0000-00009DB80000}"/>
    <cellStyle name="常规 9 5 2 2 5 2 2 2" xfId="23290" xr:uid="{00000000-0005-0000-0000-00009EB80000}"/>
    <cellStyle name="常规 9 5 2 2 5 2 2 2 2" xfId="47866" xr:uid="{00000000-0005-0000-0000-00009FB80000}"/>
    <cellStyle name="常规 9 5 2 2 5 2 2 3" xfId="35578" xr:uid="{00000000-0005-0000-0000-0000A0B80000}"/>
    <cellStyle name="常规 9 5 2 2 5 2 3" xfId="17146" xr:uid="{00000000-0005-0000-0000-0000A1B80000}"/>
    <cellStyle name="常规 9 5 2 2 5 2 3 2" xfId="41722" xr:uid="{00000000-0005-0000-0000-0000A2B80000}"/>
    <cellStyle name="常规 9 5 2 2 5 2 4" xfId="29434" xr:uid="{00000000-0005-0000-0000-0000A3B80000}"/>
    <cellStyle name="常规 9 5 2 2 5 3" xfId="7930" xr:uid="{00000000-0005-0000-0000-0000A4B80000}"/>
    <cellStyle name="常规 9 5 2 2 5 3 2" xfId="20218" xr:uid="{00000000-0005-0000-0000-0000A5B80000}"/>
    <cellStyle name="常规 9 5 2 2 5 3 2 2" xfId="44794" xr:uid="{00000000-0005-0000-0000-0000A6B80000}"/>
    <cellStyle name="常规 9 5 2 2 5 3 3" xfId="32506" xr:uid="{00000000-0005-0000-0000-0000A7B80000}"/>
    <cellStyle name="常规 9 5 2 2 5 4" xfId="14074" xr:uid="{00000000-0005-0000-0000-0000A8B80000}"/>
    <cellStyle name="常规 9 5 2 2 5 4 2" xfId="38650" xr:uid="{00000000-0005-0000-0000-0000A9B80000}"/>
    <cellStyle name="常规 9 5 2 2 5 5" xfId="26362" xr:uid="{00000000-0005-0000-0000-0000AAB80000}"/>
    <cellStyle name="常规 9 5 2 2 6" xfId="3322" xr:uid="{00000000-0005-0000-0000-0000ABB80000}"/>
    <cellStyle name="常规 9 5 2 2 6 2" xfId="9466" xr:uid="{00000000-0005-0000-0000-0000ACB80000}"/>
    <cellStyle name="常规 9 5 2 2 6 2 2" xfId="21754" xr:uid="{00000000-0005-0000-0000-0000ADB80000}"/>
    <cellStyle name="常规 9 5 2 2 6 2 2 2" xfId="46330" xr:uid="{00000000-0005-0000-0000-0000AEB80000}"/>
    <cellStyle name="常规 9 5 2 2 6 2 3" xfId="34042" xr:uid="{00000000-0005-0000-0000-0000AFB80000}"/>
    <cellStyle name="常规 9 5 2 2 6 3" xfId="15610" xr:uid="{00000000-0005-0000-0000-0000B0B80000}"/>
    <cellStyle name="常规 9 5 2 2 6 3 2" xfId="40186" xr:uid="{00000000-0005-0000-0000-0000B1B80000}"/>
    <cellStyle name="常规 9 5 2 2 6 4" xfId="27898" xr:uid="{00000000-0005-0000-0000-0000B2B80000}"/>
    <cellStyle name="常规 9 5 2 2 7" xfId="6394" xr:uid="{00000000-0005-0000-0000-0000B3B80000}"/>
    <cellStyle name="常规 9 5 2 2 7 2" xfId="18682" xr:uid="{00000000-0005-0000-0000-0000B4B80000}"/>
    <cellStyle name="常规 9 5 2 2 7 2 2" xfId="43258" xr:uid="{00000000-0005-0000-0000-0000B5B80000}"/>
    <cellStyle name="常规 9 5 2 2 7 3" xfId="30970" xr:uid="{00000000-0005-0000-0000-0000B6B80000}"/>
    <cellStyle name="常规 9 5 2 2 8" xfId="12538" xr:uid="{00000000-0005-0000-0000-0000B7B80000}"/>
    <cellStyle name="常规 9 5 2 2 8 2" xfId="37114" xr:uid="{00000000-0005-0000-0000-0000B8B80000}"/>
    <cellStyle name="常规 9 5 2 2 9" xfId="24826" xr:uid="{00000000-0005-0000-0000-0000B9B80000}"/>
    <cellStyle name="常规 9 5 2 3" xfId="310" xr:uid="{00000000-0005-0000-0000-0000BAB80000}"/>
    <cellStyle name="常规 9 5 2 3 2" xfId="502" xr:uid="{00000000-0005-0000-0000-0000BBB80000}"/>
    <cellStyle name="常规 9 5 2 3 2 2" xfId="886" xr:uid="{00000000-0005-0000-0000-0000BCB80000}"/>
    <cellStyle name="常规 9 5 2 3 2 2 2" xfId="1654" xr:uid="{00000000-0005-0000-0000-0000BDB80000}"/>
    <cellStyle name="常规 9 5 2 3 2 2 2 2" xfId="3190" xr:uid="{00000000-0005-0000-0000-0000BEB80000}"/>
    <cellStyle name="常规 9 5 2 3 2 2 2 2 2" xfId="6266" xr:uid="{00000000-0005-0000-0000-0000BFB80000}"/>
    <cellStyle name="常规 9 5 2 3 2 2 2 2 2 2" xfId="12410" xr:uid="{00000000-0005-0000-0000-0000C0B80000}"/>
    <cellStyle name="常规 9 5 2 3 2 2 2 2 2 2 2" xfId="24698" xr:uid="{00000000-0005-0000-0000-0000C1B80000}"/>
    <cellStyle name="常规 9 5 2 3 2 2 2 2 2 2 2 2" xfId="49274" xr:uid="{00000000-0005-0000-0000-0000C2B80000}"/>
    <cellStyle name="常规 9 5 2 3 2 2 2 2 2 2 3" xfId="36986" xr:uid="{00000000-0005-0000-0000-0000C3B80000}"/>
    <cellStyle name="常规 9 5 2 3 2 2 2 2 2 3" xfId="18554" xr:uid="{00000000-0005-0000-0000-0000C4B80000}"/>
    <cellStyle name="常规 9 5 2 3 2 2 2 2 2 3 2" xfId="43130" xr:uid="{00000000-0005-0000-0000-0000C5B80000}"/>
    <cellStyle name="常规 9 5 2 3 2 2 2 2 2 4" xfId="30842" xr:uid="{00000000-0005-0000-0000-0000C6B80000}"/>
    <cellStyle name="常规 9 5 2 3 2 2 2 2 3" xfId="9338" xr:uid="{00000000-0005-0000-0000-0000C7B80000}"/>
    <cellStyle name="常规 9 5 2 3 2 2 2 2 3 2" xfId="21626" xr:uid="{00000000-0005-0000-0000-0000C8B80000}"/>
    <cellStyle name="常规 9 5 2 3 2 2 2 2 3 2 2" xfId="46202" xr:uid="{00000000-0005-0000-0000-0000C9B80000}"/>
    <cellStyle name="常规 9 5 2 3 2 2 2 2 3 3" xfId="33914" xr:uid="{00000000-0005-0000-0000-0000CAB80000}"/>
    <cellStyle name="常规 9 5 2 3 2 2 2 2 4" xfId="15482" xr:uid="{00000000-0005-0000-0000-0000CBB80000}"/>
    <cellStyle name="常规 9 5 2 3 2 2 2 2 4 2" xfId="40058" xr:uid="{00000000-0005-0000-0000-0000CCB80000}"/>
    <cellStyle name="常规 9 5 2 3 2 2 2 2 5" xfId="27770" xr:uid="{00000000-0005-0000-0000-0000CDB80000}"/>
    <cellStyle name="常规 9 5 2 3 2 2 2 3" xfId="4730" xr:uid="{00000000-0005-0000-0000-0000CEB80000}"/>
    <cellStyle name="常规 9 5 2 3 2 2 2 3 2" xfId="10874" xr:uid="{00000000-0005-0000-0000-0000CFB80000}"/>
    <cellStyle name="常规 9 5 2 3 2 2 2 3 2 2" xfId="23162" xr:uid="{00000000-0005-0000-0000-0000D0B80000}"/>
    <cellStyle name="常规 9 5 2 3 2 2 2 3 2 2 2" xfId="47738" xr:uid="{00000000-0005-0000-0000-0000D1B80000}"/>
    <cellStyle name="常规 9 5 2 3 2 2 2 3 2 3" xfId="35450" xr:uid="{00000000-0005-0000-0000-0000D2B80000}"/>
    <cellStyle name="常规 9 5 2 3 2 2 2 3 3" xfId="17018" xr:uid="{00000000-0005-0000-0000-0000D3B80000}"/>
    <cellStyle name="常规 9 5 2 3 2 2 2 3 3 2" xfId="41594" xr:uid="{00000000-0005-0000-0000-0000D4B80000}"/>
    <cellStyle name="常规 9 5 2 3 2 2 2 3 4" xfId="29306" xr:uid="{00000000-0005-0000-0000-0000D5B80000}"/>
    <cellStyle name="常规 9 5 2 3 2 2 2 4" xfId="7802" xr:uid="{00000000-0005-0000-0000-0000D6B80000}"/>
    <cellStyle name="常规 9 5 2 3 2 2 2 4 2" xfId="20090" xr:uid="{00000000-0005-0000-0000-0000D7B80000}"/>
    <cellStyle name="常规 9 5 2 3 2 2 2 4 2 2" xfId="44666" xr:uid="{00000000-0005-0000-0000-0000D8B80000}"/>
    <cellStyle name="常规 9 5 2 3 2 2 2 4 3" xfId="32378" xr:uid="{00000000-0005-0000-0000-0000D9B80000}"/>
    <cellStyle name="常规 9 5 2 3 2 2 2 5" xfId="13946" xr:uid="{00000000-0005-0000-0000-0000DAB80000}"/>
    <cellStyle name="常规 9 5 2 3 2 2 2 5 2" xfId="38522" xr:uid="{00000000-0005-0000-0000-0000DBB80000}"/>
    <cellStyle name="常规 9 5 2 3 2 2 2 6" xfId="26234" xr:uid="{00000000-0005-0000-0000-0000DCB80000}"/>
    <cellStyle name="常规 9 5 2 3 2 2 3" xfId="2422" xr:uid="{00000000-0005-0000-0000-0000DDB80000}"/>
    <cellStyle name="常规 9 5 2 3 2 2 3 2" xfId="5498" xr:uid="{00000000-0005-0000-0000-0000DEB80000}"/>
    <cellStyle name="常规 9 5 2 3 2 2 3 2 2" xfId="11642" xr:uid="{00000000-0005-0000-0000-0000DFB80000}"/>
    <cellStyle name="常规 9 5 2 3 2 2 3 2 2 2" xfId="23930" xr:uid="{00000000-0005-0000-0000-0000E0B80000}"/>
    <cellStyle name="常规 9 5 2 3 2 2 3 2 2 2 2" xfId="48506" xr:uid="{00000000-0005-0000-0000-0000E1B80000}"/>
    <cellStyle name="常规 9 5 2 3 2 2 3 2 2 3" xfId="36218" xr:uid="{00000000-0005-0000-0000-0000E2B80000}"/>
    <cellStyle name="常规 9 5 2 3 2 2 3 2 3" xfId="17786" xr:uid="{00000000-0005-0000-0000-0000E3B80000}"/>
    <cellStyle name="常规 9 5 2 3 2 2 3 2 3 2" xfId="42362" xr:uid="{00000000-0005-0000-0000-0000E4B80000}"/>
    <cellStyle name="常规 9 5 2 3 2 2 3 2 4" xfId="30074" xr:uid="{00000000-0005-0000-0000-0000E5B80000}"/>
    <cellStyle name="常规 9 5 2 3 2 2 3 3" xfId="8570" xr:uid="{00000000-0005-0000-0000-0000E6B80000}"/>
    <cellStyle name="常规 9 5 2 3 2 2 3 3 2" xfId="20858" xr:uid="{00000000-0005-0000-0000-0000E7B80000}"/>
    <cellStyle name="常规 9 5 2 3 2 2 3 3 2 2" xfId="45434" xr:uid="{00000000-0005-0000-0000-0000E8B80000}"/>
    <cellStyle name="常规 9 5 2 3 2 2 3 3 3" xfId="33146" xr:uid="{00000000-0005-0000-0000-0000E9B80000}"/>
    <cellStyle name="常规 9 5 2 3 2 2 3 4" xfId="14714" xr:uid="{00000000-0005-0000-0000-0000EAB80000}"/>
    <cellStyle name="常规 9 5 2 3 2 2 3 4 2" xfId="39290" xr:uid="{00000000-0005-0000-0000-0000EBB80000}"/>
    <cellStyle name="常规 9 5 2 3 2 2 3 5" xfId="27002" xr:uid="{00000000-0005-0000-0000-0000ECB80000}"/>
    <cellStyle name="常规 9 5 2 3 2 2 4" xfId="3962" xr:uid="{00000000-0005-0000-0000-0000EDB80000}"/>
    <cellStyle name="常规 9 5 2 3 2 2 4 2" xfId="10106" xr:uid="{00000000-0005-0000-0000-0000EEB80000}"/>
    <cellStyle name="常规 9 5 2 3 2 2 4 2 2" xfId="22394" xr:uid="{00000000-0005-0000-0000-0000EFB80000}"/>
    <cellStyle name="常规 9 5 2 3 2 2 4 2 2 2" xfId="46970" xr:uid="{00000000-0005-0000-0000-0000F0B80000}"/>
    <cellStyle name="常规 9 5 2 3 2 2 4 2 3" xfId="34682" xr:uid="{00000000-0005-0000-0000-0000F1B80000}"/>
    <cellStyle name="常规 9 5 2 3 2 2 4 3" xfId="16250" xr:uid="{00000000-0005-0000-0000-0000F2B80000}"/>
    <cellStyle name="常规 9 5 2 3 2 2 4 3 2" xfId="40826" xr:uid="{00000000-0005-0000-0000-0000F3B80000}"/>
    <cellStyle name="常规 9 5 2 3 2 2 4 4" xfId="28538" xr:uid="{00000000-0005-0000-0000-0000F4B80000}"/>
    <cellStyle name="常规 9 5 2 3 2 2 5" xfId="7034" xr:uid="{00000000-0005-0000-0000-0000F5B80000}"/>
    <cellStyle name="常规 9 5 2 3 2 2 5 2" xfId="19322" xr:uid="{00000000-0005-0000-0000-0000F6B80000}"/>
    <cellStyle name="常规 9 5 2 3 2 2 5 2 2" xfId="43898" xr:uid="{00000000-0005-0000-0000-0000F7B80000}"/>
    <cellStyle name="常规 9 5 2 3 2 2 5 3" xfId="31610" xr:uid="{00000000-0005-0000-0000-0000F8B80000}"/>
    <cellStyle name="常规 9 5 2 3 2 2 6" xfId="13178" xr:uid="{00000000-0005-0000-0000-0000F9B80000}"/>
    <cellStyle name="常规 9 5 2 3 2 2 6 2" xfId="37754" xr:uid="{00000000-0005-0000-0000-0000FAB80000}"/>
    <cellStyle name="常规 9 5 2 3 2 2 7" xfId="25466" xr:uid="{00000000-0005-0000-0000-0000FBB80000}"/>
    <cellStyle name="常规 9 5 2 3 2 3" xfId="1270" xr:uid="{00000000-0005-0000-0000-0000FCB80000}"/>
    <cellStyle name="常规 9 5 2 3 2 3 2" xfId="2806" xr:uid="{00000000-0005-0000-0000-0000FDB80000}"/>
    <cellStyle name="常规 9 5 2 3 2 3 2 2" xfId="5882" xr:uid="{00000000-0005-0000-0000-0000FEB80000}"/>
    <cellStyle name="常规 9 5 2 3 2 3 2 2 2" xfId="12026" xr:uid="{00000000-0005-0000-0000-0000FFB80000}"/>
    <cellStyle name="常规 9 5 2 3 2 3 2 2 2 2" xfId="24314" xr:uid="{00000000-0005-0000-0000-000000B90000}"/>
    <cellStyle name="常规 9 5 2 3 2 3 2 2 2 2 2" xfId="48890" xr:uid="{00000000-0005-0000-0000-000001B90000}"/>
    <cellStyle name="常规 9 5 2 3 2 3 2 2 2 3" xfId="36602" xr:uid="{00000000-0005-0000-0000-000002B90000}"/>
    <cellStyle name="常规 9 5 2 3 2 3 2 2 3" xfId="18170" xr:uid="{00000000-0005-0000-0000-000003B90000}"/>
    <cellStyle name="常规 9 5 2 3 2 3 2 2 3 2" xfId="42746" xr:uid="{00000000-0005-0000-0000-000004B90000}"/>
    <cellStyle name="常规 9 5 2 3 2 3 2 2 4" xfId="30458" xr:uid="{00000000-0005-0000-0000-000005B90000}"/>
    <cellStyle name="常规 9 5 2 3 2 3 2 3" xfId="8954" xr:uid="{00000000-0005-0000-0000-000006B90000}"/>
    <cellStyle name="常规 9 5 2 3 2 3 2 3 2" xfId="21242" xr:uid="{00000000-0005-0000-0000-000007B90000}"/>
    <cellStyle name="常规 9 5 2 3 2 3 2 3 2 2" xfId="45818" xr:uid="{00000000-0005-0000-0000-000008B90000}"/>
    <cellStyle name="常规 9 5 2 3 2 3 2 3 3" xfId="33530" xr:uid="{00000000-0005-0000-0000-000009B90000}"/>
    <cellStyle name="常规 9 5 2 3 2 3 2 4" xfId="15098" xr:uid="{00000000-0005-0000-0000-00000AB90000}"/>
    <cellStyle name="常规 9 5 2 3 2 3 2 4 2" xfId="39674" xr:uid="{00000000-0005-0000-0000-00000BB90000}"/>
    <cellStyle name="常规 9 5 2 3 2 3 2 5" xfId="27386" xr:uid="{00000000-0005-0000-0000-00000CB90000}"/>
    <cellStyle name="常规 9 5 2 3 2 3 3" xfId="4346" xr:uid="{00000000-0005-0000-0000-00000DB90000}"/>
    <cellStyle name="常规 9 5 2 3 2 3 3 2" xfId="10490" xr:uid="{00000000-0005-0000-0000-00000EB90000}"/>
    <cellStyle name="常规 9 5 2 3 2 3 3 2 2" xfId="22778" xr:uid="{00000000-0005-0000-0000-00000FB90000}"/>
    <cellStyle name="常规 9 5 2 3 2 3 3 2 2 2" xfId="47354" xr:uid="{00000000-0005-0000-0000-000010B90000}"/>
    <cellStyle name="常规 9 5 2 3 2 3 3 2 3" xfId="35066" xr:uid="{00000000-0005-0000-0000-000011B90000}"/>
    <cellStyle name="常规 9 5 2 3 2 3 3 3" xfId="16634" xr:uid="{00000000-0005-0000-0000-000012B90000}"/>
    <cellStyle name="常规 9 5 2 3 2 3 3 3 2" xfId="41210" xr:uid="{00000000-0005-0000-0000-000013B90000}"/>
    <cellStyle name="常规 9 5 2 3 2 3 3 4" xfId="28922" xr:uid="{00000000-0005-0000-0000-000014B90000}"/>
    <cellStyle name="常规 9 5 2 3 2 3 4" xfId="7418" xr:uid="{00000000-0005-0000-0000-000015B90000}"/>
    <cellStyle name="常规 9 5 2 3 2 3 4 2" xfId="19706" xr:uid="{00000000-0005-0000-0000-000016B90000}"/>
    <cellStyle name="常规 9 5 2 3 2 3 4 2 2" xfId="44282" xr:uid="{00000000-0005-0000-0000-000017B90000}"/>
    <cellStyle name="常规 9 5 2 3 2 3 4 3" xfId="31994" xr:uid="{00000000-0005-0000-0000-000018B90000}"/>
    <cellStyle name="常规 9 5 2 3 2 3 5" xfId="13562" xr:uid="{00000000-0005-0000-0000-000019B90000}"/>
    <cellStyle name="常规 9 5 2 3 2 3 5 2" xfId="38138" xr:uid="{00000000-0005-0000-0000-00001AB90000}"/>
    <cellStyle name="常规 9 5 2 3 2 3 6" xfId="25850" xr:uid="{00000000-0005-0000-0000-00001BB90000}"/>
    <cellStyle name="常规 9 5 2 3 2 4" xfId="2038" xr:uid="{00000000-0005-0000-0000-00001CB90000}"/>
    <cellStyle name="常规 9 5 2 3 2 4 2" xfId="5114" xr:uid="{00000000-0005-0000-0000-00001DB90000}"/>
    <cellStyle name="常规 9 5 2 3 2 4 2 2" xfId="11258" xr:uid="{00000000-0005-0000-0000-00001EB90000}"/>
    <cellStyle name="常规 9 5 2 3 2 4 2 2 2" xfId="23546" xr:uid="{00000000-0005-0000-0000-00001FB90000}"/>
    <cellStyle name="常规 9 5 2 3 2 4 2 2 2 2" xfId="48122" xr:uid="{00000000-0005-0000-0000-000020B90000}"/>
    <cellStyle name="常规 9 5 2 3 2 4 2 2 3" xfId="35834" xr:uid="{00000000-0005-0000-0000-000021B90000}"/>
    <cellStyle name="常规 9 5 2 3 2 4 2 3" xfId="17402" xr:uid="{00000000-0005-0000-0000-000022B90000}"/>
    <cellStyle name="常规 9 5 2 3 2 4 2 3 2" xfId="41978" xr:uid="{00000000-0005-0000-0000-000023B90000}"/>
    <cellStyle name="常规 9 5 2 3 2 4 2 4" xfId="29690" xr:uid="{00000000-0005-0000-0000-000024B90000}"/>
    <cellStyle name="常规 9 5 2 3 2 4 3" xfId="8186" xr:uid="{00000000-0005-0000-0000-000025B90000}"/>
    <cellStyle name="常规 9 5 2 3 2 4 3 2" xfId="20474" xr:uid="{00000000-0005-0000-0000-000026B90000}"/>
    <cellStyle name="常规 9 5 2 3 2 4 3 2 2" xfId="45050" xr:uid="{00000000-0005-0000-0000-000027B90000}"/>
    <cellStyle name="常规 9 5 2 3 2 4 3 3" xfId="32762" xr:uid="{00000000-0005-0000-0000-000028B90000}"/>
    <cellStyle name="常规 9 5 2 3 2 4 4" xfId="14330" xr:uid="{00000000-0005-0000-0000-000029B90000}"/>
    <cellStyle name="常规 9 5 2 3 2 4 4 2" xfId="38906" xr:uid="{00000000-0005-0000-0000-00002AB90000}"/>
    <cellStyle name="常规 9 5 2 3 2 4 5" xfId="26618" xr:uid="{00000000-0005-0000-0000-00002BB90000}"/>
    <cellStyle name="常规 9 5 2 3 2 5" xfId="3578" xr:uid="{00000000-0005-0000-0000-00002CB90000}"/>
    <cellStyle name="常规 9 5 2 3 2 5 2" xfId="9722" xr:uid="{00000000-0005-0000-0000-00002DB90000}"/>
    <cellStyle name="常规 9 5 2 3 2 5 2 2" xfId="22010" xr:uid="{00000000-0005-0000-0000-00002EB90000}"/>
    <cellStyle name="常规 9 5 2 3 2 5 2 2 2" xfId="46586" xr:uid="{00000000-0005-0000-0000-00002FB90000}"/>
    <cellStyle name="常规 9 5 2 3 2 5 2 3" xfId="34298" xr:uid="{00000000-0005-0000-0000-000030B90000}"/>
    <cellStyle name="常规 9 5 2 3 2 5 3" xfId="15866" xr:uid="{00000000-0005-0000-0000-000031B90000}"/>
    <cellStyle name="常规 9 5 2 3 2 5 3 2" xfId="40442" xr:uid="{00000000-0005-0000-0000-000032B90000}"/>
    <cellStyle name="常规 9 5 2 3 2 5 4" xfId="28154" xr:uid="{00000000-0005-0000-0000-000033B90000}"/>
    <cellStyle name="常规 9 5 2 3 2 6" xfId="6650" xr:uid="{00000000-0005-0000-0000-000034B90000}"/>
    <cellStyle name="常规 9 5 2 3 2 6 2" xfId="18938" xr:uid="{00000000-0005-0000-0000-000035B90000}"/>
    <cellStyle name="常规 9 5 2 3 2 6 2 2" xfId="43514" xr:uid="{00000000-0005-0000-0000-000036B90000}"/>
    <cellStyle name="常规 9 5 2 3 2 6 3" xfId="31226" xr:uid="{00000000-0005-0000-0000-000037B90000}"/>
    <cellStyle name="常规 9 5 2 3 2 7" xfId="12794" xr:uid="{00000000-0005-0000-0000-000038B90000}"/>
    <cellStyle name="常规 9 5 2 3 2 7 2" xfId="37370" xr:uid="{00000000-0005-0000-0000-000039B90000}"/>
    <cellStyle name="常规 9 5 2 3 2 8" xfId="25082" xr:uid="{00000000-0005-0000-0000-00003AB90000}"/>
    <cellStyle name="常规 9 5 2 3 3" xfId="694" xr:uid="{00000000-0005-0000-0000-00003BB90000}"/>
    <cellStyle name="常规 9 5 2 3 3 2" xfId="1462" xr:uid="{00000000-0005-0000-0000-00003CB90000}"/>
    <cellStyle name="常规 9 5 2 3 3 2 2" xfId="2998" xr:uid="{00000000-0005-0000-0000-00003DB90000}"/>
    <cellStyle name="常规 9 5 2 3 3 2 2 2" xfId="6074" xr:uid="{00000000-0005-0000-0000-00003EB90000}"/>
    <cellStyle name="常规 9 5 2 3 3 2 2 2 2" xfId="12218" xr:uid="{00000000-0005-0000-0000-00003FB90000}"/>
    <cellStyle name="常规 9 5 2 3 3 2 2 2 2 2" xfId="24506" xr:uid="{00000000-0005-0000-0000-000040B90000}"/>
    <cellStyle name="常规 9 5 2 3 3 2 2 2 2 2 2" xfId="49082" xr:uid="{00000000-0005-0000-0000-000041B90000}"/>
    <cellStyle name="常规 9 5 2 3 3 2 2 2 2 3" xfId="36794" xr:uid="{00000000-0005-0000-0000-000042B90000}"/>
    <cellStyle name="常规 9 5 2 3 3 2 2 2 3" xfId="18362" xr:uid="{00000000-0005-0000-0000-000043B90000}"/>
    <cellStyle name="常规 9 5 2 3 3 2 2 2 3 2" xfId="42938" xr:uid="{00000000-0005-0000-0000-000044B90000}"/>
    <cellStyle name="常规 9 5 2 3 3 2 2 2 4" xfId="30650" xr:uid="{00000000-0005-0000-0000-000045B90000}"/>
    <cellStyle name="常规 9 5 2 3 3 2 2 3" xfId="9146" xr:uid="{00000000-0005-0000-0000-000046B90000}"/>
    <cellStyle name="常规 9 5 2 3 3 2 2 3 2" xfId="21434" xr:uid="{00000000-0005-0000-0000-000047B90000}"/>
    <cellStyle name="常规 9 5 2 3 3 2 2 3 2 2" xfId="46010" xr:uid="{00000000-0005-0000-0000-000048B90000}"/>
    <cellStyle name="常规 9 5 2 3 3 2 2 3 3" xfId="33722" xr:uid="{00000000-0005-0000-0000-000049B90000}"/>
    <cellStyle name="常规 9 5 2 3 3 2 2 4" xfId="15290" xr:uid="{00000000-0005-0000-0000-00004AB90000}"/>
    <cellStyle name="常规 9 5 2 3 3 2 2 4 2" xfId="39866" xr:uid="{00000000-0005-0000-0000-00004BB90000}"/>
    <cellStyle name="常规 9 5 2 3 3 2 2 5" xfId="27578" xr:uid="{00000000-0005-0000-0000-00004CB90000}"/>
    <cellStyle name="常规 9 5 2 3 3 2 3" xfId="4538" xr:uid="{00000000-0005-0000-0000-00004DB90000}"/>
    <cellStyle name="常规 9 5 2 3 3 2 3 2" xfId="10682" xr:uid="{00000000-0005-0000-0000-00004EB90000}"/>
    <cellStyle name="常规 9 5 2 3 3 2 3 2 2" xfId="22970" xr:uid="{00000000-0005-0000-0000-00004FB90000}"/>
    <cellStyle name="常规 9 5 2 3 3 2 3 2 2 2" xfId="47546" xr:uid="{00000000-0005-0000-0000-000050B90000}"/>
    <cellStyle name="常规 9 5 2 3 3 2 3 2 3" xfId="35258" xr:uid="{00000000-0005-0000-0000-000051B90000}"/>
    <cellStyle name="常规 9 5 2 3 3 2 3 3" xfId="16826" xr:uid="{00000000-0005-0000-0000-000052B90000}"/>
    <cellStyle name="常规 9 5 2 3 3 2 3 3 2" xfId="41402" xr:uid="{00000000-0005-0000-0000-000053B90000}"/>
    <cellStyle name="常规 9 5 2 3 3 2 3 4" xfId="29114" xr:uid="{00000000-0005-0000-0000-000054B90000}"/>
    <cellStyle name="常规 9 5 2 3 3 2 4" xfId="7610" xr:uid="{00000000-0005-0000-0000-000055B90000}"/>
    <cellStyle name="常规 9 5 2 3 3 2 4 2" xfId="19898" xr:uid="{00000000-0005-0000-0000-000056B90000}"/>
    <cellStyle name="常规 9 5 2 3 3 2 4 2 2" xfId="44474" xr:uid="{00000000-0005-0000-0000-000057B90000}"/>
    <cellStyle name="常规 9 5 2 3 3 2 4 3" xfId="32186" xr:uid="{00000000-0005-0000-0000-000058B90000}"/>
    <cellStyle name="常规 9 5 2 3 3 2 5" xfId="13754" xr:uid="{00000000-0005-0000-0000-000059B90000}"/>
    <cellStyle name="常规 9 5 2 3 3 2 5 2" xfId="38330" xr:uid="{00000000-0005-0000-0000-00005AB90000}"/>
    <cellStyle name="常规 9 5 2 3 3 2 6" xfId="26042" xr:uid="{00000000-0005-0000-0000-00005BB90000}"/>
    <cellStyle name="常规 9 5 2 3 3 3" xfId="2230" xr:uid="{00000000-0005-0000-0000-00005CB90000}"/>
    <cellStyle name="常规 9 5 2 3 3 3 2" xfId="5306" xr:uid="{00000000-0005-0000-0000-00005DB90000}"/>
    <cellStyle name="常规 9 5 2 3 3 3 2 2" xfId="11450" xr:uid="{00000000-0005-0000-0000-00005EB90000}"/>
    <cellStyle name="常规 9 5 2 3 3 3 2 2 2" xfId="23738" xr:uid="{00000000-0005-0000-0000-00005FB90000}"/>
    <cellStyle name="常规 9 5 2 3 3 3 2 2 2 2" xfId="48314" xr:uid="{00000000-0005-0000-0000-000060B90000}"/>
    <cellStyle name="常规 9 5 2 3 3 3 2 2 3" xfId="36026" xr:uid="{00000000-0005-0000-0000-000061B90000}"/>
    <cellStyle name="常规 9 5 2 3 3 3 2 3" xfId="17594" xr:uid="{00000000-0005-0000-0000-000062B90000}"/>
    <cellStyle name="常规 9 5 2 3 3 3 2 3 2" xfId="42170" xr:uid="{00000000-0005-0000-0000-000063B90000}"/>
    <cellStyle name="常规 9 5 2 3 3 3 2 4" xfId="29882" xr:uid="{00000000-0005-0000-0000-000064B90000}"/>
    <cellStyle name="常规 9 5 2 3 3 3 3" xfId="8378" xr:uid="{00000000-0005-0000-0000-000065B90000}"/>
    <cellStyle name="常规 9 5 2 3 3 3 3 2" xfId="20666" xr:uid="{00000000-0005-0000-0000-000066B90000}"/>
    <cellStyle name="常规 9 5 2 3 3 3 3 2 2" xfId="45242" xr:uid="{00000000-0005-0000-0000-000067B90000}"/>
    <cellStyle name="常规 9 5 2 3 3 3 3 3" xfId="32954" xr:uid="{00000000-0005-0000-0000-000068B90000}"/>
    <cellStyle name="常规 9 5 2 3 3 3 4" xfId="14522" xr:uid="{00000000-0005-0000-0000-000069B90000}"/>
    <cellStyle name="常规 9 5 2 3 3 3 4 2" xfId="39098" xr:uid="{00000000-0005-0000-0000-00006AB90000}"/>
    <cellStyle name="常规 9 5 2 3 3 3 5" xfId="26810" xr:uid="{00000000-0005-0000-0000-00006BB90000}"/>
    <cellStyle name="常规 9 5 2 3 3 4" xfId="3770" xr:uid="{00000000-0005-0000-0000-00006CB90000}"/>
    <cellStyle name="常规 9 5 2 3 3 4 2" xfId="9914" xr:uid="{00000000-0005-0000-0000-00006DB90000}"/>
    <cellStyle name="常规 9 5 2 3 3 4 2 2" xfId="22202" xr:uid="{00000000-0005-0000-0000-00006EB90000}"/>
    <cellStyle name="常规 9 5 2 3 3 4 2 2 2" xfId="46778" xr:uid="{00000000-0005-0000-0000-00006FB90000}"/>
    <cellStyle name="常规 9 5 2 3 3 4 2 3" xfId="34490" xr:uid="{00000000-0005-0000-0000-000070B90000}"/>
    <cellStyle name="常规 9 5 2 3 3 4 3" xfId="16058" xr:uid="{00000000-0005-0000-0000-000071B90000}"/>
    <cellStyle name="常规 9 5 2 3 3 4 3 2" xfId="40634" xr:uid="{00000000-0005-0000-0000-000072B90000}"/>
    <cellStyle name="常规 9 5 2 3 3 4 4" xfId="28346" xr:uid="{00000000-0005-0000-0000-000073B90000}"/>
    <cellStyle name="常规 9 5 2 3 3 5" xfId="6842" xr:uid="{00000000-0005-0000-0000-000074B90000}"/>
    <cellStyle name="常规 9 5 2 3 3 5 2" xfId="19130" xr:uid="{00000000-0005-0000-0000-000075B90000}"/>
    <cellStyle name="常规 9 5 2 3 3 5 2 2" xfId="43706" xr:uid="{00000000-0005-0000-0000-000076B90000}"/>
    <cellStyle name="常规 9 5 2 3 3 5 3" xfId="31418" xr:uid="{00000000-0005-0000-0000-000077B90000}"/>
    <cellStyle name="常规 9 5 2 3 3 6" xfId="12986" xr:uid="{00000000-0005-0000-0000-000078B90000}"/>
    <cellStyle name="常规 9 5 2 3 3 6 2" xfId="37562" xr:uid="{00000000-0005-0000-0000-000079B90000}"/>
    <cellStyle name="常规 9 5 2 3 3 7" xfId="25274" xr:uid="{00000000-0005-0000-0000-00007AB90000}"/>
    <cellStyle name="常规 9 5 2 3 4" xfId="1078" xr:uid="{00000000-0005-0000-0000-00007BB90000}"/>
    <cellStyle name="常规 9 5 2 3 4 2" xfId="2614" xr:uid="{00000000-0005-0000-0000-00007CB90000}"/>
    <cellStyle name="常规 9 5 2 3 4 2 2" xfId="5690" xr:uid="{00000000-0005-0000-0000-00007DB90000}"/>
    <cellStyle name="常规 9 5 2 3 4 2 2 2" xfId="11834" xr:uid="{00000000-0005-0000-0000-00007EB90000}"/>
    <cellStyle name="常规 9 5 2 3 4 2 2 2 2" xfId="24122" xr:uid="{00000000-0005-0000-0000-00007FB90000}"/>
    <cellStyle name="常规 9 5 2 3 4 2 2 2 2 2" xfId="48698" xr:uid="{00000000-0005-0000-0000-000080B90000}"/>
    <cellStyle name="常规 9 5 2 3 4 2 2 2 3" xfId="36410" xr:uid="{00000000-0005-0000-0000-000081B90000}"/>
    <cellStyle name="常规 9 5 2 3 4 2 2 3" xfId="17978" xr:uid="{00000000-0005-0000-0000-000082B90000}"/>
    <cellStyle name="常规 9 5 2 3 4 2 2 3 2" xfId="42554" xr:uid="{00000000-0005-0000-0000-000083B90000}"/>
    <cellStyle name="常规 9 5 2 3 4 2 2 4" xfId="30266" xr:uid="{00000000-0005-0000-0000-000084B90000}"/>
    <cellStyle name="常规 9 5 2 3 4 2 3" xfId="8762" xr:uid="{00000000-0005-0000-0000-000085B90000}"/>
    <cellStyle name="常规 9 5 2 3 4 2 3 2" xfId="21050" xr:uid="{00000000-0005-0000-0000-000086B90000}"/>
    <cellStyle name="常规 9 5 2 3 4 2 3 2 2" xfId="45626" xr:uid="{00000000-0005-0000-0000-000087B90000}"/>
    <cellStyle name="常规 9 5 2 3 4 2 3 3" xfId="33338" xr:uid="{00000000-0005-0000-0000-000088B90000}"/>
    <cellStyle name="常规 9 5 2 3 4 2 4" xfId="14906" xr:uid="{00000000-0005-0000-0000-000089B90000}"/>
    <cellStyle name="常规 9 5 2 3 4 2 4 2" xfId="39482" xr:uid="{00000000-0005-0000-0000-00008AB90000}"/>
    <cellStyle name="常规 9 5 2 3 4 2 5" xfId="27194" xr:uid="{00000000-0005-0000-0000-00008BB90000}"/>
    <cellStyle name="常规 9 5 2 3 4 3" xfId="4154" xr:uid="{00000000-0005-0000-0000-00008CB90000}"/>
    <cellStyle name="常规 9 5 2 3 4 3 2" xfId="10298" xr:uid="{00000000-0005-0000-0000-00008DB90000}"/>
    <cellStyle name="常规 9 5 2 3 4 3 2 2" xfId="22586" xr:uid="{00000000-0005-0000-0000-00008EB90000}"/>
    <cellStyle name="常规 9 5 2 3 4 3 2 2 2" xfId="47162" xr:uid="{00000000-0005-0000-0000-00008FB90000}"/>
    <cellStyle name="常规 9 5 2 3 4 3 2 3" xfId="34874" xr:uid="{00000000-0005-0000-0000-000090B90000}"/>
    <cellStyle name="常规 9 5 2 3 4 3 3" xfId="16442" xr:uid="{00000000-0005-0000-0000-000091B90000}"/>
    <cellStyle name="常规 9 5 2 3 4 3 3 2" xfId="41018" xr:uid="{00000000-0005-0000-0000-000092B90000}"/>
    <cellStyle name="常规 9 5 2 3 4 3 4" xfId="28730" xr:uid="{00000000-0005-0000-0000-000093B90000}"/>
    <cellStyle name="常规 9 5 2 3 4 4" xfId="7226" xr:uid="{00000000-0005-0000-0000-000094B90000}"/>
    <cellStyle name="常规 9 5 2 3 4 4 2" xfId="19514" xr:uid="{00000000-0005-0000-0000-000095B90000}"/>
    <cellStyle name="常规 9 5 2 3 4 4 2 2" xfId="44090" xr:uid="{00000000-0005-0000-0000-000096B90000}"/>
    <cellStyle name="常规 9 5 2 3 4 4 3" xfId="31802" xr:uid="{00000000-0005-0000-0000-000097B90000}"/>
    <cellStyle name="常规 9 5 2 3 4 5" xfId="13370" xr:uid="{00000000-0005-0000-0000-000098B90000}"/>
    <cellStyle name="常规 9 5 2 3 4 5 2" xfId="37946" xr:uid="{00000000-0005-0000-0000-000099B90000}"/>
    <cellStyle name="常规 9 5 2 3 4 6" xfId="25658" xr:uid="{00000000-0005-0000-0000-00009AB90000}"/>
    <cellStyle name="常规 9 5 2 3 5" xfId="1846" xr:uid="{00000000-0005-0000-0000-00009BB90000}"/>
    <cellStyle name="常规 9 5 2 3 5 2" xfId="4922" xr:uid="{00000000-0005-0000-0000-00009CB90000}"/>
    <cellStyle name="常规 9 5 2 3 5 2 2" xfId="11066" xr:uid="{00000000-0005-0000-0000-00009DB90000}"/>
    <cellStyle name="常规 9 5 2 3 5 2 2 2" xfId="23354" xr:uid="{00000000-0005-0000-0000-00009EB90000}"/>
    <cellStyle name="常规 9 5 2 3 5 2 2 2 2" xfId="47930" xr:uid="{00000000-0005-0000-0000-00009FB90000}"/>
    <cellStyle name="常规 9 5 2 3 5 2 2 3" xfId="35642" xr:uid="{00000000-0005-0000-0000-0000A0B90000}"/>
    <cellStyle name="常规 9 5 2 3 5 2 3" xfId="17210" xr:uid="{00000000-0005-0000-0000-0000A1B90000}"/>
    <cellStyle name="常规 9 5 2 3 5 2 3 2" xfId="41786" xr:uid="{00000000-0005-0000-0000-0000A2B90000}"/>
    <cellStyle name="常规 9 5 2 3 5 2 4" xfId="29498" xr:uid="{00000000-0005-0000-0000-0000A3B90000}"/>
    <cellStyle name="常规 9 5 2 3 5 3" xfId="7994" xr:uid="{00000000-0005-0000-0000-0000A4B90000}"/>
    <cellStyle name="常规 9 5 2 3 5 3 2" xfId="20282" xr:uid="{00000000-0005-0000-0000-0000A5B90000}"/>
    <cellStyle name="常规 9 5 2 3 5 3 2 2" xfId="44858" xr:uid="{00000000-0005-0000-0000-0000A6B90000}"/>
    <cellStyle name="常规 9 5 2 3 5 3 3" xfId="32570" xr:uid="{00000000-0005-0000-0000-0000A7B90000}"/>
    <cellStyle name="常规 9 5 2 3 5 4" xfId="14138" xr:uid="{00000000-0005-0000-0000-0000A8B90000}"/>
    <cellStyle name="常规 9 5 2 3 5 4 2" xfId="38714" xr:uid="{00000000-0005-0000-0000-0000A9B90000}"/>
    <cellStyle name="常规 9 5 2 3 5 5" xfId="26426" xr:uid="{00000000-0005-0000-0000-0000AAB90000}"/>
    <cellStyle name="常规 9 5 2 3 6" xfId="3386" xr:uid="{00000000-0005-0000-0000-0000ABB90000}"/>
    <cellStyle name="常规 9 5 2 3 6 2" xfId="9530" xr:uid="{00000000-0005-0000-0000-0000ACB90000}"/>
    <cellStyle name="常规 9 5 2 3 6 2 2" xfId="21818" xr:uid="{00000000-0005-0000-0000-0000ADB90000}"/>
    <cellStyle name="常规 9 5 2 3 6 2 2 2" xfId="46394" xr:uid="{00000000-0005-0000-0000-0000AEB90000}"/>
    <cellStyle name="常规 9 5 2 3 6 2 3" xfId="34106" xr:uid="{00000000-0005-0000-0000-0000AFB90000}"/>
    <cellStyle name="常规 9 5 2 3 6 3" xfId="15674" xr:uid="{00000000-0005-0000-0000-0000B0B90000}"/>
    <cellStyle name="常规 9 5 2 3 6 3 2" xfId="40250" xr:uid="{00000000-0005-0000-0000-0000B1B90000}"/>
    <cellStyle name="常规 9 5 2 3 6 4" xfId="27962" xr:uid="{00000000-0005-0000-0000-0000B2B90000}"/>
    <cellStyle name="常规 9 5 2 3 7" xfId="6458" xr:uid="{00000000-0005-0000-0000-0000B3B90000}"/>
    <cellStyle name="常规 9 5 2 3 7 2" xfId="18746" xr:uid="{00000000-0005-0000-0000-0000B4B90000}"/>
    <cellStyle name="常规 9 5 2 3 7 2 2" xfId="43322" xr:uid="{00000000-0005-0000-0000-0000B5B90000}"/>
    <cellStyle name="常规 9 5 2 3 7 3" xfId="31034" xr:uid="{00000000-0005-0000-0000-0000B6B90000}"/>
    <cellStyle name="常规 9 5 2 3 8" xfId="12602" xr:uid="{00000000-0005-0000-0000-0000B7B90000}"/>
    <cellStyle name="常规 9 5 2 3 8 2" xfId="37178" xr:uid="{00000000-0005-0000-0000-0000B8B90000}"/>
    <cellStyle name="常规 9 5 2 3 9" xfId="24890" xr:uid="{00000000-0005-0000-0000-0000B9B90000}"/>
    <cellStyle name="常规 9 5 2 4" xfId="374" xr:uid="{00000000-0005-0000-0000-0000BAB90000}"/>
    <cellStyle name="常规 9 5 2 4 2" xfId="758" xr:uid="{00000000-0005-0000-0000-0000BBB90000}"/>
    <cellStyle name="常规 9 5 2 4 2 2" xfId="1526" xr:uid="{00000000-0005-0000-0000-0000BCB90000}"/>
    <cellStyle name="常规 9 5 2 4 2 2 2" xfId="3062" xr:uid="{00000000-0005-0000-0000-0000BDB90000}"/>
    <cellStyle name="常规 9 5 2 4 2 2 2 2" xfId="6138" xr:uid="{00000000-0005-0000-0000-0000BEB90000}"/>
    <cellStyle name="常规 9 5 2 4 2 2 2 2 2" xfId="12282" xr:uid="{00000000-0005-0000-0000-0000BFB90000}"/>
    <cellStyle name="常规 9 5 2 4 2 2 2 2 2 2" xfId="24570" xr:uid="{00000000-0005-0000-0000-0000C0B90000}"/>
    <cellStyle name="常规 9 5 2 4 2 2 2 2 2 2 2" xfId="49146" xr:uid="{00000000-0005-0000-0000-0000C1B90000}"/>
    <cellStyle name="常规 9 5 2 4 2 2 2 2 2 3" xfId="36858" xr:uid="{00000000-0005-0000-0000-0000C2B90000}"/>
    <cellStyle name="常规 9 5 2 4 2 2 2 2 3" xfId="18426" xr:uid="{00000000-0005-0000-0000-0000C3B90000}"/>
    <cellStyle name="常规 9 5 2 4 2 2 2 2 3 2" xfId="43002" xr:uid="{00000000-0005-0000-0000-0000C4B90000}"/>
    <cellStyle name="常规 9 5 2 4 2 2 2 2 4" xfId="30714" xr:uid="{00000000-0005-0000-0000-0000C5B90000}"/>
    <cellStyle name="常规 9 5 2 4 2 2 2 3" xfId="9210" xr:uid="{00000000-0005-0000-0000-0000C6B90000}"/>
    <cellStyle name="常规 9 5 2 4 2 2 2 3 2" xfId="21498" xr:uid="{00000000-0005-0000-0000-0000C7B90000}"/>
    <cellStyle name="常规 9 5 2 4 2 2 2 3 2 2" xfId="46074" xr:uid="{00000000-0005-0000-0000-0000C8B90000}"/>
    <cellStyle name="常规 9 5 2 4 2 2 2 3 3" xfId="33786" xr:uid="{00000000-0005-0000-0000-0000C9B90000}"/>
    <cellStyle name="常规 9 5 2 4 2 2 2 4" xfId="15354" xr:uid="{00000000-0005-0000-0000-0000CAB90000}"/>
    <cellStyle name="常规 9 5 2 4 2 2 2 4 2" xfId="39930" xr:uid="{00000000-0005-0000-0000-0000CBB90000}"/>
    <cellStyle name="常规 9 5 2 4 2 2 2 5" xfId="27642" xr:uid="{00000000-0005-0000-0000-0000CCB90000}"/>
    <cellStyle name="常规 9 5 2 4 2 2 3" xfId="4602" xr:uid="{00000000-0005-0000-0000-0000CDB90000}"/>
    <cellStyle name="常规 9 5 2 4 2 2 3 2" xfId="10746" xr:uid="{00000000-0005-0000-0000-0000CEB90000}"/>
    <cellStyle name="常规 9 5 2 4 2 2 3 2 2" xfId="23034" xr:uid="{00000000-0005-0000-0000-0000CFB90000}"/>
    <cellStyle name="常规 9 5 2 4 2 2 3 2 2 2" xfId="47610" xr:uid="{00000000-0005-0000-0000-0000D0B90000}"/>
    <cellStyle name="常规 9 5 2 4 2 2 3 2 3" xfId="35322" xr:uid="{00000000-0005-0000-0000-0000D1B90000}"/>
    <cellStyle name="常规 9 5 2 4 2 2 3 3" xfId="16890" xr:uid="{00000000-0005-0000-0000-0000D2B90000}"/>
    <cellStyle name="常规 9 5 2 4 2 2 3 3 2" xfId="41466" xr:uid="{00000000-0005-0000-0000-0000D3B90000}"/>
    <cellStyle name="常规 9 5 2 4 2 2 3 4" xfId="29178" xr:uid="{00000000-0005-0000-0000-0000D4B90000}"/>
    <cellStyle name="常规 9 5 2 4 2 2 4" xfId="7674" xr:uid="{00000000-0005-0000-0000-0000D5B90000}"/>
    <cellStyle name="常规 9 5 2 4 2 2 4 2" xfId="19962" xr:uid="{00000000-0005-0000-0000-0000D6B90000}"/>
    <cellStyle name="常规 9 5 2 4 2 2 4 2 2" xfId="44538" xr:uid="{00000000-0005-0000-0000-0000D7B90000}"/>
    <cellStyle name="常规 9 5 2 4 2 2 4 3" xfId="32250" xr:uid="{00000000-0005-0000-0000-0000D8B90000}"/>
    <cellStyle name="常规 9 5 2 4 2 2 5" xfId="13818" xr:uid="{00000000-0005-0000-0000-0000D9B90000}"/>
    <cellStyle name="常规 9 5 2 4 2 2 5 2" xfId="38394" xr:uid="{00000000-0005-0000-0000-0000DAB90000}"/>
    <cellStyle name="常规 9 5 2 4 2 2 6" xfId="26106" xr:uid="{00000000-0005-0000-0000-0000DBB90000}"/>
    <cellStyle name="常规 9 5 2 4 2 3" xfId="2294" xr:uid="{00000000-0005-0000-0000-0000DCB90000}"/>
    <cellStyle name="常规 9 5 2 4 2 3 2" xfId="5370" xr:uid="{00000000-0005-0000-0000-0000DDB90000}"/>
    <cellStyle name="常规 9 5 2 4 2 3 2 2" xfId="11514" xr:uid="{00000000-0005-0000-0000-0000DEB90000}"/>
    <cellStyle name="常规 9 5 2 4 2 3 2 2 2" xfId="23802" xr:uid="{00000000-0005-0000-0000-0000DFB90000}"/>
    <cellStyle name="常规 9 5 2 4 2 3 2 2 2 2" xfId="48378" xr:uid="{00000000-0005-0000-0000-0000E0B90000}"/>
    <cellStyle name="常规 9 5 2 4 2 3 2 2 3" xfId="36090" xr:uid="{00000000-0005-0000-0000-0000E1B90000}"/>
    <cellStyle name="常规 9 5 2 4 2 3 2 3" xfId="17658" xr:uid="{00000000-0005-0000-0000-0000E2B90000}"/>
    <cellStyle name="常规 9 5 2 4 2 3 2 3 2" xfId="42234" xr:uid="{00000000-0005-0000-0000-0000E3B90000}"/>
    <cellStyle name="常规 9 5 2 4 2 3 2 4" xfId="29946" xr:uid="{00000000-0005-0000-0000-0000E4B90000}"/>
    <cellStyle name="常规 9 5 2 4 2 3 3" xfId="8442" xr:uid="{00000000-0005-0000-0000-0000E5B90000}"/>
    <cellStyle name="常规 9 5 2 4 2 3 3 2" xfId="20730" xr:uid="{00000000-0005-0000-0000-0000E6B90000}"/>
    <cellStyle name="常规 9 5 2 4 2 3 3 2 2" xfId="45306" xr:uid="{00000000-0005-0000-0000-0000E7B90000}"/>
    <cellStyle name="常规 9 5 2 4 2 3 3 3" xfId="33018" xr:uid="{00000000-0005-0000-0000-0000E8B90000}"/>
    <cellStyle name="常规 9 5 2 4 2 3 4" xfId="14586" xr:uid="{00000000-0005-0000-0000-0000E9B90000}"/>
    <cellStyle name="常规 9 5 2 4 2 3 4 2" xfId="39162" xr:uid="{00000000-0005-0000-0000-0000EAB90000}"/>
    <cellStyle name="常规 9 5 2 4 2 3 5" xfId="26874" xr:uid="{00000000-0005-0000-0000-0000EBB90000}"/>
    <cellStyle name="常规 9 5 2 4 2 4" xfId="3834" xr:uid="{00000000-0005-0000-0000-0000ECB90000}"/>
    <cellStyle name="常规 9 5 2 4 2 4 2" xfId="9978" xr:uid="{00000000-0005-0000-0000-0000EDB90000}"/>
    <cellStyle name="常规 9 5 2 4 2 4 2 2" xfId="22266" xr:uid="{00000000-0005-0000-0000-0000EEB90000}"/>
    <cellStyle name="常规 9 5 2 4 2 4 2 2 2" xfId="46842" xr:uid="{00000000-0005-0000-0000-0000EFB90000}"/>
    <cellStyle name="常规 9 5 2 4 2 4 2 3" xfId="34554" xr:uid="{00000000-0005-0000-0000-0000F0B90000}"/>
    <cellStyle name="常规 9 5 2 4 2 4 3" xfId="16122" xr:uid="{00000000-0005-0000-0000-0000F1B90000}"/>
    <cellStyle name="常规 9 5 2 4 2 4 3 2" xfId="40698" xr:uid="{00000000-0005-0000-0000-0000F2B90000}"/>
    <cellStyle name="常规 9 5 2 4 2 4 4" xfId="28410" xr:uid="{00000000-0005-0000-0000-0000F3B90000}"/>
    <cellStyle name="常规 9 5 2 4 2 5" xfId="6906" xr:uid="{00000000-0005-0000-0000-0000F4B90000}"/>
    <cellStyle name="常规 9 5 2 4 2 5 2" xfId="19194" xr:uid="{00000000-0005-0000-0000-0000F5B90000}"/>
    <cellStyle name="常规 9 5 2 4 2 5 2 2" xfId="43770" xr:uid="{00000000-0005-0000-0000-0000F6B90000}"/>
    <cellStyle name="常规 9 5 2 4 2 5 3" xfId="31482" xr:uid="{00000000-0005-0000-0000-0000F7B90000}"/>
    <cellStyle name="常规 9 5 2 4 2 6" xfId="13050" xr:uid="{00000000-0005-0000-0000-0000F8B90000}"/>
    <cellStyle name="常规 9 5 2 4 2 6 2" xfId="37626" xr:uid="{00000000-0005-0000-0000-0000F9B90000}"/>
    <cellStyle name="常规 9 5 2 4 2 7" xfId="25338" xr:uid="{00000000-0005-0000-0000-0000FAB90000}"/>
    <cellStyle name="常规 9 5 2 4 3" xfId="1142" xr:uid="{00000000-0005-0000-0000-0000FBB90000}"/>
    <cellStyle name="常规 9 5 2 4 3 2" xfId="2678" xr:uid="{00000000-0005-0000-0000-0000FCB90000}"/>
    <cellStyle name="常规 9 5 2 4 3 2 2" xfId="5754" xr:uid="{00000000-0005-0000-0000-0000FDB90000}"/>
    <cellStyle name="常规 9 5 2 4 3 2 2 2" xfId="11898" xr:uid="{00000000-0005-0000-0000-0000FEB90000}"/>
    <cellStyle name="常规 9 5 2 4 3 2 2 2 2" xfId="24186" xr:uid="{00000000-0005-0000-0000-0000FFB90000}"/>
    <cellStyle name="常规 9 5 2 4 3 2 2 2 2 2" xfId="48762" xr:uid="{00000000-0005-0000-0000-000000BA0000}"/>
    <cellStyle name="常规 9 5 2 4 3 2 2 2 3" xfId="36474" xr:uid="{00000000-0005-0000-0000-000001BA0000}"/>
    <cellStyle name="常规 9 5 2 4 3 2 2 3" xfId="18042" xr:uid="{00000000-0005-0000-0000-000002BA0000}"/>
    <cellStyle name="常规 9 5 2 4 3 2 2 3 2" xfId="42618" xr:uid="{00000000-0005-0000-0000-000003BA0000}"/>
    <cellStyle name="常规 9 5 2 4 3 2 2 4" xfId="30330" xr:uid="{00000000-0005-0000-0000-000004BA0000}"/>
    <cellStyle name="常规 9 5 2 4 3 2 3" xfId="8826" xr:uid="{00000000-0005-0000-0000-000005BA0000}"/>
    <cellStyle name="常规 9 5 2 4 3 2 3 2" xfId="21114" xr:uid="{00000000-0005-0000-0000-000006BA0000}"/>
    <cellStyle name="常规 9 5 2 4 3 2 3 2 2" xfId="45690" xr:uid="{00000000-0005-0000-0000-000007BA0000}"/>
    <cellStyle name="常规 9 5 2 4 3 2 3 3" xfId="33402" xr:uid="{00000000-0005-0000-0000-000008BA0000}"/>
    <cellStyle name="常规 9 5 2 4 3 2 4" xfId="14970" xr:uid="{00000000-0005-0000-0000-000009BA0000}"/>
    <cellStyle name="常规 9 5 2 4 3 2 4 2" xfId="39546" xr:uid="{00000000-0005-0000-0000-00000ABA0000}"/>
    <cellStyle name="常规 9 5 2 4 3 2 5" xfId="27258" xr:uid="{00000000-0005-0000-0000-00000BBA0000}"/>
    <cellStyle name="常规 9 5 2 4 3 3" xfId="4218" xr:uid="{00000000-0005-0000-0000-00000CBA0000}"/>
    <cellStyle name="常规 9 5 2 4 3 3 2" xfId="10362" xr:uid="{00000000-0005-0000-0000-00000DBA0000}"/>
    <cellStyle name="常规 9 5 2 4 3 3 2 2" xfId="22650" xr:uid="{00000000-0005-0000-0000-00000EBA0000}"/>
    <cellStyle name="常规 9 5 2 4 3 3 2 2 2" xfId="47226" xr:uid="{00000000-0005-0000-0000-00000FBA0000}"/>
    <cellStyle name="常规 9 5 2 4 3 3 2 3" xfId="34938" xr:uid="{00000000-0005-0000-0000-000010BA0000}"/>
    <cellStyle name="常规 9 5 2 4 3 3 3" xfId="16506" xr:uid="{00000000-0005-0000-0000-000011BA0000}"/>
    <cellStyle name="常规 9 5 2 4 3 3 3 2" xfId="41082" xr:uid="{00000000-0005-0000-0000-000012BA0000}"/>
    <cellStyle name="常规 9 5 2 4 3 3 4" xfId="28794" xr:uid="{00000000-0005-0000-0000-000013BA0000}"/>
    <cellStyle name="常规 9 5 2 4 3 4" xfId="7290" xr:uid="{00000000-0005-0000-0000-000014BA0000}"/>
    <cellStyle name="常规 9 5 2 4 3 4 2" xfId="19578" xr:uid="{00000000-0005-0000-0000-000015BA0000}"/>
    <cellStyle name="常规 9 5 2 4 3 4 2 2" xfId="44154" xr:uid="{00000000-0005-0000-0000-000016BA0000}"/>
    <cellStyle name="常规 9 5 2 4 3 4 3" xfId="31866" xr:uid="{00000000-0005-0000-0000-000017BA0000}"/>
    <cellStyle name="常规 9 5 2 4 3 5" xfId="13434" xr:uid="{00000000-0005-0000-0000-000018BA0000}"/>
    <cellStyle name="常规 9 5 2 4 3 5 2" xfId="38010" xr:uid="{00000000-0005-0000-0000-000019BA0000}"/>
    <cellStyle name="常规 9 5 2 4 3 6" xfId="25722" xr:uid="{00000000-0005-0000-0000-00001ABA0000}"/>
    <cellStyle name="常规 9 5 2 4 4" xfId="1910" xr:uid="{00000000-0005-0000-0000-00001BBA0000}"/>
    <cellStyle name="常规 9 5 2 4 4 2" xfId="4986" xr:uid="{00000000-0005-0000-0000-00001CBA0000}"/>
    <cellStyle name="常规 9 5 2 4 4 2 2" xfId="11130" xr:uid="{00000000-0005-0000-0000-00001DBA0000}"/>
    <cellStyle name="常规 9 5 2 4 4 2 2 2" xfId="23418" xr:uid="{00000000-0005-0000-0000-00001EBA0000}"/>
    <cellStyle name="常规 9 5 2 4 4 2 2 2 2" xfId="47994" xr:uid="{00000000-0005-0000-0000-00001FBA0000}"/>
    <cellStyle name="常规 9 5 2 4 4 2 2 3" xfId="35706" xr:uid="{00000000-0005-0000-0000-000020BA0000}"/>
    <cellStyle name="常规 9 5 2 4 4 2 3" xfId="17274" xr:uid="{00000000-0005-0000-0000-000021BA0000}"/>
    <cellStyle name="常规 9 5 2 4 4 2 3 2" xfId="41850" xr:uid="{00000000-0005-0000-0000-000022BA0000}"/>
    <cellStyle name="常规 9 5 2 4 4 2 4" xfId="29562" xr:uid="{00000000-0005-0000-0000-000023BA0000}"/>
    <cellStyle name="常规 9 5 2 4 4 3" xfId="8058" xr:uid="{00000000-0005-0000-0000-000024BA0000}"/>
    <cellStyle name="常规 9 5 2 4 4 3 2" xfId="20346" xr:uid="{00000000-0005-0000-0000-000025BA0000}"/>
    <cellStyle name="常规 9 5 2 4 4 3 2 2" xfId="44922" xr:uid="{00000000-0005-0000-0000-000026BA0000}"/>
    <cellStyle name="常规 9 5 2 4 4 3 3" xfId="32634" xr:uid="{00000000-0005-0000-0000-000027BA0000}"/>
    <cellStyle name="常规 9 5 2 4 4 4" xfId="14202" xr:uid="{00000000-0005-0000-0000-000028BA0000}"/>
    <cellStyle name="常规 9 5 2 4 4 4 2" xfId="38778" xr:uid="{00000000-0005-0000-0000-000029BA0000}"/>
    <cellStyle name="常规 9 5 2 4 4 5" xfId="26490" xr:uid="{00000000-0005-0000-0000-00002ABA0000}"/>
    <cellStyle name="常规 9 5 2 4 5" xfId="3450" xr:uid="{00000000-0005-0000-0000-00002BBA0000}"/>
    <cellStyle name="常规 9 5 2 4 5 2" xfId="9594" xr:uid="{00000000-0005-0000-0000-00002CBA0000}"/>
    <cellStyle name="常规 9 5 2 4 5 2 2" xfId="21882" xr:uid="{00000000-0005-0000-0000-00002DBA0000}"/>
    <cellStyle name="常规 9 5 2 4 5 2 2 2" xfId="46458" xr:uid="{00000000-0005-0000-0000-00002EBA0000}"/>
    <cellStyle name="常规 9 5 2 4 5 2 3" xfId="34170" xr:uid="{00000000-0005-0000-0000-00002FBA0000}"/>
    <cellStyle name="常规 9 5 2 4 5 3" xfId="15738" xr:uid="{00000000-0005-0000-0000-000030BA0000}"/>
    <cellStyle name="常规 9 5 2 4 5 3 2" xfId="40314" xr:uid="{00000000-0005-0000-0000-000031BA0000}"/>
    <cellStyle name="常规 9 5 2 4 5 4" xfId="28026" xr:uid="{00000000-0005-0000-0000-000032BA0000}"/>
    <cellStyle name="常规 9 5 2 4 6" xfId="6522" xr:uid="{00000000-0005-0000-0000-000033BA0000}"/>
    <cellStyle name="常规 9 5 2 4 6 2" xfId="18810" xr:uid="{00000000-0005-0000-0000-000034BA0000}"/>
    <cellStyle name="常规 9 5 2 4 6 2 2" xfId="43386" xr:uid="{00000000-0005-0000-0000-000035BA0000}"/>
    <cellStyle name="常规 9 5 2 4 6 3" xfId="31098" xr:uid="{00000000-0005-0000-0000-000036BA0000}"/>
    <cellStyle name="常规 9 5 2 4 7" xfId="12666" xr:uid="{00000000-0005-0000-0000-000037BA0000}"/>
    <cellStyle name="常规 9 5 2 4 7 2" xfId="37242" xr:uid="{00000000-0005-0000-0000-000038BA0000}"/>
    <cellStyle name="常规 9 5 2 4 8" xfId="24954" xr:uid="{00000000-0005-0000-0000-000039BA0000}"/>
    <cellStyle name="常规 9 5 2 5" xfId="566" xr:uid="{00000000-0005-0000-0000-00003ABA0000}"/>
    <cellStyle name="常规 9 5 2 5 2" xfId="1334" xr:uid="{00000000-0005-0000-0000-00003BBA0000}"/>
    <cellStyle name="常规 9 5 2 5 2 2" xfId="2870" xr:uid="{00000000-0005-0000-0000-00003CBA0000}"/>
    <cellStyle name="常规 9 5 2 5 2 2 2" xfId="5946" xr:uid="{00000000-0005-0000-0000-00003DBA0000}"/>
    <cellStyle name="常规 9 5 2 5 2 2 2 2" xfId="12090" xr:uid="{00000000-0005-0000-0000-00003EBA0000}"/>
    <cellStyle name="常规 9 5 2 5 2 2 2 2 2" xfId="24378" xr:uid="{00000000-0005-0000-0000-00003FBA0000}"/>
    <cellStyle name="常规 9 5 2 5 2 2 2 2 2 2" xfId="48954" xr:uid="{00000000-0005-0000-0000-000040BA0000}"/>
    <cellStyle name="常规 9 5 2 5 2 2 2 2 3" xfId="36666" xr:uid="{00000000-0005-0000-0000-000041BA0000}"/>
    <cellStyle name="常规 9 5 2 5 2 2 2 3" xfId="18234" xr:uid="{00000000-0005-0000-0000-000042BA0000}"/>
    <cellStyle name="常规 9 5 2 5 2 2 2 3 2" xfId="42810" xr:uid="{00000000-0005-0000-0000-000043BA0000}"/>
    <cellStyle name="常规 9 5 2 5 2 2 2 4" xfId="30522" xr:uid="{00000000-0005-0000-0000-000044BA0000}"/>
    <cellStyle name="常规 9 5 2 5 2 2 3" xfId="9018" xr:uid="{00000000-0005-0000-0000-000045BA0000}"/>
    <cellStyle name="常规 9 5 2 5 2 2 3 2" xfId="21306" xr:uid="{00000000-0005-0000-0000-000046BA0000}"/>
    <cellStyle name="常规 9 5 2 5 2 2 3 2 2" xfId="45882" xr:uid="{00000000-0005-0000-0000-000047BA0000}"/>
    <cellStyle name="常规 9 5 2 5 2 2 3 3" xfId="33594" xr:uid="{00000000-0005-0000-0000-000048BA0000}"/>
    <cellStyle name="常规 9 5 2 5 2 2 4" xfId="15162" xr:uid="{00000000-0005-0000-0000-000049BA0000}"/>
    <cellStyle name="常规 9 5 2 5 2 2 4 2" xfId="39738" xr:uid="{00000000-0005-0000-0000-00004ABA0000}"/>
    <cellStyle name="常规 9 5 2 5 2 2 5" xfId="27450" xr:uid="{00000000-0005-0000-0000-00004BBA0000}"/>
    <cellStyle name="常规 9 5 2 5 2 3" xfId="4410" xr:uid="{00000000-0005-0000-0000-00004CBA0000}"/>
    <cellStyle name="常规 9 5 2 5 2 3 2" xfId="10554" xr:uid="{00000000-0005-0000-0000-00004DBA0000}"/>
    <cellStyle name="常规 9 5 2 5 2 3 2 2" xfId="22842" xr:uid="{00000000-0005-0000-0000-00004EBA0000}"/>
    <cellStyle name="常规 9 5 2 5 2 3 2 2 2" xfId="47418" xr:uid="{00000000-0005-0000-0000-00004FBA0000}"/>
    <cellStyle name="常规 9 5 2 5 2 3 2 3" xfId="35130" xr:uid="{00000000-0005-0000-0000-000050BA0000}"/>
    <cellStyle name="常规 9 5 2 5 2 3 3" xfId="16698" xr:uid="{00000000-0005-0000-0000-000051BA0000}"/>
    <cellStyle name="常规 9 5 2 5 2 3 3 2" xfId="41274" xr:uid="{00000000-0005-0000-0000-000052BA0000}"/>
    <cellStyle name="常规 9 5 2 5 2 3 4" xfId="28986" xr:uid="{00000000-0005-0000-0000-000053BA0000}"/>
    <cellStyle name="常规 9 5 2 5 2 4" xfId="7482" xr:uid="{00000000-0005-0000-0000-000054BA0000}"/>
    <cellStyle name="常规 9 5 2 5 2 4 2" xfId="19770" xr:uid="{00000000-0005-0000-0000-000055BA0000}"/>
    <cellStyle name="常规 9 5 2 5 2 4 2 2" xfId="44346" xr:uid="{00000000-0005-0000-0000-000056BA0000}"/>
    <cellStyle name="常规 9 5 2 5 2 4 3" xfId="32058" xr:uid="{00000000-0005-0000-0000-000057BA0000}"/>
    <cellStyle name="常规 9 5 2 5 2 5" xfId="13626" xr:uid="{00000000-0005-0000-0000-000058BA0000}"/>
    <cellStyle name="常规 9 5 2 5 2 5 2" xfId="38202" xr:uid="{00000000-0005-0000-0000-000059BA0000}"/>
    <cellStyle name="常规 9 5 2 5 2 6" xfId="25914" xr:uid="{00000000-0005-0000-0000-00005ABA0000}"/>
    <cellStyle name="常规 9 5 2 5 3" xfId="2102" xr:uid="{00000000-0005-0000-0000-00005BBA0000}"/>
    <cellStyle name="常规 9 5 2 5 3 2" xfId="5178" xr:uid="{00000000-0005-0000-0000-00005CBA0000}"/>
    <cellStyle name="常规 9 5 2 5 3 2 2" xfId="11322" xr:uid="{00000000-0005-0000-0000-00005DBA0000}"/>
    <cellStyle name="常规 9 5 2 5 3 2 2 2" xfId="23610" xr:uid="{00000000-0005-0000-0000-00005EBA0000}"/>
    <cellStyle name="常规 9 5 2 5 3 2 2 2 2" xfId="48186" xr:uid="{00000000-0005-0000-0000-00005FBA0000}"/>
    <cellStyle name="常规 9 5 2 5 3 2 2 3" xfId="35898" xr:uid="{00000000-0005-0000-0000-000060BA0000}"/>
    <cellStyle name="常规 9 5 2 5 3 2 3" xfId="17466" xr:uid="{00000000-0005-0000-0000-000061BA0000}"/>
    <cellStyle name="常规 9 5 2 5 3 2 3 2" xfId="42042" xr:uid="{00000000-0005-0000-0000-000062BA0000}"/>
    <cellStyle name="常规 9 5 2 5 3 2 4" xfId="29754" xr:uid="{00000000-0005-0000-0000-000063BA0000}"/>
    <cellStyle name="常规 9 5 2 5 3 3" xfId="8250" xr:uid="{00000000-0005-0000-0000-000064BA0000}"/>
    <cellStyle name="常规 9 5 2 5 3 3 2" xfId="20538" xr:uid="{00000000-0005-0000-0000-000065BA0000}"/>
    <cellStyle name="常规 9 5 2 5 3 3 2 2" xfId="45114" xr:uid="{00000000-0005-0000-0000-000066BA0000}"/>
    <cellStyle name="常规 9 5 2 5 3 3 3" xfId="32826" xr:uid="{00000000-0005-0000-0000-000067BA0000}"/>
    <cellStyle name="常规 9 5 2 5 3 4" xfId="14394" xr:uid="{00000000-0005-0000-0000-000068BA0000}"/>
    <cellStyle name="常规 9 5 2 5 3 4 2" xfId="38970" xr:uid="{00000000-0005-0000-0000-000069BA0000}"/>
    <cellStyle name="常规 9 5 2 5 3 5" xfId="26682" xr:uid="{00000000-0005-0000-0000-00006ABA0000}"/>
    <cellStyle name="常规 9 5 2 5 4" xfId="3642" xr:uid="{00000000-0005-0000-0000-00006BBA0000}"/>
    <cellStyle name="常规 9 5 2 5 4 2" xfId="9786" xr:uid="{00000000-0005-0000-0000-00006CBA0000}"/>
    <cellStyle name="常规 9 5 2 5 4 2 2" xfId="22074" xr:uid="{00000000-0005-0000-0000-00006DBA0000}"/>
    <cellStyle name="常规 9 5 2 5 4 2 2 2" xfId="46650" xr:uid="{00000000-0005-0000-0000-00006EBA0000}"/>
    <cellStyle name="常规 9 5 2 5 4 2 3" xfId="34362" xr:uid="{00000000-0005-0000-0000-00006FBA0000}"/>
    <cellStyle name="常规 9 5 2 5 4 3" xfId="15930" xr:uid="{00000000-0005-0000-0000-000070BA0000}"/>
    <cellStyle name="常规 9 5 2 5 4 3 2" xfId="40506" xr:uid="{00000000-0005-0000-0000-000071BA0000}"/>
    <cellStyle name="常规 9 5 2 5 4 4" xfId="28218" xr:uid="{00000000-0005-0000-0000-000072BA0000}"/>
    <cellStyle name="常规 9 5 2 5 5" xfId="6714" xr:uid="{00000000-0005-0000-0000-000073BA0000}"/>
    <cellStyle name="常规 9 5 2 5 5 2" xfId="19002" xr:uid="{00000000-0005-0000-0000-000074BA0000}"/>
    <cellStyle name="常规 9 5 2 5 5 2 2" xfId="43578" xr:uid="{00000000-0005-0000-0000-000075BA0000}"/>
    <cellStyle name="常规 9 5 2 5 5 3" xfId="31290" xr:uid="{00000000-0005-0000-0000-000076BA0000}"/>
    <cellStyle name="常规 9 5 2 5 6" xfId="12858" xr:uid="{00000000-0005-0000-0000-000077BA0000}"/>
    <cellStyle name="常规 9 5 2 5 6 2" xfId="37434" xr:uid="{00000000-0005-0000-0000-000078BA0000}"/>
    <cellStyle name="常规 9 5 2 5 7" xfId="25146" xr:uid="{00000000-0005-0000-0000-000079BA0000}"/>
    <cellStyle name="常规 9 5 2 6" xfId="950" xr:uid="{00000000-0005-0000-0000-00007ABA0000}"/>
    <cellStyle name="常规 9 5 2 6 2" xfId="2486" xr:uid="{00000000-0005-0000-0000-00007BBA0000}"/>
    <cellStyle name="常规 9 5 2 6 2 2" xfId="5562" xr:uid="{00000000-0005-0000-0000-00007CBA0000}"/>
    <cellStyle name="常规 9 5 2 6 2 2 2" xfId="11706" xr:uid="{00000000-0005-0000-0000-00007DBA0000}"/>
    <cellStyle name="常规 9 5 2 6 2 2 2 2" xfId="23994" xr:uid="{00000000-0005-0000-0000-00007EBA0000}"/>
    <cellStyle name="常规 9 5 2 6 2 2 2 2 2" xfId="48570" xr:uid="{00000000-0005-0000-0000-00007FBA0000}"/>
    <cellStyle name="常规 9 5 2 6 2 2 2 3" xfId="36282" xr:uid="{00000000-0005-0000-0000-000080BA0000}"/>
    <cellStyle name="常规 9 5 2 6 2 2 3" xfId="17850" xr:uid="{00000000-0005-0000-0000-000081BA0000}"/>
    <cellStyle name="常规 9 5 2 6 2 2 3 2" xfId="42426" xr:uid="{00000000-0005-0000-0000-000082BA0000}"/>
    <cellStyle name="常规 9 5 2 6 2 2 4" xfId="30138" xr:uid="{00000000-0005-0000-0000-000083BA0000}"/>
    <cellStyle name="常规 9 5 2 6 2 3" xfId="8634" xr:uid="{00000000-0005-0000-0000-000084BA0000}"/>
    <cellStyle name="常规 9 5 2 6 2 3 2" xfId="20922" xr:uid="{00000000-0005-0000-0000-000085BA0000}"/>
    <cellStyle name="常规 9 5 2 6 2 3 2 2" xfId="45498" xr:uid="{00000000-0005-0000-0000-000086BA0000}"/>
    <cellStyle name="常规 9 5 2 6 2 3 3" xfId="33210" xr:uid="{00000000-0005-0000-0000-000087BA0000}"/>
    <cellStyle name="常规 9 5 2 6 2 4" xfId="14778" xr:uid="{00000000-0005-0000-0000-000088BA0000}"/>
    <cellStyle name="常规 9 5 2 6 2 4 2" xfId="39354" xr:uid="{00000000-0005-0000-0000-000089BA0000}"/>
    <cellStyle name="常规 9 5 2 6 2 5" xfId="27066" xr:uid="{00000000-0005-0000-0000-00008ABA0000}"/>
    <cellStyle name="常规 9 5 2 6 3" xfId="4026" xr:uid="{00000000-0005-0000-0000-00008BBA0000}"/>
    <cellStyle name="常规 9 5 2 6 3 2" xfId="10170" xr:uid="{00000000-0005-0000-0000-00008CBA0000}"/>
    <cellStyle name="常规 9 5 2 6 3 2 2" xfId="22458" xr:uid="{00000000-0005-0000-0000-00008DBA0000}"/>
    <cellStyle name="常规 9 5 2 6 3 2 2 2" xfId="47034" xr:uid="{00000000-0005-0000-0000-00008EBA0000}"/>
    <cellStyle name="常规 9 5 2 6 3 2 3" xfId="34746" xr:uid="{00000000-0005-0000-0000-00008FBA0000}"/>
    <cellStyle name="常规 9 5 2 6 3 3" xfId="16314" xr:uid="{00000000-0005-0000-0000-000090BA0000}"/>
    <cellStyle name="常规 9 5 2 6 3 3 2" xfId="40890" xr:uid="{00000000-0005-0000-0000-000091BA0000}"/>
    <cellStyle name="常规 9 5 2 6 3 4" xfId="28602" xr:uid="{00000000-0005-0000-0000-000092BA0000}"/>
    <cellStyle name="常规 9 5 2 6 4" xfId="7098" xr:uid="{00000000-0005-0000-0000-000093BA0000}"/>
    <cellStyle name="常规 9 5 2 6 4 2" xfId="19386" xr:uid="{00000000-0005-0000-0000-000094BA0000}"/>
    <cellStyle name="常规 9 5 2 6 4 2 2" xfId="43962" xr:uid="{00000000-0005-0000-0000-000095BA0000}"/>
    <cellStyle name="常规 9 5 2 6 4 3" xfId="31674" xr:uid="{00000000-0005-0000-0000-000096BA0000}"/>
    <cellStyle name="常规 9 5 2 6 5" xfId="13242" xr:uid="{00000000-0005-0000-0000-000097BA0000}"/>
    <cellStyle name="常规 9 5 2 6 5 2" xfId="37818" xr:uid="{00000000-0005-0000-0000-000098BA0000}"/>
    <cellStyle name="常规 9 5 2 6 6" xfId="25530" xr:uid="{00000000-0005-0000-0000-000099BA0000}"/>
    <cellStyle name="常规 9 5 2 7" xfId="1718" xr:uid="{00000000-0005-0000-0000-00009ABA0000}"/>
    <cellStyle name="常规 9 5 2 7 2" xfId="4794" xr:uid="{00000000-0005-0000-0000-00009BBA0000}"/>
    <cellStyle name="常规 9 5 2 7 2 2" xfId="10938" xr:uid="{00000000-0005-0000-0000-00009CBA0000}"/>
    <cellStyle name="常规 9 5 2 7 2 2 2" xfId="23226" xr:uid="{00000000-0005-0000-0000-00009DBA0000}"/>
    <cellStyle name="常规 9 5 2 7 2 2 2 2" xfId="47802" xr:uid="{00000000-0005-0000-0000-00009EBA0000}"/>
    <cellStyle name="常规 9 5 2 7 2 2 3" xfId="35514" xr:uid="{00000000-0005-0000-0000-00009FBA0000}"/>
    <cellStyle name="常规 9 5 2 7 2 3" xfId="17082" xr:uid="{00000000-0005-0000-0000-0000A0BA0000}"/>
    <cellStyle name="常规 9 5 2 7 2 3 2" xfId="41658" xr:uid="{00000000-0005-0000-0000-0000A1BA0000}"/>
    <cellStyle name="常规 9 5 2 7 2 4" xfId="29370" xr:uid="{00000000-0005-0000-0000-0000A2BA0000}"/>
    <cellStyle name="常规 9 5 2 7 3" xfId="7866" xr:uid="{00000000-0005-0000-0000-0000A3BA0000}"/>
    <cellStyle name="常规 9 5 2 7 3 2" xfId="20154" xr:uid="{00000000-0005-0000-0000-0000A4BA0000}"/>
    <cellStyle name="常规 9 5 2 7 3 2 2" xfId="44730" xr:uid="{00000000-0005-0000-0000-0000A5BA0000}"/>
    <cellStyle name="常规 9 5 2 7 3 3" xfId="32442" xr:uid="{00000000-0005-0000-0000-0000A6BA0000}"/>
    <cellStyle name="常规 9 5 2 7 4" xfId="14010" xr:uid="{00000000-0005-0000-0000-0000A7BA0000}"/>
    <cellStyle name="常规 9 5 2 7 4 2" xfId="38586" xr:uid="{00000000-0005-0000-0000-0000A8BA0000}"/>
    <cellStyle name="常规 9 5 2 7 5" xfId="26298" xr:uid="{00000000-0005-0000-0000-0000A9BA0000}"/>
    <cellStyle name="常规 9 5 2 8" xfId="3258" xr:uid="{00000000-0005-0000-0000-0000AABA0000}"/>
    <cellStyle name="常规 9 5 2 8 2" xfId="9402" xr:uid="{00000000-0005-0000-0000-0000ABBA0000}"/>
    <cellStyle name="常规 9 5 2 8 2 2" xfId="21690" xr:uid="{00000000-0005-0000-0000-0000ACBA0000}"/>
    <cellStyle name="常规 9 5 2 8 2 2 2" xfId="46266" xr:uid="{00000000-0005-0000-0000-0000ADBA0000}"/>
    <cellStyle name="常规 9 5 2 8 2 3" xfId="33978" xr:uid="{00000000-0005-0000-0000-0000AEBA0000}"/>
    <cellStyle name="常规 9 5 2 8 3" xfId="15546" xr:uid="{00000000-0005-0000-0000-0000AFBA0000}"/>
    <cellStyle name="常规 9 5 2 8 3 2" xfId="40122" xr:uid="{00000000-0005-0000-0000-0000B0BA0000}"/>
    <cellStyle name="常规 9 5 2 8 4" xfId="27834" xr:uid="{00000000-0005-0000-0000-0000B1BA0000}"/>
    <cellStyle name="常规 9 5 2 9" xfId="6330" xr:uid="{00000000-0005-0000-0000-0000B2BA0000}"/>
    <cellStyle name="常规 9 5 2 9 2" xfId="18618" xr:uid="{00000000-0005-0000-0000-0000B3BA0000}"/>
    <cellStyle name="常规 9 5 2 9 2 2" xfId="43194" xr:uid="{00000000-0005-0000-0000-0000B4BA0000}"/>
    <cellStyle name="常规 9 5 2 9 3" xfId="30906" xr:uid="{00000000-0005-0000-0000-0000B5BA0000}"/>
    <cellStyle name="常规 9 5 3" xfId="214" xr:uid="{00000000-0005-0000-0000-0000B6BA0000}"/>
    <cellStyle name="常规 9 5 3 2" xfId="406" xr:uid="{00000000-0005-0000-0000-0000B7BA0000}"/>
    <cellStyle name="常规 9 5 3 2 2" xfId="790" xr:uid="{00000000-0005-0000-0000-0000B8BA0000}"/>
    <cellStyle name="常规 9 5 3 2 2 2" xfId="1558" xr:uid="{00000000-0005-0000-0000-0000B9BA0000}"/>
    <cellStyle name="常规 9 5 3 2 2 2 2" xfId="3094" xr:uid="{00000000-0005-0000-0000-0000BABA0000}"/>
    <cellStyle name="常规 9 5 3 2 2 2 2 2" xfId="6170" xr:uid="{00000000-0005-0000-0000-0000BBBA0000}"/>
    <cellStyle name="常规 9 5 3 2 2 2 2 2 2" xfId="12314" xr:uid="{00000000-0005-0000-0000-0000BCBA0000}"/>
    <cellStyle name="常规 9 5 3 2 2 2 2 2 2 2" xfId="24602" xr:uid="{00000000-0005-0000-0000-0000BDBA0000}"/>
    <cellStyle name="常规 9 5 3 2 2 2 2 2 2 2 2" xfId="49178" xr:uid="{00000000-0005-0000-0000-0000BEBA0000}"/>
    <cellStyle name="常规 9 5 3 2 2 2 2 2 2 3" xfId="36890" xr:uid="{00000000-0005-0000-0000-0000BFBA0000}"/>
    <cellStyle name="常规 9 5 3 2 2 2 2 2 3" xfId="18458" xr:uid="{00000000-0005-0000-0000-0000C0BA0000}"/>
    <cellStyle name="常规 9 5 3 2 2 2 2 2 3 2" xfId="43034" xr:uid="{00000000-0005-0000-0000-0000C1BA0000}"/>
    <cellStyle name="常规 9 5 3 2 2 2 2 2 4" xfId="30746" xr:uid="{00000000-0005-0000-0000-0000C2BA0000}"/>
    <cellStyle name="常规 9 5 3 2 2 2 2 3" xfId="9242" xr:uid="{00000000-0005-0000-0000-0000C3BA0000}"/>
    <cellStyle name="常规 9 5 3 2 2 2 2 3 2" xfId="21530" xr:uid="{00000000-0005-0000-0000-0000C4BA0000}"/>
    <cellStyle name="常规 9 5 3 2 2 2 2 3 2 2" xfId="46106" xr:uid="{00000000-0005-0000-0000-0000C5BA0000}"/>
    <cellStyle name="常规 9 5 3 2 2 2 2 3 3" xfId="33818" xr:uid="{00000000-0005-0000-0000-0000C6BA0000}"/>
    <cellStyle name="常规 9 5 3 2 2 2 2 4" xfId="15386" xr:uid="{00000000-0005-0000-0000-0000C7BA0000}"/>
    <cellStyle name="常规 9 5 3 2 2 2 2 4 2" xfId="39962" xr:uid="{00000000-0005-0000-0000-0000C8BA0000}"/>
    <cellStyle name="常规 9 5 3 2 2 2 2 5" xfId="27674" xr:uid="{00000000-0005-0000-0000-0000C9BA0000}"/>
    <cellStyle name="常规 9 5 3 2 2 2 3" xfId="4634" xr:uid="{00000000-0005-0000-0000-0000CABA0000}"/>
    <cellStyle name="常规 9 5 3 2 2 2 3 2" xfId="10778" xr:uid="{00000000-0005-0000-0000-0000CBBA0000}"/>
    <cellStyle name="常规 9 5 3 2 2 2 3 2 2" xfId="23066" xr:uid="{00000000-0005-0000-0000-0000CCBA0000}"/>
    <cellStyle name="常规 9 5 3 2 2 2 3 2 2 2" xfId="47642" xr:uid="{00000000-0005-0000-0000-0000CDBA0000}"/>
    <cellStyle name="常规 9 5 3 2 2 2 3 2 3" xfId="35354" xr:uid="{00000000-0005-0000-0000-0000CEBA0000}"/>
    <cellStyle name="常规 9 5 3 2 2 2 3 3" xfId="16922" xr:uid="{00000000-0005-0000-0000-0000CFBA0000}"/>
    <cellStyle name="常规 9 5 3 2 2 2 3 3 2" xfId="41498" xr:uid="{00000000-0005-0000-0000-0000D0BA0000}"/>
    <cellStyle name="常规 9 5 3 2 2 2 3 4" xfId="29210" xr:uid="{00000000-0005-0000-0000-0000D1BA0000}"/>
    <cellStyle name="常规 9 5 3 2 2 2 4" xfId="7706" xr:uid="{00000000-0005-0000-0000-0000D2BA0000}"/>
    <cellStyle name="常规 9 5 3 2 2 2 4 2" xfId="19994" xr:uid="{00000000-0005-0000-0000-0000D3BA0000}"/>
    <cellStyle name="常规 9 5 3 2 2 2 4 2 2" xfId="44570" xr:uid="{00000000-0005-0000-0000-0000D4BA0000}"/>
    <cellStyle name="常规 9 5 3 2 2 2 4 3" xfId="32282" xr:uid="{00000000-0005-0000-0000-0000D5BA0000}"/>
    <cellStyle name="常规 9 5 3 2 2 2 5" xfId="13850" xr:uid="{00000000-0005-0000-0000-0000D6BA0000}"/>
    <cellStyle name="常规 9 5 3 2 2 2 5 2" xfId="38426" xr:uid="{00000000-0005-0000-0000-0000D7BA0000}"/>
    <cellStyle name="常规 9 5 3 2 2 2 6" xfId="26138" xr:uid="{00000000-0005-0000-0000-0000D8BA0000}"/>
    <cellStyle name="常规 9 5 3 2 2 3" xfId="2326" xr:uid="{00000000-0005-0000-0000-0000D9BA0000}"/>
    <cellStyle name="常规 9 5 3 2 2 3 2" xfId="5402" xr:uid="{00000000-0005-0000-0000-0000DABA0000}"/>
    <cellStyle name="常规 9 5 3 2 2 3 2 2" xfId="11546" xr:uid="{00000000-0005-0000-0000-0000DBBA0000}"/>
    <cellStyle name="常规 9 5 3 2 2 3 2 2 2" xfId="23834" xr:uid="{00000000-0005-0000-0000-0000DCBA0000}"/>
    <cellStyle name="常规 9 5 3 2 2 3 2 2 2 2" xfId="48410" xr:uid="{00000000-0005-0000-0000-0000DDBA0000}"/>
    <cellStyle name="常规 9 5 3 2 2 3 2 2 3" xfId="36122" xr:uid="{00000000-0005-0000-0000-0000DEBA0000}"/>
    <cellStyle name="常规 9 5 3 2 2 3 2 3" xfId="17690" xr:uid="{00000000-0005-0000-0000-0000DFBA0000}"/>
    <cellStyle name="常规 9 5 3 2 2 3 2 3 2" xfId="42266" xr:uid="{00000000-0005-0000-0000-0000E0BA0000}"/>
    <cellStyle name="常规 9 5 3 2 2 3 2 4" xfId="29978" xr:uid="{00000000-0005-0000-0000-0000E1BA0000}"/>
    <cellStyle name="常规 9 5 3 2 2 3 3" xfId="8474" xr:uid="{00000000-0005-0000-0000-0000E2BA0000}"/>
    <cellStyle name="常规 9 5 3 2 2 3 3 2" xfId="20762" xr:uid="{00000000-0005-0000-0000-0000E3BA0000}"/>
    <cellStyle name="常规 9 5 3 2 2 3 3 2 2" xfId="45338" xr:uid="{00000000-0005-0000-0000-0000E4BA0000}"/>
    <cellStyle name="常规 9 5 3 2 2 3 3 3" xfId="33050" xr:uid="{00000000-0005-0000-0000-0000E5BA0000}"/>
    <cellStyle name="常规 9 5 3 2 2 3 4" xfId="14618" xr:uid="{00000000-0005-0000-0000-0000E6BA0000}"/>
    <cellStyle name="常规 9 5 3 2 2 3 4 2" xfId="39194" xr:uid="{00000000-0005-0000-0000-0000E7BA0000}"/>
    <cellStyle name="常规 9 5 3 2 2 3 5" xfId="26906" xr:uid="{00000000-0005-0000-0000-0000E8BA0000}"/>
    <cellStyle name="常规 9 5 3 2 2 4" xfId="3866" xr:uid="{00000000-0005-0000-0000-0000E9BA0000}"/>
    <cellStyle name="常规 9 5 3 2 2 4 2" xfId="10010" xr:uid="{00000000-0005-0000-0000-0000EABA0000}"/>
    <cellStyle name="常规 9 5 3 2 2 4 2 2" xfId="22298" xr:uid="{00000000-0005-0000-0000-0000EBBA0000}"/>
    <cellStyle name="常规 9 5 3 2 2 4 2 2 2" xfId="46874" xr:uid="{00000000-0005-0000-0000-0000ECBA0000}"/>
    <cellStyle name="常规 9 5 3 2 2 4 2 3" xfId="34586" xr:uid="{00000000-0005-0000-0000-0000EDBA0000}"/>
    <cellStyle name="常规 9 5 3 2 2 4 3" xfId="16154" xr:uid="{00000000-0005-0000-0000-0000EEBA0000}"/>
    <cellStyle name="常规 9 5 3 2 2 4 3 2" xfId="40730" xr:uid="{00000000-0005-0000-0000-0000EFBA0000}"/>
    <cellStyle name="常规 9 5 3 2 2 4 4" xfId="28442" xr:uid="{00000000-0005-0000-0000-0000F0BA0000}"/>
    <cellStyle name="常规 9 5 3 2 2 5" xfId="6938" xr:uid="{00000000-0005-0000-0000-0000F1BA0000}"/>
    <cellStyle name="常规 9 5 3 2 2 5 2" xfId="19226" xr:uid="{00000000-0005-0000-0000-0000F2BA0000}"/>
    <cellStyle name="常规 9 5 3 2 2 5 2 2" xfId="43802" xr:uid="{00000000-0005-0000-0000-0000F3BA0000}"/>
    <cellStyle name="常规 9 5 3 2 2 5 3" xfId="31514" xr:uid="{00000000-0005-0000-0000-0000F4BA0000}"/>
    <cellStyle name="常规 9 5 3 2 2 6" xfId="13082" xr:uid="{00000000-0005-0000-0000-0000F5BA0000}"/>
    <cellStyle name="常规 9 5 3 2 2 6 2" xfId="37658" xr:uid="{00000000-0005-0000-0000-0000F6BA0000}"/>
    <cellStyle name="常规 9 5 3 2 2 7" xfId="25370" xr:uid="{00000000-0005-0000-0000-0000F7BA0000}"/>
    <cellStyle name="常规 9 5 3 2 3" xfId="1174" xr:uid="{00000000-0005-0000-0000-0000F8BA0000}"/>
    <cellStyle name="常规 9 5 3 2 3 2" xfId="2710" xr:uid="{00000000-0005-0000-0000-0000F9BA0000}"/>
    <cellStyle name="常规 9 5 3 2 3 2 2" xfId="5786" xr:uid="{00000000-0005-0000-0000-0000FABA0000}"/>
    <cellStyle name="常规 9 5 3 2 3 2 2 2" xfId="11930" xr:uid="{00000000-0005-0000-0000-0000FBBA0000}"/>
    <cellStyle name="常规 9 5 3 2 3 2 2 2 2" xfId="24218" xr:uid="{00000000-0005-0000-0000-0000FCBA0000}"/>
    <cellStyle name="常规 9 5 3 2 3 2 2 2 2 2" xfId="48794" xr:uid="{00000000-0005-0000-0000-0000FDBA0000}"/>
    <cellStyle name="常规 9 5 3 2 3 2 2 2 3" xfId="36506" xr:uid="{00000000-0005-0000-0000-0000FEBA0000}"/>
    <cellStyle name="常规 9 5 3 2 3 2 2 3" xfId="18074" xr:uid="{00000000-0005-0000-0000-0000FFBA0000}"/>
    <cellStyle name="常规 9 5 3 2 3 2 2 3 2" xfId="42650" xr:uid="{00000000-0005-0000-0000-000000BB0000}"/>
    <cellStyle name="常规 9 5 3 2 3 2 2 4" xfId="30362" xr:uid="{00000000-0005-0000-0000-000001BB0000}"/>
    <cellStyle name="常规 9 5 3 2 3 2 3" xfId="8858" xr:uid="{00000000-0005-0000-0000-000002BB0000}"/>
    <cellStyle name="常规 9 5 3 2 3 2 3 2" xfId="21146" xr:uid="{00000000-0005-0000-0000-000003BB0000}"/>
    <cellStyle name="常规 9 5 3 2 3 2 3 2 2" xfId="45722" xr:uid="{00000000-0005-0000-0000-000004BB0000}"/>
    <cellStyle name="常规 9 5 3 2 3 2 3 3" xfId="33434" xr:uid="{00000000-0005-0000-0000-000005BB0000}"/>
    <cellStyle name="常规 9 5 3 2 3 2 4" xfId="15002" xr:uid="{00000000-0005-0000-0000-000006BB0000}"/>
    <cellStyle name="常规 9 5 3 2 3 2 4 2" xfId="39578" xr:uid="{00000000-0005-0000-0000-000007BB0000}"/>
    <cellStyle name="常规 9 5 3 2 3 2 5" xfId="27290" xr:uid="{00000000-0005-0000-0000-000008BB0000}"/>
    <cellStyle name="常规 9 5 3 2 3 3" xfId="4250" xr:uid="{00000000-0005-0000-0000-000009BB0000}"/>
    <cellStyle name="常规 9 5 3 2 3 3 2" xfId="10394" xr:uid="{00000000-0005-0000-0000-00000ABB0000}"/>
    <cellStyle name="常规 9 5 3 2 3 3 2 2" xfId="22682" xr:uid="{00000000-0005-0000-0000-00000BBB0000}"/>
    <cellStyle name="常规 9 5 3 2 3 3 2 2 2" xfId="47258" xr:uid="{00000000-0005-0000-0000-00000CBB0000}"/>
    <cellStyle name="常规 9 5 3 2 3 3 2 3" xfId="34970" xr:uid="{00000000-0005-0000-0000-00000DBB0000}"/>
    <cellStyle name="常规 9 5 3 2 3 3 3" xfId="16538" xr:uid="{00000000-0005-0000-0000-00000EBB0000}"/>
    <cellStyle name="常规 9 5 3 2 3 3 3 2" xfId="41114" xr:uid="{00000000-0005-0000-0000-00000FBB0000}"/>
    <cellStyle name="常规 9 5 3 2 3 3 4" xfId="28826" xr:uid="{00000000-0005-0000-0000-000010BB0000}"/>
    <cellStyle name="常规 9 5 3 2 3 4" xfId="7322" xr:uid="{00000000-0005-0000-0000-000011BB0000}"/>
    <cellStyle name="常规 9 5 3 2 3 4 2" xfId="19610" xr:uid="{00000000-0005-0000-0000-000012BB0000}"/>
    <cellStyle name="常规 9 5 3 2 3 4 2 2" xfId="44186" xr:uid="{00000000-0005-0000-0000-000013BB0000}"/>
    <cellStyle name="常规 9 5 3 2 3 4 3" xfId="31898" xr:uid="{00000000-0005-0000-0000-000014BB0000}"/>
    <cellStyle name="常规 9 5 3 2 3 5" xfId="13466" xr:uid="{00000000-0005-0000-0000-000015BB0000}"/>
    <cellStyle name="常规 9 5 3 2 3 5 2" xfId="38042" xr:uid="{00000000-0005-0000-0000-000016BB0000}"/>
    <cellStyle name="常规 9 5 3 2 3 6" xfId="25754" xr:uid="{00000000-0005-0000-0000-000017BB0000}"/>
    <cellStyle name="常规 9 5 3 2 4" xfId="1942" xr:uid="{00000000-0005-0000-0000-000018BB0000}"/>
    <cellStyle name="常规 9 5 3 2 4 2" xfId="5018" xr:uid="{00000000-0005-0000-0000-000019BB0000}"/>
    <cellStyle name="常规 9 5 3 2 4 2 2" xfId="11162" xr:uid="{00000000-0005-0000-0000-00001ABB0000}"/>
    <cellStyle name="常规 9 5 3 2 4 2 2 2" xfId="23450" xr:uid="{00000000-0005-0000-0000-00001BBB0000}"/>
    <cellStyle name="常规 9 5 3 2 4 2 2 2 2" xfId="48026" xr:uid="{00000000-0005-0000-0000-00001CBB0000}"/>
    <cellStyle name="常规 9 5 3 2 4 2 2 3" xfId="35738" xr:uid="{00000000-0005-0000-0000-00001DBB0000}"/>
    <cellStyle name="常规 9 5 3 2 4 2 3" xfId="17306" xr:uid="{00000000-0005-0000-0000-00001EBB0000}"/>
    <cellStyle name="常规 9 5 3 2 4 2 3 2" xfId="41882" xr:uid="{00000000-0005-0000-0000-00001FBB0000}"/>
    <cellStyle name="常规 9 5 3 2 4 2 4" xfId="29594" xr:uid="{00000000-0005-0000-0000-000020BB0000}"/>
    <cellStyle name="常规 9 5 3 2 4 3" xfId="8090" xr:uid="{00000000-0005-0000-0000-000021BB0000}"/>
    <cellStyle name="常规 9 5 3 2 4 3 2" xfId="20378" xr:uid="{00000000-0005-0000-0000-000022BB0000}"/>
    <cellStyle name="常规 9 5 3 2 4 3 2 2" xfId="44954" xr:uid="{00000000-0005-0000-0000-000023BB0000}"/>
    <cellStyle name="常规 9 5 3 2 4 3 3" xfId="32666" xr:uid="{00000000-0005-0000-0000-000024BB0000}"/>
    <cellStyle name="常规 9 5 3 2 4 4" xfId="14234" xr:uid="{00000000-0005-0000-0000-000025BB0000}"/>
    <cellStyle name="常规 9 5 3 2 4 4 2" xfId="38810" xr:uid="{00000000-0005-0000-0000-000026BB0000}"/>
    <cellStyle name="常规 9 5 3 2 4 5" xfId="26522" xr:uid="{00000000-0005-0000-0000-000027BB0000}"/>
    <cellStyle name="常规 9 5 3 2 5" xfId="3482" xr:uid="{00000000-0005-0000-0000-000028BB0000}"/>
    <cellStyle name="常规 9 5 3 2 5 2" xfId="9626" xr:uid="{00000000-0005-0000-0000-000029BB0000}"/>
    <cellStyle name="常规 9 5 3 2 5 2 2" xfId="21914" xr:uid="{00000000-0005-0000-0000-00002ABB0000}"/>
    <cellStyle name="常规 9 5 3 2 5 2 2 2" xfId="46490" xr:uid="{00000000-0005-0000-0000-00002BBB0000}"/>
    <cellStyle name="常规 9 5 3 2 5 2 3" xfId="34202" xr:uid="{00000000-0005-0000-0000-00002CBB0000}"/>
    <cellStyle name="常规 9 5 3 2 5 3" xfId="15770" xr:uid="{00000000-0005-0000-0000-00002DBB0000}"/>
    <cellStyle name="常规 9 5 3 2 5 3 2" xfId="40346" xr:uid="{00000000-0005-0000-0000-00002EBB0000}"/>
    <cellStyle name="常规 9 5 3 2 5 4" xfId="28058" xr:uid="{00000000-0005-0000-0000-00002FBB0000}"/>
    <cellStyle name="常规 9 5 3 2 6" xfId="6554" xr:uid="{00000000-0005-0000-0000-000030BB0000}"/>
    <cellStyle name="常规 9 5 3 2 6 2" xfId="18842" xr:uid="{00000000-0005-0000-0000-000031BB0000}"/>
    <cellStyle name="常规 9 5 3 2 6 2 2" xfId="43418" xr:uid="{00000000-0005-0000-0000-000032BB0000}"/>
    <cellStyle name="常规 9 5 3 2 6 3" xfId="31130" xr:uid="{00000000-0005-0000-0000-000033BB0000}"/>
    <cellStyle name="常规 9 5 3 2 7" xfId="12698" xr:uid="{00000000-0005-0000-0000-000034BB0000}"/>
    <cellStyle name="常规 9 5 3 2 7 2" xfId="37274" xr:uid="{00000000-0005-0000-0000-000035BB0000}"/>
    <cellStyle name="常规 9 5 3 2 8" xfId="24986" xr:uid="{00000000-0005-0000-0000-000036BB0000}"/>
    <cellStyle name="常规 9 5 3 3" xfId="598" xr:uid="{00000000-0005-0000-0000-000037BB0000}"/>
    <cellStyle name="常规 9 5 3 3 2" xfId="1366" xr:uid="{00000000-0005-0000-0000-000038BB0000}"/>
    <cellStyle name="常规 9 5 3 3 2 2" xfId="2902" xr:uid="{00000000-0005-0000-0000-000039BB0000}"/>
    <cellStyle name="常规 9 5 3 3 2 2 2" xfId="5978" xr:uid="{00000000-0005-0000-0000-00003ABB0000}"/>
    <cellStyle name="常规 9 5 3 3 2 2 2 2" xfId="12122" xr:uid="{00000000-0005-0000-0000-00003BBB0000}"/>
    <cellStyle name="常规 9 5 3 3 2 2 2 2 2" xfId="24410" xr:uid="{00000000-0005-0000-0000-00003CBB0000}"/>
    <cellStyle name="常规 9 5 3 3 2 2 2 2 2 2" xfId="48986" xr:uid="{00000000-0005-0000-0000-00003DBB0000}"/>
    <cellStyle name="常规 9 5 3 3 2 2 2 2 3" xfId="36698" xr:uid="{00000000-0005-0000-0000-00003EBB0000}"/>
    <cellStyle name="常规 9 5 3 3 2 2 2 3" xfId="18266" xr:uid="{00000000-0005-0000-0000-00003FBB0000}"/>
    <cellStyle name="常规 9 5 3 3 2 2 2 3 2" xfId="42842" xr:uid="{00000000-0005-0000-0000-000040BB0000}"/>
    <cellStyle name="常规 9 5 3 3 2 2 2 4" xfId="30554" xr:uid="{00000000-0005-0000-0000-000041BB0000}"/>
    <cellStyle name="常规 9 5 3 3 2 2 3" xfId="9050" xr:uid="{00000000-0005-0000-0000-000042BB0000}"/>
    <cellStyle name="常规 9 5 3 3 2 2 3 2" xfId="21338" xr:uid="{00000000-0005-0000-0000-000043BB0000}"/>
    <cellStyle name="常规 9 5 3 3 2 2 3 2 2" xfId="45914" xr:uid="{00000000-0005-0000-0000-000044BB0000}"/>
    <cellStyle name="常规 9 5 3 3 2 2 3 3" xfId="33626" xr:uid="{00000000-0005-0000-0000-000045BB0000}"/>
    <cellStyle name="常规 9 5 3 3 2 2 4" xfId="15194" xr:uid="{00000000-0005-0000-0000-000046BB0000}"/>
    <cellStyle name="常规 9 5 3 3 2 2 4 2" xfId="39770" xr:uid="{00000000-0005-0000-0000-000047BB0000}"/>
    <cellStyle name="常规 9 5 3 3 2 2 5" xfId="27482" xr:uid="{00000000-0005-0000-0000-000048BB0000}"/>
    <cellStyle name="常规 9 5 3 3 2 3" xfId="4442" xr:uid="{00000000-0005-0000-0000-000049BB0000}"/>
    <cellStyle name="常规 9 5 3 3 2 3 2" xfId="10586" xr:uid="{00000000-0005-0000-0000-00004ABB0000}"/>
    <cellStyle name="常规 9 5 3 3 2 3 2 2" xfId="22874" xr:uid="{00000000-0005-0000-0000-00004BBB0000}"/>
    <cellStyle name="常规 9 5 3 3 2 3 2 2 2" xfId="47450" xr:uid="{00000000-0005-0000-0000-00004CBB0000}"/>
    <cellStyle name="常规 9 5 3 3 2 3 2 3" xfId="35162" xr:uid="{00000000-0005-0000-0000-00004DBB0000}"/>
    <cellStyle name="常规 9 5 3 3 2 3 3" xfId="16730" xr:uid="{00000000-0005-0000-0000-00004EBB0000}"/>
    <cellStyle name="常规 9 5 3 3 2 3 3 2" xfId="41306" xr:uid="{00000000-0005-0000-0000-00004FBB0000}"/>
    <cellStyle name="常规 9 5 3 3 2 3 4" xfId="29018" xr:uid="{00000000-0005-0000-0000-000050BB0000}"/>
    <cellStyle name="常规 9 5 3 3 2 4" xfId="7514" xr:uid="{00000000-0005-0000-0000-000051BB0000}"/>
    <cellStyle name="常规 9 5 3 3 2 4 2" xfId="19802" xr:uid="{00000000-0005-0000-0000-000052BB0000}"/>
    <cellStyle name="常规 9 5 3 3 2 4 2 2" xfId="44378" xr:uid="{00000000-0005-0000-0000-000053BB0000}"/>
    <cellStyle name="常规 9 5 3 3 2 4 3" xfId="32090" xr:uid="{00000000-0005-0000-0000-000054BB0000}"/>
    <cellStyle name="常规 9 5 3 3 2 5" xfId="13658" xr:uid="{00000000-0005-0000-0000-000055BB0000}"/>
    <cellStyle name="常规 9 5 3 3 2 5 2" xfId="38234" xr:uid="{00000000-0005-0000-0000-000056BB0000}"/>
    <cellStyle name="常规 9 5 3 3 2 6" xfId="25946" xr:uid="{00000000-0005-0000-0000-000057BB0000}"/>
    <cellStyle name="常规 9 5 3 3 3" xfId="2134" xr:uid="{00000000-0005-0000-0000-000058BB0000}"/>
    <cellStyle name="常规 9 5 3 3 3 2" xfId="5210" xr:uid="{00000000-0005-0000-0000-000059BB0000}"/>
    <cellStyle name="常规 9 5 3 3 3 2 2" xfId="11354" xr:uid="{00000000-0005-0000-0000-00005ABB0000}"/>
    <cellStyle name="常规 9 5 3 3 3 2 2 2" xfId="23642" xr:uid="{00000000-0005-0000-0000-00005BBB0000}"/>
    <cellStyle name="常规 9 5 3 3 3 2 2 2 2" xfId="48218" xr:uid="{00000000-0005-0000-0000-00005CBB0000}"/>
    <cellStyle name="常规 9 5 3 3 3 2 2 3" xfId="35930" xr:uid="{00000000-0005-0000-0000-00005DBB0000}"/>
    <cellStyle name="常规 9 5 3 3 3 2 3" xfId="17498" xr:uid="{00000000-0005-0000-0000-00005EBB0000}"/>
    <cellStyle name="常规 9 5 3 3 3 2 3 2" xfId="42074" xr:uid="{00000000-0005-0000-0000-00005FBB0000}"/>
    <cellStyle name="常规 9 5 3 3 3 2 4" xfId="29786" xr:uid="{00000000-0005-0000-0000-000060BB0000}"/>
    <cellStyle name="常规 9 5 3 3 3 3" xfId="8282" xr:uid="{00000000-0005-0000-0000-000061BB0000}"/>
    <cellStyle name="常规 9 5 3 3 3 3 2" xfId="20570" xr:uid="{00000000-0005-0000-0000-000062BB0000}"/>
    <cellStyle name="常规 9 5 3 3 3 3 2 2" xfId="45146" xr:uid="{00000000-0005-0000-0000-000063BB0000}"/>
    <cellStyle name="常规 9 5 3 3 3 3 3" xfId="32858" xr:uid="{00000000-0005-0000-0000-000064BB0000}"/>
    <cellStyle name="常规 9 5 3 3 3 4" xfId="14426" xr:uid="{00000000-0005-0000-0000-000065BB0000}"/>
    <cellStyle name="常规 9 5 3 3 3 4 2" xfId="39002" xr:uid="{00000000-0005-0000-0000-000066BB0000}"/>
    <cellStyle name="常规 9 5 3 3 3 5" xfId="26714" xr:uid="{00000000-0005-0000-0000-000067BB0000}"/>
    <cellStyle name="常规 9 5 3 3 4" xfId="3674" xr:uid="{00000000-0005-0000-0000-000068BB0000}"/>
    <cellStyle name="常规 9 5 3 3 4 2" xfId="9818" xr:uid="{00000000-0005-0000-0000-000069BB0000}"/>
    <cellStyle name="常规 9 5 3 3 4 2 2" xfId="22106" xr:uid="{00000000-0005-0000-0000-00006ABB0000}"/>
    <cellStyle name="常规 9 5 3 3 4 2 2 2" xfId="46682" xr:uid="{00000000-0005-0000-0000-00006BBB0000}"/>
    <cellStyle name="常规 9 5 3 3 4 2 3" xfId="34394" xr:uid="{00000000-0005-0000-0000-00006CBB0000}"/>
    <cellStyle name="常规 9 5 3 3 4 3" xfId="15962" xr:uid="{00000000-0005-0000-0000-00006DBB0000}"/>
    <cellStyle name="常规 9 5 3 3 4 3 2" xfId="40538" xr:uid="{00000000-0005-0000-0000-00006EBB0000}"/>
    <cellStyle name="常规 9 5 3 3 4 4" xfId="28250" xr:uid="{00000000-0005-0000-0000-00006FBB0000}"/>
    <cellStyle name="常规 9 5 3 3 5" xfId="6746" xr:uid="{00000000-0005-0000-0000-000070BB0000}"/>
    <cellStyle name="常规 9 5 3 3 5 2" xfId="19034" xr:uid="{00000000-0005-0000-0000-000071BB0000}"/>
    <cellStyle name="常规 9 5 3 3 5 2 2" xfId="43610" xr:uid="{00000000-0005-0000-0000-000072BB0000}"/>
    <cellStyle name="常规 9 5 3 3 5 3" xfId="31322" xr:uid="{00000000-0005-0000-0000-000073BB0000}"/>
    <cellStyle name="常规 9 5 3 3 6" xfId="12890" xr:uid="{00000000-0005-0000-0000-000074BB0000}"/>
    <cellStyle name="常规 9 5 3 3 6 2" xfId="37466" xr:uid="{00000000-0005-0000-0000-000075BB0000}"/>
    <cellStyle name="常规 9 5 3 3 7" xfId="25178" xr:uid="{00000000-0005-0000-0000-000076BB0000}"/>
    <cellStyle name="常规 9 5 3 4" xfId="982" xr:uid="{00000000-0005-0000-0000-000077BB0000}"/>
    <cellStyle name="常规 9 5 3 4 2" xfId="2518" xr:uid="{00000000-0005-0000-0000-000078BB0000}"/>
    <cellStyle name="常规 9 5 3 4 2 2" xfId="5594" xr:uid="{00000000-0005-0000-0000-000079BB0000}"/>
    <cellStyle name="常规 9 5 3 4 2 2 2" xfId="11738" xr:uid="{00000000-0005-0000-0000-00007ABB0000}"/>
    <cellStyle name="常规 9 5 3 4 2 2 2 2" xfId="24026" xr:uid="{00000000-0005-0000-0000-00007BBB0000}"/>
    <cellStyle name="常规 9 5 3 4 2 2 2 2 2" xfId="48602" xr:uid="{00000000-0005-0000-0000-00007CBB0000}"/>
    <cellStyle name="常规 9 5 3 4 2 2 2 3" xfId="36314" xr:uid="{00000000-0005-0000-0000-00007DBB0000}"/>
    <cellStyle name="常规 9 5 3 4 2 2 3" xfId="17882" xr:uid="{00000000-0005-0000-0000-00007EBB0000}"/>
    <cellStyle name="常规 9 5 3 4 2 2 3 2" xfId="42458" xr:uid="{00000000-0005-0000-0000-00007FBB0000}"/>
    <cellStyle name="常规 9 5 3 4 2 2 4" xfId="30170" xr:uid="{00000000-0005-0000-0000-000080BB0000}"/>
    <cellStyle name="常规 9 5 3 4 2 3" xfId="8666" xr:uid="{00000000-0005-0000-0000-000081BB0000}"/>
    <cellStyle name="常规 9 5 3 4 2 3 2" xfId="20954" xr:uid="{00000000-0005-0000-0000-000082BB0000}"/>
    <cellStyle name="常规 9 5 3 4 2 3 2 2" xfId="45530" xr:uid="{00000000-0005-0000-0000-000083BB0000}"/>
    <cellStyle name="常规 9 5 3 4 2 3 3" xfId="33242" xr:uid="{00000000-0005-0000-0000-000084BB0000}"/>
    <cellStyle name="常规 9 5 3 4 2 4" xfId="14810" xr:uid="{00000000-0005-0000-0000-000085BB0000}"/>
    <cellStyle name="常规 9 5 3 4 2 4 2" xfId="39386" xr:uid="{00000000-0005-0000-0000-000086BB0000}"/>
    <cellStyle name="常规 9 5 3 4 2 5" xfId="27098" xr:uid="{00000000-0005-0000-0000-000087BB0000}"/>
    <cellStyle name="常规 9 5 3 4 3" xfId="4058" xr:uid="{00000000-0005-0000-0000-000088BB0000}"/>
    <cellStyle name="常规 9 5 3 4 3 2" xfId="10202" xr:uid="{00000000-0005-0000-0000-000089BB0000}"/>
    <cellStyle name="常规 9 5 3 4 3 2 2" xfId="22490" xr:uid="{00000000-0005-0000-0000-00008ABB0000}"/>
    <cellStyle name="常规 9 5 3 4 3 2 2 2" xfId="47066" xr:uid="{00000000-0005-0000-0000-00008BBB0000}"/>
    <cellStyle name="常规 9 5 3 4 3 2 3" xfId="34778" xr:uid="{00000000-0005-0000-0000-00008CBB0000}"/>
    <cellStyle name="常规 9 5 3 4 3 3" xfId="16346" xr:uid="{00000000-0005-0000-0000-00008DBB0000}"/>
    <cellStyle name="常规 9 5 3 4 3 3 2" xfId="40922" xr:uid="{00000000-0005-0000-0000-00008EBB0000}"/>
    <cellStyle name="常规 9 5 3 4 3 4" xfId="28634" xr:uid="{00000000-0005-0000-0000-00008FBB0000}"/>
    <cellStyle name="常规 9 5 3 4 4" xfId="7130" xr:uid="{00000000-0005-0000-0000-000090BB0000}"/>
    <cellStyle name="常规 9 5 3 4 4 2" xfId="19418" xr:uid="{00000000-0005-0000-0000-000091BB0000}"/>
    <cellStyle name="常规 9 5 3 4 4 2 2" xfId="43994" xr:uid="{00000000-0005-0000-0000-000092BB0000}"/>
    <cellStyle name="常规 9 5 3 4 4 3" xfId="31706" xr:uid="{00000000-0005-0000-0000-000093BB0000}"/>
    <cellStyle name="常规 9 5 3 4 5" xfId="13274" xr:uid="{00000000-0005-0000-0000-000094BB0000}"/>
    <cellStyle name="常规 9 5 3 4 5 2" xfId="37850" xr:uid="{00000000-0005-0000-0000-000095BB0000}"/>
    <cellStyle name="常规 9 5 3 4 6" xfId="25562" xr:uid="{00000000-0005-0000-0000-000096BB0000}"/>
    <cellStyle name="常规 9 5 3 5" xfId="1750" xr:uid="{00000000-0005-0000-0000-000097BB0000}"/>
    <cellStyle name="常规 9 5 3 5 2" xfId="4826" xr:uid="{00000000-0005-0000-0000-000098BB0000}"/>
    <cellStyle name="常规 9 5 3 5 2 2" xfId="10970" xr:uid="{00000000-0005-0000-0000-000099BB0000}"/>
    <cellStyle name="常规 9 5 3 5 2 2 2" xfId="23258" xr:uid="{00000000-0005-0000-0000-00009ABB0000}"/>
    <cellStyle name="常规 9 5 3 5 2 2 2 2" xfId="47834" xr:uid="{00000000-0005-0000-0000-00009BBB0000}"/>
    <cellStyle name="常规 9 5 3 5 2 2 3" xfId="35546" xr:uid="{00000000-0005-0000-0000-00009CBB0000}"/>
    <cellStyle name="常规 9 5 3 5 2 3" xfId="17114" xr:uid="{00000000-0005-0000-0000-00009DBB0000}"/>
    <cellStyle name="常规 9 5 3 5 2 3 2" xfId="41690" xr:uid="{00000000-0005-0000-0000-00009EBB0000}"/>
    <cellStyle name="常规 9 5 3 5 2 4" xfId="29402" xr:uid="{00000000-0005-0000-0000-00009FBB0000}"/>
    <cellStyle name="常规 9 5 3 5 3" xfId="7898" xr:uid="{00000000-0005-0000-0000-0000A0BB0000}"/>
    <cellStyle name="常规 9 5 3 5 3 2" xfId="20186" xr:uid="{00000000-0005-0000-0000-0000A1BB0000}"/>
    <cellStyle name="常规 9 5 3 5 3 2 2" xfId="44762" xr:uid="{00000000-0005-0000-0000-0000A2BB0000}"/>
    <cellStyle name="常规 9 5 3 5 3 3" xfId="32474" xr:uid="{00000000-0005-0000-0000-0000A3BB0000}"/>
    <cellStyle name="常规 9 5 3 5 4" xfId="14042" xr:uid="{00000000-0005-0000-0000-0000A4BB0000}"/>
    <cellStyle name="常规 9 5 3 5 4 2" xfId="38618" xr:uid="{00000000-0005-0000-0000-0000A5BB0000}"/>
    <cellStyle name="常规 9 5 3 5 5" xfId="26330" xr:uid="{00000000-0005-0000-0000-0000A6BB0000}"/>
    <cellStyle name="常规 9 5 3 6" xfId="3290" xr:uid="{00000000-0005-0000-0000-0000A7BB0000}"/>
    <cellStyle name="常规 9 5 3 6 2" xfId="9434" xr:uid="{00000000-0005-0000-0000-0000A8BB0000}"/>
    <cellStyle name="常规 9 5 3 6 2 2" xfId="21722" xr:uid="{00000000-0005-0000-0000-0000A9BB0000}"/>
    <cellStyle name="常规 9 5 3 6 2 2 2" xfId="46298" xr:uid="{00000000-0005-0000-0000-0000AABB0000}"/>
    <cellStyle name="常规 9 5 3 6 2 3" xfId="34010" xr:uid="{00000000-0005-0000-0000-0000ABBB0000}"/>
    <cellStyle name="常规 9 5 3 6 3" xfId="15578" xr:uid="{00000000-0005-0000-0000-0000ACBB0000}"/>
    <cellStyle name="常规 9 5 3 6 3 2" xfId="40154" xr:uid="{00000000-0005-0000-0000-0000ADBB0000}"/>
    <cellStyle name="常规 9 5 3 6 4" xfId="27866" xr:uid="{00000000-0005-0000-0000-0000AEBB0000}"/>
    <cellStyle name="常规 9 5 3 7" xfId="6362" xr:uid="{00000000-0005-0000-0000-0000AFBB0000}"/>
    <cellStyle name="常规 9 5 3 7 2" xfId="18650" xr:uid="{00000000-0005-0000-0000-0000B0BB0000}"/>
    <cellStyle name="常规 9 5 3 7 2 2" xfId="43226" xr:uid="{00000000-0005-0000-0000-0000B1BB0000}"/>
    <cellStyle name="常规 9 5 3 7 3" xfId="30938" xr:uid="{00000000-0005-0000-0000-0000B2BB0000}"/>
    <cellStyle name="常规 9 5 3 8" xfId="12506" xr:uid="{00000000-0005-0000-0000-0000B3BB0000}"/>
    <cellStyle name="常规 9 5 3 8 2" xfId="37082" xr:uid="{00000000-0005-0000-0000-0000B4BB0000}"/>
    <cellStyle name="常规 9 5 3 9" xfId="24794" xr:uid="{00000000-0005-0000-0000-0000B5BB0000}"/>
    <cellStyle name="常规 9 5 4" xfId="278" xr:uid="{00000000-0005-0000-0000-0000B6BB0000}"/>
    <cellStyle name="常规 9 5 4 2" xfId="470" xr:uid="{00000000-0005-0000-0000-0000B7BB0000}"/>
    <cellStyle name="常规 9 5 4 2 2" xfId="854" xr:uid="{00000000-0005-0000-0000-0000B8BB0000}"/>
    <cellStyle name="常规 9 5 4 2 2 2" xfId="1622" xr:uid="{00000000-0005-0000-0000-0000B9BB0000}"/>
    <cellStyle name="常规 9 5 4 2 2 2 2" xfId="3158" xr:uid="{00000000-0005-0000-0000-0000BABB0000}"/>
    <cellStyle name="常规 9 5 4 2 2 2 2 2" xfId="6234" xr:uid="{00000000-0005-0000-0000-0000BBBB0000}"/>
    <cellStyle name="常规 9 5 4 2 2 2 2 2 2" xfId="12378" xr:uid="{00000000-0005-0000-0000-0000BCBB0000}"/>
    <cellStyle name="常规 9 5 4 2 2 2 2 2 2 2" xfId="24666" xr:uid="{00000000-0005-0000-0000-0000BDBB0000}"/>
    <cellStyle name="常规 9 5 4 2 2 2 2 2 2 2 2" xfId="49242" xr:uid="{00000000-0005-0000-0000-0000BEBB0000}"/>
    <cellStyle name="常规 9 5 4 2 2 2 2 2 2 3" xfId="36954" xr:uid="{00000000-0005-0000-0000-0000BFBB0000}"/>
    <cellStyle name="常规 9 5 4 2 2 2 2 2 3" xfId="18522" xr:uid="{00000000-0005-0000-0000-0000C0BB0000}"/>
    <cellStyle name="常规 9 5 4 2 2 2 2 2 3 2" xfId="43098" xr:uid="{00000000-0005-0000-0000-0000C1BB0000}"/>
    <cellStyle name="常规 9 5 4 2 2 2 2 2 4" xfId="30810" xr:uid="{00000000-0005-0000-0000-0000C2BB0000}"/>
    <cellStyle name="常规 9 5 4 2 2 2 2 3" xfId="9306" xr:uid="{00000000-0005-0000-0000-0000C3BB0000}"/>
    <cellStyle name="常规 9 5 4 2 2 2 2 3 2" xfId="21594" xr:uid="{00000000-0005-0000-0000-0000C4BB0000}"/>
    <cellStyle name="常规 9 5 4 2 2 2 2 3 2 2" xfId="46170" xr:uid="{00000000-0005-0000-0000-0000C5BB0000}"/>
    <cellStyle name="常规 9 5 4 2 2 2 2 3 3" xfId="33882" xr:uid="{00000000-0005-0000-0000-0000C6BB0000}"/>
    <cellStyle name="常规 9 5 4 2 2 2 2 4" xfId="15450" xr:uid="{00000000-0005-0000-0000-0000C7BB0000}"/>
    <cellStyle name="常规 9 5 4 2 2 2 2 4 2" xfId="40026" xr:uid="{00000000-0005-0000-0000-0000C8BB0000}"/>
    <cellStyle name="常规 9 5 4 2 2 2 2 5" xfId="27738" xr:uid="{00000000-0005-0000-0000-0000C9BB0000}"/>
    <cellStyle name="常规 9 5 4 2 2 2 3" xfId="4698" xr:uid="{00000000-0005-0000-0000-0000CABB0000}"/>
    <cellStyle name="常规 9 5 4 2 2 2 3 2" xfId="10842" xr:uid="{00000000-0005-0000-0000-0000CBBB0000}"/>
    <cellStyle name="常规 9 5 4 2 2 2 3 2 2" xfId="23130" xr:uid="{00000000-0005-0000-0000-0000CCBB0000}"/>
    <cellStyle name="常规 9 5 4 2 2 2 3 2 2 2" xfId="47706" xr:uid="{00000000-0005-0000-0000-0000CDBB0000}"/>
    <cellStyle name="常规 9 5 4 2 2 2 3 2 3" xfId="35418" xr:uid="{00000000-0005-0000-0000-0000CEBB0000}"/>
    <cellStyle name="常规 9 5 4 2 2 2 3 3" xfId="16986" xr:uid="{00000000-0005-0000-0000-0000CFBB0000}"/>
    <cellStyle name="常规 9 5 4 2 2 2 3 3 2" xfId="41562" xr:uid="{00000000-0005-0000-0000-0000D0BB0000}"/>
    <cellStyle name="常规 9 5 4 2 2 2 3 4" xfId="29274" xr:uid="{00000000-0005-0000-0000-0000D1BB0000}"/>
    <cellStyle name="常规 9 5 4 2 2 2 4" xfId="7770" xr:uid="{00000000-0005-0000-0000-0000D2BB0000}"/>
    <cellStyle name="常规 9 5 4 2 2 2 4 2" xfId="20058" xr:uid="{00000000-0005-0000-0000-0000D3BB0000}"/>
    <cellStyle name="常规 9 5 4 2 2 2 4 2 2" xfId="44634" xr:uid="{00000000-0005-0000-0000-0000D4BB0000}"/>
    <cellStyle name="常规 9 5 4 2 2 2 4 3" xfId="32346" xr:uid="{00000000-0005-0000-0000-0000D5BB0000}"/>
    <cellStyle name="常规 9 5 4 2 2 2 5" xfId="13914" xr:uid="{00000000-0005-0000-0000-0000D6BB0000}"/>
    <cellStyle name="常规 9 5 4 2 2 2 5 2" xfId="38490" xr:uid="{00000000-0005-0000-0000-0000D7BB0000}"/>
    <cellStyle name="常规 9 5 4 2 2 2 6" xfId="26202" xr:uid="{00000000-0005-0000-0000-0000D8BB0000}"/>
    <cellStyle name="常规 9 5 4 2 2 3" xfId="2390" xr:uid="{00000000-0005-0000-0000-0000D9BB0000}"/>
    <cellStyle name="常规 9 5 4 2 2 3 2" xfId="5466" xr:uid="{00000000-0005-0000-0000-0000DABB0000}"/>
    <cellStyle name="常规 9 5 4 2 2 3 2 2" xfId="11610" xr:uid="{00000000-0005-0000-0000-0000DBBB0000}"/>
    <cellStyle name="常规 9 5 4 2 2 3 2 2 2" xfId="23898" xr:uid="{00000000-0005-0000-0000-0000DCBB0000}"/>
    <cellStyle name="常规 9 5 4 2 2 3 2 2 2 2" xfId="48474" xr:uid="{00000000-0005-0000-0000-0000DDBB0000}"/>
    <cellStyle name="常规 9 5 4 2 2 3 2 2 3" xfId="36186" xr:uid="{00000000-0005-0000-0000-0000DEBB0000}"/>
    <cellStyle name="常规 9 5 4 2 2 3 2 3" xfId="17754" xr:uid="{00000000-0005-0000-0000-0000DFBB0000}"/>
    <cellStyle name="常规 9 5 4 2 2 3 2 3 2" xfId="42330" xr:uid="{00000000-0005-0000-0000-0000E0BB0000}"/>
    <cellStyle name="常规 9 5 4 2 2 3 2 4" xfId="30042" xr:uid="{00000000-0005-0000-0000-0000E1BB0000}"/>
    <cellStyle name="常规 9 5 4 2 2 3 3" xfId="8538" xr:uid="{00000000-0005-0000-0000-0000E2BB0000}"/>
    <cellStyle name="常规 9 5 4 2 2 3 3 2" xfId="20826" xr:uid="{00000000-0005-0000-0000-0000E3BB0000}"/>
    <cellStyle name="常规 9 5 4 2 2 3 3 2 2" xfId="45402" xr:uid="{00000000-0005-0000-0000-0000E4BB0000}"/>
    <cellStyle name="常规 9 5 4 2 2 3 3 3" xfId="33114" xr:uid="{00000000-0005-0000-0000-0000E5BB0000}"/>
    <cellStyle name="常规 9 5 4 2 2 3 4" xfId="14682" xr:uid="{00000000-0005-0000-0000-0000E6BB0000}"/>
    <cellStyle name="常规 9 5 4 2 2 3 4 2" xfId="39258" xr:uid="{00000000-0005-0000-0000-0000E7BB0000}"/>
    <cellStyle name="常规 9 5 4 2 2 3 5" xfId="26970" xr:uid="{00000000-0005-0000-0000-0000E8BB0000}"/>
    <cellStyle name="常规 9 5 4 2 2 4" xfId="3930" xr:uid="{00000000-0005-0000-0000-0000E9BB0000}"/>
    <cellStyle name="常规 9 5 4 2 2 4 2" xfId="10074" xr:uid="{00000000-0005-0000-0000-0000EABB0000}"/>
    <cellStyle name="常规 9 5 4 2 2 4 2 2" xfId="22362" xr:uid="{00000000-0005-0000-0000-0000EBBB0000}"/>
    <cellStyle name="常规 9 5 4 2 2 4 2 2 2" xfId="46938" xr:uid="{00000000-0005-0000-0000-0000ECBB0000}"/>
    <cellStyle name="常规 9 5 4 2 2 4 2 3" xfId="34650" xr:uid="{00000000-0005-0000-0000-0000EDBB0000}"/>
    <cellStyle name="常规 9 5 4 2 2 4 3" xfId="16218" xr:uid="{00000000-0005-0000-0000-0000EEBB0000}"/>
    <cellStyle name="常规 9 5 4 2 2 4 3 2" xfId="40794" xr:uid="{00000000-0005-0000-0000-0000EFBB0000}"/>
    <cellStyle name="常规 9 5 4 2 2 4 4" xfId="28506" xr:uid="{00000000-0005-0000-0000-0000F0BB0000}"/>
    <cellStyle name="常规 9 5 4 2 2 5" xfId="7002" xr:uid="{00000000-0005-0000-0000-0000F1BB0000}"/>
    <cellStyle name="常规 9 5 4 2 2 5 2" xfId="19290" xr:uid="{00000000-0005-0000-0000-0000F2BB0000}"/>
    <cellStyle name="常规 9 5 4 2 2 5 2 2" xfId="43866" xr:uid="{00000000-0005-0000-0000-0000F3BB0000}"/>
    <cellStyle name="常规 9 5 4 2 2 5 3" xfId="31578" xr:uid="{00000000-0005-0000-0000-0000F4BB0000}"/>
    <cellStyle name="常规 9 5 4 2 2 6" xfId="13146" xr:uid="{00000000-0005-0000-0000-0000F5BB0000}"/>
    <cellStyle name="常规 9 5 4 2 2 6 2" xfId="37722" xr:uid="{00000000-0005-0000-0000-0000F6BB0000}"/>
    <cellStyle name="常规 9 5 4 2 2 7" xfId="25434" xr:uid="{00000000-0005-0000-0000-0000F7BB0000}"/>
    <cellStyle name="常规 9 5 4 2 3" xfId="1238" xr:uid="{00000000-0005-0000-0000-0000F8BB0000}"/>
    <cellStyle name="常规 9 5 4 2 3 2" xfId="2774" xr:uid="{00000000-0005-0000-0000-0000F9BB0000}"/>
    <cellStyle name="常规 9 5 4 2 3 2 2" xfId="5850" xr:uid="{00000000-0005-0000-0000-0000FABB0000}"/>
    <cellStyle name="常规 9 5 4 2 3 2 2 2" xfId="11994" xr:uid="{00000000-0005-0000-0000-0000FBBB0000}"/>
    <cellStyle name="常规 9 5 4 2 3 2 2 2 2" xfId="24282" xr:uid="{00000000-0005-0000-0000-0000FCBB0000}"/>
    <cellStyle name="常规 9 5 4 2 3 2 2 2 2 2" xfId="48858" xr:uid="{00000000-0005-0000-0000-0000FDBB0000}"/>
    <cellStyle name="常规 9 5 4 2 3 2 2 2 3" xfId="36570" xr:uid="{00000000-0005-0000-0000-0000FEBB0000}"/>
    <cellStyle name="常规 9 5 4 2 3 2 2 3" xfId="18138" xr:uid="{00000000-0005-0000-0000-0000FFBB0000}"/>
    <cellStyle name="常规 9 5 4 2 3 2 2 3 2" xfId="42714" xr:uid="{00000000-0005-0000-0000-000000BC0000}"/>
    <cellStyle name="常规 9 5 4 2 3 2 2 4" xfId="30426" xr:uid="{00000000-0005-0000-0000-000001BC0000}"/>
    <cellStyle name="常规 9 5 4 2 3 2 3" xfId="8922" xr:uid="{00000000-0005-0000-0000-000002BC0000}"/>
    <cellStyle name="常规 9 5 4 2 3 2 3 2" xfId="21210" xr:uid="{00000000-0005-0000-0000-000003BC0000}"/>
    <cellStyle name="常规 9 5 4 2 3 2 3 2 2" xfId="45786" xr:uid="{00000000-0005-0000-0000-000004BC0000}"/>
    <cellStyle name="常规 9 5 4 2 3 2 3 3" xfId="33498" xr:uid="{00000000-0005-0000-0000-000005BC0000}"/>
    <cellStyle name="常规 9 5 4 2 3 2 4" xfId="15066" xr:uid="{00000000-0005-0000-0000-000006BC0000}"/>
    <cellStyle name="常规 9 5 4 2 3 2 4 2" xfId="39642" xr:uid="{00000000-0005-0000-0000-000007BC0000}"/>
    <cellStyle name="常规 9 5 4 2 3 2 5" xfId="27354" xr:uid="{00000000-0005-0000-0000-000008BC0000}"/>
    <cellStyle name="常规 9 5 4 2 3 3" xfId="4314" xr:uid="{00000000-0005-0000-0000-000009BC0000}"/>
    <cellStyle name="常规 9 5 4 2 3 3 2" xfId="10458" xr:uid="{00000000-0005-0000-0000-00000ABC0000}"/>
    <cellStyle name="常规 9 5 4 2 3 3 2 2" xfId="22746" xr:uid="{00000000-0005-0000-0000-00000BBC0000}"/>
    <cellStyle name="常规 9 5 4 2 3 3 2 2 2" xfId="47322" xr:uid="{00000000-0005-0000-0000-00000CBC0000}"/>
    <cellStyle name="常规 9 5 4 2 3 3 2 3" xfId="35034" xr:uid="{00000000-0005-0000-0000-00000DBC0000}"/>
    <cellStyle name="常规 9 5 4 2 3 3 3" xfId="16602" xr:uid="{00000000-0005-0000-0000-00000EBC0000}"/>
    <cellStyle name="常规 9 5 4 2 3 3 3 2" xfId="41178" xr:uid="{00000000-0005-0000-0000-00000FBC0000}"/>
    <cellStyle name="常规 9 5 4 2 3 3 4" xfId="28890" xr:uid="{00000000-0005-0000-0000-000010BC0000}"/>
    <cellStyle name="常规 9 5 4 2 3 4" xfId="7386" xr:uid="{00000000-0005-0000-0000-000011BC0000}"/>
    <cellStyle name="常规 9 5 4 2 3 4 2" xfId="19674" xr:uid="{00000000-0005-0000-0000-000012BC0000}"/>
    <cellStyle name="常规 9 5 4 2 3 4 2 2" xfId="44250" xr:uid="{00000000-0005-0000-0000-000013BC0000}"/>
    <cellStyle name="常规 9 5 4 2 3 4 3" xfId="31962" xr:uid="{00000000-0005-0000-0000-000014BC0000}"/>
    <cellStyle name="常规 9 5 4 2 3 5" xfId="13530" xr:uid="{00000000-0005-0000-0000-000015BC0000}"/>
    <cellStyle name="常规 9 5 4 2 3 5 2" xfId="38106" xr:uid="{00000000-0005-0000-0000-000016BC0000}"/>
    <cellStyle name="常规 9 5 4 2 3 6" xfId="25818" xr:uid="{00000000-0005-0000-0000-000017BC0000}"/>
    <cellStyle name="常规 9 5 4 2 4" xfId="2006" xr:uid="{00000000-0005-0000-0000-000018BC0000}"/>
    <cellStyle name="常规 9 5 4 2 4 2" xfId="5082" xr:uid="{00000000-0005-0000-0000-000019BC0000}"/>
    <cellStyle name="常规 9 5 4 2 4 2 2" xfId="11226" xr:uid="{00000000-0005-0000-0000-00001ABC0000}"/>
    <cellStyle name="常规 9 5 4 2 4 2 2 2" xfId="23514" xr:uid="{00000000-0005-0000-0000-00001BBC0000}"/>
    <cellStyle name="常规 9 5 4 2 4 2 2 2 2" xfId="48090" xr:uid="{00000000-0005-0000-0000-00001CBC0000}"/>
    <cellStyle name="常规 9 5 4 2 4 2 2 3" xfId="35802" xr:uid="{00000000-0005-0000-0000-00001DBC0000}"/>
    <cellStyle name="常规 9 5 4 2 4 2 3" xfId="17370" xr:uid="{00000000-0005-0000-0000-00001EBC0000}"/>
    <cellStyle name="常规 9 5 4 2 4 2 3 2" xfId="41946" xr:uid="{00000000-0005-0000-0000-00001FBC0000}"/>
    <cellStyle name="常规 9 5 4 2 4 2 4" xfId="29658" xr:uid="{00000000-0005-0000-0000-000020BC0000}"/>
    <cellStyle name="常规 9 5 4 2 4 3" xfId="8154" xr:uid="{00000000-0005-0000-0000-000021BC0000}"/>
    <cellStyle name="常规 9 5 4 2 4 3 2" xfId="20442" xr:uid="{00000000-0005-0000-0000-000022BC0000}"/>
    <cellStyle name="常规 9 5 4 2 4 3 2 2" xfId="45018" xr:uid="{00000000-0005-0000-0000-000023BC0000}"/>
    <cellStyle name="常规 9 5 4 2 4 3 3" xfId="32730" xr:uid="{00000000-0005-0000-0000-000024BC0000}"/>
    <cellStyle name="常规 9 5 4 2 4 4" xfId="14298" xr:uid="{00000000-0005-0000-0000-000025BC0000}"/>
    <cellStyle name="常规 9 5 4 2 4 4 2" xfId="38874" xr:uid="{00000000-0005-0000-0000-000026BC0000}"/>
    <cellStyle name="常规 9 5 4 2 4 5" xfId="26586" xr:uid="{00000000-0005-0000-0000-000027BC0000}"/>
    <cellStyle name="常规 9 5 4 2 5" xfId="3546" xr:uid="{00000000-0005-0000-0000-000028BC0000}"/>
    <cellStyle name="常规 9 5 4 2 5 2" xfId="9690" xr:uid="{00000000-0005-0000-0000-000029BC0000}"/>
    <cellStyle name="常规 9 5 4 2 5 2 2" xfId="21978" xr:uid="{00000000-0005-0000-0000-00002ABC0000}"/>
    <cellStyle name="常规 9 5 4 2 5 2 2 2" xfId="46554" xr:uid="{00000000-0005-0000-0000-00002BBC0000}"/>
    <cellStyle name="常规 9 5 4 2 5 2 3" xfId="34266" xr:uid="{00000000-0005-0000-0000-00002CBC0000}"/>
    <cellStyle name="常规 9 5 4 2 5 3" xfId="15834" xr:uid="{00000000-0005-0000-0000-00002DBC0000}"/>
    <cellStyle name="常规 9 5 4 2 5 3 2" xfId="40410" xr:uid="{00000000-0005-0000-0000-00002EBC0000}"/>
    <cellStyle name="常规 9 5 4 2 5 4" xfId="28122" xr:uid="{00000000-0005-0000-0000-00002FBC0000}"/>
    <cellStyle name="常规 9 5 4 2 6" xfId="6618" xr:uid="{00000000-0005-0000-0000-000030BC0000}"/>
    <cellStyle name="常规 9 5 4 2 6 2" xfId="18906" xr:uid="{00000000-0005-0000-0000-000031BC0000}"/>
    <cellStyle name="常规 9 5 4 2 6 2 2" xfId="43482" xr:uid="{00000000-0005-0000-0000-000032BC0000}"/>
    <cellStyle name="常规 9 5 4 2 6 3" xfId="31194" xr:uid="{00000000-0005-0000-0000-000033BC0000}"/>
    <cellStyle name="常规 9 5 4 2 7" xfId="12762" xr:uid="{00000000-0005-0000-0000-000034BC0000}"/>
    <cellStyle name="常规 9 5 4 2 7 2" xfId="37338" xr:uid="{00000000-0005-0000-0000-000035BC0000}"/>
    <cellStyle name="常规 9 5 4 2 8" xfId="25050" xr:uid="{00000000-0005-0000-0000-000036BC0000}"/>
    <cellStyle name="常规 9 5 4 3" xfId="662" xr:uid="{00000000-0005-0000-0000-000037BC0000}"/>
    <cellStyle name="常规 9 5 4 3 2" xfId="1430" xr:uid="{00000000-0005-0000-0000-000038BC0000}"/>
    <cellStyle name="常规 9 5 4 3 2 2" xfId="2966" xr:uid="{00000000-0005-0000-0000-000039BC0000}"/>
    <cellStyle name="常规 9 5 4 3 2 2 2" xfId="6042" xr:uid="{00000000-0005-0000-0000-00003ABC0000}"/>
    <cellStyle name="常规 9 5 4 3 2 2 2 2" xfId="12186" xr:uid="{00000000-0005-0000-0000-00003BBC0000}"/>
    <cellStyle name="常规 9 5 4 3 2 2 2 2 2" xfId="24474" xr:uid="{00000000-0005-0000-0000-00003CBC0000}"/>
    <cellStyle name="常规 9 5 4 3 2 2 2 2 2 2" xfId="49050" xr:uid="{00000000-0005-0000-0000-00003DBC0000}"/>
    <cellStyle name="常规 9 5 4 3 2 2 2 2 3" xfId="36762" xr:uid="{00000000-0005-0000-0000-00003EBC0000}"/>
    <cellStyle name="常规 9 5 4 3 2 2 2 3" xfId="18330" xr:uid="{00000000-0005-0000-0000-00003FBC0000}"/>
    <cellStyle name="常规 9 5 4 3 2 2 2 3 2" xfId="42906" xr:uid="{00000000-0005-0000-0000-000040BC0000}"/>
    <cellStyle name="常规 9 5 4 3 2 2 2 4" xfId="30618" xr:uid="{00000000-0005-0000-0000-000041BC0000}"/>
    <cellStyle name="常规 9 5 4 3 2 2 3" xfId="9114" xr:uid="{00000000-0005-0000-0000-000042BC0000}"/>
    <cellStyle name="常规 9 5 4 3 2 2 3 2" xfId="21402" xr:uid="{00000000-0005-0000-0000-000043BC0000}"/>
    <cellStyle name="常规 9 5 4 3 2 2 3 2 2" xfId="45978" xr:uid="{00000000-0005-0000-0000-000044BC0000}"/>
    <cellStyle name="常规 9 5 4 3 2 2 3 3" xfId="33690" xr:uid="{00000000-0005-0000-0000-000045BC0000}"/>
    <cellStyle name="常规 9 5 4 3 2 2 4" xfId="15258" xr:uid="{00000000-0005-0000-0000-000046BC0000}"/>
    <cellStyle name="常规 9 5 4 3 2 2 4 2" xfId="39834" xr:uid="{00000000-0005-0000-0000-000047BC0000}"/>
    <cellStyle name="常规 9 5 4 3 2 2 5" xfId="27546" xr:uid="{00000000-0005-0000-0000-000048BC0000}"/>
    <cellStyle name="常规 9 5 4 3 2 3" xfId="4506" xr:uid="{00000000-0005-0000-0000-000049BC0000}"/>
    <cellStyle name="常规 9 5 4 3 2 3 2" xfId="10650" xr:uid="{00000000-0005-0000-0000-00004ABC0000}"/>
    <cellStyle name="常规 9 5 4 3 2 3 2 2" xfId="22938" xr:uid="{00000000-0005-0000-0000-00004BBC0000}"/>
    <cellStyle name="常规 9 5 4 3 2 3 2 2 2" xfId="47514" xr:uid="{00000000-0005-0000-0000-00004CBC0000}"/>
    <cellStyle name="常规 9 5 4 3 2 3 2 3" xfId="35226" xr:uid="{00000000-0005-0000-0000-00004DBC0000}"/>
    <cellStyle name="常规 9 5 4 3 2 3 3" xfId="16794" xr:uid="{00000000-0005-0000-0000-00004EBC0000}"/>
    <cellStyle name="常规 9 5 4 3 2 3 3 2" xfId="41370" xr:uid="{00000000-0005-0000-0000-00004FBC0000}"/>
    <cellStyle name="常规 9 5 4 3 2 3 4" xfId="29082" xr:uid="{00000000-0005-0000-0000-000050BC0000}"/>
    <cellStyle name="常规 9 5 4 3 2 4" xfId="7578" xr:uid="{00000000-0005-0000-0000-000051BC0000}"/>
    <cellStyle name="常规 9 5 4 3 2 4 2" xfId="19866" xr:uid="{00000000-0005-0000-0000-000052BC0000}"/>
    <cellStyle name="常规 9 5 4 3 2 4 2 2" xfId="44442" xr:uid="{00000000-0005-0000-0000-000053BC0000}"/>
    <cellStyle name="常规 9 5 4 3 2 4 3" xfId="32154" xr:uid="{00000000-0005-0000-0000-000054BC0000}"/>
    <cellStyle name="常规 9 5 4 3 2 5" xfId="13722" xr:uid="{00000000-0005-0000-0000-000055BC0000}"/>
    <cellStyle name="常规 9 5 4 3 2 5 2" xfId="38298" xr:uid="{00000000-0005-0000-0000-000056BC0000}"/>
    <cellStyle name="常规 9 5 4 3 2 6" xfId="26010" xr:uid="{00000000-0005-0000-0000-000057BC0000}"/>
    <cellStyle name="常规 9 5 4 3 3" xfId="2198" xr:uid="{00000000-0005-0000-0000-000058BC0000}"/>
    <cellStyle name="常规 9 5 4 3 3 2" xfId="5274" xr:uid="{00000000-0005-0000-0000-000059BC0000}"/>
    <cellStyle name="常规 9 5 4 3 3 2 2" xfId="11418" xr:uid="{00000000-0005-0000-0000-00005ABC0000}"/>
    <cellStyle name="常规 9 5 4 3 3 2 2 2" xfId="23706" xr:uid="{00000000-0005-0000-0000-00005BBC0000}"/>
    <cellStyle name="常规 9 5 4 3 3 2 2 2 2" xfId="48282" xr:uid="{00000000-0005-0000-0000-00005CBC0000}"/>
    <cellStyle name="常规 9 5 4 3 3 2 2 3" xfId="35994" xr:uid="{00000000-0005-0000-0000-00005DBC0000}"/>
    <cellStyle name="常规 9 5 4 3 3 2 3" xfId="17562" xr:uid="{00000000-0005-0000-0000-00005EBC0000}"/>
    <cellStyle name="常规 9 5 4 3 3 2 3 2" xfId="42138" xr:uid="{00000000-0005-0000-0000-00005FBC0000}"/>
    <cellStyle name="常规 9 5 4 3 3 2 4" xfId="29850" xr:uid="{00000000-0005-0000-0000-000060BC0000}"/>
    <cellStyle name="常规 9 5 4 3 3 3" xfId="8346" xr:uid="{00000000-0005-0000-0000-000061BC0000}"/>
    <cellStyle name="常规 9 5 4 3 3 3 2" xfId="20634" xr:uid="{00000000-0005-0000-0000-000062BC0000}"/>
    <cellStyle name="常规 9 5 4 3 3 3 2 2" xfId="45210" xr:uid="{00000000-0005-0000-0000-000063BC0000}"/>
    <cellStyle name="常规 9 5 4 3 3 3 3" xfId="32922" xr:uid="{00000000-0005-0000-0000-000064BC0000}"/>
    <cellStyle name="常规 9 5 4 3 3 4" xfId="14490" xr:uid="{00000000-0005-0000-0000-000065BC0000}"/>
    <cellStyle name="常规 9 5 4 3 3 4 2" xfId="39066" xr:uid="{00000000-0005-0000-0000-000066BC0000}"/>
    <cellStyle name="常规 9 5 4 3 3 5" xfId="26778" xr:uid="{00000000-0005-0000-0000-000067BC0000}"/>
    <cellStyle name="常规 9 5 4 3 4" xfId="3738" xr:uid="{00000000-0005-0000-0000-000068BC0000}"/>
    <cellStyle name="常规 9 5 4 3 4 2" xfId="9882" xr:uid="{00000000-0005-0000-0000-000069BC0000}"/>
    <cellStyle name="常规 9 5 4 3 4 2 2" xfId="22170" xr:uid="{00000000-0005-0000-0000-00006ABC0000}"/>
    <cellStyle name="常规 9 5 4 3 4 2 2 2" xfId="46746" xr:uid="{00000000-0005-0000-0000-00006BBC0000}"/>
    <cellStyle name="常规 9 5 4 3 4 2 3" xfId="34458" xr:uid="{00000000-0005-0000-0000-00006CBC0000}"/>
    <cellStyle name="常规 9 5 4 3 4 3" xfId="16026" xr:uid="{00000000-0005-0000-0000-00006DBC0000}"/>
    <cellStyle name="常规 9 5 4 3 4 3 2" xfId="40602" xr:uid="{00000000-0005-0000-0000-00006EBC0000}"/>
    <cellStyle name="常规 9 5 4 3 4 4" xfId="28314" xr:uid="{00000000-0005-0000-0000-00006FBC0000}"/>
    <cellStyle name="常规 9 5 4 3 5" xfId="6810" xr:uid="{00000000-0005-0000-0000-000070BC0000}"/>
    <cellStyle name="常规 9 5 4 3 5 2" xfId="19098" xr:uid="{00000000-0005-0000-0000-000071BC0000}"/>
    <cellStyle name="常规 9 5 4 3 5 2 2" xfId="43674" xr:uid="{00000000-0005-0000-0000-000072BC0000}"/>
    <cellStyle name="常规 9 5 4 3 5 3" xfId="31386" xr:uid="{00000000-0005-0000-0000-000073BC0000}"/>
    <cellStyle name="常规 9 5 4 3 6" xfId="12954" xr:uid="{00000000-0005-0000-0000-000074BC0000}"/>
    <cellStyle name="常规 9 5 4 3 6 2" xfId="37530" xr:uid="{00000000-0005-0000-0000-000075BC0000}"/>
    <cellStyle name="常规 9 5 4 3 7" xfId="25242" xr:uid="{00000000-0005-0000-0000-000076BC0000}"/>
    <cellStyle name="常规 9 5 4 4" xfId="1046" xr:uid="{00000000-0005-0000-0000-000077BC0000}"/>
    <cellStyle name="常规 9 5 4 4 2" xfId="2582" xr:uid="{00000000-0005-0000-0000-000078BC0000}"/>
    <cellStyle name="常规 9 5 4 4 2 2" xfId="5658" xr:uid="{00000000-0005-0000-0000-000079BC0000}"/>
    <cellStyle name="常规 9 5 4 4 2 2 2" xfId="11802" xr:uid="{00000000-0005-0000-0000-00007ABC0000}"/>
    <cellStyle name="常规 9 5 4 4 2 2 2 2" xfId="24090" xr:uid="{00000000-0005-0000-0000-00007BBC0000}"/>
    <cellStyle name="常规 9 5 4 4 2 2 2 2 2" xfId="48666" xr:uid="{00000000-0005-0000-0000-00007CBC0000}"/>
    <cellStyle name="常规 9 5 4 4 2 2 2 3" xfId="36378" xr:uid="{00000000-0005-0000-0000-00007DBC0000}"/>
    <cellStyle name="常规 9 5 4 4 2 2 3" xfId="17946" xr:uid="{00000000-0005-0000-0000-00007EBC0000}"/>
    <cellStyle name="常规 9 5 4 4 2 2 3 2" xfId="42522" xr:uid="{00000000-0005-0000-0000-00007FBC0000}"/>
    <cellStyle name="常规 9 5 4 4 2 2 4" xfId="30234" xr:uid="{00000000-0005-0000-0000-000080BC0000}"/>
    <cellStyle name="常规 9 5 4 4 2 3" xfId="8730" xr:uid="{00000000-0005-0000-0000-000081BC0000}"/>
    <cellStyle name="常规 9 5 4 4 2 3 2" xfId="21018" xr:uid="{00000000-0005-0000-0000-000082BC0000}"/>
    <cellStyle name="常规 9 5 4 4 2 3 2 2" xfId="45594" xr:uid="{00000000-0005-0000-0000-000083BC0000}"/>
    <cellStyle name="常规 9 5 4 4 2 3 3" xfId="33306" xr:uid="{00000000-0005-0000-0000-000084BC0000}"/>
    <cellStyle name="常规 9 5 4 4 2 4" xfId="14874" xr:uid="{00000000-0005-0000-0000-000085BC0000}"/>
    <cellStyle name="常规 9 5 4 4 2 4 2" xfId="39450" xr:uid="{00000000-0005-0000-0000-000086BC0000}"/>
    <cellStyle name="常规 9 5 4 4 2 5" xfId="27162" xr:uid="{00000000-0005-0000-0000-000087BC0000}"/>
    <cellStyle name="常规 9 5 4 4 3" xfId="4122" xr:uid="{00000000-0005-0000-0000-000088BC0000}"/>
    <cellStyle name="常规 9 5 4 4 3 2" xfId="10266" xr:uid="{00000000-0005-0000-0000-000089BC0000}"/>
    <cellStyle name="常规 9 5 4 4 3 2 2" xfId="22554" xr:uid="{00000000-0005-0000-0000-00008ABC0000}"/>
    <cellStyle name="常规 9 5 4 4 3 2 2 2" xfId="47130" xr:uid="{00000000-0005-0000-0000-00008BBC0000}"/>
    <cellStyle name="常规 9 5 4 4 3 2 3" xfId="34842" xr:uid="{00000000-0005-0000-0000-00008CBC0000}"/>
    <cellStyle name="常规 9 5 4 4 3 3" xfId="16410" xr:uid="{00000000-0005-0000-0000-00008DBC0000}"/>
    <cellStyle name="常规 9 5 4 4 3 3 2" xfId="40986" xr:uid="{00000000-0005-0000-0000-00008EBC0000}"/>
    <cellStyle name="常规 9 5 4 4 3 4" xfId="28698" xr:uid="{00000000-0005-0000-0000-00008FBC0000}"/>
    <cellStyle name="常规 9 5 4 4 4" xfId="7194" xr:uid="{00000000-0005-0000-0000-000090BC0000}"/>
    <cellStyle name="常规 9 5 4 4 4 2" xfId="19482" xr:uid="{00000000-0005-0000-0000-000091BC0000}"/>
    <cellStyle name="常规 9 5 4 4 4 2 2" xfId="44058" xr:uid="{00000000-0005-0000-0000-000092BC0000}"/>
    <cellStyle name="常规 9 5 4 4 4 3" xfId="31770" xr:uid="{00000000-0005-0000-0000-000093BC0000}"/>
    <cellStyle name="常规 9 5 4 4 5" xfId="13338" xr:uid="{00000000-0005-0000-0000-000094BC0000}"/>
    <cellStyle name="常规 9 5 4 4 5 2" xfId="37914" xr:uid="{00000000-0005-0000-0000-000095BC0000}"/>
    <cellStyle name="常规 9 5 4 4 6" xfId="25626" xr:uid="{00000000-0005-0000-0000-000096BC0000}"/>
    <cellStyle name="常规 9 5 4 5" xfId="1814" xr:uid="{00000000-0005-0000-0000-000097BC0000}"/>
    <cellStyle name="常规 9 5 4 5 2" xfId="4890" xr:uid="{00000000-0005-0000-0000-000098BC0000}"/>
    <cellStyle name="常规 9 5 4 5 2 2" xfId="11034" xr:uid="{00000000-0005-0000-0000-000099BC0000}"/>
    <cellStyle name="常规 9 5 4 5 2 2 2" xfId="23322" xr:uid="{00000000-0005-0000-0000-00009ABC0000}"/>
    <cellStyle name="常规 9 5 4 5 2 2 2 2" xfId="47898" xr:uid="{00000000-0005-0000-0000-00009BBC0000}"/>
    <cellStyle name="常规 9 5 4 5 2 2 3" xfId="35610" xr:uid="{00000000-0005-0000-0000-00009CBC0000}"/>
    <cellStyle name="常规 9 5 4 5 2 3" xfId="17178" xr:uid="{00000000-0005-0000-0000-00009DBC0000}"/>
    <cellStyle name="常规 9 5 4 5 2 3 2" xfId="41754" xr:uid="{00000000-0005-0000-0000-00009EBC0000}"/>
    <cellStyle name="常规 9 5 4 5 2 4" xfId="29466" xr:uid="{00000000-0005-0000-0000-00009FBC0000}"/>
    <cellStyle name="常规 9 5 4 5 3" xfId="7962" xr:uid="{00000000-0005-0000-0000-0000A0BC0000}"/>
    <cellStyle name="常规 9 5 4 5 3 2" xfId="20250" xr:uid="{00000000-0005-0000-0000-0000A1BC0000}"/>
    <cellStyle name="常规 9 5 4 5 3 2 2" xfId="44826" xr:uid="{00000000-0005-0000-0000-0000A2BC0000}"/>
    <cellStyle name="常规 9 5 4 5 3 3" xfId="32538" xr:uid="{00000000-0005-0000-0000-0000A3BC0000}"/>
    <cellStyle name="常规 9 5 4 5 4" xfId="14106" xr:uid="{00000000-0005-0000-0000-0000A4BC0000}"/>
    <cellStyle name="常规 9 5 4 5 4 2" xfId="38682" xr:uid="{00000000-0005-0000-0000-0000A5BC0000}"/>
    <cellStyle name="常规 9 5 4 5 5" xfId="26394" xr:uid="{00000000-0005-0000-0000-0000A6BC0000}"/>
    <cellStyle name="常规 9 5 4 6" xfId="3354" xr:uid="{00000000-0005-0000-0000-0000A7BC0000}"/>
    <cellStyle name="常规 9 5 4 6 2" xfId="9498" xr:uid="{00000000-0005-0000-0000-0000A8BC0000}"/>
    <cellStyle name="常规 9 5 4 6 2 2" xfId="21786" xr:uid="{00000000-0005-0000-0000-0000A9BC0000}"/>
    <cellStyle name="常规 9 5 4 6 2 2 2" xfId="46362" xr:uid="{00000000-0005-0000-0000-0000AABC0000}"/>
    <cellStyle name="常规 9 5 4 6 2 3" xfId="34074" xr:uid="{00000000-0005-0000-0000-0000ABBC0000}"/>
    <cellStyle name="常规 9 5 4 6 3" xfId="15642" xr:uid="{00000000-0005-0000-0000-0000ACBC0000}"/>
    <cellStyle name="常规 9 5 4 6 3 2" xfId="40218" xr:uid="{00000000-0005-0000-0000-0000ADBC0000}"/>
    <cellStyle name="常规 9 5 4 6 4" xfId="27930" xr:uid="{00000000-0005-0000-0000-0000AEBC0000}"/>
    <cellStyle name="常规 9 5 4 7" xfId="6426" xr:uid="{00000000-0005-0000-0000-0000AFBC0000}"/>
    <cellStyle name="常规 9 5 4 7 2" xfId="18714" xr:uid="{00000000-0005-0000-0000-0000B0BC0000}"/>
    <cellStyle name="常规 9 5 4 7 2 2" xfId="43290" xr:uid="{00000000-0005-0000-0000-0000B1BC0000}"/>
    <cellStyle name="常规 9 5 4 7 3" xfId="31002" xr:uid="{00000000-0005-0000-0000-0000B2BC0000}"/>
    <cellStyle name="常规 9 5 4 8" xfId="12570" xr:uid="{00000000-0005-0000-0000-0000B3BC0000}"/>
    <cellStyle name="常规 9 5 4 8 2" xfId="37146" xr:uid="{00000000-0005-0000-0000-0000B4BC0000}"/>
    <cellStyle name="常规 9 5 4 9" xfId="24858" xr:uid="{00000000-0005-0000-0000-0000B5BC0000}"/>
    <cellStyle name="常规 9 5 5" xfId="342" xr:uid="{00000000-0005-0000-0000-0000B6BC0000}"/>
    <cellStyle name="常规 9 5 5 2" xfId="726" xr:uid="{00000000-0005-0000-0000-0000B7BC0000}"/>
    <cellStyle name="常规 9 5 5 2 2" xfId="1494" xr:uid="{00000000-0005-0000-0000-0000B8BC0000}"/>
    <cellStyle name="常规 9 5 5 2 2 2" xfId="3030" xr:uid="{00000000-0005-0000-0000-0000B9BC0000}"/>
    <cellStyle name="常规 9 5 5 2 2 2 2" xfId="6106" xr:uid="{00000000-0005-0000-0000-0000BABC0000}"/>
    <cellStyle name="常规 9 5 5 2 2 2 2 2" xfId="12250" xr:uid="{00000000-0005-0000-0000-0000BBBC0000}"/>
    <cellStyle name="常规 9 5 5 2 2 2 2 2 2" xfId="24538" xr:uid="{00000000-0005-0000-0000-0000BCBC0000}"/>
    <cellStyle name="常规 9 5 5 2 2 2 2 2 2 2" xfId="49114" xr:uid="{00000000-0005-0000-0000-0000BDBC0000}"/>
    <cellStyle name="常规 9 5 5 2 2 2 2 2 3" xfId="36826" xr:uid="{00000000-0005-0000-0000-0000BEBC0000}"/>
    <cellStyle name="常规 9 5 5 2 2 2 2 3" xfId="18394" xr:uid="{00000000-0005-0000-0000-0000BFBC0000}"/>
    <cellStyle name="常规 9 5 5 2 2 2 2 3 2" xfId="42970" xr:uid="{00000000-0005-0000-0000-0000C0BC0000}"/>
    <cellStyle name="常规 9 5 5 2 2 2 2 4" xfId="30682" xr:uid="{00000000-0005-0000-0000-0000C1BC0000}"/>
    <cellStyle name="常规 9 5 5 2 2 2 3" xfId="9178" xr:uid="{00000000-0005-0000-0000-0000C2BC0000}"/>
    <cellStyle name="常规 9 5 5 2 2 2 3 2" xfId="21466" xr:uid="{00000000-0005-0000-0000-0000C3BC0000}"/>
    <cellStyle name="常规 9 5 5 2 2 2 3 2 2" xfId="46042" xr:uid="{00000000-0005-0000-0000-0000C4BC0000}"/>
    <cellStyle name="常规 9 5 5 2 2 2 3 3" xfId="33754" xr:uid="{00000000-0005-0000-0000-0000C5BC0000}"/>
    <cellStyle name="常规 9 5 5 2 2 2 4" xfId="15322" xr:uid="{00000000-0005-0000-0000-0000C6BC0000}"/>
    <cellStyle name="常规 9 5 5 2 2 2 4 2" xfId="39898" xr:uid="{00000000-0005-0000-0000-0000C7BC0000}"/>
    <cellStyle name="常规 9 5 5 2 2 2 5" xfId="27610" xr:uid="{00000000-0005-0000-0000-0000C8BC0000}"/>
    <cellStyle name="常规 9 5 5 2 2 3" xfId="4570" xr:uid="{00000000-0005-0000-0000-0000C9BC0000}"/>
    <cellStyle name="常规 9 5 5 2 2 3 2" xfId="10714" xr:uid="{00000000-0005-0000-0000-0000CABC0000}"/>
    <cellStyle name="常规 9 5 5 2 2 3 2 2" xfId="23002" xr:uid="{00000000-0005-0000-0000-0000CBBC0000}"/>
    <cellStyle name="常规 9 5 5 2 2 3 2 2 2" xfId="47578" xr:uid="{00000000-0005-0000-0000-0000CCBC0000}"/>
    <cellStyle name="常规 9 5 5 2 2 3 2 3" xfId="35290" xr:uid="{00000000-0005-0000-0000-0000CDBC0000}"/>
    <cellStyle name="常规 9 5 5 2 2 3 3" xfId="16858" xr:uid="{00000000-0005-0000-0000-0000CEBC0000}"/>
    <cellStyle name="常规 9 5 5 2 2 3 3 2" xfId="41434" xr:uid="{00000000-0005-0000-0000-0000CFBC0000}"/>
    <cellStyle name="常规 9 5 5 2 2 3 4" xfId="29146" xr:uid="{00000000-0005-0000-0000-0000D0BC0000}"/>
    <cellStyle name="常规 9 5 5 2 2 4" xfId="7642" xr:uid="{00000000-0005-0000-0000-0000D1BC0000}"/>
    <cellStyle name="常规 9 5 5 2 2 4 2" xfId="19930" xr:uid="{00000000-0005-0000-0000-0000D2BC0000}"/>
    <cellStyle name="常规 9 5 5 2 2 4 2 2" xfId="44506" xr:uid="{00000000-0005-0000-0000-0000D3BC0000}"/>
    <cellStyle name="常规 9 5 5 2 2 4 3" xfId="32218" xr:uid="{00000000-0005-0000-0000-0000D4BC0000}"/>
    <cellStyle name="常规 9 5 5 2 2 5" xfId="13786" xr:uid="{00000000-0005-0000-0000-0000D5BC0000}"/>
    <cellStyle name="常规 9 5 5 2 2 5 2" xfId="38362" xr:uid="{00000000-0005-0000-0000-0000D6BC0000}"/>
    <cellStyle name="常规 9 5 5 2 2 6" xfId="26074" xr:uid="{00000000-0005-0000-0000-0000D7BC0000}"/>
    <cellStyle name="常规 9 5 5 2 3" xfId="2262" xr:uid="{00000000-0005-0000-0000-0000D8BC0000}"/>
    <cellStyle name="常规 9 5 5 2 3 2" xfId="5338" xr:uid="{00000000-0005-0000-0000-0000D9BC0000}"/>
    <cellStyle name="常规 9 5 5 2 3 2 2" xfId="11482" xr:uid="{00000000-0005-0000-0000-0000DABC0000}"/>
    <cellStyle name="常规 9 5 5 2 3 2 2 2" xfId="23770" xr:uid="{00000000-0005-0000-0000-0000DBBC0000}"/>
    <cellStyle name="常规 9 5 5 2 3 2 2 2 2" xfId="48346" xr:uid="{00000000-0005-0000-0000-0000DCBC0000}"/>
    <cellStyle name="常规 9 5 5 2 3 2 2 3" xfId="36058" xr:uid="{00000000-0005-0000-0000-0000DDBC0000}"/>
    <cellStyle name="常规 9 5 5 2 3 2 3" xfId="17626" xr:uid="{00000000-0005-0000-0000-0000DEBC0000}"/>
    <cellStyle name="常规 9 5 5 2 3 2 3 2" xfId="42202" xr:uid="{00000000-0005-0000-0000-0000DFBC0000}"/>
    <cellStyle name="常规 9 5 5 2 3 2 4" xfId="29914" xr:uid="{00000000-0005-0000-0000-0000E0BC0000}"/>
    <cellStyle name="常规 9 5 5 2 3 3" xfId="8410" xr:uid="{00000000-0005-0000-0000-0000E1BC0000}"/>
    <cellStyle name="常规 9 5 5 2 3 3 2" xfId="20698" xr:uid="{00000000-0005-0000-0000-0000E2BC0000}"/>
    <cellStyle name="常规 9 5 5 2 3 3 2 2" xfId="45274" xr:uid="{00000000-0005-0000-0000-0000E3BC0000}"/>
    <cellStyle name="常规 9 5 5 2 3 3 3" xfId="32986" xr:uid="{00000000-0005-0000-0000-0000E4BC0000}"/>
    <cellStyle name="常规 9 5 5 2 3 4" xfId="14554" xr:uid="{00000000-0005-0000-0000-0000E5BC0000}"/>
    <cellStyle name="常规 9 5 5 2 3 4 2" xfId="39130" xr:uid="{00000000-0005-0000-0000-0000E6BC0000}"/>
    <cellStyle name="常规 9 5 5 2 3 5" xfId="26842" xr:uid="{00000000-0005-0000-0000-0000E7BC0000}"/>
    <cellStyle name="常规 9 5 5 2 4" xfId="3802" xr:uid="{00000000-0005-0000-0000-0000E8BC0000}"/>
    <cellStyle name="常规 9 5 5 2 4 2" xfId="9946" xr:uid="{00000000-0005-0000-0000-0000E9BC0000}"/>
    <cellStyle name="常规 9 5 5 2 4 2 2" xfId="22234" xr:uid="{00000000-0005-0000-0000-0000EABC0000}"/>
    <cellStyle name="常规 9 5 5 2 4 2 2 2" xfId="46810" xr:uid="{00000000-0005-0000-0000-0000EBBC0000}"/>
    <cellStyle name="常规 9 5 5 2 4 2 3" xfId="34522" xr:uid="{00000000-0005-0000-0000-0000ECBC0000}"/>
    <cellStyle name="常规 9 5 5 2 4 3" xfId="16090" xr:uid="{00000000-0005-0000-0000-0000EDBC0000}"/>
    <cellStyle name="常规 9 5 5 2 4 3 2" xfId="40666" xr:uid="{00000000-0005-0000-0000-0000EEBC0000}"/>
    <cellStyle name="常规 9 5 5 2 4 4" xfId="28378" xr:uid="{00000000-0005-0000-0000-0000EFBC0000}"/>
    <cellStyle name="常规 9 5 5 2 5" xfId="6874" xr:uid="{00000000-0005-0000-0000-0000F0BC0000}"/>
    <cellStyle name="常规 9 5 5 2 5 2" xfId="19162" xr:uid="{00000000-0005-0000-0000-0000F1BC0000}"/>
    <cellStyle name="常规 9 5 5 2 5 2 2" xfId="43738" xr:uid="{00000000-0005-0000-0000-0000F2BC0000}"/>
    <cellStyle name="常规 9 5 5 2 5 3" xfId="31450" xr:uid="{00000000-0005-0000-0000-0000F3BC0000}"/>
    <cellStyle name="常规 9 5 5 2 6" xfId="13018" xr:uid="{00000000-0005-0000-0000-0000F4BC0000}"/>
    <cellStyle name="常规 9 5 5 2 6 2" xfId="37594" xr:uid="{00000000-0005-0000-0000-0000F5BC0000}"/>
    <cellStyle name="常规 9 5 5 2 7" xfId="25306" xr:uid="{00000000-0005-0000-0000-0000F6BC0000}"/>
    <cellStyle name="常规 9 5 5 3" xfId="1110" xr:uid="{00000000-0005-0000-0000-0000F7BC0000}"/>
    <cellStyle name="常规 9 5 5 3 2" xfId="2646" xr:uid="{00000000-0005-0000-0000-0000F8BC0000}"/>
    <cellStyle name="常规 9 5 5 3 2 2" xfId="5722" xr:uid="{00000000-0005-0000-0000-0000F9BC0000}"/>
    <cellStyle name="常规 9 5 5 3 2 2 2" xfId="11866" xr:uid="{00000000-0005-0000-0000-0000FABC0000}"/>
    <cellStyle name="常规 9 5 5 3 2 2 2 2" xfId="24154" xr:uid="{00000000-0005-0000-0000-0000FBBC0000}"/>
    <cellStyle name="常规 9 5 5 3 2 2 2 2 2" xfId="48730" xr:uid="{00000000-0005-0000-0000-0000FCBC0000}"/>
    <cellStyle name="常规 9 5 5 3 2 2 2 3" xfId="36442" xr:uid="{00000000-0005-0000-0000-0000FDBC0000}"/>
    <cellStyle name="常规 9 5 5 3 2 2 3" xfId="18010" xr:uid="{00000000-0005-0000-0000-0000FEBC0000}"/>
    <cellStyle name="常规 9 5 5 3 2 2 3 2" xfId="42586" xr:uid="{00000000-0005-0000-0000-0000FFBC0000}"/>
    <cellStyle name="常规 9 5 5 3 2 2 4" xfId="30298" xr:uid="{00000000-0005-0000-0000-000000BD0000}"/>
    <cellStyle name="常规 9 5 5 3 2 3" xfId="8794" xr:uid="{00000000-0005-0000-0000-000001BD0000}"/>
    <cellStyle name="常规 9 5 5 3 2 3 2" xfId="21082" xr:uid="{00000000-0005-0000-0000-000002BD0000}"/>
    <cellStyle name="常规 9 5 5 3 2 3 2 2" xfId="45658" xr:uid="{00000000-0005-0000-0000-000003BD0000}"/>
    <cellStyle name="常规 9 5 5 3 2 3 3" xfId="33370" xr:uid="{00000000-0005-0000-0000-000004BD0000}"/>
    <cellStyle name="常规 9 5 5 3 2 4" xfId="14938" xr:uid="{00000000-0005-0000-0000-000005BD0000}"/>
    <cellStyle name="常规 9 5 5 3 2 4 2" xfId="39514" xr:uid="{00000000-0005-0000-0000-000006BD0000}"/>
    <cellStyle name="常规 9 5 5 3 2 5" xfId="27226" xr:uid="{00000000-0005-0000-0000-000007BD0000}"/>
    <cellStyle name="常规 9 5 5 3 3" xfId="4186" xr:uid="{00000000-0005-0000-0000-000008BD0000}"/>
    <cellStyle name="常规 9 5 5 3 3 2" xfId="10330" xr:uid="{00000000-0005-0000-0000-000009BD0000}"/>
    <cellStyle name="常规 9 5 5 3 3 2 2" xfId="22618" xr:uid="{00000000-0005-0000-0000-00000ABD0000}"/>
    <cellStyle name="常规 9 5 5 3 3 2 2 2" xfId="47194" xr:uid="{00000000-0005-0000-0000-00000BBD0000}"/>
    <cellStyle name="常规 9 5 5 3 3 2 3" xfId="34906" xr:uid="{00000000-0005-0000-0000-00000CBD0000}"/>
    <cellStyle name="常规 9 5 5 3 3 3" xfId="16474" xr:uid="{00000000-0005-0000-0000-00000DBD0000}"/>
    <cellStyle name="常规 9 5 5 3 3 3 2" xfId="41050" xr:uid="{00000000-0005-0000-0000-00000EBD0000}"/>
    <cellStyle name="常规 9 5 5 3 3 4" xfId="28762" xr:uid="{00000000-0005-0000-0000-00000FBD0000}"/>
    <cellStyle name="常规 9 5 5 3 4" xfId="7258" xr:uid="{00000000-0005-0000-0000-000010BD0000}"/>
    <cellStyle name="常规 9 5 5 3 4 2" xfId="19546" xr:uid="{00000000-0005-0000-0000-000011BD0000}"/>
    <cellStyle name="常规 9 5 5 3 4 2 2" xfId="44122" xr:uid="{00000000-0005-0000-0000-000012BD0000}"/>
    <cellStyle name="常规 9 5 5 3 4 3" xfId="31834" xr:uid="{00000000-0005-0000-0000-000013BD0000}"/>
    <cellStyle name="常规 9 5 5 3 5" xfId="13402" xr:uid="{00000000-0005-0000-0000-000014BD0000}"/>
    <cellStyle name="常规 9 5 5 3 5 2" xfId="37978" xr:uid="{00000000-0005-0000-0000-000015BD0000}"/>
    <cellStyle name="常规 9 5 5 3 6" xfId="25690" xr:uid="{00000000-0005-0000-0000-000016BD0000}"/>
    <cellStyle name="常规 9 5 5 4" xfId="1878" xr:uid="{00000000-0005-0000-0000-000017BD0000}"/>
    <cellStyle name="常规 9 5 5 4 2" xfId="4954" xr:uid="{00000000-0005-0000-0000-000018BD0000}"/>
    <cellStyle name="常规 9 5 5 4 2 2" xfId="11098" xr:uid="{00000000-0005-0000-0000-000019BD0000}"/>
    <cellStyle name="常规 9 5 5 4 2 2 2" xfId="23386" xr:uid="{00000000-0005-0000-0000-00001ABD0000}"/>
    <cellStyle name="常规 9 5 5 4 2 2 2 2" xfId="47962" xr:uid="{00000000-0005-0000-0000-00001BBD0000}"/>
    <cellStyle name="常规 9 5 5 4 2 2 3" xfId="35674" xr:uid="{00000000-0005-0000-0000-00001CBD0000}"/>
    <cellStyle name="常规 9 5 5 4 2 3" xfId="17242" xr:uid="{00000000-0005-0000-0000-00001DBD0000}"/>
    <cellStyle name="常规 9 5 5 4 2 3 2" xfId="41818" xr:uid="{00000000-0005-0000-0000-00001EBD0000}"/>
    <cellStyle name="常规 9 5 5 4 2 4" xfId="29530" xr:uid="{00000000-0005-0000-0000-00001FBD0000}"/>
    <cellStyle name="常规 9 5 5 4 3" xfId="8026" xr:uid="{00000000-0005-0000-0000-000020BD0000}"/>
    <cellStyle name="常规 9 5 5 4 3 2" xfId="20314" xr:uid="{00000000-0005-0000-0000-000021BD0000}"/>
    <cellStyle name="常规 9 5 5 4 3 2 2" xfId="44890" xr:uid="{00000000-0005-0000-0000-000022BD0000}"/>
    <cellStyle name="常规 9 5 5 4 3 3" xfId="32602" xr:uid="{00000000-0005-0000-0000-000023BD0000}"/>
    <cellStyle name="常规 9 5 5 4 4" xfId="14170" xr:uid="{00000000-0005-0000-0000-000024BD0000}"/>
    <cellStyle name="常规 9 5 5 4 4 2" xfId="38746" xr:uid="{00000000-0005-0000-0000-000025BD0000}"/>
    <cellStyle name="常规 9 5 5 4 5" xfId="26458" xr:uid="{00000000-0005-0000-0000-000026BD0000}"/>
    <cellStyle name="常规 9 5 5 5" xfId="3418" xr:uid="{00000000-0005-0000-0000-000027BD0000}"/>
    <cellStyle name="常规 9 5 5 5 2" xfId="9562" xr:uid="{00000000-0005-0000-0000-000028BD0000}"/>
    <cellStyle name="常规 9 5 5 5 2 2" xfId="21850" xr:uid="{00000000-0005-0000-0000-000029BD0000}"/>
    <cellStyle name="常规 9 5 5 5 2 2 2" xfId="46426" xr:uid="{00000000-0005-0000-0000-00002ABD0000}"/>
    <cellStyle name="常规 9 5 5 5 2 3" xfId="34138" xr:uid="{00000000-0005-0000-0000-00002BBD0000}"/>
    <cellStyle name="常规 9 5 5 5 3" xfId="15706" xr:uid="{00000000-0005-0000-0000-00002CBD0000}"/>
    <cellStyle name="常规 9 5 5 5 3 2" xfId="40282" xr:uid="{00000000-0005-0000-0000-00002DBD0000}"/>
    <cellStyle name="常规 9 5 5 5 4" xfId="27994" xr:uid="{00000000-0005-0000-0000-00002EBD0000}"/>
    <cellStyle name="常规 9 5 5 6" xfId="6490" xr:uid="{00000000-0005-0000-0000-00002FBD0000}"/>
    <cellStyle name="常规 9 5 5 6 2" xfId="18778" xr:uid="{00000000-0005-0000-0000-000030BD0000}"/>
    <cellStyle name="常规 9 5 5 6 2 2" xfId="43354" xr:uid="{00000000-0005-0000-0000-000031BD0000}"/>
    <cellStyle name="常规 9 5 5 6 3" xfId="31066" xr:uid="{00000000-0005-0000-0000-000032BD0000}"/>
    <cellStyle name="常规 9 5 5 7" xfId="12634" xr:uid="{00000000-0005-0000-0000-000033BD0000}"/>
    <cellStyle name="常规 9 5 5 7 2" xfId="37210" xr:uid="{00000000-0005-0000-0000-000034BD0000}"/>
    <cellStyle name="常规 9 5 5 8" xfId="24922" xr:uid="{00000000-0005-0000-0000-000035BD0000}"/>
    <cellStyle name="常规 9 5 6" xfId="534" xr:uid="{00000000-0005-0000-0000-000036BD0000}"/>
    <cellStyle name="常规 9 5 6 2" xfId="1302" xr:uid="{00000000-0005-0000-0000-000037BD0000}"/>
    <cellStyle name="常规 9 5 6 2 2" xfId="2838" xr:uid="{00000000-0005-0000-0000-000038BD0000}"/>
    <cellStyle name="常规 9 5 6 2 2 2" xfId="5914" xr:uid="{00000000-0005-0000-0000-000039BD0000}"/>
    <cellStyle name="常规 9 5 6 2 2 2 2" xfId="12058" xr:uid="{00000000-0005-0000-0000-00003ABD0000}"/>
    <cellStyle name="常规 9 5 6 2 2 2 2 2" xfId="24346" xr:uid="{00000000-0005-0000-0000-00003BBD0000}"/>
    <cellStyle name="常规 9 5 6 2 2 2 2 2 2" xfId="48922" xr:uid="{00000000-0005-0000-0000-00003CBD0000}"/>
    <cellStyle name="常规 9 5 6 2 2 2 2 3" xfId="36634" xr:uid="{00000000-0005-0000-0000-00003DBD0000}"/>
    <cellStyle name="常规 9 5 6 2 2 2 3" xfId="18202" xr:uid="{00000000-0005-0000-0000-00003EBD0000}"/>
    <cellStyle name="常规 9 5 6 2 2 2 3 2" xfId="42778" xr:uid="{00000000-0005-0000-0000-00003FBD0000}"/>
    <cellStyle name="常规 9 5 6 2 2 2 4" xfId="30490" xr:uid="{00000000-0005-0000-0000-000040BD0000}"/>
    <cellStyle name="常规 9 5 6 2 2 3" xfId="8986" xr:uid="{00000000-0005-0000-0000-000041BD0000}"/>
    <cellStyle name="常规 9 5 6 2 2 3 2" xfId="21274" xr:uid="{00000000-0005-0000-0000-000042BD0000}"/>
    <cellStyle name="常规 9 5 6 2 2 3 2 2" xfId="45850" xr:uid="{00000000-0005-0000-0000-000043BD0000}"/>
    <cellStyle name="常规 9 5 6 2 2 3 3" xfId="33562" xr:uid="{00000000-0005-0000-0000-000044BD0000}"/>
    <cellStyle name="常规 9 5 6 2 2 4" xfId="15130" xr:uid="{00000000-0005-0000-0000-000045BD0000}"/>
    <cellStyle name="常规 9 5 6 2 2 4 2" xfId="39706" xr:uid="{00000000-0005-0000-0000-000046BD0000}"/>
    <cellStyle name="常规 9 5 6 2 2 5" xfId="27418" xr:uid="{00000000-0005-0000-0000-000047BD0000}"/>
    <cellStyle name="常规 9 5 6 2 3" xfId="4378" xr:uid="{00000000-0005-0000-0000-000048BD0000}"/>
    <cellStyle name="常规 9 5 6 2 3 2" xfId="10522" xr:uid="{00000000-0005-0000-0000-000049BD0000}"/>
    <cellStyle name="常规 9 5 6 2 3 2 2" xfId="22810" xr:uid="{00000000-0005-0000-0000-00004ABD0000}"/>
    <cellStyle name="常规 9 5 6 2 3 2 2 2" xfId="47386" xr:uid="{00000000-0005-0000-0000-00004BBD0000}"/>
    <cellStyle name="常规 9 5 6 2 3 2 3" xfId="35098" xr:uid="{00000000-0005-0000-0000-00004CBD0000}"/>
    <cellStyle name="常规 9 5 6 2 3 3" xfId="16666" xr:uid="{00000000-0005-0000-0000-00004DBD0000}"/>
    <cellStyle name="常规 9 5 6 2 3 3 2" xfId="41242" xr:uid="{00000000-0005-0000-0000-00004EBD0000}"/>
    <cellStyle name="常规 9 5 6 2 3 4" xfId="28954" xr:uid="{00000000-0005-0000-0000-00004FBD0000}"/>
    <cellStyle name="常规 9 5 6 2 4" xfId="7450" xr:uid="{00000000-0005-0000-0000-000050BD0000}"/>
    <cellStyle name="常规 9 5 6 2 4 2" xfId="19738" xr:uid="{00000000-0005-0000-0000-000051BD0000}"/>
    <cellStyle name="常规 9 5 6 2 4 2 2" xfId="44314" xr:uid="{00000000-0005-0000-0000-000052BD0000}"/>
    <cellStyle name="常规 9 5 6 2 4 3" xfId="32026" xr:uid="{00000000-0005-0000-0000-000053BD0000}"/>
    <cellStyle name="常规 9 5 6 2 5" xfId="13594" xr:uid="{00000000-0005-0000-0000-000054BD0000}"/>
    <cellStyle name="常规 9 5 6 2 5 2" xfId="38170" xr:uid="{00000000-0005-0000-0000-000055BD0000}"/>
    <cellStyle name="常规 9 5 6 2 6" xfId="25882" xr:uid="{00000000-0005-0000-0000-000056BD0000}"/>
    <cellStyle name="常规 9 5 6 3" xfId="2070" xr:uid="{00000000-0005-0000-0000-000057BD0000}"/>
    <cellStyle name="常规 9 5 6 3 2" xfId="5146" xr:uid="{00000000-0005-0000-0000-000058BD0000}"/>
    <cellStyle name="常规 9 5 6 3 2 2" xfId="11290" xr:uid="{00000000-0005-0000-0000-000059BD0000}"/>
    <cellStyle name="常规 9 5 6 3 2 2 2" xfId="23578" xr:uid="{00000000-0005-0000-0000-00005ABD0000}"/>
    <cellStyle name="常规 9 5 6 3 2 2 2 2" xfId="48154" xr:uid="{00000000-0005-0000-0000-00005BBD0000}"/>
    <cellStyle name="常规 9 5 6 3 2 2 3" xfId="35866" xr:uid="{00000000-0005-0000-0000-00005CBD0000}"/>
    <cellStyle name="常规 9 5 6 3 2 3" xfId="17434" xr:uid="{00000000-0005-0000-0000-00005DBD0000}"/>
    <cellStyle name="常规 9 5 6 3 2 3 2" xfId="42010" xr:uid="{00000000-0005-0000-0000-00005EBD0000}"/>
    <cellStyle name="常规 9 5 6 3 2 4" xfId="29722" xr:uid="{00000000-0005-0000-0000-00005FBD0000}"/>
    <cellStyle name="常规 9 5 6 3 3" xfId="8218" xr:uid="{00000000-0005-0000-0000-000060BD0000}"/>
    <cellStyle name="常规 9 5 6 3 3 2" xfId="20506" xr:uid="{00000000-0005-0000-0000-000061BD0000}"/>
    <cellStyle name="常规 9 5 6 3 3 2 2" xfId="45082" xr:uid="{00000000-0005-0000-0000-000062BD0000}"/>
    <cellStyle name="常规 9 5 6 3 3 3" xfId="32794" xr:uid="{00000000-0005-0000-0000-000063BD0000}"/>
    <cellStyle name="常规 9 5 6 3 4" xfId="14362" xr:uid="{00000000-0005-0000-0000-000064BD0000}"/>
    <cellStyle name="常规 9 5 6 3 4 2" xfId="38938" xr:uid="{00000000-0005-0000-0000-000065BD0000}"/>
    <cellStyle name="常规 9 5 6 3 5" xfId="26650" xr:uid="{00000000-0005-0000-0000-000066BD0000}"/>
    <cellStyle name="常规 9 5 6 4" xfId="3610" xr:uid="{00000000-0005-0000-0000-000067BD0000}"/>
    <cellStyle name="常规 9 5 6 4 2" xfId="9754" xr:uid="{00000000-0005-0000-0000-000068BD0000}"/>
    <cellStyle name="常规 9 5 6 4 2 2" xfId="22042" xr:uid="{00000000-0005-0000-0000-000069BD0000}"/>
    <cellStyle name="常规 9 5 6 4 2 2 2" xfId="46618" xr:uid="{00000000-0005-0000-0000-00006ABD0000}"/>
    <cellStyle name="常规 9 5 6 4 2 3" xfId="34330" xr:uid="{00000000-0005-0000-0000-00006BBD0000}"/>
    <cellStyle name="常规 9 5 6 4 3" xfId="15898" xr:uid="{00000000-0005-0000-0000-00006CBD0000}"/>
    <cellStyle name="常规 9 5 6 4 3 2" xfId="40474" xr:uid="{00000000-0005-0000-0000-00006DBD0000}"/>
    <cellStyle name="常规 9 5 6 4 4" xfId="28186" xr:uid="{00000000-0005-0000-0000-00006EBD0000}"/>
    <cellStyle name="常规 9 5 6 5" xfId="6682" xr:uid="{00000000-0005-0000-0000-00006FBD0000}"/>
    <cellStyle name="常规 9 5 6 5 2" xfId="18970" xr:uid="{00000000-0005-0000-0000-000070BD0000}"/>
    <cellStyle name="常规 9 5 6 5 2 2" xfId="43546" xr:uid="{00000000-0005-0000-0000-000071BD0000}"/>
    <cellStyle name="常规 9 5 6 5 3" xfId="31258" xr:uid="{00000000-0005-0000-0000-000072BD0000}"/>
    <cellStyle name="常规 9 5 6 6" xfId="12826" xr:uid="{00000000-0005-0000-0000-000073BD0000}"/>
    <cellStyle name="常规 9 5 6 6 2" xfId="37402" xr:uid="{00000000-0005-0000-0000-000074BD0000}"/>
    <cellStyle name="常规 9 5 6 7" xfId="25114" xr:uid="{00000000-0005-0000-0000-000075BD0000}"/>
    <cellStyle name="常规 9 5 7" xfId="918" xr:uid="{00000000-0005-0000-0000-000076BD0000}"/>
    <cellStyle name="常规 9 5 7 2" xfId="2454" xr:uid="{00000000-0005-0000-0000-000077BD0000}"/>
    <cellStyle name="常规 9 5 7 2 2" xfId="5530" xr:uid="{00000000-0005-0000-0000-000078BD0000}"/>
    <cellStyle name="常规 9 5 7 2 2 2" xfId="11674" xr:uid="{00000000-0005-0000-0000-000079BD0000}"/>
    <cellStyle name="常规 9 5 7 2 2 2 2" xfId="23962" xr:uid="{00000000-0005-0000-0000-00007ABD0000}"/>
    <cellStyle name="常规 9 5 7 2 2 2 2 2" xfId="48538" xr:uid="{00000000-0005-0000-0000-00007BBD0000}"/>
    <cellStyle name="常规 9 5 7 2 2 2 3" xfId="36250" xr:uid="{00000000-0005-0000-0000-00007CBD0000}"/>
    <cellStyle name="常规 9 5 7 2 2 3" xfId="17818" xr:uid="{00000000-0005-0000-0000-00007DBD0000}"/>
    <cellStyle name="常规 9 5 7 2 2 3 2" xfId="42394" xr:uid="{00000000-0005-0000-0000-00007EBD0000}"/>
    <cellStyle name="常规 9 5 7 2 2 4" xfId="30106" xr:uid="{00000000-0005-0000-0000-00007FBD0000}"/>
    <cellStyle name="常规 9 5 7 2 3" xfId="8602" xr:uid="{00000000-0005-0000-0000-000080BD0000}"/>
    <cellStyle name="常规 9 5 7 2 3 2" xfId="20890" xr:uid="{00000000-0005-0000-0000-000081BD0000}"/>
    <cellStyle name="常规 9 5 7 2 3 2 2" xfId="45466" xr:uid="{00000000-0005-0000-0000-000082BD0000}"/>
    <cellStyle name="常规 9 5 7 2 3 3" xfId="33178" xr:uid="{00000000-0005-0000-0000-000083BD0000}"/>
    <cellStyle name="常规 9 5 7 2 4" xfId="14746" xr:uid="{00000000-0005-0000-0000-000084BD0000}"/>
    <cellStyle name="常规 9 5 7 2 4 2" xfId="39322" xr:uid="{00000000-0005-0000-0000-000085BD0000}"/>
    <cellStyle name="常规 9 5 7 2 5" xfId="27034" xr:uid="{00000000-0005-0000-0000-000086BD0000}"/>
    <cellStyle name="常规 9 5 7 3" xfId="3994" xr:uid="{00000000-0005-0000-0000-000087BD0000}"/>
    <cellStyle name="常规 9 5 7 3 2" xfId="10138" xr:uid="{00000000-0005-0000-0000-000088BD0000}"/>
    <cellStyle name="常规 9 5 7 3 2 2" xfId="22426" xr:uid="{00000000-0005-0000-0000-000089BD0000}"/>
    <cellStyle name="常规 9 5 7 3 2 2 2" xfId="47002" xr:uid="{00000000-0005-0000-0000-00008ABD0000}"/>
    <cellStyle name="常规 9 5 7 3 2 3" xfId="34714" xr:uid="{00000000-0005-0000-0000-00008BBD0000}"/>
    <cellStyle name="常规 9 5 7 3 3" xfId="16282" xr:uid="{00000000-0005-0000-0000-00008CBD0000}"/>
    <cellStyle name="常规 9 5 7 3 3 2" xfId="40858" xr:uid="{00000000-0005-0000-0000-00008DBD0000}"/>
    <cellStyle name="常规 9 5 7 3 4" xfId="28570" xr:uid="{00000000-0005-0000-0000-00008EBD0000}"/>
    <cellStyle name="常规 9 5 7 4" xfId="7066" xr:uid="{00000000-0005-0000-0000-00008FBD0000}"/>
    <cellStyle name="常规 9 5 7 4 2" xfId="19354" xr:uid="{00000000-0005-0000-0000-000090BD0000}"/>
    <cellStyle name="常规 9 5 7 4 2 2" xfId="43930" xr:uid="{00000000-0005-0000-0000-000091BD0000}"/>
    <cellStyle name="常规 9 5 7 4 3" xfId="31642" xr:uid="{00000000-0005-0000-0000-000092BD0000}"/>
    <cellStyle name="常规 9 5 7 5" xfId="13210" xr:uid="{00000000-0005-0000-0000-000093BD0000}"/>
    <cellStyle name="常规 9 5 7 5 2" xfId="37786" xr:uid="{00000000-0005-0000-0000-000094BD0000}"/>
    <cellStyle name="常规 9 5 7 6" xfId="25498" xr:uid="{00000000-0005-0000-0000-000095BD0000}"/>
    <cellStyle name="常规 9 5 8" xfId="1686" xr:uid="{00000000-0005-0000-0000-000096BD0000}"/>
    <cellStyle name="常规 9 5 8 2" xfId="4762" xr:uid="{00000000-0005-0000-0000-000097BD0000}"/>
    <cellStyle name="常规 9 5 8 2 2" xfId="10906" xr:uid="{00000000-0005-0000-0000-000098BD0000}"/>
    <cellStyle name="常规 9 5 8 2 2 2" xfId="23194" xr:uid="{00000000-0005-0000-0000-000099BD0000}"/>
    <cellStyle name="常规 9 5 8 2 2 2 2" xfId="47770" xr:uid="{00000000-0005-0000-0000-00009ABD0000}"/>
    <cellStyle name="常规 9 5 8 2 2 3" xfId="35482" xr:uid="{00000000-0005-0000-0000-00009BBD0000}"/>
    <cellStyle name="常规 9 5 8 2 3" xfId="17050" xr:uid="{00000000-0005-0000-0000-00009CBD0000}"/>
    <cellStyle name="常规 9 5 8 2 3 2" xfId="41626" xr:uid="{00000000-0005-0000-0000-00009DBD0000}"/>
    <cellStyle name="常规 9 5 8 2 4" xfId="29338" xr:uid="{00000000-0005-0000-0000-00009EBD0000}"/>
    <cellStyle name="常规 9 5 8 3" xfId="7834" xr:uid="{00000000-0005-0000-0000-00009FBD0000}"/>
    <cellStyle name="常规 9 5 8 3 2" xfId="20122" xr:uid="{00000000-0005-0000-0000-0000A0BD0000}"/>
    <cellStyle name="常规 9 5 8 3 2 2" xfId="44698" xr:uid="{00000000-0005-0000-0000-0000A1BD0000}"/>
    <cellStyle name="常规 9 5 8 3 3" xfId="32410" xr:uid="{00000000-0005-0000-0000-0000A2BD0000}"/>
    <cellStyle name="常规 9 5 8 4" xfId="13978" xr:uid="{00000000-0005-0000-0000-0000A3BD0000}"/>
    <cellStyle name="常规 9 5 8 4 2" xfId="38554" xr:uid="{00000000-0005-0000-0000-0000A4BD0000}"/>
    <cellStyle name="常规 9 5 8 5" xfId="26266" xr:uid="{00000000-0005-0000-0000-0000A5BD0000}"/>
    <cellStyle name="常规 9 5 9" xfId="3226" xr:uid="{00000000-0005-0000-0000-0000A6BD0000}"/>
    <cellStyle name="常规 9 5 9 2" xfId="9370" xr:uid="{00000000-0005-0000-0000-0000A7BD0000}"/>
    <cellStyle name="常规 9 5 9 2 2" xfId="21658" xr:uid="{00000000-0005-0000-0000-0000A8BD0000}"/>
    <cellStyle name="常规 9 5 9 2 2 2" xfId="46234" xr:uid="{00000000-0005-0000-0000-0000A9BD0000}"/>
    <cellStyle name="常规 9 5 9 2 3" xfId="33946" xr:uid="{00000000-0005-0000-0000-0000AABD0000}"/>
    <cellStyle name="常规 9 5 9 3" xfId="15514" xr:uid="{00000000-0005-0000-0000-0000ABBD0000}"/>
    <cellStyle name="常规 9 5 9 3 2" xfId="40090" xr:uid="{00000000-0005-0000-0000-0000ACBD0000}"/>
    <cellStyle name="常规 9 5 9 4" xfId="27802" xr:uid="{00000000-0005-0000-0000-0000ADBD0000}"/>
    <cellStyle name="常规 9 6" xfId="165" xr:uid="{00000000-0005-0000-0000-0000AEBD0000}"/>
    <cellStyle name="常规 9 6 10" xfId="12458" xr:uid="{00000000-0005-0000-0000-0000AFBD0000}"/>
    <cellStyle name="常规 9 6 10 2" xfId="37034" xr:uid="{00000000-0005-0000-0000-0000B0BD0000}"/>
    <cellStyle name="常规 9 6 11" xfId="24746" xr:uid="{00000000-0005-0000-0000-0000B1BD0000}"/>
    <cellStyle name="常规 9 6 2" xfId="230" xr:uid="{00000000-0005-0000-0000-0000B2BD0000}"/>
    <cellStyle name="常规 9 6 2 2" xfId="422" xr:uid="{00000000-0005-0000-0000-0000B3BD0000}"/>
    <cellStyle name="常规 9 6 2 2 2" xfId="806" xr:uid="{00000000-0005-0000-0000-0000B4BD0000}"/>
    <cellStyle name="常规 9 6 2 2 2 2" xfId="1574" xr:uid="{00000000-0005-0000-0000-0000B5BD0000}"/>
    <cellStyle name="常规 9 6 2 2 2 2 2" xfId="3110" xr:uid="{00000000-0005-0000-0000-0000B6BD0000}"/>
    <cellStyle name="常规 9 6 2 2 2 2 2 2" xfId="6186" xr:uid="{00000000-0005-0000-0000-0000B7BD0000}"/>
    <cellStyle name="常规 9 6 2 2 2 2 2 2 2" xfId="12330" xr:uid="{00000000-0005-0000-0000-0000B8BD0000}"/>
    <cellStyle name="常规 9 6 2 2 2 2 2 2 2 2" xfId="24618" xr:uid="{00000000-0005-0000-0000-0000B9BD0000}"/>
    <cellStyle name="常规 9 6 2 2 2 2 2 2 2 2 2" xfId="49194" xr:uid="{00000000-0005-0000-0000-0000BABD0000}"/>
    <cellStyle name="常规 9 6 2 2 2 2 2 2 2 3" xfId="36906" xr:uid="{00000000-0005-0000-0000-0000BBBD0000}"/>
    <cellStyle name="常规 9 6 2 2 2 2 2 2 3" xfId="18474" xr:uid="{00000000-0005-0000-0000-0000BCBD0000}"/>
    <cellStyle name="常规 9 6 2 2 2 2 2 2 3 2" xfId="43050" xr:uid="{00000000-0005-0000-0000-0000BDBD0000}"/>
    <cellStyle name="常规 9 6 2 2 2 2 2 2 4" xfId="30762" xr:uid="{00000000-0005-0000-0000-0000BEBD0000}"/>
    <cellStyle name="常规 9 6 2 2 2 2 2 3" xfId="9258" xr:uid="{00000000-0005-0000-0000-0000BFBD0000}"/>
    <cellStyle name="常规 9 6 2 2 2 2 2 3 2" xfId="21546" xr:uid="{00000000-0005-0000-0000-0000C0BD0000}"/>
    <cellStyle name="常规 9 6 2 2 2 2 2 3 2 2" xfId="46122" xr:uid="{00000000-0005-0000-0000-0000C1BD0000}"/>
    <cellStyle name="常规 9 6 2 2 2 2 2 3 3" xfId="33834" xr:uid="{00000000-0005-0000-0000-0000C2BD0000}"/>
    <cellStyle name="常规 9 6 2 2 2 2 2 4" xfId="15402" xr:uid="{00000000-0005-0000-0000-0000C3BD0000}"/>
    <cellStyle name="常规 9 6 2 2 2 2 2 4 2" xfId="39978" xr:uid="{00000000-0005-0000-0000-0000C4BD0000}"/>
    <cellStyle name="常规 9 6 2 2 2 2 2 5" xfId="27690" xr:uid="{00000000-0005-0000-0000-0000C5BD0000}"/>
    <cellStyle name="常规 9 6 2 2 2 2 3" xfId="4650" xr:uid="{00000000-0005-0000-0000-0000C6BD0000}"/>
    <cellStyle name="常规 9 6 2 2 2 2 3 2" xfId="10794" xr:uid="{00000000-0005-0000-0000-0000C7BD0000}"/>
    <cellStyle name="常规 9 6 2 2 2 2 3 2 2" xfId="23082" xr:uid="{00000000-0005-0000-0000-0000C8BD0000}"/>
    <cellStyle name="常规 9 6 2 2 2 2 3 2 2 2" xfId="47658" xr:uid="{00000000-0005-0000-0000-0000C9BD0000}"/>
    <cellStyle name="常规 9 6 2 2 2 2 3 2 3" xfId="35370" xr:uid="{00000000-0005-0000-0000-0000CABD0000}"/>
    <cellStyle name="常规 9 6 2 2 2 2 3 3" xfId="16938" xr:uid="{00000000-0005-0000-0000-0000CBBD0000}"/>
    <cellStyle name="常规 9 6 2 2 2 2 3 3 2" xfId="41514" xr:uid="{00000000-0005-0000-0000-0000CCBD0000}"/>
    <cellStyle name="常规 9 6 2 2 2 2 3 4" xfId="29226" xr:uid="{00000000-0005-0000-0000-0000CDBD0000}"/>
    <cellStyle name="常规 9 6 2 2 2 2 4" xfId="7722" xr:uid="{00000000-0005-0000-0000-0000CEBD0000}"/>
    <cellStyle name="常规 9 6 2 2 2 2 4 2" xfId="20010" xr:uid="{00000000-0005-0000-0000-0000CFBD0000}"/>
    <cellStyle name="常规 9 6 2 2 2 2 4 2 2" xfId="44586" xr:uid="{00000000-0005-0000-0000-0000D0BD0000}"/>
    <cellStyle name="常规 9 6 2 2 2 2 4 3" xfId="32298" xr:uid="{00000000-0005-0000-0000-0000D1BD0000}"/>
    <cellStyle name="常规 9 6 2 2 2 2 5" xfId="13866" xr:uid="{00000000-0005-0000-0000-0000D2BD0000}"/>
    <cellStyle name="常规 9 6 2 2 2 2 5 2" xfId="38442" xr:uid="{00000000-0005-0000-0000-0000D3BD0000}"/>
    <cellStyle name="常规 9 6 2 2 2 2 6" xfId="26154" xr:uid="{00000000-0005-0000-0000-0000D4BD0000}"/>
    <cellStyle name="常规 9 6 2 2 2 3" xfId="2342" xr:uid="{00000000-0005-0000-0000-0000D5BD0000}"/>
    <cellStyle name="常规 9 6 2 2 2 3 2" xfId="5418" xr:uid="{00000000-0005-0000-0000-0000D6BD0000}"/>
    <cellStyle name="常规 9 6 2 2 2 3 2 2" xfId="11562" xr:uid="{00000000-0005-0000-0000-0000D7BD0000}"/>
    <cellStyle name="常规 9 6 2 2 2 3 2 2 2" xfId="23850" xr:uid="{00000000-0005-0000-0000-0000D8BD0000}"/>
    <cellStyle name="常规 9 6 2 2 2 3 2 2 2 2" xfId="48426" xr:uid="{00000000-0005-0000-0000-0000D9BD0000}"/>
    <cellStyle name="常规 9 6 2 2 2 3 2 2 3" xfId="36138" xr:uid="{00000000-0005-0000-0000-0000DABD0000}"/>
    <cellStyle name="常规 9 6 2 2 2 3 2 3" xfId="17706" xr:uid="{00000000-0005-0000-0000-0000DBBD0000}"/>
    <cellStyle name="常规 9 6 2 2 2 3 2 3 2" xfId="42282" xr:uid="{00000000-0005-0000-0000-0000DCBD0000}"/>
    <cellStyle name="常规 9 6 2 2 2 3 2 4" xfId="29994" xr:uid="{00000000-0005-0000-0000-0000DDBD0000}"/>
    <cellStyle name="常规 9 6 2 2 2 3 3" xfId="8490" xr:uid="{00000000-0005-0000-0000-0000DEBD0000}"/>
    <cellStyle name="常规 9 6 2 2 2 3 3 2" xfId="20778" xr:uid="{00000000-0005-0000-0000-0000DFBD0000}"/>
    <cellStyle name="常规 9 6 2 2 2 3 3 2 2" xfId="45354" xr:uid="{00000000-0005-0000-0000-0000E0BD0000}"/>
    <cellStyle name="常规 9 6 2 2 2 3 3 3" xfId="33066" xr:uid="{00000000-0005-0000-0000-0000E1BD0000}"/>
    <cellStyle name="常规 9 6 2 2 2 3 4" xfId="14634" xr:uid="{00000000-0005-0000-0000-0000E2BD0000}"/>
    <cellStyle name="常规 9 6 2 2 2 3 4 2" xfId="39210" xr:uid="{00000000-0005-0000-0000-0000E3BD0000}"/>
    <cellStyle name="常规 9 6 2 2 2 3 5" xfId="26922" xr:uid="{00000000-0005-0000-0000-0000E4BD0000}"/>
    <cellStyle name="常规 9 6 2 2 2 4" xfId="3882" xr:uid="{00000000-0005-0000-0000-0000E5BD0000}"/>
    <cellStyle name="常规 9 6 2 2 2 4 2" xfId="10026" xr:uid="{00000000-0005-0000-0000-0000E6BD0000}"/>
    <cellStyle name="常规 9 6 2 2 2 4 2 2" xfId="22314" xr:uid="{00000000-0005-0000-0000-0000E7BD0000}"/>
    <cellStyle name="常规 9 6 2 2 2 4 2 2 2" xfId="46890" xr:uid="{00000000-0005-0000-0000-0000E8BD0000}"/>
    <cellStyle name="常规 9 6 2 2 2 4 2 3" xfId="34602" xr:uid="{00000000-0005-0000-0000-0000E9BD0000}"/>
    <cellStyle name="常规 9 6 2 2 2 4 3" xfId="16170" xr:uid="{00000000-0005-0000-0000-0000EABD0000}"/>
    <cellStyle name="常规 9 6 2 2 2 4 3 2" xfId="40746" xr:uid="{00000000-0005-0000-0000-0000EBBD0000}"/>
    <cellStyle name="常规 9 6 2 2 2 4 4" xfId="28458" xr:uid="{00000000-0005-0000-0000-0000ECBD0000}"/>
    <cellStyle name="常规 9 6 2 2 2 5" xfId="6954" xr:uid="{00000000-0005-0000-0000-0000EDBD0000}"/>
    <cellStyle name="常规 9 6 2 2 2 5 2" xfId="19242" xr:uid="{00000000-0005-0000-0000-0000EEBD0000}"/>
    <cellStyle name="常规 9 6 2 2 2 5 2 2" xfId="43818" xr:uid="{00000000-0005-0000-0000-0000EFBD0000}"/>
    <cellStyle name="常规 9 6 2 2 2 5 3" xfId="31530" xr:uid="{00000000-0005-0000-0000-0000F0BD0000}"/>
    <cellStyle name="常规 9 6 2 2 2 6" xfId="13098" xr:uid="{00000000-0005-0000-0000-0000F1BD0000}"/>
    <cellStyle name="常规 9 6 2 2 2 6 2" xfId="37674" xr:uid="{00000000-0005-0000-0000-0000F2BD0000}"/>
    <cellStyle name="常规 9 6 2 2 2 7" xfId="25386" xr:uid="{00000000-0005-0000-0000-0000F3BD0000}"/>
    <cellStyle name="常规 9 6 2 2 3" xfId="1190" xr:uid="{00000000-0005-0000-0000-0000F4BD0000}"/>
    <cellStyle name="常规 9 6 2 2 3 2" xfId="2726" xr:uid="{00000000-0005-0000-0000-0000F5BD0000}"/>
    <cellStyle name="常规 9 6 2 2 3 2 2" xfId="5802" xr:uid="{00000000-0005-0000-0000-0000F6BD0000}"/>
    <cellStyle name="常规 9 6 2 2 3 2 2 2" xfId="11946" xr:uid="{00000000-0005-0000-0000-0000F7BD0000}"/>
    <cellStyle name="常规 9 6 2 2 3 2 2 2 2" xfId="24234" xr:uid="{00000000-0005-0000-0000-0000F8BD0000}"/>
    <cellStyle name="常规 9 6 2 2 3 2 2 2 2 2" xfId="48810" xr:uid="{00000000-0005-0000-0000-0000F9BD0000}"/>
    <cellStyle name="常规 9 6 2 2 3 2 2 2 3" xfId="36522" xr:uid="{00000000-0005-0000-0000-0000FABD0000}"/>
    <cellStyle name="常规 9 6 2 2 3 2 2 3" xfId="18090" xr:uid="{00000000-0005-0000-0000-0000FBBD0000}"/>
    <cellStyle name="常规 9 6 2 2 3 2 2 3 2" xfId="42666" xr:uid="{00000000-0005-0000-0000-0000FCBD0000}"/>
    <cellStyle name="常规 9 6 2 2 3 2 2 4" xfId="30378" xr:uid="{00000000-0005-0000-0000-0000FDBD0000}"/>
    <cellStyle name="常规 9 6 2 2 3 2 3" xfId="8874" xr:uid="{00000000-0005-0000-0000-0000FEBD0000}"/>
    <cellStyle name="常规 9 6 2 2 3 2 3 2" xfId="21162" xr:uid="{00000000-0005-0000-0000-0000FFBD0000}"/>
    <cellStyle name="常规 9 6 2 2 3 2 3 2 2" xfId="45738" xr:uid="{00000000-0005-0000-0000-000000BE0000}"/>
    <cellStyle name="常规 9 6 2 2 3 2 3 3" xfId="33450" xr:uid="{00000000-0005-0000-0000-000001BE0000}"/>
    <cellStyle name="常规 9 6 2 2 3 2 4" xfId="15018" xr:uid="{00000000-0005-0000-0000-000002BE0000}"/>
    <cellStyle name="常规 9 6 2 2 3 2 4 2" xfId="39594" xr:uid="{00000000-0005-0000-0000-000003BE0000}"/>
    <cellStyle name="常规 9 6 2 2 3 2 5" xfId="27306" xr:uid="{00000000-0005-0000-0000-000004BE0000}"/>
    <cellStyle name="常规 9 6 2 2 3 3" xfId="4266" xr:uid="{00000000-0005-0000-0000-000005BE0000}"/>
    <cellStyle name="常规 9 6 2 2 3 3 2" xfId="10410" xr:uid="{00000000-0005-0000-0000-000006BE0000}"/>
    <cellStyle name="常规 9 6 2 2 3 3 2 2" xfId="22698" xr:uid="{00000000-0005-0000-0000-000007BE0000}"/>
    <cellStyle name="常规 9 6 2 2 3 3 2 2 2" xfId="47274" xr:uid="{00000000-0005-0000-0000-000008BE0000}"/>
    <cellStyle name="常规 9 6 2 2 3 3 2 3" xfId="34986" xr:uid="{00000000-0005-0000-0000-000009BE0000}"/>
    <cellStyle name="常规 9 6 2 2 3 3 3" xfId="16554" xr:uid="{00000000-0005-0000-0000-00000ABE0000}"/>
    <cellStyle name="常规 9 6 2 2 3 3 3 2" xfId="41130" xr:uid="{00000000-0005-0000-0000-00000BBE0000}"/>
    <cellStyle name="常规 9 6 2 2 3 3 4" xfId="28842" xr:uid="{00000000-0005-0000-0000-00000CBE0000}"/>
    <cellStyle name="常规 9 6 2 2 3 4" xfId="7338" xr:uid="{00000000-0005-0000-0000-00000DBE0000}"/>
    <cellStyle name="常规 9 6 2 2 3 4 2" xfId="19626" xr:uid="{00000000-0005-0000-0000-00000EBE0000}"/>
    <cellStyle name="常规 9 6 2 2 3 4 2 2" xfId="44202" xr:uid="{00000000-0005-0000-0000-00000FBE0000}"/>
    <cellStyle name="常规 9 6 2 2 3 4 3" xfId="31914" xr:uid="{00000000-0005-0000-0000-000010BE0000}"/>
    <cellStyle name="常规 9 6 2 2 3 5" xfId="13482" xr:uid="{00000000-0005-0000-0000-000011BE0000}"/>
    <cellStyle name="常规 9 6 2 2 3 5 2" xfId="38058" xr:uid="{00000000-0005-0000-0000-000012BE0000}"/>
    <cellStyle name="常规 9 6 2 2 3 6" xfId="25770" xr:uid="{00000000-0005-0000-0000-000013BE0000}"/>
    <cellStyle name="常规 9 6 2 2 4" xfId="1958" xr:uid="{00000000-0005-0000-0000-000014BE0000}"/>
    <cellStyle name="常规 9 6 2 2 4 2" xfId="5034" xr:uid="{00000000-0005-0000-0000-000015BE0000}"/>
    <cellStyle name="常规 9 6 2 2 4 2 2" xfId="11178" xr:uid="{00000000-0005-0000-0000-000016BE0000}"/>
    <cellStyle name="常规 9 6 2 2 4 2 2 2" xfId="23466" xr:uid="{00000000-0005-0000-0000-000017BE0000}"/>
    <cellStyle name="常规 9 6 2 2 4 2 2 2 2" xfId="48042" xr:uid="{00000000-0005-0000-0000-000018BE0000}"/>
    <cellStyle name="常规 9 6 2 2 4 2 2 3" xfId="35754" xr:uid="{00000000-0005-0000-0000-000019BE0000}"/>
    <cellStyle name="常规 9 6 2 2 4 2 3" xfId="17322" xr:uid="{00000000-0005-0000-0000-00001ABE0000}"/>
    <cellStyle name="常规 9 6 2 2 4 2 3 2" xfId="41898" xr:uid="{00000000-0005-0000-0000-00001BBE0000}"/>
    <cellStyle name="常规 9 6 2 2 4 2 4" xfId="29610" xr:uid="{00000000-0005-0000-0000-00001CBE0000}"/>
    <cellStyle name="常规 9 6 2 2 4 3" xfId="8106" xr:uid="{00000000-0005-0000-0000-00001DBE0000}"/>
    <cellStyle name="常规 9 6 2 2 4 3 2" xfId="20394" xr:uid="{00000000-0005-0000-0000-00001EBE0000}"/>
    <cellStyle name="常规 9 6 2 2 4 3 2 2" xfId="44970" xr:uid="{00000000-0005-0000-0000-00001FBE0000}"/>
    <cellStyle name="常规 9 6 2 2 4 3 3" xfId="32682" xr:uid="{00000000-0005-0000-0000-000020BE0000}"/>
    <cellStyle name="常规 9 6 2 2 4 4" xfId="14250" xr:uid="{00000000-0005-0000-0000-000021BE0000}"/>
    <cellStyle name="常规 9 6 2 2 4 4 2" xfId="38826" xr:uid="{00000000-0005-0000-0000-000022BE0000}"/>
    <cellStyle name="常规 9 6 2 2 4 5" xfId="26538" xr:uid="{00000000-0005-0000-0000-000023BE0000}"/>
    <cellStyle name="常规 9 6 2 2 5" xfId="3498" xr:uid="{00000000-0005-0000-0000-000024BE0000}"/>
    <cellStyle name="常规 9 6 2 2 5 2" xfId="9642" xr:uid="{00000000-0005-0000-0000-000025BE0000}"/>
    <cellStyle name="常规 9 6 2 2 5 2 2" xfId="21930" xr:uid="{00000000-0005-0000-0000-000026BE0000}"/>
    <cellStyle name="常规 9 6 2 2 5 2 2 2" xfId="46506" xr:uid="{00000000-0005-0000-0000-000027BE0000}"/>
    <cellStyle name="常规 9 6 2 2 5 2 3" xfId="34218" xr:uid="{00000000-0005-0000-0000-000028BE0000}"/>
    <cellStyle name="常规 9 6 2 2 5 3" xfId="15786" xr:uid="{00000000-0005-0000-0000-000029BE0000}"/>
    <cellStyle name="常规 9 6 2 2 5 3 2" xfId="40362" xr:uid="{00000000-0005-0000-0000-00002ABE0000}"/>
    <cellStyle name="常规 9 6 2 2 5 4" xfId="28074" xr:uid="{00000000-0005-0000-0000-00002BBE0000}"/>
    <cellStyle name="常规 9 6 2 2 6" xfId="6570" xr:uid="{00000000-0005-0000-0000-00002CBE0000}"/>
    <cellStyle name="常规 9 6 2 2 6 2" xfId="18858" xr:uid="{00000000-0005-0000-0000-00002DBE0000}"/>
    <cellStyle name="常规 9 6 2 2 6 2 2" xfId="43434" xr:uid="{00000000-0005-0000-0000-00002EBE0000}"/>
    <cellStyle name="常规 9 6 2 2 6 3" xfId="31146" xr:uid="{00000000-0005-0000-0000-00002FBE0000}"/>
    <cellStyle name="常规 9 6 2 2 7" xfId="12714" xr:uid="{00000000-0005-0000-0000-000030BE0000}"/>
    <cellStyle name="常规 9 6 2 2 7 2" xfId="37290" xr:uid="{00000000-0005-0000-0000-000031BE0000}"/>
    <cellStyle name="常规 9 6 2 2 8" xfId="25002" xr:uid="{00000000-0005-0000-0000-000032BE0000}"/>
    <cellStyle name="常规 9 6 2 3" xfId="614" xr:uid="{00000000-0005-0000-0000-000033BE0000}"/>
    <cellStyle name="常规 9 6 2 3 2" xfId="1382" xr:uid="{00000000-0005-0000-0000-000034BE0000}"/>
    <cellStyle name="常规 9 6 2 3 2 2" xfId="2918" xr:uid="{00000000-0005-0000-0000-000035BE0000}"/>
    <cellStyle name="常规 9 6 2 3 2 2 2" xfId="5994" xr:uid="{00000000-0005-0000-0000-000036BE0000}"/>
    <cellStyle name="常规 9 6 2 3 2 2 2 2" xfId="12138" xr:uid="{00000000-0005-0000-0000-000037BE0000}"/>
    <cellStyle name="常规 9 6 2 3 2 2 2 2 2" xfId="24426" xr:uid="{00000000-0005-0000-0000-000038BE0000}"/>
    <cellStyle name="常规 9 6 2 3 2 2 2 2 2 2" xfId="49002" xr:uid="{00000000-0005-0000-0000-000039BE0000}"/>
    <cellStyle name="常规 9 6 2 3 2 2 2 2 3" xfId="36714" xr:uid="{00000000-0005-0000-0000-00003ABE0000}"/>
    <cellStyle name="常规 9 6 2 3 2 2 2 3" xfId="18282" xr:uid="{00000000-0005-0000-0000-00003BBE0000}"/>
    <cellStyle name="常规 9 6 2 3 2 2 2 3 2" xfId="42858" xr:uid="{00000000-0005-0000-0000-00003CBE0000}"/>
    <cellStyle name="常规 9 6 2 3 2 2 2 4" xfId="30570" xr:uid="{00000000-0005-0000-0000-00003DBE0000}"/>
    <cellStyle name="常规 9 6 2 3 2 2 3" xfId="9066" xr:uid="{00000000-0005-0000-0000-00003EBE0000}"/>
    <cellStyle name="常规 9 6 2 3 2 2 3 2" xfId="21354" xr:uid="{00000000-0005-0000-0000-00003FBE0000}"/>
    <cellStyle name="常规 9 6 2 3 2 2 3 2 2" xfId="45930" xr:uid="{00000000-0005-0000-0000-000040BE0000}"/>
    <cellStyle name="常规 9 6 2 3 2 2 3 3" xfId="33642" xr:uid="{00000000-0005-0000-0000-000041BE0000}"/>
    <cellStyle name="常规 9 6 2 3 2 2 4" xfId="15210" xr:uid="{00000000-0005-0000-0000-000042BE0000}"/>
    <cellStyle name="常规 9 6 2 3 2 2 4 2" xfId="39786" xr:uid="{00000000-0005-0000-0000-000043BE0000}"/>
    <cellStyle name="常规 9 6 2 3 2 2 5" xfId="27498" xr:uid="{00000000-0005-0000-0000-000044BE0000}"/>
    <cellStyle name="常规 9 6 2 3 2 3" xfId="4458" xr:uid="{00000000-0005-0000-0000-000045BE0000}"/>
    <cellStyle name="常规 9 6 2 3 2 3 2" xfId="10602" xr:uid="{00000000-0005-0000-0000-000046BE0000}"/>
    <cellStyle name="常规 9 6 2 3 2 3 2 2" xfId="22890" xr:uid="{00000000-0005-0000-0000-000047BE0000}"/>
    <cellStyle name="常规 9 6 2 3 2 3 2 2 2" xfId="47466" xr:uid="{00000000-0005-0000-0000-000048BE0000}"/>
    <cellStyle name="常规 9 6 2 3 2 3 2 3" xfId="35178" xr:uid="{00000000-0005-0000-0000-000049BE0000}"/>
    <cellStyle name="常规 9 6 2 3 2 3 3" xfId="16746" xr:uid="{00000000-0005-0000-0000-00004ABE0000}"/>
    <cellStyle name="常规 9 6 2 3 2 3 3 2" xfId="41322" xr:uid="{00000000-0005-0000-0000-00004BBE0000}"/>
    <cellStyle name="常规 9 6 2 3 2 3 4" xfId="29034" xr:uid="{00000000-0005-0000-0000-00004CBE0000}"/>
    <cellStyle name="常规 9 6 2 3 2 4" xfId="7530" xr:uid="{00000000-0005-0000-0000-00004DBE0000}"/>
    <cellStyle name="常规 9 6 2 3 2 4 2" xfId="19818" xr:uid="{00000000-0005-0000-0000-00004EBE0000}"/>
    <cellStyle name="常规 9 6 2 3 2 4 2 2" xfId="44394" xr:uid="{00000000-0005-0000-0000-00004FBE0000}"/>
    <cellStyle name="常规 9 6 2 3 2 4 3" xfId="32106" xr:uid="{00000000-0005-0000-0000-000050BE0000}"/>
    <cellStyle name="常规 9 6 2 3 2 5" xfId="13674" xr:uid="{00000000-0005-0000-0000-000051BE0000}"/>
    <cellStyle name="常规 9 6 2 3 2 5 2" xfId="38250" xr:uid="{00000000-0005-0000-0000-000052BE0000}"/>
    <cellStyle name="常规 9 6 2 3 2 6" xfId="25962" xr:uid="{00000000-0005-0000-0000-000053BE0000}"/>
    <cellStyle name="常规 9 6 2 3 3" xfId="2150" xr:uid="{00000000-0005-0000-0000-000054BE0000}"/>
    <cellStyle name="常规 9 6 2 3 3 2" xfId="5226" xr:uid="{00000000-0005-0000-0000-000055BE0000}"/>
    <cellStyle name="常规 9 6 2 3 3 2 2" xfId="11370" xr:uid="{00000000-0005-0000-0000-000056BE0000}"/>
    <cellStyle name="常规 9 6 2 3 3 2 2 2" xfId="23658" xr:uid="{00000000-0005-0000-0000-000057BE0000}"/>
    <cellStyle name="常规 9 6 2 3 3 2 2 2 2" xfId="48234" xr:uid="{00000000-0005-0000-0000-000058BE0000}"/>
    <cellStyle name="常规 9 6 2 3 3 2 2 3" xfId="35946" xr:uid="{00000000-0005-0000-0000-000059BE0000}"/>
    <cellStyle name="常规 9 6 2 3 3 2 3" xfId="17514" xr:uid="{00000000-0005-0000-0000-00005ABE0000}"/>
    <cellStyle name="常规 9 6 2 3 3 2 3 2" xfId="42090" xr:uid="{00000000-0005-0000-0000-00005BBE0000}"/>
    <cellStyle name="常规 9 6 2 3 3 2 4" xfId="29802" xr:uid="{00000000-0005-0000-0000-00005CBE0000}"/>
    <cellStyle name="常规 9 6 2 3 3 3" xfId="8298" xr:uid="{00000000-0005-0000-0000-00005DBE0000}"/>
    <cellStyle name="常规 9 6 2 3 3 3 2" xfId="20586" xr:uid="{00000000-0005-0000-0000-00005EBE0000}"/>
    <cellStyle name="常规 9 6 2 3 3 3 2 2" xfId="45162" xr:uid="{00000000-0005-0000-0000-00005FBE0000}"/>
    <cellStyle name="常规 9 6 2 3 3 3 3" xfId="32874" xr:uid="{00000000-0005-0000-0000-000060BE0000}"/>
    <cellStyle name="常规 9 6 2 3 3 4" xfId="14442" xr:uid="{00000000-0005-0000-0000-000061BE0000}"/>
    <cellStyle name="常规 9 6 2 3 3 4 2" xfId="39018" xr:uid="{00000000-0005-0000-0000-000062BE0000}"/>
    <cellStyle name="常规 9 6 2 3 3 5" xfId="26730" xr:uid="{00000000-0005-0000-0000-000063BE0000}"/>
    <cellStyle name="常规 9 6 2 3 4" xfId="3690" xr:uid="{00000000-0005-0000-0000-000064BE0000}"/>
    <cellStyle name="常规 9 6 2 3 4 2" xfId="9834" xr:uid="{00000000-0005-0000-0000-000065BE0000}"/>
    <cellStyle name="常规 9 6 2 3 4 2 2" xfId="22122" xr:uid="{00000000-0005-0000-0000-000066BE0000}"/>
    <cellStyle name="常规 9 6 2 3 4 2 2 2" xfId="46698" xr:uid="{00000000-0005-0000-0000-000067BE0000}"/>
    <cellStyle name="常规 9 6 2 3 4 2 3" xfId="34410" xr:uid="{00000000-0005-0000-0000-000068BE0000}"/>
    <cellStyle name="常规 9 6 2 3 4 3" xfId="15978" xr:uid="{00000000-0005-0000-0000-000069BE0000}"/>
    <cellStyle name="常规 9 6 2 3 4 3 2" xfId="40554" xr:uid="{00000000-0005-0000-0000-00006ABE0000}"/>
    <cellStyle name="常规 9 6 2 3 4 4" xfId="28266" xr:uid="{00000000-0005-0000-0000-00006BBE0000}"/>
    <cellStyle name="常规 9 6 2 3 5" xfId="6762" xr:uid="{00000000-0005-0000-0000-00006CBE0000}"/>
    <cellStyle name="常规 9 6 2 3 5 2" xfId="19050" xr:uid="{00000000-0005-0000-0000-00006DBE0000}"/>
    <cellStyle name="常规 9 6 2 3 5 2 2" xfId="43626" xr:uid="{00000000-0005-0000-0000-00006EBE0000}"/>
    <cellStyle name="常规 9 6 2 3 5 3" xfId="31338" xr:uid="{00000000-0005-0000-0000-00006FBE0000}"/>
    <cellStyle name="常规 9 6 2 3 6" xfId="12906" xr:uid="{00000000-0005-0000-0000-000070BE0000}"/>
    <cellStyle name="常规 9 6 2 3 6 2" xfId="37482" xr:uid="{00000000-0005-0000-0000-000071BE0000}"/>
    <cellStyle name="常规 9 6 2 3 7" xfId="25194" xr:uid="{00000000-0005-0000-0000-000072BE0000}"/>
    <cellStyle name="常规 9 6 2 4" xfId="998" xr:uid="{00000000-0005-0000-0000-000073BE0000}"/>
    <cellStyle name="常规 9 6 2 4 2" xfId="2534" xr:uid="{00000000-0005-0000-0000-000074BE0000}"/>
    <cellStyle name="常规 9 6 2 4 2 2" xfId="5610" xr:uid="{00000000-0005-0000-0000-000075BE0000}"/>
    <cellStyle name="常规 9 6 2 4 2 2 2" xfId="11754" xr:uid="{00000000-0005-0000-0000-000076BE0000}"/>
    <cellStyle name="常规 9 6 2 4 2 2 2 2" xfId="24042" xr:uid="{00000000-0005-0000-0000-000077BE0000}"/>
    <cellStyle name="常规 9 6 2 4 2 2 2 2 2" xfId="48618" xr:uid="{00000000-0005-0000-0000-000078BE0000}"/>
    <cellStyle name="常规 9 6 2 4 2 2 2 3" xfId="36330" xr:uid="{00000000-0005-0000-0000-000079BE0000}"/>
    <cellStyle name="常规 9 6 2 4 2 2 3" xfId="17898" xr:uid="{00000000-0005-0000-0000-00007ABE0000}"/>
    <cellStyle name="常规 9 6 2 4 2 2 3 2" xfId="42474" xr:uid="{00000000-0005-0000-0000-00007BBE0000}"/>
    <cellStyle name="常规 9 6 2 4 2 2 4" xfId="30186" xr:uid="{00000000-0005-0000-0000-00007CBE0000}"/>
    <cellStyle name="常规 9 6 2 4 2 3" xfId="8682" xr:uid="{00000000-0005-0000-0000-00007DBE0000}"/>
    <cellStyle name="常规 9 6 2 4 2 3 2" xfId="20970" xr:uid="{00000000-0005-0000-0000-00007EBE0000}"/>
    <cellStyle name="常规 9 6 2 4 2 3 2 2" xfId="45546" xr:uid="{00000000-0005-0000-0000-00007FBE0000}"/>
    <cellStyle name="常规 9 6 2 4 2 3 3" xfId="33258" xr:uid="{00000000-0005-0000-0000-000080BE0000}"/>
    <cellStyle name="常规 9 6 2 4 2 4" xfId="14826" xr:uid="{00000000-0005-0000-0000-000081BE0000}"/>
    <cellStyle name="常规 9 6 2 4 2 4 2" xfId="39402" xr:uid="{00000000-0005-0000-0000-000082BE0000}"/>
    <cellStyle name="常规 9 6 2 4 2 5" xfId="27114" xr:uid="{00000000-0005-0000-0000-000083BE0000}"/>
    <cellStyle name="常规 9 6 2 4 3" xfId="4074" xr:uid="{00000000-0005-0000-0000-000084BE0000}"/>
    <cellStyle name="常规 9 6 2 4 3 2" xfId="10218" xr:uid="{00000000-0005-0000-0000-000085BE0000}"/>
    <cellStyle name="常规 9 6 2 4 3 2 2" xfId="22506" xr:uid="{00000000-0005-0000-0000-000086BE0000}"/>
    <cellStyle name="常规 9 6 2 4 3 2 2 2" xfId="47082" xr:uid="{00000000-0005-0000-0000-000087BE0000}"/>
    <cellStyle name="常规 9 6 2 4 3 2 3" xfId="34794" xr:uid="{00000000-0005-0000-0000-000088BE0000}"/>
    <cellStyle name="常规 9 6 2 4 3 3" xfId="16362" xr:uid="{00000000-0005-0000-0000-000089BE0000}"/>
    <cellStyle name="常规 9 6 2 4 3 3 2" xfId="40938" xr:uid="{00000000-0005-0000-0000-00008ABE0000}"/>
    <cellStyle name="常规 9 6 2 4 3 4" xfId="28650" xr:uid="{00000000-0005-0000-0000-00008BBE0000}"/>
    <cellStyle name="常规 9 6 2 4 4" xfId="7146" xr:uid="{00000000-0005-0000-0000-00008CBE0000}"/>
    <cellStyle name="常规 9 6 2 4 4 2" xfId="19434" xr:uid="{00000000-0005-0000-0000-00008DBE0000}"/>
    <cellStyle name="常规 9 6 2 4 4 2 2" xfId="44010" xr:uid="{00000000-0005-0000-0000-00008EBE0000}"/>
    <cellStyle name="常规 9 6 2 4 4 3" xfId="31722" xr:uid="{00000000-0005-0000-0000-00008FBE0000}"/>
    <cellStyle name="常规 9 6 2 4 5" xfId="13290" xr:uid="{00000000-0005-0000-0000-000090BE0000}"/>
    <cellStyle name="常规 9 6 2 4 5 2" xfId="37866" xr:uid="{00000000-0005-0000-0000-000091BE0000}"/>
    <cellStyle name="常规 9 6 2 4 6" xfId="25578" xr:uid="{00000000-0005-0000-0000-000092BE0000}"/>
    <cellStyle name="常规 9 6 2 5" xfId="1766" xr:uid="{00000000-0005-0000-0000-000093BE0000}"/>
    <cellStyle name="常规 9 6 2 5 2" xfId="4842" xr:uid="{00000000-0005-0000-0000-000094BE0000}"/>
    <cellStyle name="常规 9 6 2 5 2 2" xfId="10986" xr:uid="{00000000-0005-0000-0000-000095BE0000}"/>
    <cellStyle name="常规 9 6 2 5 2 2 2" xfId="23274" xr:uid="{00000000-0005-0000-0000-000096BE0000}"/>
    <cellStyle name="常规 9 6 2 5 2 2 2 2" xfId="47850" xr:uid="{00000000-0005-0000-0000-000097BE0000}"/>
    <cellStyle name="常规 9 6 2 5 2 2 3" xfId="35562" xr:uid="{00000000-0005-0000-0000-000098BE0000}"/>
    <cellStyle name="常规 9 6 2 5 2 3" xfId="17130" xr:uid="{00000000-0005-0000-0000-000099BE0000}"/>
    <cellStyle name="常规 9 6 2 5 2 3 2" xfId="41706" xr:uid="{00000000-0005-0000-0000-00009ABE0000}"/>
    <cellStyle name="常规 9 6 2 5 2 4" xfId="29418" xr:uid="{00000000-0005-0000-0000-00009BBE0000}"/>
    <cellStyle name="常规 9 6 2 5 3" xfId="7914" xr:uid="{00000000-0005-0000-0000-00009CBE0000}"/>
    <cellStyle name="常规 9 6 2 5 3 2" xfId="20202" xr:uid="{00000000-0005-0000-0000-00009DBE0000}"/>
    <cellStyle name="常规 9 6 2 5 3 2 2" xfId="44778" xr:uid="{00000000-0005-0000-0000-00009EBE0000}"/>
    <cellStyle name="常规 9 6 2 5 3 3" xfId="32490" xr:uid="{00000000-0005-0000-0000-00009FBE0000}"/>
    <cellStyle name="常规 9 6 2 5 4" xfId="14058" xr:uid="{00000000-0005-0000-0000-0000A0BE0000}"/>
    <cellStyle name="常规 9 6 2 5 4 2" xfId="38634" xr:uid="{00000000-0005-0000-0000-0000A1BE0000}"/>
    <cellStyle name="常规 9 6 2 5 5" xfId="26346" xr:uid="{00000000-0005-0000-0000-0000A2BE0000}"/>
    <cellStyle name="常规 9 6 2 6" xfId="3306" xr:uid="{00000000-0005-0000-0000-0000A3BE0000}"/>
    <cellStyle name="常规 9 6 2 6 2" xfId="9450" xr:uid="{00000000-0005-0000-0000-0000A4BE0000}"/>
    <cellStyle name="常规 9 6 2 6 2 2" xfId="21738" xr:uid="{00000000-0005-0000-0000-0000A5BE0000}"/>
    <cellStyle name="常规 9 6 2 6 2 2 2" xfId="46314" xr:uid="{00000000-0005-0000-0000-0000A6BE0000}"/>
    <cellStyle name="常规 9 6 2 6 2 3" xfId="34026" xr:uid="{00000000-0005-0000-0000-0000A7BE0000}"/>
    <cellStyle name="常规 9 6 2 6 3" xfId="15594" xr:uid="{00000000-0005-0000-0000-0000A8BE0000}"/>
    <cellStyle name="常规 9 6 2 6 3 2" xfId="40170" xr:uid="{00000000-0005-0000-0000-0000A9BE0000}"/>
    <cellStyle name="常规 9 6 2 6 4" xfId="27882" xr:uid="{00000000-0005-0000-0000-0000AABE0000}"/>
    <cellStyle name="常规 9 6 2 7" xfId="6378" xr:uid="{00000000-0005-0000-0000-0000ABBE0000}"/>
    <cellStyle name="常规 9 6 2 7 2" xfId="18666" xr:uid="{00000000-0005-0000-0000-0000ACBE0000}"/>
    <cellStyle name="常规 9 6 2 7 2 2" xfId="43242" xr:uid="{00000000-0005-0000-0000-0000ADBE0000}"/>
    <cellStyle name="常规 9 6 2 7 3" xfId="30954" xr:uid="{00000000-0005-0000-0000-0000AEBE0000}"/>
    <cellStyle name="常规 9 6 2 8" xfId="12522" xr:uid="{00000000-0005-0000-0000-0000AFBE0000}"/>
    <cellStyle name="常规 9 6 2 8 2" xfId="37098" xr:uid="{00000000-0005-0000-0000-0000B0BE0000}"/>
    <cellStyle name="常规 9 6 2 9" xfId="24810" xr:uid="{00000000-0005-0000-0000-0000B1BE0000}"/>
    <cellStyle name="常规 9 6 3" xfId="294" xr:uid="{00000000-0005-0000-0000-0000B2BE0000}"/>
    <cellStyle name="常规 9 6 3 2" xfId="486" xr:uid="{00000000-0005-0000-0000-0000B3BE0000}"/>
    <cellStyle name="常规 9 6 3 2 2" xfId="870" xr:uid="{00000000-0005-0000-0000-0000B4BE0000}"/>
    <cellStyle name="常规 9 6 3 2 2 2" xfId="1638" xr:uid="{00000000-0005-0000-0000-0000B5BE0000}"/>
    <cellStyle name="常规 9 6 3 2 2 2 2" xfId="3174" xr:uid="{00000000-0005-0000-0000-0000B6BE0000}"/>
    <cellStyle name="常规 9 6 3 2 2 2 2 2" xfId="6250" xr:uid="{00000000-0005-0000-0000-0000B7BE0000}"/>
    <cellStyle name="常规 9 6 3 2 2 2 2 2 2" xfId="12394" xr:uid="{00000000-0005-0000-0000-0000B8BE0000}"/>
    <cellStyle name="常规 9 6 3 2 2 2 2 2 2 2" xfId="24682" xr:uid="{00000000-0005-0000-0000-0000B9BE0000}"/>
    <cellStyle name="常规 9 6 3 2 2 2 2 2 2 2 2" xfId="49258" xr:uid="{00000000-0005-0000-0000-0000BABE0000}"/>
    <cellStyle name="常规 9 6 3 2 2 2 2 2 2 3" xfId="36970" xr:uid="{00000000-0005-0000-0000-0000BBBE0000}"/>
    <cellStyle name="常规 9 6 3 2 2 2 2 2 3" xfId="18538" xr:uid="{00000000-0005-0000-0000-0000BCBE0000}"/>
    <cellStyle name="常规 9 6 3 2 2 2 2 2 3 2" xfId="43114" xr:uid="{00000000-0005-0000-0000-0000BDBE0000}"/>
    <cellStyle name="常规 9 6 3 2 2 2 2 2 4" xfId="30826" xr:uid="{00000000-0005-0000-0000-0000BEBE0000}"/>
    <cellStyle name="常规 9 6 3 2 2 2 2 3" xfId="9322" xr:uid="{00000000-0005-0000-0000-0000BFBE0000}"/>
    <cellStyle name="常规 9 6 3 2 2 2 2 3 2" xfId="21610" xr:uid="{00000000-0005-0000-0000-0000C0BE0000}"/>
    <cellStyle name="常规 9 6 3 2 2 2 2 3 2 2" xfId="46186" xr:uid="{00000000-0005-0000-0000-0000C1BE0000}"/>
    <cellStyle name="常规 9 6 3 2 2 2 2 3 3" xfId="33898" xr:uid="{00000000-0005-0000-0000-0000C2BE0000}"/>
    <cellStyle name="常规 9 6 3 2 2 2 2 4" xfId="15466" xr:uid="{00000000-0005-0000-0000-0000C3BE0000}"/>
    <cellStyle name="常规 9 6 3 2 2 2 2 4 2" xfId="40042" xr:uid="{00000000-0005-0000-0000-0000C4BE0000}"/>
    <cellStyle name="常规 9 6 3 2 2 2 2 5" xfId="27754" xr:uid="{00000000-0005-0000-0000-0000C5BE0000}"/>
    <cellStyle name="常规 9 6 3 2 2 2 3" xfId="4714" xr:uid="{00000000-0005-0000-0000-0000C6BE0000}"/>
    <cellStyle name="常规 9 6 3 2 2 2 3 2" xfId="10858" xr:uid="{00000000-0005-0000-0000-0000C7BE0000}"/>
    <cellStyle name="常规 9 6 3 2 2 2 3 2 2" xfId="23146" xr:uid="{00000000-0005-0000-0000-0000C8BE0000}"/>
    <cellStyle name="常规 9 6 3 2 2 2 3 2 2 2" xfId="47722" xr:uid="{00000000-0005-0000-0000-0000C9BE0000}"/>
    <cellStyle name="常规 9 6 3 2 2 2 3 2 3" xfId="35434" xr:uid="{00000000-0005-0000-0000-0000CABE0000}"/>
    <cellStyle name="常规 9 6 3 2 2 2 3 3" xfId="17002" xr:uid="{00000000-0005-0000-0000-0000CBBE0000}"/>
    <cellStyle name="常规 9 6 3 2 2 2 3 3 2" xfId="41578" xr:uid="{00000000-0005-0000-0000-0000CCBE0000}"/>
    <cellStyle name="常规 9 6 3 2 2 2 3 4" xfId="29290" xr:uid="{00000000-0005-0000-0000-0000CDBE0000}"/>
    <cellStyle name="常规 9 6 3 2 2 2 4" xfId="7786" xr:uid="{00000000-0005-0000-0000-0000CEBE0000}"/>
    <cellStyle name="常规 9 6 3 2 2 2 4 2" xfId="20074" xr:uid="{00000000-0005-0000-0000-0000CFBE0000}"/>
    <cellStyle name="常规 9 6 3 2 2 2 4 2 2" xfId="44650" xr:uid="{00000000-0005-0000-0000-0000D0BE0000}"/>
    <cellStyle name="常规 9 6 3 2 2 2 4 3" xfId="32362" xr:uid="{00000000-0005-0000-0000-0000D1BE0000}"/>
    <cellStyle name="常规 9 6 3 2 2 2 5" xfId="13930" xr:uid="{00000000-0005-0000-0000-0000D2BE0000}"/>
    <cellStyle name="常规 9 6 3 2 2 2 5 2" xfId="38506" xr:uid="{00000000-0005-0000-0000-0000D3BE0000}"/>
    <cellStyle name="常规 9 6 3 2 2 2 6" xfId="26218" xr:uid="{00000000-0005-0000-0000-0000D4BE0000}"/>
    <cellStyle name="常规 9 6 3 2 2 3" xfId="2406" xr:uid="{00000000-0005-0000-0000-0000D5BE0000}"/>
    <cellStyle name="常规 9 6 3 2 2 3 2" xfId="5482" xr:uid="{00000000-0005-0000-0000-0000D6BE0000}"/>
    <cellStyle name="常规 9 6 3 2 2 3 2 2" xfId="11626" xr:uid="{00000000-0005-0000-0000-0000D7BE0000}"/>
    <cellStyle name="常规 9 6 3 2 2 3 2 2 2" xfId="23914" xr:uid="{00000000-0005-0000-0000-0000D8BE0000}"/>
    <cellStyle name="常规 9 6 3 2 2 3 2 2 2 2" xfId="48490" xr:uid="{00000000-0005-0000-0000-0000D9BE0000}"/>
    <cellStyle name="常规 9 6 3 2 2 3 2 2 3" xfId="36202" xr:uid="{00000000-0005-0000-0000-0000DABE0000}"/>
    <cellStyle name="常规 9 6 3 2 2 3 2 3" xfId="17770" xr:uid="{00000000-0005-0000-0000-0000DBBE0000}"/>
    <cellStyle name="常规 9 6 3 2 2 3 2 3 2" xfId="42346" xr:uid="{00000000-0005-0000-0000-0000DCBE0000}"/>
    <cellStyle name="常规 9 6 3 2 2 3 2 4" xfId="30058" xr:uid="{00000000-0005-0000-0000-0000DDBE0000}"/>
    <cellStyle name="常规 9 6 3 2 2 3 3" xfId="8554" xr:uid="{00000000-0005-0000-0000-0000DEBE0000}"/>
    <cellStyle name="常规 9 6 3 2 2 3 3 2" xfId="20842" xr:uid="{00000000-0005-0000-0000-0000DFBE0000}"/>
    <cellStyle name="常规 9 6 3 2 2 3 3 2 2" xfId="45418" xr:uid="{00000000-0005-0000-0000-0000E0BE0000}"/>
    <cellStyle name="常规 9 6 3 2 2 3 3 3" xfId="33130" xr:uid="{00000000-0005-0000-0000-0000E1BE0000}"/>
    <cellStyle name="常规 9 6 3 2 2 3 4" xfId="14698" xr:uid="{00000000-0005-0000-0000-0000E2BE0000}"/>
    <cellStyle name="常规 9 6 3 2 2 3 4 2" xfId="39274" xr:uid="{00000000-0005-0000-0000-0000E3BE0000}"/>
    <cellStyle name="常规 9 6 3 2 2 3 5" xfId="26986" xr:uid="{00000000-0005-0000-0000-0000E4BE0000}"/>
    <cellStyle name="常规 9 6 3 2 2 4" xfId="3946" xr:uid="{00000000-0005-0000-0000-0000E5BE0000}"/>
    <cellStyle name="常规 9 6 3 2 2 4 2" xfId="10090" xr:uid="{00000000-0005-0000-0000-0000E6BE0000}"/>
    <cellStyle name="常规 9 6 3 2 2 4 2 2" xfId="22378" xr:uid="{00000000-0005-0000-0000-0000E7BE0000}"/>
    <cellStyle name="常规 9 6 3 2 2 4 2 2 2" xfId="46954" xr:uid="{00000000-0005-0000-0000-0000E8BE0000}"/>
    <cellStyle name="常规 9 6 3 2 2 4 2 3" xfId="34666" xr:uid="{00000000-0005-0000-0000-0000E9BE0000}"/>
    <cellStyle name="常规 9 6 3 2 2 4 3" xfId="16234" xr:uid="{00000000-0005-0000-0000-0000EABE0000}"/>
    <cellStyle name="常规 9 6 3 2 2 4 3 2" xfId="40810" xr:uid="{00000000-0005-0000-0000-0000EBBE0000}"/>
    <cellStyle name="常规 9 6 3 2 2 4 4" xfId="28522" xr:uid="{00000000-0005-0000-0000-0000ECBE0000}"/>
    <cellStyle name="常规 9 6 3 2 2 5" xfId="7018" xr:uid="{00000000-0005-0000-0000-0000EDBE0000}"/>
    <cellStyle name="常规 9 6 3 2 2 5 2" xfId="19306" xr:uid="{00000000-0005-0000-0000-0000EEBE0000}"/>
    <cellStyle name="常规 9 6 3 2 2 5 2 2" xfId="43882" xr:uid="{00000000-0005-0000-0000-0000EFBE0000}"/>
    <cellStyle name="常规 9 6 3 2 2 5 3" xfId="31594" xr:uid="{00000000-0005-0000-0000-0000F0BE0000}"/>
    <cellStyle name="常规 9 6 3 2 2 6" xfId="13162" xr:uid="{00000000-0005-0000-0000-0000F1BE0000}"/>
    <cellStyle name="常规 9 6 3 2 2 6 2" xfId="37738" xr:uid="{00000000-0005-0000-0000-0000F2BE0000}"/>
    <cellStyle name="常规 9 6 3 2 2 7" xfId="25450" xr:uid="{00000000-0005-0000-0000-0000F3BE0000}"/>
    <cellStyle name="常规 9 6 3 2 3" xfId="1254" xr:uid="{00000000-0005-0000-0000-0000F4BE0000}"/>
    <cellStyle name="常规 9 6 3 2 3 2" xfId="2790" xr:uid="{00000000-0005-0000-0000-0000F5BE0000}"/>
    <cellStyle name="常规 9 6 3 2 3 2 2" xfId="5866" xr:uid="{00000000-0005-0000-0000-0000F6BE0000}"/>
    <cellStyle name="常规 9 6 3 2 3 2 2 2" xfId="12010" xr:uid="{00000000-0005-0000-0000-0000F7BE0000}"/>
    <cellStyle name="常规 9 6 3 2 3 2 2 2 2" xfId="24298" xr:uid="{00000000-0005-0000-0000-0000F8BE0000}"/>
    <cellStyle name="常规 9 6 3 2 3 2 2 2 2 2" xfId="48874" xr:uid="{00000000-0005-0000-0000-0000F9BE0000}"/>
    <cellStyle name="常规 9 6 3 2 3 2 2 2 3" xfId="36586" xr:uid="{00000000-0005-0000-0000-0000FABE0000}"/>
    <cellStyle name="常规 9 6 3 2 3 2 2 3" xfId="18154" xr:uid="{00000000-0005-0000-0000-0000FBBE0000}"/>
    <cellStyle name="常规 9 6 3 2 3 2 2 3 2" xfId="42730" xr:uid="{00000000-0005-0000-0000-0000FCBE0000}"/>
    <cellStyle name="常规 9 6 3 2 3 2 2 4" xfId="30442" xr:uid="{00000000-0005-0000-0000-0000FDBE0000}"/>
    <cellStyle name="常规 9 6 3 2 3 2 3" xfId="8938" xr:uid="{00000000-0005-0000-0000-0000FEBE0000}"/>
    <cellStyle name="常规 9 6 3 2 3 2 3 2" xfId="21226" xr:uid="{00000000-0005-0000-0000-0000FFBE0000}"/>
    <cellStyle name="常规 9 6 3 2 3 2 3 2 2" xfId="45802" xr:uid="{00000000-0005-0000-0000-000000BF0000}"/>
    <cellStyle name="常规 9 6 3 2 3 2 3 3" xfId="33514" xr:uid="{00000000-0005-0000-0000-000001BF0000}"/>
    <cellStyle name="常规 9 6 3 2 3 2 4" xfId="15082" xr:uid="{00000000-0005-0000-0000-000002BF0000}"/>
    <cellStyle name="常规 9 6 3 2 3 2 4 2" xfId="39658" xr:uid="{00000000-0005-0000-0000-000003BF0000}"/>
    <cellStyle name="常规 9 6 3 2 3 2 5" xfId="27370" xr:uid="{00000000-0005-0000-0000-000004BF0000}"/>
    <cellStyle name="常规 9 6 3 2 3 3" xfId="4330" xr:uid="{00000000-0005-0000-0000-000005BF0000}"/>
    <cellStyle name="常规 9 6 3 2 3 3 2" xfId="10474" xr:uid="{00000000-0005-0000-0000-000006BF0000}"/>
    <cellStyle name="常规 9 6 3 2 3 3 2 2" xfId="22762" xr:uid="{00000000-0005-0000-0000-000007BF0000}"/>
    <cellStyle name="常规 9 6 3 2 3 3 2 2 2" xfId="47338" xr:uid="{00000000-0005-0000-0000-000008BF0000}"/>
    <cellStyle name="常规 9 6 3 2 3 3 2 3" xfId="35050" xr:uid="{00000000-0005-0000-0000-000009BF0000}"/>
    <cellStyle name="常规 9 6 3 2 3 3 3" xfId="16618" xr:uid="{00000000-0005-0000-0000-00000ABF0000}"/>
    <cellStyle name="常规 9 6 3 2 3 3 3 2" xfId="41194" xr:uid="{00000000-0005-0000-0000-00000BBF0000}"/>
    <cellStyle name="常规 9 6 3 2 3 3 4" xfId="28906" xr:uid="{00000000-0005-0000-0000-00000CBF0000}"/>
    <cellStyle name="常规 9 6 3 2 3 4" xfId="7402" xr:uid="{00000000-0005-0000-0000-00000DBF0000}"/>
    <cellStyle name="常规 9 6 3 2 3 4 2" xfId="19690" xr:uid="{00000000-0005-0000-0000-00000EBF0000}"/>
    <cellStyle name="常规 9 6 3 2 3 4 2 2" xfId="44266" xr:uid="{00000000-0005-0000-0000-00000FBF0000}"/>
    <cellStyle name="常规 9 6 3 2 3 4 3" xfId="31978" xr:uid="{00000000-0005-0000-0000-000010BF0000}"/>
    <cellStyle name="常规 9 6 3 2 3 5" xfId="13546" xr:uid="{00000000-0005-0000-0000-000011BF0000}"/>
    <cellStyle name="常规 9 6 3 2 3 5 2" xfId="38122" xr:uid="{00000000-0005-0000-0000-000012BF0000}"/>
    <cellStyle name="常规 9 6 3 2 3 6" xfId="25834" xr:uid="{00000000-0005-0000-0000-000013BF0000}"/>
    <cellStyle name="常规 9 6 3 2 4" xfId="2022" xr:uid="{00000000-0005-0000-0000-000014BF0000}"/>
    <cellStyle name="常规 9 6 3 2 4 2" xfId="5098" xr:uid="{00000000-0005-0000-0000-000015BF0000}"/>
    <cellStyle name="常规 9 6 3 2 4 2 2" xfId="11242" xr:uid="{00000000-0005-0000-0000-000016BF0000}"/>
    <cellStyle name="常规 9 6 3 2 4 2 2 2" xfId="23530" xr:uid="{00000000-0005-0000-0000-000017BF0000}"/>
    <cellStyle name="常规 9 6 3 2 4 2 2 2 2" xfId="48106" xr:uid="{00000000-0005-0000-0000-000018BF0000}"/>
    <cellStyle name="常规 9 6 3 2 4 2 2 3" xfId="35818" xr:uid="{00000000-0005-0000-0000-000019BF0000}"/>
    <cellStyle name="常规 9 6 3 2 4 2 3" xfId="17386" xr:uid="{00000000-0005-0000-0000-00001ABF0000}"/>
    <cellStyle name="常规 9 6 3 2 4 2 3 2" xfId="41962" xr:uid="{00000000-0005-0000-0000-00001BBF0000}"/>
    <cellStyle name="常规 9 6 3 2 4 2 4" xfId="29674" xr:uid="{00000000-0005-0000-0000-00001CBF0000}"/>
    <cellStyle name="常规 9 6 3 2 4 3" xfId="8170" xr:uid="{00000000-0005-0000-0000-00001DBF0000}"/>
    <cellStyle name="常规 9 6 3 2 4 3 2" xfId="20458" xr:uid="{00000000-0005-0000-0000-00001EBF0000}"/>
    <cellStyle name="常规 9 6 3 2 4 3 2 2" xfId="45034" xr:uid="{00000000-0005-0000-0000-00001FBF0000}"/>
    <cellStyle name="常规 9 6 3 2 4 3 3" xfId="32746" xr:uid="{00000000-0005-0000-0000-000020BF0000}"/>
    <cellStyle name="常规 9 6 3 2 4 4" xfId="14314" xr:uid="{00000000-0005-0000-0000-000021BF0000}"/>
    <cellStyle name="常规 9 6 3 2 4 4 2" xfId="38890" xr:uid="{00000000-0005-0000-0000-000022BF0000}"/>
    <cellStyle name="常规 9 6 3 2 4 5" xfId="26602" xr:uid="{00000000-0005-0000-0000-000023BF0000}"/>
    <cellStyle name="常规 9 6 3 2 5" xfId="3562" xr:uid="{00000000-0005-0000-0000-000024BF0000}"/>
    <cellStyle name="常规 9 6 3 2 5 2" xfId="9706" xr:uid="{00000000-0005-0000-0000-000025BF0000}"/>
    <cellStyle name="常规 9 6 3 2 5 2 2" xfId="21994" xr:uid="{00000000-0005-0000-0000-000026BF0000}"/>
    <cellStyle name="常规 9 6 3 2 5 2 2 2" xfId="46570" xr:uid="{00000000-0005-0000-0000-000027BF0000}"/>
    <cellStyle name="常规 9 6 3 2 5 2 3" xfId="34282" xr:uid="{00000000-0005-0000-0000-000028BF0000}"/>
    <cellStyle name="常规 9 6 3 2 5 3" xfId="15850" xr:uid="{00000000-0005-0000-0000-000029BF0000}"/>
    <cellStyle name="常规 9 6 3 2 5 3 2" xfId="40426" xr:uid="{00000000-0005-0000-0000-00002ABF0000}"/>
    <cellStyle name="常规 9 6 3 2 5 4" xfId="28138" xr:uid="{00000000-0005-0000-0000-00002BBF0000}"/>
    <cellStyle name="常规 9 6 3 2 6" xfId="6634" xr:uid="{00000000-0005-0000-0000-00002CBF0000}"/>
    <cellStyle name="常规 9 6 3 2 6 2" xfId="18922" xr:uid="{00000000-0005-0000-0000-00002DBF0000}"/>
    <cellStyle name="常规 9 6 3 2 6 2 2" xfId="43498" xr:uid="{00000000-0005-0000-0000-00002EBF0000}"/>
    <cellStyle name="常规 9 6 3 2 6 3" xfId="31210" xr:uid="{00000000-0005-0000-0000-00002FBF0000}"/>
    <cellStyle name="常规 9 6 3 2 7" xfId="12778" xr:uid="{00000000-0005-0000-0000-000030BF0000}"/>
    <cellStyle name="常规 9 6 3 2 7 2" xfId="37354" xr:uid="{00000000-0005-0000-0000-000031BF0000}"/>
    <cellStyle name="常规 9 6 3 2 8" xfId="25066" xr:uid="{00000000-0005-0000-0000-000032BF0000}"/>
    <cellStyle name="常规 9 6 3 3" xfId="678" xr:uid="{00000000-0005-0000-0000-000033BF0000}"/>
    <cellStyle name="常规 9 6 3 3 2" xfId="1446" xr:uid="{00000000-0005-0000-0000-000034BF0000}"/>
    <cellStyle name="常规 9 6 3 3 2 2" xfId="2982" xr:uid="{00000000-0005-0000-0000-000035BF0000}"/>
    <cellStyle name="常规 9 6 3 3 2 2 2" xfId="6058" xr:uid="{00000000-0005-0000-0000-000036BF0000}"/>
    <cellStyle name="常规 9 6 3 3 2 2 2 2" xfId="12202" xr:uid="{00000000-0005-0000-0000-000037BF0000}"/>
    <cellStyle name="常规 9 6 3 3 2 2 2 2 2" xfId="24490" xr:uid="{00000000-0005-0000-0000-000038BF0000}"/>
    <cellStyle name="常规 9 6 3 3 2 2 2 2 2 2" xfId="49066" xr:uid="{00000000-0005-0000-0000-000039BF0000}"/>
    <cellStyle name="常规 9 6 3 3 2 2 2 2 3" xfId="36778" xr:uid="{00000000-0005-0000-0000-00003ABF0000}"/>
    <cellStyle name="常规 9 6 3 3 2 2 2 3" xfId="18346" xr:uid="{00000000-0005-0000-0000-00003BBF0000}"/>
    <cellStyle name="常规 9 6 3 3 2 2 2 3 2" xfId="42922" xr:uid="{00000000-0005-0000-0000-00003CBF0000}"/>
    <cellStyle name="常规 9 6 3 3 2 2 2 4" xfId="30634" xr:uid="{00000000-0005-0000-0000-00003DBF0000}"/>
    <cellStyle name="常规 9 6 3 3 2 2 3" xfId="9130" xr:uid="{00000000-0005-0000-0000-00003EBF0000}"/>
    <cellStyle name="常规 9 6 3 3 2 2 3 2" xfId="21418" xr:uid="{00000000-0005-0000-0000-00003FBF0000}"/>
    <cellStyle name="常规 9 6 3 3 2 2 3 2 2" xfId="45994" xr:uid="{00000000-0005-0000-0000-000040BF0000}"/>
    <cellStyle name="常规 9 6 3 3 2 2 3 3" xfId="33706" xr:uid="{00000000-0005-0000-0000-000041BF0000}"/>
    <cellStyle name="常规 9 6 3 3 2 2 4" xfId="15274" xr:uid="{00000000-0005-0000-0000-000042BF0000}"/>
    <cellStyle name="常规 9 6 3 3 2 2 4 2" xfId="39850" xr:uid="{00000000-0005-0000-0000-000043BF0000}"/>
    <cellStyle name="常规 9 6 3 3 2 2 5" xfId="27562" xr:uid="{00000000-0005-0000-0000-000044BF0000}"/>
    <cellStyle name="常规 9 6 3 3 2 3" xfId="4522" xr:uid="{00000000-0005-0000-0000-000045BF0000}"/>
    <cellStyle name="常规 9 6 3 3 2 3 2" xfId="10666" xr:uid="{00000000-0005-0000-0000-000046BF0000}"/>
    <cellStyle name="常规 9 6 3 3 2 3 2 2" xfId="22954" xr:uid="{00000000-0005-0000-0000-000047BF0000}"/>
    <cellStyle name="常规 9 6 3 3 2 3 2 2 2" xfId="47530" xr:uid="{00000000-0005-0000-0000-000048BF0000}"/>
    <cellStyle name="常规 9 6 3 3 2 3 2 3" xfId="35242" xr:uid="{00000000-0005-0000-0000-000049BF0000}"/>
    <cellStyle name="常规 9 6 3 3 2 3 3" xfId="16810" xr:uid="{00000000-0005-0000-0000-00004ABF0000}"/>
    <cellStyle name="常规 9 6 3 3 2 3 3 2" xfId="41386" xr:uid="{00000000-0005-0000-0000-00004BBF0000}"/>
    <cellStyle name="常规 9 6 3 3 2 3 4" xfId="29098" xr:uid="{00000000-0005-0000-0000-00004CBF0000}"/>
    <cellStyle name="常规 9 6 3 3 2 4" xfId="7594" xr:uid="{00000000-0005-0000-0000-00004DBF0000}"/>
    <cellStyle name="常规 9 6 3 3 2 4 2" xfId="19882" xr:uid="{00000000-0005-0000-0000-00004EBF0000}"/>
    <cellStyle name="常规 9 6 3 3 2 4 2 2" xfId="44458" xr:uid="{00000000-0005-0000-0000-00004FBF0000}"/>
    <cellStyle name="常规 9 6 3 3 2 4 3" xfId="32170" xr:uid="{00000000-0005-0000-0000-000050BF0000}"/>
    <cellStyle name="常规 9 6 3 3 2 5" xfId="13738" xr:uid="{00000000-0005-0000-0000-000051BF0000}"/>
    <cellStyle name="常规 9 6 3 3 2 5 2" xfId="38314" xr:uid="{00000000-0005-0000-0000-000052BF0000}"/>
    <cellStyle name="常规 9 6 3 3 2 6" xfId="26026" xr:uid="{00000000-0005-0000-0000-000053BF0000}"/>
    <cellStyle name="常规 9 6 3 3 3" xfId="2214" xr:uid="{00000000-0005-0000-0000-000054BF0000}"/>
    <cellStyle name="常规 9 6 3 3 3 2" xfId="5290" xr:uid="{00000000-0005-0000-0000-000055BF0000}"/>
    <cellStyle name="常规 9 6 3 3 3 2 2" xfId="11434" xr:uid="{00000000-0005-0000-0000-000056BF0000}"/>
    <cellStyle name="常规 9 6 3 3 3 2 2 2" xfId="23722" xr:uid="{00000000-0005-0000-0000-000057BF0000}"/>
    <cellStyle name="常规 9 6 3 3 3 2 2 2 2" xfId="48298" xr:uid="{00000000-0005-0000-0000-000058BF0000}"/>
    <cellStyle name="常规 9 6 3 3 3 2 2 3" xfId="36010" xr:uid="{00000000-0005-0000-0000-000059BF0000}"/>
    <cellStyle name="常规 9 6 3 3 3 2 3" xfId="17578" xr:uid="{00000000-0005-0000-0000-00005ABF0000}"/>
    <cellStyle name="常规 9 6 3 3 3 2 3 2" xfId="42154" xr:uid="{00000000-0005-0000-0000-00005BBF0000}"/>
    <cellStyle name="常规 9 6 3 3 3 2 4" xfId="29866" xr:uid="{00000000-0005-0000-0000-00005CBF0000}"/>
    <cellStyle name="常规 9 6 3 3 3 3" xfId="8362" xr:uid="{00000000-0005-0000-0000-00005DBF0000}"/>
    <cellStyle name="常规 9 6 3 3 3 3 2" xfId="20650" xr:uid="{00000000-0005-0000-0000-00005EBF0000}"/>
    <cellStyle name="常规 9 6 3 3 3 3 2 2" xfId="45226" xr:uid="{00000000-0005-0000-0000-00005FBF0000}"/>
    <cellStyle name="常规 9 6 3 3 3 3 3" xfId="32938" xr:uid="{00000000-0005-0000-0000-000060BF0000}"/>
    <cellStyle name="常规 9 6 3 3 3 4" xfId="14506" xr:uid="{00000000-0005-0000-0000-000061BF0000}"/>
    <cellStyle name="常规 9 6 3 3 3 4 2" xfId="39082" xr:uid="{00000000-0005-0000-0000-000062BF0000}"/>
    <cellStyle name="常规 9 6 3 3 3 5" xfId="26794" xr:uid="{00000000-0005-0000-0000-000063BF0000}"/>
    <cellStyle name="常规 9 6 3 3 4" xfId="3754" xr:uid="{00000000-0005-0000-0000-000064BF0000}"/>
    <cellStyle name="常规 9 6 3 3 4 2" xfId="9898" xr:uid="{00000000-0005-0000-0000-000065BF0000}"/>
    <cellStyle name="常规 9 6 3 3 4 2 2" xfId="22186" xr:uid="{00000000-0005-0000-0000-000066BF0000}"/>
    <cellStyle name="常规 9 6 3 3 4 2 2 2" xfId="46762" xr:uid="{00000000-0005-0000-0000-000067BF0000}"/>
    <cellStyle name="常规 9 6 3 3 4 2 3" xfId="34474" xr:uid="{00000000-0005-0000-0000-000068BF0000}"/>
    <cellStyle name="常规 9 6 3 3 4 3" xfId="16042" xr:uid="{00000000-0005-0000-0000-000069BF0000}"/>
    <cellStyle name="常规 9 6 3 3 4 3 2" xfId="40618" xr:uid="{00000000-0005-0000-0000-00006ABF0000}"/>
    <cellStyle name="常规 9 6 3 3 4 4" xfId="28330" xr:uid="{00000000-0005-0000-0000-00006BBF0000}"/>
    <cellStyle name="常规 9 6 3 3 5" xfId="6826" xr:uid="{00000000-0005-0000-0000-00006CBF0000}"/>
    <cellStyle name="常规 9 6 3 3 5 2" xfId="19114" xr:uid="{00000000-0005-0000-0000-00006DBF0000}"/>
    <cellStyle name="常规 9 6 3 3 5 2 2" xfId="43690" xr:uid="{00000000-0005-0000-0000-00006EBF0000}"/>
    <cellStyle name="常规 9 6 3 3 5 3" xfId="31402" xr:uid="{00000000-0005-0000-0000-00006FBF0000}"/>
    <cellStyle name="常规 9 6 3 3 6" xfId="12970" xr:uid="{00000000-0005-0000-0000-000070BF0000}"/>
    <cellStyle name="常规 9 6 3 3 6 2" xfId="37546" xr:uid="{00000000-0005-0000-0000-000071BF0000}"/>
    <cellStyle name="常规 9 6 3 3 7" xfId="25258" xr:uid="{00000000-0005-0000-0000-000072BF0000}"/>
    <cellStyle name="常规 9 6 3 4" xfId="1062" xr:uid="{00000000-0005-0000-0000-000073BF0000}"/>
    <cellStyle name="常规 9 6 3 4 2" xfId="2598" xr:uid="{00000000-0005-0000-0000-000074BF0000}"/>
    <cellStyle name="常规 9 6 3 4 2 2" xfId="5674" xr:uid="{00000000-0005-0000-0000-000075BF0000}"/>
    <cellStyle name="常规 9 6 3 4 2 2 2" xfId="11818" xr:uid="{00000000-0005-0000-0000-000076BF0000}"/>
    <cellStyle name="常规 9 6 3 4 2 2 2 2" xfId="24106" xr:uid="{00000000-0005-0000-0000-000077BF0000}"/>
    <cellStyle name="常规 9 6 3 4 2 2 2 2 2" xfId="48682" xr:uid="{00000000-0005-0000-0000-000078BF0000}"/>
    <cellStyle name="常规 9 6 3 4 2 2 2 3" xfId="36394" xr:uid="{00000000-0005-0000-0000-000079BF0000}"/>
    <cellStyle name="常规 9 6 3 4 2 2 3" xfId="17962" xr:uid="{00000000-0005-0000-0000-00007ABF0000}"/>
    <cellStyle name="常规 9 6 3 4 2 2 3 2" xfId="42538" xr:uid="{00000000-0005-0000-0000-00007BBF0000}"/>
    <cellStyle name="常规 9 6 3 4 2 2 4" xfId="30250" xr:uid="{00000000-0005-0000-0000-00007CBF0000}"/>
    <cellStyle name="常规 9 6 3 4 2 3" xfId="8746" xr:uid="{00000000-0005-0000-0000-00007DBF0000}"/>
    <cellStyle name="常规 9 6 3 4 2 3 2" xfId="21034" xr:uid="{00000000-0005-0000-0000-00007EBF0000}"/>
    <cellStyle name="常规 9 6 3 4 2 3 2 2" xfId="45610" xr:uid="{00000000-0005-0000-0000-00007FBF0000}"/>
    <cellStyle name="常规 9 6 3 4 2 3 3" xfId="33322" xr:uid="{00000000-0005-0000-0000-000080BF0000}"/>
    <cellStyle name="常规 9 6 3 4 2 4" xfId="14890" xr:uid="{00000000-0005-0000-0000-000081BF0000}"/>
    <cellStyle name="常规 9 6 3 4 2 4 2" xfId="39466" xr:uid="{00000000-0005-0000-0000-000082BF0000}"/>
    <cellStyle name="常规 9 6 3 4 2 5" xfId="27178" xr:uid="{00000000-0005-0000-0000-000083BF0000}"/>
    <cellStyle name="常规 9 6 3 4 3" xfId="4138" xr:uid="{00000000-0005-0000-0000-000084BF0000}"/>
    <cellStyle name="常规 9 6 3 4 3 2" xfId="10282" xr:uid="{00000000-0005-0000-0000-000085BF0000}"/>
    <cellStyle name="常规 9 6 3 4 3 2 2" xfId="22570" xr:uid="{00000000-0005-0000-0000-000086BF0000}"/>
    <cellStyle name="常规 9 6 3 4 3 2 2 2" xfId="47146" xr:uid="{00000000-0005-0000-0000-000087BF0000}"/>
    <cellStyle name="常规 9 6 3 4 3 2 3" xfId="34858" xr:uid="{00000000-0005-0000-0000-000088BF0000}"/>
    <cellStyle name="常规 9 6 3 4 3 3" xfId="16426" xr:uid="{00000000-0005-0000-0000-000089BF0000}"/>
    <cellStyle name="常规 9 6 3 4 3 3 2" xfId="41002" xr:uid="{00000000-0005-0000-0000-00008ABF0000}"/>
    <cellStyle name="常规 9 6 3 4 3 4" xfId="28714" xr:uid="{00000000-0005-0000-0000-00008BBF0000}"/>
    <cellStyle name="常规 9 6 3 4 4" xfId="7210" xr:uid="{00000000-0005-0000-0000-00008CBF0000}"/>
    <cellStyle name="常规 9 6 3 4 4 2" xfId="19498" xr:uid="{00000000-0005-0000-0000-00008DBF0000}"/>
    <cellStyle name="常规 9 6 3 4 4 2 2" xfId="44074" xr:uid="{00000000-0005-0000-0000-00008EBF0000}"/>
    <cellStyle name="常规 9 6 3 4 4 3" xfId="31786" xr:uid="{00000000-0005-0000-0000-00008FBF0000}"/>
    <cellStyle name="常规 9 6 3 4 5" xfId="13354" xr:uid="{00000000-0005-0000-0000-000090BF0000}"/>
    <cellStyle name="常规 9 6 3 4 5 2" xfId="37930" xr:uid="{00000000-0005-0000-0000-000091BF0000}"/>
    <cellStyle name="常规 9 6 3 4 6" xfId="25642" xr:uid="{00000000-0005-0000-0000-000092BF0000}"/>
    <cellStyle name="常规 9 6 3 5" xfId="1830" xr:uid="{00000000-0005-0000-0000-000093BF0000}"/>
    <cellStyle name="常规 9 6 3 5 2" xfId="4906" xr:uid="{00000000-0005-0000-0000-000094BF0000}"/>
    <cellStyle name="常规 9 6 3 5 2 2" xfId="11050" xr:uid="{00000000-0005-0000-0000-000095BF0000}"/>
    <cellStyle name="常规 9 6 3 5 2 2 2" xfId="23338" xr:uid="{00000000-0005-0000-0000-000096BF0000}"/>
    <cellStyle name="常规 9 6 3 5 2 2 2 2" xfId="47914" xr:uid="{00000000-0005-0000-0000-000097BF0000}"/>
    <cellStyle name="常规 9 6 3 5 2 2 3" xfId="35626" xr:uid="{00000000-0005-0000-0000-000098BF0000}"/>
    <cellStyle name="常规 9 6 3 5 2 3" xfId="17194" xr:uid="{00000000-0005-0000-0000-000099BF0000}"/>
    <cellStyle name="常规 9 6 3 5 2 3 2" xfId="41770" xr:uid="{00000000-0005-0000-0000-00009ABF0000}"/>
    <cellStyle name="常规 9 6 3 5 2 4" xfId="29482" xr:uid="{00000000-0005-0000-0000-00009BBF0000}"/>
    <cellStyle name="常规 9 6 3 5 3" xfId="7978" xr:uid="{00000000-0005-0000-0000-00009CBF0000}"/>
    <cellStyle name="常规 9 6 3 5 3 2" xfId="20266" xr:uid="{00000000-0005-0000-0000-00009DBF0000}"/>
    <cellStyle name="常规 9 6 3 5 3 2 2" xfId="44842" xr:uid="{00000000-0005-0000-0000-00009EBF0000}"/>
    <cellStyle name="常规 9 6 3 5 3 3" xfId="32554" xr:uid="{00000000-0005-0000-0000-00009FBF0000}"/>
    <cellStyle name="常规 9 6 3 5 4" xfId="14122" xr:uid="{00000000-0005-0000-0000-0000A0BF0000}"/>
    <cellStyle name="常规 9 6 3 5 4 2" xfId="38698" xr:uid="{00000000-0005-0000-0000-0000A1BF0000}"/>
    <cellStyle name="常规 9 6 3 5 5" xfId="26410" xr:uid="{00000000-0005-0000-0000-0000A2BF0000}"/>
    <cellStyle name="常规 9 6 3 6" xfId="3370" xr:uid="{00000000-0005-0000-0000-0000A3BF0000}"/>
    <cellStyle name="常规 9 6 3 6 2" xfId="9514" xr:uid="{00000000-0005-0000-0000-0000A4BF0000}"/>
    <cellStyle name="常规 9 6 3 6 2 2" xfId="21802" xr:uid="{00000000-0005-0000-0000-0000A5BF0000}"/>
    <cellStyle name="常规 9 6 3 6 2 2 2" xfId="46378" xr:uid="{00000000-0005-0000-0000-0000A6BF0000}"/>
    <cellStyle name="常规 9 6 3 6 2 3" xfId="34090" xr:uid="{00000000-0005-0000-0000-0000A7BF0000}"/>
    <cellStyle name="常规 9 6 3 6 3" xfId="15658" xr:uid="{00000000-0005-0000-0000-0000A8BF0000}"/>
    <cellStyle name="常规 9 6 3 6 3 2" xfId="40234" xr:uid="{00000000-0005-0000-0000-0000A9BF0000}"/>
    <cellStyle name="常规 9 6 3 6 4" xfId="27946" xr:uid="{00000000-0005-0000-0000-0000AABF0000}"/>
    <cellStyle name="常规 9 6 3 7" xfId="6442" xr:uid="{00000000-0005-0000-0000-0000ABBF0000}"/>
    <cellStyle name="常规 9 6 3 7 2" xfId="18730" xr:uid="{00000000-0005-0000-0000-0000ACBF0000}"/>
    <cellStyle name="常规 9 6 3 7 2 2" xfId="43306" xr:uid="{00000000-0005-0000-0000-0000ADBF0000}"/>
    <cellStyle name="常规 9 6 3 7 3" xfId="31018" xr:uid="{00000000-0005-0000-0000-0000AEBF0000}"/>
    <cellStyle name="常规 9 6 3 8" xfId="12586" xr:uid="{00000000-0005-0000-0000-0000AFBF0000}"/>
    <cellStyle name="常规 9 6 3 8 2" xfId="37162" xr:uid="{00000000-0005-0000-0000-0000B0BF0000}"/>
    <cellStyle name="常规 9 6 3 9" xfId="24874" xr:uid="{00000000-0005-0000-0000-0000B1BF0000}"/>
    <cellStyle name="常规 9 6 4" xfId="358" xr:uid="{00000000-0005-0000-0000-0000B2BF0000}"/>
    <cellStyle name="常规 9 6 4 2" xfId="742" xr:uid="{00000000-0005-0000-0000-0000B3BF0000}"/>
    <cellStyle name="常规 9 6 4 2 2" xfId="1510" xr:uid="{00000000-0005-0000-0000-0000B4BF0000}"/>
    <cellStyle name="常规 9 6 4 2 2 2" xfId="3046" xr:uid="{00000000-0005-0000-0000-0000B5BF0000}"/>
    <cellStyle name="常规 9 6 4 2 2 2 2" xfId="6122" xr:uid="{00000000-0005-0000-0000-0000B6BF0000}"/>
    <cellStyle name="常规 9 6 4 2 2 2 2 2" xfId="12266" xr:uid="{00000000-0005-0000-0000-0000B7BF0000}"/>
    <cellStyle name="常规 9 6 4 2 2 2 2 2 2" xfId="24554" xr:uid="{00000000-0005-0000-0000-0000B8BF0000}"/>
    <cellStyle name="常规 9 6 4 2 2 2 2 2 2 2" xfId="49130" xr:uid="{00000000-0005-0000-0000-0000B9BF0000}"/>
    <cellStyle name="常规 9 6 4 2 2 2 2 2 3" xfId="36842" xr:uid="{00000000-0005-0000-0000-0000BABF0000}"/>
    <cellStyle name="常规 9 6 4 2 2 2 2 3" xfId="18410" xr:uid="{00000000-0005-0000-0000-0000BBBF0000}"/>
    <cellStyle name="常规 9 6 4 2 2 2 2 3 2" xfId="42986" xr:uid="{00000000-0005-0000-0000-0000BCBF0000}"/>
    <cellStyle name="常规 9 6 4 2 2 2 2 4" xfId="30698" xr:uid="{00000000-0005-0000-0000-0000BDBF0000}"/>
    <cellStyle name="常规 9 6 4 2 2 2 3" xfId="9194" xr:uid="{00000000-0005-0000-0000-0000BEBF0000}"/>
    <cellStyle name="常规 9 6 4 2 2 2 3 2" xfId="21482" xr:uid="{00000000-0005-0000-0000-0000BFBF0000}"/>
    <cellStyle name="常规 9 6 4 2 2 2 3 2 2" xfId="46058" xr:uid="{00000000-0005-0000-0000-0000C0BF0000}"/>
    <cellStyle name="常规 9 6 4 2 2 2 3 3" xfId="33770" xr:uid="{00000000-0005-0000-0000-0000C1BF0000}"/>
    <cellStyle name="常规 9 6 4 2 2 2 4" xfId="15338" xr:uid="{00000000-0005-0000-0000-0000C2BF0000}"/>
    <cellStyle name="常规 9 6 4 2 2 2 4 2" xfId="39914" xr:uid="{00000000-0005-0000-0000-0000C3BF0000}"/>
    <cellStyle name="常规 9 6 4 2 2 2 5" xfId="27626" xr:uid="{00000000-0005-0000-0000-0000C4BF0000}"/>
    <cellStyle name="常规 9 6 4 2 2 3" xfId="4586" xr:uid="{00000000-0005-0000-0000-0000C5BF0000}"/>
    <cellStyle name="常规 9 6 4 2 2 3 2" xfId="10730" xr:uid="{00000000-0005-0000-0000-0000C6BF0000}"/>
    <cellStyle name="常规 9 6 4 2 2 3 2 2" xfId="23018" xr:uid="{00000000-0005-0000-0000-0000C7BF0000}"/>
    <cellStyle name="常规 9 6 4 2 2 3 2 2 2" xfId="47594" xr:uid="{00000000-0005-0000-0000-0000C8BF0000}"/>
    <cellStyle name="常规 9 6 4 2 2 3 2 3" xfId="35306" xr:uid="{00000000-0005-0000-0000-0000C9BF0000}"/>
    <cellStyle name="常规 9 6 4 2 2 3 3" xfId="16874" xr:uid="{00000000-0005-0000-0000-0000CABF0000}"/>
    <cellStyle name="常规 9 6 4 2 2 3 3 2" xfId="41450" xr:uid="{00000000-0005-0000-0000-0000CBBF0000}"/>
    <cellStyle name="常规 9 6 4 2 2 3 4" xfId="29162" xr:uid="{00000000-0005-0000-0000-0000CCBF0000}"/>
    <cellStyle name="常规 9 6 4 2 2 4" xfId="7658" xr:uid="{00000000-0005-0000-0000-0000CDBF0000}"/>
    <cellStyle name="常规 9 6 4 2 2 4 2" xfId="19946" xr:uid="{00000000-0005-0000-0000-0000CEBF0000}"/>
    <cellStyle name="常规 9 6 4 2 2 4 2 2" xfId="44522" xr:uid="{00000000-0005-0000-0000-0000CFBF0000}"/>
    <cellStyle name="常规 9 6 4 2 2 4 3" xfId="32234" xr:uid="{00000000-0005-0000-0000-0000D0BF0000}"/>
    <cellStyle name="常规 9 6 4 2 2 5" xfId="13802" xr:uid="{00000000-0005-0000-0000-0000D1BF0000}"/>
    <cellStyle name="常规 9 6 4 2 2 5 2" xfId="38378" xr:uid="{00000000-0005-0000-0000-0000D2BF0000}"/>
    <cellStyle name="常规 9 6 4 2 2 6" xfId="26090" xr:uid="{00000000-0005-0000-0000-0000D3BF0000}"/>
    <cellStyle name="常规 9 6 4 2 3" xfId="2278" xr:uid="{00000000-0005-0000-0000-0000D4BF0000}"/>
    <cellStyle name="常规 9 6 4 2 3 2" xfId="5354" xr:uid="{00000000-0005-0000-0000-0000D5BF0000}"/>
    <cellStyle name="常规 9 6 4 2 3 2 2" xfId="11498" xr:uid="{00000000-0005-0000-0000-0000D6BF0000}"/>
    <cellStyle name="常规 9 6 4 2 3 2 2 2" xfId="23786" xr:uid="{00000000-0005-0000-0000-0000D7BF0000}"/>
    <cellStyle name="常规 9 6 4 2 3 2 2 2 2" xfId="48362" xr:uid="{00000000-0005-0000-0000-0000D8BF0000}"/>
    <cellStyle name="常规 9 6 4 2 3 2 2 3" xfId="36074" xr:uid="{00000000-0005-0000-0000-0000D9BF0000}"/>
    <cellStyle name="常规 9 6 4 2 3 2 3" xfId="17642" xr:uid="{00000000-0005-0000-0000-0000DABF0000}"/>
    <cellStyle name="常规 9 6 4 2 3 2 3 2" xfId="42218" xr:uid="{00000000-0005-0000-0000-0000DBBF0000}"/>
    <cellStyle name="常规 9 6 4 2 3 2 4" xfId="29930" xr:uid="{00000000-0005-0000-0000-0000DCBF0000}"/>
    <cellStyle name="常规 9 6 4 2 3 3" xfId="8426" xr:uid="{00000000-0005-0000-0000-0000DDBF0000}"/>
    <cellStyle name="常规 9 6 4 2 3 3 2" xfId="20714" xr:uid="{00000000-0005-0000-0000-0000DEBF0000}"/>
    <cellStyle name="常规 9 6 4 2 3 3 2 2" xfId="45290" xr:uid="{00000000-0005-0000-0000-0000DFBF0000}"/>
    <cellStyle name="常规 9 6 4 2 3 3 3" xfId="33002" xr:uid="{00000000-0005-0000-0000-0000E0BF0000}"/>
    <cellStyle name="常规 9 6 4 2 3 4" xfId="14570" xr:uid="{00000000-0005-0000-0000-0000E1BF0000}"/>
    <cellStyle name="常规 9 6 4 2 3 4 2" xfId="39146" xr:uid="{00000000-0005-0000-0000-0000E2BF0000}"/>
    <cellStyle name="常规 9 6 4 2 3 5" xfId="26858" xr:uid="{00000000-0005-0000-0000-0000E3BF0000}"/>
    <cellStyle name="常规 9 6 4 2 4" xfId="3818" xr:uid="{00000000-0005-0000-0000-0000E4BF0000}"/>
    <cellStyle name="常规 9 6 4 2 4 2" xfId="9962" xr:uid="{00000000-0005-0000-0000-0000E5BF0000}"/>
    <cellStyle name="常规 9 6 4 2 4 2 2" xfId="22250" xr:uid="{00000000-0005-0000-0000-0000E6BF0000}"/>
    <cellStyle name="常规 9 6 4 2 4 2 2 2" xfId="46826" xr:uid="{00000000-0005-0000-0000-0000E7BF0000}"/>
    <cellStyle name="常规 9 6 4 2 4 2 3" xfId="34538" xr:uid="{00000000-0005-0000-0000-0000E8BF0000}"/>
    <cellStyle name="常规 9 6 4 2 4 3" xfId="16106" xr:uid="{00000000-0005-0000-0000-0000E9BF0000}"/>
    <cellStyle name="常规 9 6 4 2 4 3 2" xfId="40682" xr:uid="{00000000-0005-0000-0000-0000EABF0000}"/>
    <cellStyle name="常规 9 6 4 2 4 4" xfId="28394" xr:uid="{00000000-0005-0000-0000-0000EBBF0000}"/>
    <cellStyle name="常规 9 6 4 2 5" xfId="6890" xr:uid="{00000000-0005-0000-0000-0000ECBF0000}"/>
    <cellStyle name="常规 9 6 4 2 5 2" xfId="19178" xr:uid="{00000000-0005-0000-0000-0000EDBF0000}"/>
    <cellStyle name="常规 9 6 4 2 5 2 2" xfId="43754" xr:uid="{00000000-0005-0000-0000-0000EEBF0000}"/>
    <cellStyle name="常规 9 6 4 2 5 3" xfId="31466" xr:uid="{00000000-0005-0000-0000-0000EFBF0000}"/>
    <cellStyle name="常规 9 6 4 2 6" xfId="13034" xr:uid="{00000000-0005-0000-0000-0000F0BF0000}"/>
    <cellStyle name="常规 9 6 4 2 6 2" xfId="37610" xr:uid="{00000000-0005-0000-0000-0000F1BF0000}"/>
    <cellStyle name="常规 9 6 4 2 7" xfId="25322" xr:uid="{00000000-0005-0000-0000-0000F2BF0000}"/>
    <cellStyle name="常规 9 6 4 3" xfId="1126" xr:uid="{00000000-0005-0000-0000-0000F3BF0000}"/>
    <cellStyle name="常规 9 6 4 3 2" xfId="2662" xr:uid="{00000000-0005-0000-0000-0000F4BF0000}"/>
    <cellStyle name="常规 9 6 4 3 2 2" xfId="5738" xr:uid="{00000000-0005-0000-0000-0000F5BF0000}"/>
    <cellStyle name="常规 9 6 4 3 2 2 2" xfId="11882" xr:uid="{00000000-0005-0000-0000-0000F6BF0000}"/>
    <cellStyle name="常规 9 6 4 3 2 2 2 2" xfId="24170" xr:uid="{00000000-0005-0000-0000-0000F7BF0000}"/>
    <cellStyle name="常规 9 6 4 3 2 2 2 2 2" xfId="48746" xr:uid="{00000000-0005-0000-0000-0000F8BF0000}"/>
    <cellStyle name="常规 9 6 4 3 2 2 2 3" xfId="36458" xr:uid="{00000000-0005-0000-0000-0000F9BF0000}"/>
    <cellStyle name="常规 9 6 4 3 2 2 3" xfId="18026" xr:uid="{00000000-0005-0000-0000-0000FABF0000}"/>
    <cellStyle name="常规 9 6 4 3 2 2 3 2" xfId="42602" xr:uid="{00000000-0005-0000-0000-0000FBBF0000}"/>
    <cellStyle name="常规 9 6 4 3 2 2 4" xfId="30314" xr:uid="{00000000-0005-0000-0000-0000FCBF0000}"/>
    <cellStyle name="常规 9 6 4 3 2 3" xfId="8810" xr:uid="{00000000-0005-0000-0000-0000FDBF0000}"/>
    <cellStyle name="常规 9 6 4 3 2 3 2" xfId="21098" xr:uid="{00000000-0005-0000-0000-0000FEBF0000}"/>
    <cellStyle name="常规 9 6 4 3 2 3 2 2" xfId="45674" xr:uid="{00000000-0005-0000-0000-0000FFBF0000}"/>
    <cellStyle name="常规 9 6 4 3 2 3 3" xfId="33386" xr:uid="{00000000-0005-0000-0000-000000C00000}"/>
    <cellStyle name="常规 9 6 4 3 2 4" xfId="14954" xr:uid="{00000000-0005-0000-0000-000001C00000}"/>
    <cellStyle name="常规 9 6 4 3 2 4 2" xfId="39530" xr:uid="{00000000-0005-0000-0000-000002C00000}"/>
    <cellStyle name="常规 9 6 4 3 2 5" xfId="27242" xr:uid="{00000000-0005-0000-0000-000003C00000}"/>
    <cellStyle name="常规 9 6 4 3 3" xfId="4202" xr:uid="{00000000-0005-0000-0000-000004C00000}"/>
    <cellStyle name="常规 9 6 4 3 3 2" xfId="10346" xr:uid="{00000000-0005-0000-0000-000005C00000}"/>
    <cellStyle name="常规 9 6 4 3 3 2 2" xfId="22634" xr:uid="{00000000-0005-0000-0000-000006C00000}"/>
    <cellStyle name="常规 9 6 4 3 3 2 2 2" xfId="47210" xr:uid="{00000000-0005-0000-0000-000007C00000}"/>
    <cellStyle name="常规 9 6 4 3 3 2 3" xfId="34922" xr:uid="{00000000-0005-0000-0000-000008C00000}"/>
    <cellStyle name="常规 9 6 4 3 3 3" xfId="16490" xr:uid="{00000000-0005-0000-0000-000009C00000}"/>
    <cellStyle name="常规 9 6 4 3 3 3 2" xfId="41066" xr:uid="{00000000-0005-0000-0000-00000AC00000}"/>
    <cellStyle name="常规 9 6 4 3 3 4" xfId="28778" xr:uid="{00000000-0005-0000-0000-00000BC00000}"/>
    <cellStyle name="常规 9 6 4 3 4" xfId="7274" xr:uid="{00000000-0005-0000-0000-00000CC00000}"/>
    <cellStyle name="常规 9 6 4 3 4 2" xfId="19562" xr:uid="{00000000-0005-0000-0000-00000DC00000}"/>
    <cellStyle name="常规 9 6 4 3 4 2 2" xfId="44138" xr:uid="{00000000-0005-0000-0000-00000EC00000}"/>
    <cellStyle name="常规 9 6 4 3 4 3" xfId="31850" xr:uid="{00000000-0005-0000-0000-00000FC00000}"/>
    <cellStyle name="常规 9 6 4 3 5" xfId="13418" xr:uid="{00000000-0005-0000-0000-000010C00000}"/>
    <cellStyle name="常规 9 6 4 3 5 2" xfId="37994" xr:uid="{00000000-0005-0000-0000-000011C00000}"/>
    <cellStyle name="常规 9 6 4 3 6" xfId="25706" xr:uid="{00000000-0005-0000-0000-000012C00000}"/>
    <cellStyle name="常规 9 6 4 4" xfId="1894" xr:uid="{00000000-0005-0000-0000-000013C00000}"/>
    <cellStyle name="常规 9 6 4 4 2" xfId="4970" xr:uid="{00000000-0005-0000-0000-000014C00000}"/>
    <cellStyle name="常规 9 6 4 4 2 2" xfId="11114" xr:uid="{00000000-0005-0000-0000-000015C00000}"/>
    <cellStyle name="常规 9 6 4 4 2 2 2" xfId="23402" xr:uid="{00000000-0005-0000-0000-000016C00000}"/>
    <cellStyle name="常规 9 6 4 4 2 2 2 2" xfId="47978" xr:uid="{00000000-0005-0000-0000-000017C00000}"/>
    <cellStyle name="常规 9 6 4 4 2 2 3" xfId="35690" xr:uid="{00000000-0005-0000-0000-000018C00000}"/>
    <cellStyle name="常规 9 6 4 4 2 3" xfId="17258" xr:uid="{00000000-0005-0000-0000-000019C00000}"/>
    <cellStyle name="常规 9 6 4 4 2 3 2" xfId="41834" xr:uid="{00000000-0005-0000-0000-00001AC00000}"/>
    <cellStyle name="常规 9 6 4 4 2 4" xfId="29546" xr:uid="{00000000-0005-0000-0000-00001BC00000}"/>
    <cellStyle name="常规 9 6 4 4 3" xfId="8042" xr:uid="{00000000-0005-0000-0000-00001CC00000}"/>
    <cellStyle name="常规 9 6 4 4 3 2" xfId="20330" xr:uid="{00000000-0005-0000-0000-00001DC00000}"/>
    <cellStyle name="常规 9 6 4 4 3 2 2" xfId="44906" xr:uid="{00000000-0005-0000-0000-00001EC00000}"/>
    <cellStyle name="常规 9 6 4 4 3 3" xfId="32618" xr:uid="{00000000-0005-0000-0000-00001FC00000}"/>
    <cellStyle name="常规 9 6 4 4 4" xfId="14186" xr:uid="{00000000-0005-0000-0000-000020C00000}"/>
    <cellStyle name="常规 9 6 4 4 4 2" xfId="38762" xr:uid="{00000000-0005-0000-0000-000021C00000}"/>
    <cellStyle name="常规 9 6 4 4 5" xfId="26474" xr:uid="{00000000-0005-0000-0000-000022C00000}"/>
    <cellStyle name="常规 9 6 4 5" xfId="3434" xr:uid="{00000000-0005-0000-0000-000023C00000}"/>
    <cellStyle name="常规 9 6 4 5 2" xfId="9578" xr:uid="{00000000-0005-0000-0000-000024C00000}"/>
    <cellStyle name="常规 9 6 4 5 2 2" xfId="21866" xr:uid="{00000000-0005-0000-0000-000025C00000}"/>
    <cellStyle name="常规 9 6 4 5 2 2 2" xfId="46442" xr:uid="{00000000-0005-0000-0000-000026C00000}"/>
    <cellStyle name="常规 9 6 4 5 2 3" xfId="34154" xr:uid="{00000000-0005-0000-0000-000027C00000}"/>
    <cellStyle name="常规 9 6 4 5 3" xfId="15722" xr:uid="{00000000-0005-0000-0000-000028C00000}"/>
    <cellStyle name="常规 9 6 4 5 3 2" xfId="40298" xr:uid="{00000000-0005-0000-0000-000029C00000}"/>
    <cellStyle name="常规 9 6 4 5 4" xfId="28010" xr:uid="{00000000-0005-0000-0000-00002AC00000}"/>
    <cellStyle name="常规 9 6 4 6" xfId="6506" xr:uid="{00000000-0005-0000-0000-00002BC00000}"/>
    <cellStyle name="常规 9 6 4 6 2" xfId="18794" xr:uid="{00000000-0005-0000-0000-00002CC00000}"/>
    <cellStyle name="常规 9 6 4 6 2 2" xfId="43370" xr:uid="{00000000-0005-0000-0000-00002DC00000}"/>
    <cellStyle name="常规 9 6 4 6 3" xfId="31082" xr:uid="{00000000-0005-0000-0000-00002EC00000}"/>
    <cellStyle name="常规 9 6 4 7" xfId="12650" xr:uid="{00000000-0005-0000-0000-00002FC00000}"/>
    <cellStyle name="常规 9 6 4 7 2" xfId="37226" xr:uid="{00000000-0005-0000-0000-000030C00000}"/>
    <cellStyle name="常规 9 6 4 8" xfId="24938" xr:uid="{00000000-0005-0000-0000-000031C00000}"/>
    <cellStyle name="常规 9 6 5" xfId="550" xr:uid="{00000000-0005-0000-0000-000032C00000}"/>
    <cellStyle name="常规 9 6 5 2" xfId="1318" xr:uid="{00000000-0005-0000-0000-000033C00000}"/>
    <cellStyle name="常规 9 6 5 2 2" xfId="2854" xr:uid="{00000000-0005-0000-0000-000034C00000}"/>
    <cellStyle name="常规 9 6 5 2 2 2" xfId="5930" xr:uid="{00000000-0005-0000-0000-000035C00000}"/>
    <cellStyle name="常规 9 6 5 2 2 2 2" xfId="12074" xr:uid="{00000000-0005-0000-0000-000036C00000}"/>
    <cellStyle name="常规 9 6 5 2 2 2 2 2" xfId="24362" xr:uid="{00000000-0005-0000-0000-000037C00000}"/>
    <cellStyle name="常规 9 6 5 2 2 2 2 2 2" xfId="48938" xr:uid="{00000000-0005-0000-0000-000038C00000}"/>
    <cellStyle name="常规 9 6 5 2 2 2 2 3" xfId="36650" xr:uid="{00000000-0005-0000-0000-000039C00000}"/>
    <cellStyle name="常规 9 6 5 2 2 2 3" xfId="18218" xr:uid="{00000000-0005-0000-0000-00003AC00000}"/>
    <cellStyle name="常规 9 6 5 2 2 2 3 2" xfId="42794" xr:uid="{00000000-0005-0000-0000-00003BC00000}"/>
    <cellStyle name="常规 9 6 5 2 2 2 4" xfId="30506" xr:uid="{00000000-0005-0000-0000-00003CC00000}"/>
    <cellStyle name="常规 9 6 5 2 2 3" xfId="9002" xr:uid="{00000000-0005-0000-0000-00003DC00000}"/>
    <cellStyle name="常规 9 6 5 2 2 3 2" xfId="21290" xr:uid="{00000000-0005-0000-0000-00003EC00000}"/>
    <cellStyle name="常规 9 6 5 2 2 3 2 2" xfId="45866" xr:uid="{00000000-0005-0000-0000-00003FC00000}"/>
    <cellStyle name="常规 9 6 5 2 2 3 3" xfId="33578" xr:uid="{00000000-0005-0000-0000-000040C00000}"/>
    <cellStyle name="常规 9 6 5 2 2 4" xfId="15146" xr:uid="{00000000-0005-0000-0000-000041C00000}"/>
    <cellStyle name="常规 9 6 5 2 2 4 2" xfId="39722" xr:uid="{00000000-0005-0000-0000-000042C00000}"/>
    <cellStyle name="常规 9 6 5 2 2 5" xfId="27434" xr:uid="{00000000-0005-0000-0000-000043C00000}"/>
    <cellStyle name="常规 9 6 5 2 3" xfId="4394" xr:uid="{00000000-0005-0000-0000-000044C00000}"/>
    <cellStyle name="常规 9 6 5 2 3 2" xfId="10538" xr:uid="{00000000-0005-0000-0000-000045C00000}"/>
    <cellStyle name="常规 9 6 5 2 3 2 2" xfId="22826" xr:uid="{00000000-0005-0000-0000-000046C00000}"/>
    <cellStyle name="常规 9 6 5 2 3 2 2 2" xfId="47402" xr:uid="{00000000-0005-0000-0000-000047C00000}"/>
    <cellStyle name="常规 9 6 5 2 3 2 3" xfId="35114" xr:uid="{00000000-0005-0000-0000-000048C00000}"/>
    <cellStyle name="常规 9 6 5 2 3 3" xfId="16682" xr:uid="{00000000-0005-0000-0000-000049C00000}"/>
    <cellStyle name="常规 9 6 5 2 3 3 2" xfId="41258" xr:uid="{00000000-0005-0000-0000-00004AC00000}"/>
    <cellStyle name="常规 9 6 5 2 3 4" xfId="28970" xr:uid="{00000000-0005-0000-0000-00004BC00000}"/>
    <cellStyle name="常规 9 6 5 2 4" xfId="7466" xr:uid="{00000000-0005-0000-0000-00004CC00000}"/>
    <cellStyle name="常规 9 6 5 2 4 2" xfId="19754" xr:uid="{00000000-0005-0000-0000-00004DC00000}"/>
    <cellStyle name="常规 9 6 5 2 4 2 2" xfId="44330" xr:uid="{00000000-0005-0000-0000-00004EC00000}"/>
    <cellStyle name="常规 9 6 5 2 4 3" xfId="32042" xr:uid="{00000000-0005-0000-0000-00004FC00000}"/>
    <cellStyle name="常规 9 6 5 2 5" xfId="13610" xr:uid="{00000000-0005-0000-0000-000050C00000}"/>
    <cellStyle name="常规 9 6 5 2 5 2" xfId="38186" xr:uid="{00000000-0005-0000-0000-000051C00000}"/>
    <cellStyle name="常规 9 6 5 2 6" xfId="25898" xr:uid="{00000000-0005-0000-0000-000052C00000}"/>
    <cellStyle name="常规 9 6 5 3" xfId="2086" xr:uid="{00000000-0005-0000-0000-000053C00000}"/>
    <cellStyle name="常规 9 6 5 3 2" xfId="5162" xr:uid="{00000000-0005-0000-0000-000054C00000}"/>
    <cellStyle name="常规 9 6 5 3 2 2" xfId="11306" xr:uid="{00000000-0005-0000-0000-000055C00000}"/>
    <cellStyle name="常规 9 6 5 3 2 2 2" xfId="23594" xr:uid="{00000000-0005-0000-0000-000056C00000}"/>
    <cellStyle name="常规 9 6 5 3 2 2 2 2" xfId="48170" xr:uid="{00000000-0005-0000-0000-000057C00000}"/>
    <cellStyle name="常规 9 6 5 3 2 2 3" xfId="35882" xr:uid="{00000000-0005-0000-0000-000058C00000}"/>
    <cellStyle name="常规 9 6 5 3 2 3" xfId="17450" xr:uid="{00000000-0005-0000-0000-000059C00000}"/>
    <cellStyle name="常规 9 6 5 3 2 3 2" xfId="42026" xr:uid="{00000000-0005-0000-0000-00005AC00000}"/>
    <cellStyle name="常规 9 6 5 3 2 4" xfId="29738" xr:uid="{00000000-0005-0000-0000-00005BC00000}"/>
    <cellStyle name="常规 9 6 5 3 3" xfId="8234" xr:uid="{00000000-0005-0000-0000-00005CC00000}"/>
    <cellStyle name="常规 9 6 5 3 3 2" xfId="20522" xr:uid="{00000000-0005-0000-0000-00005DC00000}"/>
    <cellStyle name="常规 9 6 5 3 3 2 2" xfId="45098" xr:uid="{00000000-0005-0000-0000-00005EC00000}"/>
    <cellStyle name="常规 9 6 5 3 3 3" xfId="32810" xr:uid="{00000000-0005-0000-0000-00005FC00000}"/>
    <cellStyle name="常规 9 6 5 3 4" xfId="14378" xr:uid="{00000000-0005-0000-0000-000060C00000}"/>
    <cellStyle name="常规 9 6 5 3 4 2" xfId="38954" xr:uid="{00000000-0005-0000-0000-000061C00000}"/>
    <cellStyle name="常规 9 6 5 3 5" xfId="26666" xr:uid="{00000000-0005-0000-0000-000062C00000}"/>
    <cellStyle name="常规 9 6 5 4" xfId="3626" xr:uid="{00000000-0005-0000-0000-000063C00000}"/>
    <cellStyle name="常规 9 6 5 4 2" xfId="9770" xr:uid="{00000000-0005-0000-0000-000064C00000}"/>
    <cellStyle name="常规 9 6 5 4 2 2" xfId="22058" xr:uid="{00000000-0005-0000-0000-000065C00000}"/>
    <cellStyle name="常规 9 6 5 4 2 2 2" xfId="46634" xr:uid="{00000000-0005-0000-0000-000066C00000}"/>
    <cellStyle name="常规 9 6 5 4 2 3" xfId="34346" xr:uid="{00000000-0005-0000-0000-000067C00000}"/>
    <cellStyle name="常规 9 6 5 4 3" xfId="15914" xr:uid="{00000000-0005-0000-0000-000068C00000}"/>
    <cellStyle name="常规 9 6 5 4 3 2" xfId="40490" xr:uid="{00000000-0005-0000-0000-000069C00000}"/>
    <cellStyle name="常规 9 6 5 4 4" xfId="28202" xr:uid="{00000000-0005-0000-0000-00006AC00000}"/>
    <cellStyle name="常规 9 6 5 5" xfId="6698" xr:uid="{00000000-0005-0000-0000-00006BC00000}"/>
    <cellStyle name="常规 9 6 5 5 2" xfId="18986" xr:uid="{00000000-0005-0000-0000-00006CC00000}"/>
    <cellStyle name="常规 9 6 5 5 2 2" xfId="43562" xr:uid="{00000000-0005-0000-0000-00006DC00000}"/>
    <cellStyle name="常规 9 6 5 5 3" xfId="31274" xr:uid="{00000000-0005-0000-0000-00006EC00000}"/>
    <cellStyle name="常规 9 6 5 6" xfId="12842" xr:uid="{00000000-0005-0000-0000-00006FC00000}"/>
    <cellStyle name="常规 9 6 5 6 2" xfId="37418" xr:uid="{00000000-0005-0000-0000-000070C00000}"/>
    <cellStyle name="常规 9 6 5 7" xfId="25130" xr:uid="{00000000-0005-0000-0000-000071C00000}"/>
    <cellStyle name="常规 9 6 6" xfId="934" xr:uid="{00000000-0005-0000-0000-000072C00000}"/>
    <cellStyle name="常规 9 6 6 2" xfId="2470" xr:uid="{00000000-0005-0000-0000-000073C00000}"/>
    <cellStyle name="常规 9 6 6 2 2" xfId="5546" xr:uid="{00000000-0005-0000-0000-000074C00000}"/>
    <cellStyle name="常规 9 6 6 2 2 2" xfId="11690" xr:uid="{00000000-0005-0000-0000-000075C00000}"/>
    <cellStyle name="常规 9 6 6 2 2 2 2" xfId="23978" xr:uid="{00000000-0005-0000-0000-000076C00000}"/>
    <cellStyle name="常规 9 6 6 2 2 2 2 2" xfId="48554" xr:uid="{00000000-0005-0000-0000-000077C00000}"/>
    <cellStyle name="常规 9 6 6 2 2 2 3" xfId="36266" xr:uid="{00000000-0005-0000-0000-000078C00000}"/>
    <cellStyle name="常规 9 6 6 2 2 3" xfId="17834" xr:uid="{00000000-0005-0000-0000-000079C00000}"/>
    <cellStyle name="常规 9 6 6 2 2 3 2" xfId="42410" xr:uid="{00000000-0005-0000-0000-00007AC00000}"/>
    <cellStyle name="常规 9 6 6 2 2 4" xfId="30122" xr:uid="{00000000-0005-0000-0000-00007BC00000}"/>
    <cellStyle name="常规 9 6 6 2 3" xfId="8618" xr:uid="{00000000-0005-0000-0000-00007CC00000}"/>
    <cellStyle name="常规 9 6 6 2 3 2" xfId="20906" xr:uid="{00000000-0005-0000-0000-00007DC00000}"/>
    <cellStyle name="常规 9 6 6 2 3 2 2" xfId="45482" xr:uid="{00000000-0005-0000-0000-00007EC00000}"/>
    <cellStyle name="常规 9 6 6 2 3 3" xfId="33194" xr:uid="{00000000-0005-0000-0000-00007FC00000}"/>
    <cellStyle name="常规 9 6 6 2 4" xfId="14762" xr:uid="{00000000-0005-0000-0000-000080C00000}"/>
    <cellStyle name="常规 9 6 6 2 4 2" xfId="39338" xr:uid="{00000000-0005-0000-0000-000081C00000}"/>
    <cellStyle name="常规 9 6 6 2 5" xfId="27050" xr:uid="{00000000-0005-0000-0000-000082C00000}"/>
    <cellStyle name="常规 9 6 6 3" xfId="4010" xr:uid="{00000000-0005-0000-0000-000083C00000}"/>
    <cellStyle name="常规 9 6 6 3 2" xfId="10154" xr:uid="{00000000-0005-0000-0000-000084C00000}"/>
    <cellStyle name="常规 9 6 6 3 2 2" xfId="22442" xr:uid="{00000000-0005-0000-0000-000085C00000}"/>
    <cellStyle name="常规 9 6 6 3 2 2 2" xfId="47018" xr:uid="{00000000-0005-0000-0000-000086C00000}"/>
    <cellStyle name="常规 9 6 6 3 2 3" xfId="34730" xr:uid="{00000000-0005-0000-0000-000087C00000}"/>
    <cellStyle name="常规 9 6 6 3 3" xfId="16298" xr:uid="{00000000-0005-0000-0000-000088C00000}"/>
    <cellStyle name="常规 9 6 6 3 3 2" xfId="40874" xr:uid="{00000000-0005-0000-0000-000089C00000}"/>
    <cellStyle name="常规 9 6 6 3 4" xfId="28586" xr:uid="{00000000-0005-0000-0000-00008AC00000}"/>
    <cellStyle name="常规 9 6 6 4" xfId="7082" xr:uid="{00000000-0005-0000-0000-00008BC00000}"/>
    <cellStyle name="常规 9 6 6 4 2" xfId="19370" xr:uid="{00000000-0005-0000-0000-00008CC00000}"/>
    <cellStyle name="常规 9 6 6 4 2 2" xfId="43946" xr:uid="{00000000-0005-0000-0000-00008DC00000}"/>
    <cellStyle name="常规 9 6 6 4 3" xfId="31658" xr:uid="{00000000-0005-0000-0000-00008EC00000}"/>
    <cellStyle name="常规 9 6 6 5" xfId="13226" xr:uid="{00000000-0005-0000-0000-00008FC00000}"/>
    <cellStyle name="常规 9 6 6 5 2" xfId="37802" xr:uid="{00000000-0005-0000-0000-000090C00000}"/>
    <cellStyle name="常规 9 6 6 6" xfId="25514" xr:uid="{00000000-0005-0000-0000-000091C00000}"/>
    <cellStyle name="常规 9 6 7" xfId="1702" xr:uid="{00000000-0005-0000-0000-000092C00000}"/>
    <cellStyle name="常规 9 6 7 2" xfId="4778" xr:uid="{00000000-0005-0000-0000-000093C00000}"/>
    <cellStyle name="常规 9 6 7 2 2" xfId="10922" xr:uid="{00000000-0005-0000-0000-000094C00000}"/>
    <cellStyle name="常规 9 6 7 2 2 2" xfId="23210" xr:uid="{00000000-0005-0000-0000-000095C00000}"/>
    <cellStyle name="常规 9 6 7 2 2 2 2" xfId="47786" xr:uid="{00000000-0005-0000-0000-000096C00000}"/>
    <cellStyle name="常规 9 6 7 2 2 3" xfId="35498" xr:uid="{00000000-0005-0000-0000-000097C00000}"/>
    <cellStyle name="常规 9 6 7 2 3" xfId="17066" xr:uid="{00000000-0005-0000-0000-000098C00000}"/>
    <cellStyle name="常规 9 6 7 2 3 2" xfId="41642" xr:uid="{00000000-0005-0000-0000-000099C00000}"/>
    <cellStyle name="常规 9 6 7 2 4" xfId="29354" xr:uid="{00000000-0005-0000-0000-00009AC00000}"/>
    <cellStyle name="常规 9 6 7 3" xfId="7850" xr:uid="{00000000-0005-0000-0000-00009BC00000}"/>
    <cellStyle name="常规 9 6 7 3 2" xfId="20138" xr:uid="{00000000-0005-0000-0000-00009CC00000}"/>
    <cellStyle name="常规 9 6 7 3 2 2" xfId="44714" xr:uid="{00000000-0005-0000-0000-00009DC00000}"/>
    <cellStyle name="常规 9 6 7 3 3" xfId="32426" xr:uid="{00000000-0005-0000-0000-00009EC00000}"/>
    <cellStyle name="常规 9 6 7 4" xfId="13994" xr:uid="{00000000-0005-0000-0000-00009FC00000}"/>
    <cellStyle name="常规 9 6 7 4 2" xfId="38570" xr:uid="{00000000-0005-0000-0000-0000A0C00000}"/>
    <cellStyle name="常规 9 6 7 5" xfId="26282" xr:uid="{00000000-0005-0000-0000-0000A1C00000}"/>
    <cellStyle name="常规 9 6 8" xfId="3242" xr:uid="{00000000-0005-0000-0000-0000A2C00000}"/>
    <cellStyle name="常规 9 6 8 2" xfId="9386" xr:uid="{00000000-0005-0000-0000-0000A3C00000}"/>
    <cellStyle name="常规 9 6 8 2 2" xfId="21674" xr:uid="{00000000-0005-0000-0000-0000A4C00000}"/>
    <cellStyle name="常规 9 6 8 2 2 2" xfId="46250" xr:uid="{00000000-0005-0000-0000-0000A5C00000}"/>
    <cellStyle name="常规 9 6 8 2 3" xfId="33962" xr:uid="{00000000-0005-0000-0000-0000A6C00000}"/>
    <cellStyle name="常规 9 6 8 3" xfId="15530" xr:uid="{00000000-0005-0000-0000-0000A7C00000}"/>
    <cellStyle name="常规 9 6 8 3 2" xfId="40106" xr:uid="{00000000-0005-0000-0000-0000A8C00000}"/>
    <cellStyle name="常规 9 6 8 4" xfId="27818" xr:uid="{00000000-0005-0000-0000-0000A9C00000}"/>
    <cellStyle name="常规 9 6 9" xfId="6314" xr:uid="{00000000-0005-0000-0000-0000AAC00000}"/>
    <cellStyle name="常规 9 6 9 2" xfId="18602" xr:uid="{00000000-0005-0000-0000-0000ABC00000}"/>
    <cellStyle name="常规 9 6 9 2 2" xfId="43178" xr:uid="{00000000-0005-0000-0000-0000ACC00000}"/>
    <cellStyle name="常规 9 6 9 3" xfId="30890" xr:uid="{00000000-0005-0000-0000-0000ADC00000}"/>
    <cellStyle name="常规 9 7" xfId="198" xr:uid="{00000000-0005-0000-0000-0000AEC00000}"/>
    <cellStyle name="常规 9 7 2" xfId="390" xr:uid="{00000000-0005-0000-0000-0000AFC00000}"/>
    <cellStyle name="常规 9 7 2 2" xfId="774" xr:uid="{00000000-0005-0000-0000-0000B0C00000}"/>
    <cellStyle name="常规 9 7 2 2 2" xfId="1542" xr:uid="{00000000-0005-0000-0000-0000B1C00000}"/>
    <cellStyle name="常规 9 7 2 2 2 2" xfId="3078" xr:uid="{00000000-0005-0000-0000-0000B2C00000}"/>
    <cellStyle name="常规 9 7 2 2 2 2 2" xfId="6154" xr:uid="{00000000-0005-0000-0000-0000B3C00000}"/>
    <cellStyle name="常规 9 7 2 2 2 2 2 2" xfId="12298" xr:uid="{00000000-0005-0000-0000-0000B4C00000}"/>
    <cellStyle name="常规 9 7 2 2 2 2 2 2 2" xfId="24586" xr:uid="{00000000-0005-0000-0000-0000B5C00000}"/>
    <cellStyle name="常规 9 7 2 2 2 2 2 2 2 2" xfId="49162" xr:uid="{00000000-0005-0000-0000-0000B6C00000}"/>
    <cellStyle name="常规 9 7 2 2 2 2 2 2 3" xfId="36874" xr:uid="{00000000-0005-0000-0000-0000B7C00000}"/>
    <cellStyle name="常规 9 7 2 2 2 2 2 3" xfId="18442" xr:uid="{00000000-0005-0000-0000-0000B8C00000}"/>
    <cellStyle name="常规 9 7 2 2 2 2 2 3 2" xfId="43018" xr:uid="{00000000-0005-0000-0000-0000B9C00000}"/>
    <cellStyle name="常规 9 7 2 2 2 2 2 4" xfId="30730" xr:uid="{00000000-0005-0000-0000-0000BAC00000}"/>
    <cellStyle name="常规 9 7 2 2 2 2 3" xfId="9226" xr:uid="{00000000-0005-0000-0000-0000BBC00000}"/>
    <cellStyle name="常规 9 7 2 2 2 2 3 2" xfId="21514" xr:uid="{00000000-0005-0000-0000-0000BCC00000}"/>
    <cellStyle name="常规 9 7 2 2 2 2 3 2 2" xfId="46090" xr:uid="{00000000-0005-0000-0000-0000BDC00000}"/>
    <cellStyle name="常规 9 7 2 2 2 2 3 3" xfId="33802" xr:uid="{00000000-0005-0000-0000-0000BEC00000}"/>
    <cellStyle name="常规 9 7 2 2 2 2 4" xfId="15370" xr:uid="{00000000-0005-0000-0000-0000BFC00000}"/>
    <cellStyle name="常规 9 7 2 2 2 2 4 2" xfId="39946" xr:uid="{00000000-0005-0000-0000-0000C0C00000}"/>
    <cellStyle name="常规 9 7 2 2 2 2 5" xfId="27658" xr:uid="{00000000-0005-0000-0000-0000C1C00000}"/>
    <cellStyle name="常规 9 7 2 2 2 3" xfId="4618" xr:uid="{00000000-0005-0000-0000-0000C2C00000}"/>
    <cellStyle name="常规 9 7 2 2 2 3 2" xfId="10762" xr:uid="{00000000-0005-0000-0000-0000C3C00000}"/>
    <cellStyle name="常规 9 7 2 2 2 3 2 2" xfId="23050" xr:uid="{00000000-0005-0000-0000-0000C4C00000}"/>
    <cellStyle name="常规 9 7 2 2 2 3 2 2 2" xfId="47626" xr:uid="{00000000-0005-0000-0000-0000C5C00000}"/>
    <cellStyle name="常规 9 7 2 2 2 3 2 3" xfId="35338" xr:uid="{00000000-0005-0000-0000-0000C6C00000}"/>
    <cellStyle name="常规 9 7 2 2 2 3 3" xfId="16906" xr:uid="{00000000-0005-0000-0000-0000C7C00000}"/>
    <cellStyle name="常规 9 7 2 2 2 3 3 2" xfId="41482" xr:uid="{00000000-0005-0000-0000-0000C8C00000}"/>
    <cellStyle name="常规 9 7 2 2 2 3 4" xfId="29194" xr:uid="{00000000-0005-0000-0000-0000C9C00000}"/>
    <cellStyle name="常规 9 7 2 2 2 4" xfId="7690" xr:uid="{00000000-0005-0000-0000-0000CAC00000}"/>
    <cellStyle name="常规 9 7 2 2 2 4 2" xfId="19978" xr:uid="{00000000-0005-0000-0000-0000CBC00000}"/>
    <cellStyle name="常规 9 7 2 2 2 4 2 2" xfId="44554" xr:uid="{00000000-0005-0000-0000-0000CCC00000}"/>
    <cellStyle name="常规 9 7 2 2 2 4 3" xfId="32266" xr:uid="{00000000-0005-0000-0000-0000CDC00000}"/>
    <cellStyle name="常规 9 7 2 2 2 5" xfId="13834" xr:uid="{00000000-0005-0000-0000-0000CEC00000}"/>
    <cellStyle name="常规 9 7 2 2 2 5 2" xfId="38410" xr:uid="{00000000-0005-0000-0000-0000CFC00000}"/>
    <cellStyle name="常规 9 7 2 2 2 6" xfId="26122" xr:uid="{00000000-0005-0000-0000-0000D0C00000}"/>
    <cellStyle name="常规 9 7 2 2 3" xfId="2310" xr:uid="{00000000-0005-0000-0000-0000D1C00000}"/>
    <cellStyle name="常规 9 7 2 2 3 2" xfId="5386" xr:uid="{00000000-0005-0000-0000-0000D2C00000}"/>
    <cellStyle name="常规 9 7 2 2 3 2 2" xfId="11530" xr:uid="{00000000-0005-0000-0000-0000D3C00000}"/>
    <cellStyle name="常规 9 7 2 2 3 2 2 2" xfId="23818" xr:uid="{00000000-0005-0000-0000-0000D4C00000}"/>
    <cellStyle name="常规 9 7 2 2 3 2 2 2 2" xfId="48394" xr:uid="{00000000-0005-0000-0000-0000D5C00000}"/>
    <cellStyle name="常规 9 7 2 2 3 2 2 3" xfId="36106" xr:uid="{00000000-0005-0000-0000-0000D6C00000}"/>
    <cellStyle name="常规 9 7 2 2 3 2 3" xfId="17674" xr:uid="{00000000-0005-0000-0000-0000D7C00000}"/>
    <cellStyle name="常规 9 7 2 2 3 2 3 2" xfId="42250" xr:uid="{00000000-0005-0000-0000-0000D8C00000}"/>
    <cellStyle name="常规 9 7 2 2 3 2 4" xfId="29962" xr:uid="{00000000-0005-0000-0000-0000D9C00000}"/>
    <cellStyle name="常规 9 7 2 2 3 3" xfId="8458" xr:uid="{00000000-0005-0000-0000-0000DAC00000}"/>
    <cellStyle name="常规 9 7 2 2 3 3 2" xfId="20746" xr:uid="{00000000-0005-0000-0000-0000DBC00000}"/>
    <cellStyle name="常规 9 7 2 2 3 3 2 2" xfId="45322" xr:uid="{00000000-0005-0000-0000-0000DCC00000}"/>
    <cellStyle name="常规 9 7 2 2 3 3 3" xfId="33034" xr:uid="{00000000-0005-0000-0000-0000DDC00000}"/>
    <cellStyle name="常规 9 7 2 2 3 4" xfId="14602" xr:uid="{00000000-0005-0000-0000-0000DEC00000}"/>
    <cellStyle name="常规 9 7 2 2 3 4 2" xfId="39178" xr:uid="{00000000-0005-0000-0000-0000DFC00000}"/>
    <cellStyle name="常规 9 7 2 2 3 5" xfId="26890" xr:uid="{00000000-0005-0000-0000-0000E0C00000}"/>
    <cellStyle name="常规 9 7 2 2 4" xfId="3850" xr:uid="{00000000-0005-0000-0000-0000E1C00000}"/>
    <cellStyle name="常规 9 7 2 2 4 2" xfId="9994" xr:uid="{00000000-0005-0000-0000-0000E2C00000}"/>
    <cellStyle name="常规 9 7 2 2 4 2 2" xfId="22282" xr:uid="{00000000-0005-0000-0000-0000E3C00000}"/>
    <cellStyle name="常规 9 7 2 2 4 2 2 2" xfId="46858" xr:uid="{00000000-0005-0000-0000-0000E4C00000}"/>
    <cellStyle name="常规 9 7 2 2 4 2 3" xfId="34570" xr:uid="{00000000-0005-0000-0000-0000E5C00000}"/>
    <cellStyle name="常规 9 7 2 2 4 3" xfId="16138" xr:uid="{00000000-0005-0000-0000-0000E6C00000}"/>
    <cellStyle name="常规 9 7 2 2 4 3 2" xfId="40714" xr:uid="{00000000-0005-0000-0000-0000E7C00000}"/>
    <cellStyle name="常规 9 7 2 2 4 4" xfId="28426" xr:uid="{00000000-0005-0000-0000-0000E8C00000}"/>
    <cellStyle name="常规 9 7 2 2 5" xfId="6922" xr:uid="{00000000-0005-0000-0000-0000E9C00000}"/>
    <cellStyle name="常规 9 7 2 2 5 2" xfId="19210" xr:uid="{00000000-0005-0000-0000-0000EAC00000}"/>
    <cellStyle name="常规 9 7 2 2 5 2 2" xfId="43786" xr:uid="{00000000-0005-0000-0000-0000EBC00000}"/>
    <cellStyle name="常规 9 7 2 2 5 3" xfId="31498" xr:uid="{00000000-0005-0000-0000-0000ECC00000}"/>
    <cellStyle name="常规 9 7 2 2 6" xfId="13066" xr:uid="{00000000-0005-0000-0000-0000EDC00000}"/>
    <cellStyle name="常规 9 7 2 2 6 2" xfId="37642" xr:uid="{00000000-0005-0000-0000-0000EEC00000}"/>
    <cellStyle name="常规 9 7 2 2 7" xfId="25354" xr:uid="{00000000-0005-0000-0000-0000EFC00000}"/>
    <cellStyle name="常规 9 7 2 3" xfId="1158" xr:uid="{00000000-0005-0000-0000-0000F0C00000}"/>
    <cellStyle name="常规 9 7 2 3 2" xfId="2694" xr:uid="{00000000-0005-0000-0000-0000F1C00000}"/>
    <cellStyle name="常规 9 7 2 3 2 2" xfId="5770" xr:uid="{00000000-0005-0000-0000-0000F2C00000}"/>
    <cellStyle name="常规 9 7 2 3 2 2 2" xfId="11914" xr:uid="{00000000-0005-0000-0000-0000F3C00000}"/>
    <cellStyle name="常规 9 7 2 3 2 2 2 2" xfId="24202" xr:uid="{00000000-0005-0000-0000-0000F4C00000}"/>
    <cellStyle name="常规 9 7 2 3 2 2 2 2 2" xfId="48778" xr:uid="{00000000-0005-0000-0000-0000F5C00000}"/>
    <cellStyle name="常规 9 7 2 3 2 2 2 3" xfId="36490" xr:uid="{00000000-0005-0000-0000-0000F6C00000}"/>
    <cellStyle name="常规 9 7 2 3 2 2 3" xfId="18058" xr:uid="{00000000-0005-0000-0000-0000F7C00000}"/>
    <cellStyle name="常规 9 7 2 3 2 2 3 2" xfId="42634" xr:uid="{00000000-0005-0000-0000-0000F8C00000}"/>
    <cellStyle name="常规 9 7 2 3 2 2 4" xfId="30346" xr:uid="{00000000-0005-0000-0000-0000F9C00000}"/>
    <cellStyle name="常规 9 7 2 3 2 3" xfId="8842" xr:uid="{00000000-0005-0000-0000-0000FAC00000}"/>
    <cellStyle name="常规 9 7 2 3 2 3 2" xfId="21130" xr:uid="{00000000-0005-0000-0000-0000FBC00000}"/>
    <cellStyle name="常规 9 7 2 3 2 3 2 2" xfId="45706" xr:uid="{00000000-0005-0000-0000-0000FCC00000}"/>
    <cellStyle name="常规 9 7 2 3 2 3 3" xfId="33418" xr:uid="{00000000-0005-0000-0000-0000FDC00000}"/>
    <cellStyle name="常规 9 7 2 3 2 4" xfId="14986" xr:uid="{00000000-0005-0000-0000-0000FEC00000}"/>
    <cellStyle name="常规 9 7 2 3 2 4 2" xfId="39562" xr:uid="{00000000-0005-0000-0000-0000FFC00000}"/>
    <cellStyle name="常规 9 7 2 3 2 5" xfId="27274" xr:uid="{00000000-0005-0000-0000-000000C10000}"/>
    <cellStyle name="常规 9 7 2 3 3" xfId="4234" xr:uid="{00000000-0005-0000-0000-000001C10000}"/>
    <cellStyle name="常规 9 7 2 3 3 2" xfId="10378" xr:uid="{00000000-0005-0000-0000-000002C10000}"/>
    <cellStyle name="常规 9 7 2 3 3 2 2" xfId="22666" xr:uid="{00000000-0005-0000-0000-000003C10000}"/>
    <cellStyle name="常规 9 7 2 3 3 2 2 2" xfId="47242" xr:uid="{00000000-0005-0000-0000-000004C10000}"/>
    <cellStyle name="常规 9 7 2 3 3 2 3" xfId="34954" xr:uid="{00000000-0005-0000-0000-000005C10000}"/>
    <cellStyle name="常规 9 7 2 3 3 3" xfId="16522" xr:uid="{00000000-0005-0000-0000-000006C10000}"/>
    <cellStyle name="常规 9 7 2 3 3 3 2" xfId="41098" xr:uid="{00000000-0005-0000-0000-000007C10000}"/>
    <cellStyle name="常规 9 7 2 3 3 4" xfId="28810" xr:uid="{00000000-0005-0000-0000-000008C10000}"/>
    <cellStyle name="常规 9 7 2 3 4" xfId="7306" xr:uid="{00000000-0005-0000-0000-000009C10000}"/>
    <cellStyle name="常规 9 7 2 3 4 2" xfId="19594" xr:uid="{00000000-0005-0000-0000-00000AC10000}"/>
    <cellStyle name="常规 9 7 2 3 4 2 2" xfId="44170" xr:uid="{00000000-0005-0000-0000-00000BC10000}"/>
    <cellStyle name="常规 9 7 2 3 4 3" xfId="31882" xr:uid="{00000000-0005-0000-0000-00000CC10000}"/>
    <cellStyle name="常规 9 7 2 3 5" xfId="13450" xr:uid="{00000000-0005-0000-0000-00000DC10000}"/>
    <cellStyle name="常规 9 7 2 3 5 2" xfId="38026" xr:uid="{00000000-0005-0000-0000-00000EC10000}"/>
    <cellStyle name="常规 9 7 2 3 6" xfId="25738" xr:uid="{00000000-0005-0000-0000-00000FC10000}"/>
    <cellStyle name="常规 9 7 2 4" xfId="1926" xr:uid="{00000000-0005-0000-0000-000010C10000}"/>
    <cellStyle name="常规 9 7 2 4 2" xfId="5002" xr:uid="{00000000-0005-0000-0000-000011C10000}"/>
    <cellStyle name="常规 9 7 2 4 2 2" xfId="11146" xr:uid="{00000000-0005-0000-0000-000012C10000}"/>
    <cellStyle name="常规 9 7 2 4 2 2 2" xfId="23434" xr:uid="{00000000-0005-0000-0000-000013C10000}"/>
    <cellStyle name="常规 9 7 2 4 2 2 2 2" xfId="48010" xr:uid="{00000000-0005-0000-0000-000014C10000}"/>
    <cellStyle name="常规 9 7 2 4 2 2 3" xfId="35722" xr:uid="{00000000-0005-0000-0000-000015C10000}"/>
    <cellStyle name="常规 9 7 2 4 2 3" xfId="17290" xr:uid="{00000000-0005-0000-0000-000016C10000}"/>
    <cellStyle name="常规 9 7 2 4 2 3 2" xfId="41866" xr:uid="{00000000-0005-0000-0000-000017C10000}"/>
    <cellStyle name="常规 9 7 2 4 2 4" xfId="29578" xr:uid="{00000000-0005-0000-0000-000018C10000}"/>
    <cellStyle name="常规 9 7 2 4 3" xfId="8074" xr:uid="{00000000-0005-0000-0000-000019C10000}"/>
    <cellStyle name="常规 9 7 2 4 3 2" xfId="20362" xr:uid="{00000000-0005-0000-0000-00001AC10000}"/>
    <cellStyle name="常规 9 7 2 4 3 2 2" xfId="44938" xr:uid="{00000000-0005-0000-0000-00001BC10000}"/>
    <cellStyle name="常规 9 7 2 4 3 3" xfId="32650" xr:uid="{00000000-0005-0000-0000-00001CC10000}"/>
    <cellStyle name="常规 9 7 2 4 4" xfId="14218" xr:uid="{00000000-0005-0000-0000-00001DC10000}"/>
    <cellStyle name="常规 9 7 2 4 4 2" xfId="38794" xr:uid="{00000000-0005-0000-0000-00001EC10000}"/>
    <cellStyle name="常规 9 7 2 4 5" xfId="26506" xr:uid="{00000000-0005-0000-0000-00001FC10000}"/>
    <cellStyle name="常规 9 7 2 5" xfId="3466" xr:uid="{00000000-0005-0000-0000-000020C10000}"/>
    <cellStyle name="常规 9 7 2 5 2" xfId="9610" xr:uid="{00000000-0005-0000-0000-000021C10000}"/>
    <cellStyle name="常规 9 7 2 5 2 2" xfId="21898" xr:uid="{00000000-0005-0000-0000-000022C10000}"/>
    <cellStyle name="常规 9 7 2 5 2 2 2" xfId="46474" xr:uid="{00000000-0005-0000-0000-000023C10000}"/>
    <cellStyle name="常规 9 7 2 5 2 3" xfId="34186" xr:uid="{00000000-0005-0000-0000-000024C10000}"/>
    <cellStyle name="常规 9 7 2 5 3" xfId="15754" xr:uid="{00000000-0005-0000-0000-000025C10000}"/>
    <cellStyle name="常规 9 7 2 5 3 2" xfId="40330" xr:uid="{00000000-0005-0000-0000-000026C10000}"/>
    <cellStyle name="常规 9 7 2 5 4" xfId="28042" xr:uid="{00000000-0005-0000-0000-000027C10000}"/>
    <cellStyle name="常规 9 7 2 6" xfId="6538" xr:uid="{00000000-0005-0000-0000-000028C10000}"/>
    <cellStyle name="常规 9 7 2 6 2" xfId="18826" xr:uid="{00000000-0005-0000-0000-000029C10000}"/>
    <cellStyle name="常规 9 7 2 6 2 2" xfId="43402" xr:uid="{00000000-0005-0000-0000-00002AC10000}"/>
    <cellStyle name="常规 9 7 2 6 3" xfId="31114" xr:uid="{00000000-0005-0000-0000-00002BC10000}"/>
    <cellStyle name="常规 9 7 2 7" xfId="12682" xr:uid="{00000000-0005-0000-0000-00002CC10000}"/>
    <cellStyle name="常规 9 7 2 7 2" xfId="37258" xr:uid="{00000000-0005-0000-0000-00002DC10000}"/>
    <cellStyle name="常规 9 7 2 8" xfId="24970" xr:uid="{00000000-0005-0000-0000-00002EC10000}"/>
    <cellStyle name="常规 9 7 3" xfId="582" xr:uid="{00000000-0005-0000-0000-00002FC10000}"/>
    <cellStyle name="常规 9 7 3 2" xfId="1350" xr:uid="{00000000-0005-0000-0000-000030C10000}"/>
    <cellStyle name="常规 9 7 3 2 2" xfId="2886" xr:uid="{00000000-0005-0000-0000-000031C10000}"/>
    <cellStyle name="常规 9 7 3 2 2 2" xfId="5962" xr:uid="{00000000-0005-0000-0000-000032C10000}"/>
    <cellStyle name="常规 9 7 3 2 2 2 2" xfId="12106" xr:uid="{00000000-0005-0000-0000-000033C10000}"/>
    <cellStyle name="常规 9 7 3 2 2 2 2 2" xfId="24394" xr:uid="{00000000-0005-0000-0000-000034C10000}"/>
    <cellStyle name="常规 9 7 3 2 2 2 2 2 2" xfId="48970" xr:uid="{00000000-0005-0000-0000-000035C10000}"/>
    <cellStyle name="常规 9 7 3 2 2 2 2 3" xfId="36682" xr:uid="{00000000-0005-0000-0000-000036C10000}"/>
    <cellStyle name="常规 9 7 3 2 2 2 3" xfId="18250" xr:uid="{00000000-0005-0000-0000-000037C10000}"/>
    <cellStyle name="常规 9 7 3 2 2 2 3 2" xfId="42826" xr:uid="{00000000-0005-0000-0000-000038C10000}"/>
    <cellStyle name="常规 9 7 3 2 2 2 4" xfId="30538" xr:uid="{00000000-0005-0000-0000-000039C10000}"/>
    <cellStyle name="常规 9 7 3 2 2 3" xfId="9034" xr:uid="{00000000-0005-0000-0000-00003AC10000}"/>
    <cellStyle name="常规 9 7 3 2 2 3 2" xfId="21322" xr:uid="{00000000-0005-0000-0000-00003BC10000}"/>
    <cellStyle name="常规 9 7 3 2 2 3 2 2" xfId="45898" xr:uid="{00000000-0005-0000-0000-00003CC10000}"/>
    <cellStyle name="常规 9 7 3 2 2 3 3" xfId="33610" xr:uid="{00000000-0005-0000-0000-00003DC10000}"/>
    <cellStyle name="常规 9 7 3 2 2 4" xfId="15178" xr:uid="{00000000-0005-0000-0000-00003EC10000}"/>
    <cellStyle name="常规 9 7 3 2 2 4 2" xfId="39754" xr:uid="{00000000-0005-0000-0000-00003FC10000}"/>
    <cellStyle name="常规 9 7 3 2 2 5" xfId="27466" xr:uid="{00000000-0005-0000-0000-000040C10000}"/>
    <cellStyle name="常规 9 7 3 2 3" xfId="4426" xr:uid="{00000000-0005-0000-0000-000041C10000}"/>
    <cellStyle name="常规 9 7 3 2 3 2" xfId="10570" xr:uid="{00000000-0005-0000-0000-000042C10000}"/>
    <cellStyle name="常规 9 7 3 2 3 2 2" xfId="22858" xr:uid="{00000000-0005-0000-0000-000043C10000}"/>
    <cellStyle name="常规 9 7 3 2 3 2 2 2" xfId="47434" xr:uid="{00000000-0005-0000-0000-000044C10000}"/>
    <cellStyle name="常规 9 7 3 2 3 2 3" xfId="35146" xr:uid="{00000000-0005-0000-0000-000045C10000}"/>
    <cellStyle name="常规 9 7 3 2 3 3" xfId="16714" xr:uid="{00000000-0005-0000-0000-000046C10000}"/>
    <cellStyle name="常规 9 7 3 2 3 3 2" xfId="41290" xr:uid="{00000000-0005-0000-0000-000047C10000}"/>
    <cellStyle name="常规 9 7 3 2 3 4" xfId="29002" xr:uid="{00000000-0005-0000-0000-000048C10000}"/>
    <cellStyle name="常规 9 7 3 2 4" xfId="7498" xr:uid="{00000000-0005-0000-0000-000049C10000}"/>
    <cellStyle name="常规 9 7 3 2 4 2" xfId="19786" xr:uid="{00000000-0005-0000-0000-00004AC10000}"/>
    <cellStyle name="常规 9 7 3 2 4 2 2" xfId="44362" xr:uid="{00000000-0005-0000-0000-00004BC10000}"/>
    <cellStyle name="常规 9 7 3 2 4 3" xfId="32074" xr:uid="{00000000-0005-0000-0000-00004CC10000}"/>
    <cellStyle name="常规 9 7 3 2 5" xfId="13642" xr:uid="{00000000-0005-0000-0000-00004DC10000}"/>
    <cellStyle name="常规 9 7 3 2 5 2" xfId="38218" xr:uid="{00000000-0005-0000-0000-00004EC10000}"/>
    <cellStyle name="常规 9 7 3 2 6" xfId="25930" xr:uid="{00000000-0005-0000-0000-00004FC10000}"/>
    <cellStyle name="常规 9 7 3 3" xfId="2118" xr:uid="{00000000-0005-0000-0000-000050C10000}"/>
    <cellStyle name="常规 9 7 3 3 2" xfId="5194" xr:uid="{00000000-0005-0000-0000-000051C10000}"/>
    <cellStyle name="常规 9 7 3 3 2 2" xfId="11338" xr:uid="{00000000-0005-0000-0000-000052C10000}"/>
    <cellStyle name="常规 9 7 3 3 2 2 2" xfId="23626" xr:uid="{00000000-0005-0000-0000-000053C10000}"/>
    <cellStyle name="常规 9 7 3 3 2 2 2 2" xfId="48202" xr:uid="{00000000-0005-0000-0000-000054C10000}"/>
    <cellStyle name="常规 9 7 3 3 2 2 3" xfId="35914" xr:uid="{00000000-0005-0000-0000-000055C10000}"/>
    <cellStyle name="常规 9 7 3 3 2 3" xfId="17482" xr:uid="{00000000-0005-0000-0000-000056C10000}"/>
    <cellStyle name="常规 9 7 3 3 2 3 2" xfId="42058" xr:uid="{00000000-0005-0000-0000-000057C10000}"/>
    <cellStyle name="常规 9 7 3 3 2 4" xfId="29770" xr:uid="{00000000-0005-0000-0000-000058C10000}"/>
    <cellStyle name="常规 9 7 3 3 3" xfId="8266" xr:uid="{00000000-0005-0000-0000-000059C10000}"/>
    <cellStyle name="常规 9 7 3 3 3 2" xfId="20554" xr:uid="{00000000-0005-0000-0000-00005AC10000}"/>
    <cellStyle name="常规 9 7 3 3 3 2 2" xfId="45130" xr:uid="{00000000-0005-0000-0000-00005BC10000}"/>
    <cellStyle name="常规 9 7 3 3 3 3" xfId="32842" xr:uid="{00000000-0005-0000-0000-00005CC10000}"/>
    <cellStyle name="常规 9 7 3 3 4" xfId="14410" xr:uid="{00000000-0005-0000-0000-00005DC10000}"/>
    <cellStyle name="常规 9 7 3 3 4 2" xfId="38986" xr:uid="{00000000-0005-0000-0000-00005EC10000}"/>
    <cellStyle name="常规 9 7 3 3 5" xfId="26698" xr:uid="{00000000-0005-0000-0000-00005FC10000}"/>
    <cellStyle name="常规 9 7 3 4" xfId="3658" xr:uid="{00000000-0005-0000-0000-000060C10000}"/>
    <cellStyle name="常规 9 7 3 4 2" xfId="9802" xr:uid="{00000000-0005-0000-0000-000061C10000}"/>
    <cellStyle name="常规 9 7 3 4 2 2" xfId="22090" xr:uid="{00000000-0005-0000-0000-000062C10000}"/>
    <cellStyle name="常规 9 7 3 4 2 2 2" xfId="46666" xr:uid="{00000000-0005-0000-0000-000063C10000}"/>
    <cellStyle name="常规 9 7 3 4 2 3" xfId="34378" xr:uid="{00000000-0005-0000-0000-000064C10000}"/>
    <cellStyle name="常规 9 7 3 4 3" xfId="15946" xr:uid="{00000000-0005-0000-0000-000065C10000}"/>
    <cellStyle name="常规 9 7 3 4 3 2" xfId="40522" xr:uid="{00000000-0005-0000-0000-000066C10000}"/>
    <cellStyle name="常规 9 7 3 4 4" xfId="28234" xr:uid="{00000000-0005-0000-0000-000067C10000}"/>
    <cellStyle name="常规 9 7 3 5" xfId="6730" xr:uid="{00000000-0005-0000-0000-000068C10000}"/>
    <cellStyle name="常规 9 7 3 5 2" xfId="19018" xr:uid="{00000000-0005-0000-0000-000069C10000}"/>
    <cellStyle name="常规 9 7 3 5 2 2" xfId="43594" xr:uid="{00000000-0005-0000-0000-00006AC10000}"/>
    <cellStyle name="常规 9 7 3 5 3" xfId="31306" xr:uid="{00000000-0005-0000-0000-00006BC10000}"/>
    <cellStyle name="常规 9 7 3 6" xfId="12874" xr:uid="{00000000-0005-0000-0000-00006CC10000}"/>
    <cellStyle name="常规 9 7 3 6 2" xfId="37450" xr:uid="{00000000-0005-0000-0000-00006DC10000}"/>
    <cellStyle name="常规 9 7 3 7" xfId="25162" xr:uid="{00000000-0005-0000-0000-00006EC10000}"/>
    <cellStyle name="常规 9 7 4" xfId="966" xr:uid="{00000000-0005-0000-0000-00006FC10000}"/>
    <cellStyle name="常规 9 7 4 2" xfId="2502" xr:uid="{00000000-0005-0000-0000-000070C10000}"/>
    <cellStyle name="常规 9 7 4 2 2" xfId="5578" xr:uid="{00000000-0005-0000-0000-000071C10000}"/>
    <cellStyle name="常规 9 7 4 2 2 2" xfId="11722" xr:uid="{00000000-0005-0000-0000-000072C10000}"/>
    <cellStyle name="常规 9 7 4 2 2 2 2" xfId="24010" xr:uid="{00000000-0005-0000-0000-000073C10000}"/>
    <cellStyle name="常规 9 7 4 2 2 2 2 2" xfId="48586" xr:uid="{00000000-0005-0000-0000-000074C10000}"/>
    <cellStyle name="常规 9 7 4 2 2 2 3" xfId="36298" xr:uid="{00000000-0005-0000-0000-000075C10000}"/>
    <cellStyle name="常规 9 7 4 2 2 3" xfId="17866" xr:uid="{00000000-0005-0000-0000-000076C10000}"/>
    <cellStyle name="常规 9 7 4 2 2 3 2" xfId="42442" xr:uid="{00000000-0005-0000-0000-000077C10000}"/>
    <cellStyle name="常规 9 7 4 2 2 4" xfId="30154" xr:uid="{00000000-0005-0000-0000-000078C10000}"/>
    <cellStyle name="常规 9 7 4 2 3" xfId="8650" xr:uid="{00000000-0005-0000-0000-000079C10000}"/>
    <cellStyle name="常规 9 7 4 2 3 2" xfId="20938" xr:uid="{00000000-0005-0000-0000-00007AC10000}"/>
    <cellStyle name="常规 9 7 4 2 3 2 2" xfId="45514" xr:uid="{00000000-0005-0000-0000-00007BC10000}"/>
    <cellStyle name="常规 9 7 4 2 3 3" xfId="33226" xr:uid="{00000000-0005-0000-0000-00007CC10000}"/>
    <cellStyle name="常规 9 7 4 2 4" xfId="14794" xr:uid="{00000000-0005-0000-0000-00007DC10000}"/>
    <cellStyle name="常规 9 7 4 2 4 2" xfId="39370" xr:uid="{00000000-0005-0000-0000-00007EC10000}"/>
    <cellStyle name="常规 9 7 4 2 5" xfId="27082" xr:uid="{00000000-0005-0000-0000-00007FC10000}"/>
    <cellStyle name="常规 9 7 4 3" xfId="4042" xr:uid="{00000000-0005-0000-0000-000080C10000}"/>
    <cellStyle name="常规 9 7 4 3 2" xfId="10186" xr:uid="{00000000-0005-0000-0000-000081C10000}"/>
    <cellStyle name="常规 9 7 4 3 2 2" xfId="22474" xr:uid="{00000000-0005-0000-0000-000082C10000}"/>
    <cellStyle name="常规 9 7 4 3 2 2 2" xfId="47050" xr:uid="{00000000-0005-0000-0000-000083C10000}"/>
    <cellStyle name="常规 9 7 4 3 2 3" xfId="34762" xr:uid="{00000000-0005-0000-0000-000084C10000}"/>
    <cellStyle name="常规 9 7 4 3 3" xfId="16330" xr:uid="{00000000-0005-0000-0000-000085C10000}"/>
    <cellStyle name="常规 9 7 4 3 3 2" xfId="40906" xr:uid="{00000000-0005-0000-0000-000086C10000}"/>
    <cellStyle name="常规 9 7 4 3 4" xfId="28618" xr:uid="{00000000-0005-0000-0000-000087C10000}"/>
    <cellStyle name="常规 9 7 4 4" xfId="7114" xr:uid="{00000000-0005-0000-0000-000088C10000}"/>
    <cellStyle name="常规 9 7 4 4 2" xfId="19402" xr:uid="{00000000-0005-0000-0000-000089C10000}"/>
    <cellStyle name="常规 9 7 4 4 2 2" xfId="43978" xr:uid="{00000000-0005-0000-0000-00008AC10000}"/>
    <cellStyle name="常规 9 7 4 4 3" xfId="31690" xr:uid="{00000000-0005-0000-0000-00008BC10000}"/>
    <cellStyle name="常规 9 7 4 5" xfId="13258" xr:uid="{00000000-0005-0000-0000-00008CC10000}"/>
    <cellStyle name="常规 9 7 4 5 2" xfId="37834" xr:uid="{00000000-0005-0000-0000-00008DC10000}"/>
    <cellStyle name="常规 9 7 4 6" xfId="25546" xr:uid="{00000000-0005-0000-0000-00008EC10000}"/>
    <cellStyle name="常规 9 7 5" xfId="1734" xr:uid="{00000000-0005-0000-0000-00008FC10000}"/>
    <cellStyle name="常规 9 7 5 2" xfId="4810" xr:uid="{00000000-0005-0000-0000-000090C10000}"/>
    <cellStyle name="常规 9 7 5 2 2" xfId="10954" xr:uid="{00000000-0005-0000-0000-000091C10000}"/>
    <cellStyle name="常规 9 7 5 2 2 2" xfId="23242" xr:uid="{00000000-0005-0000-0000-000092C10000}"/>
    <cellStyle name="常规 9 7 5 2 2 2 2" xfId="47818" xr:uid="{00000000-0005-0000-0000-000093C10000}"/>
    <cellStyle name="常规 9 7 5 2 2 3" xfId="35530" xr:uid="{00000000-0005-0000-0000-000094C10000}"/>
    <cellStyle name="常规 9 7 5 2 3" xfId="17098" xr:uid="{00000000-0005-0000-0000-000095C10000}"/>
    <cellStyle name="常规 9 7 5 2 3 2" xfId="41674" xr:uid="{00000000-0005-0000-0000-000096C10000}"/>
    <cellStyle name="常规 9 7 5 2 4" xfId="29386" xr:uid="{00000000-0005-0000-0000-000097C10000}"/>
    <cellStyle name="常规 9 7 5 3" xfId="7882" xr:uid="{00000000-0005-0000-0000-000098C10000}"/>
    <cellStyle name="常规 9 7 5 3 2" xfId="20170" xr:uid="{00000000-0005-0000-0000-000099C10000}"/>
    <cellStyle name="常规 9 7 5 3 2 2" xfId="44746" xr:uid="{00000000-0005-0000-0000-00009AC10000}"/>
    <cellStyle name="常规 9 7 5 3 3" xfId="32458" xr:uid="{00000000-0005-0000-0000-00009BC10000}"/>
    <cellStyle name="常规 9 7 5 4" xfId="14026" xr:uid="{00000000-0005-0000-0000-00009CC10000}"/>
    <cellStyle name="常规 9 7 5 4 2" xfId="38602" xr:uid="{00000000-0005-0000-0000-00009DC10000}"/>
    <cellStyle name="常规 9 7 5 5" xfId="26314" xr:uid="{00000000-0005-0000-0000-00009EC10000}"/>
    <cellStyle name="常规 9 7 6" xfId="3274" xr:uid="{00000000-0005-0000-0000-00009FC10000}"/>
    <cellStyle name="常规 9 7 6 2" xfId="9418" xr:uid="{00000000-0005-0000-0000-0000A0C10000}"/>
    <cellStyle name="常规 9 7 6 2 2" xfId="21706" xr:uid="{00000000-0005-0000-0000-0000A1C10000}"/>
    <cellStyle name="常规 9 7 6 2 2 2" xfId="46282" xr:uid="{00000000-0005-0000-0000-0000A2C10000}"/>
    <cellStyle name="常规 9 7 6 2 3" xfId="33994" xr:uid="{00000000-0005-0000-0000-0000A3C10000}"/>
    <cellStyle name="常规 9 7 6 3" xfId="15562" xr:uid="{00000000-0005-0000-0000-0000A4C10000}"/>
    <cellStyle name="常规 9 7 6 3 2" xfId="40138" xr:uid="{00000000-0005-0000-0000-0000A5C10000}"/>
    <cellStyle name="常规 9 7 6 4" xfId="27850" xr:uid="{00000000-0005-0000-0000-0000A6C10000}"/>
    <cellStyle name="常规 9 7 7" xfId="6346" xr:uid="{00000000-0005-0000-0000-0000A7C10000}"/>
    <cellStyle name="常规 9 7 7 2" xfId="18634" xr:uid="{00000000-0005-0000-0000-0000A8C10000}"/>
    <cellStyle name="常规 9 7 7 2 2" xfId="43210" xr:uid="{00000000-0005-0000-0000-0000A9C10000}"/>
    <cellStyle name="常规 9 7 7 3" xfId="30922" xr:uid="{00000000-0005-0000-0000-0000AAC10000}"/>
    <cellStyle name="常规 9 7 8" xfId="12490" xr:uid="{00000000-0005-0000-0000-0000ABC10000}"/>
    <cellStyle name="常规 9 7 8 2" xfId="37066" xr:uid="{00000000-0005-0000-0000-0000ACC10000}"/>
    <cellStyle name="常规 9 7 9" xfId="24778" xr:uid="{00000000-0005-0000-0000-0000ADC10000}"/>
    <cellStyle name="常规 9 8" xfId="262" xr:uid="{00000000-0005-0000-0000-0000AEC10000}"/>
    <cellStyle name="常规 9 8 2" xfId="454" xr:uid="{00000000-0005-0000-0000-0000AFC10000}"/>
    <cellStyle name="常规 9 8 2 2" xfId="838" xr:uid="{00000000-0005-0000-0000-0000B0C10000}"/>
    <cellStyle name="常规 9 8 2 2 2" xfId="1606" xr:uid="{00000000-0005-0000-0000-0000B1C10000}"/>
    <cellStyle name="常规 9 8 2 2 2 2" xfId="3142" xr:uid="{00000000-0005-0000-0000-0000B2C10000}"/>
    <cellStyle name="常规 9 8 2 2 2 2 2" xfId="6218" xr:uid="{00000000-0005-0000-0000-0000B3C10000}"/>
    <cellStyle name="常规 9 8 2 2 2 2 2 2" xfId="12362" xr:uid="{00000000-0005-0000-0000-0000B4C10000}"/>
    <cellStyle name="常规 9 8 2 2 2 2 2 2 2" xfId="24650" xr:uid="{00000000-0005-0000-0000-0000B5C10000}"/>
    <cellStyle name="常规 9 8 2 2 2 2 2 2 2 2" xfId="49226" xr:uid="{00000000-0005-0000-0000-0000B6C10000}"/>
    <cellStyle name="常规 9 8 2 2 2 2 2 2 3" xfId="36938" xr:uid="{00000000-0005-0000-0000-0000B7C10000}"/>
    <cellStyle name="常规 9 8 2 2 2 2 2 3" xfId="18506" xr:uid="{00000000-0005-0000-0000-0000B8C10000}"/>
    <cellStyle name="常规 9 8 2 2 2 2 2 3 2" xfId="43082" xr:uid="{00000000-0005-0000-0000-0000B9C10000}"/>
    <cellStyle name="常规 9 8 2 2 2 2 2 4" xfId="30794" xr:uid="{00000000-0005-0000-0000-0000BAC10000}"/>
    <cellStyle name="常规 9 8 2 2 2 2 3" xfId="9290" xr:uid="{00000000-0005-0000-0000-0000BBC10000}"/>
    <cellStyle name="常规 9 8 2 2 2 2 3 2" xfId="21578" xr:uid="{00000000-0005-0000-0000-0000BCC10000}"/>
    <cellStyle name="常规 9 8 2 2 2 2 3 2 2" xfId="46154" xr:uid="{00000000-0005-0000-0000-0000BDC10000}"/>
    <cellStyle name="常规 9 8 2 2 2 2 3 3" xfId="33866" xr:uid="{00000000-0005-0000-0000-0000BEC10000}"/>
    <cellStyle name="常规 9 8 2 2 2 2 4" xfId="15434" xr:uid="{00000000-0005-0000-0000-0000BFC10000}"/>
    <cellStyle name="常规 9 8 2 2 2 2 4 2" xfId="40010" xr:uid="{00000000-0005-0000-0000-0000C0C10000}"/>
    <cellStyle name="常规 9 8 2 2 2 2 5" xfId="27722" xr:uid="{00000000-0005-0000-0000-0000C1C10000}"/>
    <cellStyle name="常规 9 8 2 2 2 3" xfId="4682" xr:uid="{00000000-0005-0000-0000-0000C2C10000}"/>
    <cellStyle name="常规 9 8 2 2 2 3 2" xfId="10826" xr:uid="{00000000-0005-0000-0000-0000C3C10000}"/>
    <cellStyle name="常规 9 8 2 2 2 3 2 2" xfId="23114" xr:uid="{00000000-0005-0000-0000-0000C4C10000}"/>
    <cellStyle name="常规 9 8 2 2 2 3 2 2 2" xfId="47690" xr:uid="{00000000-0005-0000-0000-0000C5C10000}"/>
    <cellStyle name="常规 9 8 2 2 2 3 2 3" xfId="35402" xr:uid="{00000000-0005-0000-0000-0000C6C10000}"/>
    <cellStyle name="常规 9 8 2 2 2 3 3" xfId="16970" xr:uid="{00000000-0005-0000-0000-0000C7C10000}"/>
    <cellStyle name="常规 9 8 2 2 2 3 3 2" xfId="41546" xr:uid="{00000000-0005-0000-0000-0000C8C10000}"/>
    <cellStyle name="常规 9 8 2 2 2 3 4" xfId="29258" xr:uid="{00000000-0005-0000-0000-0000C9C10000}"/>
    <cellStyle name="常规 9 8 2 2 2 4" xfId="7754" xr:uid="{00000000-0005-0000-0000-0000CAC10000}"/>
    <cellStyle name="常规 9 8 2 2 2 4 2" xfId="20042" xr:uid="{00000000-0005-0000-0000-0000CBC10000}"/>
    <cellStyle name="常规 9 8 2 2 2 4 2 2" xfId="44618" xr:uid="{00000000-0005-0000-0000-0000CCC10000}"/>
    <cellStyle name="常规 9 8 2 2 2 4 3" xfId="32330" xr:uid="{00000000-0005-0000-0000-0000CDC10000}"/>
    <cellStyle name="常规 9 8 2 2 2 5" xfId="13898" xr:uid="{00000000-0005-0000-0000-0000CEC10000}"/>
    <cellStyle name="常规 9 8 2 2 2 5 2" xfId="38474" xr:uid="{00000000-0005-0000-0000-0000CFC10000}"/>
    <cellStyle name="常规 9 8 2 2 2 6" xfId="26186" xr:uid="{00000000-0005-0000-0000-0000D0C10000}"/>
    <cellStyle name="常规 9 8 2 2 3" xfId="2374" xr:uid="{00000000-0005-0000-0000-0000D1C10000}"/>
    <cellStyle name="常规 9 8 2 2 3 2" xfId="5450" xr:uid="{00000000-0005-0000-0000-0000D2C10000}"/>
    <cellStyle name="常规 9 8 2 2 3 2 2" xfId="11594" xr:uid="{00000000-0005-0000-0000-0000D3C10000}"/>
    <cellStyle name="常规 9 8 2 2 3 2 2 2" xfId="23882" xr:uid="{00000000-0005-0000-0000-0000D4C10000}"/>
    <cellStyle name="常规 9 8 2 2 3 2 2 2 2" xfId="48458" xr:uid="{00000000-0005-0000-0000-0000D5C10000}"/>
    <cellStyle name="常规 9 8 2 2 3 2 2 3" xfId="36170" xr:uid="{00000000-0005-0000-0000-0000D6C10000}"/>
    <cellStyle name="常规 9 8 2 2 3 2 3" xfId="17738" xr:uid="{00000000-0005-0000-0000-0000D7C10000}"/>
    <cellStyle name="常规 9 8 2 2 3 2 3 2" xfId="42314" xr:uid="{00000000-0005-0000-0000-0000D8C10000}"/>
    <cellStyle name="常规 9 8 2 2 3 2 4" xfId="30026" xr:uid="{00000000-0005-0000-0000-0000D9C10000}"/>
    <cellStyle name="常规 9 8 2 2 3 3" xfId="8522" xr:uid="{00000000-0005-0000-0000-0000DAC10000}"/>
    <cellStyle name="常规 9 8 2 2 3 3 2" xfId="20810" xr:uid="{00000000-0005-0000-0000-0000DBC10000}"/>
    <cellStyle name="常规 9 8 2 2 3 3 2 2" xfId="45386" xr:uid="{00000000-0005-0000-0000-0000DCC10000}"/>
    <cellStyle name="常规 9 8 2 2 3 3 3" xfId="33098" xr:uid="{00000000-0005-0000-0000-0000DDC10000}"/>
    <cellStyle name="常规 9 8 2 2 3 4" xfId="14666" xr:uid="{00000000-0005-0000-0000-0000DEC10000}"/>
    <cellStyle name="常规 9 8 2 2 3 4 2" xfId="39242" xr:uid="{00000000-0005-0000-0000-0000DFC10000}"/>
    <cellStyle name="常规 9 8 2 2 3 5" xfId="26954" xr:uid="{00000000-0005-0000-0000-0000E0C10000}"/>
    <cellStyle name="常规 9 8 2 2 4" xfId="3914" xr:uid="{00000000-0005-0000-0000-0000E1C10000}"/>
    <cellStyle name="常规 9 8 2 2 4 2" xfId="10058" xr:uid="{00000000-0005-0000-0000-0000E2C10000}"/>
    <cellStyle name="常规 9 8 2 2 4 2 2" xfId="22346" xr:uid="{00000000-0005-0000-0000-0000E3C10000}"/>
    <cellStyle name="常规 9 8 2 2 4 2 2 2" xfId="46922" xr:uid="{00000000-0005-0000-0000-0000E4C10000}"/>
    <cellStyle name="常规 9 8 2 2 4 2 3" xfId="34634" xr:uid="{00000000-0005-0000-0000-0000E5C10000}"/>
    <cellStyle name="常规 9 8 2 2 4 3" xfId="16202" xr:uid="{00000000-0005-0000-0000-0000E6C10000}"/>
    <cellStyle name="常规 9 8 2 2 4 3 2" xfId="40778" xr:uid="{00000000-0005-0000-0000-0000E7C10000}"/>
    <cellStyle name="常规 9 8 2 2 4 4" xfId="28490" xr:uid="{00000000-0005-0000-0000-0000E8C10000}"/>
    <cellStyle name="常规 9 8 2 2 5" xfId="6986" xr:uid="{00000000-0005-0000-0000-0000E9C10000}"/>
    <cellStyle name="常规 9 8 2 2 5 2" xfId="19274" xr:uid="{00000000-0005-0000-0000-0000EAC10000}"/>
    <cellStyle name="常规 9 8 2 2 5 2 2" xfId="43850" xr:uid="{00000000-0005-0000-0000-0000EBC10000}"/>
    <cellStyle name="常规 9 8 2 2 5 3" xfId="31562" xr:uid="{00000000-0005-0000-0000-0000ECC10000}"/>
    <cellStyle name="常规 9 8 2 2 6" xfId="13130" xr:uid="{00000000-0005-0000-0000-0000EDC10000}"/>
    <cellStyle name="常规 9 8 2 2 6 2" xfId="37706" xr:uid="{00000000-0005-0000-0000-0000EEC10000}"/>
    <cellStyle name="常规 9 8 2 2 7" xfId="25418" xr:uid="{00000000-0005-0000-0000-0000EFC10000}"/>
    <cellStyle name="常规 9 8 2 3" xfId="1222" xr:uid="{00000000-0005-0000-0000-0000F0C10000}"/>
    <cellStyle name="常规 9 8 2 3 2" xfId="2758" xr:uid="{00000000-0005-0000-0000-0000F1C10000}"/>
    <cellStyle name="常规 9 8 2 3 2 2" xfId="5834" xr:uid="{00000000-0005-0000-0000-0000F2C10000}"/>
    <cellStyle name="常规 9 8 2 3 2 2 2" xfId="11978" xr:uid="{00000000-0005-0000-0000-0000F3C10000}"/>
    <cellStyle name="常规 9 8 2 3 2 2 2 2" xfId="24266" xr:uid="{00000000-0005-0000-0000-0000F4C10000}"/>
    <cellStyle name="常规 9 8 2 3 2 2 2 2 2" xfId="48842" xr:uid="{00000000-0005-0000-0000-0000F5C10000}"/>
    <cellStyle name="常规 9 8 2 3 2 2 2 3" xfId="36554" xr:uid="{00000000-0005-0000-0000-0000F6C10000}"/>
    <cellStyle name="常规 9 8 2 3 2 2 3" xfId="18122" xr:uid="{00000000-0005-0000-0000-0000F7C10000}"/>
    <cellStyle name="常规 9 8 2 3 2 2 3 2" xfId="42698" xr:uid="{00000000-0005-0000-0000-0000F8C10000}"/>
    <cellStyle name="常规 9 8 2 3 2 2 4" xfId="30410" xr:uid="{00000000-0005-0000-0000-0000F9C10000}"/>
    <cellStyle name="常规 9 8 2 3 2 3" xfId="8906" xr:uid="{00000000-0005-0000-0000-0000FAC10000}"/>
    <cellStyle name="常规 9 8 2 3 2 3 2" xfId="21194" xr:uid="{00000000-0005-0000-0000-0000FBC10000}"/>
    <cellStyle name="常规 9 8 2 3 2 3 2 2" xfId="45770" xr:uid="{00000000-0005-0000-0000-0000FCC10000}"/>
    <cellStyle name="常规 9 8 2 3 2 3 3" xfId="33482" xr:uid="{00000000-0005-0000-0000-0000FDC10000}"/>
    <cellStyle name="常规 9 8 2 3 2 4" xfId="15050" xr:uid="{00000000-0005-0000-0000-0000FEC10000}"/>
    <cellStyle name="常规 9 8 2 3 2 4 2" xfId="39626" xr:uid="{00000000-0005-0000-0000-0000FFC10000}"/>
    <cellStyle name="常规 9 8 2 3 2 5" xfId="27338" xr:uid="{00000000-0005-0000-0000-000000C20000}"/>
    <cellStyle name="常规 9 8 2 3 3" xfId="4298" xr:uid="{00000000-0005-0000-0000-000001C20000}"/>
    <cellStyle name="常规 9 8 2 3 3 2" xfId="10442" xr:uid="{00000000-0005-0000-0000-000002C20000}"/>
    <cellStyle name="常规 9 8 2 3 3 2 2" xfId="22730" xr:uid="{00000000-0005-0000-0000-000003C20000}"/>
    <cellStyle name="常规 9 8 2 3 3 2 2 2" xfId="47306" xr:uid="{00000000-0005-0000-0000-000004C20000}"/>
    <cellStyle name="常规 9 8 2 3 3 2 3" xfId="35018" xr:uid="{00000000-0005-0000-0000-000005C20000}"/>
    <cellStyle name="常规 9 8 2 3 3 3" xfId="16586" xr:uid="{00000000-0005-0000-0000-000006C20000}"/>
    <cellStyle name="常规 9 8 2 3 3 3 2" xfId="41162" xr:uid="{00000000-0005-0000-0000-000007C20000}"/>
    <cellStyle name="常规 9 8 2 3 3 4" xfId="28874" xr:uid="{00000000-0005-0000-0000-000008C20000}"/>
    <cellStyle name="常规 9 8 2 3 4" xfId="7370" xr:uid="{00000000-0005-0000-0000-000009C20000}"/>
    <cellStyle name="常规 9 8 2 3 4 2" xfId="19658" xr:uid="{00000000-0005-0000-0000-00000AC20000}"/>
    <cellStyle name="常规 9 8 2 3 4 2 2" xfId="44234" xr:uid="{00000000-0005-0000-0000-00000BC20000}"/>
    <cellStyle name="常规 9 8 2 3 4 3" xfId="31946" xr:uid="{00000000-0005-0000-0000-00000CC20000}"/>
    <cellStyle name="常规 9 8 2 3 5" xfId="13514" xr:uid="{00000000-0005-0000-0000-00000DC20000}"/>
    <cellStyle name="常规 9 8 2 3 5 2" xfId="38090" xr:uid="{00000000-0005-0000-0000-00000EC20000}"/>
    <cellStyle name="常规 9 8 2 3 6" xfId="25802" xr:uid="{00000000-0005-0000-0000-00000FC20000}"/>
    <cellStyle name="常规 9 8 2 4" xfId="1990" xr:uid="{00000000-0005-0000-0000-000010C20000}"/>
    <cellStyle name="常规 9 8 2 4 2" xfId="5066" xr:uid="{00000000-0005-0000-0000-000011C20000}"/>
    <cellStyle name="常规 9 8 2 4 2 2" xfId="11210" xr:uid="{00000000-0005-0000-0000-000012C20000}"/>
    <cellStyle name="常规 9 8 2 4 2 2 2" xfId="23498" xr:uid="{00000000-0005-0000-0000-000013C20000}"/>
    <cellStyle name="常规 9 8 2 4 2 2 2 2" xfId="48074" xr:uid="{00000000-0005-0000-0000-000014C20000}"/>
    <cellStyle name="常规 9 8 2 4 2 2 3" xfId="35786" xr:uid="{00000000-0005-0000-0000-000015C20000}"/>
    <cellStyle name="常规 9 8 2 4 2 3" xfId="17354" xr:uid="{00000000-0005-0000-0000-000016C20000}"/>
    <cellStyle name="常规 9 8 2 4 2 3 2" xfId="41930" xr:uid="{00000000-0005-0000-0000-000017C20000}"/>
    <cellStyle name="常规 9 8 2 4 2 4" xfId="29642" xr:uid="{00000000-0005-0000-0000-000018C20000}"/>
    <cellStyle name="常规 9 8 2 4 3" xfId="8138" xr:uid="{00000000-0005-0000-0000-000019C20000}"/>
    <cellStyle name="常规 9 8 2 4 3 2" xfId="20426" xr:uid="{00000000-0005-0000-0000-00001AC20000}"/>
    <cellStyle name="常规 9 8 2 4 3 2 2" xfId="45002" xr:uid="{00000000-0005-0000-0000-00001BC20000}"/>
    <cellStyle name="常规 9 8 2 4 3 3" xfId="32714" xr:uid="{00000000-0005-0000-0000-00001CC20000}"/>
    <cellStyle name="常规 9 8 2 4 4" xfId="14282" xr:uid="{00000000-0005-0000-0000-00001DC20000}"/>
    <cellStyle name="常规 9 8 2 4 4 2" xfId="38858" xr:uid="{00000000-0005-0000-0000-00001EC20000}"/>
    <cellStyle name="常规 9 8 2 4 5" xfId="26570" xr:uid="{00000000-0005-0000-0000-00001FC20000}"/>
    <cellStyle name="常规 9 8 2 5" xfId="3530" xr:uid="{00000000-0005-0000-0000-000020C20000}"/>
    <cellStyle name="常规 9 8 2 5 2" xfId="9674" xr:uid="{00000000-0005-0000-0000-000021C20000}"/>
    <cellStyle name="常规 9 8 2 5 2 2" xfId="21962" xr:uid="{00000000-0005-0000-0000-000022C20000}"/>
    <cellStyle name="常规 9 8 2 5 2 2 2" xfId="46538" xr:uid="{00000000-0005-0000-0000-000023C20000}"/>
    <cellStyle name="常规 9 8 2 5 2 3" xfId="34250" xr:uid="{00000000-0005-0000-0000-000024C20000}"/>
    <cellStyle name="常规 9 8 2 5 3" xfId="15818" xr:uid="{00000000-0005-0000-0000-000025C20000}"/>
    <cellStyle name="常规 9 8 2 5 3 2" xfId="40394" xr:uid="{00000000-0005-0000-0000-000026C20000}"/>
    <cellStyle name="常规 9 8 2 5 4" xfId="28106" xr:uid="{00000000-0005-0000-0000-000027C20000}"/>
    <cellStyle name="常规 9 8 2 6" xfId="6602" xr:uid="{00000000-0005-0000-0000-000028C20000}"/>
    <cellStyle name="常规 9 8 2 6 2" xfId="18890" xr:uid="{00000000-0005-0000-0000-000029C20000}"/>
    <cellStyle name="常规 9 8 2 6 2 2" xfId="43466" xr:uid="{00000000-0005-0000-0000-00002AC20000}"/>
    <cellStyle name="常规 9 8 2 6 3" xfId="31178" xr:uid="{00000000-0005-0000-0000-00002BC20000}"/>
    <cellStyle name="常规 9 8 2 7" xfId="12746" xr:uid="{00000000-0005-0000-0000-00002CC20000}"/>
    <cellStyle name="常规 9 8 2 7 2" xfId="37322" xr:uid="{00000000-0005-0000-0000-00002DC20000}"/>
    <cellStyle name="常规 9 8 2 8" xfId="25034" xr:uid="{00000000-0005-0000-0000-00002EC20000}"/>
    <cellStyle name="常规 9 8 3" xfId="646" xr:uid="{00000000-0005-0000-0000-00002FC20000}"/>
    <cellStyle name="常规 9 8 3 2" xfId="1414" xr:uid="{00000000-0005-0000-0000-000030C20000}"/>
    <cellStyle name="常规 9 8 3 2 2" xfId="2950" xr:uid="{00000000-0005-0000-0000-000031C20000}"/>
    <cellStyle name="常规 9 8 3 2 2 2" xfId="6026" xr:uid="{00000000-0005-0000-0000-000032C20000}"/>
    <cellStyle name="常规 9 8 3 2 2 2 2" xfId="12170" xr:uid="{00000000-0005-0000-0000-000033C20000}"/>
    <cellStyle name="常规 9 8 3 2 2 2 2 2" xfId="24458" xr:uid="{00000000-0005-0000-0000-000034C20000}"/>
    <cellStyle name="常规 9 8 3 2 2 2 2 2 2" xfId="49034" xr:uid="{00000000-0005-0000-0000-000035C20000}"/>
    <cellStyle name="常规 9 8 3 2 2 2 2 3" xfId="36746" xr:uid="{00000000-0005-0000-0000-000036C20000}"/>
    <cellStyle name="常规 9 8 3 2 2 2 3" xfId="18314" xr:uid="{00000000-0005-0000-0000-000037C20000}"/>
    <cellStyle name="常规 9 8 3 2 2 2 3 2" xfId="42890" xr:uid="{00000000-0005-0000-0000-000038C20000}"/>
    <cellStyle name="常规 9 8 3 2 2 2 4" xfId="30602" xr:uid="{00000000-0005-0000-0000-000039C20000}"/>
    <cellStyle name="常规 9 8 3 2 2 3" xfId="9098" xr:uid="{00000000-0005-0000-0000-00003AC20000}"/>
    <cellStyle name="常规 9 8 3 2 2 3 2" xfId="21386" xr:uid="{00000000-0005-0000-0000-00003BC20000}"/>
    <cellStyle name="常规 9 8 3 2 2 3 2 2" xfId="45962" xr:uid="{00000000-0005-0000-0000-00003CC20000}"/>
    <cellStyle name="常规 9 8 3 2 2 3 3" xfId="33674" xr:uid="{00000000-0005-0000-0000-00003DC20000}"/>
    <cellStyle name="常规 9 8 3 2 2 4" xfId="15242" xr:uid="{00000000-0005-0000-0000-00003EC20000}"/>
    <cellStyle name="常规 9 8 3 2 2 4 2" xfId="39818" xr:uid="{00000000-0005-0000-0000-00003FC20000}"/>
    <cellStyle name="常规 9 8 3 2 2 5" xfId="27530" xr:uid="{00000000-0005-0000-0000-000040C20000}"/>
    <cellStyle name="常规 9 8 3 2 3" xfId="4490" xr:uid="{00000000-0005-0000-0000-000041C20000}"/>
    <cellStyle name="常规 9 8 3 2 3 2" xfId="10634" xr:uid="{00000000-0005-0000-0000-000042C20000}"/>
    <cellStyle name="常规 9 8 3 2 3 2 2" xfId="22922" xr:uid="{00000000-0005-0000-0000-000043C20000}"/>
    <cellStyle name="常规 9 8 3 2 3 2 2 2" xfId="47498" xr:uid="{00000000-0005-0000-0000-000044C20000}"/>
    <cellStyle name="常规 9 8 3 2 3 2 3" xfId="35210" xr:uid="{00000000-0005-0000-0000-000045C20000}"/>
    <cellStyle name="常规 9 8 3 2 3 3" xfId="16778" xr:uid="{00000000-0005-0000-0000-000046C20000}"/>
    <cellStyle name="常规 9 8 3 2 3 3 2" xfId="41354" xr:uid="{00000000-0005-0000-0000-000047C20000}"/>
    <cellStyle name="常规 9 8 3 2 3 4" xfId="29066" xr:uid="{00000000-0005-0000-0000-000048C20000}"/>
    <cellStyle name="常规 9 8 3 2 4" xfId="7562" xr:uid="{00000000-0005-0000-0000-000049C20000}"/>
    <cellStyle name="常规 9 8 3 2 4 2" xfId="19850" xr:uid="{00000000-0005-0000-0000-00004AC20000}"/>
    <cellStyle name="常规 9 8 3 2 4 2 2" xfId="44426" xr:uid="{00000000-0005-0000-0000-00004BC20000}"/>
    <cellStyle name="常规 9 8 3 2 4 3" xfId="32138" xr:uid="{00000000-0005-0000-0000-00004CC20000}"/>
    <cellStyle name="常规 9 8 3 2 5" xfId="13706" xr:uid="{00000000-0005-0000-0000-00004DC20000}"/>
    <cellStyle name="常规 9 8 3 2 5 2" xfId="38282" xr:uid="{00000000-0005-0000-0000-00004EC20000}"/>
    <cellStyle name="常规 9 8 3 2 6" xfId="25994" xr:uid="{00000000-0005-0000-0000-00004FC20000}"/>
    <cellStyle name="常规 9 8 3 3" xfId="2182" xr:uid="{00000000-0005-0000-0000-000050C20000}"/>
    <cellStyle name="常规 9 8 3 3 2" xfId="5258" xr:uid="{00000000-0005-0000-0000-000051C20000}"/>
    <cellStyle name="常规 9 8 3 3 2 2" xfId="11402" xr:uid="{00000000-0005-0000-0000-000052C20000}"/>
    <cellStyle name="常规 9 8 3 3 2 2 2" xfId="23690" xr:uid="{00000000-0005-0000-0000-000053C20000}"/>
    <cellStyle name="常规 9 8 3 3 2 2 2 2" xfId="48266" xr:uid="{00000000-0005-0000-0000-000054C20000}"/>
    <cellStyle name="常规 9 8 3 3 2 2 3" xfId="35978" xr:uid="{00000000-0005-0000-0000-000055C20000}"/>
    <cellStyle name="常规 9 8 3 3 2 3" xfId="17546" xr:uid="{00000000-0005-0000-0000-000056C20000}"/>
    <cellStyle name="常规 9 8 3 3 2 3 2" xfId="42122" xr:uid="{00000000-0005-0000-0000-000057C20000}"/>
    <cellStyle name="常规 9 8 3 3 2 4" xfId="29834" xr:uid="{00000000-0005-0000-0000-000058C20000}"/>
    <cellStyle name="常规 9 8 3 3 3" xfId="8330" xr:uid="{00000000-0005-0000-0000-000059C20000}"/>
    <cellStyle name="常规 9 8 3 3 3 2" xfId="20618" xr:uid="{00000000-0005-0000-0000-00005AC20000}"/>
    <cellStyle name="常规 9 8 3 3 3 2 2" xfId="45194" xr:uid="{00000000-0005-0000-0000-00005BC20000}"/>
    <cellStyle name="常规 9 8 3 3 3 3" xfId="32906" xr:uid="{00000000-0005-0000-0000-00005CC20000}"/>
    <cellStyle name="常规 9 8 3 3 4" xfId="14474" xr:uid="{00000000-0005-0000-0000-00005DC20000}"/>
    <cellStyle name="常规 9 8 3 3 4 2" xfId="39050" xr:uid="{00000000-0005-0000-0000-00005EC20000}"/>
    <cellStyle name="常规 9 8 3 3 5" xfId="26762" xr:uid="{00000000-0005-0000-0000-00005FC20000}"/>
    <cellStyle name="常规 9 8 3 4" xfId="3722" xr:uid="{00000000-0005-0000-0000-000060C20000}"/>
    <cellStyle name="常规 9 8 3 4 2" xfId="9866" xr:uid="{00000000-0005-0000-0000-000061C20000}"/>
    <cellStyle name="常规 9 8 3 4 2 2" xfId="22154" xr:uid="{00000000-0005-0000-0000-000062C20000}"/>
    <cellStyle name="常规 9 8 3 4 2 2 2" xfId="46730" xr:uid="{00000000-0005-0000-0000-000063C20000}"/>
    <cellStyle name="常规 9 8 3 4 2 3" xfId="34442" xr:uid="{00000000-0005-0000-0000-000064C20000}"/>
    <cellStyle name="常规 9 8 3 4 3" xfId="16010" xr:uid="{00000000-0005-0000-0000-000065C20000}"/>
    <cellStyle name="常规 9 8 3 4 3 2" xfId="40586" xr:uid="{00000000-0005-0000-0000-000066C20000}"/>
    <cellStyle name="常规 9 8 3 4 4" xfId="28298" xr:uid="{00000000-0005-0000-0000-000067C20000}"/>
    <cellStyle name="常规 9 8 3 5" xfId="6794" xr:uid="{00000000-0005-0000-0000-000068C20000}"/>
    <cellStyle name="常规 9 8 3 5 2" xfId="19082" xr:uid="{00000000-0005-0000-0000-000069C20000}"/>
    <cellStyle name="常规 9 8 3 5 2 2" xfId="43658" xr:uid="{00000000-0005-0000-0000-00006AC20000}"/>
    <cellStyle name="常规 9 8 3 5 3" xfId="31370" xr:uid="{00000000-0005-0000-0000-00006BC20000}"/>
    <cellStyle name="常规 9 8 3 6" xfId="12938" xr:uid="{00000000-0005-0000-0000-00006CC20000}"/>
    <cellStyle name="常规 9 8 3 6 2" xfId="37514" xr:uid="{00000000-0005-0000-0000-00006DC20000}"/>
    <cellStyle name="常规 9 8 3 7" xfId="25226" xr:uid="{00000000-0005-0000-0000-00006EC20000}"/>
    <cellStyle name="常规 9 8 4" xfId="1030" xr:uid="{00000000-0005-0000-0000-00006FC20000}"/>
    <cellStyle name="常规 9 8 4 2" xfId="2566" xr:uid="{00000000-0005-0000-0000-000070C20000}"/>
    <cellStyle name="常规 9 8 4 2 2" xfId="5642" xr:uid="{00000000-0005-0000-0000-000071C20000}"/>
    <cellStyle name="常规 9 8 4 2 2 2" xfId="11786" xr:uid="{00000000-0005-0000-0000-000072C20000}"/>
    <cellStyle name="常规 9 8 4 2 2 2 2" xfId="24074" xr:uid="{00000000-0005-0000-0000-000073C20000}"/>
    <cellStyle name="常规 9 8 4 2 2 2 2 2" xfId="48650" xr:uid="{00000000-0005-0000-0000-000074C20000}"/>
    <cellStyle name="常规 9 8 4 2 2 2 3" xfId="36362" xr:uid="{00000000-0005-0000-0000-000075C20000}"/>
    <cellStyle name="常规 9 8 4 2 2 3" xfId="17930" xr:uid="{00000000-0005-0000-0000-000076C20000}"/>
    <cellStyle name="常规 9 8 4 2 2 3 2" xfId="42506" xr:uid="{00000000-0005-0000-0000-000077C20000}"/>
    <cellStyle name="常规 9 8 4 2 2 4" xfId="30218" xr:uid="{00000000-0005-0000-0000-000078C20000}"/>
    <cellStyle name="常规 9 8 4 2 3" xfId="8714" xr:uid="{00000000-0005-0000-0000-000079C20000}"/>
    <cellStyle name="常规 9 8 4 2 3 2" xfId="21002" xr:uid="{00000000-0005-0000-0000-00007AC20000}"/>
    <cellStyle name="常规 9 8 4 2 3 2 2" xfId="45578" xr:uid="{00000000-0005-0000-0000-00007BC20000}"/>
    <cellStyle name="常规 9 8 4 2 3 3" xfId="33290" xr:uid="{00000000-0005-0000-0000-00007CC20000}"/>
    <cellStyle name="常规 9 8 4 2 4" xfId="14858" xr:uid="{00000000-0005-0000-0000-00007DC20000}"/>
    <cellStyle name="常规 9 8 4 2 4 2" xfId="39434" xr:uid="{00000000-0005-0000-0000-00007EC20000}"/>
    <cellStyle name="常规 9 8 4 2 5" xfId="27146" xr:uid="{00000000-0005-0000-0000-00007FC20000}"/>
    <cellStyle name="常规 9 8 4 3" xfId="4106" xr:uid="{00000000-0005-0000-0000-000080C20000}"/>
    <cellStyle name="常规 9 8 4 3 2" xfId="10250" xr:uid="{00000000-0005-0000-0000-000081C20000}"/>
    <cellStyle name="常规 9 8 4 3 2 2" xfId="22538" xr:uid="{00000000-0005-0000-0000-000082C20000}"/>
    <cellStyle name="常规 9 8 4 3 2 2 2" xfId="47114" xr:uid="{00000000-0005-0000-0000-000083C20000}"/>
    <cellStyle name="常规 9 8 4 3 2 3" xfId="34826" xr:uid="{00000000-0005-0000-0000-000084C20000}"/>
    <cellStyle name="常规 9 8 4 3 3" xfId="16394" xr:uid="{00000000-0005-0000-0000-000085C20000}"/>
    <cellStyle name="常规 9 8 4 3 3 2" xfId="40970" xr:uid="{00000000-0005-0000-0000-000086C20000}"/>
    <cellStyle name="常规 9 8 4 3 4" xfId="28682" xr:uid="{00000000-0005-0000-0000-000087C20000}"/>
    <cellStyle name="常规 9 8 4 4" xfId="7178" xr:uid="{00000000-0005-0000-0000-000088C20000}"/>
    <cellStyle name="常规 9 8 4 4 2" xfId="19466" xr:uid="{00000000-0005-0000-0000-000089C20000}"/>
    <cellStyle name="常规 9 8 4 4 2 2" xfId="44042" xr:uid="{00000000-0005-0000-0000-00008AC20000}"/>
    <cellStyle name="常规 9 8 4 4 3" xfId="31754" xr:uid="{00000000-0005-0000-0000-00008BC20000}"/>
    <cellStyle name="常规 9 8 4 5" xfId="13322" xr:uid="{00000000-0005-0000-0000-00008CC20000}"/>
    <cellStyle name="常规 9 8 4 5 2" xfId="37898" xr:uid="{00000000-0005-0000-0000-00008DC20000}"/>
    <cellStyle name="常规 9 8 4 6" xfId="25610" xr:uid="{00000000-0005-0000-0000-00008EC20000}"/>
    <cellStyle name="常规 9 8 5" xfId="1798" xr:uid="{00000000-0005-0000-0000-00008FC20000}"/>
    <cellStyle name="常规 9 8 5 2" xfId="4874" xr:uid="{00000000-0005-0000-0000-000090C20000}"/>
    <cellStyle name="常规 9 8 5 2 2" xfId="11018" xr:uid="{00000000-0005-0000-0000-000091C20000}"/>
    <cellStyle name="常规 9 8 5 2 2 2" xfId="23306" xr:uid="{00000000-0005-0000-0000-000092C20000}"/>
    <cellStyle name="常规 9 8 5 2 2 2 2" xfId="47882" xr:uid="{00000000-0005-0000-0000-000093C20000}"/>
    <cellStyle name="常规 9 8 5 2 2 3" xfId="35594" xr:uid="{00000000-0005-0000-0000-000094C20000}"/>
    <cellStyle name="常规 9 8 5 2 3" xfId="17162" xr:uid="{00000000-0005-0000-0000-000095C20000}"/>
    <cellStyle name="常规 9 8 5 2 3 2" xfId="41738" xr:uid="{00000000-0005-0000-0000-000096C20000}"/>
    <cellStyle name="常规 9 8 5 2 4" xfId="29450" xr:uid="{00000000-0005-0000-0000-000097C20000}"/>
    <cellStyle name="常规 9 8 5 3" xfId="7946" xr:uid="{00000000-0005-0000-0000-000098C20000}"/>
    <cellStyle name="常规 9 8 5 3 2" xfId="20234" xr:uid="{00000000-0005-0000-0000-000099C20000}"/>
    <cellStyle name="常规 9 8 5 3 2 2" xfId="44810" xr:uid="{00000000-0005-0000-0000-00009AC20000}"/>
    <cellStyle name="常规 9 8 5 3 3" xfId="32522" xr:uid="{00000000-0005-0000-0000-00009BC20000}"/>
    <cellStyle name="常规 9 8 5 4" xfId="14090" xr:uid="{00000000-0005-0000-0000-00009CC20000}"/>
    <cellStyle name="常规 9 8 5 4 2" xfId="38666" xr:uid="{00000000-0005-0000-0000-00009DC20000}"/>
    <cellStyle name="常规 9 8 5 5" xfId="26378" xr:uid="{00000000-0005-0000-0000-00009EC20000}"/>
    <cellStyle name="常规 9 8 6" xfId="3338" xr:uid="{00000000-0005-0000-0000-00009FC20000}"/>
    <cellStyle name="常规 9 8 6 2" xfId="9482" xr:uid="{00000000-0005-0000-0000-0000A0C20000}"/>
    <cellStyle name="常规 9 8 6 2 2" xfId="21770" xr:uid="{00000000-0005-0000-0000-0000A1C20000}"/>
    <cellStyle name="常规 9 8 6 2 2 2" xfId="46346" xr:uid="{00000000-0005-0000-0000-0000A2C20000}"/>
    <cellStyle name="常规 9 8 6 2 3" xfId="34058" xr:uid="{00000000-0005-0000-0000-0000A3C20000}"/>
    <cellStyle name="常规 9 8 6 3" xfId="15626" xr:uid="{00000000-0005-0000-0000-0000A4C20000}"/>
    <cellStyle name="常规 9 8 6 3 2" xfId="40202" xr:uid="{00000000-0005-0000-0000-0000A5C20000}"/>
    <cellStyle name="常规 9 8 6 4" xfId="27914" xr:uid="{00000000-0005-0000-0000-0000A6C20000}"/>
    <cellStyle name="常规 9 8 7" xfId="6410" xr:uid="{00000000-0005-0000-0000-0000A7C20000}"/>
    <cellStyle name="常规 9 8 7 2" xfId="18698" xr:uid="{00000000-0005-0000-0000-0000A8C20000}"/>
    <cellStyle name="常规 9 8 7 2 2" xfId="43274" xr:uid="{00000000-0005-0000-0000-0000A9C20000}"/>
    <cellStyle name="常规 9 8 7 3" xfId="30986" xr:uid="{00000000-0005-0000-0000-0000AAC20000}"/>
    <cellStyle name="常规 9 8 8" xfId="12554" xr:uid="{00000000-0005-0000-0000-0000ABC20000}"/>
    <cellStyle name="常规 9 8 8 2" xfId="37130" xr:uid="{00000000-0005-0000-0000-0000ACC20000}"/>
    <cellStyle name="常规 9 8 9" xfId="24842" xr:uid="{00000000-0005-0000-0000-0000ADC20000}"/>
    <cellStyle name="常规 9 9" xfId="326" xr:uid="{00000000-0005-0000-0000-0000AEC20000}"/>
    <cellStyle name="常规 9 9 2" xfId="710" xr:uid="{00000000-0005-0000-0000-0000AFC20000}"/>
    <cellStyle name="常规 9 9 2 2" xfId="1478" xr:uid="{00000000-0005-0000-0000-0000B0C20000}"/>
    <cellStyle name="常规 9 9 2 2 2" xfId="3014" xr:uid="{00000000-0005-0000-0000-0000B1C20000}"/>
    <cellStyle name="常规 9 9 2 2 2 2" xfId="6090" xr:uid="{00000000-0005-0000-0000-0000B2C20000}"/>
    <cellStyle name="常规 9 9 2 2 2 2 2" xfId="12234" xr:uid="{00000000-0005-0000-0000-0000B3C20000}"/>
    <cellStyle name="常规 9 9 2 2 2 2 2 2" xfId="24522" xr:uid="{00000000-0005-0000-0000-0000B4C20000}"/>
    <cellStyle name="常规 9 9 2 2 2 2 2 2 2" xfId="49098" xr:uid="{00000000-0005-0000-0000-0000B5C20000}"/>
    <cellStyle name="常规 9 9 2 2 2 2 2 3" xfId="36810" xr:uid="{00000000-0005-0000-0000-0000B6C20000}"/>
    <cellStyle name="常规 9 9 2 2 2 2 3" xfId="18378" xr:uid="{00000000-0005-0000-0000-0000B7C20000}"/>
    <cellStyle name="常规 9 9 2 2 2 2 3 2" xfId="42954" xr:uid="{00000000-0005-0000-0000-0000B8C20000}"/>
    <cellStyle name="常规 9 9 2 2 2 2 4" xfId="30666" xr:uid="{00000000-0005-0000-0000-0000B9C20000}"/>
    <cellStyle name="常规 9 9 2 2 2 3" xfId="9162" xr:uid="{00000000-0005-0000-0000-0000BAC20000}"/>
    <cellStyle name="常规 9 9 2 2 2 3 2" xfId="21450" xr:uid="{00000000-0005-0000-0000-0000BBC20000}"/>
    <cellStyle name="常规 9 9 2 2 2 3 2 2" xfId="46026" xr:uid="{00000000-0005-0000-0000-0000BCC20000}"/>
    <cellStyle name="常规 9 9 2 2 2 3 3" xfId="33738" xr:uid="{00000000-0005-0000-0000-0000BDC20000}"/>
    <cellStyle name="常规 9 9 2 2 2 4" xfId="15306" xr:uid="{00000000-0005-0000-0000-0000BEC20000}"/>
    <cellStyle name="常规 9 9 2 2 2 4 2" xfId="39882" xr:uid="{00000000-0005-0000-0000-0000BFC20000}"/>
    <cellStyle name="常规 9 9 2 2 2 5" xfId="27594" xr:uid="{00000000-0005-0000-0000-0000C0C20000}"/>
    <cellStyle name="常规 9 9 2 2 3" xfId="4554" xr:uid="{00000000-0005-0000-0000-0000C1C20000}"/>
    <cellStyle name="常规 9 9 2 2 3 2" xfId="10698" xr:uid="{00000000-0005-0000-0000-0000C2C20000}"/>
    <cellStyle name="常规 9 9 2 2 3 2 2" xfId="22986" xr:uid="{00000000-0005-0000-0000-0000C3C20000}"/>
    <cellStyle name="常规 9 9 2 2 3 2 2 2" xfId="47562" xr:uid="{00000000-0005-0000-0000-0000C4C20000}"/>
    <cellStyle name="常规 9 9 2 2 3 2 3" xfId="35274" xr:uid="{00000000-0005-0000-0000-0000C5C20000}"/>
    <cellStyle name="常规 9 9 2 2 3 3" xfId="16842" xr:uid="{00000000-0005-0000-0000-0000C6C20000}"/>
    <cellStyle name="常规 9 9 2 2 3 3 2" xfId="41418" xr:uid="{00000000-0005-0000-0000-0000C7C20000}"/>
    <cellStyle name="常规 9 9 2 2 3 4" xfId="29130" xr:uid="{00000000-0005-0000-0000-0000C8C20000}"/>
    <cellStyle name="常规 9 9 2 2 4" xfId="7626" xr:uid="{00000000-0005-0000-0000-0000C9C20000}"/>
    <cellStyle name="常规 9 9 2 2 4 2" xfId="19914" xr:uid="{00000000-0005-0000-0000-0000CAC20000}"/>
    <cellStyle name="常规 9 9 2 2 4 2 2" xfId="44490" xr:uid="{00000000-0005-0000-0000-0000CBC20000}"/>
    <cellStyle name="常规 9 9 2 2 4 3" xfId="32202" xr:uid="{00000000-0005-0000-0000-0000CCC20000}"/>
    <cellStyle name="常规 9 9 2 2 5" xfId="13770" xr:uid="{00000000-0005-0000-0000-0000CDC20000}"/>
    <cellStyle name="常规 9 9 2 2 5 2" xfId="38346" xr:uid="{00000000-0005-0000-0000-0000CEC20000}"/>
    <cellStyle name="常规 9 9 2 2 6" xfId="26058" xr:uid="{00000000-0005-0000-0000-0000CFC20000}"/>
    <cellStyle name="常规 9 9 2 3" xfId="2246" xr:uid="{00000000-0005-0000-0000-0000D0C20000}"/>
    <cellStyle name="常规 9 9 2 3 2" xfId="5322" xr:uid="{00000000-0005-0000-0000-0000D1C20000}"/>
    <cellStyle name="常规 9 9 2 3 2 2" xfId="11466" xr:uid="{00000000-0005-0000-0000-0000D2C20000}"/>
    <cellStyle name="常规 9 9 2 3 2 2 2" xfId="23754" xr:uid="{00000000-0005-0000-0000-0000D3C20000}"/>
    <cellStyle name="常规 9 9 2 3 2 2 2 2" xfId="48330" xr:uid="{00000000-0005-0000-0000-0000D4C20000}"/>
    <cellStyle name="常规 9 9 2 3 2 2 3" xfId="36042" xr:uid="{00000000-0005-0000-0000-0000D5C20000}"/>
    <cellStyle name="常规 9 9 2 3 2 3" xfId="17610" xr:uid="{00000000-0005-0000-0000-0000D6C20000}"/>
    <cellStyle name="常规 9 9 2 3 2 3 2" xfId="42186" xr:uid="{00000000-0005-0000-0000-0000D7C20000}"/>
    <cellStyle name="常规 9 9 2 3 2 4" xfId="29898" xr:uid="{00000000-0005-0000-0000-0000D8C20000}"/>
    <cellStyle name="常规 9 9 2 3 3" xfId="8394" xr:uid="{00000000-0005-0000-0000-0000D9C20000}"/>
    <cellStyle name="常规 9 9 2 3 3 2" xfId="20682" xr:uid="{00000000-0005-0000-0000-0000DAC20000}"/>
    <cellStyle name="常规 9 9 2 3 3 2 2" xfId="45258" xr:uid="{00000000-0005-0000-0000-0000DBC20000}"/>
    <cellStyle name="常规 9 9 2 3 3 3" xfId="32970" xr:uid="{00000000-0005-0000-0000-0000DCC20000}"/>
    <cellStyle name="常规 9 9 2 3 4" xfId="14538" xr:uid="{00000000-0005-0000-0000-0000DDC20000}"/>
    <cellStyle name="常规 9 9 2 3 4 2" xfId="39114" xr:uid="{00000000-0005-0000-0000-0000DEC20000}"/>
    <cellStyle name="常规 9 9 2 3 5" xfId="26826" xr:uid="{00000000-0005-0000-0000-0000DFC20000}"/>
    <cellStyle name="常规 9 9 2 4" xfId="3786" xr:uid="{00000000-0005-0000-0000-0000E0C20000}"/>
    <cellStyle name="常规 9 9 2 4 2" xfId="9930" xr:uid="{00000000-0005-0000-0000-0000E1C20000}"/>
    <cellStyle name="常规 9 9 2 4 2 2" xfId="22218" xr:uid="{00000000-0005-0000-0000-0000E2C20000}"/>
    <cellStyle name="常规 9 9 2 4 2 2 2" xfId="46794" xr:uid="{00000000-0005-0000-0000-0000E3C20000}"/>
    <cellStyle name="常规 9 9 2 4 2 3" xfId="34506" xr:uid="{00000000-0005-0000-0000-0000E4C20000}"/>
    <cellStyle name="常规 9 9 2 4 3" xfId="16074" xr:uid="{00000000-0005-0000-0000-0000E5C20000}"/>
    <cellStyle name="常规 9 9 2 4 3 2" xfId="40650" xr:uid="{00000000-0005-0000-0000-0000E6C20000}"/>
    <cellStyle name="常规 9 9 2 4 4" xfId="28362" xr:uid="{00000000-0005-0000-0000-0000E7C20000}"/>
    <cellStyle name="常规 9 9 2 5" xfId="6858" xr:uid="{00000000-0005-0000-0000-0000E8C20000}"/>
    <cellStyle name="常规 9 9 2 5 2" xfId="19146" xr:uid="{00000000-0005-0000-0000-0000E9C20000}"/>
    <cellStyle name="常规 9 9 2 5 2 2" xfId="43722" xr:uid="{00000000-0005-0000-0000-0000EAC20000}"/>
    <cellStyle name="常规 9 9 2 5 3" xfId="31434" xr:uid="{00000000-0005-0000-0000-0000EBC20000}"/>
    <cellStyle name="常规 9 9 2 6" xfId="13002" xr:uid="{00000000-0005-0000-0000-0000ECC20000}"/>
    <cellStyle name="常规 9 9 2 6 2" xfId="37578" xr:uid="{00000000-0005-0000-0000-0000EDC20000}"/>
    <cellStyle name="常规 9 9 2 7" xfId="25290" xr:uid="{00000000-0005-0000-0000-0000EEC20000}"/>
    <cellStyle name="常规 9 9 3" xfId="1094" xr:uid="{00000000-0005-0000-0000-0000EFC20000}"/>
    <cellStyle name="常规 9 9 3 2" xfId="2630" xr:uid="{00000000-0005-0000-0000-0000F0C20000}"/>
    <cellStyle name="常规 9 9 3 2 2" xfId="5706" xr:uid="{00000000-0005-0000-0000-0000F1C20000}"/>
    <cellStyle name="常规 9 9 3 2 2 2" xfId="11850" xr:uid="{00000000-0005-0000-0000-0000F2C20000}"/>
    <cellStyle name="常规 9 9 3 2 2 2 2" xfId="24138" xr:uid="{00000000-0005-0000-0000-0000F3C20000}"/>
    <cellStyle name="常规 9 9 3 2 2 2 2 2" xfId="48714" xr:uid="{00000000-0005-0000-0000-0000F4C20000}"/>
    <cellStyle name="常规 9 9 3 2 2 2 3" xfId="36426" xr:uid="{00000000-0005-0000-0000-0000F5C20000}"/>
    <cellStyle name="常规 9 9 3 2 2 3" xfId="17994" xr:uid="{00000000-0005-0000-0000-0000F6C20000}"/>
    <cellStyle name="常规 9 9 3 2 2 3 2" xfId="42570" xr:uid="{00000000-0005-0000-0000-0000F7C20000}"/>
    <cellStyle name="常规 9 9 3 2 2 4" xfId="30282" xr:uid="{00000000-0005-0000-0000-0000F8C20000}"/>
    <cellStyle name="常规 9 9 3 2 3" xfId="8778" xr:uid="{00000000-0005-0000-0000-0000F9C20000}"/>
    <cellStyle name="常规 9 9 3 2 3 2" xfId="21066" xr:uid="{00000000-0005-0000-0000-0000FAC20000}"/>
    <cellStyle name="常规 9 9 3 2 3 2 2" xfId="45642" xr:uid="{00000000-0005-0000-0000-0000FBC20000}"/>
    <cellStyle name="常规 9 9 3 2 3 3" xfId="33354" xr:uid="{00000000-0005-0000-0000-0000FCC20000}"/>
    <cellStyle name="常规 9 9 3 2 4" xfId="14922" xr:uid="{00000000-0005-0000-0000-0000FDC20000}"/>
    <cellStyle name="常规 9 9 3 2 4 2" xfId="39498" xr:uid="{00000000-0005-0000-0000-0000FEC20000}"/>
    <cellStyle name="常规 9 9 3 2 5" xfId="27210" xr:uid="{00000000-0005-0000-0000-0000FFC20000}"/>
    <cellStyle name="常规 9 9 3 3" xfId="4170" xr:uid="{00000000-0005-0000-0000-000000C30000}"/>
    <cellStyle name="常规 9 9 3 3 2" xfId="10314" xr:uid="{00000000-0005-0000-0000-000001C30000}"/>
    <cellStyle name="常规 9 9 3 3 2 2" xfId="22602" xr:uid="{00000000-0005-0000-0000-000002C30000}"/>
    <cellStyle name="常规 9 9 3 3 2 2 2" xfId="47178" xr:uid="{00000000-0005-0000-0000-000003C30000}"/>
    <cellStyle name="常规 9 9 3 3 2 3" xfId="34890" xr:uid="{00000000-0005-0000-0000-000004C30000}"/>
    <cellStyle name="常规 9 9 3 3 3" xfId="16458" xr:uid="{00000000-0005-0000-0000-000005C30000}"/>
    <cellStyle name="常规 9 9 3 3 3 2" xfId="41034" xr:uid="{00000000-0005-0000-0000-000006C30000}"/>
    <cellStyle name="常规 9 9 3 3 4" xfId="28746" xr:uid="{00000000-0005-0000-0000-000007C30000}"/>
    <cellStyle name="常规 9 9 3 4" xfId="7242" xr:uid="{00000000-0005-0000-0000-000008C30000}"/>
    <cellStyle name="常规 9 9 3 4 2" xfId="19530" xr:uid="{00000000-0005-0000-0000-000009C30000}"/>
    <cellStyle name="常规 9 9 3 4 2 2" xfId="44106" xr:uid="{00000000-0005-0000-0000-00000AC30000}"/>
    <cellStyle name="常规 9 9 3 4 3" xfId="31818" xr:uid="{00000000-0005-0000-0000-00000BC30000}"/>
    <cellStyle name="常规 9 9 3 5" xfId="13386" xr:uid="{00000000-0005-0000-0000-00000CC30000}"/>
    <cellStyle name="常规 9 9 3 5 2" xfId="37962" xr:uid="{00000000-0005-0000-0000-00000DC30000}"/>
    <cellStyle name="常规 9 9 3 6" xfId="25674" xr:uid="{00000000-0005-0000-0000-00000EC30000}"/>
    <cellStyle name="常规 9 9 4" xfId="1862" xr:uid="{00000000-0005-0000-0000-00000FC30000}"/>
    <cellStyle name="常规 9 9 4 2" xfId="4938" xr:uid="{00000000-0005-0000-0000-000010C30000}"/>
    <cellStyle name="常规 9 9 4 2 2" xfId="11082" xr:uid="{00000000-0005-0000-0000-000011C30000}"/>
    <cellStyle name="常规 9 9 4 2 2 2" xfId="23370" xr:uid="{00000000-0005-0000-0000-000012C30000}"/>
    <cellStyle name="常规 9 9 4 2 2 2 2" xfId="47946" xr:uid="{00000000-0005-0000-0000-000013C30000}"/>
    <cellStyle name="常规 9 9 4 2 2 3" xfId="35658" xr:uid="{00000000-0005-0000-0000-000014C30000}"/>
    <cellStyle name="常规 9 9 4 2 3" xfId="17226" xr:uid="{00000000-0005-0000-0000-000015C30000}"/>
    <cellStyle name="常规 9 9 4 2 3 2" xfId="41802" xr:uid="{00000000-0005-0000-0000-000016C30000}"/>
    <cellStyle name="常规 9 9 4 2 4" xfId="29514" xr:uid="{00000000-0005-0000-0000-000017C30000}"/>
    <cellStyle name="常规 9 9 4 3" xfId="8010" xr:uid="{00000000-0005-0000-0000-000018C30000}"/>
    <cellStyle name="常规 9 9 4 3 2" xfId="20298" xr:uid="{00000000-0005-0000-0000-000019C30000}"/>
    <cellStyle name="常规 9 9 4 3 2 2" xfId="44874" xr:uid="{00000000-0005-0000-0000-00001AC30000}"/>
    <cellStyle name="常规 9 9 4 3 3" xfId="32586" xr:uid="{00000000-0005-0000-0000-00001BC30000}"/>
    <cellStyle name="常规 9 9 4 4" xfId="14154" xr:uid="{00000000-0005-0000-0000-00001CC30000}"/>
    <cellStyle name="常规 9 9 4 4 2" xfId="38730" xr:uid="{00000000-0005-0000-0000-00001DC30000}"/>
    <cellStyle name="常规 9 9 4 5" xfId="26442" xr:uid="{00000000-0005-0000-0000-00001EC30000}"/>
    <cellStyle name="常规 9 9 5" xfId="3402" xr:uid="{00000000-0005-0000-0000-00001FC30000}"/>
    <cellStyle name="常规 9 9 5 2" xfId="9546" xr:uid="{00000000-0005-0000-0000-000020C30000}"/>
    <cellStyle name="常规 9 9 5 2 2" xfId="21834" xr:uid="{00000000-0005-0000-0000-000021C30000}"/>
    <cellStyle name="常规 9 9 5 2 2 2" xfId="46410" xr:uid="{00000000-0005-0000-0000-000022C30000}"/>
    <cellStyle name="常规 9 9 5 2 3" xfId="34122" xr:uid="{00000000-0005-0000-0000-000023C30000}"/>
    <cellStyle name="常规 9 9 5 3" xfId="15690" xr:uid="{00000000-0005-0000-0000-000024C30000}"/>
    <cellStyle name="常规 9 9 5 3 2" xfId="40266" xr:uid="{00000000-0005-0000-0000-000025C30000}"/>
    <cellStyle name="常规 9 9 5 4" xfId="27978" xr:uid="{00000000-0005-0000-0000-000026C30000}"/>
    <cellStyle name="常规 9 9 6" xfId="6474" xr:uid="{00000000-0005-0000-0000-000027C30000}"/>
    <cellStyle name="常规 9 9 6 2" xfId="18762" xr:uid="{00000000-0005-0000-0000-000028C30000}"/>
    <cellStyle name="常规 9 9 6 2 2" xfId="43338" xr:uid="{00000000-0005-0000-0000-000029C30000}"/>
    <cellStyle name="常规 9 9 6 3" xfId="31050" xr:uid="{00000000-0005-0000-0000-00002AC30000}"/>
    <cellStyle name="常规 9 9 7" xfId="12618" xr:uid="{00000000-0005-0000-0000-00002BC30000}"/>
    <cellStyle name="常规 9 9 7 2" xfId="37194" xr:uid="{00000000-0005-0000-0000-00002CC30000}"/>
    <cellStyle name="常规 9 9 8" xfId="24906" xr:uid="{00000000-0005-0000-0000-00002DC30000}"/>
    <cellStyle name="宋体繁体潒慭n_x0002_" xfId="49970" xr:uid="{00000000-0005-0000-0000-00000C630000}"/>
    <cellStyle name="输入 2" xfId="49837" xr:uid="{00000000-0005-0000-0000-00005FC30000}"/>
    <cellStyle name="输入 2 2" xfId="49990" xr:uid="{00000000-0005-0000-0000-000060C30000}"/>
    <cellStyle name="输入 2 2 2" xfId="49998" xr:uid="{00000000-0005-0000-0000-000061C30000}"/>
    <cellStyle name="输入 2 3" xfId="50010" xr:uid="{00000000-0005-0000-0000-000062C30000}"/>
    <cellStyle name="输出 2" xfId="49836" xr:uid="{00000000-0005-0000-0000-000063C30000}"/>
    <cellStyle name="输出 2 2" xfId="49989" xr:uid="{00000000-0005-0000-0000-000064C30000}"/>
    <cellStyle name="输出 2 2 2" xfId="49997" xr:uid="{00000000-0005-0000-0000-000065C30000}"/>
    <cellStyle name="输出 2 3" xfId="50009" xr:uid="{00000000-0005-0000-0000-000066C30000}"/>
    <cellStyle name="쉼표" xfId="1" builtinId="3"/>
    <cellStyle name="쉼표 [0]" xfId="9" builtinId="6"/>
    <cellStyle name="쉼표 [0] 2" xfId="49771" xr:uid="{00000000-0005-0000-0000-0000ED620000}"/>
    <cellStyle name="쉼표 [0] 3" xfId="10" xr:uid="{00000000-0005-0000-0000-0000EE620000}"/>
    <cellStyle name="쉼표 2" xfId="34" xr:uid="{00000000-0005-0000-0000-0000EF620000}"/>
    <cellStyle name="스타일 1" xfId="49772" xr:uid="{00000000-0005-0000-0000-0000F0620000}"/>
    <cellStyle name="樣式 1" xfId="40" xr:uid="{00000000-0005-0000-0000-000044C30000}"/>
    <cellStyle name="样式 1" xfId="67" xr:uid="{00000000-0005-0000-0000-00003AC30000}"/>
    <cellStyle name="樣式 1 2" xfId="141" xr:uid="{00000000-0005-0000-0000-000045C30000}"/>
    <cellStyle name="樣式 1 3" xfId="162" xr:uid="{00000000-0005-0000-0000-000046C30000}"/>
    <cellStyle name="一般_00Q3902REV.1" xfId="49751" xr:uid="{00000000-0005-0000-0000-000001630000}"/>
    <cellStyle name="注释 2" xfId="49838" xr:uid="{00000000-0005-0000-0000-00004BC30000}"/>
    <cellStyle name="注释 2 2" xfId="49991" xr:uid="{00000000-0005-0000-0000-00004CC30000}"/>
    <cellStyle name="注释 2 2 2" xfId="50022" xr:uid="{00000000-0005-0000-0000-00004DC30000}"/>
    <cellStyle name="注释 2 3" xfId="50007" xr:uid="{00000000-0005-0000-0000-00004EC30000}"/>
    <cellStyle name="지정되지 않음" xfId="87" xr:uid="{00000000-0005-0000-0000-0000F1620000}"/>
    <cellStyle name="差 2" xfId="49811" xr:uid="{00000000-0005-0000-0000-00000D630000}"/>
    <cellStyle name="千分位[0]_ 白土" xfId="49966" xr:uid="{00000000-0005-0000-0000-000009630000}"/>
    <cellStyle name="千分位_ 白土" xfId="49967" xr:uid="{00000000-0005-0000-0000-00000A630000}"/>
    <cellStyle name="千位[0]_!!!GO" xfId="49968" xr:uid="{00000000-0005-0000-0000-000002630000}"/>
    <cellStyle name="千位_!!!GO" xfId="49969" xr:uid="{00000000-0005-0000-0000-000003630000}"/>
    <cellStyle name="千位分隔 2" xfId="37" xr:uid="{00000000-0005-0000-0000-000004630000}"/>
    <cellStyle name="千位分隔 2 2" xfId="90" xr:uid="{00000000-0005-0000-0000-000005630000}"/>
    <cellStyle name="千位分隔 2 3" xfId="49827" xr:uid="{00000000-0005-0000-0000-000006630000}"/>
    <cellStyle name="千位分隔 3" xfId="49828" xr:uid="{00000000-0005-0000-0000-000007630000}"/>
    <cellStyle name="千位分隔[0] 2" xfId="74" xr:uid="{00000000-0005-0000-0000-000008630000}"/>
    <cellStyle name="超链接 2" xfId="49819" xr:uid="{00000000-0005-0000-0000-00005CC30000}"/>
    <cellStyle name="超链接 3" xfId="49841" xr:uid="{00000000-0005-0000-0000-00005DC30000}"/>
    <cellStyle name="超链接 4" xfId="49975" xr:uid="{00000000-0005-0000-0000-00005EC30000}"/>
    <cellStyle name="콤마 [0]_††††† " xfId="49749" xr:uid="{00000000-0005-0000-0000-0000F2620000}"/>
    <cellStyle name="콤마_††††† " xfId="49750" xr:uid="{00000000-0005-0000-0000-0000F3620000}"/>
    <cellStyle name="通貨 [0.00]_Book2 グラフ 2" xfId="49762" xr:uid="{00000000-0005-0000-0000-000068C30000}"/>
    <cellStyle name="통화 2" xfId="50026" xr:uid="{00000000-0005-0000-0000-0000F4620000}"/>
    <cellStyle name="通貨_Book2 グラフ 2" xfId="49763" xr:uid="{00000000-0005-0000-0000-000069C30000}"/>
    <cellStyle name="标题 1 2" xfId="49806" xr:uid="{00000000-0005-0000-0000-000035C30000}"/>
    <cellStyle name="标题 2 2" xfId="49807" xr:uid="{00000000-0005-0000-0000-000036C30000}"/>
    <cellStyle name="标题 3 2" xfId="49808" xr:uid="{00000000-0005-0000-0000-000037C30000}"/>
    <cellStyle name="标题 4 2" xfId="49809" xr:uid="{00000000-0005-0000-0000-000038C30000}"/>
    <cellStyle name="标题 5" xfId="49810" xr:uid="{00000000-0005-0000-0000-000039C30000}"/>
    <cellStyle name="표준" xfId="0" builtinId="0"/>
    <cellStyle name="표준 2" xfId="11" xr:uid="{00000000-0005-0000-0000-0000F5620000}"/>
    <cellStyle name="標準 2" xfId="49755" xr:uid="{00000000-0005-0000-0000-00003FC30000}"/>
    <cellStyle name="표준 2 2" xfId="136" xr:uid="{00000000-0005-0000-0000-0000F6620000}"/>
    <cellStyle name="표준 2 3" xfId="157" xr:uid="{00000000-0005-0000-0000-0000F7620000}"/>
    <cellStyle name="표준 2 4" xfId="49773" xr:uid="{00000000-0005-0000-0000-0000F8620000}"/>
    <cellStyle name="표준 2 4 2" xfId="41" xr:uid="{00000000-0005-0000-0000-0000F9620000}"/>
    <cellStyle name="표준 2 4 2 2" xfId="142" xr:uid="{00000000-0005-0000-0000-0000FA620000}"/>
    <cellStyle name="표준 2 4 2 3" xfId="163" xr:uid="{00000000-0005-0000-0000-0000FB620000}"/>
    <cellStyle name="표준 2 5" xfId="35" xr:uid="{00000000-0005-0000-0000-0000FC620000}"/>
    <cellStyle name="표준 3" xfId="92" xr:uid="{00000000-0005-0000-0000-0000FD620000}"/>
    <cellStyle name="標準 3" xfId="49756" xr:uid="{00000000-0005-0000-0000-000040C30000}"/>
    <cellStyle name="표준 3 11" xfId="36" xr:uid="{00000000-0005-0000-0000-0000FE620000}"/>
    <cellStyle name="표준 3 11 2" xfId="137" xr:uid="{00000000-0005-0000-0000-0000FF620000}"/>
    <cellStyle name="표준 3 11 3" xfId="158" xr:uid="{00000000-0005-0000-0000-000000630000}"/>
    <cellStyle name="標準 3 2" xfId="49757" xr:uid="{00000000-0005-0000-0000-000041C30000}"/>
    <cellStyle name="標準 3 3" xfId="49758" xr:uid="{00000000-0005-0000-0000-000042C30000}"/>
    <cellStyle name="標準_0070コマツ小山ーAICCホイール２アイテム-YO" xfId="49964" xr:uid="{00000000-0005-0000-0000-000043C30000}"/>
    <cellStyle name="하이퍼링크" xfId="50027" builtinId="8"/>
    <cellStyle name="桁区切り [0.00]_Person" xfId="49752" xr:uid="{00000000-0005-0000-0000-00003BC30000}"/>
    <cellStyle name="桁区切り 3" xfId="49753" xr:uid="{00000000-0005-0000-0000-00003CC30000}"/>
    <cellStyle name="桁区切り_Person" xfId="49754" xr:uid="{00000000-0005-0000-0000-00003DC30000}"/>
    <cellStyle name="解释性文本 2" xfId="49824" xr:uid="{00000000-0005-0000-0000-000053C30000}"/>
    <cellStyle name="好 2" xfId="49820" xr:uid="{00000000-0005-0000-0000-00000B630000}"/>
    <cellStyle name="貨幣 [0]_00Q3902REV.1" xfId="49759" xr:uid="{00000000-0005-0000-0000-000059C30000}"/>
    <cellStyle name="貨幣[0]_BRE" xfId="49760" xr:uid="{00000000-0005-0000-0000-00005AC30000}"/>
    <cellStyle name="貨幣_00Q3902REV.1" xfId="49761" xr:uid="{00000000-0005-0000-0000-00005BC30000}"/>
    <cellStyle name="汇总 2" xfId="49821" xr:uid="{00000000-0005-0000-0000-000047C30000}"/>
    <cellStyle name="汇总 2 2" xfId="49987" xr:uid="{00000000-0005-0000-0000-000048C30000}"/>
    <cellStyle name="汇总 2 2 2" xfId="49995" xr:uid="{00000000-0005-0000-0000-000049C30000}"/>
    <cellStyle name="汇总 2 3" xfId="50004" xr:uid="{00000000-0005-0000-0000-00004AC30000}"/>
  </cellStyles>
  <dxfs count="4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6"/>
      </font>
      <fill>
        <patternFill patternType="none">
          <bgColor auto="1"/>
        </patternFill>
      </fill>
      <border>
        <top style="medium">
          <color theme="6"/>
        </top>
        <bottom/>
      </border>
    </dxf>
    <dxf>
      <font>
        <b/>
        <i val="0"/>
        <color theme="1" tint="0.499984740745262"/>
      </font>
      <border>
        <top style="medium">
          <color theme="6"/>
        </top>
        <bottom style="medium">
          <color theme="6"/>
        </bottom>
      </border>
    </dxf>
    <dxf>
      <font>
        <b/>
        <i val="0"/>
        <color theme="0"/>
      </font>
      <fill>
        <patternFill>
          <bgColor theme="6"/>
        </patternFill>
      </fill>
      <border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b/>
        <i val="0"/>
        <color theme="6"/>
      </font>
      <border>
        <left/>
        <right/>
        <top style="medium">
          <color theme="6"/>
        </top>
        <bottom/>
        <vertical style="thick">
          <color theme="0"/>
        </vertical>
        <horizontal/>
      </border>
    </dxf>
    <dxf>
      <font>
        <b val="0"/>
        <i val="0"/>
        <color theme="1" tint="0.499984740745262"/>
      </font>
      <fill>
        <patternFill patternType="none">
          <fgColor indexed="64"/>
          <bgColor auto="1"/>
        </patternFill>
      </fill>
      <border>
        <top style="medium">
          <color theme="6"/>
        </top>
        <bottom style="thin">
          <color theme="6"/>
        </bottom>
        <vertical style="thick">
          <color theme="0"/>
        </vertical>
      </border>
    </dxf>
    <dxf>
      <font>
        <b val="0"/>
        <i val="0"/>
        <color theme="0" tint="-0.34998626667073579"/>
      </font>
      <border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</dxfs>
  <tableStyles count="1" defaultTableStyle="TableStyleMedium2" defaultPivotStyle="PivotStyleLight16">
    <tableStyle name="Family Budget Cash Available 3" pivot="0" count="6" xr9:uid="{00000000-0011-0000-FFFF-FFFF00000000}">
      <tableStyleElement type="wholeTable" dxfId="43"/>
      <tableStyleElement type="headerRow" dxfId="42"/>
      <tableStyleElement type="totalRow" dxfId="41"/>
      <tableStyleElement type="firstColumn" dxfId="40"/>
      <tableStyleElement type="firstHeaderCell" dxfId="39"/>
      <tableStyleElement type="firstTotalCell" dxfId="38"/>
    </tableStyle>
  </tableStyles>
  <colors>
    <mruColors>
      <color rgb="FF0000FF"/>
      <color rgb="FFFFFFCC"/>
      <color rgb="FFCCE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worksheet" Target="worksheets/sheet25.xml"/><Relationship Id="rId39" Type="http://schemas.openxmlformats.org/officeDocument/2006/relationships/calcChain" Target="calcChain.xml"/><Relationship Id="rId21" Type="http://schemas.openxmlformats.org/officeDocument/2006/relationships/worksheet" Target="worksheets/sheet20.xml"/><Relationship Id="rId34" Type="http://schemas.openxmlformats.org/officeDocument/2006/relationships/worksheet" Target="worksheets/sheet3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worksheet" Target="worksheets/sheet24.xml"/><Relationship Id="rId33" Type="http://schemas.openxmlformats.org/officeDocument/2006/relationships/worksheet" Target="worksheets/sheet32.xml"/><Relationship Id="rId38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worksheet" Target="worksheets/sheet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worksheet" Target="worksheets/sheet23.xml"/><Relationship Id="rId32" Type="http://schemas.openxmlformats.org/officeDocument/2006/relationships/worksheet" Target="worksheets/sheet31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worksheet" Target="worksheets/sheet27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31" Type="http://schemas.openxmlformats.org/officeDocument/2006/relationships/worksheet" Target="worksheets/sheet3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worksheet" Target="worksheets/sheet26.xml"/><Relationship Id="rId30" Type="http://schemas.openxmlformats.org/officeDocument/2006/relationships/worksheet" Target="worksheets/sheet29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 P PLAN-2'!$B$76:$B$77</c:f>
              <c:strCache>
                <c:ptCount val="2"/>
                <c:pt idx="0">
                  <c:v>2) Mold Q'ty &amp; Cost</c:v>
                </c:pt>
                <c:pt idx="1">
                  <c:v>Industry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PLAN-2'!$B$78:$B$147</c:f>
              <c:numCache>
                <c:formatCode>General</c:formatCode>
                <c:ptCount val="70"/>
                <c:pt idx="0">
                  <c:v>0</c:v>
                </c:pt>
                <c:pt idx="13">
                  <c:v>0</c:v>
                </c:pt>
                <c:pt idx="6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58-426E-9A23-10900879AB3D}"/>
            </c:ext>
          </c:extLst>
        </c:ser>
        <c:ser>
          <c:idx val="1"/>
          <c:order val="1"/>
          <c:tx>
            <c:strRef>
              <c:f>'3. P PLAN-2'!$C$76:$C$77</c:f>
              <c:strCache>
                <c:ptCount val="2"/>
                <c:pt idx="0">
                  <c:v>2) Mold Q'ty &amp; Cost</c:v>
                </c:pt>
                <c:pt idx="1">
                  <c:v>Customer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PLAN-2'!$C$78:$C$147</c:f>
              <c:numCache>
                <c:formatCode>_(* #,##0_);_(* \(#,##0\);_(* "-"_);_(@_)</c:formatCode>
                <c:ptCount val="70"/>
                <c:pt idx="0">
                  <c:v>0</c:v>
                </c:pt>
                <c:pt idx="7">
                  <c:v>0</c:v>
                </c:pt>
                <c:pt idx="13">
                  <c:v>0</c:v>
                </c:pt>
                <c:pt idx="40">
                  <c:v>0</c:v>
                </c:pt>
                <c:pt idx="53">
                  <c:v>0</c:v>
                </c:pt>
                <c:pt idx="6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58-426E-9A23-10900879AB3D}"/>
            </c:ext>
          </c:extLst>
        </c:ser>
        <c:ser>
          <c:idx val="2"/>
          <c:order val="2"/>
          <c:tx>
            <c:strRef>
              <c:f>'3. P PLAN-2'!$D$76:$D$77</c:f>
              <c:strCache>
                <c:ptCount val="2"/>
                <c:pt idx="0">
                  <c:v>2) Mold Q'ty &amp; Cost</c:v>
                </c:pt>
                <c:pt idx="1">
                  <c:v>Categories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PLAN-2'!$D$78:$D$147</c:f>
              <c:numCache>
                <c:formatCode>General</c:formatCode>
                <c:ptCount val="70"/>
                <c:pt idx="0">
                  <c:v>0</c:v>
                </c:pt>
                <c:pt idx="7">
                  <c:v>0</c:v>
                </c:pt>
                <c:pt idx="13" formatCode="_(* #,##0_);_(* \(#,##0\);_(* &quot;-&quot;_);_(@_)">
                  <c:v>0</c:v>
                </c:pt>
                <c:pt idx="21" formatCode="_(* #,##0_);_(* \(#,##0\);_(* &quot;-&quot;_);_(@_)">
                  <c:v>0</c:v>
                </c:pt>
                <c:pt idx="40" formatCode="_(* #,##0_);_(* \(#,##0\);_(* &quot;-&quot;_);_(@_)">
                  <c:v>0</c:v>
                </c:pt>
                <c:pt idx="46" formatCode="_(* #,##0_);_(* \(#,##0\);_(* &quot;-&quot;_);_(@_)">
                  <c:v>0</c:v>
                </c:pt>
                <c:pt idx="52" formatCode="_(* #,##0_);_(* \(#,##0\);_(* &quot;-&quot;_);_(@_)">
                  <c:v>0</c:v>
                </c:pt>
                <c:pt idx="53" formatCode="_(* #,##0_);_(* \(#,##0\);_(* &quot;-&quot;_);_(@_)">
                  <c:v>0</c:v>
                </c:pt>
                <c:pt idx="56" formatCode="_(* #,##0_);_(* \(#,##0\);_(* &quot;-&quot;_);_(@_)">
                  <c:v>0</c:v>
                </c:pt>
                <c:pt idx="59" formatCode="_(* #,##0_);_(* \(#,##0\);_(* &quot;-&quot;_);_(@_)">
                  <c:v>0</c:v>
                </c:pt>
                <c:pt idx="60" formatCode="_(* #,##0_);_(* \(#,##0\);_(* &quot;-&quot;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58-426E-9A23-10900879AB3D}"/>
            </c:ext>
          </c:extLst>
        </c:ser>
        <c:ser>
          <c:idx val="3"/>
          <c:order val="3"/>
          <c:tx>
            <c:strRef>
              <c:f>'3. P PLAN-2'!$E$76:$E$77</c:f>
              <c:strCache>
                <c:ptCount val="2"/>
                <c:pt idx="0">
                  <c:v>2) Mold Q'ty &amp; Cost</c:v>
                </c:pt>
                <c:pt idx="1">
                  <c:v>No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PLAN-2'!$E$78:$E$147</c:f>
              <c:numCache>
                <c:formatCode>_(* #,##0_);_(* \(#,##0\);_(* "-"_);_(@_)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8</c:v>
                </c:pt>
                <c:pt idx="9">
                  <c:v>0</c:v>
                </c:pt>
                <c:pt idx="10">
                  <c:v>9</c:v>
                </c:pt>
                <c:pt idx="11">
                  <c:v>10</c:v>
                </c:pt>
                <c:pt idx="12">
                  <c:v>13</c:v>
                </c:pt>
                <c:pt idx="13">
                  <c:v>11</c:v>
                </c:pt>
                <c:pt idx="14">
                  <c:v>12</c:v>
                </c:pt>
                <c:pt idx="18">
                  <c:v>13</c:v>
                </c:pt>
                <c:pt idx="19">
                  <c:v>14</c:v>
                </c:pt>
                <c:pt idx="21">
                  <c:v>15</c:v>
                </c:pt>
                <c:pt idx="24">
                  <c:v>16</c:v>
                </c:pt>
                <c:pt idx="26">
                  <c:v>17</c:v>
                </c:pt>
                <c:pt idx="27">
                  <c:v>18</c:v>
                </c:pt>
                <c:pt idx="29">
                  <c:v>19</c:v>
                </c:pt>
                <c:pt idx="31">
                  <c:v>20</c:v>
                </c:pt>
                <c:pt idx="32">
                  <c:v>21</c:v>
                </c:pt>
                <c:pt idx="38">
                  <c:v>22</c:v>
                </c:pt>
                <c:pt idx="40">
                  <c:v>23</c:v>
                </c:pt>
                <c:pt idx="41">
                  <c:v>24</c:v>
                </c:pt>
                <c:pt idx="42">
                  <c:v>25</c:v>
                </c:pt>
                <c:pt idx="46">
                  <c:v>26</c:v>
                </c:pt>
                <c:pt idx="47">
                  <c:v>27</c:v>
                </c:pt>
                <c:pt idx="48">
                  <c:v>28</c:v>
                </c:pt>
                <c:pt idx="49">
                  <c:v>29</c:v>
                </c:pt>
                <c:pt idx="50">
                  <c:v>30</c:v>
                </c:pt>
                <c:pt idx="51">
                  <c:v>31</c:v>
                </c:pt>
                <c:pt idx="52">
                  <c:v>32</c:v>
                </c:pt>
                <c:pt idx="53">
                  <c:v>33</c:v>
                </c:pt>
                <c:pt idx="54">
                  <c:v>34</c:v>
                </c:pt>
                <c:pt idx="55">
                  <c:v>35</c:v>
                </c:pt>
                <c:pt idx="56">
                  <c:v>36</c:v>
                </c:pt>
                <c:pt idx="57">
                  <c:v>37</c:v>
                </c:pt>
                <c:pt idx="58">
                  <c:v>38</c:v>
                </c:pt>
                <c:pt idx="59">
                  <c:v>39</c:v>
                </c:pt>
                <c:pt idx="60">
                  <c:v>40</c:v>
                </c:pt>
                <c:pt idx="6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58-426E-9A23-10900879AB3D}"/>
            </c:ext>
          </c:extLst>
        </c:ser>
        <c:ser>
          <c:idx val="4"/>
          <c:order val="4"/>
          <c:tx>
            <c:strRef>
              <c:f>'3. P PLAN-2'!$F$76:$F$77</c:f>
              <c:strCache>
                <c:ptCount val="2"/>
                <c:pt idx="0">
                  <c:v>2) Mold Q'ty &amp; Cost</c:v>
                </c:pt>
                <c:pt idx="1">
                  <c:v>Model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PLAN-2'!$F$78:$F$147</c:f>
              <c:numCache>
                <c:formatCode>_(* #,##0_);_(* \(#,##0\);_(* "-"_);_(@_)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58-426E-9A23-10900879AB3D}"/>
            </c:ext>
          </c:extLst>
        </c:ser>
        <c:ser>
          <c:idx val="5"/>
          <c:order val="5"/>
          <c:tx>
            <c:strRef>
              <c:f>'3. P PLAN-2'!$G$76:$G$77</c:f>
              <c:strCache>
                <c:ptCount val="2"/>
                <c:pt idx="0">
                  <c:v>2) Mold Q'ty &amp; Cost</c:v>
                </c:pt>
                <c:pt idx="1">
                  <c:v>Cavity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PLAN-2'!$G$78:$G$147</c:f>
              <c:numCache>
                <c:formatCode>_(* #,##0_);_(* \(#,##0\);_(* "-"_);_(@_)</c:formatCode>
                <c:ptCount val="7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 formatCode="_-* #,##0_-;\-* #,##0_-;_-* &quot;-&quot;??_-;_-@_-">
                  <c:v>0</c:v>
                </c:pt>
                <c:pt idx="16" formatCode="_-* #,##0_-;\-* #,##0_-;_-* &quot;-&quot;??_-;_-@_-">
                  <c:v>0</c:v>
                </c:pt>
                <c:pt idx="17" formatCode="_-* #,##0_-;\-* #,##0_-;_-* &quot;-&quot;??_-;_-@_-">
                  <c:v>0</c:v>
                </c:pt>
                <c:pt idx="18" formatCode="_-* #,##0_-;\-* #,##0_-;_-* &quot;-&quot;??_-;_-@_-">
                  <c:v>1</c:v>
                </c:pt>
                <c:pt idx="19" formatCode="_-* #,##0_-;\-* #,##0_-;_-* &quot;-&quot;??_-;_-@_-">
                  <c:v>2</c:v>
                </c:pt>
                <c:pt idx="20" formatCode="_-* #,##0_-;\-* #,##0_-;_-* &quot;-&quot;??_-;_-@_-">
                  <c:v>0</c:v>
                </c:pt>
                <c:pt idx="21" formatCode="_-* #,##0_-;\-* #,##0_-;_-* &quot;-&quot;??_-;_-@_-">
                  <c:v>1</c:v>
                </c:pt>
                <c:pt idx="22" formatCode="_-* #,##0_-;\-* #,##0_-;_-* &quot;-&quot;??_-;_-@_-">
                  <c:v>0</c:v>
                </c:pt>
                <c:pt idx="23" formatCode="_-* #,##0_-;\-* #,##0_-;_-* &quot;-&quot;??_-;_-@_-">
                  <c:v>0</c:v>
                </c:pt>
                <c:pt idx="24" formatCode="_-* #,##0_-;\-* #,##0_-;_-* &quot;-&quot;??_-;_-@_-">
                  <c:v>1</c:v>
                </c:pt>
                <c:pt idx="25" formatCode="_-* #,##0_-;\-* #,##0_-;_-* &quot;-&quot;??_-;_-@_-">
                  <c:v>0</c:v>
                </c:pt>
                <c:pt idx="26" formatCode="_-* #,##0_-;\-* #,##0_-;_-* &quot;-&quot;??_-;_-@_-">
                  <c:v>1</c:v>
                </c:pt>
                <c:pt idx="27" formatCode="_-* #,##0_-;\-* #,##0_-;_-* &quot;-&quot;??_-;_-@_-">
                  <c:v>1</c:v>
                </c:pt>
                <c:pt idx="28" formatCode="_-* #,##0_-;\-* #,##0_-;_-* &quot;-&quot;??_-;_-@_-">
                  <c:v>0</c:v>
                </c:pt>
                <c:pt idx="29" formatCode="_-* #,##0_-;\-* #,##0_-;_-* &quot;-&quot;??_-;_-@_-">
                  <c:v>4</c:v>
                </c:pt>
                <c:pt idx="30" formatCode="_-* #,##0_-;\-* #,##0_-;_-* &quot;-&quot;??_-;_-@_-">
                  <c:v>0</c:v>
                </c:pt>
                <c:pt idx="31" formatCode="_-* #,##0_-;\-* #,##0_-;_-* &quot;-&quot;??_-;_-@_-">
                  <c:v>2</c:v>
                </c:pt>
                <c:pt idx="32" formatCode="_-* #,##0_-;\-* #,##0_-;_-* &quot;-&quot;??_-;_-@_-">
                  <c:v>4</c:v>
                </c:pt>
                <c:pt idx="33" formatCode="_-* #,##0_-;\-* #,##0_-;_-* &quot;-&quot;??_-;_-@_-">
                  <c:v>0</c:v>
                </c:pt>
                <c:pt idx="34" formatCode="_-* #,##0_-;\-* #,##0_-;_-* &quot;-&quot;??_-;_-@_-">
                  <c:v>0</c:v>
                </c:pt>
                <c:pt idx="35" formatCode="_-* #,##0_-;\-* #,##0_-;_-* &quot;-&quot;??_-;_-@_-">
                  <c:v>0</c:v>
                </c:pt>
                <c:pt idx="36" formatCode="_-* #,##0_-;\-* #,##0_-;_-* &quot;-&quot;??_-;_-@_-">
                  <c:v>0</c:v>
                </c:pt>
                <c:pt idx="37" formatCode="_-* #,##0_-;\-* #,##0_-;_-* &quot;-&quot;??_-;_-@_-">
                  <c:v>0</c:v>
                </c:pt>
                <c:pt idx="38" formatCode="_-* #,##0_-;\-* #,##0_-;_-* &quot;-&quot;??_-;_-@_-">
                  <c:v>4</c:v>
                </c:pt>
                <c:pt idx="39" formatCode="_-* #,##0_-;\-* #,##0_-;_-* &quot;-&quot;??_-;_-@_-">
                  <c:v>0</c:v>
                </c:pt>
                <c:pt idx="40" formatCode="_-* #,##0_-;\-* #,##0_-;_-* &quot;-&quot;??_-;_-@_-">
                  <c:v>4</c:v>
                </c:pt>
                <c:pt idx="41" formatCode="_-* #,##0_-;\-* #,##0_-;_-* &quot;-&quot;??_-;_-@_-">
                  <c:v>4</c:v>
                </c:pt>
                <c:pt idx="42" formatCode="_-* #,##0_-;\-* #,##0_-;_-* &quot;-&quot;??_-;_-@_-">
                  <c:v>4</c:v>
                </c:pt>
                <c:pt idx="43" formatCode="_-* #,##0_-;\-* #,##0_-;_-* &quot;-&quot;??_-;_-@_-">
                  <c:v>0</c:v>
                </c:pt>
                <c:pt idx="44" formatCode="_-* #,##0_-;\-* #,##0_-;_-* &quot;-&quot;??_-;_-@_-">
                  <c:v>0</c:v>
                </c:pt>
                <c:pt idx="45" formatCode="_-* #,##0_-;\-* #,##0_-;_-* &quot;-&quot;??_-;_-@_-">
                  <c:v>0</c:v>
                </c:pt>
                <c:pt idx="46" formatCode="_-* #,##0_-;\-* #,##0_-;_-* &quot;-&quot;??_-;_-@_-">
                  <c:v>2</c:v>
                </c:pt>
                <c:pt idx="47" formatCode="_-* #,##0_-;\-* #,##0_-;_-* &quot;-&quot;??_-;_-@_-">
                  <c:v>2</c:v>
                </c:pt>
                <c:pt idx="48" formatCode="_-* #,##0_-;\-* #,##0_-;_-* &quot;-&quot;??_-;_-@_-">
                  <c:v>2</c:v>
                </c:pt>
                <c:pt idx="49" formatCode="_-* #,##0_-;\-* #,##0_-;_-* &quot;-&quot;??_-;_-@_-">
                  <c:v>2</c:v>
                </c:pt>
                <c:pt idx="50" formatCode="_-* #,##0_-;\-* #,##0_-;_-* &quot;-&quot;??_-;_-@_-">
                  <c:v>1</c:v>
                </c:pt>
                <c:pt idx="51" formatCode="_-* #,##0_-;\-* #,##0_-;_-* &quot;-&quot;??_-;_-@_-">
                  <c:v>1</c:v>
                </c:pt>
                <c:pt idx="52" formatCode="_-* #,##0_-;\-* #,##0_-;_-* &quot;-&quot;??_-;_-@_-">
                  <c:v>2</c:v>
                </c:pt>
                <c:pt idx="53" formatCode="_-* #,##0_-;\-* #,##0_-;_-* &quot;-&quot;??_-;_-@_-">
                  <c:v>4</c:v>
                </c:pt>
                <c:pt idx="54" formatCode="_-* #,##0_-;\-* #,##0_-;_-* &quot;-&quot;??_-;_-@_-">
                  <c:v>4</c:v>
                </c:pt>
                <c:pt idx="55" formatCode="_-* #,##0_-;\-* #,##0_-;_-* &quot;-&quot;??_-;_-@_-">
                  <c:v>2</c:v>
                </c:pt>
                <c:pt idx="56" formatCode="_-* #,##0_-;\-* #,##0_-;_-* &quot;-&quot;??_-;_-@_-">
                  <c:v>2</c:v>
                </c:pt>
                <c:pt idx="57" formatCode="_-* #,##0_-;\-* #,##0_-;_-* &quot;-&quot;??_-;_-@_-">
                  <c:v>2</c:v>
                </c:pt>
                <c:pt idx="58" formatCode="_-* #,##0_-;\-* #,##0_-;_-* &quot;-&quot;??_-;_-@_-">
                  <c:v>0</c:v>
                </c:pt>
                <c:pt idx="59" formatCode="_-* #,##0_-;\-* #,##0_-;_-* &quot;-&quot;??_-;_-@_-">
                  <c:v>4</c:v>
                </c:pt>
                <c:pt idx="60" formatCode="_-* #,##0_-;\-* #,##0_-;_-* &quot;-&quot;??_-;_-@_-">
                  <c:v>0</c:v>
                </c:pt>
                <c:pt idx="61" formatCode="_-* #,##0_-;\-* #,##0_-;_-* &quot;-&quot;??_-;_-@_-">
                  <c:v>4</c:v>
                </c:pt>
                <c:pt idx="62" formatCode="_-* #,##0_-;\-* #,##0_-;_-* &quot;-&quot;??_-;_-@_-">
                  <c:v>0</c:v>
                </c:pt>
                <c:pt idx="63" formatCode="_-* #,##0_-;\-* #,##0_-;_-* &quot;-&quot;??_-;_-@_-">
                  <c:v>0</c:v>
                </c:pt>
                <c:pt idx="64" formatCode="_-* #,##0_-;\-* #,##0_-;_-* &quot;-&quot;??_-;_-@_-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958-426E-9A23-10900879AB3D}"/>
            </c:ext>
          </c:extLst>
        </c:ser>
        <c:ser>
          <c:idx val="6"/>
          <c:order val="6"/>
          <c:tx>
            <c:strRef>
              <c:f>'3. P PLAN-2'!$H$76:$H$77</c:f>
              <c:strCache>
                <c:ptCount val="2"/>
                <c:pt idx="0">
                  <c:v>2) Mold Q'ty &amp; Cost</c:v>
                </c:pt>
                <c:pt idx="1">
                  <c:v>G.Shots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PLAN-2'!$H$78:$H$147</c:f>
              <c:numCache>
                <c:formatCode>_(* #,##0_);_(* \(#,##0\);_(* "-"_);_(@_)</c:formatCode>
                <c:ptCount val="70"/>
                <c:pt idx="0">
                  <c:v>100000</c:v>
                </c:pt>
                <c:pt idx="1">
                  <c:v>100000</c:v>
                </c:pt>
                <c:pt idx="2">
                  <c:v>100000</c:v>
                </c:pt>
                <c:pt idx="3">
                  <c:v>100000</c:v>
                </c:pt>
                <c:pt idx="4">
                  <c:v>100000</c:v>
                </c:pt>
                <c:pt idx="5">
                  <c:v>100000</c:v>
                </c:pt>
                <c:pt idx="6">
                  <c:v>100000</c:v>
                </c:pt>
                <c:pt idx="7" formatCode="_-* #,##0_-;\-* #,##0_-;_-* &quot;-&quot;??_-;_-@_-">
                  <c:v>100000</c:v>
                </c:pt>
                <c:pt idx="8" formatCode="_-* #,##0_-;\-* #,##0_-;_-* &quot;-&quot;??_-;_-@_-">
                  <c:v>100000</c:v>
                </c:pt>
                <c:pt idx="9" formatCode="_-* #,##0_-;\-* #,##0_-;_-* &quot;-&quot;??_-;_-@_-">
                  <c:v>100000</c:v>
                </c:pt>
                <c:pt idx="10" formatCode="_-* #,##0_-;\-* #,##0_-;_-* &quot;-&quot;??_-;_-@_-">
                  <c:v>100000</c:v>
                </c:pt>
                <c:pt idx="11" formatCode="_-* #,##0_-;\-* #,##0_-;_-* &quot;-&quot;??_-;_-@_-">
                  <c:v>100000</c:v>
                </c:pt>
                <c:pt idx="12" formatCode="_-* #,##0_-;\-* #,##0_-;_-* &quot;-&quot;??_-;_-@_-">
                  <c:v>100000</c:v>
                </c:pt>
                <c:pt idx="13" formatCode="_-* #,##0_-;\-* #,##0_-;_-* &quot;-&quot;??_-;_-@_-">
                  <c:v>120000</c:v>
                </c:pt>
                <c:pt idx="14" formatCode="_-* #,##0_-;\-* #,##0_-;_-* &quot;-&quot;??_-;_-@_-">
                  <c:v>120000</c:v>
                </c:pt>
                <c:pt idx="15" formatCode="_-* #,##0_-;\-* #,##0_-;_-* &quot;-&quot;??_-;_-@_-">
                  <c:v>120000</c:v>
                </c:pt>
                <c:pt idx="16" formatCode="_-* #,##0_-;\-* #,##0_-;_-* &quot;-&quot;??_-;_-@_-">
                  <c:v>120000</c:v>
                </c:pt>
                <c:pt idx="17" formatCode="_-* #,##0_-;\-* #,##0_-;_-* &quot;-&quot;??_-;_-@_-">
                  <c:v>120000</c:v>
                </c:pt>
                <c:pt idx="18" formatCode="_-* #,##0_-;\-* #,##0_-;_-* &quot;-&quot;??_-;_-@_-">
                  <c:v>120000</c:v>
                </c:pt>
                <c:pt idx="19" formatCode="_-* #,##0_-;\-* #,##0_-;_-* &quot;-&quot;??_-;_-@_-">
                  <c:v>120000</c:v>
                </c:pt>
                <c:pt idx="20" formatCode="_-* #,##0_-;\-* #,##0_-;_-* &quot;-&quot;??_-;_-@_-">
                  <c:v>120000</c:v>
                </c:pt>
                <c:pt idx="21" formatCode="_-* #,##0_-;\-* #,##0_-;_-* &quot;-&quot;??_-;_-@_-">
                  <c:v>120000</c:v>
                </c:pt>
                <c:pt idx="22" formatCode="_-* #,##0_-;\-* #,##0_-;_-* &quot;-&quot;??_-;_-@_-">
                  <c:v>120000</c:v>
                </c:pt>
                <c:pt idx="23" formatCode="_-* #,##0_-;\-* #,##0_-;_-* &quot;-&quot;??_-;_-@_-">
                  <c:v>120000</c:v>
                </c:pt>
                <c:pt idx="24" formatCode="_-* #,##0_-;\-* #,##0_-;_-* &quot;-&quot;??_-;_-@_-">
                  <c:v>120000</c:v>
                </c:pt>
                <c:pt idx="25" formatCode="_-* #,##0_-;\-* #,##0_-;_-* &quot;-&quot;??_-;_-@_-">
                  <c:v>120000</c:v>
                </c:pt>
                <c:pt idx="26" formatCode="_-* #,##0_-;\-* #,##0_-;_-* &quot;-&quot;??_-;_-@_-">
                  <c:v>120000</c:v>
                </c:pt>
                <c:pt idx="27" formatCode="_-* #,##0_-;\-* #,##0_-;_-* &quot;-&quot;??_-;_-@_-">
                  <c:v>120000</c:v>
                </c:pt>
                <c:pt idx="28" formatCode="_-* #,##0_-;\-* #,##0_-;_-* &quot;-&quot;??_-;_-@_-">
                  <c:v>120000</c:v>
                </c:pt>
                <c:pt idx="29" formatCode="_-* #,##0_-;\-* #,##0_-;_-* &quot;-&quot;??_-;_-@_-">
                  <c:v>120000</c:v>
                </c:pt>
                <c:pt idx="30" formatCode="_-* #,##0_-;\-* #,##0_-;_-* &quot;-&quot;??_-;_-@_-">
                  <c:v>120000</c:v>
                </c:pt>
                <c:pt idx="31" formatCode="_-* #,##0_-;\-* #,##0_-;_-* &quot;-&quot;??_-;_-@_-">
                  <c:v>120000</c:v>
                </c:pt>
                <c:pt idx="32" formatCode="_-* #,##0_-;\-* #,##0_-;_-* &quot;-&quot;??_-;_-@_-">
                  <c:v>120000</c:v>
                </c:pt>
                <c:pt idx="33" formatCode="_-* #,##0_-;\-* #,##0_-;_-* &quot;-&quot;??_-;_-@_-">
                  <c:v>120000</c:v>
                </c:pt>
                <c:pt idx="34" formatCode="_-* #,##0_-;\-* #,##0_-;_-* &quot;-&quot;??_-;_-@_-">
                  <c:v>120000</c:v>
                </c:pt>
                <c:pt idx="35" formatCode="_-* #,##0_-;\-* #,##0_-;_-* &quot;-&quot;??_-;_-@_-">
                  <c:v>120000</c:v>
                </c:pt>
                <c:pt idx="36" formatCode="_-* #,##0_-;\-* #,##0_-;_-* &quot;-&quot;??_-;_-@_-">
                  <c:v>120000</c:v>
                </c:pt>
                <c:pt idx="37" formatCode="_-* #,##0_-;\-* #,##0_-;_-* &quot;-&quot;??_-;_-@_-">
                  <c:v>120000</c:v>
                </c:pt>
                <c:pt idx="38" formatCode="_-* #,##0_-;\-* #,##0_-;_-* &quot;-&quot;??_-;_-@_-">
                  <c:v>120000</c:v>
                </c:pt>
                <c:pt idx="39" formatCode="_-* #,##0_-;\-* #,##0_-;_-* &quot;-&quot;??_-;_-@_-">
                  <c:v>120000</c:v>
                </c:pt>
                <c:pt idx="40" formatCode="_-* #,##0_-;\-* #,##0_-;_-* &quot;-&quot;??_-;_-@_-">
                  <c:v>100000</c:v>
                </c:pt>
                <c:pt idx="41" formatCode="_-* #,##0_-;\-* #,##0_-;_-* &quot;-&quot;??_-;_-@_-">
                  <c:v>100000</c:v>
                </c:pt>
                <c:pt idx="42" formatCode="_-* #,##0_-;\-* #,##0_-;_-* &quot;-&quot;??_-;_-@_-">
                  <c:v>100000</c:v>
                </c:pt>
                <c:pt idx="43" formatCode="_-* #,##0_-;\-* #,##0_-;_-* &quot;-&quot;??_-;_-@_-">
                  <c:v>100000</c:v>
                </c:pt>
                <c:pt idx="44" formatCode="_-* #,##0_-;\-* #,##0_-;_-* &quot;-&quot;??_-;_-@_-">
                  <c:v>100000</c:v>
                </c:pt>
                <c:pt idx="45" formatCode="_-* #,##0_-;\-* #,##0_-;_-* &quot;-&quot;??_-;_-@_-">
                  <c:v>100000</c:v>
                </c:pt>
                <c:pt idx="46" formatCode="_-* #,##0_-;\-* #,##0_-;_-* &quot;-&quot;??_-;_-@_-">
                  <c:v>100000</c:v>
                </c:pt>
                <c:pt idx="47" formatCode="_-* #,##0_-;\-* #,##0_-;_-* &quot;-&quot;??_-;_-@_-">
                  <c:v>100000</c:v>
                </c:pt>
                <c:pt idx="48" formatCode="_-* #,##0_-;\-* #,##0_-;_-* &quot;-&quot;??_-;_-@_-">
                  <c:v>100000</c:v>
                </c:pt>
                <c:pt idx="49" formatCode="_-* #,##0_-;\-* #,##0_-;_-* &quot;-&quot;??_-;_-@_-">
                  <c:v>100000</c:v>
                </c:pt>
                <c:pt idx="50" formatCode="_-* #,##0_-;\-* #,##0_-;_-* &quot;-&quot;??_-;_-@_-">
                  <c:v>100000</c:v>
                </c:pt>
                <c:pt idx="51" formatCode="_-* #,##0_-;\-* #,##0_-;_-* &quot;-&quot;??_-;_-@_-">
                  <c:v>100000</c:v>
                </c:pt>
                <c:pt idx="52" formatCode="_-* #,##0_-;\-* #,##0_-;_-* &quot;-&quot;??_-;_-@_-">
                  <c:v>100000</c:v>
                </c:pt>
                <c:pt idx="53" formatCode="_-* #,##0_-;\-* #,##0_-;_-* &quot;-&quot;??_-;_-@_-">
                  <c:v>100000</c:v>
                </c:pt>
                <c:pt idx="54" formatCode="_-* #,##0_-;\-* #,##0_-;_-* &quot;-&quot;??_-;_-@_-">
                  <c:v>100000</c:v>
                </c:pt>
                <c:pt idx="55" formatCode="_-* #,##0_-;\-* #,##0_-;_-* &quot;-&quot;??_-;_-@_-">
                  <c:v>100000</c:v>
                </c:pt>
                <c:pt idx="56" formatCode="_-* #,##0_-;\-* #,##0_-;_-* &quot;-&quot;??_-;_-@_-">
                  <c:v>100000</c:v>
                </c:pt>
                <c:pt idx="57" formatCode="_-* #,##0_-;\-* #,##0_-;_-* &quot;-&quot;??_-;_-@_-">
                  <c:v>100000</c:v>
                </c:pt>
                <c:pt idx="58" formatCode="_-* #,##0_-;\-* #,##0_-;_-* &quot;-&quot;??_-;_-@_-">
                  <c:v>100000</c:v>
                </c:pt>
                <c:pt idx="59" formatCode="_-* #,##0_-;\-* #,##0_-;_-* &quot;-&quot;??_-;_-@_-">
                  <c:v>100000</c:v>
                </c:pt>
                <c:pt idx="60" formatCode="_-* #,##0_-;\-* #,##0_-;_-* &quot;-&quot;??_-;_-@_-">
                  <c:v>100000</c:v>
                </c:pt>
                <c:pt idx="61" formatCode="_-* #,##0_-;\-* #,##0_-;_-* &quot;-&quot;??_-;_-@_-">
                  <c:v>100000</c:v>
                </c:pt>
                <c:pt idx="62" formatCode="_-* #,##0_-;\-* #,##0_-;_-* &quot;-&quot;??_-;_-@_-">
                  <c:v>100000</c:v>
                </c:pt>
                <c:pt idx="63" formatCode="_-* #,##0_-;\-* #,##0_-;_-* &quot;-&quot;??_-;_-@_-">
                  <c:v>100000</c:v>
                </c:pt>
                <c:pt idx="64" formatCode="_-* #,##0_-;\-* #,##0_-;_-* &quot;-&quot;??_-;_-@_-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58-426E-9A23-10900879AB3D}"/>
            </c:ext>
          </c:extLst>
        </c:ser>
        <c:ser>
          <c:idx val="7"/>
          <c:order val="7"/>
          <c:tx>
            <c:strRef>
              <c:f>'3. P PLAN-2'!$I$76:$I$77</c:f>
              <c:strCache>
                <c:ptCount val="2"/>
                <c:pt idx="0">
                  <c:v>2) Mold Q'ty &amp; Cost</c:v>
                </c:pt>
                <c:pt idx="1">
                  <c:v> Mold/Year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PLAN-2'!$I$78:$I$147</c:f>
              <c:numCache>
                <c:formatCode>_-* #,##0_-;\-* #,##0_-;_-* "-"??_-;_-@_-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6">
                  <c:v>0</c:v>
                </c:pt>
                <c:pt idx="67" formatCode="_(* #,##0_);_(* \(#,##0\);_(* &quot;-&quot;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958-426E-9A23-10900879AB3D}"/>
            </c:ext>
          </c:extLst>
        </c:ser>
        <c:ser>
          <c:idx val="8"/>
          <c:order val="8"/>
          <c:tx>
            <c:strRef>
              <c:f>'3. P PLAN-2'!$J$76:$J$77</c:f>
              <c:strCache>
                <c:ptCount val="2"/>
                <c:pt idx="0">
                  <c:v>2) Mold Q'ty &amp; Cost</c:v>
                </c:pt>
                <c:pt idx="1">
                  <c:v> Mold T-Cost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PLAN-2'!$J$78:$J$147</c:f>
              <c:numCache>
                <c:formatCode>_-[$$-409]* #,##0_ ;_-[$$-409]* \-#,##0\ ;_-[$$-409]* "-"??_ ;_-@_ </c:formatCode>
                <c:ptCount val="70"/>
                <c:pt idx="0">
                  <c:v>19000</c:v>
                </c:pt>
                <c:pt idx="1">
                  <c:v>19000</c:v>
                </c:pt>
                <c:pt idx="2">
                  <c:v>19000</c:v>
                </c:pt>
                <c:pt idx="3">
                  <c:v>19000</c:v>
                </c:pt>
                <c:pt idx="4">
                  <c:v>19000</c:v>
                </c:pt>
                <c:pt idx="5">
                  <c:v>19000</c:v>
                </c:pt>
                <c:pt idx="6">
                  <c:v>19000</c:v>
                </c:pt>
                <c:pt idx="7">
                  <c:v>19000</c:v>
                </c:pt>
                <c:pt idx="8">
                  <c:v>24000</c:v>
                </c:pt>
                <c:pt idx="9">
                  <c:v>24000</c:v>
                </c:pt>
                <c:pt idx="10">
                  <c:v>24000</c:v>
                </c:pt>
                <c:pt idx="11">
                  <c:v>24000</c:v>
                </c:pt>
                <c:pt idx="12">
                  <c:v>24000</c:v>
                </c:pt>
                <c:pt idx="13">
                  <c:v>0</c:v>
                </c:pt>
                <c:pt idx="14">
                  <c:v>19000</c:v>
                </c:pt>
                <c:pt idx="15">
                  <c:v>24000</c:v>
                </c:pt>
                <c:pt idx="16">
                  <c:v>24000</c:v>
                </c:pt>
                <c:pt idx="17">
                  <c:v>24000</c:v>
                </c:pt>
                <c:pt idx="18">
                  <c:v>24000</c:v>
                </c:pt>
                <c:pt idx="19">
                  <c:v>18000</c:v>
                </c:pt>
                <c:pt idx="20">
                  <c:v>18000</c:v>
                </c:pt>
                <c:pt idx="21">
                  <c:v>18000</c:v>
                </c:pt>
                <c:pt idx="22">
                  <c:v>16900</c:v>
                </c:pt>
                <c:pt idx="23">
                  <c:v>20000</c:v>
                </c:pt>
                <c:pt idx="24">
                  <c:v>20000</c:v>
                </c:pt>
                <c:pt idx="25">
                  <c:v>20000</c:v>
                </c:pt>
                <c:pt idx="26">
                  <c:v>20000</c:v>
                </c:pt>
                <c:pt idx="27">
                  <c:v>17000</c:v>
                </c:pt>
                <c:pt idx="28">
                  <c:v>17000</c:v>
                </c:pt>
                <c:pt idx="29">
                  <c:v>17000</c:v>
                </c:pt>
                <c:pt idx="30">
                  <c:v>17000</c:v>
                </c:pt>
                <c:pt idx="31">
                  <c:v>18000</c:v>
                </c:pt>
                <c:pt idx="32">
                  <c:v>17000</c:v>
                </c:pt>
                <c:pt idx="33">
                  <c:v>17000</c:v>
                </c:pt>
                <c:pt idx="34">
                  <c:v>18000</c:v>
                </c:pt>
                <c:pt idx="35">
                  <c:v>17000</c:v>
                </c:pt>
                <c:pt idx="36">
                  <c:v>17000</c:v>
                </c:pt>
                <c:pt idx="37">
                  <c:v>17000</c:v>
                </c:pt>
                <c:pt idx="38">
                  <c:v>17000</c:v>
                </c:pt>
                <c:pt idx="39">
                  <c:v>17000</c:v>
                </c:pt>
                <c:pt idx="40">
                  <c:v>17000</c:v>
                </c:pt>
                <c:pt idx="41">
                  <c:v>18000</c:v>
                </c:pt>
                <c:pt idx="42">
                  <c:v>18000</c:v>
                </c:pt>
                <c:pt idx="43">
                  <c:v>18000</c:v>
                </c:pt>
                <c:pt idx="44">
                  <c:v>18000</c:v>
                </c:pt>
                <c:pt idx="45">
                  <c:v>18000</c:v>
                </c:pt>
                <c:pt idx="46">
                  <c:v>18000</c:v>
                </c:pt>
                <c:pt idx="47">
                  <c:v>17000</c:v>
                </c:pt>
                <c:pt idx="48">
                  <c:v>17000</c:v>
                </c:pt>
                <c:pt idx="49">
                  <c:v>17000</c:v>
                </c:pt>
                <c:pt idx="50">
                  <c:v>17000</c:v>
                </c:pt>
                <c:pt idx="51">
                  <c:v>17000</c:v>
                </c:pt>
                <c:pt idx="52">
                  <c:v>17000</c:v>
                </c:pt>
                <c:pt idx="53">
                  <c:v>17000</c:v>
                </c:pt>
                <c:pt idx="54">
                  <c:v>18000</c:v>
                </c:pt>
                <c:pt idx="55">
                  <c:v>18000</c:v>
                </c:pt>
                <c:pt idx="56">
                  <c:v>18000</c:v>
                </c:pt>
                <c:pt idx="57">
                  <c:v>20000</c:v>
                </c:pt>
                <c:pt idx="58">
                  <c:v>20000</c:v>
                </c:pt>
                <c:pt idx="59">
                  <c:v>12000</c:v>
                </c:pt>
                <c:pt idx="60">
                  <c:v>12000</c:v>
                </c:pt>
                <c:pt idx="61">
                  <c:v>19000</c:v>
                </c:pt>
                <c:pt idx="62">
                  <c:v>20000</c:v>
                </c:pt>
                <c:pt idx="63">
                  <c:v>20000</c:v>
                </c:pt>
                <c:pt idx="64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958-426E-9A23-10900879AB3D}"/>
            </c:ext>
          </c:extLst>
        </c:ser>
        <c:ser>
          <c:idx val="9"/>
          <c:order val="9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958-426E-9A23-10900879AB3D}"/>
            </c:ext>
          </c:extLst>
        </c:ser>
        <c:ser>
          <c:idx val="10"/>
          <c:order val="10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958-426E-9A23-10900879AB3D}"/>
            </c:ext>
          </c:extLst>
        </c:ser>
        <c:ser>
          <c:idx val="11"/>
          <c:order val="11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958-426E-9A23-10900879AB3D}"/>
            </c:ext>
          </c:extLst>
        </c:ser>
        <c:ser>
          <c:idx val="12"/>
          <c:order val="12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58-426E-9A23-10900879AB3D}"/>
            </c:ext>
          </c:extLst>
        </c:ser>
        <c:ser>
          <c:idx val="13"/>
          <c:order val="13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958-426E-9A23-10900879AB3D}"/>
            </c:ext>
          </c:extLst>
        </c:ser>
        <c:ser>
          <c:idx val="14"/>
          <c:order val="14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958-426E-9A23-10900879AB3D}"/>
            </c:ext>
          </c:extLst>
        </c:ser>
        <c:ser>
          <c:idx val="15"/>
          <c:order val="15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958-426E-9A23-10900879AB3D}"/>
            </c:ext>
          </c:extLst>
        </c:ser>
        <c:ser>
          <c:idx val="16"/>
          <c:order val="16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958-426E-9A23-10900879AB3D}"/>
            </c:ext>
          </c:extLst>
        </c:ser>
        <c:ser>
          <c:idx val="17"/>
          <c:order val="17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958-426E-9A23-10900879AB3D}"/>
            </c:ext>
          </c:extLst>
        </c:ser>
        <c:ser>
          <c:idx val="18"/>
          <c:order val="18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958-426E-9A23-10900879AB3D}"/>
            </c:ext>
          </c:extLst>
        </c:ser>
        <c:ser>
          <c:idx val="19"/>
          <c:order val="19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958-426E-9A23-10900879AB3D}"/>
            </c:ext>
          </c:extLst>
        </c:ser>
        <c:ser>
          <c:idx val="20"/>
          <c:order val="20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958-426E-9A23-10900879AB3D}"/>
            </c:ext>
          </c:extLst>
        </c:ser>
        <c:ser>
          <c:idx val="21"/>
          <c:order val="21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958-426E-9A23-10900879AB3D}"/>
            </c:ext>
          </c:extLst>
        </c:ser>
        <c:ser>
          <c:idx val="22"/>
          <c:order val="22"/>
          <c:tx>
            <c:strRef>
              <c:f>'3. P PLAN-2'!$K$76:$K$77</c:f>
              <c:strCache>
                <c:ptCount val="2"/>
                <c:pt idx="0">
                  <c:v>2) Mold Q'ty &amp; Cost</c:v>
                </c:pt>
                <c:pt idx="1">
                  <c:v> Mold/Year 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PLAN-2'!$K$78:$K$147</c:f>
              <c:numCache>
                <c:formatCode>_(* #,##0_);_(* \(#,##0\);_(* "-"_);_(@_)</c:formatCode>
                <c:ptCount val="70"/>
                <c:pt idx="0">
                  <c:v>1</c:v>
                </c:pt>
                <c:pt idx="1">
                  <c:v>67</c:v>
                </c:pt>
                <c:pt idx="2">
                  <c:v>2</c:v>
                </c:pt>
                <c:pt idx="3">
                  <c:v>3</c:v>
                </c:pt>
                <c:pt idx="4">
                  <c:v>30</c:v>
                </c:pt>
                <c:pt idx="5">
                  <c:v>7</c:v>
                </c:pt>
                <c:pt idx="6">
                  <c:v>5</c:v>
                </c:pt>
                <c:pt idx="7">
                  <c:v>3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6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  <c:pt idx="25">
                  <c:v>0</c:v>
                </c:pt>
                <c:pt idx="26">
                  <c:v>1</c:v>
                </c:pt>
                <c:pt idx="27">
                  <c:v>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4</c:v>
                </c:pt>
                <c:pt idx="47">
                  <c:v>6</c:v>
                </c:pt>
                <c:pt idx="48">
                  <c:v>0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6</c:v>
                </c:pt>
                <c:pt idx="53">
                  <c:v>3</c:v>
                </c:pt>
                <c:pt idx="54">
                  <c:v>2</c:v>
                </c:pt>
                <c:pt idx="55">
                  <c:v>7</c:v>
                </c:pt>
                <c:pt idx="56">
                  <c:v>4</c:v>
                </c:pt>
                <c:pt idx="57">
                  <c:v>4</c:v>
                </c:pt>
                <c:pt idx="58">
                  <c:v>0</c:v>
                </c:pt>
                <c:pt idx="59">
                  <c:v>9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6">
                  <c:v>0</c:v>
                </c:pt>
                <c:pt idx="67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958-426E-9A23-10900879AB3D}"/>
            </c:ext>
          </c:extLst>
        </c:ser>
        <c:ser>
          <c:idx val="23"/>
          <c:order val="23"/>
          <c:tx>
            <c:strRef>
              <c:f>'3. P PLAN-2'!$L$76:$L$77</c:f>
              <c:strCache>
                <c:ptCount val="2"/>
                <c:pt idx="0">
                  <c:v>2) Mold Q'ty &amp; Cost</c:v>
                </c:pt>
                <c:pt idx="1">
                  <c:v> Jan.26 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PLAN-2'!$L$78:$L$147</c:f>
              <c:numCache>
                <c:formatCode>_(* #,##0_);_(* \(#,##0\);_(* "-"_);_(@_)</c:formatCode>
                <c:ptCount val="70"/>
                <c:pt idx="1">
                  <c:v>4</c:v>
                </c:pt>
                <c:pt idx="18">
                  <c:v>1</c:v>
                </c:pt>
                <c:pt idx="19">
                  <c:v>1</c:v>
                </c:pt>
                <c:pt idx="22">
                  <c:v>1</c:v>
                </c:pt>
                <c:pt idx="30">
                  <c:v>1</c:v>
                </c:pt>
                <c:pt idx="33">
                  <c:v>1</c:v>
                </c:pt>
                <c:pt idx="35">
                  <c:v>1</c:v>
                </c:pt>
                <c:pt idx="38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52">
                  <c:v>1</c:v>
                </c:pt>
                <c:pt idx="55">
                  <c:v>1</c:v>
                </c:pt>
                <c:pt idx="56">
                  <c:v>1</c:v>
                </c:pt>
                <c:pt idx="59">
                  <c:v>1</c:v>
                </c:pt>
                <c:pt idx="60">
                  <c:v>1</c:v>
                </c:pt>
                <c:pt idx="65">
                  <c:v>19</c:v>
                </c:pt>
                <c:pt idx="67">
                  <c:v>19</c:v>
                </c:pt>
                <c:pt idx="68">
                  <c:v>8</c:v>
                </c:pt>
                <c:pt idx="6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958-426E-9A23-10900879AB3D}"/>
            </c:ext>
          </c:extLst>
        </c:ser>
        <c:ser>
          <c:idx val="24"/>
          <c:order val="24"/>
          <c:tx>
            <c:strRef>
              <c:f>'3. P PLAN-2'!$M$76:$M$77</c:f>
              <c:strCache>
                <c:ptCount val="2"/>
                <c:pt idx="0">
                  <c:v>2) Mold Q'ty &amp; Cost</c:v>
                </c:pt>
                <c:pt idx="1">
                  <c:v> Feb.26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PLAN-2'!$M$78:$M$147</c:f>
              <c:numCache>
                <c:formatCode>_(* #,##0_);_(* \(#,##0\);_(* "-"_);_(@_)</c:formatCode>
                <c:ptCount val="70"/>
                <c:pt idx="1">
                  <c:v>4</c:v>
                </c:pt>
                <c:pt idx="25">
                  <c:v>1</c:v>
                </c:pt>
                <c:pt idx="27">
                  <c:v>1</c:v>
                </c:pt>
                <c:pt idx="28">
                  <c:v>1</c:v>
                </c:pt>
                <c:pt idx="39">
                  <c:v>1</c:v>
                </c:pt>
                <c:pt idx="41">
                  <c:v>1</c:v>
                </c:pt>
                <c:pt idx="52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65">
                  <c:v>13</c:v>
                </c:pt>
                <c:pt idx="66">
                  <c:v>0</c:v>
                </c:pt>
                <c:pt idx="67">
                  <c:v>13</c:v>
                </c:pt>
                <c:pt idx="68">
                  <c:v>8</c:v>
                </c:pt>
                <c:pt idx="6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58-426E-9A23-10900879AB3D}"/>
            </c:ext>
          </c:extLst>
        </c:ser>
        <c:ser>
          <c:idx val="25"/>
          <c:order val="25"/>
          <c:tx>
            <c:strRef>
              <c:f>'3. P PLAN-2'!$N$76:$N$77</c:f>
              <c:strCache>
                <c:ptCount val="2"/>
                <c:pt idx="0">
                  <c:v>2) Mold Q'ty &amp; Cost</c:v>
                </c:pt>
                <c:pt idx="1">
                  <c:v> Mar.26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PLAN-2'!$N$78:$N$147</c:f>
              <c:numCache>
                <c:formatCode>_(* #,##0_);_(* \(#,##0\);_(* "-"_);_(@_)</c:formatCode>
                <c:ptCount val="70"/>
                <c:pt idx="1">
                  <c:v>4</c:v>
                </c:pt>
                <c:pt idx="4">
                  <c:v>2</c:v>
                </c:pt>
                <c:pt idx="47">
                  <c:v>1</c:v>
                </c:pt>
                <c:pt idx="48">
                  <c:v>1</c:v>
                </c:pt>
                <c:pt idx="52">
                  <c:v>1</c:v>
                </c:pt>
                <c:pt idx="54">
                  <c:v>1</c:v>
                </c:pt>
                <c:pt idx="55">
                  <c:v>1</c:v>
                </c:pt>
                <c:pt idx="59">
                  <c:v>1</c:v>
                </c:pt>
                <c:pt idx="65">
                  <c:v>12</c:v>
                </c:pt>
                <c:pt idx="66">
                  <c:v>0</c:v>
                </c:pt>
                <c:pt idx="67">
                  <c:v>12</c:v>
                </c:pt>
                <c:pt idx="68">
                  <c:v>8</c:v>
                </c:pt>
                <c:pt idx="6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958-426E-9A23-10900879AB3D}"/>
            </c:ext>
          </c:extLst>
        </c:ser>
        <c:ser>
          <c:idx val="26"/>
          <c:order val="26"/>
          <c:tx>
            <c:strRef>
              <c:f>'3. P PLAN-2'!$O$76:$O$77</c:f>
              <c:strCache>
                <c:ptCount val="2"/>
                <c:pt idx="0">
                  <c:v>2) Mold Q'ty &amp; Cost</c:v>
                </c:pt>
                <c:pt idx="1">
                  <c:v> Apr.26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PLAN-2'!$O$78:$O$147</c:f>
              <c:numCache>
                <c:formatCode>_(* #,##0_);_(* \(#,##0\);_(* "-"_);_(@_)</c:formatCode>
                <c:ptCount val="70"/>
                <c:pt idx="1">
                  <c:v>4</c:v>
                </c:pt>
                <c:pt idx="4">
                  <c:v>3</c:v>
                </c:pt>
                <c:pt idx="47">
                  <c:v>1</c:v>
                </c:pt>
                <c:pt idx="48">
                  <c:v>1</c:v>
                </c:pt>
                <c:pt idx="52">
                  <c:v>1</c:v>
                </c:pt>
                <c:pt idx="53">
                  <c:v>1</c:v>
                </c:pt>
                <c:pt idx="59">
                  <c:v>1</c:v>
                </c:pt>
                <c:pt idx="65">
                  <c:v>12</c:v>
                </c:pt>
                <c:pt idx="66">
                  <c:v>0</c:v>
                </c:pt>
                <c:pt idx="67">
                  <c:v>12</c:v>
                </c:pt>
                <c:pt idx="68">
                  <c:v>8</c:v>
                </c:pt>
                <c:pt idx="6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958-426E-9A23-10900879AB3D}"/>
            </c:ext>
          </c:extLst>
        </c:ser>
        <c:ser>
          <c:idx val="27"/>
          <c:order val="27"/>
          <c:tx>
            <c:strRef>
              <c:f>'3. P PLAN-2'!$P$76:$P$77</c:f>
              <c:strCache>
                <c:ptCount val="2"/>
                <c:pt idx="0">
                  <c:v>2) Mold Q'ty &amp; Cost</c:v>
                </c:pt>
                <c:pt idx="1">
                  <c:v> May.26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PLAN-2'!$P$78:$P$147</c:f>
              <c:numCache>
                <c:formatCode>_(* #,##0_);_(* \(#,##0\);_(* "-"_);_(@_)</c:formatCode>
                <c:ptCount val="70"/>
                <c:pt idx="1">
                  <c:v>4</c:v>
                </c:pt>
                <c:pt idx="4">
                  <c:v>3</c:v>
                </c:pt>
                <c:pt idx="41">
                  <c:v>1</c:v>
                </c:pt>
                <c:pt idx="47">
                  <c:v>1</c:v>
                </c:pt>
                <c:pt idx="48">
                  <c:v>1</c:v>
                </c:pt>
                <c:pt idx="52">
                  <c:v>1</c:v>
                </c:pt>
                <c:pt idx="55">
                  <c:v>1</c:v>
                </c:pt>
                <c:pt idx="57">
                  <c:v>1</c:v>
                </c:pt>
                <c:pt idx="59">
                  <c:v>1</c:v>
                </c:pt>
                <c:pt idx="65">
                  <c:v>14</c:v>
                </c:pt>
                <c:pt idx="66">
                  <c:v>0</c:v>
                </c:pt>
                <c:pt idx="67">
                  <c:v>14</c:v>
                </c:pt>
                <c:pt idx="68">
                  <c:v>8</c:v>
                </c:pt>
                <c:pt idx="6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958-426E-9A23-10900879AB3D}"/>
            </c:ext>
          </c:extLst>
        </c:ser>
        <c:ser>
          <c:idx val="28"/>
          <c:order val="28"/>
          <c:tx>
            <c:strRef>
              <c:f>'3. P PLAN-2'!$Q$76:$Q$77</c:f>
              <c:strCache>
                <c:ptCount val="2"/>
                <c:pt idx="0">
                  <c:v>2) Mold Q'ty &amp; Cost</c:v>
                </c:pt>
                <c:pt idx="1">
                  <c:v> Jun.26 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PLAN-2'!$Q$78:$Q$147</c:f>
              <c:numCache>
                <c:formatCode>_(* #,##0_);_(* \(#,##0\);_(* "-"_);_(@_)</c:formatCode>
                <c:ptCount val="70"/>
                <c:pt idx="1">
                  <c:v>4</c:v>
                </c:pt>
                <c:pt idx="4">
                  <c:v>3</c:v>
                </c:pt>
                <c:pt idx="7">
                  <c:v>1</c:v>
                </c:pt>
                <c:pt idx="42">
                  <c:v>1</c:v>
                </c:pt>
                <c:pt idx="47">
                  <c:v>1</c:v>
                </c:pt>
                <c:pt idx="48">
                  <c:v>1</c:v>
                </c:pt>
                <c:pt idx="55">
                  <c:v>1</c:v>
                </c:pt>
                <c:pt idx="56">
                  <c:v>1</c:v>
                </c:pt>
                <c:pt idx="58">
                  <c:v>1</c:v>
                </c:pt>
                <c:pt idx="59">
                  <c:v>1</c:v>
                </c:pt>
                <c:pt idx="65">
                  <c:v>15</c:v>
                </c:pt>
                <c:pt idx="66">
                  <c:v>0</c:v>
                </c:pt>
                <c:pt idx="67">
                  <c:v>15</c:v>
                </c:pt>
                <c:pt idx="68">
                  <c:v>8</c:v>
                </c:pt>
                <c:pt idx="6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958-426E-9A23-10900879AB3D}"/>
            </c:ext>
          </c:extLst>
        </c:ser>
        <c:ser>
          <c:idx val="29"/>
          <c:order val="29"/>
          <c:tx>
            <c:strRef>
              <c:f>'3. P PLAN-2'!$R$76:$R$77</c:f>
              <c:strCache>
                <c:ptCount val="2"/>
                <c:pt idx="0">
                  <c:v>2) Mold Q'ty &amp; Cost</c:v>
                </c:pt>
                <c:pt idx="1">
                  <c:v> Jul.26 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PLAN-2'!$R$78:$R$147</c:f>
              <c:numCache>
                <c:formatCode>_(* #,##0_);_(* \(#,##0\);_(* "-"_);_(@_)</c:formatCode>
                <c:ptCount val="70"/>
                <c:pt idx="1">
                  <c:v>4</c:v>
                </c:pt>
                <c:pt idx="4">
                  <c:v>3</c:v>
                </c:pt>
                <c:pt idx="6">
                  <c:v>3</c:v>
                </c:pt>
                <c:pt idx="8">
                  <c:v>1</c:v>
                </c:pt>
                <c:pt idx="47">
                  <c:v>1</c:v>
                </c:pt>
                <c:pt idx="53">
                  <c:v>1</c:v>
                </c:pt>
                <c:pt idx="55">
                  <c:v>1</c:v>
                </c:pt>
                <c:pt idx="58">
                  <c:v>1</c:v>
                </c:pt>
                <c:pt idx="59">
                  <c:v>1</c:v>
                </c:pt>
                <c:pt idx="65">
                  <c:v>16</c:v>
                </c:pt>
                <c:pt idx="66">
                  <c:v>0</c:v>
                </c:pt>
                <c:pt idx="67">
                  <c:v>16</c:v>
                </c:pt>
                <c:pt idx="68">
                  <c:v>8</c:v>
                </c:pt>
                <c:pt idx="6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958-426E-9A23-10900879AB3D}"/>
            </c:ext>
          </c:extLst>
        </c:ser>
        <c:ser>
          <c:idx val="30"/>
          <c:order val="30"/>
          <c:tx>
            <c:strRef>
              <c:f>'3. P PLAN-2'!$S$76:$S$77</c:f>
              <c:strCache>
                <c:ptCount val="2"/>
                <c:pt idx="0">
                  <c:v>2) Mold Q'ty &amp; Cost</c:v>
                </c:pt>
                <c:pt idx="1">
                  <c:v> Aug.26 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PLAN-2'!$S$78:$S$147</c:f>
              <c:numCache>
                <c:formatCode>_(* #,##0_);_(* \(#,##0\);_(* "-"_);_(@_)</c:formatCode>
                <c:ptCount val="70"/>
                <c:pt idx="1">
                  <c:v>4</c:v>
                </c:pt>
                <c:pt idx="4">
                  <c:v>2</c:v>
                </c:pt>
                <c:pt idx="6">
                  <c:v>3</c:v>
                </c:pt>
                <c:pt idx="7">
                  <c:v>1</c:v>
                </c:pt>
                <c:pt idx="49">
                  <c:v>1</c:v>
                </c:pt>
                <c:pt idx="55">
                  <c:v>1</c:v>
                </c:pt>
                <c:pt idx="58">
                  <c:v>1</c:v>
                </c:pt>
                <c:pt idx="65">
                  <c:v>13</c:v>
                </c:pt>
                <c:pt idx="66">
                  <c:v>0</c:v>
                </c:pt>
                <c:pt idx="67">
                  <c:v>13</c:v>
                </c:pt>
                <c:pt idx="68">
                  <c:v>8</c:v>
                </c:pt>
                <c:pt idx="6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958-426E-9A23-10900879AB3D}"/>
            </c:ext>
          </c:extLst>
        </c:ser>
        <c:ser>
          <c:idx val="31"/>
          <c:order val="31"/>
          <c:tx>
            <c:strRef>
              <c:f>'3. P PLAN-2'!$T$76:$T$77</c:f>
              <c:strCache>
                <c:ptCount val="2"/>
                <c:pt idx="0">
                  <c:v>2) Mold Q'ty &amp; Cost</c:v>
                </c:pt>
                <c:pt idx="1">
                  <c:v> Sep.26 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PLAN-2'!$T$78:$T$147</c:f>
              <c:numCache>
                <c:formatCode>_(* #,##0_);_(* \(#,##0\);_(* "-"_);_(@_)</c:formatCode>
                <c:ptCount val="70"/>
                <c:pt idx="1">
                  <c:v>4</c:v>
                </c:pt>
                <c:pt idx="4">
                  <c:v>2</c:v>
                </c:pt>
                <c:pt idx="6">
                  <c:v>3</c:v>
                </c:pt>
                <c:pt idx="7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61">
                  <c:v>1</c:v>
                </c:pt>
                <c:pt idx="65">
                  <c:v>16</c:v>
                </c:pt>
                <c:pt idx="66">
                  <c:v>0</c:v>
                </c:pt>
                <c:pt idx="67">
                  <c:v>16</c:v>
                </c:pt>
                <c:pt idx="68">
                  <c:v>8</c:v>
                </c:pt>
                <c:pt idx="6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958-426E-9A23-10900879AB3D}"/>
            </c:ext>
          </c:extLst>
        </c:ser>
        <c:ser>
          <c:idx val="32"/>
          <c:order val="32"/>
          <c:tx>
            <c:strRef>
              <c:f>'3. P PLAN-2'!$U$76:$U$77</c:f>
              <c:strCache>
                <c:ptCount val="2"/>
                <c:pt idx="0">
                  <c:v>2) Mold Q'ty &amp; Cost</c:v>
                </c:pt>
                <c:pt idx="1">
                  <c:v> Oct.26 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PLAN-2'!$U$78:$U$147</c:f>
              <c:numCache>
                <c:formatCode>_(* #,##0_);_(* \(#,##0\);_(* "-"_);_(@_)</c:formatCode>
                <c:ptCount val="70"/>
                <c:pt idx="1">
                  <c:v>4</c:v>
                </c:pt>
                <c:pt idx="4">
                  <c:v>2</c:v>
                </c:pt>
                <c:pt idx="6">
                  <c:v>3</c:v>
                </c:pt>
                <c:pt idx="7">
                  <c:v>1</c:v>
                </c:pt>
                <c:pt idx="55">
                  <c:v>1</c:v>
                </c:pt>
                <c:pt idx="58">
                  <c:v>1</c:v>
                </c:pt>
                <c:pt idx="59">
                  <c:v>1</c:v>
                </c:pt>
                <c:pt idx="65">
                  <c:v>13</c:v>
                </c:pt>
                <c:pt idx="67">
                  <c:v>13</c:v>
                </c:pt>
                <c:pt idx="68">
                  <c:v>17</c:v>
                </c:pt>
                <c:pt idx="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958-426E-9A23-10900879AB3D}"/>
            </c:ext>
          </c:extLst>
        </c:ser>
        <c:ser>
          <c:idx val="33"/>
          <c:order val="33"/>
          <c:tx>
            <c:strRef>
              <c:f>'3. P PLAN-2'!$V$76:$V$77</c:f>
              <c:strCache>
                <c:ptCount val="2"/>
                <c:pt idx="0">
                  <c:v>2) Mold Q'ty &amp; Cost</c:v>
                </c:pt>
                <c:pt idx="1">
                  <c:v> Nov.26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PLAN-2'!$V$78:$V$147</c:f>
              <c:numCache>
                <c:formatCode>_(* #,##0_);_(* \(#,##0\);_(* "-"_);_(@_)</c:formatCode>
                <c:ptCount val="70"/>
                <c:pt idx="1">
                  <c:v>3</c:v>
                </c:pt>
                <c:pt idx="4">
                  <c:v>2</c:v>
                </c:pt>
                <c:pt idx="6">
                  <c:v>3</c:v>
                </c:pt>
                <c:pt idx="55">
                  <c:v>1</c:v>
                </c:pt>
                <c:pt idx="58">
                  <c:v>1</c:v>
                </c:pt>
                <c:pt idx="59">
                  <c:v>1</c:v>
                </c:pt>
                <c:pt idx="65">
                  <c:v>11</c:v>
                </c:pt>
                <c:pt idx="66">
                  <c:v>0</c:v>
                </c:pt>
                <c:pt idx="67">
                  <c:v>11</c:v>
                </c:pt>
                <c:pt idx="68">
                  <c:v>17</c:v>
                </c:pt>
                <c:pt idx="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958-426E-9A23-10900879AB3D}"/>
            </c:ext>
          </c:extLst>
        </c:ser>
        <c:ser>
          <c:idx val="34"/>
          <c:order val="34"/>
          <c:tx>
            <c:strRef>
              <c:f>'3. P PLAN-2'!$W$76:$W$77</c:f>
              <c:strCache>
                <c:ptCount val="2"/>
                <c:pt idx="0">
                  <c:v>2) Mold Q'ty &amp; Cost</c:v>
                </c:pt>
                <c:pt idx="1">
                  <c:v> Dec.26 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PLAN-2'!$W$78:$W$147</c:f>
              <c:numCache>
                <c:formatCode>_(* #,##0_);_(* \(#,##0\);_(* "-"_);_(@_)</c:formatCode>
                <c:ptCount val="70"/>
                <c:pt idx="1">
                  <c:v>2</c:v>
                </c:pt>
                <c:pt idx="4">
                  <c:v>3</c:v>
                </c:pt>
                <c:pt idx="6">
                  <c:v>3</c:v>
                </c:pt>
                <c:pt idx="57">
                  <c:v>1</c:v>
                </c:pt>
                <c:pt idx="58">
                  <c:v>1</c:v>
                </c:pt>
                <c:pt idx="65">
                  <c:v>10</c:v>
                </c:pt>
                <c:pt idx="67">
                  <c:v>10</c:v>
                </c:pt>
                <c:pt idx="68">
                  <c:v>17</c:v>
                </c:pt>
                <c:pt idx="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958-426E-9A23-10900879AB3D}"/>
            </c:ext>
          </c:extLst>
        </c:ser>
        <c:ser>
          <c:idx val="35"/>
          <c:order val="35"/>
          <c:tx>
            <c:strRef>
              <c:f>'3. P PLAN-2'!$X$76:$X$77</c:f>
              <c:strCache>
                <c:ptCount val="2"/>
                <c:pt idx="0">
                  <c:v> Unit: ea </c:v>
                </c:pt>
                <c:pt idx="1">
                  <c:v> 2026
Total 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PLAN-2'!$X$78:$X$147</c:f>
              <c:numCache>
                <c:formatCode>_(* #,##0_);_(* \(#,##0\);_(* "-"_);_(@_)</c:formatCode>
                <c:ptCount val="70"/>
                <c:pt idx="0">
                  <c:v>0</c:v>
                </c:pt>
                <c:pt idx="1">
                  <c:v>45</c:v>
                </c:pt>
                <c:pt idx="2">
                  <c:v>0</c:v>
                </c:pt>
                <c:pt idx="3">
                  <c:v>0</c:v>
                </c:pt>
                <c:pt idx="4">
                  <c:v>25</c:v>
                </c:pt>
                <c:pt idx="5">
                  <c:v>0</c:v>
                </c:pt>
                <c:pt idx="6">
                  <c:v>18</c:v>
                </c:pt>
                <c:pt idx="7">
                  <c:v>4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5</c:v>
                </c:pt>
                <c:pt idx="48">
                  <c:v>4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5</c:v>
                </c:pt>
                <c:pt idx="53">
                  <c:v>2</c:v>
                </c:pt>
                <c:pt idx="54">
                  <c:v>2</c:v>
                </c:pt>
                <c:pt idx="55">
                  <c:v>9</c:v>
                </c:pt>
                <c:pt idx="56">
                  <c:v>4</c:v>
                </c:pt>
                <c:pt idx="57">
                  <c:v>4</c:v>
                </c:pt>
                <c:pt idx="58">
                  <c:v>8</c:v>
                </c:pt>
                <c:pt idx="59">
                  <c:v>8</c:v>
                </c:pt>
                <c:pt idx="60">
                  <c:v>1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164</c:v>
                </c:pt>
                <c:pt idx="66">
                  <c:v>0</c:v>
                </c:pt>
                <c:pt idx="67">
                  <c:v>164</c:v>
                </c:pt>
                <c:pt idx="68">
                  <c:v>123</c:v>
                </c:pt>
                <c:pt idx="69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958-426E-9A23-10900879AB3D}"/>
            </c:ext>
          </c:extLst>
        </c:ser>
        <c:ser>
          <c:idx val="36"/>
          <c:order val="36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958-426E-9A23-10900879AB3D}"/>
            </c:ext>
          </c:extLst>
        </c:ser>
        <c:ser>
          <c:idx val="37"/>
          <c:order val="37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958-426E-9A23-10900879AB3D}"/>
            </c:ext>
          </c:extLst>
        </c:ser>
        <c:ser>
          <c:idx val="38"/>
          <c:order val="38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958-426E-9A23-10900879AB3D}"/>
            </c:ext>
          </c:extLst>
        </c:ser>
        <c:ser>
          <c:idx val="39"/>
          <c:order val="39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958-426E-9A23-10900879AB3D}"/>
            </c:ext>
          </c:extLst>
        </c:ser>
        <c:ser>
          <c:idx val="40"/>
          <c:order val="40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958-426E-9A23-10900879AB3D}"/>
            </c:ext>
          </c:extLst>
        </c:ser>
        <c:ser>
          <c:idx val="41"/>
          <c:order val="41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958-426E-9A23-10900879AB3D}"/>
            </c:ext>
          </c:extLst>
        </c:ser>
        <c:ser>
          <c:idx val="42"/>
          <c:order val="42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958-426E-9A23-10900879AB3D}"/>
            </c:ext>
          </c:extLst>
        </c:ser>
        <c:ser>
          <c:idx val="43"/>
          <c:order val="43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958-426E-9A23-10900879AB3D}"/>
            </c:ext>
          </c:extLst>
        </c:ser>
        <c:ser>
          <c:idx val="44"/>
          <c:order val="44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958-426E-9A23-10900879AB3D}"/>
            </c:ext>
          </c:extLst>
        </c:ser>
        <c:ser>
          <c:idx val="45"/>
          <c:order val="45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958-426E-9A23-10900879AB3D}"/>
            </c:ext>
          </c:extLst>
        </c:ser>
        <c:ser>
          <c:idx val="46"/>
          <c:order val="46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958-426E-9A23-10900879AB3D}"/>
            </c:ext>
          </c:extLst>
        </c:ser>
        <c:ser>
          <c:idx val="47"/>
          <c:order val="47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958-426E-9A23-10900879AB3D}"/>
            </c:ext>
          </c:extLst>
        </c:ser>
        <c:ser>
          <c:idx val="48"/>
          <c:order val="48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958-426E-9A23-10900879AB3D}"/>
            </c:ext>
          </c:extLst>
        </c:ser>
        <c:ser>
          <c:idx val="49"/>
          <c:order val="49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958-426E-9A23-10900879AB3D}"/>
            </c:ext>
          </c:extLst>
        </c:ser>
        <c:ser>
          <c:idx val="50"/>
          <c:order val="50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958-426E-9A23-10900879AB3D}"/>
            </c:ext>
          </c:extLst>
        </c:ser>
        <c:ser>
          <c:idx val="51"/>
          <c:order val="51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958-426E-9A23-10900879AB3D}"/>
            </c:ext>
          </c:extLst>
        </c:ser>
        <c:ser>
          <c:idx val="52"/>
          <c:order val="52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D958-426E-9A23-10900879AB3D}"/>
            </c:ext>
          </c:extLst>
        </c:ser>
        <c:ser>
          <c:idx val="53"/>
          <c:order val="53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D958-426E-9A23-10900879AB3D}"/>
            </c:ext>
          </c:extLst>
        </c:ser>
        <c:ser>
          <c:idx val="54"/>
          <c:order val="54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D958-426E-9A23-10900879AB3D}"/>
            </c:ext>
          </c:extLst>
        </c:ser>
        <c:ser>
          <c:idx val="55"/>
          <c:order val="55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D958-426E-9A23-10900879AB3D}"/>
            </c:ext>
          </c:extLst>
        </c:ser>
        <c:ser>
          <c:idx val="56"/>
          <c:order val="56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D958-426E-9A23-10900879AB3D}"/>
            </c:ext>
          </c:extLst>
        </c:ser>
        <c:ser>
          <c:idx val="57"/>
          <c:order val="57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D958-426E-9A23-10900879AB3D}"/>
            </c:ext>
          </c:extLst>
        </c:ser>
        <c:ser>
          <c:idx val="58"/>
          <c:order val="58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D958-426E-9A23-10900879AB3D}"/>
            </c:ext>
          </c:extLst>
        </c:ser>
        <c:ser>
          <c:idx val="59"/>
          <c:order val="59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D958-426E-9A23-10900879AB3D}"/>
            </c:ext>
          </c:extLst>
        </c:ser>
        <c:ser>
          <c:idx val="60"/>
          <c:order val="60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D958-426E-9A23-10900879AB3D}"/>
            </c:ext>
          </c:extLst>
        </c:ser>
        <c:ser>
          <c:idx val="61"/>
          <c:order val="61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D958-426E-9A23-10900879AB3D}"/>
            </c:ext>
          </c:extLst>
        </c:ser>
        <c:ser>
          <c:idx val="62"/>
          <c:order val="62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D958-426E-9A23-10900879AB3D}"/>
            </c:ext>
          </c:extLst>
        </c:ser>
        <c:ser>
          <c:idx val="63"/>
          <c:order val="63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D958-426E-9A23-10900879AB3D}"/>
            </c:ext>
          </c:extLst>
        </c:ser>
        <c:ser>
          <c:idx val="64"/>
          <c:order val="64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D958-426E-9A23-10900879AB3D}"/>
            </c:ext>
          </c:extLst>
        </c:ser>
        <c:ser>
          <c:idx val="65"/>
          <c:order val="65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D958-426E-9A23-10900879AB3D}"/>
            </c:ext>
          </c:extLst>
        </c:ser>
        <c:ser>
          <c:idx val="66"/>
          <c:order val="66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D958-426E-9A23-10900879AB3D}"/>
            </c:ext>
          </c:extLst>
        </c:ser>
        <c:ser>
          <c:idx val="67"/>
          <c:order val="67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D958-426E-9A23-10900879AB3D}"/>
            </c:ext>
          </c:extLst>
        </c:ser>
        <c:ser>
          <c:idx val="68"/>
          <c:order val="68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D958-426E-9A23-10900879AB3D}"/>
            </c:ext>
          </c:extLst>
        </c:ser>
        <c:ser>
          <c:idx val="69"/>
          <c:order val="69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D958-426E-9A23-10900879AB3D}"/>
            </c:ext>
          </c:extLst>
        </c:ser>
        <c:ser>
          <c:idx val="70"/>
          <c:order val="70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D958-426E-9A23-10900879AB3D}"/>
            </c:ext>
          </c:extLst>
        </c:ser>
        <c:ser>
          <c:idx val="71"/>
          <c:order val="71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D958-426E-9A23-10900879AB3D}"/>
            </c:ext>
          </c:extLst>
        </c:ser>
        <c:ser>
          <c:idx val="72"/>
          <c:order val="72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D958-426E-9A23-10900879AB3D}"/>
            </c:ext>
          </c:extLst>
        </c:ser>
        <c:ser>
          <c:idx val="73"/>
          <c:order val="73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D958-426E-9A23-10900879AB3D}"/>
            </c:ext>
          </c:extLst>
        </c:ser>
        <c:ser>
          <c:idx val="74"/>
          <c:order val="74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D958-426E-9A23-10900879AB3D}"/>
            </c:ext>
          </c:extLst>
        </c:ser>
        <c:ser>
          <c:idx val="75"/>
          <c:order val="75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D958-426E-9A23-10900879AB3D}"/>
            </c:ext>
          </c:extLst>
        </c:ser>
        <c:ser>
          <c:idx val="76"/>
          <c:order val="76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D958-426E-9A23-10900879AB3D}"/>
            </c:ext>
          </c:extLst>
        </c:ser>
        <c:ser>
          <c:idx val="77"/>
          <c:order val="77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PLAN-2'!$A$78:$A$147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D958-426E-9A23-10900879A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3770175"/>
        <c:axId val="743774495"/>
      </c:barChart>
      <c:catAx>
        <c:axId val="74377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74495"/>
        <c:crosses val="autoZero"/>
        <c:auto val="1"/>
        <c:lblAlgn val="ctr"/>
        <c:lblOffset val="100"/>
        <c:noMultiLvlLbl val="0"/>
      </c:catAx>
      <c:valAx>
        <c:axId val="74377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7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124032102956039E-2"/>
          <c:y val="4.1939059574379087E-2"/>
          <c:w val="0.90048136567098624"/>
          <c:h val="0.734043985744389"/>
        </c:manualLayout>
      </c:layout>
      <c:lineChart>
        <c:grouping val="standard"/>
        <c:varyColors val="0"/>
        <c:ser>
          <c:idx val="0"/>
          <c:order val="0"/>
          <c:tx>
            <c:strRef>
              <c:f>'4-1. 인원계획'!$A$116</c:f>
              <c:strCache>
                <c:ptCount val="1"/>
                <c:pt idx="0">
                  <c:v>매출액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'4-1. 인원계획'!$B$115:$M$115</c:f>
              <c:strCache>
                <c:ptCount val="12"/>
                <c:pt idx="0">
                  <c:v>Jan.25</c:v>
                </c:pt>
                <c:pt idx="1">
                  <c:v>Feb.25</c:v>
                </c:pt>
                <c:pt idx="2">
                  <c:v>Mar.25</c:v>
                </c:pt>
                <c:pt idx="3">
                  <c:v>Apr.25</c:v>
                </c:pt>
                <c:pt idx="4">
                  <c:v>May.25</c:v>
                </c:pt>
                <c:pt idx="5">
                  <c:v>Jun.25</c:v>
                </c:pt>
                <c:pt idx="6">
                  <c:v>Jul.25</c:v>
                </c:pt>
                <c:pt idx="7">
                  <c:v>Aug.25</c:v>
                </c:pt>
                <c:pt idx="8">
                  <c:v>Sep.25</c:v>
                </c:pt>
                <c:pt idx="9">
                  <c:v>Oct.25</c:v>
                </c:pt>
                <c:pt idx="10">
                  <c:v>Nov.25</c:v>
                </c:pt>
                <c:pt idx="11">
                  <c:v>Dec.25</c:v>
                </c:pt>
              </c:strCache>
            </c:strRef>
          </c:cat>
          <c:val>
            <c:numRef>
              <c:f>'4-1. 인원계획'!$B$116:$M$116</c:f>
              <c:numCache>
                <c:formatCode>_(* #,##0_);_(* \(#,##0\);_(* "-"_);_(@_)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C-43F9-8523-EF553A5EC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5859632"/>
        <c:axId val="1245862992"/>
      </c:lineChart>
      <c:lineChart>
        <c:grouping val="standard"/>
        <c:varyColors val="0"/>
        <c:ser>
          <c:idx val="1"/>
          <c:order val="1"/>
          <c:tx>
            <c:strRef>
              <c:f>'4-1. 인원계획'!$A$117</c:f>
              <c:strCache>
                <c:ptCount val="1"/>
                <c:pt idx="0">
                  <c:v>1인당 매출액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'4-1. 인원계획'!$B$115:$M$115</c:f>
              <c:strCache>
                <c:ptCount val="12"/>
                <c:pt idx="0">
                  <c:v>Jan.25</c:v>
                </c:pt>
                <c:pt idx="1">
                  <c:v>Feb.25</c:v>
                </c:pt>
                <c:pt idx="2">
                  <c:v>Mar.25</c:v>
                </c:pt>
                <c:pt idx="3">
                  <c:v>Apr.25</c:v>
                </c:pt>
                <c:pt idx="4">
                  <c:v>May.25</c:v>
                </c:pt>
                <c:pt idx="5">
                  <c:v>Jun.25</c:v>
                </c:pt>
                <c:pt idx="6">
                  <c:v>Jul.25</c:v>
                </c:pt>
                <c:pt idx="7">
                  <c:v>Aug.25</c:v>
                </c:pt>
                <c:pt idx="8">
                  <c:v>Sep.25</c:v>
                </c:pt>
                <c:pt idx="9">
                  <c:v>Oct.25</c:v>
                </c:pt>
                <c:pt idx="10">
                  <c:v>Nov.25</c:v>
                </c:pt>
                <c:pt idx="11">
                  <c:v>Dec.25</c:v>
                </c:pt>
              </c:strCache>
            </c:strRef>
          </c:cat>
          <c:val>
            <c:numRef>
              <c:f>'4-1. 인원계획'!$B$117:$M$117</c:f>
              <c:numCache>
                <c:formatCode>_(* #,##0_);_(* \(#,##0\);_(* "-"_);_(@_)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3C-43F9-8523-EF553A5EC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7369280"/>
        <c:axId val="487369760"/>
      </c:lineChart>
      <c:catAx>
        <c:axId val="124585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862992"/>
        <c:crosses val="autoZero"/>
        <c:auto val="1"/>
        <c:lblAlgn val="ctr"/>
        <c:lblOffset val="100"/>
        <c:noMultiLvlLbl val="0"/>
      </c:catAx>
      <c:valAx>
        <c:axId val="12458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859632"/>
        <c:crosses val="autoZero"/>
        <c:crossBetween val="between"/>
      </c:valAx>
      <c:valAx>
        <c:axId val="487369760"/>
        <c:scaling>
          <c:orientation val="minMax"/>
          <c:min val="10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369280"/>
        <c:crosses val="max"/>
        <c:crossBetween val="between"/>
      </c:valAx>
      <c:catAx>
        <c:axId val="4873692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873697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8983" cy="6078242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48F88E4-5500-4006-CBA6-509F3A2D799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782730</xdr:colOff>
      <xdr:row>120</xdr:row>
      <xdr:rowOff>126179</xdr:rowOff>
    </xdr:from>
    <xdr:to>
      <xdr:col>13</xdr:col>
      <xdr:colOff>3809</xdr:colOff>
      <xdr:row>134</xdr:row>
      <xdr:rowOff>51212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7ADDDA0-DEE5-F071-F978-ACD2C616F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280147</xdr:colOff>
      <xdr:row>126</xdr:row>
      <xdr:rowOff>59841</xdr:rowOff>
    </xdr:from>
    <xdr:to>
      <xdr:col>11</xdr:col>
      <xdr:colOff>896471</xdr:colOff>
      <xdr:row>130</xdr:row>
      <xdr:rowOff>33619</xdr:rowOff>
    </xdr:to>
    <xdr:sp macro="" textlink="">
      <xdr:nvSpPr>
        <xdr:cNvPr id="3" name="말풍선: 모서리가 둥근 사각형 2">
          <a:extLst>
            <a:ext uri="{FF2B5EF4-FFF2-40B4-BE49-F238E27FC236}">
              <a16:creationId xmlns:a16="http://schemas.microsoft.com/office/drawing/2014/main" id="{34FD6952-64EC-7C01-887A-7F75B12F0812}"/>
            </a:ext>
          </a:extLst>
        </xdr:cNvPr>
        <xdr:cNvSpPr/>
      </xdr:nvSpPr>
      <xdr:spPr>
        <a:xfrm>
          <a:off x="10309412" y="24880870"/>
          <a:ext cx="1546412" cy="646131"/>
        </a:xfrm>
        <a:prstGeom prst="wedgeRoundRectCallout">
          <a:avLst>
            <a:gd name="adj1" fmla="val -36134"/>
            <a:gd name="adj2" fmla="val -143667"/>
            <a:gd name="adj3" fmla="val 16667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하반기 생산 </a:t>
          </a:r>
          <a:r>
            <a:rPr lang="en-US" altLang="ko-KR" sz="1100"/>
            <a:t>2,3 </a:t>
          </a:r>
          <a:r>
            <a:rPr lang="ko-KR" altLang="en-US" sz="1100"/>
            <a:t>팀 자동화 진행</a:t>
          </a:r>
        </a:p>
      </xdr:txBody>
    </xdr:sp>
    <xdr:clientData/>
  </xdr:twoCellAnchor>
  <xdr:twoCellAnchor>
    <xdr:from>
      <xdr:col>6</xdr:col>
      <xdr:colOff>649941</xdr:colOff>
      <xdr:row>126</xdr:row>
      <xdr:rowOff>88976</xdr:rowOff>
    </xdr:from>
    <xdr:to>
      <xdr:col>9</xdr:col>
      <xdr:colOff>85166</xdr:colOff>
      <xdr:row>130</xdr:row>
      <xdr:rowOff>156883</xdr:rowOff>
    </xdr:to>
    <xdr:sp macro="" textlink="">
      <xdr:nvSpPr>
        <xdr:cNvPr id="4" name="말풍선: 모서리가 둥근 사각형 3">
          <a:extLst>
            <a:ext uri="{FF2B5EF4-FFF2-40B4-BE49-F238E27FC236}">
              <a16:creationId xmlns:a16="http://schemas.microsoft.com/office/drawing/2014/main" id="{5796C7BD-9077-40C4-B1D1-219CF9FB0821}"/>
            </a:ext>
          </a:extLst>
        </xdr:cNvPr>
        <xdr:cNvSpPr/>
      </xdr:nvSpPr>
      <xdr:spPr>
        <a:xfrm>
          <a:off x="6958853" y="24910005"/>
          <a:ext cx="2225489" cy="740260"/>
        </a:xfrm>
        <a:prstGeom prst="wedgeRoundRectCallout">
          <a:avLst>
            <a:gd name="adj1" fmla="val -41931"/>
            <a:gd name="adj2" fmla="val -117933"/>
            <a:gd name="adj3" fmla="val 16667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1. </a:t>
          </a:r>
          <a:r>
            <a:rPr lang="ko-KR" altLang="en-US" sz="1100"/>
            <a:t>자동화에 따른 인원 감소 </a:t>
          </a:r>
          <a:endParaRPr lang="en-US" altLang="ko-KR" sz="1100"/>
        </a:p>
        <a:p>
          <a:pPr algn="l"/>
          <a:r>
            <a:rPr lang="en-US" altLang="ko-KR" sz="1100"/>
            <a:t>2. </a:t>
          </a:r>
          <a:r>
            <a:rPr lang="ko-KR" altLang="en-US" sz="1100"/>
            <a:t>품질 인원 감소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24</xdr:col>
      <xdr:colOff>687978</xdr:colOff>
      <xdr:row>149</xdr:row>
      <xdr:rowOff>96327</xdr:rowOff>
    </xdr:from>
    <xdr:to>
      <xdr:col>24</xdr:col>
      <xdr:colOff>687978</xdr:colOff>
      <xdr:row>150</xdr:row>
      <xdr:rowOff>131896</xdr:rowOff>
    </xdr:to>
    <xdr:sp macro="" textlink="">
      <xdr:nvSpPr>
        <xdr:cNvPr id="604238" name="Text Box 78" hidden="1">
          <a:extLst>
            <a:ext uri="{FF2B5EF4-FFF2-40B4-BE49-F238E27FC236}">
              <a16:creationId xmlns:a16="http://schemas.microsoft.com/office/drawing/2014/main" id="{00000000-0008-0000-1100-00004E380900}"/>
            </a:ext>
          </a:extLst>
        </xdr:cNvPr>
        <xdr:cNvSpPr txBox="1">
          <a:spLocks noChangeArrowheads="1"/>
        </xdr:cNvSpPr>
      </xdr:nvSpPr>
      <xdr:spPr bwMode="auto">
        <a:xfrm>
          <a:off x="18621375" y="26393775"/>
          <a:ext cx="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4D2ECF2-C139-4BFF-949B-3258F7CD1096}">
  <we:reference id="29673e3c-d826-4f00-92ee-162334a52b1a" version="1.0.0.8" store="EXCatalog" storeType="EXCatalog"/>
  <we:alternateReferences>
    <we:reference id="WA200009404" version="1.0.0.8" store="ko-KR" storeType="OMEX"/>
  </we:alternateReferences>
  <we:properties>
    <we:property name="claude.fileId" value="&quot;97443553-219f-4717-affb-4ddcaf5e3c1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16.bin"/><Relationship Id="rId5" Type="http://schemas.openxmlformats.org/officeDocument/2006/relationships/comments" Target="../comments12.xml"/><Relationship Id="rId4" Type="http://schemas.openxmlformats.org/officeDocument/2006/relationships/vmlDrawing" Target="../drawings/vmlDrawing12.v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4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5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6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6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B169"/>
  <sheetViews>
    <sheetView workbookViewId="0">
      <selection activeCell="O23" sqref="O23"/>
    </sheetView>
  </sheetViews>
  <sheetFormatPr defaultColWidth="9" defaultRowHeight="15.6"/>
  <cols>
    <col min="1" max="11" width="10.09765625" style="102" customWidth="1"/>
    <col min="12" max="12" width="9" style="102"/>
    <col min="13" max="54" width="9" style="104"/>
    <col min="55" max="16384" width="9" style="102"/>
  </cols>
  <sheetData>
    <row r="1" spans="1:12" ht="12.75" customHeight="1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</row>
    <row r="2" spans="1:12" ht="12.75" customHeight="1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</row>
    <row r="3" spans="1:12" ht="12.75" customHeight="1">
      <c r="A3" s="7098" t="s">
        <v>1333</v>
      </c>
      <c r="B3" s="7099"/>
      <c r="C3" s="7099"/>
      <c r="D3" s="7099"/>
      <c r="E3" s="7099"/>
      <c r="F3" s="7099"/>
      <c r="G3" s="7099"/>
      <c r="H3" s="7099"/>
      <c r="I3" s="7099"/>
      <c r="J3" s="7099"/>
      <c r="K3" s="7099"/>
      <c r="L3" s="103"/>
    </row>
    <row r="4" spans="1:12" ht="12.75" customHeight="1">
      <c r="A4" s="7099"/>
      <c r="B4" s="7099"/>
      <c r="C4" s="7099"/>
      <c r="D4" s="7099"/>
      <c r="E4" s="7099"/>
      <c r="F4" s="7099"/>
      <c r="G4" s="7099"/>
      <c r="H4" s="7099"/>
      <c r="I4" s="7099"/>
      <c r="J4" s="7099"/>
      <c r="K4" s="7099"/>
      <c r="L4" s="103"/>
    </row>
    <row r="5" spans="1:12" ht="12.75" customHeight="1">
      <c r="A5" s="7099"/>
      <c r="B5" s="7099"/>
      <c r="C5" s="7099"/>
      <c r="D5" s="7099"/>
      <c r="E5" s="7099"/>
      <c r="F5" s="7099"/>
      <c r="G5" s="7099"/>
      <c r="H5" s="7099"/>
      <c r="I5" s="7099"/>
      <c r="J5" s="7099"/>
      <c r="K5" s="7099"/>
      <c r="L5" s="103"/>
    </row>
    <row r="6" spans="1:12" ht="12.75" customHeight="1">
      <c r="A6" s="7099"/>
      <c r="B6" s="7099"/>
      <c r="C6" s="7099"/>
      <c r="D6" s="7099"/>
      <c r="E6" s="7099"/>
      <c r="F6" s="7099"/>
      <c r="G6" s="7099"/>
      <c r="H6" s="7099"/>
      <c r="I6" s="7099"/>
      <c r="J6" s="7099"/>
      <c r="K6" s="7099"/>
      <c r="L6" s="103"/>
    </row>
    <row r="7" spans="1:12" ht="12.75" customHeight="1">
      <c r="A7" s="7099"/>
      <c r="B7" s="7099"/>
      <c r="C7" s="7099"/>
      <c r="D7" s="7099"/>
      <c r="E7" s="7099"/>
      <c r="F7" s="7099"/>
      <c r="G7" s="7099"/>
      <c r="H7" s="7099"/>
      <c r="I7" s="7099"/>
      <c r="J7" s="7099"/>
      <c r="K7" s="7099"/>
      <c r="L7" s="103"/>
    </row>
    <row r="8" spans="1:12" ht="12.75" customHeight="1">
      <c r="A8" s="7099"/>
      <c r="B8" s="7099"/>
      <c r="C8" s="7099"/>
      <c r="D8" s="7099"/>
      <c r="E8" s="7099"/>
      <c r="F8" s="7099"/>
      <c r="G8" s="7099"/>
      <c r="H8" s="7099"/>
      <c r="I8" s="7099"/>
      <c r="J8" s="7099"/>
      <c r="K8" s="7099"/>
      <c r="L8" s="103"/>
    </row>
    <row r="9" spans="1:12" ht="12.75" customHeight="1">
      <c r="A9" s="7099"/>
      <c r="B9" s="7099"/>
      <c r="C9" s="7099"/>
      <c r="D9" s="7099"/>
      <c r="E9" s="7099"/>
      <c r="F9" s="7099"/>
      <c r="G9" s="7099"/>
      <c r="H9" s="7099"/>
      <c r="I9" s="7099"/>
      <c r="J9" s="7099"/>
      <c r="K9" s="7099"/>
      <c r="L9" s="103"/>
    </row>
    <row r="10" spans="1:12" ht="12.75" customHeight="1">
      <c r="A10" s="7099"/>
      <c r="B10" s="7099"/>
      <c r="C10" s="7099"/>
      <c r="D10" s="7099"/>
      <c r="E10" s="7099"/>
      <c r="F10" s="7099"/>
      <c r="G10" s="7099"/>
      <c r="H10" s="7099"/>
      <c r="I10" s="7099"/>
      <c r="J10" s="7099"/>
      <c r="K10" s="7099"/>
      <c r="L10" s="103"/>
    </row>
    <row r="11" spans="1:12" ht="12.75" customHeight="1">
      <c r="A11" s="7099"/>
      <c r="B11" s="7099"/>
      <c r="C11" s="7099"/>
      <c r="D11" s="7099"/>
      <c r="E11" s="7099"/>
      <c r="F11" s="7099"/>
      <c r="G11" s="7099"/>
      <c r="H11" s="7099"/>
      <c r="I11" s="7099"/>
      <c r="J11" s="7099"/>
      <c r="K11" s="7099"/>
      <c r="L11" s="103"/>
    </row>
    <row r="12" spans="1:12" ht="12.75" customHeight="1">
      <c r="A12" s="7099"/>
      <c r="B12" s="7099"/>
      <c r="C12" s="7099"/>
      <c r="D12" s="7099"/>
      <c r="E12" s="7099"/>
      <c r="F12" s="7099"/>
      <c r="G12" s="7099"/>
      <c r="H12" s="7099"/>
      <c r="I12" s="7099"/>
      <c r="J12" s="7099"/>
      <c r="K12" s="7099"/>
      <c r="L12" s="103"/>
    </row>
    <row r="13" spans="1:12" ht="12.75" customHeight="1">
      <c r="A13" s="7099"/>
      <c r="B13" s="7099"/>
      <c r="C13" s="7099"/>
      <c r="D13" s="7099"/>
      <c r="E13" s="7099"/>
      <c r="F13" s="7099"/>
      <c r="G13" s="7099"/>
      <c r="H13" s="7099"/>
      <c r="I13" s="7099"/>
      <c r="J13" s="7099"/>
      <c r="K13" s="7099"/>
      <c r="L13" s="103"/>
    </row>
    <row r="14" spans="1:12" ht="12.75" customHeight="1">
      <c r="A14" s="7099"/>
      <c r="B14" s="7099"/>
      <c r="C14" s="7099"/>
      <c r="D14" s="7099"/>
      <c r="E14" s="7099"/>
      <c r="F14" s="7099"/>
      <c r="G14" s="7099"/>
      <c r="H14" s="7099"/>
      <c r="I14" s="7099"/>
      <c r="J14" s="7099"/>
      <c r="K14" s="7099"/>
      <c r="L14" s="103"/>
    </row>
    <row r="15" spans="1:12" ht="12.75" customHeight="1">
      <c r="A15" s="7099"/>
      <c r="B15" s="7099"/>
      <c r="C15" s="7099"/>
      <c r="D15" s="7099"/>
      <c r="E15" s="7099"/>
      <c r="F15" s="7099"/>
      <c r="G15" s="7099"/>
      <c r="H15" s="7099"/>
      <c r="I15" s="7099"/>
      <c r="J15" s="7099"/>
      <c r="K15" s="7099"/>
      <c r="L15" s="103"/>
    </row>
    <row r="16" spans="1:12" ht="12.75" customHeight="1">
      <c r="A16" s="7099"/>
      <c r="B16" s="7099"/>
      <c r="C16" s="7099"/>
      <c r="D16" s="7099"/>
      <c r="E16" s="7099"/>
      <c r="F16" s="7099"/>
      <c r="G16" s="7099"/>
      <c r="H16" s="7099"/>
      <c r="I16" s="7099"/>
      <c r="J16" s="7099"/>
      <c r="K16" s="7099"/>
      <c r="L16" s="103"/>
    </row>
    <row r="17" spans="1:13" ht="12.75" customHeight="1">
      <c r="A17" s="7099"/>
      <c r="B17" s="7099"/>
      <c r="C17" s="7099"/>
      <c r="D17" s="7099"/>
      <c r="E17" s="7099"/>
      <c r="F17" s="7099"/>
      <c r="G17" s="7099"/>
      <c r="H17" s="7099"/>
      <c r="I17" s="7099"/>
      <c r="J17" s="7099"/>
      <c r="K17" s="7099"/>
      <c r="L17" s="103"/>
    </row>
    <row r="18" spans="1:13" ht="12.75" customHeight="1">
      <c r="A18" s="7099"/>
      <c r="B18" s="7099"/>
      <c r="C18" s="7099"/>
      <c r="D18" s="7099"/>
      <c r="E18" s="7099"/>
      <c r="F18" s="7099"/>
      <c r="G18" s="7099"/>
      <c r="H18" s="7099"/>
      <c r="I18" s="7099"/>
      <c r="J18" s="7099"/>
      <c r="K18" s="7099"/>
      <c r="L18" s="103"/>
    </row>
    <row r="19" spans="1:13" ht="12.75" customHeight="1">
      <c r="A19" s="7099"/>
      <c r="B19" s="7099"/>
      <c r="C19" s="7099"/>
      <c r="D19" s="7099"/>
      <c r="E19" s="7099"/>
      <c r="F19" s="7099"/>
      <c r="G19" s="7099"/>
      <c r="H19" s="7099"/>
      <c r="I19" s="7099"/>
      <c r="J19" s="7099"/>
      <c r="K19" s="7099"/>
      <c r="L19" s="103"/>
    </row>
    <row r="20" spans="1:13" ht="12.75" customHeight="1">
      <c r="A20" s="7099"/>
      <c r="B20" s="7099"/>
      <c r="C20" s="7099"/>
      <c r="D20" s="7099"/>
      <c r="E20" s="7099"/>
      <c r="F20" s="7099"/>
      <c r="G20" s="7099"/>
      <c r="H20" s="7099"/>
      <c r="I20" s="7099"/>
      <c r="J20" s="7099"/>
      <c r="K20" s="7099"/>
      <c r="L20" s="103"/>
    </row>
    <row r="21" spans="1:13" ht="12.75" customHeight="1">
      <c r="A21" s="7099"/>
      <c r="B21" s="7099"/>
      <c r="C21" s="7099"/>
      <c r="D21" s="7099"/>
      <c r="E21" s="7099"/>
      <c r="F21" s="7099"/>
      <c r="G21" s="7099"/>
      <c r="H21" s="7099"/>
      <c r="I21" s="7099"/>
      <c r="J21" s="7099"/>
      <c r="K21" s="7099"/>
      <c r="L21" s="103"/>
    </row>
    <row r="22" spans="1:13" ht="12.75" customHeight="1">
      <c r="A22" s="103"/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</row>
    <row r="23" spans="1:13" ht="12.75" customHeight="1">
      <c r="A23" s="103"/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</row>
    <row r="24" spans="1:13" ht="12.75" customHeight="1">
      <c r="A24" s="103"/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</row>
    <row r="25" spans="1:13" ht="12.75" customHeight="1">
      <c r="A25" s="103"/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</row>
    <row r="26" spans="1:13" ht="12.75" customHeight="1">
      <c r="A26" s="103"/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</row>
    <row r="27" spans="1:13" ht="12.75" customHeight="1">
      <c r="A27" s="103"/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267"/>
    </row>
    <row r="28" spans="1:13" ht="12.75" customHeight="1">
      <c r="A28" s="103"/>
      <c r="B28" s="103"/>
      <c r="C28" s="103"/>
      <c r="D28" s="103"/>
      <c r="E28" s="103"/>
      <c r="F28" s="7100"/>
      <c r="G28" s="7100"/>
      <c r="H28" s="7100"/>
      <c r="I28" s="7100"/>
      <c r="J28" s="7100"/>
      <c r="K28" s="7100"/>
      <c r="L28" s="7100"/>
      <c r="M28" s="268"/>
    </row>
    <row r="29" spans="1:13" ht="12.75" customHeight="1">
      <c r="A29" s="103"/>
      <c r="B29" s="103"/>
      <c r="C29" s="103"/>
      <c r="D29" s="103"/>
      <c r="E29" s="103"/>
      <c r="F29" s="7100"/>
      <c r="G29" s="7100"/>
      <c r="H29" s="7100"/>
      <c r="I29" s="7100"/>
      <c r="J29" s="7100"/>
      <c r="K29" s="7100"/>
      <c r="L29" s="7100"/>
      <c r="M29" s="268"/>
    </row>
    <row r="30" spans="1:13" ht="12.75" customHeight="1">
      <c r="A30" s="103"/>
      <c r="B30" s="103"/>
      <c r="C30" s="103"/>
      <c r="D30" s="103"/>
      <c r="E30" s="103"/>
      <c r="F30" s="7100"/>
      <c r="G30" s="7100"/>
      <c r="H30" s="7100"/>
      <c r="I30" s="7100"/>
      <c r="J30" s="7100"/>
      <c r="K30" s="7100"/>
      <c r="L30" s="7100"/>
      <c r="M30" s="268"/>
    </row>
    <row r="31" spans="1:13" ht="12.75" customHeight="1">
      <c r="A31" s="103"/>
      <c r="B31" s="103"/>
      <c r="C31" s="103"/>
      <c r="D31" s="103"/>
      <c r="E31" s="103"/>
      <c r="F31" s="7100"/>
      <c r="G31" s="7100"/>
      <c r="H31" s="7100"/>
      <c r="I31" s="7100"/>
      <c r="J31" s="7100"/>
      <c r="K31" s="7100"/>
      <c r="L31" s="7100"/>
      <c r="M31" s="268"/>
    </row>
    <row r="32" spans="1:13" ht="12.75" customHeight="1">
      <c r="A32" s="103"/>
      <c r="B32" s="103"/>
      <c r="C32" s="103"/>
      <c r="D32" s="103"/>
      <c r="E32" s="103"/>
      <c r="F32" s="7100"/>
      <c r="G32" s="7100"/>
      <c r="H32" s="7100"/>
      <c r="I32" s="7100"/>
      <c r="J32" s="7100"/>
      <c r="K32" s="7100"/>
      <c r="L32" s="7100"/>
      <c r="M32" s="268"/>
    </row>
    <row r="33" spans="1:13" ht="12.75" customHeight="1">
      <c r="A33" s="103"/>
      <c r="B33" s="103"/>
      <c r="C33" s="103"/>
      <c r="D33" s="103"/>
      <c r="E33" s="103"/>
      <c r="F33" s="7100"/>
      <c r="G33" s="7100"/>
      <c r="H33" s="7100"/>
      <c r="I33" s="7100"/>
      <c r="J33" s="7100"/>
      <c r="K33" s="7100"/>
      <c r="L33" s="7100"/>
      <c r="M33" s="268"/>
    </row>
    <row r="34" spans="1:13" ht="12.75" customHeight="1">
      <c r="A34" s="103"/>
      <c r="B34" s="103"/>
      <c r="C34" s="103"/>
      <c r="D34" s="103"/>
      <c r="E34" s="103"/>
      <c r="F34" s="7100"/>
      <c r="G34" s="7100"/>
      <c r="H34" s="7100"/>
      <c r="I34" s="7100"/>
      <c r="J34" s="7100"/>
      <c r="K34" s="7100"/>
      <c r="L34" s="7100"/>
    </row>
    <row r="35" spans="1:13" ht="12.75" customHeight="1">
      <c r="A35" s="103"/>
      <c r="B35" s="103"/>
      <c r="C35" s="103"/>
      <c r="D35" s="103"/>
      <c r="E35" s="103"/>
      <c r="F35" s="7100"/>
      <c r="G35" s="7100"/>
      <c r="H35" s="7100"/>
      <c r="I35" s="7100"/>
      <c r="J35" s="7100"/>
      <c r="K35" s="7100"/>
      <c r="L35" s="7100"/>
    </row>
    <row r="36" spans="1:13" s="104" customFormat="1"/>
    <row r="37" spans="1:13" s="104" customFormat="1"/>
    <row r="38" spans="1:13" s="104" customFormat="1"/>
    <row r="39" spans="1:13" s="104" customFormat="1"/>
    <row r="40" spans="1:13" s="104" customFormat="1"/>
    <row r="41" spans="1:13" s="104" customFormat="1"/>
    <row r="42" spans="1:13" s="104" customFormat="1"/>
    <row r="43" spans="1:13" s="104" customFormat="1"/>
    <row r="44" spans="1:13" s="104" customFormat="1"/>
    <row r="45" spans="1:13" s="104" customFormat="1"/>
    <row r="46" spans="1:13" s="104" customFormat="1"/>
    <row r="47" spans="1:13" s="104" customFormat="1"/>
    <row r="48" spans="1:13" s="104" customFormat="1"/>
    <row r="49" s="104" customFormat="1"/>
    <row r="50" s="104" customFormat="1"/>
    <row r="51" s="104" customFormat="1"/>
    <row r="52" s="104" customFormat="1"/>
    <row r="53" s="104" customFormat="1"/>
    <row r="54" s="104" customFormat="1"/>
    <row r="55" s="104" customFormat="1"/>
    <row r="56" s="104" customFormat="1"/>
    <row r="57" s="104" customFormat="1"/>
    <row r="58" s="104" customFormat="1"/>
    <row r="59" s="104" customFormat="1"/>
    <row r="60" s="104" customFormat="1"/>
    <row r="61" s="104" customFormat="1"/>
    <row r="62" s="104" customFormat="1"/>
    <row r="63" s="104" customFormat="1"/>
    <row r="64" s="104" customFormat="1"/>
    <row r="65" s="104" customFormat="1"/>
    <row r="66" s="104" customFormat="1"/>
    <row r="67" s="104" customFormat="1"/>
    <row r="68" s="104" customFormat="1"/>
    <row r="69" s="104" customFormat="1"/>
    <row r="70" s="104" customFormat="1"/>
    <row r="71" s="104" customFormat="1"/>
    <row r="72" s="104" customFormat="1"/>
    <row r="73" s="104" customFormat="1"/>
    <row r="74" s="104" customFormat="1"/>
    <row r="75" s="104" customFormat="1"/>
    <row r="76" s="104" customFormat="1"/>
    <row r="77" s="104" customFormat="1"/>
    <row r="78" s="104" customFormat="1"/>
    <row r="79" s="104" customFormat="1"/>
    <row r="80" s="104" customFormat="1"/>
    <row r="81" s="104" customFormat="1"/>
    <row r="82" s="104" customFormat="1"/>
    <row r="83" s="104" customFormat="1"/>
    <row r="84" s="104" customFormat="1"/>
    <row r="85" s="104" customFormat="1"/>
    <row r="86" s="104" customFormat="1"/>
    <row r="87" s="104" customFormat="1"/>
    <row r="88" s="104" customFormat="1"/>
    <row r="89" s="104" customFormat="1"/>
    <row r="90" s="104" customFormat="1"/>
    <row r="91" s="104" customFormat="1"/>
    <row r="92" s="104" customFormat="1"/>
    <row r="93" s="104" customFormat="1"/>
    <row r="94" s="104" customFormat="1"/>
    <row r="95" s="104" customFormat="1"/>
    <row r="96" s="104" customFormat="1"/>
    <row r="97" s="104" customFormat="1"/>
    <row r="98" s="104" customFormat="1"/>
    <row r="99" s="104" customFormat="1"/>
    <row r="100" s="104" customFormat="1"/>
    <row r="101" s="104" customFormat="1"/>
    <row r="102" s="104" customFormat="1"/>
    <row r="103" s="104" customFormat="1"/>
    <row r="104" s="104" customFormat="1"/>
    <row r="105" s="104" customFormat="1"/>
    <row r="106" s="104" customFormat="1"/>
    <row r="107" s="104" customFormat="1"/>
    <row r="108" s="104" customFormat="1"/>
    <row r="109" s="104" customFormat="1"/>
    <row r="110" s="104" customFormat="1"/>
    <row r="111" s="104" customFormat="1"/>
    <row r="112" s="104" customFormat="1"/>
    <row r="113" s="104" customFormat="1"/>
    <row r="114" s="104" customFormat="1"/>
    <row r="115" s="104" customFormat="1"/>
    <row r="116" s="104" customFormat="1"/>
    <row r="117" s="104" customFormat="1"/>
    <row r="118" s="104" customFormat="1"/>
    <row r="119" s="104" customFormat="1"/>
    <row r="120" s="104" customFormat="1"/>
    <row r="121" s="104" customFormat="1"/>
    <row r="122" s="104" customFormat="1"/>
    <row r="123" s="104" customFormat="1"/>
    <row r="124" s="104" customFormat="1"/>
    <row r="125" s="104" customFormat="1"/>
    <row r="126" s="104" customFormat="1"/>
    <row r="127" s="104" customFormat="1"/>
    <row r="128" s="104" customFormat="1"/>
    <row r="129" s="104" customFormat="1"/>
    <row r="130" s="104" customFormat="1"/>
    <row r="131" s="104" customFormat="1"/>
    <row r="132" s="104" customFormat="1"/>
    <row r="133" s="104" customFormat="1"/>
    <row r="134" s="104" customFormat="1"/>
    <row r="135" s="104" customFormat="1"/>
    <row r="136" s="104" customFormat="1"/>
    <row r="137" s="104" customFormat="1"/>
    <row r="138" s="104" customFormat="1"/>
    <row r="139" s="104" customFormat="1"/>
    <row r="140" s="104" customFormat="1"/>
    <row r="141" s="104" customFormat="1"/>
    <row r="142" s="104" customFormat="1"/>
    <row r="143" s="104" customFormat="1"/>
    <row r="144" s="104" customFormat="1"/>
    <row r="145" s="104" customFormat="1"/>
    <row r="146" s="104" customFormat="1"/>
    <row r="147" s="104" customFormat="1"/>
    <row r="148" s="104" customFormat="1"/>
    <row r="149" s="104" customFormat="1"/>
    <row r="150" s="104" customFormat="1"/>
    <row r="151" s="104" customFormat="1"/>
    <row r="152" s="104" customFormat="1"/>
    <row r="153" s="104" customFormat="1"/>
    <row r="154" s="104" customFormat="1"/>
    <row r="155" s="104" customFormat="1"/>
    <row r="156" s="104" customFormat="1"/>
    <row r="157" s="104" customFormat="1"/>
    <row r="158" s="104" customFormat="1"/>
    <row r="159" s="104" customFormat="1"/>
    <row r="160" s="104" customFormat="1"/>
    <row r="161" s="104" customFormat="1"/>
    <row r="162" s="104" customFormat="1"/>
    <row r="163" s="104" customFormat="1"/>
    <row r="164" s="104" customFormat="1"/>
    <row r="165" s="104" customFormat="1"/>
    <row r="166" s="104" customFormat="1"/>
    <row r="167" s="104" customFormat="1"/>
    <row r="168" s="104" customFormat="1"/>
    <row r="169" s="104" customFormat="1"/>
  </sheetData>
  <mergeCells count="2">
    <mergeCell ref="A3:K21"/>
    <mergeCell ref="F28:L35"/>
  </mergeCells>
  <phoneticPr fontId="10" type="noConversion"/>
  <pageMargins left="0.7" right="0.7" top="0.75" bottom="0.75" header="0.3" footer="0.3"/>
  <pageSetup paperSize="9"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1"/>
  <sheetViews>
    <sheetView workbookViewId="0">
      <selection activeCell="O23" sqref="O23"/>
    </sheetView>
  </sheetViews>
  <sheetFormatPr defaultColWidth="9" defaultRowHeight="15.6"/>
  <cols>
    <col min="1" max="11" width="11.09765625" style="103" customWidth="1"/>
    <col min="12" max="36" width="9" style="225"/>
    <col min="37" max="16384" width="9" style="103"/>
  </cols>
  <sheetData>
    <row r="1" spans="1:11" ht="12.75" customHeight="1"/>
    <row r="2" spans="1:11" ht="12.75" customHeight="1">
      <c r="A2" s="7101" t="s">
        <v>128</v>
      </c>
      <c r="B2" s="7101"/>
      <c r="C2" s="7101"/>
      <c r="D2" s="7101"/>
      <c r="E2" s="7101"/>
      <c r="F2" s="7101"/>
      <c r="G2" s="7101"/>
      <c r="H2" s="7101"/>
      <c r="I2" s="7101"/>
      <c r="J2" s="7101"/>
      <c r="K2" s="7101"/>
    </row>
    <row r="3" spans="1:11" ht="12.75" customHeight="1">
      <c r="A3" s="7101"/>
      <c r="B3" s="7101"/>
      <c r="C3" s="7101"/>
      <c r="D3" s="7101"/>
      <c r="E3" s="7101"/>
      <c r="F3" s="7101"/>
      <c r="G3" s="7101"/>
      <c r="H3" s="7101"/>
      <c r="I3" s="7101"/>
      <c r="J3" s="7101"/>
      <c r="K3" s="7101"/>
    </row>
    <row r="4" spans="1:11" ht="12.75" customHeight="1"/>
    <row r="5" spans="1:11" ht="12.75" customHeight="1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</row>
    <row r="6" spans="1:11" ht="12.75" customHeight="1">
      <c r="A6" s="107"/>
      <c r="B6" s="107"/>
      <c r="C6" s="107"/>
      <c r="D6" s="107"/>
      <c r="E6" s="3899" t="s">
        <v>220</v>
      </c>
      <c r="F6" s="107"/>
      <c r="G6" s="107"/>
      <c r="H6" s="107"/>
      <c r="I6" s="107"/>
      <c r="J6" s="107"/>
      <c r="K6" s="107"/>
    </row>
    <row r="7" spans="1:11" ht="12.75" customHeight="1">
      <c r="A7" s="105"/>
      <c r="B7" s="105"/>
      <c r="C7" s="105"/>
      <c r="D7" s="105"/>
      <c r="E7" s="3897" t="s">
        <v>129</v>
      </c>
      <c r="F7" s="105"/>
      <c r="G7" s="105"/>
      <c r="H7" s="105"/>
      <c r="I7" s="105"/>
      <c r="J7" s="105"/>
      <c r="K7" s="105"/>
    </row>
    <row r="8" spans="1:11" ht="12.75" customHeight="1">
      <c r="A8" s="106"/>
      <c r="B8" s="106"/>
      <c r="C8" s="106"/>
      <c r="D8" s="106"/>
      <c r="E8" s="3901"/>
      <c r="F8" s="106"/>
      <c r="G8" s="106"/>
      <c r="H8" s="106"/>
      <c r="I8" s="106"/>
      <c r="J8" s="106"/>
      <c r="K8" s="106"/>
    </row>
    <row r="9" spans="1:11" ht="12.75" customHeight="1">
      <c r="A9" s="107"/>
      <c r="B9" s="107"/>
      <c r="C9" s="107"/>
      <c r="D9" s="107"/>
      <c r="E9" s="3899" t="s">
        <v>130</v>
      </c>
      <c r="F9" s="107"/>
      <c r="G9" s="107"/>
      <c r="H9" s="107"/>
      <c r="I9" s="107"/>
      <c r="J9" s="107"/>
      <c r="K9" s="107"/>
    </row>
    <row r="10" spans="1:11" ht="12.75" customHeight="1">
      <c r="A10" s="105"/>
      <c r="B10" s="105"/>
      <c r="C10" s="105"/>
      <c r="D10" s="105"/>
      <c r="E10" s="3897" t="s">
        <v>35</v>
      </c>
      <c r="F10" s="105"/>
      <c r="G10" s="105"/>
      <c r="H10" s="105"/>
      <c r="I10" s="105"/>
      <c r="J10" s="105"/>
      <c r="K10" s="105"/>
    </row>
    <row r="11" spans="1:11" ht="12.75" customHeight="1">
      <c r="A11" s="106"/>
      <c r="B11" s="106"/>
      <c r="C11" s="106"/>
      <c r="D11" s="106"/>
      <c r="E11" s="3901"/>
      <c r="F11" s="106"/>
      <c r="G11" s="106"/>
      <c r="H11" s="106"/>
      <c r="I11" s="106"/>
      <c r="J11" s="106"/>
      <c r="K11" s="106"/>
    </row>
    <row r="12" spans="1:11" ht="12.75" customHeight="1">
      <c r="A12" s="107"/>
      <c r="B12" s="107"/>
      <c r="C12" s="107"/>
      <c r="D12" s="107"/>
      <c r="E12" s="3899" t="s">
        <v>36</v>
      </c>
      <c r="F12" s="107"/>
      <c r="G12" s="107"/>
      <c r="H12" s="107"/>
      <c r="I12" s="107"/>
      <c r="J12" s="107"/>
      <c r="K12" s="107"/>
    </row>
    <row r="13" spans="1:11" ht="12.75" customHeight="1">
      <c r="A13" s="105"/>
      <c r="B13" s="105"/>
      <c r="C13" s="105"/>
      <c r="D13" s="105"/>
      <c r="E13" s="3897" t="s">
        <v>37</v>
      </c>
      <c r="F13" s="105"/>
      <c r="G13" s="105"/>
      <c r="H13" s="105"/>
      <c r="I13" s="105"/>
      <c r="J13" s="105"/>
      <c r="K13" s="105"/>
    </row>
    <row r="14" spans="1:11" ht="12.75" customHeight="1">
      <c r="A14" s="106"/>
      <c r="B14" s="106"/>
      <c r="C14" s="106"/>
      <c r="D14" s="106"/>
      <c r="E14" s="3901"/>
      <c r="F14" s="106"/>
      <c r="G14" s="106"/>
      <c r="H14" s="106"/>
      <c r="I14" s="106"/>
      <c r="J14" s="106"/>
      <c r="K14" s="106"/>
    </row>
    <row r="15" spans="1:11" ht="12.75" customHeight="1">
      <c r="A15" s="107"/>
      <c r="B15" s="107"/>
      <c r="C15" s="107"/>
      <c r="D15" s="107"/>
      <c r="E15" s="3899" t="s">
        <v>38</v>
      </c>
      <c r="F15" s="107"/>
      <c r="G15" s="107"/>
      <c r="H15" s="107"/>
      <c r="I15" s="107"/>
      <c r="J15" s="107"/>
      <c r="K15" s="107"/>
    </row>
    <row r="16" spans="1:11" ht="12.75" customHeight="1">
      <c r="A16" s="105"/>
      <c r="B16" s="105"/>
      <c r="C16" s="105"/>
      <c r="D16" s="105"/>
      <c r="E16" s="3897" t="s">
        <v>39</v>
      </c>
      <c r="F16" s="105"/>
      <c r="G16" s="105"/>
      <c r="H16" s="105"/>
      <c r="I16" s="105"/>
      <c r="J16" s="105"/>
      <c r="K16" s="105"/>
    </row>
    <row r="17" spans="1:11" ht="12.75" customHeight="1">
      <c r="A17" s="106"/>
      <c r="B17" s="106"/>
      <c r="C17" s="106"/>
      <c r="D17" s="106"/>
      <c r="E17" s="3901"/>
      <c r="F17" s="106"/>
      <c r="G17" s="106"/>
      <c r="H17" s="106"/>
      <c r="I17" s="106"/>
      <c r="J17" s="106"/>
      <c r="K17" s="106"/>
    </row>
    <row r="18" spans="1:11" ht="12.75" customHeight="1">
      <c r="A18" s="107"/>
      <c r="B18" s="107"/>
      <c r="C18" s="107"/>
      <c r="D18" s="107"/>
      <c r="E18" s="3899" t="s">
        <v>131</v>
      </c>
      <c r="F18" s="107"/>
      <c r="G18" s="107"/>
      <c r="H18" s="107"/>
      <c r="I18" s="107"/>
      <c r="J18" s="107"/>
      <c r="K18" s="107"/>
    </row>
    <row r="19" spans="1:11" ht="12.75" customHeight="1">
      <c r="A19" s="105"/>
      <c r="B19" s="105"/>
      <c r="C19" s="105"/>
      <c r="D19" s="105"/>
      <c r="E19" s="3897" t="s">
        <v>132</v>
      </c>
      <c r="F19" s="105"/>
      <c r="G19" s="105"/>
      <c r="H19" s="105"/>
      <c r="I19" s="105"/>
      <c r="J19" s="105"/>
      <c r="K19" s="105"/>
    </row>
    <row r="20" spans="1:11" ht="12.75" customHeight="1">
      <c r="A20" s="106"/>
      <c r="B20" s="106"/>
      <c r="C20" s="106"/>
      <c r="D20" s="106"/>
      <c r="E20" s="3901"/>
      <c r="F20" s="106"/>
      <c r="G20" s="106"/>
      <c r="H20" s="106"/>
      <c r="I20" s="106"/>
      <c r="J20" s="106"/>
      <c r="K20" s="106"/>
    </row>
    <row r="21" spans="1:11" ht="12.75" customHeight="1">
      <c r="A21" s="107"/>
      <c r="B21" s="107"/>
      <c r="C21" s="107"/>
      <c r="D21" s="107"/>
      <c r="E21" s="3899" t="s">
        <v>133</v>
      </c>
      <c r="F21" s="107"/>
      <c r="G21" s="107"/>
      <c r="H21" s="107"/>
      <c r="I21" s="107"/>
      <c r="J21" s="107"/>
      <c r="K21" s="107"/>
    </row>
    <row r="22" spans="1:11" ht="12.75" customHeight="1">
      <c r="A22" s="105"/>
      <c r="B22" s="105"/>
      <c r="C22" s="105"/>
      <c r="D22" s="105"/>
      <c r="E22" s="3897" t="s">
        <v>147</v>
      </c>
      <c r="F22" s="105"/>
      <c r="G22" s="105"/>
      <c r="H22" s="105"/>
      <c r="I22" s="105"/>
      <c r="J22" s="105"/>
      <c r="K22" s="105"/>
    </row>
    <row r="23" spans="1:11" ht="12.75" customHeight="1">
      <c r="A23" s="106"/>
      <c r="B23" s="106"/>
      <c r="C23" s="106"/>
      <c r="D23" s="106"/>
      <c r="E23" s="3901"/>
      <c r="F23" s="106"/>
      <c r="G23" s="106"/>
      <c r="H23" s="106"/>
      <c r="I23" s="106"/>
      <c r="J23" s="106"/>
      <c r="K23" s="106"/>
    </row>
    <row r="24" spans="1:11" ht="12.75" customHeight="1">
      <c r="A24" s="107"/>
      <c r="B24" s="107"/>
      <c r="C24" s="107"/>
      <c r="D24" s="107"/>
      <c r="E24" s="3899" t="s">
        <v>134</v>
      </c>
      <c r="F24" s="107"/>
      <c r="G24" s="107"/>
      <c r="H24" s="107"/>
      <c r="I24" s="107"/>
      <c r="J24" s="107"/>
      <c r="K24" s="107"/>
    </row>
    <row r="25" spans="1:11" ht="12.75" customHeight="1">
      <c r="A25" s="105"/>
      <c r="B25" s="105"/>
      <c r="C25" s="105"/>
      <c r="D25" s="105"/>
      <c r="E25" s="3897" t="s">
        <v>148</v>
      </c>
      <c r="F25" s="105"/>
      <c r="G25" s="105"/>
      <c r="H25" s="105"/>
      <c r="I25" s="105"/>
      <c r="J25" s="105"/>
      <c r="K25" s="105"/>
    </row>
    <row r="26" spans="1:11" ht="12.75" customHeight="1">
      <c r="A26" s="108"/>
      <c r="B26" s="108"/>
      <c r="C26" s="108"/>
      <c r="D26" s="108"/>
      <c r="E26" s="3902"/>
      <c r="F26" s="108"/>
      <c r="G26" s="108"/>
      <c r="H26" s="108"/>
      <c r="I26" s="108"/>
      <c r="J26" s="108"/>
      <c r="K26" s="108"/>
    </row>
    <row r="27" spans="1:11" ht="12.75" customHeight="1">
      <c r="A27" s="107"/>
      <c r="B27" s="107"/>
      <c r="C27" s="107"/>
      <c r="D27" s="107"/>
      <c r="E27" s="3899" t="s">
        <v>135</v>
      </c>
      <c r="F27" s="107"/>
      <c r="G27" s="107"/>
      <c r="H27" s="107"/>
      <c r="I27" s="107"/>
      <c r="J27" s="107"/>
      <c r="K27" s="107"/>
    </row>
    <row r="28" spans="1:11" ht="12.75" customHeight="1">
      <c r="A28" s="105"/>
      <c r="B28" s="105"/>
      <c r="C28" s="105"/>
      <c r="D28" s="105"/>
      <c r="E28" s="3897" t="s">
        <v>145</v>
      </c>
      <c r="F28" s="105"/>
      <c r="G28" s="105"/>
      <c r="H28" s="105"/>
      <c r="I28" s="105"/>
      <c r="J28" s="105"/>
      <c r="K28" s="105"/>
    </row>
    <row r="29" spans="1:11" ht="12.75" customHeight="1">
      <c r="A29" s="106"/>
      <c r="B29" s="106"/>
      <c r="C29" s="106"/>
      <c r="D29" s="106"/>
      <c r="E29" s="3901"/>
      <c r="F29" s="106"/>
      <c r="G29" s="106"/>
      <c r="H29" s="106"/>
      <c r="I29" s="106"/>
      <c r="J29" s="106"/>
      <c r="K29" s="106"/>
    </row>
    <row r="30" spans="1:11" ht="12.75" customHeight="1">
      <c r="A30" s="107"/>
      <c r="B30" s="107"/>
      <c r="C30" s="107"/>
      <c r="D30" s="107"/>
      <c r="E30" s="3899" t="s">
        <v>294</v>
      </c>
      <c r="F30" s="107"/>
      <c r="G30" s="107"/>
      <c r="H30" s="107"/>
      <c r="I30" s="107"/>
      <c r="J30" s="107"/>
      <c r="K30" s="107"/>
    </row>
    <row r="31" spans="1:11" ht="12.75" customHeight="1">
      <c r="A31" s="110"/>
      <c r="B31" s="108"/>
      <c r="C31" s="108"/>
      <c r="D31" s="108"/>
      <c r="E31" s="3897" t="s">
        <v>295</v>
      </c>
      <c r="F31" s="108"/>
      <c r="G31" s="108"/>
      <c r="H31" s="108"/>
      <c r="I31" s="108"/>
      <c r="J31" s="108"/>
      <c r="K31" s="108"/>
    </row>
    <row r="32" spans="1:11" ht="12.75" customHeight="1">
      <c r="A32" s="110"/>
      <c r="B32" s="108"/>
      <c r="C32" s="108"/>
      <c r="D32" s="108"/>
      <c r="E32" s="3900"/>
      <c r="F32" s="108"/>
      <c r="G32" s="108"/>
      <c r="H32" s="108"/>
      <c r="I32" s="108"/>
      <c r="J32" s="108"/>
      <c r="K32" s="108"/>
    </row>
    <row r="33" spans="1:11" ht="12.75" customHeight="1">
      <c r="A33" s="107"/>
      <c r="B33" s="107"/>
      <c r="C33" s="107"/>
      <c r="D33" s="107"/>
      <c r="E33" s="3899" t="s">
        <v>293</v>
      </c>
      <c r="F33" s="107"/>
      <c r="G33" s="107"/>
      <c r="H33" s="107"/>
      <c r="I33" s="107"/>
      <c r="J33" s="107"/>
      <c r="K33" s="107"/>
    </row>
    <row r="34" spans="1:11" ht="12.75" customHeight="1">
      <c r="A34" s="108"/>
      <c r="B34" s="109"/>
      <c r="C34" s="108"/>
      <c r="D34" s="108"/>
      <c r="E34" s="3898" t="s">
        <v>146</v>
      </c>
      <c r="F34" s="108"/>
      <c r="G34" s="108"/>
      <c r="H34" s="108"/>
      <c r="I34" s="108"/>
      <c r="J34" s="108"/>
      <c r="K34" s="108"/>
    </row>
    <row r="35" spans="1:11" ht="12.75" customHeight="1">
      <c r="A35" s="110"/>
      <c r="B35" s="108"/>
      <c r="C35" s="108"/>
      <c r="D35" s="108"/>
      <c r="E35" s="3900"/>
      <c r="F35" s="108"/>
      <c r="G35" s="108"/>
      <c r="H35" s="108"/>
      <c r="I35" s="108"/>
      <c r="J35" s="108"/>
      <c r="K35" s="108"/>
    </row>
    <row r="36" spans="1:11" ht="12.75" customHeight="1">
      <c r="A36" s="107"/>
      <c r="B36" s="107"/>
      <c r="C36" s="107"/>
      <c r="D36" s="107"/>
      <c r="E36" s="3899" t="s">
        <v>1335</v>
      </c>
      <c r="F36" s="107"/>
      <c r="G36" s="107"/>
      <c r="H36" s="107"/>
      <c r="I36" s="107"/>
      <c r="J36" s="107"/>
      <c r="K36" s="107"/>
    </row>
    <row r="37" spans="1:11" ht="12.75" customHeight="1">
      <c r="A37" s="110"/>
      <c r="B37" s="108"/>
      <c r="C37" s="108"/>
      <c r="D37" s="108"/>
      <c r="E37" s="3897" t="s">
        <v>144</v>
      </c>
      <c r="F37" s="108"/>
      <c r="G37" s="108"/>
      <c r="H37" s="108"/>
      <c r="I37" s="108"/>
      <c r="J37" s="108"/>
      <c r="K37" s="108"/>
    </row>
    <row r="38" spans="1:11" ht="12.75" customHeight="1">
      <c r="A38" s="106"/>
      <c r="B38" s="106"/>
      <c r="C38" s="106"/>
      <c r="D38" s="106"/>
      <c r="E38" s="3901"/>
      <c r="F38" s="106"/>
      <c r="G38" s="106"/>
      <c r="H38" s="106"/>
      <c r="I38" s="106"/>
      <c r="J38" s="106"/>
      <c r="K38" s="106"/>
    </row>
    <row r="39" spans="1:11" ht="19.2">
      <c r="E39" s="3904" t="s">
        <v>842</v>
      </c>
      <c r="F39" s="107"/>
    </row>
    <row r="40" spans="1:11" ht="19.2">
      <c r="E40" s="3897" t="s">
        <v>843</v>
      </c>
      <c r="F40" s="108"/>
      <c r="G40" s="3903"/>
    </row>
    <row r="43" spans="1:11" s="225" customFormat="1"/>
    <row r="44" spans="1:11" s="225" customFormat="1"/>
    <row r="45" spans="1:11" s="225" customFormat="1"/>
    <row r="46" spans="1:11" s="225" customFormat="1"/>
    <row r="47" spans="1:11" s="225" customFormat="1"/>
    <row r="48" spans="1:11" s="225" customFormat="1"/>
    <row r="49" s="225" customFormat="1"/>
    <row r="50" s="225" customFormat="1"/>
    <row r="51" s="225" customFormat="1"/>
    <row r="52" s="225" customFormat="1"/>
    <row r="53" s="225" customFormat="1"/>
    <row r="54" s="225" customFormat="1"/>
    <row r="55" s="225" customFormat="1"/>
    <row r="56" s="225" customFormat="1"/>
    <row r="57" s="225" customFormat="1"/>
    <row r="58" s="225" customFormat="1"/>
    <row r="59" s="225" customFormat="1"/>
    <row r="60" s="225" customFormat="1"/>
    <row r="61" s="225" customFormat="1"/>
    <row r="62" s="225" customFormat="1"/>
    <row r="63" s="225" customFormat="1"/>
    <row r="64" s="225" customFormat="1"/>
    <row r="65" s="225" customFormat="1"/>
    <row r="66" s="225" customFormat="1"/>
    <row r="67" s="225" customFormat="1"/>
    <row r="68" s="225" customFormat="1"/>
    <row r="69" s="225" customFormat="1"/>
    <row r="70" s="225" customFormat="1"/>
    <row r="71" s="225" customFormat="1"/>
    <row r="72" s="225" customFormat="1"/>
    <row r="73" s="225" customFormat="1"/>
    <row r="74" s="225" customFormat="1"/>
    <row r="75" s="225" customFormat="1"/>
    <row r="76" s="225" customFormat="1"/>
    <row r="77" s="225" customFormat="1"/>
    <row r="78" s="225" customFormat="1"/>
    <row r="79" s="225" customFormat="1"/>
    <row r="80" s="225" customFormat="1"/>
    <row r="81" s="225" customFormat="1"/>
  </sheetData>
  <mergeCells count="1">
    <mergeCell ref="A2:K3"/>
  </mergeCells>
  <phoneticPr fontId="10" type="noConversion"/>
  <hyperlinks>
    <hyperlink ref="E6" location="'1. Assumption'!A1" display="1. Assumption " xr:uid="{00000000-0004-0000-0100-000000000000}"/>
    <hyperlink ref="E9" location="'2. S Plan'!A1" display="2. Sales Plan (S Plan)" xr:uid="{00000000-0004-0000-0100-000001000000}"/>
    <hyperlink ref="E12" location="'3. P PLAN'!A1" display="3. Production Plan (P Plan)" xr:uid="{00000000-0004-0000-0100-000002000000}"/>
    <hyperlink ref="E15" location="'4. L PLAN'!A1" display="4. Labor Plan (L Plan)" xr:uid="{00000000-0004-0000-0100-000003000000}"/>
    <hyperlink ref="E18" location="'5. M Plan'!A1" display="5. Material Plan (M Plan)" xr:uid="{00000000-0004-0000-0100-000004000000}"/>
    <hyperlink ref="E21" location="'6. O Plan'!A1" display="6. Outsourcing (O Plan)" xr:uid="{00000000-0004-0000-0100-000005000000}"/>
    <hyperlink ref="E24" location="'7. E Plan'!A1" display="7. Expense Plan (E Plan)" xr:uid="{00000000-0004-0000-0100-000006000000}"/>
    <hyperlink ref="E27" location="'8. I Plan'!A1" display="8. Investment Plan (I Plan)" xr:uid="{00000000-0004-0000-0100-000007000000}"/>
    <hyperlink ref="E30" location="'9. C Plan'!A1" display="9. Commission Plan (C Plan)" xr:uid="{00000000-0004-0000-0100-000008000000}"/>
    <hyperlink ref="E33" location="'10. IS'!A1" display="10. Income Statement (IS)" xr:uid="{00000000-0004-0000-0100-000009000000}"/>
    <hyperlink ref="E36" location="'11. CF-2026'!A1" display="11. 2026 Cash Flow (CF)" xr:uid="{00000000-0004-0000-0100-00000A000000}"/>
    <hyperlink ref="E39" location="'12. FA Loan'!A1" display="12. FA Loan" xr:uid="{00000000-0004-0000-0100-00000B000000}"/>
  </hyperlink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zoomScale="85" zoomScaleNormal="85" workbookViewId="0">
      <selection activeCell="D27" sqref="D27"/>
    </sheetView>
  </sheetViews>
  <sheetFormatPr defaultColWidth="9" defaultRowHeight="17.399999999999999"/>
  <cols>
    <col min="1" max="1" width="2.09765625" style="1492" customWidth="1"/>
    <col min="2" max="2" width="4.69921875" style="1492" bestFit="1" customWidth="1"/>
    <col min="3" max="3" width="15.09765625" style="1492" customWidth="1"/>
    <col min="4" max="4" width="68" style="1492" customWidth="1"/>
    <col min="5" max="6" width="16.69921875" style="1492" customWidth="1"/>
    <col min="7" max="7" width="69.09765625" style="1492" customWidth="1"/>
    <col min="8" max="16384" width="9" style="1492"/>
  </cols>
  <sheetData>
    <row r="1" spans="1:7" ht="16.5" customHeight="1">
      <c r="A1" s="7123" t="s">
        <v>996</v>
      </c>
      <c r="B1" s="7123"/>
      <c r="C1" s="7123"/>
      <c r="D1" s="7123"/>
      <c r="E1" s="7123"/>
      <c r="F1" s="7123"/>
      <c r="G1" s="7123"/>
    </row>
    <row r="2" spans="1:7" ht="16.5" customHeight="1">
      <c r="A2" s="7123"/>
      <c r="B2" s="7123"/>
      <c r="C2" s="7123"/>
      <c r="D2" s="7123"/>
      <c r="E2" s="7123"/>
      <c r="F2" s="7123"/>
      <c r="G2" s="7123"/>
    </row>
    <row r="3" spans="1:7" ht="16.5" customHeight="1">
      <c r="A3" s="90"/>
      <c r="B3" s="90"/>
      <c r="C3" s="90"/>
      <c r="D3" s="90"/>
      <c r="E3" s="90"/>
      <c r="F3" s="90"/>
    </row>
    <row r="4" spans="1:7" ht="19.2">
      <c r="A4" s="1493" t="s">
        <v>997</v>
      </c>
    </row>
    <row r="5" spans="1:7">
      <c r="E5" s="1494"/>
    </row>
    <row r="6" spans="1:7">
      <c r="A6" s="1495" t="s">
        <v>998</v>
      </c>
    </row>
    <row r="7" spans="1:7">
      <c r="B7" s="91" t="s">
        <v>40</v>
      </c>
      <c r="C7" s="91" t="s">
        <v>999</v>
      </c>
      <c r="D7" s="91" t="s">
        <v>41</v>
      </c>
      <c r="E7" s="91" t="s">
        <v>795</v>
      </c>
      <c r="F7" s="7118" t="s">
        <v>42</v>
      </c>
      <c r="G7" s="7120"/>
    </row>
    <row r="8" spans="1:7" s="1496" customFormat="1" ht="39.75" customHeight="1">
      <c r="B8" s="1497">
        <v>1</v>
      </c>
      <c r="C8" s="1498" t="s">
        <v>1323</v>
      </c>
      <c r="D8" s="5002" t="s">
        <v>1575</v>
      </c>
      <c r="E8" s="1500">
        <f>'2. S Plan'!X109+'2. S Plan'!X110+'2. S Plan'!X111+'2. S Plan'!X112+'2. S Plan'!X113+'2. S Plan'!X114+'2. S Plan'!X115</f>
        <v>12243940.457509222</v>
      </c>
      <c r="F8" s="7124" t="s">
        <v>1329</v>
      </c>
      <c r="G8" s="7125"/>
    </row>
    <row r="9" spans="1:7" s="1496" customFormat="1" ht="36" customHeight="1">
      <c r="B9" s="1497">
        <v>2</v>
      </c>
      <c r="C9" s="1501" t="s">
        <v>1324</v>
      </c>
      <c r="D9" s="5002" t="s">
        <v>1576</v>
      </c>
      <c r="E9" s="1500">
        <f>'2. S Plan'!X117</f>
        <v>6451579.3905947339</v>
      </c>
      <c r="F9" s="7124"/>
      <c r="G9" s="7125"/>
    </row>
    <row r="10" spans="1:7" s="1496" customFormat="1">
      <c r="B10" s="1497">
        <v>3</v>
      </c>
      <c r="C10" s="1502" t="s">
        <v>24</v>
      </c>
      <c r="D10" s="1499"/>
      <c r="E10" s="1500">
        <f>'2. S Plan'!X119+'2. S Plan'!X120+'2. S Plan'!X121+'2. S Plan'!X122+'2. S Plan'!X123+'2. S Plan'!X124</f>
        <v>693554.69314285717</v>
      </c>
      <c r="F10" s="7126"/>
      <c r="G10" s="7127"/>
    </row>
    <row r="11" spans="1:7" s="1496" customFormat="1" ht="38.25" customHeight="1">
      <c r="B11" s="1497">
        <v>4</v>
      </c>
      <c r="C11" s="1503" t="s">
        <v>20</v>
      </c>
      <c r="D11" s="5002" t="s">
        <v>1577</v>
      </c>
      <c r="E11" s="1504">
        <f>'2. S Plan'!X127+'2. S Plan'!X128+'2. S Plan'!X129+'2. S Plan'!X130+'2. S Plan'!X131+'2. S Plan'!X132+'2. S Plan'!X134+'2. S Plan'!X136+'2. S Plan'!X137+'2. S Plan'!X139+'2. S Plan'!X140+'2. S Plan'!X141+'2. S Plan'!X142+'2. S Plan'!X143+'2. S Plan'!X145+'2. S Plan'!X147+'2. S Plan'!X148+'2. S Plan'!X150+'2. S Plan'!X151+'2. S Plan'!X153+'2. S Plan'!X154+'2. S Plan'!X155+'2. S Plan'!X156+'2. S Plan'!X159+'2. S Plan'!X160+'2. S Plan'!X161+'2. S Plan'!X162</f>
        <v>5008883.3246635012</v>
      </c>
      <c r="F11" s="7124" t="s">
        <v>1330</v>
      </c>
      <c r="G11" s="7125"/>
    </row>
    <row r="12" spans="1:7" s="1496" customFormat="1">
      <c r="B12" s="1497">
        <v>5</v>
      </c>
      <c r="C12" s="1503" t="s">
        <v>887</v>
      </c>
      <c r="D12" s="5002" t="s">
        <v>1578</v>
      </c>
      <c r="E12" s="1500">
        <f>'2. S Plan'!X165+'2. S Plan'!X166+'2. S Plan'!X167+'2. S Plan'!X169+'2. S Plan'!X168+'2. S Plan'!X170+'2. S Plan'!X172+'2. S Plan'!X173+'2. S Plan'!X174+'2. S Plan'!X175+'2. S Plan'!X176+'2. S Plan'!X178+'2. S Plan'!X180</f>
        <v>6540485.46918811</v>
      </c>
      <c r="F12" s="7126"/>
      <c r="G12" s="7127"/>
    </row>
    <row r="13" spans="1:7" s="1496" customFormat="1">
      <c r="B13" s="1497">
        <v>6</v>
      </c>
      <c r="C13" s="1503" t="s">
        <v>1325</v>
      </c>
      <c r="D13" s="5002" t="s">
        <v>1579</v>
      </c>
      <c r="E13" s="1504">
        <f>'2. S Plan'!X183+'2. S Plan'!X184+'2. S Plan'!X185+'2. S Plan'!X187+'2. S Plan'!X188+'2. S Plan'!X189+'2. S Plan'!X191+'2. S Plan'!X192+'2. S Plan'!X193+'2. S Plan'!X194+'2. S Plan'!X195+'2. S Plan'!X196</f>
        <v>8333548.633187715</v>
      </c>
      <c r="F13" s="7126"/>
      <c r="G13" s="7127"/>
    </row>
    <row r="14" spans="1:7" s="1496" customFormat="1" ht="40.5" customHeight="1">
      <c r="B14" s="1497">
        <v>7</v>
      </c>
      <c r="C14" s="3771" t="s">
        <v>1326</v>
      </c>
      <c r="D14" s="5002" t="s">
        <v>1580</v>
      </c>
      <c r="E14" s="1500" t="e">
        <f>'2. S Plan'!X200+'2. S Plan'!X201+'2. S Plan'!#REF!+'2. S Plan'!#REF!+'2. S Plan'!#REF!+'2. S Plan'!#REF!+'2. S Plan'!X199</f>
        <v>#REF!</v>
      </c>
      <c r="F14" s="7128" t="s">
        <v>1379</v>
      </c>
      <c r="G14" s="7127"/>
    </row>
    <row r="15" spans="1:7" s="1496" customFormat="1">
      <c r="B15" s="1497">
        <v>8</v>
      </c>
      <c r="C15" s="1503" t="s">
        <v>1327</v>
      </c>
      <c r="D15" s="1499" t="s">
        <v>1328</v>
      </c>
      <c r="E15" s="1500">
        <f>'2. S Plan'!X204+'2. S Plan'!X205</f>
        <v>2283491.6684816438</v>
      </c>
      <c r="F15" s="7126"/>
      <c r="G15" s="7127"/>
    </row>
    <row r="16" spans="1:7">
      <c r="B16" s="7118" t="s">
        <v>747</v>
      </c>
      <c r="C16" s="7119"/>
      <c r="D16" s="7120"/>
      <c r="E16" s="1505" t="e">
        <f>SUM(E8:E15)</f>
        <v>#REF!</v>
      </c>
      <c r="F16" s="7121"/>
      <c r="G16" s="7122"/>
    </row>
    <row r="17" spans="1:7">
      <c r="E17" s="1506" t="b">
        <v>1</v>
      </c>
    </row>
    <row r="18" spans="1:7">
      <c r="A18" s="1495" t="s">
        <v>1000</v>
      </c>
    </row>
    <row r="19" spans="1:7">
      <c r="B19" s="91" t="s">
        <v>40</v>
      </c>
      <c r="C19" s="91" t="s">
        <v>999</v>
      </c>
      <c r="D19" s="7108" t="s">
        <v>41</v>
      </c>
      <c r="E19" s="7109"/>
      <c r="F19" s="7108" t="s">
        <v>42</v>
      </c>
      <c r="G19" s="7108"/>
    </row>
    <row r="20" spans="1:7" ht="16.5" customHeight="1">
      <c r="B20" s="3773">
        <v>1</v>
      </c>
      <c r="C20" s="3774" t="s">
        <v>1001</v>
      </c>
      <c r="D20" s="7110" t="s">
        <v>1581</v>
      </c>
      <c r="E20" s="7111"/>
      <c r="F20" s="7112"/>
      <c r="G20" s="7113"/>
    </row>
    <row r="21" spans="1:7">
      <c r="B21" s="3773">
        <v>2</v>
      </c>
      <c r="C21" s="3774" t="s">
        <v>150</v>
      </c>
      <c r="D21" s="7110" t="s">
        <v>1582</v>
      </c>
      <c r="E21" s="7111"/>
      <c r="F21" s="7112"/>
      <c r="G21" s="7113"/>
    </row>
    <row r="22" spans="1:7" ht="17.399999999999999" customHeight="1">
      <c r="B22" s="3773">
        <v>3</v>
      </c>
      <c r="C22" s="3774" t="s">
        <v>348</v>
      </c>
      <c r="D22" s="3775" t="s">
        <v>1583</v>
      </c>
      <c r="E22" s="3776"/>
      <c r="F22" s="7102"/>
      <c r="G22" s="7103"/>
    </row>
    <row r="23" spans="1:7" ht="16.5" customHeight="1">
      <c r="B23" s="3773">
        <v>4</v>
      </c>
      <c r="C23" s="3774" t="s">
        <v>544</v>
      </c>
      <c r="D23" s="7114" t="s">
        <v>1584</v>
      </c>
      <c r="E23" s="3777"/>
      <c r="F23" s="7104"/>
      <c r="G23" s="7105"/>
    </row>
    <row r="24" spans="1:7">
      <c r="B24" s="3773">
        <v>5</v>
      </c>
      <c r="C24" s="3774" t="s">
        <v>347</v>
      </c>
      <c r="D24" s="7115"/>
      <c r="E24" s="3778"/>
      <c r="F24" s="7104"/>
      <c r="G24" s="7105"/>
    </row>
    <row r="25" spans="1:7" ht="17.399999999999999" customHeight="1">
      <c r="A25" s="1495"/>
      <c r="B25" s="3773">
        <v>6</v>
      </c>
      <c r="C25" s="3774" t="s">
        <v>1262</v>
      </c>
      <c r="D25" s="7116" t="s">
        <v>1585</v>
      </c>
      <c r="E25" s="7117"/>
      <c r="F25" s="7106"/>
      <c r="G25" s="7107"/>
    </row>
    <row r="26" spans="1:7">
      <c r="B26" s="1507"/>
      <c r="C26" s="1508"/>
      <c r="D26" s="1509"/>
      <c r="E26" s="1510"/>
    </row>
  </sheetData>
  <mergeCells count="21">
    <mergeCell ref="B16:D16"/>
    <mergeCell ref="F16:G16"/>
    <mergeCell ref="A1:G2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22:G25"/>
    <mergeCell ref="D19:E19"/>
    <mergeCell ref="F19:G19"/>
    <mergeCell ref="D20:E20"/>
    <mergeCell ref="F20:G20"/>
    <mergeCell ref="D21:E21"/>
    <mergeCell ref="F21:G21"/>
    <mergeCell ref="D23:D24"/>
    <mergeCell ref="D25:E25"/>
  </mergeCells>
  <phoneticPr fontId="1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9"/>
  <sheetViews>
    <sheetView showGridLines="0" topLeftCell="D12" zoomScaleNormal="100" workbookViewId="0">
      <selection activeCell="F29" sqref="F29"/>
    </sheetView>
  </sheetViews>
  <sheetFormatPr defaultColWidth="9" defaultRowHeight="17.399999999999999"/>
  <cols>
    <col min="1" max="1" width="5.8984375" style="1511" customWidth="1"/>
    <col min="2" max="2" width="10.09765625" style="1511" customWidth="1"/>
    <col min="3" max="3" width="21.09765625" style="1511" bestFit="1" customWidth="1"/>
    <col min="4" max="4" width="81.09765625" style="1511" customWidth="1"/>
    <col min="5" max="5" width="73.8984375" style="1511" customWidth="1"/>
    <col min="6" max="6" width="14.09765625" style="1512" bestFit="1" customWidth="1"/>
    <col min="7" max="7" width="14.09765625" style="1511" customWidth="1"/>
    <col min="8" max="8" width="9" style="1511" customWidth="1"/>
    <col min="9" max="16384" width="9" style="1511"/>
  </cols>
  <sheetData>
    <row r="1" spans="1:6">
      <c r="A1" s="7123" t="s">
        <v>215</v>
      </c>
      <c r="B1" s="7123"/>
      <c r="C1" s="7123"/>
      <c r="D1" s="7123"/>
      <c r="E1" s="7123"/>
      <c r="F1" s="7123"/>
    </row>
    <row r="2" spans="1:6">
      <c r="A2" s="7123"/>
      <c r="B2" s="7123"/>
      <c r="C2" s="7123"/>
      <c r="D2" s="7123"/>
      <c r="E2" s="7123"/>
      <c r="F2" s="7123"/>
    </row>
    <row r="3" spans="1:6">
      <c r="A3" s="2047" t="s">
        <v>1334</v>
      </c>
    </row>
    <row r="4" spans="1:6" ht="18" thickBot="1">
      <c r="A4" s="1513" t="s">
        <v>40</v>
      </c>
      <c r="B4" s="1513" t="s">
        <v>118</v>
      </c>
      <c r="C4" s="1514" t="s">
        <v>208</v>
      </c>
      <c r="D4" s="1514" t="s">
        <v>41</v>
      </c>
      <c r="E4" s="1514" t="s">
        <v>372</v>
      </c>
      <c r="F4" s="1513" t="s">
        <v>42</v>
      </c>
    </row>
    <row r="5" spans="1:6" ht="18" customHeight="1">
      <c r="A5" s="7130">
        <v>1</v>
      </c>
      <c r="B5" s="7129" t="s">
        <v>214</v>
      </c>
      <c r="C5" s="3895" t="s">
        <v>244</v>
      </c>
      <c r="D5" s="1516" t="s">
        <v>1355</v>
      </c>
      <c r="E5" s="1515" t="s">
        <v>1336</v>
      </c>
      <c r="F5" s="1517" t="s">
        <v>799</v>
      </c>
    </row>
    <row r="6" spans="1:6" ht="18" customHeight="1">
      <c r="A6" s="7130"/>
      <c r="B6" s="7130"/>
      <c r="C6" s="1520" t="s">
        <v>209</v>
      </c>
      <c r="D6" s="1518" t="s">
        <v>1337</v>
      </c>
      <c r="E6" s="1518"/>
      <c r="F6" s="1519" t="s">
        <v>800</v>
      </c>
    </row>
    <row r="7" spans="1:6" ht="18" customHeight="1">
      <c r="A7" s="7130"/>
      <c r="B7" s="7130"/>
      <c r="C7" s="1520"/>
      <c r="D7" s="1518" t="s">
        <v>1338</v>
      </c>
      <c r="E7" s="1518"/>
      <c r="F7" s="1519" t="s">
        <v>800</v>
      </c>
    </row>
    <row r="8" spans="1:6" ht="18" customHeight="1">
      <c r="A8" s="7130"/>
      <c r="B8" s="7130"/>
      <c r="C8" s="1520" t="s">
        <v>217</v>
      </c>
      <c r="D8" s="1518" t="s">
        <v>801</v>
      </c>
      <c r="E8" s="1518" t="s">
        <v>798</v>
      </c>
      <c r="F8" s="1519"/>
    </row>
    <row r="9" spans="1:6" ht="18" customHeight="1">
      <c r="A9" s="7130"/>
      <c r="B9" s="7130"/>
      <c r="C9" s="1520" t="s">
        <v>210</v>
      </c>
      <c r="D9" s="1518" t="s">
        <v>1339</v>
      </c>
      <c r="E9" s="1518" t="s">
        <v>1340</v>
      </c>
      <c r="F9" s="1519"/>
    </row>
    <row r="10" spans="1:6" ht="18" customHeight="1">
      <c r="A10" s="7130"/>
      <c r="B10" s="7130"/>
      <c r="C10" s="1520" t="s">
        <v>210</v>
      </c>
      <c r="D10" s="1518" t="s">
        <v>802</v>
      </c>
      <c r="E10" s="1518" t="s">
        <v>1357</v>
      </c>
      <c r="F10" s="1519"/>
    </row>
    <row r="11" spans="1:6" ht="18" customHeight="1">
      <c r="A11" s="7130"/>
      <c r="B11" s="7130"/>
      <c r="C11" s="1520" t="s">
        <v>210</v>
      </c>
      <c r="D11" s="1518" t="s">
        <v>1367</v>
      </c>
      <c r="E11" s="1518" t="s">
        <v>803</v>
      </c>
      <c r="F11" s="1519"/>
    </row>
    <row r="12" spans="1:6" ht="18" customHeight="1">
      <c r="A12" s="7130"/>
      <c r="B12" s="7130"/>
      <c r="C12" s="1520" t="s">
        <v>211</v>
      </c>
      <c r="D12" s="1518" t="s">
        <v>1342</v>
      </c>
      <c r="E12" s="1518"/>
      <c r="F12" s="1519" t="s">
        <v>227</v>
      </c>
    </row>
    <row r="13" spans="1:6" ht="18" customHeight="1">
      <c r="A13" s="7130"/>
      <c r="B13" s="7130"/>
      <c r="C13" s="1520" t="s">
        <v>290</v>
      </c>
      <c r="D13" s="1518" t="s">
        <v>1359</v>
      </c>
      <c r="E13" s="1518" t="s">
        <v>1343</v>
      </c>
      <c r="F13" s="1519"/>
    </row>
    <row r="14" spans="1:6" ht="18" customHeight="1">
      <c r="A14" s="7130"/>
      <c r="B14" s="7130"/>
      <c r="C14" s="1520" t="s">
        <v>504</v>
      </c>
      <c r="D14" s="1518" t="s">
        <v>1358</v>
      </c>
      <c r="E14" s="1518" t="s">
        <v>1344</v>
      </c>
      <c r="F14" s="1519"/>
    </row>
    <row r="15" spans="1:6" ht="18" customHeight="1">
      <c r="A15" s="7130"/>
      <c r="B15" s="7130"/>
      <c r="C15" s="1520" t="s">
        <v>213</v>
      </c>
      <c r="D15" s="1518" t="s">
        <v>1345</v>
      </c>
      <c r="E15" s="1518"/>
      <c r="F15" s="1519"/>
    </row>
    <row r="16" spans="1:6" ht="18" customHeight="1">
      <c r="A16" s="7130"/>
      <c r="B16" s="7130"/>
      <c r="C16" s="1520" t="s">
        <v>218</v>
      </c>
      <c r="D16" s="1518" t="s">
        <v>1360</v>
      </c>
      <c r="E16" s="1518" t="s">
        <v>1361</v>
      </c>
      <c r="F16" s="1519" t="s">
        <v>804</v>
      </c>
    </row>
    <row r="17" spans="1:6" ht="18" customHeight="1">
      <c r="A17" s="7131"/>
      <c r="B17" s="7131"/>
      <c r="C17" s="1520" t="s">
        <v>219</v>
      </c>
      <c r="D17" s="1518" t="s">
        <v>1346</v>
      </c>
      <c r="E17" s="1518"/>
      <c r="F17" s="1519"/>
    </row>
    <row r="18" spans="1:6" ht="18" customHeight="1">
      <c r="A18" s="7136">
        <v>2</v>
      </c>
      <c r="B18" s="7136" t="s">
        <v>2</v>
      </c>
      <c r="C18" s="1521" t="s">
        <v>242</v>
      </c>
      <c r="D18" s="1518" t="s">
        <v>1347</v>
      </c>
      <c r="E18" s="1518"/>
      <c r="F18" s="1519"/>
    </row>
    <row r="19" spans="1:6" ht="18" customHeight="1">
      <c r="A19" s="7130"/>
      <c r="B19" s="7130"/>
      <c r="C19" s="1522" t="s">
        <v>222</v>
      </c>
      <c r="D19" s="1518" t="s">
        <v>1362</v>
      </c>
      <c r="E19" s="1518" t="s">
        <v>1363</v>
      </c>
      <c r="F19" s="1519"/>
    </row>
    <row r="20" spans="1:6" ht="18" customHeight="1">
      <c r="A20" s="7130"/>
      <c r="B20" s="7130"/>
      <c r="C20" s="1522" t="s">
        <v>223</v>
      </c>
      <c r="D20" s="1518" t="s">
        <v>1364</v>
      </c>
      <c r="E20" s="1518" t="s">
        <v>841</v>
      </c>
      <c r="F20" s="1519"/>
    </row>
    <row r="21" spans="1:6" ht="18" customHeight="1">
      <c r="A21" s="7130"/>
      <c r="B21" s="7130"/>
      <c r="C21" s="1522" t="s">
        <v>224</v>
      </c>
      <c r="D21" s="1518" t="s">
        <v>1350</v>
      </c>
      <c r="E21" s="1523" t="s">
        <v>1348</v>
      </c>
      <c r="F21" s="1519"/>
    </row>
    <row r="22" spans="1:6" ht="18" customHeight="1">
      <c r="A22" s="7130"/>
      <c r="B22" s="7130"/>
      <c r="C22" s="1524" t="s">
        <v>218</v>
      </c>
      <c r="D22" s="1518" t="s">
        <v>1349</v>
      </c>
      <c r="E22" s="1518"/>
      <c r="F22" s="1519"/>
    </row>
    <row r="23" spans="1:6" ht="18" customHeight="1">
      <c r="A23" s="7130"/>
      <c r="B23" s="7130"/>
      <c r="C23" s="3896" t="s">
        <v>243</v>
      </c>
      <c r="D23" s="1518" t="s">
        <v>1352</v>
      </c>
      <c r="E23" s="1518" t="s">
        <v>1353</v>
      </c>
      <c r="F23" s="1519"/>
    </row>
    <row r="24" spans="1:6" ht="18" customHeight="1">
      <c r="A24" s="3893"/>
      <c r="B24" s="3893"/>
      <c r="C24" s="1526" t="s">
        <v>291</v>
      </c>
      <c r="D24" s="1518" t="s">
        <v>1354</v>
      </c>
      <c r="E24" s="1518"/>
      <c r="F24" s="1519" t="s">
        <v>225</v>
      </c>
    </row>
    <row r="25" spans="1:6" s="1492" customFormat="1" ht="18" customHeight="1">
      <c r="A25" s="3894">
        <v>4</v>
      </c>
      <c r="B25" s="3894" t="s">
        <v>212</v>
      </c>
      <c r="C25" s="1525" t="s">
        <v>292</v>
      </c>
      <c r="D25" s="1518" t="s">
        <v>1365</v>
      </c>
      <c r="E25" s="1518" t="s">
        <v>1366</v>
      </c>
      <c r="F25" s="1519" t="s">
        <v>226</v>
      </c>
    </row>
    <row r="26" spans="1:6" ht="18" customHeight="1">
      <c r="A26" s="7132">
        <v>5</v>
      </c>
      <c r="B26" s="7132" t="s">
        <v>120</v>
      </c>
      <c r="C26" s="3346" t="s">
        <v>312</v>
      </c>
      <c r="D26" s="7133" t="s">
        <v>1356</v>
      </c>
      <c r="E26" s="7133" t="s">
        <v>1341</v>
      </c>
      <c r="F26" s="3767">
        <v>1.29</v>
      </c>
    </row>
    <row r="27" spans="1:6" ht="18" customHeight="1">
      <c r="A27" s="7130"/>
      <c r="B27" s="7130"/>
      <c r="C27" s="3346" t="s">
        <v>313</v>
      </c>
      <c r="D27" s="7134"/>
      <c r="E27" s="7134"/>
      <c r="F27" s="3768">
        <v>1450</v>
      </c>
    </row>
    <row r="28" spans="1:6" ht="18" customHeight="1">
      <c r="A28" s="7130"/>
      <c r="B28" s="7130"/>
      <c r="C28" s="3346" t="s">
        <v>314</v>
      </c>
      <c r="D28" s="7134"/>
      <c r="E28" s="7134"/>
      <c r="F28" s="3769">
        <v>6.9</v>
      </c>
    </row>
    <row r="29" spans="1:6" ht="18" customHeight="1">
      <c r="A29" s="7131"/>
      <c r="B29" s="7131"/>
      <c r="C29" s="3346" t="s">
        <v>315</v>
      </c>
      <c r="D29" s="7135"/>
      <c r="E29" s="7135"/>
      <c r="F29" s="3770">
        <v>26400</v>
      </c>
    </row>
  </sheetData>
  <mergeCells count="9">
    <mergeCell ref="A1:F2"/>
    <mergeCell ref="B5:B17"/>
    <mergeCell ref="A5:A17"/>
    <mergeCell ref="B26:B29"/>
    <mergeCell ref="A26:A29"/>
    <mergeCell ref="D26:D29"/>
    <mergeCell ref="E26:E29"/>
    <mergeCell ref="A18:A23"/>
    <mergeCell ref="B18:B23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45"/>
  <sheetViews>
    <sheetView zoomScale="85" zoomScaleNormal="85" workbookViewId="0">
      <selection activeCell="G29" sqref="G29"/>
    </sheetView>
  </sheetViews>
  <sheetFormatPr defaultRowHeight="17.399999999999999"/>
  <cols>
    <col min="1" max="1" width="7.09765625" customWidth="1"/>
    <col min="2" max="2" width="45.3984375" customWidth="1"/>
    <col min="3" max="4" width="15.3984375" style="5190" customWidth="1"/>
    <col min="5" max="22" width="9.59765625" customWidth="1"/>
    <col min="23" max="23" width="57.09765625" customWidth="1"/>
    <col min="26" max="26" width="28.59765625" customWidth="1"/>
  </cols>
  <sheetData>
    <row r="1" spans="1:27" ht="21.6" thickBot="1">
      <c r="A1" s="5139" t="s">
        <v>1587</v>
      </c>
      <c r="B1" s="5139"/>
      <c r="C1" s="5140"/>
      <c r="D1" s="5140"/>
      <c r="E1" s="5139"/>
      <c r="F1" s="5139"/>
      <c r="G1" s="5139"/>
      <c r="H1" s="5139"/>
      <c r="I1" s="5139"/>
      <c r="J1" s="5139"/>
      <c r="K1" s="5139"/>
      <c r="L1" s="5139"/>
      <c r="M1" s="5139"/>
      <c r="N1" s="5139"/>
      <c r="O1" s="5139"/>
      <c r="P1" s="5139"/>
      <c r="Q1" s="5139"/>
      <c r="R1" s="5139"/>
      <c r="S1" s="5139"/>
      <c r="T1" s="5139"/>
      <c r="U1" s="5139"/>
      <c r="V1" s="5139"/>
    </row>
    <row r="2" spans="1:27" ht="18" thickBot="1">
      <c r="A2" s="5141" t="s">
        <v>1009</v>
      </c>
      <c r="B2" s="5142" t="s">
        <v>1588</v>
      </c>
      <c r="C2" s="5143" t="s">
        <v>1589</v>
      </c>
      <c r="D2" s="5144" t="s">
        <v>1590</v>
      </c>
      <c r="E2" s="5145">
        <v>46023</v>
      </c>
      <c r="F2" s="5146">
        <v>46054</v>
      </c>
      <c r="G2" s="5146">
        <v>46082</v>
      </c>
      <c r="H2" s="5146">
        <v>46113</v>
      </c>
      <c r="I2" s="5146">
        <v>46143</v>
      </c>
      <c r="J2" s="5146">
        <v>46174</v>
      </c>
      <c r="K2" s="5146">
        <v>46204</v>
      </c>
      <c r="L2" s="5146">
        <v>46235</v>
      </c>
      <c r="M2" s="5146">
        <v>46266</v>
      </c>
      <c r="N2" s="5146">
        <v>46296</v>
      </c>
      <c r="O2" s="5146">
        <v>46327</v>
      </c>
      <c r="P2" s="5146">
        <v>46357</v>
      </c>
      <c r="Q2" s="5146">
        <v>46388</v>
      </c>
      <c r="R2" s="5146">
        <v>46419</v>
      </c>
      <c r="S2" s="5146">
        <v>46447</v>
      </c>
      <c r="T2" s="5146">
        <v>46478</v>
      </c>
      <c r="U2" s="5146">
        <v>46508</v>
      </c>
      <c r="V2" s="5146">
        <v>46539</v>
      </c>
      <c r="W2" s="5145" t="s">
        <v>1591</v>
      </c>
      <c r="Z2" s="5147" t="s">
        <v>1592</v>
      </c>
      <c r="AA2" s="5147">
        <v>-1200</v>
      </c>
    </row>
    <row r="3" spans="1:27">
      <c r="A3" s="5148">
        <v>1</v>
      </c>
      <c r="B3" s="5149" t="s">
        <v>1593</v>
      </c>
      <c r="C3" s="5150">
        <v>12500000</v>
      </c>
      <c r="D3" s="5151">
        <v>25000000</v>
      </c>
      <c r="E3" s="5152"/>
      <c r="F3" s="5153"/>
      <c r="G3" s="5153"/>
      <c r="H3" s="5153"/>
      <c r="I3" s="5153"/>
      <c r="J3" s="5153"/>
      <c r="K3" s="5153"/>
      <c r="L3" s="5153">
        <v>15</v>
      </c>
      <c r="M3" s="5153">
        <v>15</v>
      </c>
      <c r="N3" s="5153">
        <v>15</v>
      </c>
      <c r="O3" s="5153">
        <v>15</v>
      </c>
      <c r="P3" s="5153">
        <v>15</v>
      </c>
      <c r="Q3" s="5153">
        <v>17</v>
      </c>
      <c r="R3" s="5153">
        <f>Q3</f>
        <v>17</v>
      </c>
      <c r="S3" s="5153">
        <f>R3</f>
        <v>17</v>
      </c>
      <c r="T3" s="5153">
        <f>S3</f>
        <v>17</v>
      </c>
      <c r="U3" s="5153">
        <f>T3</f>
        <v>17</v>
      </c>
      <c r="V3" s="5153">
        <f>U3</f>
        <v>17</v>
      </c>
      <c r="W3" s="5154" t="s">
        <v>1594</v>
      </c>
      <c r="Z3" s="5155" t="s">
        <v>1595</v>
      </c>
      <c r="AA3" s="5155">
        <v>550</v>
      </c>
    </row>
    <row r="4" spans="1:27">
      <c r="A4" s="5156">
        <v>2</v>
      </c>
      <c r="B4" s="5157" t="s">
        <v>1596</v>
      </c>
      <c r="C4" s="5158">
        <v>6300000</v>
      </c>
      <c r="D4" s="5159">
        <v>8000000</v>
      </c>
      <c r="E4" s="5160"/>
      <c r="F4" s="5161"/>
      <c r="G4" s="5161"/>
      <c r="H4" s="5161"/>
      <c r="I4" s="5161"/>
      <c r="J4" s="5161">
        <v>319</v>
      </c>
      <c r="K4" s="5161">
        <f>J4</f>
        <v>319</v>
      </c>
      <c r="L4" s="5161">
        <f>K4</f>
        <v>319</v>
      </c>
      <c r="M4" s="5161">
        <f>L4+31</f>
        <v>350</v>
      </c>
      <c r="N4" s="5161">
        <f>M4</f>
        <v>350</v>
      </c>
      <c r="O4" s="5161">
        <f>N4</f>
        <v>350</v>
      </c>
      <c r="P4" s="5161">
        <f>O4</f>
        <v>350</v>
      </c>
      <c r="Q4" s="5161">
        <f>P4+50</f>
        <v>400</v>
      </c>
      <c r="R4" s="5161">
        <f>Q4</f>
        <v>400</v>
      </c>
      <c r="S4" s="5161">
        <f>R4</f>
        <v>400</v>
      </c>
      <c r="T4" s="5161">
        <f t="shared" ref="T4:V4" si="0">S4</f>
        <v>400</v>
      </c>
      <c r="U4" s="5161">
        <f t="shared" si="0"/>
        <v>400</v>
      </c>
      <c r="V4" s="5161">
        <f t="shared" si="0"/>
        <v>400</v>
      </c>
      <c r="W4" s="5162" t="s">
        <v>1597</v>
      </c>
      <c r="Z4" s="5163" t="s">
        <v>1598</v>
      </c>
      <c r="AA4" s="5163">
        <v>100</v>
      </c>
    </row>
    <row r="5" spans="1:27">
      <c r="A5" s="5156">
        <v>3</v>
      </c>
      <c r="B5" s="5157" t="s">
        <v>1599</v>
      </c>
      <c r="C5" s="5158"/>
      <c r="D5" s="5159"/>
      <c r="E5" s="5160"/>
      <c r="F5" s="5161"/>
      <c r="G5" s="5161"/>
      <c r="H5" s="5161"/>
      <c r="I5" s="5161"/>
      <c r="J5" s="5161"/>
      <c r="K5" s="5161">
        <v>50</v>
      </c>
      <c r="L5" s="5161">
        <f>K5</f>
        <v>50</v>
      </c>
      <c r="M5" s="5161">
        <f t="shared" ref="M5:V5" si="1">L5</f>
        <v>50</v>
      </c>
      <c r="N5" s="5161">
        <f t="shared" si="1"/>
        <v>50</v>
      </c>
      <c r="O5" s="5161">
        <f t="shared" si="1"/>
        <v>50</v>
      </c>
      <c r="P5" s="5161">
        <f t="shared" si="1"/>
        <v>50</v>
      </c>
      <c r="Q5" s="5161">
        <f t="shared" si="1"/>
        <v>50</v>
      </c>
      <c r="R5" s="5161">
        <f t="shared" si="1"/>
        <v>50</v>
      </c>
      <c r="S5" s="5161">
        <f t="shared" si="1"/>
        <v>50</v>
      </c>
      <c r="T5" s="5161">
        <f t="shared" si="1"/>
        <v>50</v>
      </c>
      <c r="U5" s="5161">
        <f t="shared" si="1"/>
        <v>50</v>
      </c>
      <c r="V5" s="5161">
        <f t="shared" si="1"/>
        <v>50</v>
      </c>
      <c r="W5" s="5162" t="s">
        <v>1600</v>
      </c>
      <c r="Z5" s="5163" t="s">
        <v>1601</v>
      </c>
      <c r="AA5" s="5163">
        <v>200</v>
      </c>
    </row>
    <row r="6" spans="1:27">
      <c r="A6" s="5164">
        <v>4</v>
      </c>
      <c r="B6" s="5165" t="s">
        <v>348</v>
      </c>
      <c r="C6" s="5166">
        <v>9000000</v>
      </c>
      <c r="D6" s="5167">
        <v>9000000</v>
      </c>
      <c r="E6" s="5168"/>
      <c r="F6" s="5169"/>
      <c r="G6" s="5169"/>
      <c r="H6" s="5169"/>
      <c r="I6" s="5169"/>
      <c r="J6" s="5169"/>
      <c r="K6" s="5169"/>
      <c r="L6" s="5169">
        <v>5</v>
      </c>
      <c r="M6" s="5169">
        <v>5</v>
      </c>
      <c r="N6" s="5169">
        <v>5</v>
      </c>
      <c r="O6" s="5169">
        <v>5</v>
      </c>
      <c r="P6" s="5169">
        <v>5</v>
      </c>
      <c r="Q6" s="5169">
        <v>5</v>
      </c>
      <c r="R6" s="5169">
        <v>5</v>
      </c>
      <c r="S6" s="5169">
        <v>5</v>
      </c>
      <c r="T6" s="5169">
        <v>5</v>
      </c>
      <c r="U6" s="5169">
        <v>5</v>
      </c>
      <c r="V6" s="5169">
        <v>5</v>
      </c>
      <c r="W6" s="5170"/>
      <c r="Z6" s="5163" t="s">
        <v>1602</v>
      </c>
      <c r="AA6" s="5163">
        <v>150</v>
      </c>
    </row>
    <row r="7" spans="1:27" ht="18" thickBot="1">
      <c r="A7" s="5164">
        <v>5</v>
      </c>
      <c r="B7" s="5165" t="s">
        <v>150</v>
      </c>
      <c r="C7" s="5166">
        <v>6000000</v>
      </c>
      <c r="D7" s="5167">
        <v>5500000</v>
      </c>
      <c r="E7" s="5168"/>
      <c r="F7" s="5169"/>
      <c r="G7" s="5169"/>
      <c r="H7" s="5169"/>
      <c r="I7" s="5169"/>
      <c r="J7" s="5169"/>
      <c r="K7" s="5169"/>
      <c r="L7" s="5169">
        <v>0</v>
      </c>
      <c r="M7" s="5169">
        <v>0</v>
      </c>
      <c r="N7" s="5169">
        <v>0</v>
      </c>
      <c r="O7" s="5169">
        <v>0</v>
      </c>
      <c r="P7" s="5169">
        <v>0</v>
      </c>
      <c r="Q7" s="5169"/>
      <c r="R7" s="5169"/>
      <c r="S7" s="5169"/>
      <c r="T7" s="5169"/>
      <c r="U7" s="5169"/>
      <c r="V7" s="5169"/>
      <c r="W7" s="5170"/>
      <c r="Z7" s="5163" t="s">
        <v>1603</v>
      </c>
      <c r="AA7" s="5163">
        <v>200</v>
      </c>
    </row>
    <row r="8" spans="1:27" ht="18" thickBot="1">
      <c r="A8" s="5164">
        <v>6</v>
      </c>
      <c r="B8" s="5165" t="s">
        <v>1262</v>
      </c>
      <c r="C8" s="5166"/>
      <c r="D8" s="5167">
        <v>2500000</v>
      </c>
      <c r="E8" s="5168"/>
      <c r="F8" s="5169"/>
      <c r="G8" s="5169"/>
      <c r="H8" s="5169"/>
      <c r="I8" s="5169"/>
      <c r="J8" s="5169"/>
      <c r="K8" s="5169"/>
      <c r="L8" s="5169">
        <v>0</v>
      </c>
      <c r="M8" s="5169">
        <v>0</v>
      </c>
      <c r="N8" s="5169">
        <v>0</v>
      </c>
      <c r="O8" s="5169">
        <v>0</v>
      </c>
      <c r="P8" s="5169">
        <v>0</v>
      </c>
      <c r="Q8" s="5169"/>
      <c r="R8" s="5169"/>
      <c r="S8" s="5169"/>
      <c r="T8" s="5169"/>
      <c r="U8" s="5169"/>
      <c r="V8" s="5169"/>
      <c r="W8" s="5170"/>
      <c r="Z8" s="5147" t="s">
        <v>1604</v>
      </c>
      <c r="AA8" s="5171">
        <f>SUM(AA3:AA7)</f>
        <v>1200</v>
      </c>
    </row>
    <row r="9" spans="1:27" ht="18" thickBot="1">
      <c r="A9" s="5172">
        <v>7</v>
      </c>
      <c r="B9" s="5173" t="s">
        <v>544</v>
      </c>
      <c r="C9" s="5174">
        <v>6500000</v>
      </c>
      <c r="D9" s="5175">
        <v>0</v>
      </c>
      <c r="E9" s="5176" t="s">
        <v>1605</v>
      </c>
      <c r="F9" s="5177" t="s">
        <v>1606</v>
      </c>
      <c r="G9" s="5177" t="s">
        <v>1607</v>
      </c>
      <c r="H9" s="5177">
        <v>6</v>
      </c>
      <c r="I9" s="5177">
        <v>6</v>
      </c>
      <c r="J9" s="5177">
        <v>5</v>
      </c>
      <c r="K9" s="5177">
        <v>5</v>
      </c>
      <c r="L9" s="5177">
        <v>4</v>
      </c>
      <c r="M9" s="5177">
        <v>3</v>
      </c>
      <c r="N9" s="5177">
        <v>2</v>
      </c>
      <c r="O9" s="5177">
        <v>2</v>
      </c>
      <c r="P9" s="5177">
        <v>2</v>
      </c>
      <c r="Q9" s="5178"/>
      <c r="R9" s="5178"/>
      <c r="S9" s="5178"/>
      <c r="T9" s="5178"/>
      <c r="U9" s="5178"/>
      <c r="V9" s="5178"/>
      <c r="W9" s="5162" t="s">
        <v>1608</v>
      </c>
      <c r="Z9" s="5179" t="s">
        <v>1609</v>
      </c>
      <c r="AA9" s="5180"/>
    </row>
    <row r="10" spans="1:27">
      <c r="A10" s="5172">
        <v>8</v>
      </c>
      <c r="B10" s="5173" t="s">
        <v>347</v>
      </c>
      <c r="C10" s="5174">
        <v>6800000</v>
      </c>
      <c r="D10" s="5175">
        <v>1500000</v>
      </c>
      <c r="E10" s="5176"/>
      <c r="F10" s="5177"/>
      <c r="G10" s="5177" t="s">
        <v>1610</v>
      </c>
      <c r="H10" s="5177" t="s">
        <v>1611</v>
      </c>
      <c r="I10" s="5177" t="s">
        <v>1612</v>
      </c>
      <c r="J10" s="5177">
        <v>6</v>
      </c>
      <c r="K10" s="5177">
        <v>6</v>
      </c>
      <c r="L10" s="5177">
        <v>4</v>
      </c>
      <c r="M10" s="5177">
        <v>4</v>
      </c>
      <c r="N10" s="5177">
        <v>3</v>
      </c>
      <c r="O10" s="5177">
        <v>3</v>
      </c>
      <c r="P10" s="5177">
        <v>3</v>
      </c>
      <c r="Q10" s="5177">
        <v>3</v>
      </c>
      <c r="R10" s="5177">
        <v>3</v>
      </c>
      <c r="S10" s="5177">
        <v>3</v>
      </c>
      <c r="T10" s="5177">
        <v>3</v>
      </c>
      <c r="U10" s="5177">
        <v>3</v>
      </c>
      <c r="V10" s="5177">
        <v>3</v>
      </c>
      <c r="W10" s="5162" t="s">
        <v>1613</v>
      </c>
      <c r="Z10" s="5155" t="s">
        <v>1593</v>
      </c>
      <c r="AA10" s="5181">
        <v>850</v>
      </c>
    </row>
    <row r="11" spans="1:27" ht="18" thickBot="1">
      <c r="A11" s="5182">
        <v>9</v>
      </c>
      <c r="B11" s="5183" t="s">
        <v>15</v>
      </c>
      <c r="C11" s="5184">
        <f>SUM(C3:C10)</f>
        <v>47100000</v>
      </c>
      <c r="D11" s="5185">
        <f>SUM(D3:D10)</f>
        <v>51500000</v>
      </c>
      <c r="E11" s="5186"/>
      <c r="F11" s="5187"/>
      <c r="G11" s="5187"/>
      <c r="H11" s="5187"/>
      <c r="I11" s="5187"/>
      <c r="J11" s="5187"/>
      <c r="K11" s="5187"/>
      <c r="L11" s="5187">
        <f>SUM(L3,L6,L9:L10)</f>
        <v>28</v>
      </c>
      <c r="M11" s="5187">
        <f t="shared" ref="M11:V11" si="2">SUM(M3,M6,M9:M10)</f>
        <v>27</v>
      </c>
      <c r="N11" s="5187">
        <f t="shared" si="2"/>
        <v>25</v>
      </c>
      <c r="O11" s="5187">
        <f t="shared" si="2"/>
        <v>25</v>
      </c>
      <c r="P11" s="5187">
        <f t="shared" si="2"/>
        <v>25</v>
      </c>
      <c r="Q11" s="5187">
        <f t="shared" si="2"/>
        <v>25</v>
      </c>
      <c r="R11" s="5187">
        <f t="shared" si="2"/>
        <v>25</v>
      </c>
      <c r="S11" s="5187">
        <f t="shared" si="2"/>
        <v>25</v>
      </c>
      <c r="T11" s="5187">
        <f t="shared" si="2"/>
        <v>25</v>
      </c>
      <c r="U11" s="5187">
        <f t="shared" si="2"/>
        <v>25</v>
      </c>
      <c r="V11" s="5187">
        <f t="shared" si="2"/>
        <v>25</v>
      </c>
      <c r="W11" s="5186"/>
      <c r="Z11" s="5188" t="s">
        <v>1596</v>
      </c>
      <c r="AA11" s="5189">
        <v>150</v>
      </c>
    </row>
    <row r="12" spans="1:27" ht="18" thickBot="1"/>
    <row r="13" spans="1:27" ht="18" thickBot="1">
      <c r="A13" s="5191" t="s">
        <v>1009</v>
      </c>
      <c r="B13" s="5192" t="s">
        <v>1614</v>
      </c>
      <c r="C13" s="5143" t="s">
        <v>1615</v>
      </c>
      <c r="D13" s="5144" t="s">
        <v>1616</v>
      </c>
      <c r="E13" s="5193">
        <v>46023</v>
      </c>
      <c r="F13" s="5194">
        <v>46054</v>
      </c>
      <c r="G13" s="5194">
        <v>46082</v>
      </c>
      <c r="H13" s="5194">
        <v>46113</v>
      </c>
      <c r="I13" s="5194">
        <v>46143</v>
      </c>
      <c r="J13" s="5194">
        <v>46174</v>
      </c>
      <c r="K13" s="5194">
        <v>46204</v>
      </c>
      <c r="L13" s="5194">
        <v>46235</v>
      </c>
      <c r="M13" s="5194">
        <v>46266</v>
      </c>
      <c r="N13" s="5194">
        <v>46296</v>
      </c>
      <c r="O13" s="5194">
        <v>46327</v>
      </c>
      <c r="P13" s="5146">
        <v>46357</v>
      </c>
      <c r="Q13" s="5194">
        <v>46388</v>
      </c>
      <c r="R13" s="5146">
        <v>46419</v>
      </c>
      <c r="S13" s="5194">
        <v>46447</v>
      </c>
      <c r="T13" s="5146">
        <v>46478</v>
      </c>
      <c r="U13" s="5194">
        <v>46508</v>
      </c>
      <c r="V13" s="5194">
        <v>46539</v>
      </c>
      <c r="W13" s="5145" t="s">
        <v>1591</v>
      </c>
    </row>
    <row r="14" spans="1:27" ht="21" customHeight="1">
      <c r="A14" s="5195">
        <v>1</v>
      </c>
      <c r="B14" s="5196" t="s">
        <v>1617</v>
      </c>
      <c r="C14" s="5197">
        <v>0</v>
      </c>
      <c r="D14" s="5198">
        <f>C14</f>
        <v>0</v>
      </c>
      <c r="E14" s="5199"/>
      <c r="F14" s="5200"/>
      <c r="G14" s="5201" t="s">
        <v>1618</v>
      </c>
      <c r="H14" s="5202">
        <v>2</v>
      </c>
      <c r="I14" s="5202">
        <v>2</v>
      </c>
      <c r="J14" s="5202">
        <v>2</v>
      </c>
      <c r="K14" s="5202">
        <v>2</v>
      </c>
      <c r="L14" s="5202">
        <v>2</v>
      </c>
      <c r="M14" s="5202">
        <v>2</v>
      </c>
      <c r="N14" s="5202">
        <v>2</v>
      </c>
      <c r="O14" s="5202">
        <v>2</v>
      </c>
      <c r="P14" s="5202">
        <v>2</v>
      </c>
      <c r="Q14" s="5202">
        <v>2</v>
      </c>
      <c r="R14" s="5202">
        <v>2</v>
      </c>
      <c r="S14" s="5202">
        <v>2</v>
      </c>
      <c r="T14" s="5202">
        <v>2</v>
      </c>
      <c r="U14" s="5202">
        <v>2</v>
      </c>
      <c r="V14" s="5203">
        <v>2</v>
      </c>
      <c r="W14" s="5204"/>
    </row>
    <row r="15" spans="1:27" ht="21" customHeight="1">
      <c r="A15" s="5205">
        <v>2</v>
      </c>
      <c r="B15" s="5206" t="s">
        <v>1619</v>
      </c>
      <c r="C15" s="5207">
        <v>0</v>
      </c>
      <c r="D15" s="5208">
        <f>C15</f>
        <v>0</v>
      </c>
      <c r="E15" s="5209"/>
      <c r="F15" s="5210"/>
      <c r="G15" s="5211" t="s">
        <v>1620</v>
      </c>
      <c r="H15" s="5212"/>
      <c r="I15" s="5212"/>
      <c r="J15" s="5212"/>
      <c r="K15" s="5212"/>
      <c r="L15" s="5212"/>
      <c r="M15" s="5212"/>
      <c r="N15" s="5212"/>
      <c r="O15" s="5212"/>
      <c r="P15" s="5212"/>
      <c r="Q15" s="5212"/>
      <c r="R15" s="5212"/>
      <c r="S15" s="5212"/>
      <c r="T15" s="5212"/>
      <c r="U15" s="5212"/>
      <c r="V15" s="5213"/>
      <c r="W15" s="5214"/>
    </row>
    <row r="16" spans="1:27" ht="21" customHeight="1">
      <c r="A16" s="5205">
        <v>3</v>
      </c>
      <c r="B16" s="5206" t="s">
        <v>1621</v>
      </c>
      <c r="C16" s="5207">
        <v>0</v>
      </c>
      <c r="D16" s="5208">
        <f>C16</f>
        <v>0</v>
      </c>
      <c r="E16" s="5209"/>
      <c r="F16" s="5210"/>
      <c r="G16" s="5210"/>
      <c r="H16" s="5211" t="s">
        <v>1620</v>
      </c>
      <c r="I16" s="5212"/>
      <c r="J16" s="5212"/>
      <c r="K16" s="5212"/>
      <c r="L16" s="5212"/>
      <c r="M16" s="5212"/>
      <c r="N16" s="5212"/>
      <c r="O16" s="5212"/>
      <c r="P16" s="5212"/>
      <c r="Q16" s="5212"/>
      <c r="R16" s="5212"/>
      <c r="S16" s="5212"/>
      <c r="T16" s="5212"/>
      <c r="U16" s="5212"/>
      <c r="V16" s="5213"/>
      <c r="W16" s="5214" t="s">
        <v>1622</v>
      </c>
    </row>
    <row r="17" spans="1:26" ht="21" customHeight="1">
      <c r="A17" s="5205">
        <v>4</v>
      </c>
      <c r="B17" s="5206" t="s">
        <v>1623</v>
      </c>
      <c r="C17" s="5207">
        <v>10000</v>
      </c>
      <c r="D17" s="5208">
        <f>C17</f>
        <v>10000</v>
      </c>
      <c r="E17" s="5209"/>
      <c r="F17" s="5210"/>
      <c r="G17" s="5210"/>
      <c r="H17" s="5211" t="s">
        <v>1620</v>
      </c>
      <c r="I17" s="5212"/>
      <c r="J17" s="5212"/>
      <c r="K17" s="5212"/>
      <c r="L17" s="5212"/>
      <c r="M17" s="5212"/>
      <c r="N17" s="5212"/>
      <c r="O17" s="5212"/>
      <c r="P17" s="5212"/>
      <c r="Q17" s="5212"/>
      <c r="R17" s="5212"/>
      <c r="S17" s="5212"/>
      <c r="T17" s="5212"/>
      <c r="U17" s="5212"/>
      <c r="V17" s="5213"/>
      <c r="W17" s="5214" t="s">
        <v>1624</v>
      </c>
    </row>
    <row r="18" spans="1:26" ht="21" customHeight="1">
      <c r="A18" s="5205">
        <v>5</v>
      </c>
      <c r="B18" s="5206" t="s">
        <v>1625</v>
      </c>
      <c r="C18" s="5207">
        <v>20000</v>
      </c>
      <c r="D18" s="5208">
        <f>C18*6</f>
        <v>120000</v>
      </c>
      <c r="E18" s="5209"/>
      <c r="F18" s="5210"/>
      <c r="G18" s="5210"/>
      <c r="H18" s="5215"/>
      <c r="I18" s="5215"/>
      <c r="J18" s="5215"/>
      <c r="K18" s="5215"/>
      <c r="L18" s="5215"/>
      <c r="M18" s="5211" t="s">
        <v>1626</v>
      </c>
      <c r="N18" s="5211" t="s">
        <v>1626</v>
      </c>
      <c r="O18" s="5211" t="s">
        <v>1627</v>
      </c>
      <c r="P18" s="5211" t="s">
        <v>1627</v>
      </c>
      <c r="Q18" s="5211" t="s">
        <v>1620</v>
      </c>
      <c r="R18" s="5212"/>
      <c r="S18" s="5212"/>
      <c r="T18" s="5212"/>
      <c r="U18" s="5212"/>
      <c r="V18" s="5213"/>
      <c r="W18" s="5214" t="s">
        <v>1628</v>
      </c>
    </row>
    <row r="19" spans="1:26" ht="21" customHeight="1">
      <c r="A19" s="5205">
        <v>6</v>
      </c>
      <c r="B19" s="5206" t="s">
        <v>1629</v>
      </c>
      <c r="C19" s="5207">
        <v>2000</v>
      </c>
      <c r="D19" s="5208">
        <f>C19*50</f>
        <v>100000</v>
      </c>
      <c r="E19" s="5209"/>
      <c r="F19" s="5210"/>
      <c r="G19" s="5210"/>
      <c r="H19" s="5215"/>
      <c r="I19" s="5215"/>
      <c r="J19" s="5215"/>
      <c r="K19" s="5211" t="s">
        <v>1630</v>
      </c>
      <c r="L19" s="5211" t="s">
        <v>1631</v>
      </c>
      <c r="M19" s="5212"/>
      <c r="N19" s="5212"/>
      <c r="O19" s="5212"/>
      <c r="P19" s="5212"/>
      <c r="Q19" s="5212"/>
      <c r="R19" s="5212"/>
      <c r="S19" s="5212"/>
      <c r="T19" s="5212"/>
      <c r="U19" s="5212"/>
      <c r="V19" s="5213"/>
      <c r="W19" s="5214" t="s">
        <v>1632</v>
      </c>
    </row>
    <row r="20" spans="1:26" ht="21" customHeight="1">
      <c r="A20" s="5205">
        <v>7</v>
      </c>
      <c r="B20" s="5206" t="s">
        <v>1633</v>
      </c>
      <c r="C20" s="5207">
        <v>10000</v>
      </c>
      <c r="D20" s="5208">
        <f>C20</f>
        <v>10000</v>
      </c>
      <c r="E20" s="5209"/>
      <c r="F20" s="5210"/>
      <c r="G20" s="5210"/>
      <c r="I20" s="5216"/>
      <c r="J20" s="5216"/>
      <c r="K20" s="5216"/>
      <c r="L20" s="5216"/>
      <c r="M20" s="5216"/>
      <c r="N20" s="5216"/>
      <c r="O20" s="5211" t="s">
        <v>1620</v>
      </c>
      <c r="P20" s="5212"/>
      <c r="Q20" s="5212"/>
      <c r="R20" s="5212"/>
      <c r="S20" s="5212"/>
      <c r="T20" s="5212"/>
      <c r="U20" s="5212"/>
      <c r="V20" s="5213"/>
      <c r="W20" s="5214" t="s">
        <v>1634</v>
      </c>
    </row>
    <row r="21" spans="1:26" ht="21" customHeight="1">
      <c r="A21" s="5205">
        <v>8</v>
      </c>
      <c r="B21" s="5206" t="s">
        <v>1635</v>
      </c>
      <c r="C21" s="5207">
        <v>100000</v>
      </c>
      <c r="D21" s="5208">
        <f>C21</f>
        <v>100000</v>
      </c>
      <c r="E21" s="5209"/>
      <c r="F21" s="5210"/>
      <c r="G21" s="5210"/>
      <c r="J21" s="5211" t="s">
        <v>1626</v>
      </c>
      <c r="K21" s="5211" t="s">
        <v>1626</v>
      </c>
      <c r="L21" s="5217" t="s">
        <v>1627</v>
      </c>
      <c r="M21" s="5217"/>
      <c r="N21" s="5211"/>
      <c r="O21" s="5211" t="s">
        <v>1620</v>
      </c>
      <c r="P21" s="5212"/>
      <c r="Q21" s="5212"/>
      <c r="R21" s="5212"/>
      <c r="S21" s="5212"/>
      <c r="T21" s="5212"/>
      <c r="U21" s="5212"/>
      <c r="V21" s="5213"/>
      <c r="W21" s="5214" t="s">
        <v>1636</v>
      </c>
    </row>
    <row r="22" spans="1:26" ht="21" customHeight="1">
      <c r="A22" s="5205">
        <v>9</v>
      </c>
      <c r="B22" s="5206" t="s">
        <v>1637</v>
      </c>
      <c r="C22" s="5207">
        <v>100000</v>
      </c>
      <c r="D22" s="5208">
        <f>C22*2</f>
        <v>200000</v>
      </c>
      <c r="E22" s="5209"/>
      <c r="F22" s="5210"/>
      <c r="G22" s="5211" t="s">
        <v>1626</v>
      </c>
      <c r="H22" s="5211" t="s">
        <v>1627</v>
      </c>
      <c r="I22" s="5211" t="s">
        <v>1620</v>
      </c>
      <c r="J22" s="5212"/>
      <c r="K22" s="5212"/>
      <c r="L22" s="5212"/>
      <c r="M22" s="5212"/>
      <c r="N22" s="5212"/>
      <c r="O22" s="5212"/>
      <c r="P22" s="5212"/>
      <c r="Q22" s="5212"/>
      <c r="R22" s="5212"/>
      <c r="S22" s="5212"/>
      <c r="T22" s="5212"/>
      <c r="U22" s="5212"/>
      <c r="V22" s="5213"/>
      <c r="W22" s="5214" t="s">
        <v>1638</v>
      </c>
    </row>
    <row r="23" spans="1:26" ht="21" customHeight="1">
      <c r="A23" s="5205">
        <v>10</v>
      </c>
      <c r="B23" s="5206" t="s">
        <v>1639</v>
      </c>
      <c r="C23" s="5207">
        <v>7000</v>
      </c>
      <c r="D23" s="5208">
        <f>C23*26</f>
        <v>182000</v>
      </c>
      <c r="E23" s="5209"/>
      <c r="F23" s="5210"/>
      <c r="G23" s="5218" t="s">
        <v>1627</v>
      </c>
      <c r="H23" s="5211" t="s">
        <v>1640</v>
      </c>
      <c r="I23" s="5212"/>
      <c r="J23" s="5212"/>
      <c r="K23" s="5212"/>
      <c r="L23" s="5212"/>
      <c r="M23" s="5212"/>
      <c r="N23" s="5212"/>
      <c r="O23" s="5212"/>
      <c r="P23" s="5212"/>
      <c r="Q23" s="5212"/>
      <c r="R23" s="5212"/>
      <c r="S23" s="5212"/>
      <c r="T23" s="5212"/>
      <c r="U23" s="5212"/>
      <c r="V23" s="5213"/>
      <c r="W23" s="5214"/>
    </row>
    <row r="24" spans="1:26" ht="21" customHeight="1">
      <c r="A24" s="5205">
        <v>11</v>
      </c>
      <c r="B24" s="5206" t="s">
        <v>1641</v>
      </c>
      <c r="C24" s="5207">
        <v>5000</v>
      </c>
      <c r="D24" s="5208">
        <f>C24*26</f>
        <v>130000</v>
      </c>
      <c r="E24" s="5209"/>
      <c r="F24" s="5210"/>
      <c r="G24" s="5211" t="s">
        <v>1642</v>
      </c>
      <c r="H24" s="5211" t="s">
        <v>1627</v>
      </c>
      <c r="I24" s="5211"/>
      <c r="J24" s="5211"/>
      <c r="K24" s="5211" t="s">
        <v>1643</v>
      </c>
      <c r="L24" s="5212"/>
      <c r="M24" s="5212"/>
      <c r="N24" s="5212"/>
      <c r="O24" s="5212"/>
      <c r="P24" s="5212"/>
      <c r="Q24" s="5212"/>
      <c r="R24" s="5212"/>
      <c r="S24" s="5212"/>
      <c r="T24" s="5212"/>
      <c r="U24" s="5212"/>
      <c r="V24" s="5213"/>
      <c r="W24" s="5214"/>
      <c r="Z24">
        <f>15*7*25</f>
        <v>2625</v>
      </c>
    </row>
    <row r="25" spans="1:26" ht="21" customHeight="1">
      <c r="A25" s="5205">
        <v>12</v>
      </c>
      <c r="B25" s="5206" t="s">
        <v>1644</v>
      </c>
      <c r="C25" s="5207">
        <v>136000</v>
      </c>
      <c r="D25" s="5208">
        <f>C25*4</f>
        <v>544000</v>
      </c>
      <c r="E25" s="5209"/>
      <c r="F25" s="5218" t="s">
        <v>1627</v>
      </c>
      <c r="G25" s="5211"/>
      <c r="H25" s="5211"/>
      <c r="I25" s="5211"/>
      <c r="J25" s="5211" t="s">
        <v>1643</v>
      </c>
      <c r="K25" s="5212">
        <v>26</v>
      </c>
      <c r="L25" s="5212">
        <v>26</v>
      </c>
      <c r="M25" s="5212">
        <v>26</v>
      </c>
      <c r="N25" s="5212">
        <v>26</v>
      </c>
      <c r="O25" s="5212">
        <v>26</v>
      </c>
      <c r="P25" s="5212">
        <v>26</v>
      </c>
      <c r="Q25" s="5212">
        <v>26</v>
      </c>
      <c r="R25" s="5212">
        <v>26</v>
      </c>
      <c r="S25" s="5212">
        <v>26</v>
      </c>
      <c r="T25" s="5212">
        <v>26</v>
      </c>
      <c r="U25" s="5212">
        <v>26</v>
      </c>
      <c r="V25" s="5213">
        <v>26</v>
      </c>
      <c r="W25" s="5214" t="s">
        <v>1645</v>
      </c>
    </row>
    <row r="26" spans="1:26" ht="21" customHeight="1">
      <c r="A26" s="5205">
        <v>13</v>
      </c>
      <c r="B26" s="5206" t="s">
        <v>1646</v>
      </c>
      <c r="C26" s="5207">
        <v>0</v>
      </c>
      <c r="D26" s="5208">
        <f t="shared" ref="D26:D38" si="3">C26</f>
        <v>0</v>
      </c>
      <c r="E26" s="5209"/>
      <c r="F26" s="5216"/>
      <c r="G26" s="5216"/>
      <c r="H26" s="5216"/>
      <c r="I26" s="5216"/>
      <c r="J26" s="5211" t="s">
        <v>1618</v>
      </c>
      <c r="K26" s="5212">
        <v>2</v>
      </c>
      <c r="L26" s="5212">
        <f>K26</f>
        <v>2</v>
      </c>
      <c r="M26" s="5212">
        <f t="shared" ref="M26:V26" si="4">L26</f>
        <v>2</v>
      </c>
      <c r="N26" s="5212">
        <f t="shared" si="4"/>
        <v>2</v>
      </c>
      <c r="O26" s="5212">
        <f t="shared" si="4"/>
        <v>2</v>
      </c>
      <c r="P26" s="5212">
        <f t="shared" si="4"/>
        <v>2</v>
      </c>
      <c r="Q26" s="5212">
        <f t="shared" si="4"/>
        <v>2</v>
      </c>
      <c r="R26" s="5212">
        <f t="shared" si="4"/>
        <v>2</v>
      </c>
      <c r="S26" s="5212">
        <f t="shared" si="4"/>
        <v>2</v>
      </c>
      <c r="T26" s="5212">
        <f t="shared" si="4"/>
        <v>2</v>
      </c>
      <c r="U26" s="5212">
        <f t="shared" si="4"/>
        <v>2</v>
      </c>
      <c r="V26" s="5213">
        <f t="shared" si="4"/>
        <v>2</v>
      </c>
      <c r="W26" s="5214"/>
    </row>
    <row r="27" spans="1:26" ht="21" customHeight="1">
      <c r="A27" s="5205">
        <v>14</v>
      </c>
      <c r="B27" s="5206" t="s">
        <v>1647</v>
      </c>
      <c r="C27" s="5207">
        <v>20000</v>
      </c>
      <c r="D27" s="5208">
        <f t="shared" si="3"/>
        <v>20000</v>
      </c>
      <c r="E27" s="5209"/>
      <c r="F27" s="5210"/>
      <c r="G27" s="5210"/>
      <c r="H27" s="5210"/>
      <c r="I27" s="5211" t="s">
        <v>1648</v>
      </c>
      <c r="J27" s="5211" t="s">
        <v>1649</v>
      </c>
      <c r="K27" s="5211" t="s">
        <v>1649</v>
      </c>
      <c r="L27" s="5212"/>
      <c r="M27" s="5212"/>
      <c r="N27" s="5212"/>
      <c r="O27" s="5212"/>
      <c r="P27" s="5212"/>
      <c r="Q27" s="5212"/>
      <c r="R27" s="5212"/>
      <c r="S27" s="5212"/>
      <c r="T27" s="5212"/>
      <c r="U27" s="5212"/>
      <c r="V27" s="5213"/>
      <c r="W27" s="5214" t="s">
        <v>1650</v>
      </c>
    </row>
    <row r="28" spans="1:26" ht="21" customHeight="1">
      <c r="A28" s="5205">
        <v>15</v>
      </c>
      <c r="B28" s="5206" t="s">
        <v>1651</v>
      </c>
      <c r="C28" s="5207">
        <v>20000</v>
      </c>
      <c r="D28" s="5208">
        <f t="shared" si="3"/>
        <v>20000</v>
      </c>
      <c r="E28" s="5209"/>
      <c r="F28" s="5210"/>
      <c r="G28" s="5210"/>
      <c r="H28" s="5210"/>
      <c r="I28" s="5211" t="s">
        <v>1648</v>
      </c>
      <c r="J28" s="5211" t="s">
        <v>1652</v>
      </c>
      <c r="K28" s="5211" t="s">
        <v>1652</v>
      </c>
      <c r="L28" s="5211" t="s">
        <v>1652</v>
      </c>
      <c r="M28" s="5211" t="s">
        <v>1653</v>
      </c>
      <c r="N28" s="5212"/>
      <c r="O28" s="5212"/>
      <c r="P28" s="5212"/>
      <c r="Q28" s="5212"/>
      <c r="R28" s="5212"/>
      <c r="S28" s="5212"/>
      <c r="T28" s="5212"/>
      <c r="U28" s="5212"/>
      <c r="V28" s="5213"/>
      <c r="W28" s="5214"/>
    </row>
    <row r="29" spans="1:26" ht="21" customHeight="1">
      <c r="A29" s="5205">
        <v>16</v>
      </c>
      <c r="B29" s="5206" t="s">
        <v>1654</v>
      </c>
      <c r="C29" s="5207">
        <v>200000</v>
      </c>
      <c r="D29" s="5208">
        <f t="shared" si="3"/>
        <v>200000</v>
      </c>
      <c r="E29" s="5209"/>
      <c r="F29" s="5210"/>
      <c r="G29" s="5210"/>
      <c r="H29" s="5210"/>
      <c r="I29" s="5211"/>
      <c r="J29" s="5211"/>
      <c r="K29" s="5211"/>
      <c r="L29" s="5211"/>
      <c r="M29" s="5212"/>
      <c r="N29" s="5212"/>
      <c r="O29" s="5212"/>
      <c r="P29" s="5212"/>
      <c r="Q29" s="5212"/>
      <c r="R29" s="5212"/>
      <c r="S29" s="5212"/>
      <c r="T29" s="5212"/>
      <c r="U29" s="5212"/>
      <c r="V29" s="5213"/>
      <c r="W29" s="5214"/>
    </row>
    <row r="30" spans="1:26" ht="21" customHeight="1">
      <c r="A30" s="5205">
        <v>17</v>
      </c>
      <c r="B30" s="5206" t="s">
        <v>1655</v>
      </c>
      <c r="C30" s="5207">
        <v>100000</v>
      </c>
      <c r="D30" s="5208">
        <f t="shared" si="3"/>
        <v>100000</v>
      </c>
      <c r="E30" s="5209"/>
      <c r="F30" s="5210"/>
      <c r="G30" s="5210"/>
      <c r="H30" s="5210"/>
      <c r="I30" s="5210"/>
      <c r="J30" s="5211"/>
      <c r="K30" s="5211"/>
      <c r="L30" s="5211"/>
      <c r="M30" s="5212"/>
      <c r="N30" s="5212"/>
      <c r="O30" s="5212"/>
      <c r="P30" s="5212"/>
      <c r="Q30" s="5212"/>
      <c r="R30" s="5212"/>
      <c r="S30" s="5212"/>
      <c r="T30" s="5212"/>
      <c r="U30" s="5212"/>
      <c r="V30" s="5213"/>
      <c r="W30" s="5214"/>
    </row>
    <row r="31" spans="1:26" ht="21" customHeight="1">
      <c r="A31" s="5205">
        <v>18</v>
      </c>
      <c r="B31" s="5206" t="s">
        <v>1656</v>
      </c>
      <c r="C31" s="5207">
        <f>'8. I Plan'!G8+'8. I Plan'!G9+'8. I Plan'!G10+'8. I Plan'!G11</f>
        <v>1206042</v>
      </c>
      <c r="D31" s="5208">
        <f t="shared" si="3"/>
        <v>1206042</v>
      </c>
      <c r="E31" s="5209"/>
      <c r="F31" s="5210"/>
      <c r="G31" s="5210"/>
      <c r="H31" s="5210"/>
      <c r="I31" s="5211" t="s">
        <v>1627</v>
      </c>
      <c r="J31" s="5211"/>
      <c r="K31" s="5211"/>
      <c r="L31" s="5211" t="s">
        <v>1643</v>
      </c>
      <c r="M31" s="5211" t="s">
        <v>1643</v>
      </c>
      <c r="N31" s="5212"/>
      <c r="O31" s="5212"/>
      <c r="P31" s="5212"/>
      <c r="Q31" s="5212"/>
      <c r="R31" s="5212"/>
      <c r="S31" s="5212"/>
      <c r="T31" s="5212"/>
      <c r="U31" s="5212"/>
      <c r="V31" s="5213"/>
      <c r="W31" s="5214" t="s">
        <v>1657</v>
      </c>
    </row>
    <row r="32" spans="1:26" ht="21" customHeight="1">
      <c r="A32" s="5205">
        <v>19</v>
      </c>
      <c r="B32" s="5206" t="s">
        <v>1658</v>
      </c>
      <c r="C32" s="5207">
        <f>'8. I Plan'!E49</f>
        <v>402923.07692307694</v>
      </c>
      <c r="D32" s="5208">
        <f t="shared" si="3"/>
        <v>402923.07692307694</v>
      </c>
      <c r="E32" s="5209"/>
      <c r="F32" s="5210"/>
      <c r="G32" s="5210"/>
      <c r="H32" s="5210"/>
      <c r="I32" s="5210"/>
      <c r="J32" s="5211" t="s">
        <v>1627</v>
      </c>
      <c r="K32" s="5211"/>
      <c r="L32" s="5211" t="s">
        <v>1643</v>
      </c>
      <c r="M32" s="5211" t="s">
        <v>1643</v>
      </c>
      <c r="N32" s="5212"/>
      <c r="O32" s="5212"/>
      <c r="P32" s="5212"/>
      <c r="Q32" s="5212"/>
      <c r="R32" s="5212"/>
      <c r="S32" s="5212"/>
      <c r="T32" s="5212"/>
      <c r="U32" s="5212"/>
      <c r="V32" s="5213"/>
      <c r="W32" s="5214" t="s">
        <v>1659</v>
      </c>
    </row>
    <row r="33" spans="1:23" ht="21" customHeight="1">
      <c r="A33" s="5205">
        <v>20</v>
      </c>
      <c r="B33" s="5206" t="s">
        <v>1660</v>
      </c>
      <c r="C33" s="5207">
        <v>100000</v>
      </c>
      <c r="D33" s="5208">
        <f t="shared" si="3"/>
        <v>100000</v>
      </c>
      <c r="E33" s="5209"/>
      <c r="F33" s="5210"/>
      <c r="G33" s="5210"/>
      <c r="H33" s="5210"/>
      <c r="I33" s="5210"/>
      <c r="J33" s="5210"/>
      <c r="K33" s="5210"/>
      <c r="L33" s="5211" t="s">
        <v>1627</v>
      </c>
      <c r="M33" s="5211"/>
      <c r="N33" s="5211" t="s">
        <v>1643</v>
      </c>
      <c r="O33" s="5212"/>
      <c r="P33" s="5212"/>
      <c r="Q33" s="5212"/>
      <c r="R33" s="5212"/>
      <c r="S33" s="5212"/>
      <c r="T33" s="5212"/>
      <c r="U33" s="5212"/>
      <c r="V33" s="5213"/>
      <c r="W33" s="5214" t="s">
        <v>1661</v>
      </c>
    </row>
    <row r="34" spans="1:23" ht="21" customHeight="1">
      <c r="A34" s="5205">
        <v>21</v>
      </c>
      <c r="B34" s="5206" t="s">
        <v>1662</v>
      </c>
      <c r="C34" s="5207">
        <v>70000</v>
      </c>
      <c r="D34" s="5208">
        <f t="shared" si="3"/>
        <v>70000</v>
      </c>
      <c r="E34" s="5209"/>
      <c r="F34" s="5210"/>
      <c r="G34" s="5210"/>
      <c r="H34" s="5210"/>
      <c r="I34" s="5210"/>
      <c r="J34" s="5215"/>
      <c r="K34" s="5211" t="s">
        <v>1627</v>
      </c>
      <c r="L34" s="5211"/>
      <c r="M34" s="5211"/>
      <c r="N34" s="5211" t="s">
        <v>1643</v>
      </c>
      <c r="O34" s="5212"/>
      <c r="P34" s="5212"/>
      <c r="Q34" s="5212"/>
      <c r="R34" s="5212"/>
      <c r="S34" s="5212"/>
      <c r="T34" s="5212"/>
      <c r="U34" s="5212"/>
      <c r="V34" s="5213"/>
      <c r="W34" s="5214"/>
    </row>
    <row r="35" spans="1:23" ht="21" customHeight="1">
      <c r="A35" s="5205">
        <v>22</v>
      </c>
      <c r="B35" s="5206" t="s">
        <v>1663</v>
      </c>
      <c r="C35" s="5207">
        <v>10000</v>
      </c>
      <c r="D35" s="5208">
        <f t="shared" si="3"/>
        <v>10000</v>
      </c>
      <c r="E35" s="5209"/>
      <c r="F35" s="5210"/>
      <c r="G35" s="5210"/>
      <c r="H35" s="5210"/>
      <c r="I35" s="5210"/>
      <c r="J35" s="5215"/>
      <c r="K35" s="5210"/>
      <c r="L35" s="5210"/>
      <c r="M35" s="5210"/>
      <c r="N35" s="5211" t="s">
        <v>1664</v>
      </c>
      <c r="O35" s="5212"/>
      <c r="P35" s="5212"/>
      <c r="Q35" s="5212"/>
      <c r="R35" s="5212"/>
      <c r="S35" s="5212"/>
      <c r="T35" s="5212"/>
      <c r="U35" s="5212"/>
      <c r="V35" s="5213"/>
      <c r="W35" s="5214"/>
    </row>
    <row r="36" spans="1:23" ht="21" customHeight="1">
      <c r="A36" s="5205">
        <v>23</v>
      </c>
      <c r="B36" s="5206" t="s">
        <v>1665</v>
      </c>
      <c r="C36" s="5207">
        <v>30000</v>
      </c>
      <c r="D36" s="5208">
        <f t="shared" si="3"/>
        <v>30000</v>
      </c>
      <c r="E36" s="5209"/>
      <c r="F36" s="5210"/>
      <c r="G36" s="5218" t="s">
        <v>1627</v>
      </c>
      <c r="H36" s="5211" t="s">
        <v>1643</v>
      </c>
      <c r="I36" s="5212">
        <v>5</v>
      </c>
      <c r="J36" s="5212">
        <v>5</v>
      </c>
      <c r="K36" s="5212">
        <v>5</v>
      </c>
      <c r="L36" s="5212">
        <v>5</v>
      </c>
      <c r="M36" s="5212">
        <v>5</v>
      </c>
      <c r="N36" s="5212">
        <v>5</v>
      </c>
      <c r="O36" s="5212">
        <v>5</v>
      </c>
      <c r="P36" s="5212">
        <v>5</v>
      </c>
      <c r="Q36" s="5212">
        <v>5</v>
      </c>
      <c r="R36" s="5212">
        <v>5</v>
      </c>
      <c r="S36" s="5212">
        <v>5</v>
      </c>
      <c r="T36" s="5212">
        <v>5</v>
      </c>
      <c r="U36" s="5212">
        <v>5</v>
      </c>
      <c r="V36" s="5213">
        <v>5</v>
      </c>
      <c r="W36" s="5214"/>
    </row>
    <row r="37" spans="1:23" ht="21" customHeight="1">
      <c r="A37" s="5205">
        <v>24</v>
      </c>
      <c r="B37" s="5206" t="s">
        <v>1666</v>
      </c>
      <c r="C37" s="5207">
        <v>19818</v>
      </c>
      <c r="D37" s="5208">
        <f t="shared" si="3"/>
        <v>19818</v>
      </c>
      <c r="E37" s="5209"/>
      <c r="F37" s="5210"/>
      <c r="G37" s="5218" t="s">
        <v>1627</v>
      </c>
      <c r="H37" s="5211" t="s">
        <v>1643</v>
      </c>
      <c r="I37" s="5212">
        <v>4</v>
      </c>
      <c r="J37" s="5212">
        <v>4</v>
      </c>
      <c r="K37" s="5212">
        <v>4</v>
      </c>
      <c r="L37" s="5212">
        <v>4</v>
      </c>
      <c r="M37" s="5212">
        <v>4</v>
      </c>
      <c r="N37" s="5212">
        <v>4</v>
      </c>
      <c r="O37" s="5212">
        <v>4</v>
      </c>
      <c r="P37" s="5212">
        <v>4</v>
      </c>
      <c r="Q37" s="5212">
        <v>4</v>
      </c>
      <c r="R37" s="5212">
        <v>4</v>
      </c>
      <c r="S37" s="5212">
        <v>4</v>
      </c>
      <c r="T37" s="5212">
        <v>4</v>
      </c>
      <c r="U37" s="5212">
        <v>4</v>
      </c>
      <c r="V37" s="5213">
        <v>4</v>
      </c>
      <c r="W37" s="5214"/>
    </row>
    <row r="38" spans="1:23" ht="21" customHeight="1">
      <c r="A38" s="5205">
        <v>25</v>
      </c>
      <c r="B38" s="5206" t="s">
        <v>1667</v>
      </c>
      <c r="C38" s="5207">
        <v>31700</v>
      </c>
      <c r="D38" s="5208">
        <f t="shared" si="3"/>
        <v>31700</v>
      </c>
      <c r="E38" s="5209"/>
      <c r="F38" s="5210"/>
      <c r="G38" s="5218" t="s">
        <v>1627</v>
      </c>
      <c r="H38" s="5211" t="s">
        <v>1643</v>
      </c>
      <c r="I38" s="5212">
        <v>6</v>
      </c>
      <c r="J38" s="5212">
        <v>6</v>
      </c>
      <c r="K38" s="5212">
        <v>6</v>
      </c>
      <c r="L38" s="5212">
        <v>6</v>
      </c>
      <c r="M38" s="5212">
        <v>6</v>
      </c>
      <c r="N38" s="5212">
        <v>6</v>
      </c>
      <c r="O38" s="5212">
        <v>6</v>
      </c>
      <c r="P38" s="5212">
        <v>6</v>
      </c>
      <c r="Q38" s="5212">
        <v>6</v>
      </c>
      <c r="R38" s="5212">
        <v>6</v>
      </c>
      <c r="S38" s="5212">
        <v>6</v>
      </c>
      <c r="T38" s="5212">
        <v>6</v>
      </c>
      <c r="U38" s="5212">
        <v>6</v>
      </c>
      <c r="V38" s="5213">
        <v>6</v>
      </c>
      <c r="W38" s="5214"/>
    </row>
    <row r="39" spans="1:23" ht="21" customHeight="1">
      <c r="A39" s="5205">
        <v>26</v>
      </c>
      <c r="B39" s="5206" t="s">
        <v>1668</v>
      </c>
      <c r="C39" s="5207">
        <v>46500</v>
      </c>
      <c r="D39" s="5208">
        <f>C39*3</f>
        <v>139500</v>
      </c>
      <c r="E39" s="5209"/>
      <c r="F39" s="5210"/>
      <c r="G39" s="5218" t="s">
        <v>1627</v>
      </c>
      <c r="H39" s="5211" t="s">
        <v>1643</v>
      </c>
      <c r="I39" s="5212">
        <v>6</v>
      </c>
      <c r="J39" s="5212">
        <v>6</v>
      </c>
      <c r="K39" s="5212">
        <v>6</v>
      </c>
      <c r="L39" s="5212">
        <v>6</v>
      </c>
      <c r="M39" s="5212">
        <v>6</v>
      </c>
      <c r="N39" s="5212">
        <v>6</v>
      </c>
      <c r="O39" s="5212">
        <v>6</v>
      </c>
      <c r="P39" s="5212">
        <v>6</v>
      </c>
      <c r="Q39" s="5212">
        <v>6</v>
      </c>
      <c r="R39" s="5212">
        <v>6</v>
      </c>
      <c r="S39" s="5212">
        <v>6</v>
      </c>
      <c r="T39" s="5212">
        <v>6</v>
      </c>
      <c r="U39" s="5212">
        <v>6</v>
      </c>
      <c r="V39" s="5213">
        <v>6</v>
      </c>
      <c r="W39" s="5214"/>
    </row>
    <row r="40" spans="1:23" ht="21" customHeight="1">
      <c r="A40" s="5205">
        <v>27</v>
      </c>
      <c r="B40" s="5206" t="s">
        <v>1669</v>
      </c>
      <c r="C40" s="5207">
        <v>20000</v>
      </c>
      <c r="D40" s="5208">
        <f>C40*4</f>
        <v>80000</v>
      </c>
      <c r="E40" s="5209"/>
      <c r="F40" s="5210"/>
      <c r="G40" s="5211" t="s">
        <v>1626</v>
      </c>
      <c r="H40" s="5211" t="s">
        <v>1627</v>
      </c>
      <c r="I40" s="5211" t="s">
        <v>1643</v>
      </c>
      <c r="J40" s="5212">
        <v>16</v>
      </c>
      <c r="K40" s="5212">
        <v>16</v>
      </c>
      <c r="L40" s="5212">
        <v>16</v>
      </c>
      <c r="M40" s="5212">
        <v>16</v>
      </c>
      <c r="N40" s="5212">
        <v>16</v>
      </c>
      <c r="O40" s="5212">
        <v>16</v>
      </c>
      <c r="P40" s="5212">
        <v>16</v>
      </c>
      <c r="Q40" s="5212">
        <v>16</v>
      </c>
      <c r="R40" s="5212">
        <v>16</v>
      </c>
      <c r="S40" s="5212">
        <v>16</v>
      </c>
      <c r="T40" s="5212">
        <v>16</v>
      </c>
      <c r="U40" s="5212">
        <v>16</v>
      </c>
      <c r="V40" s="5213">
        <v>16</v>
      </c>
      <c r="W40" s="5214"/>
    </row>
    <row r="41" spans="1:23" ht="21" customHeight="1">
      <c r="A41" s="5205">
        <v>28</v>
      </c>
      <c r="B41" s="5206" t="s">
        <v>1670</v>
      </c>
      <c r="C41" s="5207">
        <v>30000</v>
      </c>
      <c r="D41" s="5208">
        <f>C41</f>
        <v>30000</v>
      </c>
      <c r="E41" s="5209"/>
      <c r="F41" s="5210"/>
      <c r="G41" s="5210"/>
      <c r="H41" s="5211" t="s">
        <v>1671</v>
      </c>
      <c r="I41" s="5211" t="s">
        <v>1627</v>
      </c>
      <c r="J41" s="5211"/>
      <c r="K41" s="5211" t="s">
        <v>1643</v>
      </c>
      <c r="L41" s="5212"/>
      <c r="M41" s="5212"/>
      <c r="N41" s="5212"/>
      <c r="O41" s="5212"/>
      <c r="P41" s="5212"/>
      <c r="Q41" s="5212"/>
      <c r="R41" s="5212"/>
      <c r="S41" s="5212"/>
      <c r="T41" s="5212"/>
      <c r="U41" s="5212"/>
      <c r="V41" s="5213"/>
      <c r="W41" s="5214"/>
    </row>
    <row r="42" spans="1:23" ht="21" customHeight="1">
      <c r="A42" s="5205">
        <v>29</v>
      </c>
      <c r="B42" s="5206" t="s">
        <v>1672</v>
      </c>
      <c r="C42" s="5207">
        <v>30000</v>
      </c>
      <c r="D42" s="5208">
        <f>C42</f>
        <v>30000</v>
      </c>
      <c r="E42" s="5209"/>
      <c r="F42" s="5210"/>
      <c r="G42" s="5210"/>
      <c r="H42" s="5211" t="s">
        <v>1626</v>
      </c>
      <c r="I42" s="5211" t="s">
        <v>1627</v>
      </c>
      <c r="J42" s="5211"/>
      <c r="K42" s="5211" t="s">
        <v>1643</v>
      </c>
      <c r="L42" s="5212"/>
      <c r="M42" s="5212"/>
      <c r="N42" s="5212"/>
      <c r="O42" s="5212"/>
      <c r="P42" s="5212"/>
      <c r="Q42" s="5212"/>
      <c r="R42" s="5212"/>
      <c r="S42" s="5212"/>
      <c r="T42" s="5212"/>
      <c r="U42" s="5212"/>
      <c r="V42" s="5213"/>
      <c r="W42" s="5214"/>
    </row>
    <row r="43" spans="1:23" ht="21" customHeight="1">
      <c r="A43" s="5205">
        <v>30</v>
      </c>
      <c r="B43" s="5206" t="s">
        <v>1673</v>
      </c>
      <c r="C43" s="5207">
        <v>5000</v>
      </c>
      <c r="D43" s="5208">
        <f>C43*5</f>
        <v>25000</v>
      </c>
      <c r="E43" s="5209"/>
      <c r="F43" s="5210"/>
      <c r="G43" s="5210"/>
      <c r="H43" s="5210"/>
      <c r="I43" s="5210"/>
      <c r="J43" s="5210"/>
      <c r="K43" s="5210"/>
      <c r="L43" s="5210"/>
      <c r="M43" s="5210"/>
      <c r="N43" s="5210"/>
      <c r="O43" s="5210"/>
      <c r="P43" s="5210"/>
      <c r="Q43" s="5211" t="s">
        <v>1674</v>
      </c>
      <c r="R43" s="5212"/>
      <c r="S43" s="5212"/>
      <c r="T43" s="5212"/>
      <c r="U43" s="5212"/>
      <c r="V43" s="5213"/>
      <c r="W43" s="5214" t="s">
        <v>1675</v>
      </c>
    </row>
    <row r="44" spans="1:23" ht="21" customHeight="1" thickBot="1">
      <c r="A44" s="5205">
        <v>31</v>
      </c>
      <c r="B44" s="5219" t="s">
        <v>1676</v>
      </c>
      <c r="C44" s="5220">
        <v>50000</v>
      </c>
      <c r="D44" s="5221">
        <f>C44</f>
        <v>50000</v>
      </c>
      <c r="E44" s="5222"/>
      <c r="F44" s="5223"/>
      <c r="G44" s="5223"/>
      <c r="H44" s="5223"/>
      <c r="I44" s="5223"/>
      <c r="J44" s="5223"/>
      <c r="K44" s="5223"/>
      <c r="L44" s="5223"/>
      <c r="M44" s="5223"/>
      <c r="N44" s="5224" t="s">
        <v>1674</v>
      </c>
      <c r="O44" s="5225"/>
      <c r="P44" s="5225"/>
      <c r="Q44" s="5225"/>
      <c r="R44" s="5225"/>
      <c r="S44" s="5225"/>
      <c r="T44" s="5225"/>
      <c r="U44" s="5225"/>
      <c r="V44" s="5226"/>
      <c r="W44" s="5214" t="s">
        <v>1677</v>
      </c>
    </row>
    <row r="45" spans="1:23" ht="21" customHeight="1" thickBot="1">
      <c r="A45" s="5227"/>
      <c r="B45" s="5228" t="s">
        <v>1678</v>
      </c>
      <c r="C45" s="5229"/>
      <c r="D45" s="5230">
        <f>SUM(D14:D44)</f>
        <v>3960983.076923077</v>
      </c>
      <c r="E45" s="5231">
        <v>26</v>
      </c>
      <c r="F45" s="5232">
        <v>26</v>
      </c>
      <c r="G45" s="5232">
        <v>26</v>
      </c>
      <c r="H45" s="5232">
        <v>28</v>
      </c>
      <c r="I45" s="5232">
        <v>28</v>
      </c>
      <c r="J45" s="5232">
        <v>28</v>
      </c>
      <c r="K45" s="5232">
        <f>SUM(K14:K26)</f>
        <v>30</v>
      </c>
      <c r="L45" s="5232">
        <f t="shared" ref="L45:V45" si="5">SUM(L14:L26)</f>
        <v>30</v>
      </c>
      <c r="M45" s="5232">
        <f t="shared" si="5"/>
        <v>30</v>
      </c>
      <c r="N45" s="5232">
        <f t="shared" si="5"/>
        <v>30</v>
      </c>
      <c r="O45" s="5232">
        <f t="shared" si="5"/>
        <v>30</v>
      </c>
      <c r="P45" s="5233">
        <f t="shared" si="5"/>
        <v>30</v>
      </c>
      <c r="Q45" s="5232">
        <f t="shared" si="5"/>
        <v>30</v>
      </c>
      <c r="R45" s="5233">
        <f t="shared" si="5"/>
        <v>30</v>
      </c>
      <c r="S45" s="5232">
        <f t="shared" si="5"/>
        <v>30</v>
      </c>
      <c r="T45" s="5233">
        <f t="shared" si="5"/>
        <v>30</v>
      </c>
      <c r="U45" s="5232">
        <f t="shared" si="5"/>
        <v>30</v>
      </c>
      <c r="V45" s="5232">
        <f t="shared" si="5"/>
        <v>30</v>
      </c>
      <c r="W45" s="5234" t="s">
        <v>1679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H374"/>
  <sheetViews>
    <sheetView showGridLines="0" tabSelected="1" zoomScale="70" zoomScaleNormal="70" workbookViewId="0">
      <pane xSplit="11" ySplit="4" topLeftCell="U106" activePane="bottomRight" state="frozen"/>
      <selection pane="topRight" activeCell="L1" sqref="L1"/>
      <selection pane="bottomLeft" activeCell="A5" sqref="A5"/>
      <selection pane="bottomRight" activeCell="W110" sqref="W110"/>
    </sheetView>
  </sheetViews>
  <sheetFormatPr defaultColWidth="7.8984375" defaultRowHeight="15.6"/>
  <cols>
    <col min="1" max="1" width="4.3984375" style="5" customWidth="1"/>
    <col min="2" max="2" width="6.69921875" style="5" customWidth="1"/>
    <col min="3" max="3" width="10.3984375" style="1528" customWidth="1"/>
    <col min="4" max="4" width="19" style="1528" customWidth="1"/>
    <col min="5" max="5" width="5.69921875" style="1528" customWidth="1"/>
    <col min="6" max="6" width="39.3984375" style="5" customWidth="1"/>
    <col min="7" max="7" width="10.09765625" style="1528" customWidth="1"/>
    <col min="8" max="11" width="7.8984375" style="1528" hidden="1" customWidth="1"/>
    <col min="12" max="16" width="13.69921875" style="1536" customWidth="1"/>
    <col min="17" max="23" width="13.69921875" style="1535" customWidth="1"/>
    <col min="24" max="24" width="14.59765625" style="1535" bestFit="1" customWidth="1"/>
    <col min="25" max="25" width="12.09765625" style="1636" customWidth="1"/>
    <col min="26" max="26" width="14.09765625" style="5" customWidth="1"/>
    <col min="27" max="27" width="12.09765625" style="5" customWidth="1"/>
    <col min="28" max="29" width="7.8984375" style="1528" hidden="1" customWidth="1"/>
    <col min="30" max="30" width="13" style="5" bestFit="1" customWidth="1"/>
    <col min="31" max="31" width="15.69921875" style="5" bestFit="1" customWidth="1"/>
    <col min="32" max="16384" width="7.8984375" style="5"/>
  </cols>
  <sheetData>
    <row r="1" spans="1:30" ht="19.5" customHeight="1">
      <c r="A1" s="1529" t="s">
        <v>29</v>
      </c>
      <c r="B1" s="1528"/>
      <c r="C1" s="1530"/>
      <c r="D1" s="1530"/>
      <c r="E1" s="1531"/>
      <c r="F1" s="1530"/>
      <c r="G1" s="1531"/>
      <c r="H1" s="1531"/>
      <c r="I1" s="1531"/>
      <c r="J1" s="1531"/>
      <c r="K1" s="1531"/>
      <c r="L1" s="1534"/>
      <c r="M1" s="1534"/>
      <c r="N1" s="1534"/>
      <c r="O1" s="1534"/>
      <c r="P1" s="1534"/>
      <c r="Q1" s="1533"/>
      <c r="R1" s="1533"/>
      <c r="S1" s="1533"/>
      <c r="T1" s="1533"/>
      <c r="U1" s="1533"/>
      <c r="V1" s="1533"/>
      <c r="W1" s="1533"/>
      <c r="X1" s="1533"/>
      <c r="Y1" s="4"/>
      <c r="AB1" s="1530"/>
      <c r="AC1" s="1530"/>
    </row>
    <row r="2" spans="1:30" ht="19.5" customHeight="1">
      <c r="A2" s="1528"/>
      <c r="B2" s="1528"/>
      <c r="C2" s="5"/>
      <c r="D2" s="5"/>
      <c r="L2" s="1534"/>
      <c r="M2" s="1534"/>
      <c r="N2" s="1534"/>
      <c r="O2" s="1534"/>
      <c r="P2" s="1534"/>
      <c r="Q2" s="1533"/>
      <c r="R2" s="1533"/>
      <c r="S2" s="1533"/>
      <c r="T2" s="1533"/>
      <c r="U2" s="1533"/>
      <c r="V2" s="1533"/>
      <c r="W2" s="1533"/>
      <c r="X2" s="1537" t="s">
        <v>1922</v>
      </c>
      <c r="Y2" s="1840"/>
      <c r="AC2" s="5"/>
    </row>
    <row r="3" spans="1:30" ht="19.5" customHeight="1" thickBot="1">
      <c r="A3" s="1538" t="s">
        <v>27</v>
      </c>
      <c r="B3" s="1528"/>
      <c r="C3" s="5"/>
      <c r="D3" s="5"/>
      <c r="L3" s="4547"/>
      <c r="M3" s="4547"/>
      <c r="N3" s="4547"/>
      <c r="O3" s="4547"/>
      <c r="P3" s="4547"/>
      <c r="Q3" s="3140"/>
      <c r="R3" s="3140"/>
      <c r="S3" s="3140"/>
      <c r="T3" s="3140"/>
      <c r="U3" s="3140"/>
      <c r="V3" s="3140"/>
      <c r="W3" s="3140"/>
      <c r="X3" s="1537" t="s">
        <v>1921</v>
      </c>
      <c r="Y3" s="1840"/>
      <c r="AB3" s="5"/>
      <c r="AC3" s="5"/>
    </row>
    <row r="4" spans="1:30" ht="27.75" customHeight="1" thickBot="1">
      <c r="A4" s="1539" t="s">
        <v>40</v>
      </c>
      <c r="B4" s="74" t="s">
        <v>106</v>
      </c>
      <c r="C4" s="74" t="s">
        <v>105</v>
      </c>
      <c r="D4" s="74" t="s">
        <v>989</v>
      </c>
      <c r="E4" s="74" t="s">
        <v>1011</v>
      </c>
      <c r="F4" s="74" t="s">
        <v>107</v>
      </c>
      <c r="G4" s="1540" t="s">
        <v>28</v>
      </c>
      <c r="H4" s="3233" t="s">
        <v>1196</v>
      </c>
      <c r="I4" s="3233" t="s">
        <v>1197</v>
      </c>
      <c r="J4" s="3233" t="s">
        <v>1198</v>
      </c>
      <c r="K4" s="3233" t="s">
        <v>1199</v>
      </c>
      <c r="L4" s="4490" t="s">
        <v>1242</v>
      </c>
      <c r="M4" s="5005" t="s">
        <v>1243</v>
      </c>
      <c r="N4" s="5494" t="s">
        <v>1244</v>
      </c>
      <c r="O4" s="4490" t="s">
        <v>1245</v>
      </c>
      <c r="P4" s="5005" t="s">
        <v>1246</v>
      </c>
      <c r="Q4" s="1843" t="s">
        <v>1247</v>
      </c>
      <c r="R4" s="1841" t="s">
        <v>1248</v>
      </c>
      <c r="S4" s="1842" t="s">
        <v>1249</v>
      </c>
      <c r="T4" s="1843" t="s">
        <v>1250</v>
      </c>
      <c r="U4" s="1841" t="s">
        <v>1251</v>
      </c>
      <c r="V4" s="1842" t="s">
        <v>1252</v>
      </c>
      <c r="W4" s="1843" t="s">
        <v>1253</v>
      </c>
      <c r="X4" s="2472" t="s">
        <v>1254</v>
      </c>
      <c r="Y4" s="3992"/>
      <c r="AB4" s="74" t="s">
        <v>105</v>
      </c>
      <c r="AC4" s="74" t="s">
        <v>989</v>
      </c>
    </row>
    <row r="5" spans="1:30" s="1535" customFormat="1" ht="16.5" customHeight="1">
      <c r="A5" s="7169">
        <v>1</v>
      </c>
      <c r="B5" s="7172" t="s">
        <v>16</v>
      </c>
      <c r="C5" s="12" t="s">
        <v>19</v>
      </c>
      <c r="D5" s="7218" t="s">
        <v>844</v>
      </c>
      <c r="E5" s="4048"/>
      <c r="F5" s="11" t="str">
        <f>B.BasicInfomation!B10</f>
        <v>Galaxy Tap</v>
      </c>
      <c r="G5" s="1552">
        <v>1.8</v>
      </c>
      <c r="H5" s="3208">
        <v>0.86499678619795217</v>
      </c>
      <c r="I5" s="3226">
        <v>0.74</v>
      </c>
      <c r="J5" s="3210">
        <v>0.72519999999999996</v>
      </c>
      <c r="K5" s="3194">
        <v>0.71069599999999999</v>
      </c>
      <c r="L5" s="4548">
        <v>0</v>
      </c>
      <c r="M5" s="5003">
        <v>0</v>
      </c>
      <c r="N5" s="5495">
        <v>0</v>
      </c>
      <c r="O5" s="6046">
        <v>0</v>
      </c>
      <c r="P5" s="5003">
        <v>0</v>
      </c>
      <c r="Q5" s="3330">
        <v>0</v>
      </c>
      <c r="R5" s="3331">
        <v>0</v>
      </c>
      <c r="S5" s="3329"/>
      <c r="T5" s="3330"/>
      <c r="U5" s="3331"/>
      <c r="V5" s="3329">
        <v>10000</v>
      </c>
      <c r="W5" s="3329">
        <v>50000</v>
      </c>
      <c r="X5" s="2480">
        <f t="shared" ref="X5:X22" si="0">SUM(L5:W5)</f>
        <v>60000</v>
      </c>
      <c r="Y5" s="1637"/>
      <c r="AB5" s="12" t="s">
        <v>19</v>
      </c>
      <c r="AC5" s="12" t="s">
        <v>844</v>
      </c>
      <c r="AD5" s="1533"/>
    </row>
    <row r="6" spans="1:30" s="1535" customFormat="1" ht="16.5" customHeight="1">
      <c r="A6" s="7170"/>
      <c r="B6" s="7173"/>
      <c r="C6" s="1588"/>
      <c r="D6" s="7201"/>
      <c r="E6" s="4049">
        <v>1</v>
      </c>
      <c r="F6" s="10" t="s">
        <v>1215</v>
      </c>
      <c r="G6" s="1552">
        <v>0.61799999999999999</v>
      </c>
      <c r="H6" s="3217">
        <v>0.68186718692421999</v>
      </c>
      <c r="I6" s="3230">
        <v>0.6625161991823757</v>
      </c>
      <c r="J6" s="3223">
        <v>0.66529411764705881</v>
      </c>
      <c r="K6" s="3194">
        <v>0.65198823529411765</v>
      </c>
      <c r="L6" s="4549">
        <v>1134160</v>
      </c>
      <c r="M6" s="5004">
        <v>804560</v>
      </c>
      <c r="N6" s="5496">
        <v>887570</v>
      </c>
      <c r="O6" s="6047">
        <v>972545</v>
      </c>
      <c r="P6" s="5004">
        <v>970800</v>
      </c>
      <c r="Q6" s="3334">
        <v>1160000</v>
      </c>
      <c r="R6" s="3335">
        <v>1200000</v>
      </c>
      <c r="S6" s="3333">
        <v>1200000</v>
      </c>
      <c r="T6" s="3334">
        <v>800000</v>
      </c>
      <c r="U6" s="3335">
        <v>750000</v>
      </c>
      <c r="V6" s="3333">
        <v>750000</v>
      </c>
      <c r="W6" s="3336">
        <v>750000</v>
      </c>
      <c r="X6" s="2085">
        <f t="shared" si="0"/>
        <v>11379635</v>
      </c>
      <c r="Y6" s="1637"/>
      <c r="AB6" s="1588" t="str">
        <f t="shared" ref="AB6:AC11" si="1">AB5</f>
        <v>Samsung</v>
      </c>
      <c r="AC6" s="1588" t="str">
        <f t="shared" si="1"/>
        <v>Mobile</v>
      </c>
      <c r="AD6" s="1533"/>
    </row>
    <row r="7" spans="1:30" s="1535" customFormat="1" ht="16.5" customHeight="1">
      <c r="A7" s="7170"/>
      <c r="B7" s="7173"/>
      <c r="C7" s="1588"/>
      <c r="D7" s="7201"/>
      <c r="E7" s="4049">
        <v>2</v>
      </c>
      <c r="F7" s="10" t="s">
        <v>1190</v>
      </c>
      <c r="G7" s="1552">
        <v>0.70957692307692311</v>
      </c>
      <c r="H7" s="3209">
        <v>0.76</v>
      </c>
      <c r="I7" s="3213">
        <v>0.7512646889027198</v>
      </c>
      <c r="J7" s="3211">
        <v>0.72713725490196079</v>
      </c>
      <c r="K7" s="3195">
        <v>0.71259450980392158</v>
      </c>
      <c r="L7" s="4549">
        <v>46320</v>
      </c>
      <c r="M7" s="5004">
        <v>0</v>
      </c>
      <c r="N7" s="5496">
        <v>60960</v>
      </c>
      <c r="O7" s="6047">
        <v>80640</v>
      </c>
      <c r="P7" s="5004">
        <v>20160</v>
      </c>
      <c r="Q7" s="3334">
        <v>15000</v>
      </c>
      <c r="R7" s="3335">
        <v>0</v>
      </c>
      <c r="S7" s="3333">
        <v>0</v>
      </c>
      <c r="T7" s="3334">
        <v>0</v>
      </c>
      <c r="U7" s="3335">
        <v>0</v>
      </c>
      <c r="V7" s="3333">
        <v>0</v>
      </c>
      <c r="W7" s="3336">
        <v>0</v>
      </c>
      <c r="X7" s="2085">
        <f t="shared" si="0"/>
        <v>223080</v>
      </c>
      <c r="Y7" s="1637"/>
      <c r="AB7" s="1588" t="str">
        <f t="shared" si="1"/>
        <v>Samsung</v>
      </c>
      <c r="AC7" s="1588" t="str">
        <f t="shared" si="1"/>
        <v>Mobile</v>
      </c>
      <c r="AD7" s="1533"/>
    </row>
    <row r="8" spans="1:30" s="1535" customFormat="1" ht="16.5" customHeight="1">
      <c r="A8" s="7170"/>
      <c r="B8" s="7173"/>
      <c r="C8" s="1588"/>
      <c r="D8" s="7201"/>
      <c r="E8" s="4049">
        <v>3</v>
      </c>
      <c r="F8" s="10" t="s">
        <v>1191</v>
      </c>
      <c r="G8" s="1552">
        <v>0.68169230769230771</v>
      </c>
      <c r="H8" s="3217">
        <v>0.80160892422989205</v>
      </c>
      <c r="I8" s="3230">
        <v>0.75653268010422603</v>
      </c>
      <c r="J8" s="3223">
        <v>0.72925490196078435</v>
      </c>
      <c r="K8" s="3194">
        <v>0.71466980392156865</v>
      </c>
      <c r="L8" s="4549">
        <v>209040</v>
      </c>
      <c r="M8" s="5004">
        <v>55293</v>
      </c>
      <c r="N8" s="5496">
        <v>0</v>
      </c>
      <c r="O8" s="6047">
        <v>9876</v>
      </c>
      <c r="P8" s="5004">
        <v>83280</v>
      </c>
      <c r="Q8" s="3334"/>
      <c r="R8" s="3335">
        <v>0</v>
      </c>
      <c r="S8" s="3333">
        <v>0</v>
      </c>
      <c r="T8" s="3334">
        <v>0</v>
      </c>
      <c r="U8" s="3335">
        <v>0</v>
      </c>
      <c r="V8" s="3333">
        <v>0</v>
      </c>
      <c r="W8" s="3336">
        <v>0</v>
      </c>
      <c r="X8" s="2085">
        <f t="shared" si="0"/>
        <v>357489</v>
      </c>
      <c r="Y8" s="1637"/>
      <c r="AB8" s="1588" t="str">
        <f t="shared" si="1"/>
        <v>Samsung</v>
      </c>
      <c r="AC8" s="1588" t="str">
        <f t="shared" si="1"/>
        <v>Mobile</v>
      </c>
      <c r="AD8" s="1533"/>
    </row>
    <row r="9" spans="1:30" s="1535" customFormat="1" ht="16.5" customHeight="1">
      <c r="A9" s="7170"/>
      <c r="B9" s="7173"/>
      <c r="C9" s="1588"/>
      <c r="D9" s="7201"/>
      <c r="E9" s="4049">
        <v>4</v>
      </c>
      <c r="F9" s="10" t="s">
        <v>1216</v>
      </c>
      <c r="G9" s="1552">
        <v>0.71</v>
      </c>
      <c r="H9" s="3217">
        <v>1.0308226574971748</v>
      </c>
      <c r="I9" s="3230">
        <v>0.95888658951453121</v>
      </c>
      <c r="J9" s="3223">
        <v>0.99600624887045919</v>
      </c>
      <c r="K9" s="3194">
        <v>1.0132913431984185</v>
      </c>
      <c r="L9" s="4549">
        <v>0</v>
      </c>
      <c r="M9" s="5004">
        <v>0</v>
      </c>
      <c r="N9" s="5496">
        <v>0</v>
      </c>
      <c r="O9" s="6047">
        <v>0</v>
      </c>
      <c r="P9" s="5004">
        <v>101760</v>
      </c>
      <c r="Q9" s="3334">
        <v>790000</v>
      </c>
      <c r="R9" s="3335">
        <v>1000000</v>
      </c>
      <c r="S9" s="3333">
        <v>1000000</v>
      </c>
      <c r="T9" s="3334">
        <v>700000</v>
      </c>
      <c r="U9" s="3335">
        <v>500000</v>
      </c>
      <c r="V9" s="3333">
        <v>500000</v>
      </c>
      <c r="W9" s="3336">
        <v>400000</v>
      </c>
      <c r="X9" s="2085">
        <f t="shared" si="0"/>
        <v>4991760</v>
      </c>
      <c r="Y9" s="1637"/>
      <c r="AB9" s="1588" t="str">
        <f t="shared" si="1"/>
        <v>Samsung</v>
      </c>
      <c r="AC9" s="1588" t="str">
        <f t="shared" si="1"/>
        <v>Mobile</v>
      </c>
      <c r="AD9" s="1533"/>
    </row>
    <row r="10" spans="1:30" s="1535" customFormat="1" ht="15.75" customHeight="1">
      <c r="A10" s="7170"/>
      <c r="B10" s="7173"/>
      <c r="C10" s="1588"/>
      <c r="D10" s="7201"/>
      <c r="E10" s="4049">
        <v>5</v>
      </c>
      <c r="F10" s="10" t="s">
        <v>1217</v>
      </c>
      <c r="G10" s="1552">
        <v>0.752</v>
      </c>
      <c r="H10" s="3217"/>
      <c r="I10" s="3230"/>
      <c r="J10" s="3223"/>
      <c r="K10" s="3194"/>
      <c r="L10" s="4549">
        <v>69200</v>
      </c>
      <c r="M10" s="5004">
        <v>411900</v>
      </c>
      <c r="N10" s="5496">
        <v>222600</v>
      </c>
      <c r="O10" s="6047">
        <v>0</v>
      </c>
      <c r="P10" s="5004">
        <v>48600</v>
      </c>
      <c r="Q10" s="3334">
        <v>64000</v>
      </c>
      <c r="R10" s="3335">
        <v>100000</v>
      </c>
      <c r="S10" s="3333">
        <v>100000</v>
      </c>
      <c r="T10" s="3334">
        <v>100000</v>
      </c>
      <c r="U10" s="3335">
        <v>100000</v>
      </c>
      <c r="V10" s="3333">
        <v>0</v>
      </c>
      <c r="W10" s="3336">
        <v>0</v>
      </c>
      <c r="X10" s="2085">
        <f t="shared" si="0"/>
        <v>1216300</v>
      </c>
      <c r="Y10" s="1637"/>
      <c r="AB10" s="1588" t="str">
        <f t="shared" si="1"/>
        <v>Samsung</v>
      </c>
      <c r="AC10" s="1588" t="str">
        <f t="shared" si="1"/>
        <v>Mobile</v>
      </c>
      <c r="AD10" s="1533"/>
    </row>
    <row r="11" spans="1:30" s="1535" customFormat="1" ht="16.5" customHeight="1">
      <c r="A11" s="7170"/>
      <c r="B11" s="7173"/>
      <c r="C11" s="1588"/>
      <c r="D11" s="7201"/>
      <c r="E11" s="4049">
        <v>6</v>
      </c>
      <c r="F11" s="10" t="s">
        <v>1218</v>
      </c>
      <c r="G11" s="1552">
        <v>0.6</v>
      </c>
      <c r="H11" s="3217"/>
      <c r="I11" s="3230"/>
      <c r="J11" s="3223"/>
      <c r="K11" s="3194"/>
      <c r="L11" s="4549">
        <v>0</v>
      </c>
      <c r="M11" s="5004">
        <v>0</v>
      </c>
      <c r="N11" s="5496">
        <v>0</v>
      </c>
      <c r="O11" s="6047">
        <v>0</v>
      </c>
      <c r="P11" s="5004">
        <v>0</v>
      </c>
      <c r="Q11" s="3334">
        <v>0</v>
      </c>
      <c r="R11" s="3335">
        <v>0</v>
      </c>
      <c r="S11" s="3333">
        <v>0</v>
      </c>
      <c r="T11" s="3334"/>
      <c r="U11" s="6524">
        <v>50000</v>
      </c>
      <c r="V11" s="3335">
        <v>400000</v>
      </c>
      <c r="W11" s="3336">
        <v>400000</v>
      </c>
      <c r="X11" s="2085">
        <f t="shared" si="0"/>
        <v>850000</v>
      </c>
      <c r="Y11" s="1637"/>
      <c r="AB11" s="1588" t="str">
        <f t="shared" si="1"/>
        <v>Samsung</v>
      </c>
      <c r="AC11" s="4780" t="str">
        <f t="shared" si="1"/>
        <v>Mobile</v>
      </c>
      <c r="AD11" s="1533"/>
    </row>
    <row r="12" spans="1:30" s="1535" customFormat="1" ht="16.5" customHeight="1">
      <c r="A12" s="7170"/>
      <c r="B12" s="7173"/>
      <c r="C12" s="1588"/>
      <c r="D12" s="7201"/>
      <c r="E12" s="7137" t="s">
        <v>1548</v>
      </c>
      <c r="F12" s="7138"/>
      <c r="G12" s="7192"/>
      <c r="H12" s="3712"/>
      <c r="I12" s="3713"/>
      <c r="J12" s="3714"/>
      <c r="K12" s="3715"/>
      <c r="L12" s="5876">
        <f>SUM(L5:L11)</f>
        <v>1458720</v>
      </c>
      <c r="M12" s="5877">
        <f t="shared" ref="M12:W12" si="2">SUM(M5:M11)</f>
        <v>1271753</v>
      </c>
      <c r="N12" s="5878">
        <f t="shared" si="2"/>
        <v>1171130</v>
      </c>
      <c r="O12" s="6048">
        <f t="shared" si="2"/>
        <v>1063061</v>
      </c>
      <c r="P12" s="5877">
        <f t="shared" si="2"/>
        <v>1224600</v>
      </c>
      <c r="Q12" s="5881">
        <f t="shared" si="2"/>
        <v>2029000</v>
      </c>
      <c r="R12" s="5879">
        <f t="shared" si="2"/>
        <v>2300000</v>
      </c>
      <c r="S12" s="5880">
        <f t="shared" si="2"/>
        <v>2300000</v>
      </c>
      <c r="T12" s="5881">
        <f t="shared" si="2"/>
        <v>1600000</v>
      </c>
      <c r="U12" s="5879">
        <f t="shared" si="2"/>
        <v>1400000</v>
      </c>
      <c r="V12" s="5880">
        <f t="shared" si="2"/>
        <v>1660000</v>
      </c>
      <c r="W12" s="5882">
        <f t="shared" si="2"/>
        <v>1600000</v>
      </c>
      <c r="X12" s="3593">
        <f t="shared" si="0"/>
        <v>19078264</v>
      </c>
      <c r="Y12" s="1637"/>
      <c r="AB12" s="1588"/>
      <c r="AC12" s="1588"/>
      <c r="AD12" s="1533"/>
    </row>
    <row r="13" spans="1:30" s="1535" customFormat="1" ht="16.5" customHeight="1">
      <c r="A13" s="7170"/>
      <c r="B13" s="7173"/>
      <c r="C13" s="1600"/>
      <c r="D13" s="7219"/>
      <c r="E13" s="5687"/>
      <c r="F13" s="5754" t="s">
        <v>91</v>
      </c>
      <c r="G13" s="1547">
        <v>1.1399999999999999</v>
      </c>
      <c r="H13" s="3215">
        <v>1.0308226574971748</v>
      </c>
      <c r="I13" s="3228">
        <v>0.91672214401430097</v>
      </c>
      <c r="J13" s="3221">
        <v>0.85039625404655472</v>
      </c>
      <c r="K13" s="3193">
        <v>0.82942030325443783</v>
      </c>
      <c r="L13" s="5820">
        <v>481641</v>
      </c>
      <c r="M13" s="5821">
        <v>309968</v>
      </c>
      <c r="N13" s="5822">
        <v>520149</v>
      </c>
      <c r="O13" s="5820">
        <v>384822</v>
      </c>
      <c r="P13" s="5821">
        <v>393686</v>
      </c>
      <c r="Q13" s="5825">
        <v>450000</v>
      </c>
      <c r="R13" s="5823">
        <v>480000</v>
      </c>
      <c r="S13" s="5824">
        <v>566500</v>
      </c>
      <c r="T13" s="5825">
        <v>550000</v>
      </c>
      <c r="U13" s="5823">
        <v>561000</v>
      </c>
      <c r="V13" s="5824">
        <v>517000</v>
      </c>
      <c r="W13" s="5825">
        <v>495000</v>
      </c>
      <c r="X13" s="2099">
        <f t="shared" si="0"/>
        <v>5709766</v>
      </c>
      <c r="Y13" s="1637"/>
      <c r="AB13" s="1600" t="str">
        <f>AB11</f>
        <v>Samsung</v>
      </c>
      <c r="AC13" s="3772" t="str">
        <f>AC11</f>
        <v>Mobile</v>
      </c>
      <c r="AD13" s="1533"/>
    </row>
    <row r="14" spans="1:30" s="1535" customFormat="1" ht="16.5" customHeight="1">
      <c r="A14" s="7170"/>
      <c r="B14" s="7173"/>
      <c r="C14" s="7211" t="s">
        <v>1549</v>
      </c>
      <c r="D14" s="7212"/>
      <c r="E14" s="7212"/>
      <c r="F14" s="7212"/>
      <c r="G14" s="7213"/>
      <c r="H14" s="5883"/>
      <c r="I14" s="5884"/>
      <c r="J14" s="5885"/>
      <c r="K14" s="2400"/>
      <c r="L14" s="5886">
        <f t="shared" ref="L14:X14" si="3">SUM(L12:L13)</f>
        <v>1940361</v>
      </c>
      <c r="M14" s="5887">
        <f t="shared" si="3"/>
        <v>1581721</v>
      </c>
      <c r="N14" s="5888">
        <f t="shared" si="3"/>
        <v>1691279</v>
      </c>
      <c r="O14" s="5886">
        <f t="shared" si="3"/>
        <v>1447883</v>
      </c>
      <c r="P14" s="5887">
        <f t="shared" si="3"/>
        <v>1618286</v>
      </c>
      <c r="Q14" s="5891">
        <f t="shared" si="3"/>
        <v>2479000</v>
      </c>
      <c r="R14" s="5889">
        <f t="shared" si="3"/>
        <v>2780000</v>
      </c>
      <c r="S14" s="5890">
        <f t="shared" si="3"/>
        <v>2866500</v>
      </c>
      <c r="T14" s="5891">
        <f t="shared" si="3"/>
        <v>2150000</v>
      </c>
      <c r="U14" s="5889">
        <f t="shared" si="3"/>
        <v>1961000</v>
      </c>
      <c r="V14" s="5890">
        <f t="shared" si="3"/>
        <v>2177000</v>
      </c>
      <c r="W14" s="5891">
        <f t="shared" si="3"/>
        <v>2095000</v>
      </c>
      <c r="X14" s="2108">
        <f t="shared" si="3"/>
        <v>24788030</v>
      </c>
      <c r="Y14" s="1637" t="b">
        <f>X14=SUM(L14:W14)</f>
        <v>1</v>
      </c>
      <c r="AB14" s="1588"/>
      <c r="AC14" s="84"/>
      <c r="AD14" s="1533"/>
    </row>
    <row r="15" spans="1:30" s="1535" customFormat="1" ht="16.5" customHeight="1">
      <c r="A15" s="7170"/>
      <c r="B15" s="7173"/>
      <c r="C15" s="7201" t="s">
        <v>24</v>
      </c>
      <c r="D15" s="84" t="s">
        <v>844</v>
      </c>
      <c r="E15" s="4049">
        <v>7</v>
      </c>
      <c r="F15" s="10" t="s">
        <v>846</v>
      </c>
      <c r="G15" s="1552">
        <v>1.85</v>
      </c>
      <c r="H15" s="3217"/>
      <c r="I15" s="3230"/>
      <c r="J15" s="3223"/>
      <c r="K15" s="4866"/>
      <c r="L15" s="4551">
        <v>18000</v>
      </c>
      <c r="M15" s="5006">
        <v>6109.2</v>
      </c>
      <c r="N15" s="5497">
        <v>17266.409266409268</v>
      </c>
      <c r="O15" s="6049">
        <v>16000</v>
      </c>
      <c r="P15" s="5839">
        <v>14559.845559845562</v>
      </c>
      <c r="Q15" s="5291">
        <v>18266.409266409268</v>
      </c>
      <c r="R15" s="5292">
        <v>18266.409266409268</v>
      </c>
      <c r="S15" s="5293">
        <v>18266.409266409268</v>
      </c>
      <c r="T15" s="5291">
        <v>18266.409266409268</v>
      </c>
      <c r="U15" s="5292">
        <v>18266.409266409268</v>
      </c>
      <c r="V15" s="5293">
        <v>13633.204633204634</v>
      </c>
      <c r="W15" s="5291">
        <v>13633.204633204634</v>
      </c>
      <c r="X15" s="2085">
        <f t="shared" si="0"/>
        <v>190533.91042471043</v>
      </c>
      <c r="Y15" s="1637"/>
      <c r="Z15" s="3905">
        <f t="shared" ref="Z15:Z20" si="4">G15/4*10</f>
        <v>4.625</v>
      </c>
      <c r="AA15" s="3905"/>
      <c r="AB15" s="1588" t="s">
        <v>24</v>
      </c>
      <c r="AC15" s="84" t="s">
        <v>844</v>
      </c>
      <c r="AD15" s="2112"/>
    </row>
    <row r="16" spans="1:30" s="1535" customFormat="1" ht="16.5" customHeight="1">
      <c r="A16" s="7170"/>
      <c r="B16" s="7173"/>
      <c r="C16" s="7201"/>
      <c r="D16" s="84"/>
      <c r="E16" s="4049">
        <v>8</v>
      </c>
      <c r="F16" s="10" t="s">
        <v>847</v>
      </c>
      <c r="G16" s="1552">
        <v>71.430000000000007</v>
      </c>
      <c r="H16" s="3217"/>
      <c r="I16" s="3230"/>
      <c r="J16" s="3223"/>
      <c r="K16" s="3194"/>
      <c r="L16" s="4551">
        <v>200</v>
      </c>
      <c r="M16" s="5006">
        <v>200</v>
      </c>
      <c r="N16" s="5498">
        <v>0</v>
      </c>
      <c r="O16" s="4551">
        <v>141.99916001679966</v>
      </c>
      <c r="P16" s="5006">
        <v>200</v>
      </c>
      <c r="Q16" s="1643">
        <v>200</v>
      </c>
      <c r="R16" s="1759">
        <v>249.99999999999997</v>
      </c>
      <c r="S16" s="1642">
        <v>249.99999999999997</v>
      </c>
      <c r="T16" s="1643">
        <v>249.99999999999997</v>
      </c>
      <c r="U16" s="1759">
        <v>200</v>
      </c>
      <c r="V16" s="1642">
        <v>100</v>
      </c>
      <c r="W16" s="1818">
        <v>100</v>
      </c>
      <c r="X16" s="2085">
        <f t="shared" si="0"/>
        <v>2091.9991600167996</v>
      </c>
      <c r="Y16" s="1637"/>
      <c r="Z16" s="3905">
        <f t="shared" si="4"/>
        <v>178.57500000000002</v>
      </c>
      <c r="AA16" s="3905"/>
      <c r="AB16" s="1588" t="str">
        <f t="shared" ref="AB16:AB20" si="5">AB15</f>
        <v>Qualcomm</v>
      </c>
      <c r="AC16" s="84" t="str">
        <f t="shared" ref="AC16:AC20" si="6">AC15</f>
        <v>Mobile</v>
      </c>
      <c r="AD16" s="1533"/>
    </row>
    <row r="17" spans="1:30" s="1535" customFormat="1" ht="16.5" hidden="1" customHeight="1">
      <c r="A17" s="7170"/>
      <c r="B17" s="7173"/>
      <c r="C17" s="7201"/>
      <c r="D17" s="84"/>
      <c r="E17" s="4049"/>
      <c r="F17" s="3138" t="s">
        <v>1171</v>
      </c>
      <c r="G17" s="1552">
        <v>4.9000000000000004</v>
      </c>
      <c r="H17" s="3209"/>
      <c r="I17" s="3213"/>
      <c r="J17" s="3211"/>
      <c r="K17" s="3195"/>
      <c r="L17" s="4551">
        <v>0</v>
      </c>
      <c r="M17" s="5006">
        <v>0</v>
      </c>
      <c r="N17" s="5498">
        <v>0</v>
      </c>
      <c r="O17" s="4551">
        <v>0</v>
      </c>
      <c r="P17" s="5006">
        <v>0</v>
      </c>
      <c r="Q17" s="1643">
        <v>0</v>
      </c>
      <c r="R17" s="1759">
        <v>0</v>
      </c>
      <c r="S17" s="1642">
        <v>0</v>
      </c>
      <c r="T17" s="1643">
        <v>0</v>
      </c>
      <c r="U17" s="1759">
        <v>0</v>
      </c>
      <c r="V17" s="1642">
        <v>0</v>
      </c>
      <c r="W17" s="1818">
        <v>0</v>
      </c>
      <c r="X17" s="2085">
        <f t="shared" si="0"/>
        <v>0</v>
      </c>
      <c r="Y17" s="1637"/>
      <c r="Z17" s="3905">
        <f t="shared" si="4"/>
        <v>12.25</v>
      </c>
      <c r="AA17" s="3905"/>
      <c r="AB17" s="1588" t="str">
        <f t="shared" si="5"/>
        <v>Qualcomm</v>
      </c>
      <c r="AC17" s="84" t="str">
        <f t="shared" si="6"/>
        <v>Mobile</v>
      </c>
      <c r="AD17" s="1533"/>
    </row>
    <row r="18" spans="1:30" s="1535" customFormat="1" ht="16.5" customHeight="1">
      <c r="A18" s="7170"/>
      <c r="B18" s="7173"/>
      <c r="C18" s="7201"/>
      <c r="D18" s="84"/>
      <c r="E18" s="4049">
        <v>9</v>
      </c>
      <c r="F18" s="10" t="s">
        <v>1048</v>
      </c>
      <c r="G18" s="1552">
        <v>8.23</v>
      </c>
      <c r="H18" s="3217"/>
      <c r="I18" s="3230"/>
      <c r="J18" s="3223"/>
      <c r="K18" s="3194"/>
      <c r="L18" s="4551">
        <v>1000</v>
      </c>
      <c r="M18" s="5006">
        <v>812.0675577156743</v>
      </c>
      <c r="N18" s="5498">
        <v>1000</v>
      </c>
      <c r="O18" s="4551">
        <v>1000</v>
      </c>
      <c r="P18" s="5006">
        <v>1000</v>
      </c>
      <c r="Q18" s="1643">
        <v>1000</v>
      </c>
      <c r="R18" s="1759">
        <v>1000</v>
      </c>
      <c r="S18" s="1642">
        <v>1000</v>
      </c>
      <c r="T18" s="1643">
        <v>1000</v>
      </c>
      <c r="U18" s="1759">
        <v>1000</v>
      </c>
      <c r="V18" s="1642">
        <v>1000</v>
      </c>
      <c r="W18" s="1818">
        <v>1000</v>
      </c>
      <c r="X18" s="2085">
        <f t="shared" si="0"/>
        <v>11812.067557715674</v>
      </c>
      <c r="Y18" s="1637"/>
      <c r="Z18" s="3905">
        <f t="shared" si="4"/>
        <v>20.575000000000003</v>
      </c>
      <c r="AA18" s="3905"/>
      <c r="AB18" s="1588" t="str">
        <f t="shared" si="5"/>
        <v>Qualcomm</v>
      </c>
      <c r="AC18" s="84" t="str">
        <f t="shared" si="6"/>
        <v>Mobile</v>
      </c>
      <c r="AD18" s="1533"/>
    </row>
    <row r="19" spans="1:30" s="1535" customFormat="1" ht="16.5" customHeight="1">
      <c r="A19" s="7170"/>
      <c r="B19" s="7173"/>
      <c r="C19" s="7201"/>
      <c r="D19" s="84"/>
      <c r="E19" s="4049">
        <v>10</v>
      </c>
      <c r="F19" s="10" t="s">
        <v>1049</v>
      </c>
      <c r="G19" s="1552">
        <v>8.23</v>
      </c>
      <c r="H19" s="3217"/>
      <c r="I19" s="3230"/>
      <c r="J19" s="3223"/>
      <c r="K19" s="3194"/>
      <c r="L19" s="4551">
        <v>500</v>
      </c>
      <c r="M19" s="5006">
        <v>500</v>
      </c>
      <c r="N19" s="5498">
        <v>531.22721749696234</v>
      </c>
      <c r="O19" s="4551">
        <v>0</v>
      </c>
      <c r="P19" s="5006">
        <v>500</v>
      </c>
      <c r="Q19" s="1643">
        <v>0</v>
      </c>
      <c r="R19" s="1759">
        <v>500</v>
      </c>
      <c r="S19" s="1642">
        <v>0</v>
      </c>
      <c r="T19" s="1643">
        <v>500</v>
      </c>
      <c r="U19" s="1759">
        <v>0</v>
      </c>
      <c r="V19" s="1642">
        <v>500</v>
      </c>
      <c r="W19" s="1818">
        <v>0</v>
      </c>
      <c r="X19" s="2085">
        <f t="shared" si="0"/>
        <v>3531.2272174969621</v>
      </c>
      <c r="Y19" s="1637"/>
      <c r="Z19" s="3905">
        <f t="shared" si="4"/>
        <v>20.575000000000003</v>
      </c>
      <c r="AA19" s="3905"/>
      <c r="AB19" s="1588" t="str">
        <f t="shared" si="5"/>
        <v>Qualcomm</v>
      </c>
      <c r="AC19" s="84" t="str">
        <f t="shared" si="6"/>
        <v>Mobile</v>
      </c>
      <c r="AD19" s="1533"/>
    </row>
    <row r="20" spans="1:30" s="1535" customFormat="1" ht="16.5" customHeight="1">
      <c r="A20" s="7170"/>
      <c r="B20" s="7173"/>
      <c r="C20" s="7201"/>
      <c r="D20" s="84"/>
      <c r="E20" s="4049"/>
      <c r="F20" s="10" t="s">
        <v>392</v>
      </c>
      <c r="G20" s="1552">
        <v>2.68</v>
      </c>
      <c r="H20" s="3215"/>
      <c r="I20" s="3228"/>
      <c r="J20" s="3221"/>
      <c r="K20" s="3193"/>
      <c r="L20" s="4552">
        <v>3604.4776119402982</v>
      </c>
      <c r="M20" s="5007">
        <v>1999.9999999999998</v>
      </c>
      <c r="N20" s="5499">
        <v>1999.9999999999998</v>
      </c>
      <c r="O20" s="4552">
        <v>4500</v>
      </c>
      <c r="P20" s="5007">
        <v>2500</v>
      </c>
      <c r="Q20" s="1718">
        <v>1200</v>
      </c>
      <c r="R20" s="1801">
        <v>2500</v>
      </c>
      <c r="S20" s="1717">
        <v>1200</v>
      </c>
      <c r="T20" s="1718">
        <v>1200</v>
      </c>
      <c r="U20" s="1801">
        <v>1200</v>
      </c>
      <c r="V20" s="1717">
        <v>1200</v>
      </c>
      <c r="W20" s="2126">
        <v>1200</v>
      </c>
      <c r="X20" s="2099">
        <f t="shared" si="0"/>
        <v>24304.477611940296</v>
      </c>
      <c r="Y20" s="1637"/>
      <c r="Z20" s="3905">
        <f t="shared" si="4"/>
        <v>6.7</v>
      </c>
      <c r="AA20" s="3905"/>
      <c r="AB20" s="1600" t="str">
        <f t="shared" si="5"/>
        <v>Qualcomm</v>
      </c>
      <c r="AC20" s="83" t="str">
        <f t="shared" si="6"/>
        <v>Mobile</v>
      </c>
      <c r="AD20" s="1533"/>
    </row>
    <row r="21" spans="1:30" s="1535" customFormat="1" ht="16.5" customHeight="1">
      <c r="A21" s="7170"/>
      <c r="B21" s="4864"/>
      <c r="C21" s="5819"/>
      <c r="D21" s="3772"/>
      <c r="E21" s="7206" t="s">
        <v>1558</v>
      </c>
      <c r="F21" s="7206"/>
      <c r="G21" s="7207"/>
      <c r="H21" s="3215"/>
      <c r="I21" s="3228"/>
      <c r="J21" s="3221"/>
      <c r="K21" s="3193"/>
      <c r="L21" s="5892">
        <f>SUM(L15:L20)</f>
        <v>23304.4776119403</v>
      </c>
      <c r="M21" s="5893">
        <f t="shared" ref="M21:W21" si="7">SUM(M15:M20)</f>
        <v>9621.2675577156733</v>
      </c>
      <c r="N21" s="5894">
        <f t="shared" si="7"/>
        <v>20797.63648390623</v>
      </c>
      <c r="O21" s="5892">
        <f t="shared" si="7"/>
        <v>21641.9991600168</v>
      </c>
      <c r="P21" s="5893">
        <f t="shared" si="7"/>
        <v>18759.845559845562</v>
      </c>
      <c r="Q21" s="3716">
        <f t="shared" si="7"/>
        <v>20666.409266409268</v>
      </c>
      <c r="R21" s="5895">
        <f t="shared" si="7"/>
        <v>22516.409266409268</v>
      </c>
      <c r="S21" s="6">
        <f t="shared" si="7"/>
        <v>20716.409266409268</v>
      </c>
      <c r="T21" s="3716">
        <f t="shared" si="7"/>
        <v>21216.409266409268</v>
      </c>
      <c r="U21" s="5895">
        <f t="shared" si="7"/>
        <v>20666.409266409268</v>
      </c>
      <c r="V21" s="6">
        <f t="shared" si="7"/>
        <v>16433.204633204634</v>
      </c>
      <c r="W21" s="1596">
        <f t="shared" si="7"/>
        <v>15933.204633204634</v>
      </c>
      <c r="X21" s="2099">
        <f t="shared" si="0"/>
        <v>232273.68197188017</v>
      </c>
      <c r="Y21" s="1637" t="b">
        <f>X21=SUM(L21:W21)</f>
        <v>1</v>
      </c>
      <c r="Z21" s="3905"/>
      <c r="AA21" s="3905"/>
      <c r="AB21" s="4868"/>
      <c r="AC21" s="4867"/>
      <c r="AD21" s="1533"/>
    </row>
    <row r="22" spans="1:30" s="1535" customFormat="1" ht="16.5" customHeight="1">
      <c r="A22" s="7171"/>
      <c r="B22" s="1559"/>
      <c r="C22" s="7203" t="s">
        <v>1559</v>
      </c>
      <c r="D22" s="7204"/>
      <c r="E22" s="7204"/>
      <c r="F22" s="7204"/>
      <c r="G22" s="7205"/>
      <c r="H22" s="3216"/>
      <c r="I22" s="3229"/>
      <c r="J22" s="3222"/>
      <c r="K22" s="3196"/>
      <c r="L22" s="4494">
        <f>SUM(L21+L14)</f>
        <v>1963665.4776119404</v>
      </c>
      <c r="M22" s="4734">
        <f t="shared" ref="M22:W22" si="8">SUM(M21+M14)</f>
        <v>1591342.2675577158</v>
      </c>
      <c r="N22" s="5510">
        <f t="shared" si="8"/>
        <v>1712076.6364839063</v>
      </c>
      <c r="O22" s="4494">
        <f t="shared" si="8"/>
        <v>1469524.9991600169</v>
      </c>
      <c r="P22" s="4734">
        <f t="shared" si="8"/>
        <v>1637045.8455598457</v>
      </c>
      <c r="Q22" s="1733">
        <f t="shared" si="8"/>
        <v>2499666.4092664095</v>
      </c>
      <c r="R22" s="1805">
        <f t="shared" si="8"/>
        <v>2802516.4092664095</v>
      </c>
      <c r="S22" s="1732">
        <f t="shared" si="8"/>
        <v>2887216.4092664095</v>
      </c>
      <c r="T22" s="1733">
        <f t="shared" si="8"/>
        <v>2171216.4092664095</v>
      </c>
      <c r="U22" s="1805">
        <f t="shared" si="8"/>
        <v>1981666.4092664092</v>
      </c>
      <c r="V22" s="1732">
        <f t="shared" si="8"/>
        <v>2193433.2046332047</v>
      </c>
      <c r="W22" s="2129">
        <f t="shared" si="8"/>
        <v>2110933.2046332047</v>
      </c>
      <c r="X22" s="2099">
        <f t="shared" si="0"/>
        <v>25020303.681971882</v>
      </c>
      <c r="Y22" s="1637" t="b">
        <f>X22=SUM(L22:W22)</f>
        <v>1</v>
      </c>
      <c r="AB22" s="1560"/>
      <c r="AC22" s="1731"/>
      <c r="AD22" s="1533"/>
    </row>
    <row r="23" spans="1:30" s="1535" customFormat="1" ht="16.5" customHeight="1">
      <c r="A23" s="7170">
        <v>2</v>
      </c>
      <c r="B23" s="7173" t="s">
        <v>492</v>
      </c>
      <c r="C23" s="10" t="s">
        <v>544</v>
      </c>
      <c r="D23" s="10" t="s">
        <v>848</v>
      </c>
      <c r="E23" s="4051">
        <v>11</v>
      </c>
      <c r="F23" s="1658" t="s">
        <v>849</v>
      </c>
      <c r="G23" s="2298">
        <v>2.2135429071442672</v>
      </c>
      <c r="H23" s="3922"/>
      <c r="I23" s="3923"/>
      <c r="J23" s="3924"/>
      <c r="K23" s="2403"/>
      <c r="L23" s="4549">
        <v>38642.124227152017</v>
      </c>
      <c r="M23" s="5004">
        <v>37783.410355437532</v>
      </c>
      <c r="N23" s="5502">
        <v>54957.687789727323</v>
      </c>
      <c r="O23" s="6050">
        <v>54473.685425670061</v>
      </c>
      <c r="P23" s="5004">
        <v>47343.107586380276</v>
      </c>
      <c r="Q23" s="3915">
        <v>69934.438361402295</v>
      </c>
      <c r="R23" s="3913">
        <v>56323.823494727643</v>
      </c>
      <c r="S23" s="3914">
        <v>53208.763028655281</v>
      </c>
      <c r="T23" s="3915">
        <v>0</v>
      </c>
      <c r="U23" s="3913">
        <v>0</v>
      </c>
      <c r="V23" s="3914">
        <v>0</v>
      </c>
      <c r="W23" s="3915">
        <v>0</v>
      </c>
      <c r="X23" s="1557">
        <f t="shared" ref="X23:X95" si="9">SUM(L23:W23)</f>
        <v>412667.04026915244</v>
      </c>
      <c r="Y23" s="1546"/>
      <c r="Z23" s="1533"/>
      <c r="AA23" s="1533"/>
      <c r="AB23" s="10" t="s">
        <v>544</v>
      </c>
      <c r="AC23" s="10" t="s">
        <v>848</v>
      </c>
      <c r="AD23" s="1533"/>
    </row>
    <row r="24" spans="1:30" s="1535" customFormat="1" ht="16.5" customHeight="1">
      <c r="A24" s="7170"/>
      <c r="B24" s="7173"/>
      <c r="C24" s="10"/>
      <c r="D24" s="10"/>
      <c r="E24" s="4051">
        <v>12</v>
      </c>
      <c r="F24" s="1658" t="s">
        <v>850</v>
      </c>
      <c r="G24" s="2298">
        <v>2.2725264389102779</v>
      </c>
      <c r="H24" s="3922"/>
      <c r="I24" s="3923"/>
      <c r="J24" s="3924"/>
      <c r="K24" s="2403"/>
      <c r="L24" s="4549">
        <v>0</v>
      </c>
      <c r="M24" s="5004">
        <v>0</v>
      </c>
      <c r="N24" s="5496">
        <v>3436.950112556367</v>
      </c>
      <c r="O24" s="4549">
        <v>5550.8265092171423</v>
      </c>
      <c r="P24" s="5004">
        <v>520.07315724200566</v>
      </c>
      <c r="Q24" s="3915">
        <v>0</v>
      </c>
      <c r="R24" s="3913">
        <v>0</v>
      </c>
      <c r="S24" s="3914">
        <v>0</v>
      </c>
      <c r="T24" s="3915">
        <v>0</v>
      </c>
      <c r="U24" s="3913">
        <v>0</v>
      </c>
      <c r="V24" s="3914">
        <v>0</v>
      </c>
      <c r="W24" s="3915">
        <v>0</v>
      </c>
      <c r="X24" s="1557">
        <f t="shared" si="9"/>
        <v>9507.8497790155161</v>
      </c>
      <c r="Y24" s="1546"/>
      <c r="Z24" s="1533"/>
      <c r="AA24" s="1533"/>
      <c r="AB24" s="10" t="str">
        <f t="shared" ref="AB24:AB52" si="10">AB23</f>
        <v>LGIT</v>
      </c>
      <c r="AC24" s="10" t="str">
        <f t="shared" ref="AC24:AC33" si="11">AC23</f>
        <v>Motor HSG</v>
      </c>
      <c r="AD24" s="1533"/>
    </row>
    <row r="25" spans="1:30" s="1535" customFormat="1" ht="16.5" hidden="1" customHeight="1">
      <c r="A25" s="7170"/>
      <c r="B25" s="7173"/>
      <c r="C25" s="10"/>
      <c r="D25" s="10"/>
      <c r="E25" s="4051"/>
      <c r="F25" s="1658" t="s">
        <v>851</v>
      </c>
      <c r="G25" s="2298">
        <v>2.0915655894938765</v>
      </c>
      <c r="H25" s="3922"/>
      <c r="I25" s="3923"/>
      <c r="J25" s="3924"/>
      <c r="K25" s="2403"/>
      <c r="L25" s="4549">
        <v>0</v>
      </c>
      <c r="M25" s="5004">
        <v>0</v>
      </c>
      <c r="N25" s="5496">
        <v>0</v>
      </c>
      <c r="O25" s="4549">
        <v>0</v>
      </c>
      <c r="P25" s="5004">
        <v>0</v>
      </c>
      <c r="Q25" s="3915">
        <v>0</v>
      </c>
      <c r="R25" s="3913">
        <v>0</v>
      </c>
      <c r="S25" s="3914">
        <v>0</v>
      </c>
      <c r="T25" s="3915">
        <v>0</v>
      </c>
      <c r="U25" s="3913">
        <v>0</v>
      </c>
      <c r="V25" s="3914">
        <v>0</v>
      </c>
      <c r="W25" s="3915">
        <v>0</v>
      </c>
      <c r="X25" s="1557">
        <f t="shared" si="9"/>
        <v>0</v>
      </c>
      <c r="Y25" s="1546"/>
      <c r="AB25" s="10" t="str">
        <f t="shared" si="10"/>
        <v>LGIT</v>
      </c>
      <c r="AC25" s="10" t="str">
        <f t="shared" si="11"/>
        <v>Motor HSG</v>
      </c>
      <c r="AD25" s="1533"/>
    </row>
    <row r="26" spans="1:30" s="1535" customFormat="1" ht="16.5" hidden="1" customHeight="1">
      <c r="A26" s="7170"/>
      <c r="B26" s="7173"/>
      <c r="C26" s="10"/>
      <c r="D26" s="10"/>
      <c r="E26" s="4051"/>
      <c r="F26" s="1658" t="s">
        <v>1172</v>
      </c>
      <c r="G26" s="2298">
        <v>2.2086071428571432</v>
      </c>
      <c r="H26" s="3922"/>
      <c r="I26" s="3923"/>
      <c r="J26" s="3924"/>
      <c r="K26" s="2403"/>
      <c r="L26" s="4549">
        <v>0</v>
      </c>
      <c r="M26" s="5004">
        <v>0</v>
      </c>
      <c r="N26" s="5496">
        <v>0</v>
      </c>
      <c r="O26" s="4549">
        <v>0</v>
      </c>
      <c r="P26" s="5004">
        <v>0</v>
      </c>
      <c r="Q26" s="3915">
        <v>0</v>
      </c>
      <c r="R26" s="3913">
        <v>0</v>
      </c>
      <c r="S26" s="3914">
        <v>0</v>
      </c>
      <c r="T26" s="3915">
        <v>0</v>
      </c>
      <c r="U26" s="3913">
        <v>0</v>
      </c>
      <c r="V26" s="3914">
        <v>0</v>
      </c>
      <c r="W26" s="3915">
        <v>0</v>
      </c>
      <c r="X26" s="1557">
        <f t="shared" si="9"/>
        <v>0</v>
      </c>
      <c r="Y26" s="1546"/>
      <c r="AB26" s="10" t="str">
        <f t="shared" si="10"/>
        <v>LGIT</v>
      </c>
      <c r="AC26" s="10" t="str">
        <f t="shared" si="11"/>
        <v>Motor HSG</v>
      </c>
      <c r="AD26" s="1533"/>
    </row>
    <row r="27" spans="1:30" s="1535" customFormat="1" ht="16.5" customHeight="1">
      <c r="A27" s="7170"/>
      <c r="B27" s="7173"/>
      <c r="C27" s="10"/>
      <c r="D27" s="10"/>
      <c r="E27" s="4051"/>
      <c r="F27" s="1658" t="s">
        <v>853</v>
      </c>
      <c r="G27" s="2298">
        <v>4.2268609537227873</v>
      </c>
      <c r="H27" s="3922"/>
      <c r="I27" s="3923"/>
      <c r="J27" s="3924"/>
      <c r="K27" s="2403"/>
      <c r="L27" s="4549">
        <v>0</v>
      </c>
      <c r="M27" s="5004">
        <v>0</v>
      </c>
      <c r="N27" s="5496">
        <v>24602.654579495818</v>
      </c>
      <c r="O27" s="4549">
        <v>12914.396900594151</v>
      </c>
      <c r="P27" s="5004">
        <v>0</v>
      </c>
      <c r="Q27" s="3916">
        <v>0</v>
      </c>
      <c r="R27" s="3913">
        <v>0</v>
      </c>
      <c r="S27" s="3914">
        <v>0</v>
      </c>
      <c r="T27" s="3915">
        <v>0</v>
      </c>
      <c r="U27" s="3913">
        <v>0</v>
      </c>
      <c r="V27" s="3914">
        <v>0</v>
      </c>
      <c r="W27" s="3915">
        <v>0</v>
      </c>
      <c r="X27" s="1557">
        <f t="shared" si="9"/>
        <v>37517.051480089969</v>
      </c>
      <c r="Y27" s="1546"/>
      <c r="AB27" s="10" t="str">
        <f t="shared" si="10"/>
        <v>LGIT</v>
      </c>
      <c r="AC27" s="10" t="str">
        <f t="shared" si="11"/>
        <v>Motor HSG</v>
      </c>
      <c r="AD27" s="1533"/>
    </row>
    <row r="28" spans="1:30" s="1569" customFormat="1" ht="16.5" customHeight="1">
      <c r="A28" s="7170"/>
      <c r="B28" s="7173"/>
      <c r="C28" s="10"/>
      <c r="D28" s="10"/>
      <c r="E28" s="4051">
        <v>13</v>
      </c>
      <c r="F28" s="1658" t="s">
        <v>1398</v>
      </c>
      <c r="G28" s="2298">
        <v>3.3439707121397766</v>
      </c>
      <c r="H28" s="3922"/>
      <c r="I28" s="3923"/>
      <c r="J28" s="3924"/>
      <c r="K28" s="2403"/>
      <c r="L28" s="4549">
        <v>47052.918085911486</v>
      </c>
      <c r="M28" s="5004">
        <v>31690.773969784212</v>
      </c>
      <c r="N28" s="5496">
        <v>37461.34484528457</v>
      </c>
      <c r="O28" s="4549">
        <v>44492.255706628639</v>
      </c>
      <c r="P28" s="5004">
        <v>47519.124322210249</v>
      </c>
      <c r="Q28" s="3916">
        <v>28507.534367428787</v>
      </c>
      <c r="R28" s="3913">
        <v>0</v>
      </c>
      <c r="S28" s="3914">
        <v>0</v>
      </c>
      <c r="T28" s="3915">
        <v>0</v>
      </c>
      <c r="U28" s="3913">
        <v>0</v>
      </c>
      <c r="V28" s="3914">
        <v>0</v>
      </c>
      <c r="W28" s="3915">
        <v>0</v>
      </c>
      <c r="X28" s="1557">
        <f t="shared" si="9"/>
        <v>236723.95129724796</v>
      </c>
      <c r="Y28" s="1546"/>
      <c r="AB28" s="10" t="str">
        <f t="shared" si="10"/>
        <v>LGIT</v>
      </c>
      <c r="AC28" s="10" t="str">
        <f t="shared" si="11"/>
        <v>Motor HSG</v>
      </c>
      <c r="AD28" s="1533"/>
    </row>
    <row r="29" spans="1:30" s="1569" customFormat="1" ht="16.5" customHeight="1">
      <c r="A29" s="7170"/>
      <c r="B29" s="7173"/>
      <c r="C29" s="10"/>
      <c r="D29" s="10"/>
      <c r="E29" s="4051"/>
      <c r="F29" s="1658" t="s">
        <v>1396</v>
      </c>
      <c r="G29" s="2298">
        <v>3.32</v>
      </c>
      <c r="H29" s="6258"/>
      <c r="I29" s="6259"/>
      <c r="J29" s="6260"/>
      <c r="K29" s="6261"/>
      <c r="L29" s="4549">
        <v>0</v>
      </c>
      <c r="M29" s="5004">
        <v>19698.795180722893</v>
      </c>
      <c r="N29" s="5496">
        <v>0</v>
      </c>
      <c r="O29" s="4549">
        <v>19698.795180722893</v>
      </c>
      <c r="P29" s="5004">
        <v>26807.22891566265</v>
      </c>
      <c r="Q29" s="3916">
        <v>23590.361445783135</v>
      </c>
      <c r="R29" s="3913">
        <v>19698.795180722893</v>
      </c>
      <c r="S29" s="3914">
        <v>0</v>
      </c>
      <c r="T29" s="3915">
        <v>0</v>
      </c>
      <c r="U29" s="3913"/>
      <c r="V29" s="3914"/>
      <c r="W29" s="3915"/>
      <c r="X29" s="1557">
        <f t="shared" si="9"/>
        <v>109493.97590361448</v>
      </c>
      <c r="Y29" s="1546"/>
      <c r="AB29" s="10" t="str">
        <f t="shared" si="10"/>
        <v>LGIT</v>
      </c>
      <c r="AC29" s="10" t="str">
        <f t="shared" si="11"/>
        <v>Motor HSG</v>
      </c>
      <c r="AD29" s="1533"/>
    </row>
    <row r="30" spans="1:30" s="1569" customFormat="1" ht="16.5" customHeight="1">
      <c r="A30" s="7170"/>
      <c r="B30" s="7173"/>
      <c r="C30" s="10"/>
      <c r="D30" s="10"/>
      <c r="E30" s="4051">
        <v>14</v>
      </c>
      <c r="F30" s="1658" t="s">
        <v>1408</v>
      </c>
      <c r="G30" s="2298">
        <v>3.373139904023625</v>
      </c>
      <c r="H30" s="3922"/>
      <c r="I30" s="3923"/>
      <c r="J30" s="3924"/>
      <c r="K30" s="2403"/>
      <c r="L30" s="4549">
        <v>588.7689382912979</v>
      </c>
      <c r="M30" s="5004">
        <v>15896.761333865043</v>
      </c>
      <c r="N30" s="5496">
        <v>26916.5532955505</v>
      </c>
      <c r="O30" s="4549">
        <v>21502.775474412101</v>
      </c>
      <c r="P30" s="5004">
        <v>27132.204001034817</v>
      </c>
      <c r="Q30" s="3916">
        <v>10171.365841978342</v>
      </c>
      <c r="R30" s="3913">
        <v>16644.05319596456</v>
      </c>
      <c r="S30" s="3914">
        <v>30004.673058260181</v>
      </c>
      <c r="T30" s="3915">
        <v>10286.949544728095</v>
      </c>
      <c r="U30" s="3913">
        <v>0</v>
      </c>
      <c r="V30" s="3914">
        <v>0</v>
      </c>
      <c r="W30" s="3915">
        <v>0</v>
      </c>
      <c r="X30" s="1557">
        <f t="shared" si="9"/>
        <v>159144.10468408494</v>
      </c>
      <c r="Y30" s="1546"/>
      <c r="AB30" s="10" t="str">
        <f t="shared" si="10"/>
        <v>LGIT</v>
      </c>
      <c r="AC30" s="10" t="str">
        <f t="shared" si="11"/>
        <v>Motor HSG</v>
      </c>
      <c r="AD30" s="1533"/>
    </row>
    <row r="31" spans="1:30" s="1569" customFormat="1" ht="16.5" customHeight="1">
      <c r="A31" s="7170"/>
      <c r="B31" s="7173"/>
      <c r="C31" s="10"/>
      <c r="D31" s="10"/>
      <c r="E31" s="4051"/>
      <c r="F31" s="1658" t="s">
        <v>1410</v>
      </c>
      <c r="G31" s="2298">
        <v>3.26</v>
      </c>
      <c r="H31" s="6258"/>
      <c r="I31" s="6259"/>
      <c r="J31" s="6260"/>
      <c r="K31" s="6261"/>
      <c r="L31" s="4549">
        <v>0</v>
      </c>
      <c r="M31" s="5004">
        <v>19693.251533742332</v>
      </c>
      <c r="N31" s="5496">
        <v>0</v>
      </c>
      <c r="O31" s="4549">
        <v>19693.251533742332</v>
      </c>
      <c r="P31" s="5004">
        <v>24763.803680981597</v>
      </c>
      <c r="Q31" s="3916">
        <v>21533.742331288344</v>
      </c>
      <c r="R31" s="3913">
        <v>19693.251533742332</v>
      </c>
      <c r="S31" s="3914">
        <v>0</v>
      </c>
      <c r="T31" s="3915">
        <v>0</v>
      </c>
      <c r="U31" s="3913"/>
      <c r="V31" s="3914"/>
      <c r="W31" s="3915"/>
      <c r="X31" s="1557">
        <f t="shared" si="9"/>
        <v>105377.30061349695</v>
      </c>
      <c r="Y31" s="1546"/>
      <c r="AB31" s="10" t="str">
        <f t="shared" si="10"/>
        <v>LGIT</v>
      </c>
      <c r="AC31" s="10" t="str">
        <f t="shared" si="11"/>
        <v>Motor HSG</v>
      </c>
      <c r="AD31" s="1533"/>
    </row>
    <row r="32" spans="1:30" s="1569" customFormat="1" ht="16.5" hidden="1" customHeight="1">
      <c r="A32" s="7170"/>
      <c r="B32" s="7173"/>
      <c r="C32" s="10"/>
      <c r="D32" s="10"/>
      <c r="E32" s="4051"/>
      <c r="F32" s="1658" t="s">
        <v>680</v>
      </c>
      <c r="G32" s="2298">
        <v>2.2574247982391786</v>
      </c>
      <c r="H32" s="3922"/>
      <c r="I32" s="3923"/>
      <c r="J32" s="3924"/>
      <c r="K32" s="2403"/>
      <c r="L32" s="4549">
        <v>0</v>
      </c>
      <c r="M32" s="5004">
        <v>0</v>
      </c>
      <c r="N32" s="5496">
        <v>0</v>
      </c>
      <c r="O32" s="4549">
        <v>0</v>
      </c>
      <c r="P32" s="5004">
        <v>0</v>
      </c>
      <c r="Q32" s="3916">
        <v>0</v>
      </c>
      <c r="R32" s="3913">
        <v>0</v>
      </c>
      <c r="S32" s="3914">
        <v>0</v>
      </c>
      <c r="T32" s="3915">
        <v>0</v>
      </c>
      <c r="U32" s="3913">
        <v>0</v>
      </c>
      <c r="V32" s="3914">
        <v>0</v>
      </c>
      <c r="W32" s="3915">
        <v>0</v>
      </c>
      <c r="X32" s="1557">
        <f t="shared" si="9"/>
        <v>0</v>
      </c>
      <c r="Y32" s="1546"/>
      <c r="AB32" s="10" t="str">
        <f t="shared" si="10"/>
        <v>LGIT</v>
      </c>
      <c r="AC32" s="10" t="str">
        <f t="shared" si="11"/>
        <v>Motor HSG</v>
      </c>
      <c r="AD32" s="1533"/>
    </row>
    <row r="33" spans="1:30" s="1569" customFormat="1" ht="16.5" hidden="1" customHeight="1">
      <c r="A33" s="7170"/>
      <c r="B33" s="7173"/>
      <c r="C33" s="10"/>
      <c r="D33" s="10"/>
      <c r="E33" s="4051">
        <v>15</v>
      </c>
      <c r="F33" s="1658" t="s">
        <v>1219</v>
      </c>
      <c r="G33" s="2298">
        <v>4.59</v>
      </c>
      <c r="H33" s="3922"/>
      <c r="I33" s="3923"/>
      <c r="J33" s="3924"/>
      <c r="K33" s="2403"/>
      <c r="L33" s="4549">
        <v>0</v>
      </c>
      <c r="M33" s="5004">
        <v>0</v>
      </c>
      <c r="N33" s="5496">
        <v>0</v>
      </c>
      <c r="O33" s="4549">
        <v>0</v>
      </c>
      <c r="P33" s="5004">
        <v>0</v>
      </c>
      <c r="Q33" s="3916">
        <v>0</v>
      </c>
      <c r="R33" s="3913">
        <v>0</v>
      </c>
      <c r="S33" s="3914">
        <v>0</v>
      </c>
      <c r="T33" s="3915">
        <v>0</v>
      </c>
      <c r="U33" s="3913">
        <v>0</v>
      </c>
      <c r="V33" s="3914">
        <v>0</v>
      </c>
      <c r="W33" s="3915">
        <v>0</v>
      </c>
      <c r="X33" s="1557">
        <f t="shared" si="9"/>
        <v>0</v>
      </c>
      <c r="Y33" s="1546"/>
      <c r="AB33" s="10" t="str">
        <f t="shared" si="10"/>
        <v>LGIT</v>
      </c>
      <c r="AC33" s="10" t="str">
        <f t="shared" si="11"/>
        <v>Motor HSG</v>
      </c>
      <c r="AD33" s="1533"/>
    </row>
    <row r="34" spans="1:30" s="1569" customFormat="1" ht="16.5" customHeight="1">
      <c r="A34" s="7170"/>
      <c r="B34" s="7173"/>
      <c r="C34" s="10"/>
      <c r="D34" s="10"/>
      <c r="E34" s="7137" t="s">
        <v>1731</v>
      </c>
      <c r="F34" s="7139"/>
      <c r="G34" s="3917"/>
      <c r="H34" s="5749"/>
      <c r="I34" s="5750"/>
      <c r="J34" s="5751"/>
      <c r="K34" s="5752"/>
      <c r="L34" s="5896">
        <f>SUM(L23:L31)</f>
        <v>86283.811251354797</v>
      </c>
      <c r="M34" s="5897">
        <f t="shared" ref="M34:W34" si="12">SUM(M23:M31)</f>
        <v>124762.99237355203</v>
      </c>
      <c r="N34" s="5898">
        <f t="shared" si="12"/>
        <v>147375.19062261458</v>
      </c>
      <c r="O34" s="5896">
        <f t="shared" si="12"/>
        <v>178325.98673098732</v>
      </c>
      <c r="P34" s="5897">
        <f t="shared" si="12"/>
        <v>174085.5416635116</v>
      </c>
      <c r="Q34" s="5901">
        <f t="shared" si="12"/>
        <v>153737.44234788092</v>
      </c>
      <c r="R34" s="5899">
        <f t="shared" si="12"/>
        <v>112359.92340515743</v>
      </c>
      <c r="S34" s="5900">
        <f t="shared" si="12"/>
        <v>83213.436086915463</v>
      </c>
      <c r="T34" s="5902">
        <f t="shared" si="12"/>
        <v>10286.949544728095</v>
      </c>
      <c r="U34" s="5899">
        <f t="shared" si="12"/>
        <v>0</v>
      </c>
      <c r="V34" s="5900">
        <f t="shared" si="12"/>
        <v>0</v>
      </c>
      <c r="W34" s="5902">
        <f t="shared" si="12"/>
        <v>0</v>
      </c>
      <c r="X34" s="1575">
        <f>SUM(X23:X33)</f>
        <v>1070431.2740267022</v>
      </c>
      <c r="Y34" s="1546" t="b">
        <f>X34=SUM(L34:W34)</f>
        <v>1</v>
      </c>
      <c r="AB34" s="10"/>
      <c r="AC34" s="10"/>
      <c r="AD34" s="1533"/>
    </row>
    <row r="35" spans="1:30" s="1535" customFormat="1" ht="16.5" customHeight="1">
      <c r="A35" s="7170"/>
      <c r="B35" s="7173"/>
      <c r="C35" s="10"/>
      <c r="D35" s="7" t="s">
        <v>857</v>
      </c>
      <c r="E35" s="4052"/>
      <c r="F35" s="1746" t="s">
        <v>858</v>
      </c>
      <c r="G35" s="3917">
        <v>2.1305740748584583</v>
      </c>
      <c r="H35" s="3930"/>
      <c r="I35" s="3931"/>
      <c r="J35" s="3932"/>
      <c r="K35" s="3933"/>
      <c r="L35" s="4554">
        <v>3579.0353829901842</v>
      </c>
      <c r="M35" s="5009">
        <v>0</v>
      </c>
      <c r="N35" s="5501">
        <v>0</v>
      </c>
      <c r="O35" s="4554">
        <v>0</v>
      </c>
      <c r="P35" s="5009"/>
      <c r="Q35" s="3920"/>
      <c r="R35" s="3918">
        <v>21960.081347140331</v>
      </c>
      <c r="S35" s="3919">
        <v>0</v>
      </c>
      <c r="T35" s="3920">
        <v>0</v>
      </c>
      <c r="U35" s="3918">
        <v>0</v>
      </c>
      <c r="V35" s="3919">
        <v>0</v>
      </c>
      <c r="W35" s="3920">
        <v>0</v>
      </c>
      <c r="X35" s="1575">
        <f t="shared" si="9"/>
        <v>25539.116730130514</v>
      </c>
      <c r="Y35" s="1546"/>
      <c r="AB35" s="10" t="str">
        <f>AB33</f>
        <v>LGIT</v>
      </c>
      <c r="AC35" s="7" t="s">
        <v>857</v>
      </c>
      <c r="AD35" s="1533"/>
    </row>
    <row r="36" spans="1:30" s="1535" customFormat="1" ht="16.5" customHeight="1">
      <c r="A36" s="7170"/>
      <c r="B36" s="7173"/>
      <c r="C36" s="10"/>
      <c r="D36" s="10"/>
      <c r="E36" s="4051"/>
      <c r="F36" s="1658" t="s">
        <v>859</v>
      </c>
      <c r="G36" s="2298">
        <v>1.2189325541337919</v>
      </c>
      <c r="H36" s="3922"/>
      <c r="I36" s="3923"/>
      <c r="J36" s="3924"/>
      <c r="K36" s="2403"/>
      <c r="L36" s="4549">
        <v>0</v>
      </c>
      <c r="M36" s="5004">
        <v>0</v>
      </c>
      <c r="N36" s="5496">
        <v>14112.347678025739</v>
      </c>
      <c r="O36" s="4549">
        <v>26901.406389381584</v>
      </c>
      <c r="P36" s="5004">
        <v>0</v>
      </c>
      <c r="Q36" s="3916">
        <v>0</v>
      </c>
      <c r="R36" s="3913">
        <v>0</v>
      </c>
      <c r="S36" s="3914">
        <v>0</v>
      </c>
      <c r="T36" s="3915">
        <v>0</v>
      </c>
      <c r="U36" s="3913">
        <v>0</v>
      </c>
      <c r="V36" s="3914">
        <v>0</v>
      </c>
      <c r="W36" s="3915">
        <v>0</v>
      </c>
      <c r="X36" s="1557">
        <f t="shared" si="9"/>
        <v>41013.754067407324</v>
      </c>
      <c r="Y36" s="1546"/>
      <c r="AB36" s="10" t="str">
        <f t="shared" si="10"/>
        <v>LGIT</v>
      </c>
      <c r="AC36" s="10" t="str">
        <f t="shared" ref="AC36:AC44" si="13">AC35</f>
        <v>Motor CVR</v>
      </c>
      <c r="AD36" s="1533"/>
    </row>
    <row r="37" spans="1:30" s="1535" customFormat="1" ht="16.5" customHeight="1">
      <c r="A37" s="7170"/>
      <c r="B37" s="7173"/>
      <c r="C37" s="10"/>
      <c r="D37" s="10"/>
      <c r="E37" s="4051">
        <v>16</v>
      </c>
      <c r="F37" s="1658" t="s">
        <v>860</v>
      </c>
      <c r="G37" s="2298">
        <v>1.7131494493284096</v>
      </c>
      <c r="H37" s="6258"/>
      <c r="I37" s="6259"/>
      <c r="J37" s="6260"/>
      <c r="K37" s="6261"/>
      <c r="L37" s="4549">
        <v>20264.151509729174</v>
      </c>
      <c r="M37" s="5004">
        <v>14474.39393552084</v>
      </c>
      <c r="N37" s="5496">
        <v>13026.954541968757</v>
      </c>
      <c r="O37" s="4549">
        <v>16520.146570455236</v>
      </c>
      <c r="P37" s="5004">
        <v>18736.263793321181</v>
      </c>
      <c r="Q37" s="3916">
        <v>16520.146570455236</v>
      </c>
      <c r="R37" s="3913">
        <v>16520.146570455236</v>
      </c>
      <c r="S37" s="3914">
        <v>13528.580363543684</v>
      </c>
      <c r="T37" s="3915"/>
      <c r="U37" s="3913"/>
      <c r="V37" s="3914"/>
      <c r="W37" s="3915"/>
      <c r="X37" s="1557">
        <f t="shared" si="9"/>
        <v>129590.78385544935</v>
      </c>
      <c r="Y37" s="1546"/>
      <c r="AB37" s="10" t="str">
        <f t="shared" si="10"/>
        <v>LGIT</v>
      </c>
      <c r="AC37" s="10" t="str">
        <f t="shared" si="13"/>
        <v>Motor CVR</v>
      </c>
      <c r="AD37" s="1533"/>
    </row>
    <row r="38" spans="1:30" s="1535" customFormat="1" ht="16.5" hidden="1" customHeight="1">
      <c r="A38" s="7170"/>
      <c r="B38" s="7173"/>
      <c r="C38" s="10"/>
      <c r="D38" s="10"/>
      <c r="E38" s="4051"/>
      <c r="F38" s="1658" t="s">
        <v>1044</v>
      </c>
      <c r="G38" s="2298">
        <v>1.93</v>
      </c>
      <c r="H38" s="3922"/>
      <c r="I38" s="3923"/>
      <c r="J38" s="3924"/>
      <c r="K38" s="2403"/>
      <c r="L38" s="4549">
        <v>0</v>
      </c>
      <c r="M38" s="5004">
        <v>0</v>
      </c>
      <c r="N38" s="5496">
        <v>0</v>
      </c>
      <c r="O38" s="4549">
        <v>0</v>
      </c>
      <c r="P38" s="5004">
        <v>0</v>
      </c>
      <c r="Q38" s="3916">
        <v>0</v>
      </c>
      <c r="R38" s="3913">
        <v>0</v>
      </c>
      <c r="S38" s="3914">
        <v>0</v>
      </c>
      <c r="T38" s="3915">
        <v>0</v>
      </c>
      <c r="U38" s="3913">
        <v>0</v>
      </c>
      <c r="V38" s="3914">
        <v>0</v>
      </c>
      <c r="W38" s="3915">
        <v>0</v>
      </c>
      <c r="X38" s="1557">
        <f t="shared" si="9"/>
        <v>0</v>
      </c>
      <c r="Y38" s="1546"/>
      <c r="AB38" s="10" t="str">
        <f t="shared" si="10"/>
        <v>LGIT</v>
      </c>
      <c r="AC38" s="10" t="str">
        <f t="shared" si="13"/>
        <v>Motor CVR</v>
      </c>
      <c r="AD38" s="1533"/>
    </row>
    <row r="39" spans="1:30" s="1535" customFormat="1" ht="16.5" customHeight="1">
      <c r="A39" s="7170"/>
      <c r="B39" s="7173"/>
      <c r="C39" s="10"/>
      <c r="D39" s="10"/>
      <c r="E39" s="4051">
        <v>17</v>
      </c>
      <c r="F39" s="1658" t="s">
        <v>1400</v>
      </c>
      <c r="G39" s="2298">
        <v>1.3549204341869534</v>
      </c>
      <c r="H39" s="3922"/>
      <c r="I39" s="3923"/>
      <c r="J39" s="3924"/>
      <c r="K39" s="2403"/>
      <c r="L39" s="4549">
        <v>7552.4730026973966</v>
      </c>
      <c r="M39" s="5004">
        <v>18888.681102043738</v>
      </c>
      <c r="N39" s="5496">
        <v>19225.92599736794</v>
      </c>
      <c r="O39" s="4549">
        <v>7460.8071034562154</v>
      </c>
      <c r="P39" s="5004">
        <v>13586.037626664094</v>
      </c>
      <c r="Q39" s="3916">
        <v>12319.542593669983</v>
      </c>
      <c r="R39" s="3913">
        <v>0</v>
      </c>
      <c r="S39" s="3914">
        <v>0</v>
      </c>
      <c r="T39" s="3915">
        <v>0</v>
      </c>
      <c r="U39" s="3913">
        <v>0</v>
      </c>
      <c r="V39" s="3914">
        <v>0</v>
      </c>
      <c r="W39" s="3915">
        <v>0</v>
      </c>
      <c r="X39" s="1557">
        <f t="shared" si="9"/>
        <v>79033.467425899376</v>
      </c>
      <c r="Y39" s="1546"/>
      <c r="AB39" s="10" t="str">
        <f t="shared" si="10"/>
        <v>LGIT</v>
      </c>
      <c r="AC39" s="10" t="str">
        <f t="shared" si="13"/>
        <v>Motor CVR</v>
      </c>
      <c r="AD39" s="1533"/>
    </row>
    <row r="40" spans="1:30" s="1535" customFormat="1" ht="16.5" customHeight="1">
      <c r="A40" s="7170"/>
      <c r="B40" s="7173"/>
      <c r="C40" s="10"/>
      <c r="D40" s="10"/>
      <c r="E40" s="4051"/>
      <c r="F40" s="1658" t="s">
        <v>1402</v>
      </c>
      <c r="G40" s="2298">
        <v>1.34</v>
      </c>
      <c r="H40" s="6258"/>
      <c r="I40" s="6259"/>
      <c r="J40" s="6260"/>
      <c r="K40" s="6261"/>
      <c r="L40" s="4549">
        <v>0</v>
      </c>
      <c r="M40" s="5004">
        <v>19701.492537313432</v>
      </c>
      <c r="N40" s="5496">
        <v>0</v>
      </c>
      <c r="O40" s="4549">
        <v>19701.492537313432</v>
      </c>
      <c r="P40" s="5004">
        <v>21720.895522388058</v>
      </c>
      <c r="Q40" s="3916">
        <v>25539.86567164179</v>
      </c>
      <c r="R40" s="3913">
        <v>30461.462686567163</v>
      </c>
      <c r="S40" s="3914">
        <v>0</v>
      </c>
      <c r="T40" s="3915"/>
      <c r="U40" s="3913"/>
      <c r="V40" s="3914"/>
      <c r="W40" s="3915"/>
      <c r="X40" s="1557">
        <f t="shared" si="9"/>
        <v>117125.20895522388</v>
      </c>
      <c r="Y40" s="1546"/>
      <c r="AB40" s="10" t="str">
        <f t="shared" si="10"/>
        <v>LGIT</v>
      </c>
      <c r="AC40" s="10" t="str">
        <f t="shared" si="13"/>
        <v>Motor CVR</v>
      </c>
      <c r="AD40" s="1533"/>
    </row>
    <row r="41" spans="1:30" s="1535" customFormat="1" ht="16.5" customHeight="1">
      <c r="A41" s="7170"/>
      <c r="B41" s="7173"/>
      <c r="C41" s="10"/>
      <c r="D41" s="10"/>
      <c r="E41" s="4051">
        <v>18</v>
      </c>
      <c r="F41" s="1658" t="s">
        <v>1404</v>
      </c>
      <c r="G41" s="2298">
        <v>1.4397683496827098</v>
      </c>
      <c r="H41" s="3922"/>
      <c r="I41" s="3923"/>
      <c r="J41" s="3924"/>
      <c r="K41" s="2403"/>
      <c r="L41" s="4549">
        <v>2383.7167977448107</v>
      </c>
      <c r="M41" s="5004">
        <v>15977.570284184623</v>
      </c>
      <c r="N41" s="5496">
        <v>25564.112454695398</v>
      </c>
      <c r="O41" s="4549">
        <v>16562.664407267443</v>
      </c>
      <c r="P41" s="5004">
        <v>29524.749595563695</v>
      </c>
      <c r="Q41" s="3916">
        <v>29524.749595563695</v>
      </c>
      <c r="R41" s="3913">
        <v>29524.749595563695</v>
      </c>
      <c r="S41" s="3914">
        <v>16357.075779023713</v>
      </c>
      <c r="T41" s="3915">
        <v>0</v>
      </c>
      <c r="U41" s="3913">
        <v>0</v>
      </c>
      <c r="V41" s="3914">
        <v>0</v>
      </c>
      <c r="W41" s="3915">
        <v>0</v>
      </c>
      <c r="X41" s="1557">
        <f t="shared" si="9"/>
        <v>165419.38850960709</v>
      </c>
      <c r="Y41" s="1546"/>
      <c r="AB41" s="10" t="str">
        <f t="shared" si="10"/>
        <v>LGIT</v>
      </c>
      <c r="AC41" s="10" t="str">
        <f t="shared" si="13"/>
        <v>Motor CVR</v>
      </c>
      <c r="AD41" s="1533"/>
    </row>
    <row r="42" spans="1:30" s="1535" customFormat="1" ht="16.5" customHeight="1">
      <c r="A42" s="7170"/>
      <c r="B42" s="7173"/>
      <c r="C42" s="10"/>
      <c r="D42" s="10"/>
      <c r="E42" s="4051"/>
      <c r="F42" s="1658" t="s">
        <v>1406</v>
      </c>
      <c r="G42" s="2298">
        <v>1.42</v>
      </c>
      <c r="H42" s="6258"/>
      <c r="I42" s="6259"/>
      <c r="J42" s="6260"/>
      <c r="K42" s="6261"/>
      <c r="L42" s="4549">
        <v>0</v>
      </c>
      <c r="M42" s="5004">
        <v>19718.309859154931</v>
      </c>
      <c r="N42" s="5496">
        <v>0</v>
      </c>
      <c r="O42" s="4549">
        <v>19718.309859154931</v>
      </c>
      <c r="P42" s="5004">
        <v>26239.436619718312</v>
      </c>
      <c r="Q42" s="3916">
        <v>22816.901408450707</v>
      </c>
      <c r="R42" s="3913">
        <v>19718.309859154931</v>
      </c>
      <c r="S42" s="3914">
        <v>0</v>
      </c>
      <c r="T42" s="3915"/>
      <c r="U42" s="3913"/>
      <c r="V42" s="3914"/>
      <c r="W42" s="3915"/>
      <c r="X42" s="1557">
        <f t="shared" si="9"/>
        <v>108211.26760563381</v>
      </c>
      <c r="Y42" s="1546"/>
      <c r="AB42" s="10" t="str">
        <f t="shared" si="10"/>
        <v>LGIT</v>
      </c>
      <c r="AC42" s="10" t="str">
        <f t="shared" si="13"/>
        <v>Motor CVR</v>
      </c>
      <c r="AD42" s="1533"/>
    </row>
    <row r="43" spans="1:30" s="1535" customFormat="1" ht="16.5" hidden="1" customHeight="1">
      <c r="A43" s="7170"/>
      <c r="B43" s="7173"/>
      <c r="C43" s="10"/>
      <c r="D43" s="10"/>
      <c r="E43" s="4051"/>
      <c r="F43" s="1658" t="s">
        <v>863</v>
      </c>
      <c r="G43" s="2298">
        <v>2.447360020004584</v>
      </c>
      <c r="H43" s="3922"/>
      <c r="I43" s="3923"/>
      <c r="J43" s="3924"/>
      <c r="K43" s="2403"/>
      <c r="L43" s="4549">
        <v>0</v>
      </c>
      <c r="M43" s="5004">
        <v>0</v>
      </c>
      <c r="N43" s="5496">
        <v>0</v>
      </c>
      <c r="O43" s="4549">
        <v>0</v>
      </c>
      <c r="P43" s="5004">
        <v>0</v>
      </c>
      <c r="Q43" s="3916">
        <v>0</v>
      </c>
      <c r="R43" s="3913">
        <v>0</v>
      </c>
      <c r="S43" s="3914">
        <v>0</v>
      </c>
      <c r="T43" s="3915">
        <v>0</v>
      </c>
      <c r="U43" s="3913">
        <v>0</v>
      </c>
      <c r="V43" s="3914">
        <v>0</v>
      </c>
      <c r="W43" s="3915">
        <v>0</v>
      </c>
      <c r="X43" s="1557">
        <f t="shared" si="9"/>
        <v>0</v>
      </c>
      <c r="Y43" s="1546"/>
      <c r="AB43" s="10" t="str">
        <f t="shared" si="10"/>
        <v>LGIT</v>
      </c>
      <c r="AC43" s="10" t="str">
        <f t="shared" si="13"/>
        <v>Motor CVR</v>
      </c>
      <c r="AD43" s="1533"/>
    </row>
    <row r="44" spans="1:30" s="1535" customFormat="1" ht="16.5" hidden="1" customHeight="1">
      <c r="A44" s="7170"/>
      <c r="B44" s="7173"/>
      <c r="C44" s="10"/>
      <c r="D44" s="10"/>
      <c r="E44" s="4051">
        <v>19</v>
      </c>
      <c r="F44" s="1658" t="s">
        <v>1220</v>
      </c>
      <c r="G44" s="2298">
        <v>1.22</v>
      </c>
      <c r="H44" s="3922"/>
      <c r="I44" s="3923"/>
      <c r="J44" s="3924"/>
      <c r="K44" s="2403"/>
      <c r="L44" s="4549">
        <v>0</v>
      </c>
      <c r="M44" s="5004">
        <v>0</v>
      </c>
      <c r="N44" s="5496">
        <v>0</v>
      </c>
      <c r="O44" s="4549">
        <v>0</v>
      </c>
      <c r="P44" s="5004">
        <v>0</v>
      </c>
      <c r="Q44" s="3916">
        <v>0</v>
      </c>
      <c r="R44" s="3913">
        <v>0</v>
      </c>
      <c r="S44" s="3914">
        <v>0</v>
      </c>
      <c r="T44" s="3915">
        <v>0</v>
      </c>
      <c r="U44" s="3913">
        <v>0</v>
      </c>
      <c r="V44" s="3914">
        <v>0</v>
      </c>
      <c r="W44" s="3915">
        <v>0</v>
      </c>
      <c r="X44" s="1557">
        <f t="shared" si="9"/>
        <v>0</v>
      </c>
      <c r="Y44" s="1546"/>
      <c r="Z44" s="1567"/>
      <c r="AA44" s="1567"/>
      <c r="AB44" s="10" t="str">
        <f t="shared" si="10"/>
        <v>LGIT</v>
      </c>
      <c r="AC44" s="10" t="str">
        <f t="shared" si="13"/>
        <v>Motor CVR</v>
      </c>
      <c r="AD44" s="1533"/>
    </row>
    <row r="45" spans="1:30" s="1535" customFormat="1" ht="16.5" customHeight="1">
      <c r="A45" s="7170"/>
      <c r="B45" s="7173"/>
      <c r="C45" s="10"/>
      <c r="D45" s="10"/>
      <c r="E45" s="7137" t="s">
        <v>1732</v>
      </c>
      <c r="F45" s="7139"/>
      <c r="G45" s="5700"/>
      <c r="H45" s="5735"/>
      <c r="I45" s="5736"/>
      <c r="J45" s="5737"/>
      <c r="K45" s="5738"/>
      <c r="L45" s="5876">
        <f>SUM(L35:L42)</f>
        <v>33779.376693161561</v>
      </c>
      <c r="M45" s="5877">
        <f t="shared" ref="M45:W45" si="14">SUM(M35:M42)</f>
        <v>88760.447718217576</v>
      </c>
      <c r="N45" s="5878">
        <f t="shared" si="14"/>
        <v>71929.340672057835</v>
      </c>
      <c r="O45" s="5876">
        <f t="shared" si="14"/>
        <v>106864.82686702884</v>
      </c>
      <c r="P45" s="5877">
        <f t="shared" si="14"/>
        <v>109807.38315765535</v>
      </c>
      <c r="Q45" s="5905">
        <f t="shared" si="14"/>
        <v>106721.20583978141</v>
      </c>
      <c r="R45" s="5903">
        <f t="shared" si="14"/>
        <v>118184.75005888136</v>
      </c>
      <c r="S45" s="5904">
        <f t="shared" si="14"/>
        <v>29885.656142567397</v>
      </c>
      <c r="T45" s="5906">
        <f t="shared" si="14"/>
        <v>0</v>
      </c>
      <c r="U45" s="5903">
        <f t="shared" si="14"/>
        <v>0</v>
      </c>
      <c r="V45" s="5904">
        <f t="shared" si="14"/>
        <v>0</v>
      </c>
      <c r="W45" s="5906">
        <f t="shared" si="14"/>
        <v>0</v>
      </c>
      <c r="X45" s="5907">
        <f>SUM(X35:X44)</f>
        <v>665932.98714935139</v>
      </c>
      <c r="Y45" s="1546" t="b">
        <f>X45=SUM(L45:W45)</f>
        <v>1</v>
      </c>
      <c r="Z45" s="1567"/>
      <c r="AA45" s="1567"/>
      <c r="AB45" s="10"/>
      <c r="AC45" s="10"/>
      <c r="AD45" s="1533"/>
    </row>
    <row r="46" spans="1:30" s="1535" customFormat="1" ht="16.5" hidden="1" customHeight="1">
      <c r="A46" s="7170"/>
      <c r="B46" s="7173"/>
      <c r="C46" s="10"/>
      <c r="D46" s="5734"/>
      <c r="E46" s="4052"/>
      <c r="F46" s="1746" t="s">
        <v>950</v>
      </c>
      <c r="G46" s="3917">
        <v>1.1200000000000001</v>
      </c>
      <c r="H46" s="3930"/>
      <c r="I46" s="3931"/>
      <c r="J46" s="3932"/>
      <c r="K46" s="3933"/>
      <c r="L46" s="4554">
        <v>0</v>
      </c>
      <c r="M46" s="5009">
        <v>0</v>
      </c>
      <c r="N46" s="5501">
        <v>0</v>
      </c>
      <c r="O46" s="4554">
        <v>0</v>
      </c>
      <c r="P46" s="5009">
        <v>0</v>
      </c>
      <c r="Q46" s="3921">
        <v>0</v>
      </c>
      <c r="R46" s="3918">
        <v>0</v>
      </c>
      <c r="S46" s="3919">
        <v>0</v>
      </c>
      <c r="T46" s="3920">
        <v>0</v>
      </c>
      <c r="U46" s="3918">
        <v>0</v>
      </c>
      <c r="V46" s="3919">
        <v>0</v>
      </c>
      <c r="W46" s="3920">
        <v>0</v>
      </c>
      <c r="X46" s="1575">
        <f t="shared" si="9"/>
        <v>0</v>
      </c>
      <c r="Y46" s="1546"/>
      <c r="Z46" s="1988"/>
      <c r="AA46" s="1988"/>
      <c r="AB46" s="10" t="str">
        <f>AB44</f>
        <v>LGIT</v>
      </c>
      <c r="AC46" s="7" t="s">
        <v>888</v>
      </c>
      <c r="AD46" s="1533"/>
    </row>
    <row r="47" spans="1:30" s="1535" customFormat="1" ht="16.5" customHeight="1">
      <c r="A47" s="7170"/>
      <c r="B47" s="7173"/>
      <c r="C47" s="10"/>
      <c r="D47" s="7" t="s">
        <v>888</v>
      </c>
      <c r="E47" s="4052">
        <v>20</v>
      </c>
      <c r="F47" s="1746" t="s">
        <v>864</v>
      </c>
      <c r="G47" s="3917">
        <v>0.69420930232558142</v>
      </c>
      <c r="H47" s="3930"/>
      <c r="I47" s="3931"/>
      <c r="J47" s="3932"/>
      <c r="K47" s="3933"/>
      <c r="L47" s="4554">
        <v>22840.404633180708</v>
      </c>
      <c r="M47" s="5009">
        <v>26812.64891721214</v>
      </c>
      <c r="N47" s="5501">
        <v>64548.969615510709</v>
      </c>
      <c r="O47" s="4554">
        <v>65000.000000000007</v>
      </c>
      <c r="P47" s="5009"/>
      <c r="Q47" s="3921">
        <v>23000</v>
      </c>
      <c r="R47" s="3918">
        <v>23000</v>
      </c>
      <c r="S47" s="3919">
        <v>23000</v>
      </c>
      <c r="T47" s="3920">
        <v>22250</v>
      </c>
      <c r="U47" s="3918">
        <v>22250</v>
      </c>
      <c r="V47" s="3919">
        <v>22250</v>
      </c>
      <c r="W47" s="3920">
        <v>22250</v>
      </c>
      <c r="X47" s="1575">
        <f t="shared" si="9"/>
        <v>337202.02316590352</v>
      </c>
      <c r="Y47" s="1546"/>
      <c r="Z47" s="1988"/>
      <c r="AA47" s="1988"/>
      <c r="AB47" s="10" t="str">
        <f t="shared" si="10"/>
        <v>LGIT</v>
      </c>
      <c r="AC47" s="1576" t="str">
        <f>AC46</f>
        <v>CAM HSG</v>
      </c>
      <c r="AD47" s="1533"/>
    </row>
    <row r="48" spans="1:30" s="1535" customFormat="1" ht="16.5" customHeight="1">
      <c r="A48" s="7170"/>
      <c r="B48" s="7173"/>
      <c r="C48" s="10"/>
      <c r="D48" s="10"/>
      <c r="E48" s="7151" t="s">
        <v>1733</v>
      </c>
      <c r="F48" s="7155"/>
      <c r="G48" s="2298"/>
      <c r="H48" s="5743"/>
      <c r="I48" s="5744"/>
      <c r="J48" s="5745"/>
      <c r="K48" s="5746"/>
      <c r="L48" s="5908">
        <f>SUM(L47)</f>
        <v>22840.404633180708</v>
      </c>
      <c r="M48" s="5909">
        <f t="shared" ref="M48:W48" si="15">SUM(M47)</f>
        <v>26812.64891721214</v>
      </c>
      <c r="N48" s="5910">
        <f t="shared" si="15"/>
        <v>64548.969615510709</v>
      </c>
      <c r="O48" s="5908">
        <f t="shared" si="15"/>
        <v>65000.000000000007</v>
      </c>
      <c r="P48" s="5909">
        <f t="shared" si="15"/>
        <v>0</v>
      </c>
      <c r="Q48" s="5913">
        <f t="shared" si="15"/>
        <v>23000</v>
      </c>
      <c r="R48" s="5911">
        <f t="shared" si="15"/>
        <v>23000</v>
      </c>
      <c r="S48" s="5912">
        <f t="shared" si="15"/>
        <v>23000</v>
      </c>
      <c r="T48" s="5914">
        <f t="shared" si="15"/>
        <v>22250</v>
      </c>
      <c r="U48" s="5911">
        <f t="shared" si="15"/>
        <v>22250</v>
      </c>
      <c r="V48" s="5912">
        <f t="shared" si="15"/>
        <v>22250</v>
      </c>
      <c r="W48" s="5914">
        <f t="shared" si="15"/>
        <v>22250</v>
      </c>
      <c r="X48" s="1557">
        <f>SUM(X47)</f>
        <v>337202.02316590352</v>
      </c>
      <c r="Y48" s="1546" t="b">
        <f>X48=SUM(L48:W48)</f>
        <v>1</v>
      </c>
      <c r="Z48" s="1988"/>
      <c r="AA48" s="1988"/>
      <c r="AB48" s="10"/>
      <c r="AC48" s="10"/>
      <c r="AD48" s="1533"/>
    </row>
    <row r="49" spans="1:30" s="1535" customFormat="1" ht="16.5" customHeight="1">
      <c r="A49" s="7170"/>
      <c r="B49" s="7173"/>
      <c r="C49" s="10"/>
      <c r="D49" s="7" t="s">
        <v>865</v>
      </c>
      <c r="E49" s="5753">
        <v>21</v>
      </c>
      <c r="F49" s="1746" t="s">
        <v>866</v>
      </c>
      <c r="G49" s="3917">
        <v>0.48871134020618556</v>
      </c>
      <c r="H49" s="3930"/>
      <c r="I49" s="3931"/>
      <c r="J49" s="3932"/>
      <c r="K49" s="3933"/>
      <c r="L49" s="4554">
        <v>22838.07073404756</v>
      </c>
      <c r="M49" s="5009">
        <v>26809.90912257757</v>
      </c>
      <c r="N49" s="5501">
        <v>64542.373813612663</v>
      </c>
      <c r="O49" s="4554">
        <v>65000</v>
      </c>
      <c r="P49" s="5009"/>
      <c r="Q49" s="3921">
        <v>23000</v>
      </c>
      <c r="R49" s="3918">
        <v>23000</v>
      </c>
      <c r="S49" s="3919">
        <v>23000</v>
      </c>
      <c r="T49" s="3920">
        <v>22250</v>
      </c>
      <c r="U49" s="3918">
        <v>22250</v>
      </c>
      <c r="V49" s="3919">
        <v>22250</v>
      </c>
      <c r="W49" s="3920">
        <v>22250</v>
      </c>
      <c r="X49" s="1575">
        <f t="shared" si="9"/>
        <v>337190.35367023782</v>
      </c>
      <c r="Y49" s="1546"/>
      <c r="Z49" s="1988"/>
      <c r="AA49" s="1988"/>
      <c r="AB49" s="10" t="str">
        <f>AB47</f>
        <v>LGIT</v>
      </c>
      <c r="AC49" s="10" t="s">
        <v>865</v>
      </c>
      <c r="AD49" s="1533"/>
    </row>
    <row r="50" spans="1:30" s="1535" customFormat="1" ht="16.5" hidden="1" customHeight="1">
      <c r="A50" s="7170"/>
      <c r="B50" s="7173"/>
      <c r="C50" s="10"/>
      <c r="D50" s="8"/>
      <c r="E50" s="2297"/>
      <c r="F50" s="1658" t="s">
        <v>951</v>
      </c>
      <c r="G50" s="2298">
        <v>0.53</v>
      </c>
      <c r="H50" s="3922"/>
      <c r="I50" s="3923"/>
      <c r="J50" s="3924"/>
      <c r="K50" s="2403"/>
      <c r="L50" s="4549">
        <v>0</v>
      </c>
      <c r="M50" s="5004">
        <v>0</v>
      </c>
      <c r="N50" s="5496">
        <v>0</v>
      </c>
      <c r="O50" s="4549">
        <v>0</v>
      </c>
      <c r="P50" s="5004">
        <v>0</v>
      </c>
      <c r="Q50" s="3916">
        <v>0</v>
      </c>
      <c r="R50" s="3913">
        <v>0</v>
      </c>
      <c r="S50" s="3914">
        <v>0</v>
      </c>
      <c r="T50" s="3915">
        <v>0</v>
      </c>
      <c r="U50" s="3913">
        <v>0</v>
      </c>
      <c r="V50" s="3914">
        <v>0</v>
      </c>
      <c r="W50" s="3915">
        <v>0</v>
      </c>
      <c r="X50" s="1557">
        <f t="shared" si="9"/>
        <v>0</v>
      </c>
      <c r="Y50" s="1546"/>
      <c r="Z50" s="1988"/>
      <c r="AA50" s="1988"/>
      <c r="AB50" s="10" t="str">
        <f t="shared" si="10"/>
        <v>LGIT</v>
      </c>
      <c r="AC50" s="8" t="str">
        <f t="shared" ref="AC50:AC52" si="16">AC49</f>
        <v>CAM CVR</v>
      </c>
      <c r="AD50" s="1533"/>
    </row>
    <row r="51" spans="1:30" s="1535" customFormat="1" ht="16.5" hidden="1" customHeight="1">
      <c r="A51" s="7170"/>
      <c r="B51" s="7173"/>
      <c r="C51" s="10"/>
      <c r="D51" s="8"/>
      <c r="E51" s="2297"/>
      <c r="F51" s="1658" t="s">
        <v>867</v>
      </c>
      <c r="G51" s="2298">
        <v>0.69273636363636371</v>
      </c>
      <c r="H51" s="3922"/>
      <c r="I51" s="3923"/>
      <c r="J51" s="3924"/>
      <c r="K51" s="2403"/>
      <c r="L51" s="4549">
        <v>0</v>
      </c>
      <c r="M51" s="5004">
        <v>0</v>
      </c>
      <c r="N51" s="5496">
        <v>0</v>
      </c>
      <c r="O51" s="4549">
        <v>0</v>
      </c>
      <c r="P51" s="5004">
        <v>0</v>
      </c>
      <c r="Q51" s="3916">
        <v>0</v>
      </c>
      <c r="R51" s="3913">
        <v>0</v>
      </c>
      <c r="S51" s="3914">
        <v>0</v>
      </c>
      <c r="T51" s="3915">
        <v>0</v>
      </c>
      <c r="U51" s="3913">
        <v>0</v>
      </c>
      <c r="V51" s="3914">
        <v>0</v>
      </c>
      <c r="W51" s="3915">
        <v>0</v>
      </c>
      <c r="X51" s="1557">
        <f t="shared" si="9"/>
        <v>0</v>
      </c>
      <c r="Y51" s="1546"/>
      <c r="Z51" s="1988"/>
      <c r="AA51" s="1988"/>
      <c r="AB51" s="10" t="str">
        <f t="shared" si="10"/>
        <v>LGIT</v>
      </c>
      <c r="AC51" s="8" t="str">
        <f t="shared" si="16"/>
        <v>CAM CVR</v>
      </c>
      <c r="AD51" s="1533"/>
    </row>
    <row r="52" spans="1:30" s="1535" customFormat="1" ht="16.5" customHeight="1">
      <c r="A52" s="7170"/>
      <c r="B52" s="7173"/>
      <c r="C52" s="10"/>
      <c r="D52" s="8"/>
      <c r="E52" s="2297"/>
      <c r="F52" s="1658" t="s">
        <v>66</v>
      </c>
      <c r="G52" s="2298">
        <v>3.3561999999999994</v>
      </c>
      <c r="H52" s="3922"/>
      <c r="I52" s="3923"/>
      <c r="J52" s="3924"/>
      <c r="K52" s="2403"/>
      <c r="L52" s="4549">
        <v>1656</v>
      </c>
      <c r="M52" s="5004">
        <v>0</v>
      </c>
      <c r="N52" s="5496">
        <v>170.99999999999997</v>
      </c>
      <c r="O52" s="4549">
        <v>1109</v>
      </c>
      <c r="P52" s="5004"/>
      <c r="Q52" s="3916">
        <v>1607</v>
      </c>
      <c r="R52" s="3913">
        <v>0</v>
      </c>
      <c r="S52" s="3914">
        <v>0</v>
      </c>
      <c r="T52" s="3915">
        <v>0</v>
      </c>
      <c r="U52" s="3913">
        <v>0</v>
      </c>
      <c r="V52" s="3914">
        <v>0</v>
      </c>
      <c r="W52" s="3915">
        <v>0</v>
      </c>
      <c r="X52" s="1557">
        <f t="shared" si="9"/>
        <v>4543</v>
      </c>
      <c r="Y52" s="1546"/>
      <c r="Z52" s="1988"/>
      <c r="AA52" s="1988"/>
      <c r="AB52" s="10" t="str">
        <f t="shared" si="10"/>
        <v>LGIT</v>
      </c>
      <c r="AC52" s="8" t="str">
        <f t="shared" si="16"/>
        <v>CAM CVR</v>
      </c>
      <c r="AD52" s="1533"/>
    </row>
    <row r="53" spans="1:30" s="1535" customFormat="1" ht="16.5" customHeight="1">
      <c r="A53" s="7170"/>
      <c r="B53" s="7173"/>
      <c r="C53" s="10"/>
      <c r="D53" s="8"/>
      <c r="E53" s="2297"/>
      <c r="F53" s="1753" t="s">
        <v>68</v>
      </c>
      <c r="G53" s="2298">
        <v>1.5322899999999999</v>
      </c>
      <c r="H53" s="3922"/>
      <c r="I53" s="3923"/>
      <c r="J53" s="3924"/>
      <c r="K53" s="2403"/>
      <c r="L53" s="4549"/>
      <c r="M53" s="5004"/>
      <c r="N53" s="5496"/>
      <c r="O53" s="4549"/>
      <c r="P53" s="5004">
        <v>4965</v>
      </c>
      <c r="Q53" s="3916">
        <v>4579</v>
      </c>
      <c r="R53" s="3913">
        <v>3150</v>
      </c>
      <c r="S53" s="3914"/>
      <c r="T53" s="3915"/>
      <c r="U53" s="3913"/>
      <c r="V53" s="3914"/>
      <c r="W53" s="3915"/>
      <c r="X53" s="1557">
        <f t="shared" si="9"/>
        <v>12694</v>
      </c>
      <c r="Y53" s="1546"/>
      <c r="Z53" s="1988"/>
      <c r="AA53" s="1988"/>
      <c r="AB53" s="10"/>
      <c r="AC53" s="8"/>
      <c r="AD53" s="1533"/>
    </row>
    <row r="54" spans="1:30" s="1535" customFormat="1" ht="16.5" customHeight="1">
      <c r="A54" s="7170"/>
      <c r="B54" s="7173"/>
      <c r="C54" s="10"/>
      <c r="D54" s="10"/>
      <c r="E54" s="7137" t="s">
        <v>1734</v>
      </c>
      <c r="F54" s="7139"/>
      <c r="G54" s="5700"/>
      <c r="H54" s="5735"/>
      <c r="I54" s="5736"/>
      <c r="J54" s="5737"/>
      <c r="K54" s="5738"/>
      <c r="L54" s="5876">
        <f>SUM(L49:L52)</f>
        <v>24494.07073404756</v>
      </c>
      <c r="M54" s="5877">
        <f t="shared" ref="M54:N54" si="17">SUM(M49:M52)</f>
        <v>26809.90912257757</v>
      </c>
      <c r="N54" s="5878">
        <f t="shared" si="17"/>
        <v>64713.373813612663</v>
      </c>
      <c r="O54" s="5876">
        <f>SUM(O49:O53)</f>
        <v>66109</v>
      </c>
      <c r="P54" s="5877">
        <f t="shared" ref="P54:W54" si="18">SUM(P49:P53)</f>
        <v>4965</v>
      </c>
      <c r="Q54" s="5879">
        <f t="shared" si="18"/>
        <v>29186</v>
      </c>
      <c r="R54" s="6523">
        <f t="shared" si="18"/>
        <v>26150</v>
      </c>
      <c r="S54" s="5880">
        <f t="shared" si="18"/>
        <v>23000</v>
      </c>
      <c r="T54" s="5879">
        <f t="shared" si="18"/>
        <v>22250</v>
      </c>
      <c r="U54" s="6523">
        <f t="shared" si="18"/>
        <v>22250</v>
      </c>
      <c r="V54" s="5880">
        <f t="shared" si="18"/>
        <v>22250</v>
      </c>
      <c r="W54" s="5879">
        <f t="shared" si="18"/>
        <v>22250</v>
      </c>
      <c r="X54" s="5907">
        <f t="shared" ref="X54" si="19">SUM(X49:X53)</f>
        <v>354427.35367023782</v>
      </c>
      <c r="Y54" s="1546" t="b">
        <f>X54=SUM(L54:W54)</f>
        <v>1</v>
      </c>
      <c r="Z54" s="1988"/>
      <c r="AA54" s="1988"/>
      <c r="AB54" s="10"/>
      <c r="AC54" s="8"/>
      <c r="AD54" s="1533"/>
    </row>
    <row r="55" spans="1:30" s="1535" customFormat="1" ht="16.5" hidden="1" customHeight="1">
      <c r="A55" s="7170"/>
      <c r="B55" s="7173"/>
      <c r="C55" s="10"/>
      <c r="D55" s="8"/>
      <c r="E55" s="2297"/>
      <c r="F55" s="1658" t="s">
        <v>869</v>
      </c>
      <c r="G55" s="2298">
        <v>0.53564000000000001</v>
      </c>
      <c r="H55" s="3922"/>
      <c r="I55" s="3923"/>
      <c r="J55" s="3924"/>
      <c r="K55" s="2403"/>
      <c r="L55" s="4549">
        <v>0</v>
      </c>
      <c r="M55" s="5004">
        <v>0</v>
      </c>
      <c r="N55" s="5496">
        <v>0</v>
      </c>
      <c r="O55" s="4549">
        <v>0</v>
      </c>
      <c r="P55" s="5004">
        <v>0</v>
      </c>
      <c r="Q55" s="3916">
        <v>0</v>
      </c>
      <c r="R55" s="3913">
        <v>0</v>
      </c>
      <c r="S55" s="3914">
        <v>0</v>
      </c>
      <c r="T55" s="3915">
        <v>0</v>
      </c>
      <c r="U55" s="3913">
        <v>0</v>
      </c>
      <c r="V55" s="3914">
        <v>0</v>
      </c>
      <c r="W55" s="3915">
        <v>0</v>
      </c>
      <c r="X55" s="5698">
        <f t="shared" si="9"/>
        <v>0</v>
      </c>
      <c r="Y55" s="1546"/>
      <c r="Z55" s="1988"/>
      <c r="AA55" s="1988"/>
      <c r="AB55" s="10" t="str">
        <f>AB52</f>
        <v>LGIT</v>
      </c>
      <c r="AC55" s="9" t="s">
        <v>868</v>
      </c>
      <c r="AD55" s="1533"/>
    </row>
    <row r="56" spans="1:30" s="1569" customFormat="1" ht="16.5" hidden="1" customHeight="1">
      <c r="A56" s="7170"/>
      <c r="B56" s="7173"/>
      <c r="C56" s="10"/>
      <c r="D56" s="10"/>
      <c r="E56" s="4051"/>
      <c r="F56" s="1658" t="s">
        <v>870</v>
      </c>
      <c r="G56" s="2298">
        <v>0.72165999999999986</v>
      </c>
      <c r="H56" s="3922"/>
      <c r="I56" s="3923"/>
      <c r="J56" s="3924"/>
      <c r="K56" s="2403"/>
      <c r="L56" s="4549">
        <v>0</v>
      </c>
      <c r="M56" s="5004">
        <v>0</v>
      </c>
      <c r="N56" s="5496">
        <v>0</v>
      </c>
      <c r="O56" s="4549">
        <v>0</v>
      </c>
      <c r="P56" s="5009">
        <v>64800</v>
      </c>
      <c r="Q56" s="3921">
        <v>82850</v>
      </c>
      <c r="R56" s="3918">
        <v>82850</v>
      </c>
      <c r="S56" s="3919">
        <v>82850</v>
      </c>
      <c r="T56" s="3920">
        <v>82850</v>
      </c>
      <c r="U56" s="3918">
        <v>82850</v>
      </c>
      <c r="V56" s="3919">
        <v>82850</v>
      </c>
      <c r="W56" s="3920">
        <v>82850</v>
      </c>
      <c r="X56" s="1557">
        <f t="shared" si="9"/>
        <v>644750</v>
      </c>
      <c r="Y56" s="1546"/>
      <c r="Z56" s="3911"/>
      <c r="AA56" s="3911"/>
      <c r="AB56" s="10" t="str">
        <f t="shared" ref="AB56:AC58" si="20">AB55</f>
        <v>LGIT</v>
      </c>
      <c r="AC56" s="10" t="str">
        <f t="shared" si="20"/>
        <v>CAM L.Mount</v>
      </c>
      <c r="AD56" s="1533"/>
    </row>
    <row r="57" spans="1:30" s="1535" customFormat="1" ht="16.5" customHeight="1">
      <c r="A57" s="7170"/>
      <c r="B57" s="7173"/>
      <c r="C57" s="10"/>
      <c r="D57" s="9" t="s">
        <v>868</v>
      </c>
      <c r="E57" s="4052">
        <v>22</v>
      </c>
      <c r="F57" s="1746" t="s">
        <v>75</v>
      </c>
      <c r="G57" s="3917">
        <v>0.88100000000000001</v>
      </c>
      <c r="H57" s="3930"/>
      <c r="I57" s="3931"/>
      <c r="J57" s="3932"/>
      <c r="K57" s="3933"/>
      <c r="L57" s="4554">
        <v>145774.22603669483</v>
      </c>
      <c r="M57" s="5009">
        <v>80811.176270963784</v>
      </c>
      <c r="N57" s="5501">
        <v>145774.22603669483</v>
      </c>
      <c r="O57" s="4554">
        <v>119959.13734392736</v>
      </c>
      <c r="P57" s="5009">
        <v>64777.93416572077</v>
      </c>
      <c r="Q57" s="3921">
        <v>82821.787741203196</v>
      </c>
      <c r="R57" s="3918">
        <v>82821.787741203196</v>
      </c>
      <c r="S57" s="3919">
        <v>82821.787741203196</v>
      </c>
      <c r="T57" s="3920">
        <v>82821.787741203196</v>
      </c>
      <c r="U57" s="3918">
        <v>82821.787741203196</v>
      </c>
      <c r="V57" s="3919">
        <v>82821.787741203196</v>
      </c>
      <c r="W57" s="3920">
        <v>82821.787741203196</v>
      </c>
      <c r="X57" s="1575">
        <f t="shared" si="9"/>
        <v>1136849.214042424</v>
      </c>
      <c r="Y57" s="1546"/>
      <c r="Z57" s="1988"/>
      <c r="AA57" s="1988"/>
      <c r="AB57" s="10" t="str">
        <f t="shared" si="20"/>
        <v>LGIT</v>
      </c>
      <c r="AC57" s="10" t="str">
        <f t="shared" si="20"/>
        <v>CAM L.Mount</v>
      </c>
      <c r="AD57" s="1533"/>
    </row>
    <row r="58" spans="1:30" s="1535" customFormat="1" ht="16.5" hidden="1" customHeight="1">
      <c r="A58" s="7170"/>
      <c r="B58" s="7173"/>
      <c r="C58" s="10"/>
      <c r="D58" s="10"/>
      <c r="E58" s="4051"/>
      <c r="F58" s="1658" t="s">
        <v>952</v>
      </c>
      <c r="G58" s="2298">
        <v>0.67</v>
      </c>
      <c r="H58" s="3922"/>
      <c r="I58" s="3923"/>
      <c r="J58" s="3924"/>
      <c r="K58" s="2403"/>
      <c r="L58" s="4549">
        <v>0</v>
      </c>
      <c r="M58" s="5004">
        <v>0</v>
      </c>
      <c r="N58" s="5496">
        <v>0</v>
      </c>
      <c r="O58" s="4549">
        <v>0</v>
      </c>
      <c r="P58" s="5004">
        <v>0</v>
      </c>
      <c r="Q58" s="3916">
        <v>0</v>
      </c>
      <c r="R58" s="3913">
        <v>0</v>
      </c>
      <c r="S58" s="3914">
        <v>0</v>
      </c>
      <c r="T58" s="3915">
        <v>0</v>
      </c>
      <c r="U58" s="3913">
        <v>0</v>
      </c>
      <c r="V58" s="3914">
        <v>0</v>
      </c>
      <c r="W58" s="3915">
        <v>0</v>
      </c>
      <c r="X58" s="1557">
        <f t="shared" si="9"/>
        <v>0</v>
      </c>
      <c r="Y58" s="1546"/>
      <c r="Z58" s="1567"/>
      <c r="AA58" s="1567"/>
      <c r="AB58" s="10" t="str">
        <f t="shared" si="20"/>
        <v>LGIT</v>
      </c>
      <c r="AC58" s="10" t="str">
        <f t="shared" si="20"/>
        <v>CAM L.Mount</v>
      </c>
      <c r="AD58" s="1533"/>
    </row>
    <row r="59" spans="1:30" s="1535" customFormat="1" ht="16.5" customHeight="1">
      <c r="A59" s="7170"/>
      <c r="B59" s="7173"/>
      <c r="C59" s="6"/>
      <c r="D59" s="6"/>
      <c r="E59" s="7152" t="s">
        <v>1735</v>
      </c>
      <c r="F59" s="7154"/>
      <c r="G59" s="5748"/>
      <c r="H59" s="5739"/>
      <c r="I59" s="5740"/>
      <c r="J59" s="5741"/>
      <c r="K59" s="5742"/>
      <c r="L59" s="5915">
        <f>SUM(L57)</f>
        <v>145774.22603669483</v>
      </c>
      <c r="M59" s="5916">
        <f t="shared" ref="M59:W59" si="21">SUM(M57)</f>
        <v>80811.176270963784</v>
      </c>
      <c r="N59" s="5917">
        <f t="shared" si="21"/>
        <v>145774.22603669483</v>
      </c>
      <c r="O59" s="5915">
        <f t="shared" si="21"/>
        <v>119959.13734392736</v>
      </c>
      <c r="P59" s="5916">
        <f t="shared" si="21"/>
        <v>64777.93416572077</v>
      </c>
      <c r="Q59" s="5920">
        <f t="shared" si="21"/>
        <v>82821.787741203196</v>
      </c>
      <c r="R59" s="5918">
        <f t="shared" si="21"/>
        <v>82821.787741203196</v>
      </c>
      <c r="S59" s="5919">
        <f t="shared" si="21"/>
        <v>82821.787741203196</v>
      </c>
      <c r="T59" s="5921">
        <f t="shared" si="21"/>
        <v>82821.787741203196</v>
      </c>
      <c r="U59" s="5918">
        <f t="shared" si="21"/>
        <v>82821.787741203196</v>
      </c>
      <c r="V59" s="5919">
        <f t="shared" si="21"/>
        <v>82821.787741203196</v>
      </c>
      <c r="W59" s="5921">
        <f t="shared" si="21"/>
        <v>82821.787741203196</v>
      </c>
      <c r="X59" s="1595">
        <f>SUM(X57:X58)</f>
        <v>1136849.214042424</v>
      </c>
      <c r="Y59" s="1546" t="b">
        <f>X59=SUM(L59:W59)</f>
        <v>1</v>
      </c>
      <c r="Z59" s="1567"/>
      <c r="AA59" s="1567"/>
      <c r="AB59" s="10"/>
      <c r="AC59" s="10"/>
      <c r="AD59" s="1533"/>
    </row>
    <row r="60" spans="1:30" s="1535" customFormat="1" ht="16.5" customHeight="1">
      <c r="A60" s="7170"/>
      <c r="B60" s="7173"/>
      <c r="C60" s="5747"/>
      <c r="D60" s="7146" t="s">
        <v>1716</v>
      </c>
      <c r="E60" s="7146"/>
      <c r="F60" s="7146"/>
      <c r="G60" s="7147"/>
      <c r="H60" s="5755"/>
      <c r="I60" s="5756"/>
      <c r="J60" s="5757"/>
      <c r="K60" s="5758"/>
      <c r="L60" s="5922">
        <f>SUM(L59+L54+L48+L45+L34)</f>
        <v>313171.88934843946</v>
      </c>
      <c r="M60" s="5923">
        <f t="shared" ref="M60:W60" si="22">SUM(M59+M54+M48+M45+M34)</f>
        <v>347957.17440252309</v>
      </c>
      <c r="N60" s="5924">
        <f t="shared" si="22"/>
        <v>494341.10076049063</v>
      </c>
      <c r="O60" s="5922">
        <f t="shared" si="22"/>
        <v>536258.95094194356</v>
      </c>
      <c r="P60" s="5923">
        <f t="shared" si="22"/>
        <v>353635.85898688773</v>
      </c>
      <c r="Q60" s="5927">
        <f t="shared" si="22"/>
        <v>395466.43592886557</v>
      </c>
      <c r="R60" s="5925">
        <f t="shared" si="22"/>
        <v>362516.46120524197</v>
      </c>
      <c r="S60" s="5926">
        <f t="shared" si="22"/>
        <v>241920.87997068604</v>
      </c>
      <c r="T60" s="5928">
        <f t="shared" si="22"/>
        <v>137608.7372859313</v>
      </c>
      <c r="U60" s="5925">
        <f t="shared" si="22"/>
        <v>127321.7877412032</v>
      </c>
      <c r="V60" s="5926">
        <f t="shared" si="22"/>
        <v>127321.7877412032</v>
      </c>
      <c r="W60" s="5928">
        <f t="shared" si="22"/>
        <v>127321.7877412032</v>
      </c>
      <c r="X60" s="5929">
        <f>SUM(X59+X54+X48+X45+X34)</f>
        <v>3564842.8520546188</v>
      </c>
      <c r="Y60" s="1546"/>
      <c r="Z60" s="1567"/>
      <c r="AA60" s="1567"/>
      <c r="AB60" s="10"/>
      <c r="AC60" s="10"/>
      <c r="AD60" s="1533"/>
    </row>
    <row r="61" spans="1:30" s="1535" customFormat="1" ht="16.5" customHeight="1">
      <c r="A61" s="7170"/>
      <c r="B61" s="7173"/>
      <c r="C61" s="10" t="s">
        <v>398</v>
      </c>
      <c r="D61" s="1588" t="s">
        <v>848</v>
      </c>
      <c r="E61" s="4049">
        <v>23</v>
      </c>
      <c r="F61" s="5849" t="s">
        <v>396</v>
      </c>
      <c r="G61" s="2298">
        <v>3.82</v>
      </c>
      <c r="H61" s="3925"/>
      <c r="I61" s="3926"/>
      <c r="J61" s="3927"/>
      <c r="K61" s="3928"/>
      <c r="L61" s="4549">
        <v>30138.69109947644</v>
      </c>
      <c r="M61" s="5004">
        <v>55488.952879581149</v>
      </c>
      <c r="N61" s="5502">
        <v>53003.560209424082</v>
      </c>
      <c r="O61" s="4549">
        <v>42198.952879581157</v>
      </c>
      <c r="P61" s="5004"/>
      <c r="Q61" s="3916"/>
      <c r="R61" s="3913"/>
      <c r="S61" s="3914"/>
      <c r="T61" s="3915">
        <v>49000</v>
      </c>
      <c r="U61" s="3913">
        <v>49000</v>
      </c>
      <c r="V61" s="3914">
        <v>37000</v>
      </c>
      <c r="W61" s="3915">
        <v>37000</v>
      </c>
      <c r="X61" s="1557">
        <f t="shared" si="9"/>
        <v>352830.15706806281</v>
      </c>
      <c r="Y61" s="1546"/>
      <c r="Z61" s="1988"/>
      <c r="AA61" s="1988"/>
      <c r="AB61" s="1582" t="s">
        <v>398</v>
      </c>
      <c r="AC61" s="1583" t="s">
        <v>848</v>
      </c>
      <c r="AD61" s="1533"/>
    </row>
    <row r="62" spans="1:30" s="1535" customFormat="1" ht="16.5" customHeight="1">
      <c r="A62" s="7170"/>
      <c r="B62" s="7173"/>
      <c r="C62" s="10"/>
      <c r="D62" s="1588"/>
      <c r="E62" s="4049">
        <v>24</v>
      </c>
      <c r="F62" s="5849" t="s">
        <v>264</v>
      </c>
      <c r="G62" s="2298">
        <v>2.66</v>
      </c>
      <c r="H62" s="3925"/>
      <c r="I62" s="3926"/>
      <c r="J62" s="3927"/>
      <c r="K62" s="3928"/>
      <c r="L62" s="4549">
        <v>42516.812030075183</v>
      </c>
      <c r="M62" s="5004">
        <v>28167.699248120301</v>
      </c>
      <c r="N62" s="5502">
        <v>45496.421052631573</v>
      </c>
      <c r="O62" s="4549">
        <v>40302.676691729328</v>
      </c>
      <c r="P62" s="5004">
        <v>42472.421052631573</v>
      </c>
      <c r="Q62" s="3916">
        <v>44064</v>
      </c>
      <c r="R62" s="3913">
        <v>44000</v>
      </c>
      <c r="S62" s="3914">
        <v>42000</v>
      </c>
      <c r="T62" s="3915">
        <v>48000</v>
      </c>
      <c r="U62" s="3913">
        <v>40000</v>
      </c>
      <c r="V62" s="3914">
        <v>41500</v>
      </c>
      <c r="W62" s="3915">
        <v>41500</v>
      </c>
      <c r="X62" s="1557">
        <f t="shared" si="9"/>
        <v>500020.03007518797</v>
      </c>
      <c r="Y62" s="1546"/>
      <c r="Z62" s="1988"/>
      <c r="AA62" s="1988"/>
      <c r="AB62" s="10" t="str">
        <f t="shared" ref="AB62:AB72" si="23">AB61</f>
        <v>Mando</v>
      </c>
      <c r="AC62" s="1588" t="str">
        <f t="shared" ref="AC62:AC66" si="24">AC61</f>
        <v>Motor HSG</v>
      </c>
      <c r="AD62" s="1533"/>
    </row>
    <row r="63" spans="1:30" s="1535" customFormat="1" ht="16.5" customHeight="1">
      <c r="A63" s="7170"/>
      <c r="B63" s="7173"/>
      <c r="C63" s="10"/>
      <c r="D63" s="1588"/>
      <c r="E63" s="4049">
        <v>25</v>
      </c>
      <c r="F63" s="5849" t="s">
        <v>871</v>
      </c>
      <c r="G63" s="2298">
        <v>3.78</v>
      </c>
      <c r="H63" s="3925"/>
      <c r="I63" s="3926"/>
      <c r="J63" s="3927"/>
      <c r="K63" s="3928"/>
      <c r="L63" s="4549">
        <v>5040</v>
      </c>
      <c r="M63" s="5004">
        <v>5287</v>
      </c>
      <c r="N63" s="5502">
        <v>0</v>
      </c>
      <c r="O63" s="4549">
        <v>10466.666666666668</v>
      </c>
      <c r="P63" s="5004">
        <v>6250</v>
      </c>
      <c r="Q63" s="3916">
        <v>6500</v>
      </c>
      <c r="R63" s="3913">
        <v>6500</v>
      </c>
      <c r="S63" s="3914">
        <v>6500</v>
      </c>
      <c r="T63" s="3915">
        <v>6500</v>
      </c>
      <c r="U63" s="3913">
        <v>8550</v>
      </c>
      <c r="V63" s="3914">
        <v>5700</v>
      </c>
      <c r="W63" s="3915">
        <v>5700</v>
      </c>
      <c r="X63" s="1557">
        <f t="shared" si="9"/>
        <v>72993.666666666672</v>
      </c>
      <c r="Y63" s="1546"/>
      <c r="Z63" s="1988"/>
      <c r="AA63" s="1988"/>
      <c r="AB63" s="10" t="str">
        <f t="shared" si="23"/>
        <v>Mando</v>
      </c>
      <c r="AC63" s="1588" t="str">
        <f t="shared" si="24"/>
        <v>Motor HSG</v>
      </c>
      <c r="AD63" s="1533"/>
    </row>
    <row r="64" spans="1:30" s="1535" customFormat="1" ht="16.5" hidden="1" customHeight="1">
      <c r="A64" s="7170"/>
      <c r="B64" s="7173"/>
      <c r="C64" s="10"/>
      <c r="D64" s="1588"/>
      <c r="E64" s="4049"/>
      <c r="F64" s="1588" t="s">
        <v>1221</v>
      </c>
      <c r="G64" s="1552">
        <v>5.28</v>
      </c>
      <c r="H64" s="3217"/>
      <c r="I64" s="3230"/>
      <c r="J64" s="3223"/>
      <c r="K64" s="3194"/>
      <c r="L64" s="4549">
        <v>0</v>
      </c>
      <c r="M64" s="5004">
        <v>0</v>
      </c>
      <c r="N64" s="5502">
        <v>0</v>
      </c>
      <c r="O64" s="4549">
        <v>0</v>
      </c>
      <c r="P64" s="5004">
        <v>0</v>
      </c>
      <c r="Q64" s="3336">
        <v>0</v>
      </c>
      <c r="R64" s="3332">
        <v>0</v>
      </c>
      <c r="S64" s="3333">
        <v>0</v>
      </c>
      <c r="T64" s="3334">
        <v>0</v>
      </c>
      <c r="U64" s="3332">
        <v>0</v>
      </c>
      <c r="V64" s="3333">
        <v>0</v>
      </c>
      <c r="W64" s="3334">
        <v>0</v>
      </c>
      <c r="X64" s="2085">
        <f t="shared" si="9"/>
        <v>0</v>
      </c>
      <c r="Y64" s="1637"/>
      <c r="Z64" s="1988"/>
      <c r="AA64" s="1988"/>
      <c r="AB64" s="10" t="str">
        <f t="shared" si="23"/>
        <v>Mando</v>
      </c>
      <c r="AC64" s="1588" t="str">
        <f t="shared" si="24"/>
        <v>Motor HSG</v>
      </c>
      <c r="AD64" s="1533"/>
    </row>
    <row r="65" spans="1:30" s="1535" customFormat="1" ht="16.5" hidden="1" customHeight="1">
      <c r="A65" s="7170"/>
      <c r="B65" s="7173"/>
      <c r="C65" s="10"/>
      <c r="D65" s="1588"/>
      <c r="E65" s="4049"/>
      <c r="F65" s="1588" t="s">
        <v>1222</v>
      </c>
      <c r="G65" s="1552">
        <v>4</v>
      </c>
      <c r="H65" s="3217"/>
      <c r="I65" s="3230"/>
      <c r="J65" s="3223"/>
      <c r="K65" s="3194"/>
      <c r="L65" s="4549">
        <v>0</v>
      </c>
      <c r="M65" s="5004">
        <v>0</v>
      </c>
      <c r="N65" s="5502">
        <v>0</v>
      </c>
      <c r="O65" s="4549">
        <v>0</v>
      </c>
      <c r="P65" s="5004">
        <v>0</v>
      </c>
      <c r="Q65" s="3336">
        <v>0</v>
      </c>
      <c r="R65" s="3332">
        <v>0</v>
      </c>
      <c r="S65" s="3333">
        <v>0</v>
      </c>
      <c r="T65" s="3334">
        <v>0</v>
      </c>
      <c r="U65" s="3332">
        <v>0</v>
      </c>
      <c r="V65" s="3333">
        <v>0</v>
      </c>
      <c r="W65" s="3334">
        <v>0</v>
      </c>
      <c r="X65" s="2085">
        <f t="shared" si="9"/>
        <v>0</v>
      </c>
      <c r="Y65" s="1637"/>
      <c r="Z65" s="1988"/>
      <c r="AA65" s="1988"/>
      <c r="AB65" s="10" t="str">
        <f t="shared" si="23"/>
        <v>Mando</v>
      </c>
      <c r="AC65" s="1588" t="str">
        <f t="shared" si="24"/>
        <v>Motor HSG</v>
      </c>
      <c r="AD65" s="1533"/>
    </row>
    <row r="66" spans="1:30" s="1535" customFormat="1" ht="16.5" hidden="1" customHeight="1">
      <c r="A66" s="7170"/>
      <c r="B66" s="7173"/>
      <c r="C66" s="10"/>
      <c r="D66" s="1588"/>
      <c r="E66" s="4049"/>
      <c r="F66" s="1588" t="s">
        <v>1223</v>
      </c>
      <c r="G66" s="1552">
        <v>5.94</v>
      </c>
      <c r="H66" s="3217"/>
      <c r="I66" s="3230"/>
      <c r="J66" s="3223"/>
      <c r="K66" s="3194"/>
      <c r="L66" s="4549">
        <v>0</v>
      </c>
      <c r="M66" s="5004">
        <v>0</v>
      </c>
      <c r="N66" s="5502">
        <v>0</v>
      </c>
      <c r="O66" s="4549">
        <v>0</v>
      </c>
      <c r="P66" s="5004">
        <v>0</v>
      </c>
      <c r="Q66" s="3336">
        <v>0</v>
      </c>
      <c r="R66" s="3332">
        <v>0</v>
      </c>
      <c r="S66" s="3333">
        <v>0</v>
      </c>
      <c r="T66" s="3334">
        <v>0</v>
      </c>
      <c r="U66" s="3332">
        <v>0</v>
      </c>
      <c r="V66" s="3333">
        <v>0</v>
      </c>
      <c r="W66" s="3334">
        <v>0</v>
      </c>
      <c r="X66" s="2085">
        <f t="shared" si="9"/>
        <v>0</v>
      </c>
      <c r="Y66" s="1637"/>
      <c r="Z66" s="1988"/>
      <c r="AA66" s="1988"/>
      <c r="AB66" s="10" t="str">
        <f t="shared" si="23"/>
        <v>Mando</v>
      </c>
      <c r="AC66" s="1588" t="str">
        <f t="shared" si="24"/>
        <v>Motor HSG</v>
      </c>
      <c r="AD66" s="1533"/>
    </row>
    <row r="67" spans="1:30" s="1535" customFormat="1" ht="16.5" customHeight="1">
      <c r="A67" s="7170"/>
      <c r="B67" s="7173"/>
      <c r="C67" s="10"/>
      <c r="D67" s="10"/>
      <c r="E67" s="7140" t="s">
        <v>1731</v>
      </c>
      <c r="F67" s="7141"/>
      <c r="G67" s="3917"/>
      <c r="H67" s="5749"/>
      <c r="I67" s="5750"/>
      <c r="J67" s="5751"/>
      <c r="K67" s="5752"/>
      <c r="L67" s="5896">
        <f>SUM(L61:L63)</f>
        <v>77695.503129551624</v>
      </c>
      <c r="M67" s="5897">
        <f t="shared" ref="M67:W67" si="25">SUM(M61:M63)</f>
        <v>88943.652127701454</v>
      </c>
      <c r="N67" s="5898">
        <f t="shared" si="25"/>
        <v>98499.981262055662</v>
      </c>
      <c r="O67" s="5896">
        <f t="shared" si="25"/>
        <v>92968.296237977149</v>
      </c>
      <c r="P67" s="5897">
        <f t="shared" si="25"/>
        <v>48722.421052631573</v>
      </c>
      <c r="Q67" s="5901">
        <f t="shared" si="25"/>
        <v>50564</v>
      </c>
      <c r="R67" s="5899">
        <f t="shared" si="25"/>
        <v>50500</v>
      </c>
      <c r="S67" s="5900">
        <f t="shared" si="25"/>
        <v>48500</v>
      </c>
      <c r="T67" s="5902">
        <f t="shared" si="25"/>
        <v>103500</v>
      </c>
      <c r="U67" s="5899">
        <f t="shared" si="25"/>
        <v>97550</v>
      </c>
      <c r="V67" s="5900">
        <f t="shared" si="25"/>
        <v>84200</v>
      </c>
      <c r="W67" s="5902">
        <f t="shared" si="25"/>
        <v>84200</v>
      </c>
      <c r="X67" s="1575">
        <f>SUM(X61:X63)</f>
        <v>925843.85380991746</v>
      </c>
      <c r="Y67" s="1637"/>
      <c r="Z67" s="1988"/>
      <c r="AA67" s="1988"/>
      <c r="AB67" s="10"/>
      <c r="AC67" s="1588"/>
      <c r="AD67" s="1533"/>
    </row>
    <row r="68" spans="1:30" s="1535" customFormat="1" ht="16.5" customHeight="1">
      <c r="A68" s="7170"/>
      <c r="B68" s="7173"/>
      <c r="C68" s="10"/>
      <c r="D68" s="7" t="s">
        <v>857</v>
      </c>
      <c r="E68" s="4052">
        <v>26</v>
      </c>
      <c r="F68" s="1589" t="s">
        <v>872</v>
      </c>
      <c r="G68" s="1570">
        <v>1.41</v>
      </c>
      <c r="H68" s="5826"/>
      <c r="I68" s="5827"/>
      <c r="J68" s="5828"/>
      <c r="K68" s="5829"/>
      <c r="L68" s="4554">
        <v>74396.496453900705</v>
      </c>
      <c r="M68" s="5009">
        <v>111262.97872340426</v>
      </c>
      <c r="N68" s="5850">
        <v>120727.60283687942</v>
      </c>
      <c r="O68" s="4554">
        <v>56404.964539007095</v>
      </c>
      <c r="P68" s="5009">
        <v>29167.659574468089</v>
      </c>
      <c r="Q68" s="3357">
        <v>30668.936170212764</v>
      </c>
      <c r="R68" s="3337">
        <v>32170.212765957447</v>
      </c>
      <c r="S68" s="3338">
        <v>16085.106382978724</v>
      </c>
      <c r="T68" s="3339">
        <v>16085.106382978724</v>
      </c>
      <c r="U68" s="3337">
        <v>16085.106382978724</v>
      </c>
      <c r="V68" s="3338">
        <v>16085.106382978724</v>
      </c>
      <c r="W68" s="3339">
        <v>16085.106382978724</v>
      </c>
      <c r="X68" s="2094">
        <f t="shared" si="9"/>
        <v>535224.38297872338</v>
      </c>
      <c r="Y68" s="1637"/>
      <c r="Z68" s="1988"/>
      <c r="AA68" s="1988"/>
      <c r="AB68" s="10" t="str">
        <f>AB66</f>
        <v>Mando</v>
      </c>
      <c r="AC68" s="7" t="s">
        <v>857</v>
      </c>
      <c r="AD68" s="1533"/>
    </row>
    <row r="69" spans="1:30" s="1535" customFormat="1" ht="16.5" customHeight="1">
      <c r="A69" s="7170"/>
      <c r="B69" s="7173"/>
      <c r="C69" s="10"/>
      <c r="D69" s="10"/>
      <c r="E69" s="4051">
        <v>27</v>
      </c>
      <c r="F69" s="1588" t="s">
        <v>873</v>
      </c>
      <c r="G69" s="1552">
        <v>1.74</v>
      </c>
      <c r="H69" s="5830"/>
      <c r="I69" s="5831"/>
      <c r="J69" s="5832"/>
      <c r="K69" s="5803"/>
      <c r="L69" s="4549">
        <v>91965.517241379304</v>
      </c>
      <c r="M69" s="5004">
        <v>78122.758620689638</v>
      </c>
      <c r="N69" s="5502">
        <v>93413.793103448275</v>
      </c>
      <c r="O69" s="4549">
        <v>77009.6091954023</v>
      </c>
      <c r="P69" s="5004">
        <v>84248.275862068971</v>
      </c>
      <c r="Q69" s="3336">
        <v>93792.873563218382</v>
      </c>
      <c r="R69" s="3332">
        <v>81586.206896551725</v>
      </c>
      <c r="S69" s="3333">
        <v>79643.678160919546</v>
      </c>
      <c r="T69" s="3334">
        <v>81586.206896551725</v>
      </c>
      <c r="U69" s="3332">
        <v>79643.678160919546</v>
      </c>
      <c r="V69" s="3333">
        <v>79643.678160919546</v>
      </c>
      <c r="W69" s="3334">
        <v>79643.678160919546</v>
      </c>
      <c r="X69" s="2085">
        <f t="shared" si="9"/>
        <v>1000299.9540229887</v>
      </c>
      <c r="Y69" s="1637"/>
      <c r="Z69" s="1988"/>
      <c r="AA69" s="1988"/>
      <c r="AB69" s="10" t="str">
        <f t="shared" si="23"/>
        <v>Mando</v>
      </c>
      <c r="AC69" s="10" t="str">
        <f t="shared" ref="AC69:AC72" si="26">AC68</f>
        <v>Motor CVR</v>
      </c>
      <c r="AD69" s="1533"/>
    </row>
    <row r="70" spans="1:30" s="1535" customFormat="1" ht="16.5" customHeight="1">
      <c r="A70" s="7170"/>
      <c r="B70" s="7173"/>
      <c r="C70" s="10"/>
      <c r="D70" s="8"/>
      <c r="E70" s="4051">
        <v>28</v>
      </c>
      <c r="F70" s="1623" t="s">
        <v>1224</v>
      </c>
      <c r="G70" s="1552">
        <v>2.97</v>
      </c>
      <c r="H70" s="3217"/>
      <c r="I70" s="3230"/>
      <c r="J70" s="3223"/>
      <c r="K70" s="3194"/>
      <c r="L70" s="4549">
        <v>0</v>
      </c>
      <c r="M70" s="5004">
        <v>0</v>
      </c>
      <c r="N70" s="5502">
        <v>0</v>
      </c>
      <c r="O70" s="4549">
        <v>0</v>
      </c>
      <c r="P70" s="5004">
        <v>0</v>
      </c>
      <c r="Q70" s="3336">
        <v>0</v>
      </c>
      <c r="R70" s="3332">
        <v>0</v>
      </c>
      <c r="S70" s="3333">
        <v>0</v>
      </c>
      <c r="T70" s="3334">
        <v>0</v>
      </c>
      <c r="U70" s="3332">
        <v>0</v>
      </c>
      <c r="V70" s="3333">
        <v>0</v>
      </c>
      <c r="W70" s="3334">
        <v>0</v>
      </c>
      <c r="X70" s="2085">
        <f t="shared" si="9"/>
        <v>0</v>
      </c>
      <c r="Y70" s="1637"/>
      <c r="Z70" s="1988"/>
      <c r="AA70" s="1988"/>
      <c r="AB70" s="10" t="str">
        <f t="shared" si="23"/>
        <v>Mando</v>
      </c>
      <c r="AC70" s="8" t="str">
        <f t="shared" si="26"/>
        <v>Motor CVR</v>
      </c>
      <c r="AD70" s="1533"/>
    </row>
    <row r="71" spans="1:30" s="1535" customFormat="1" ht="16.5" customHeight="1">
      <c r="A71" s="7170"/>
      <c r="B71" s="7173"/>
      <c r="C71" s="10"/>
      <c r="D71" s="8"/>
      <c r="E71" s="4051">
        <v>29</v>
      </c>
      <c r="F71" s="1623" t="s">
        <v>1225</v>
      </c>
      <c r="G71" s="1552">
        <v>2.86</v>
      </c>
      <c r="H71" s="3217"/>
      <c r="I71" s="3230"/>
      <c r="J71" s="3223"/>
      <c r="K71" s="3194"/>
      <c r="L71" s="4549">
        <v>0</v>
      </c>
      <c r="M71" s="5004">
        <v>0</v>
      </c>
      <c r="N71" s="5502">
        <v>0</v>
      </c>
      <c r="O71" s="4549">
        <v>0</v>
      </c>
      <c r="P71" s="5004">
        <v>0</v>
      </c>
      <c r="Q71" s="3336">
        <v>0</v>
      </c>
      <c r="R71" s="3332">
        <v>0</v>
      </c>
      <c r="S71" s="3333">
        <v>0</v>
      </c>
      <c r="T71" s="3334">
        <v>0</v>
      </c>
      <c r="U71" s="3332">
        <v>0</v>
      </c>
      <c r="V71" s="3333"/>
      <c r="W71" s="3334">
        <v>3333</v>
      </c>
      <c r="X71" s="2085">
        <f t="shared" si="9"/>
        <v>3333</v>
      </c>
      <c r="Y71" s="1637"/>
      <c r="Z71" s="1988"/>
      <c r="AA71" s="1988"/>
      <c r="AB71" s="10" t="str">
        <f t="shared" si="23"/>
        <v>Mando</v>
      </c>
      <c r="AC71" s="8" t="str">
        <f t="shared" si="26"/>
        <v>Motor CVR</v>
      </c>
      <c r="AD71" s="1533"/>
    </row>
    <row r="72" spans="1:30" s="1535" customFormat="1" ht="16.5" customHeight="1">
      <c r="A72" s="7170"/>
      <c r="B72" s="7173"/>
      <c r="C72" s="10"/>
      <c r="D72" s="8"/>
      <c r="E72" s="4051">
        <v>30</v>
      </c>
      <c r="F72" s="1623" t="s">
        <v>1226</v>
      </c>
      <c r="G72" s="1552">
        <v>2.69</v>
      </c>
      <c r="H72" s="3217"/>
      <c r="I72" s="3230"/>
      <c r="J72" s="3223"/>
      <c r="K72" s="3194"/>
      <c r="L72" s="4549">
        <v>0</v>
      </c>
      <c r="M72" s="5004">
        <v>0</v>
      </c>
      <c r="N72" s="5502">
        <v>0</v>
      </c>
      <c r="O72" s="4549">
        <v>3862.0817843866171</v>
      </c>
      <c r="P72" s="5004"/>
      <c r="Q72" s="3336">
        <v>2351.3011152416352</v>
      </c>
      <c r="R72" s="3332">
        <v>2821.5613382899624</v>
      </c>
      <c r="S72" s="3333">
        <v>1881.0408921933085</v>
      </c>
      <c r="T72" s="3334">
        <v>1881.0408921933085</v>
      </c>
      <c r="U72" s="3332">
        <v>1692.9368029739778</v>
      </c>
      <c r="V72" s="3333">
        <v>1128.624535315985</v>
      </c>
      <c r="W72" s="3334">
        <v>0</v>
      </c>
      <c r="X72" s="2085">
        <f t="shared" si="9"/>
        <v>15618.587360594795</v>
      </c>
      <c r="Y72" s="1637"/>
      <c r="Z72" s="1988"/>
      <c r="AA72" s="1988"/>
      <c r="AB72" s="10" t="str">
        <f t="shared" si="23"/>
        <v>Mando</v>
      </c>
      <c r="AC72" s="8" t="str">
        <f t="shared" si="26"/>
        <v>Motor CVR</v>
      </c>
      <c r="AD72" s="1533"/>
    </row>
    <row r="73" spans="1:30" s="1535" customFormat="1" ht="16.5" hidden="1" customHeight="1">
      <c r="A73" s="7170"/>
      <c r="B73" s="7173"/>
      <c r="C73" s="10"/>
      <c r="D73" s="8"/>
      <c r="E73" s="4051"/>
      <c r="F73" s="6299" t="s">
        <v>1850</v>
      </c>
      <c r="G73" s="6300">
        <v>2.63</v>
      </c>
      <c r="H73" s="3217"/>
      <c r="I73" s="3230"/>
      <c r="J73" s="3223"/>
      <c r="K73" s="3194"/>
      <c r="L73" s="4549"/>
      <c r="M73" s="5004"/>
      <c r="N73" s="5502"/>
      <c r="O73" s="4549"/>
      <c r="P73" s="5004"/>
      <c r="Q73" s="3336"/>
      <c r="R73" s="3332"/>
      <c r="S73" s="3333"/>
      <c r="T73" s="3334"/>
      <c r="U73" s="3332"/>
      <c r="V73" s="3333"/>
      <c r="W73" s="3334"/>
      <c r="X73" s="2085">
        <f t="shared" si="9"/>
        <v>0</v>
      </c>
      <c r="Y73" s="1637"/>
      <c r="Z73" s="1988"/>
      <c r="AA73" s="1988"/>
      <c r="AB73" s="10"/>
      <c r="AC73" s="8"/>
      <c r="AD73" s="1533"/>
    </row>
    <row r="74" spans="1:30" s="1535" customFormat="1" ht="16.5" customHeight="1">
      <c r="A74" s="7170"/>
      <c r="B74" s="7173"/>
      <c r="C74" s="10"/>
      <c r="D74" s="8"/>
      <c r="E74" s="4051">
        <v>31</v>
      </c>
      <c r="F74" s="1623" t="s">
        <v>1227</v>
      </c>
      <c r="G74" s="1552">
        <v>2.86</v>
      </c>
      <c r="H74" s="3217"/>
      <c r="I74" s="3230"/>
      <c r="J74" s="3223"/>
      <c r="K74" s="3194"/>
      <c r="L74" s="4549">
        <v>0</v>
      </c>
      <c r="M74" s="5004">
        <v>0</v>
      </c>
      <c r="N74" s="5502">
        <v>0</v>
      </c>
      <c r="O74" s="4549">
        <v>269.05594405594405</v>
      </c>
      <c r="P74" s="5004">
        <v>0</v>
      </c>
      <c r="Q74" s="3336">
        <v>0</v>
      </c>
      <c r="R74" s="3332"/>
      <c r="S74" s="3333">
        <v>0</v>
      </c>
      <c r="T74" s="3334">
        <v>0</v>
      </c>
      <c r="U74" s="3332">
        <v>0</v>
      </c>
      <c r="V74" s="3333">
        <v>0</v>
      </c>
      <c r="W74" s="3334">
        <v>0</v>
      </c>
      <c r="X74" s="2085">
        <f t="shared" si="9"/>
        <v>269.05594405594405</v>
      </c>
      <c r="Y74" s="1637"/>
      <c r="Z74" s="1988"/>
      <c r="AA74" s="1988"/>
      <c r="AB74" s="10" t="str">
        <f>AB72</f>
        <v>Mando</v>
      </c>
      <c r="AC74" s="8" t="str">
        <f>AC72</f>
        <v>Motor CVR</v>
      </c>
      <c r="AD74" s="1533"/>
    </row>
    <row r="75" spans="1:30" s="1535" customFormat="1" ht="16.5" customHeight="1">
      <c r="A75" s="7170"/>
      <c r="B75" s="7173"/>
      <c r="C75" s="10"/>
      <c r="D75" s="10"/>
      <c r="E75" s="7140" t="s">
        <v>1732</v>
      </c>
      <c r="F75" s="7141"/>
      <c r="G75" s="3917"/>
      <c r="H75" s="5749"/>
      <c r="I75" s="5750"/>
      <c r="J75" s="5751"/>
      <c r="K75" s="5752"/>
      <c r="L75" s="5896">
        <f>SUM(L68:L74)</f>
        <v>166362.01369528001</v>
      </c>
      <c r="M75" s="5897">
        <f t="shared" ref="M75:W75" si="27">SUM(M68:M74)</f>
        <v>189385.73734409391</v>
      </c>
      <c r="N75" s="5898">
        <f t="shared" si="27"/>
        <v>214141.3959403277</v>
      </c>
      <c r="O75" s="5896">
        <f t="shared" si="27"/>
        <v>137545.71146285196</v>
      </c>
      <c r="P75" s="5897">
        <f t="shared" si="27"/>
        <v>113415.93543653705</v>
      </c>
      <c r="Q75" s="5901">
        <f t="shared" si="27"/>
        <v>126813.11084867278</v>
      </c>
      <c r="R75" s="5899">
        <f t="shared" si="27"/>
        <v>116577.98100079913</v>
      </c>
      <c r="S75" s="5900">
        <f t="shared" si="27"/>
        <v>97609.825436091589</v>
      </c>
      <c r="T75" s="5902">
        <f t="shared" si="27"/>
        <v>99552.354171723753</v>
      </c>
      <c r="U75" s="5899">
        <f t="shared" si="27"/>
        <v>97421.721346872248</v>
      </c>
      <c r="V75" s="5900">
        <f t="shared" si="27"/>
        <v>96857.409079214267</v>
      </c>
      <c r="W75" s="5902">
        <f t="shared" si="27"/>
        <v>99061.784543898277</v>
      </c>
      <c r="X75" s="1575">
        <f>SUM(X68:X74)</f>
        <v>1554744.980306363</v>
      </c>
      <c r="Y75" s="1637"/>
      <c r="Z75" s="1988"/>
      <c r="AA75" s="1988"/>
      <c r="AB75" s="10"/>
      <c r="AC75" s="8"/>
      <c r="AD75" s="1533"/>
    </row>
    <row r="76" spans="1:30" s="1535" customFormat="1" ht="16.5" customHeight="1">
      <c r="A76" s="7170"/>
      <c r="B76" s="7173"/>
      <c r="C76" s="10"/>
      <c r="D76" s="9" t="s">
        <v>875</v>
      </c>
      <c r="E76" s="4052">
        <v>32</v>
      </c>
      <c r="F76" s="9" t="s">
        <v>876</v>
      </c>
      <c r="G76" s="1570">
        <v>1.152691141048622</v>
      </c>
      <c r="H76" s="3218"/>
      <c r="I76" s="3231"/>
      <c r="J76" s="3224"/>
      <c r="K76" s="3197"/>
      <c r="L76" s="4555">
        <v>95545.942753228592</v>
      </c>
      <c r="M76" s="5010">
        <v>64304.616547321544</v>
      </c>
      <c r="N76" s="5503">
        <v>64304.616547321544</v>
      </c>
      <c r="O76" s="4555">
        <v>96456.924820982313</v>
      </c>
      <c r="P76" s="5010">
        <v>64304.616547321544</v>
      </c>
      <c r="Q76" s="5969">
        <v>92820.651861461156</v>
      </c>
      <c r="R76" s="5967">
        <v>95978.467852624264</v>
      </c>
      <c r="S76" s="5968">
        <v>64304.616547321544</v>
      </c>
      <c r="T76" s="5970">
        <v>64304.616547321544</v>
      </c>
      <c r="U76" s="5967">
        <v>64304.616547321544</v>
      </c>
      <c r="V76" s="5968">
        <v>64304.616547321544</v>
      </c>
      <c r="W76" s="5970">
        <v>64304.616547321544</v>
      </c>
      <c r="X76" s="2094">
        <f t="shared" si="9"/>
        <v>895238.91966686875</v>
      </c>
      <c r="Y76" s="1637"/>
      <c r="Z76" s="1988"/>
      <c r="AA76" s="1988"/>
      <c r="AB76" s="6" t="str">
        <f>AB74</f>
        <v>Mando</v>
      </c>
      <c r="AC76" s="1590" t="s">
        <v>875</v>
      </c>
      <c r="AD76" s="1533"/>
    </row>
    <row r="77" spans="1:30" s="1535" customFormat="1" ht="16.5" customHeight="1">
      <c r="A77" s="7170"/>
      <c r="B77" s="7173"/>
      <c r="C77" s="6"/>
      <c r="D77" s="1596"/>
      <c r="E77" s="7157" t="s">
        <v>1722</v>
      </c>
      <c r="F77" s="7158"/>
      <c r="G77" s="5814"/>
      <c r="H77" s="5815"/>
      <c r="I77" s="5816"/>
      <c r="J77" s="5817"/>
      <c r="K77" s="5818"/>
      <c r="L77" s="5930">
        <f>SUM(L76)</f>
        <v>95545.942753228592</v>
      </c>
      <c r="M77" s="5931">
        <f t="shared" ref="M77:W77" si="28">SUM(M76)</f>
        <v>64304.616547321544</v>
      </c>
      <c r="N77" s="5932">
        <f t="shared" si="28"/>
        <v>64304.616547321544</v>
      </c>
      <c r="O77" s="5930">
        <f t="shared" si="28"/>
        <v>96456.924820982313</v>
      </c>
      <c r="P77" s="5931">
        <f t="shared" si="28"/>
        <v>64304.616547321544</v>
      </c>
      <c r="Q77" s="5935">
        <f t="shared" si="28"/>
        <v>92820.651861461156</v>
      </c>
      <c r="R77" s="5933">
        <f t="shared" si="28"/>
        <v>95978.467852624264</v>
      </c>
      <c r="S77" s="5934">
        <f t="shared" si="28"/>
        <v>64304.616547321544</v>
      </c>
      <c r="T77" s="5936">
        <f t="shared" si="28"/>
        <v>64304.616547321544</v>
      </c>
      <c r="U77" s="5933">
        <f t="shared" si="28"/>
        <v>64304.616547321544</v>
      </c>
      <c r="V77" s="5934">
        <f t="shared" si="28"/>
        <v>64304.616547321544</v>
      </c>
      <c r="W77" s="5936">
        <f t="shared" si="28"/>
        <v>64304.616547321544</v>
      </c>
      <c r="X77" s="3341">
        <f>SUM(L77:W77)</f>
        <v>895238.91966686875</v>
      </c>
      <c r="Y77" s="1637"/>
      <c r="Z77" s="1988"/>
      <c r="AA77" s="1988"/>
      <c r="AB77" s="10"/>
      <c r="AC77" s="8"/>
      <c r="AD77" s="1533"/>
    </row>
    <row r="78" spans="1:30" s="1535" customFormat="1" ht="16.5" customHeight="1">
      <c r="A78" s="7170"/>
      <c r="B78" s="7173"/>
      <c r="C78" s="5747"/>
      <c r="D78" s="7146" t="s">
        <v>1717</v>
      </c>
      <c r="E78" s="7146"/>
      <c r="F78" s="7146"/>
      <c r="G78" s="7147"/>
      <c r="H78" s="5759"/>
      <c r="I78" s="5760"/>
      <c r="J78" s="5761"/>
      <c r="K78" s="5762"/>
      <c r="L78" s="5937">
        <f>SUM(L75+L67+L77)</f>
        <v>339603.4595780602</v>
      </c>
      <c r="M78" s="5938">
        <f t="shared" ref="M78:W78" si="29">SUM(M75+M67+M77)</f>
        <v>342634.0060191169</v>
      </c>
      <c r="N78" s="5939">
        <f t="shared" si="29"/>
        <v>376945.99374970491</v>
      </c>
      <c r="O78" s="5937">
        <f t="shared" si="29"/>
        <v>326970.93252181145</v>
      </c>
      <c r="P78" s="5938">
        <f t="shared" si="29"/>
        <v>226442.97303649018</v>
      </c>
      <c r="Q78" s="5942">
        <f t="shared" si="29"/>
        <v>270197.76271013392</v>
      </c>
      <c r="R78" s="5940">
        <f t="shared" si="29"/>
        <v>263056.44885342341</v>
      </c>
      <c r="S78" s="5941">
        <f t="shared" si="29"/>
        <v>210414.44198341313</v>
      </c>
      <c r="T78" s="5943">
        <f t="shared" si="29"/>
        <v>267356.97071904532</v>
      </c>
      <c r="U78" s="5940">
        <f t="shared" si="29"/>
        <v>259276.3378941938</v>
      </c>
      <c r="V78" s="5941">
        <f t="shared" si="29"/>
        <v>245362.02562653582</v>
      </c>
      <c r="W78" s="5943">
        <f t="shared" si="29"/>
        <v>247566.40109121983</v>
      </c>
      <c r="X78" s="5349">
        <f>SUM(X77+X75+X67)</f>
        <v>3375827.7537831492</v>
      </c>
      <c r="Y78" s="1546" t="b">
        <f>X78=SUM(L78:W78)</f>
        <v>1</v>
      </c>
      <c r="Z78" s="1988"/>
      <c r="AA78" s="1988"/>
      <c r="AB78" s="10"/>
      <c r="AC78" s="8"/>
      <c r="AD78" s="1533"/>
    </row>
    <row r="79" spans="1:30" s="1535" customFormat="1" ht="16.5" customHeight="1">
      <c r="A79" s="7170"/>
      <c r="B79" s="7173"/>
      <c r="C79" s="10" t="s">
        <v>400</v>
      </c>
      <c r="D79" s="1588" t="s">
        <v>848</v>
      </c>
      <c r="E79" s="4051">
        <v>33</v>
      </c>
      <c r="F79" s="10" t="s">
        <v>877</v>
      </c>
      <c r="G79" s="1552">
        <v>1.2501192028932644</v>
      </c>
      <c r="H79" s="3217"/>
      <c r="I79" s="3230"/>
      <c r="J79" s="3223"/>
      <c r="K79" s="3194"/>
      <c r="L79" s="4549">
        <v>51756.897751324432</v>
      </c>
      <c r="M79" s="5004">
        <v>51756.897751324432</v>
      </c>
      <c r="N79" s="5496">
        <v>53673.819890262377</v>
      </c>
      <c r="O79" s="4549">
        <v>71765.515033711054</v>
      </c>
      <c r="P79" s="5004">
        <v>122392.07606895364</v>
      </c>
      <c r="Q79" s="3336">
        <v>59715.488727191085</v>
      </c>
      <c r="R79" s="3332">
        <v>46148.927539944423</v>
      </c>
      <c r="S79" s="3333">
        <v>46148.927539944423</v>
      </c>
      <c r="T79" s="3334">
        <v>46148.927539944423</v>
      </c>
      <c r="U79" s="3332">
        <v>46148.927539944423</v>
      </c>
      <c r="V79" s="3333">
        <v>46148.927539944423</v>
      </c>
      <c r="W79" s="3334">
        <v>46148.927539944423</v>
      </c>
      <c r="X79" s="2085">
        <f t="shared" si="9"/>
        <v>687954.26046243357</v>
      </c>
      <c r="Y79" s="1637"/>
      <c r="Z79" s="1988"/>
      <c r="AA79" s="1988"/>
      <c r="AB79" s="1582" t="s">
        <v>400</v>
      </c>
      <c r="AC79" s="1583" t="s">
        <v>848</v>
      </c>
      <c r="AD79" s="1533"/>
    </row>
    <row r="80" spans="1:30" s="1535" customFormat="1" ht="16.5" customHeight="1">
      <c r="A80" s="7170"/>
      <c r="B80" s="7173"/>
      <c r="C80" s="10"/>
      <c r="D80" s="10"/>
      <c r="E80" s="4051">
        <v>34</v>
      </c>
      <c r="F80" s="10" t="s">
        <v>878</v>
      </c>
      <c r="G80" s="1552">
        <v>1.352053534664396</v>
      </c>
      <c r="H80" s="3217"/>
      <c r="I80" s="3230"/>
      <c r="J80" s="3223"/>
      <c r="K80" s="3194"/>
      <c r="L80" s="4549">
        <v>49889.091979865865</v>
      </c>
      <c r="M80" s="5004">
        <v>43791.058352895387</v>
      </c>
      <c r="N80" s="5496">
        <v>55383.359901195705</v>
      </c>
      <c r="O80" s="4549">
        <v>7847.3758168060313</v>
      </c>
      <c r="P80" s="5004">
        <v>78172.699962187049</v>
      </c>
      <c r="Q80" s="3336">
        <v>31246.493525697144</v>
      </c>
      <c r="R80" s="3332">
        <v>52028.95622429614</v>
      </c>
      <c r="S80" s="3333">
        <v>36405.709461447572</v>
      </c>
      <c r="T80" s="3334">
        <v>35208.771364353473</v>
      </c>
      <c r="U80" s="3332">
        <v>35208.771364353473</v>
      </c>
      <c r="V80" s="3333">
        <v>35208.771364353473</v>
      </c>
      <c r="W80" s="3334">
        <v>36405.709461447572</v>
      </c>
      <c r="X80" s="2085">
        <f t="shared" si="9"/>
        <v>496796.76877889887</v>
      </c>
      <c r="Y80" s="1637"/>
      <c r="Z80" s="1988"/>
      <c r="AA80" s="1988"/>
      <c r="AB80" s="10" t="str">
        <f t="shared" ref="AB80:AB92" si="30">AB79</f>
        <v>ZF TRW</v>
      </c>
      <c r="AC80" s="10" t="str">
        <f t="shared" ref="AC80:AC81" si="31">AC79</f>
        <v>Motor HSG</v>
      </c>
      <c r="AD80" s="1533"/>
    </row>
    <row r="81" spans="1:30" s="1535" customFormat="1" ht="16.5" customHeight="1">
      <c r="A81" s="7170"/>
      <c r="B81" s="7173"/>
      <c r="C81" s="10"/>
      <c r="D81" s="10"/>
      <c r="E81" s="4051">
        <v>35</v>
      </c>
      <c r="F81" s="10" t="s">
        <v>879</v>
      </c>
      <c r="G81" s="1552">
        <v>1.795471451324786</v>
      </c>
      <c r="H81" s="3217"/>
      <c r="I81" s="3230"/>
      <c r="J81" s="3223"/>
      <c r="K81" s="3194"/>
      <c r="L81" s="4549">
        <v>116257.04893332788</v>
      </c>
      <c r="M81" s="5004">
        <v>0</v>
      </c>
      <c r="N81" s="5496">
        <v>151469.97318800021</v>
      </c>
      <c r="O81" s="4549">
        <v>18369.932001876317</v>
      </c>
      <c r="P81" s="5004">
        <v>36377.914839652527</v>
      </c>
      <c r="Q81" s="3336">
        <v>46812.411445163067</v>
      </c>
      <c r="R81" s="3332">
        <v>99935.192221922378</v>
      </c>
      <c r="S81" s="3333">
        <v>79135.151853424584</v>
      </c>
      <c r="T81" s="3334">
        <v>118105.73088895435</v>
      </c>
      <c r="U81" s="3332">
        <v>118105.73088895435</v>
      </c>
      <c r="V81" s="3333">
        <v>111554.83433665993</v>
      </c>
      <c r="W81" s="3334">
        <v>116953.40706887511</v>
      </c>
      <c r="X81" s="2085">
        <f t="shared" si="9"/>
        <v>1013077.3276668107</v>
      </c>
      <c r="Y81" s="1637"/>
      <c r="Z81" s="1988"/>
      <c r="AA81" s="1988"/>
      <c r="AB81" s="10" t="str">
        <f t="shared" si="30"/>
        <v>ZF TRW</v>
      </c>
      <c r="AC81" s="10" t="str">
        <f t="shared" si="31"/>
        <v>Motor HSG</v>
      </c>
      <c r="AD81" s="1533"/>
    </row>
    <row r="82" spans="1:30" s="1535" customFormat="1" ht="16.5" customHeight="1">
      <c r="A82" s="7170"/>
      <c r="B82" s="7173"/>
      <c r="C82" s="10"/>
      <c r="D82" s="10"/>
      <c r="E82" s="7159" t="s">
        <v>1736</v>
      </c>
      <c r="F82" s="7160"/>
      <c r="G82" s="7161"/>
      <c r="H82" s="3712"/>
      <c r="I82" s="3713"/>
      <c r="J82" s="3714"/>
      <c r="K82" s="3715"/>
      <c r="L82" s="5876">
        <f>SUM(L79:L81)</f>
        <v>217903.03866451816</v>
      </c>
      <c r="M82" s="5877">
        <f t="shared" ref="M82:X82" si="32">SUM(M79:M81)</f>
        <v>95547.956104219818</v>
      </c>
      <c r="N82" s="5878">
        <f t="shared" si="32"/>
        <v>260527.15297945827</v>
      </c>
      <c r="O82" s="5876">
        <f t="shared" si="32"/>
        <v>97982.822852393409</v>
      </c>
      <c r="P82" s="5877">
        <f t="shared" si="32"/>
        <v>236942.69087079325</v>
      </c>
      <c r="Q82" s="5882">
        <f t="shared" si="32"/>
        <v>137774.39369805131</v>
      </c>
      <c r="R82" s="5944">
        <f t="shared" si="32"/>
        <v>198113.07598616293</v>
      </c>
      <c r="S82" s="5880">
        <f t="shared" si="32"/>
        <v>161689.78885481658</v>
      </c>
      <c r="T82" s="5881">
        <f t="shared" si="32"/>
        <v>199463.42979325226</v>
      </c>
      <c r="U82" s="5944">
        <f t="shared" si="32"/>
        <v>199463.42979325226</v>
      </c>
      <c r="V82" s="5880">
        <f t="shared" si="32"/>
        <v>192912.53324095783</v>
      </c>
      <c r="W82" s="5881">
        <f t="shared" si="32"/>
        <v>199508.04407026712</v>
      </c>
      <c r="X82" s="3593">
        <f t="shared" si="32"/>
        <v>2197828.356908143</v>
      </c>
      <c r="Y82" s="1637"/>
      <c r="Z82" s="1988"/>
      <c r="AA82" s="1988"/>
      <c r="AB82" s="10"/>
      <c r="AC82" s="10"/>
      <c r="AD82" s="1533"/>
    </row>
    <row r="83" spans="1:30" s="1535" customFormat="1" ht="16.5" customHeight="1">
      <c r="A83" s="7170"/>
      <c r="B83" s="7173"/>
      <c r="C83" s="10"/>
      <c r="D83" s="7" t="s">
        <v>857</v>
      </c>
      <c r="E83" s="4052">
        <v>36</v>
      </c>
      <c r="F83" s="7" t="s">
        <v>399</v>
      </c>
      <c r="G83" s="1570">
        <v>1.1179262129007248</v>
      </c>
      <c r="H83" s="3218"/>
      <c r="I83" s="3231"/>
      <c r="J83" s="3224"/>
      <c r="K83" s="3197"/>
      <c r="L83" s="4554">
        <v>51791.726116169986</v>
      </c>
      <c r="M83" s="5009">
        <v>51791.726116169986</v>
      </c>
      <c r="N83" s="5501">
        <v>51791.726116169986</v>
      </c>
      <c r="O83" s="4554">
        <v>45660.674969461004</v>
      </c>
      <c r="P83" s="5009">
        <v>97757.020452012846</v>
      </c>
      <c r="Q83" s="3357">
        <v>59142.997373467777</v>
      </c>
      <c r="R83" s="3337">
        <v>45706.498572797886</v>
      </c>
      <c r="S83" s="3338">
        <v>45706.498572797886</v>
      </c>
      <c r="T83" s="3339">
        <v>45706.498572797886</v>
      </c>
      <c r="U83" s="3337">
        <v>45706.498572797886</v>
      </c>
      <c r="V83" s="3338">
        <v>45706.498572797886</v>
      </c>
      <c r="W83" s="3339">
        <v>45706.498572797886</v>
      </c>
      <c r="X83" s="2094">
        <f t="shared" si="9"/>
        <v>632174.86258023873</v>
      </c>
      <c r="Y83" s="1637"/>
      <c r="Z83" s="1988"/>
      <c r="AA83" s="1988"/>
      <c r="AB83" s="10" t="str">
        <f>AB81</f>
        <v>ZF TRW</v>
      </c>
      <c r="AC83" s="7" t="s">
        <v>857</v>
      </c>
      <c r="AD83" s="1533"/>
    </row>
    <row r="84" spans="1:30" s="1569" customFormat="1" ht="16.5" customHeight="1">
      <c r="A84" s="7170"/>
      <c r="B84" s="7173"/>
      <c r="C84" s="10"/>
      <c r="D84" s="10"/>
      <c r="E84" s="4051">
        <v>37</v>
      </c>
      <c r="F84" s="10" t="s">
        <v>880</v>
      </c>
      <c r="G84" s="1552">
        <v>1.1947815537298108</v>
      </c>
      <c r="H84" s="3217"/>
      <c r="I84" s="3230"/>
      <c r="J84" s="3223"/>
      <c r="K84" s="3194"/>
      <c r="L84" s="4549">
        <v>48660.199912421063</v>
      </c>
      <c r="M84" s="5004">
        <v>42775.266460457053</v>
      </c>
      <c r="N84" s="5496">
        <v>54544.299118575633</v>
      </c>
      <c r="O84" s="4549">
        <v>7881.2603150697769</v>
      </c>
      <c r="P84" s="5004">
        <v>76421.187483191214</v>
      </c>
      <c r="Q84" s="3336">
        <v>55257.879614137702</v>
      </c>
      <c r="R84" s="3332">
        <v>60484.846733180115</v>
      </c>
      <c r="S84" s="3333">
        <v>60484.846733180115</v>
      </c>
      <c r="T84" s="3334">
        <v>59272.190361562265</v>
      </c>
      <c r="U84" s="3332">
        <v>59272.190361562265</v>
      </c>
      <c r="V84" s="3333">
        <v>59272.190361562265</v>
      </c>
      <c r="W84" s="3334">
        <v>60484.846733180115</v>
      </c>
      <c r="X84" s="2085">
        <f t="shared" si="9"/>
        <v>644811.20418807957</v>
      </c>
      <c r="Y84" s="1637"/>
      <c r="Z84" s="3911"/>
      <c r="AA84" s="3911"/>
      <c r="AB84" s="10" t="str">
        <f t="shared" si="30"/>
        <v>ZF TRW</v>
      </c>
      <c r="AC84" s="10" t="str">
        <f t="shared" ref="AC84:AC85" si="33">AC83</f>
        <v>Motor CVR</v>
      </c>
      <c r="AD84" s="1533"/>
    </row>
    <row r="85" spans="1:30" s="1569" customFormat="1" ht="16.5" customHeight="1">
      <c r="A85" s="7170"/>
      <c r="B85" s="7173"/>
      <c r="C85" s="8"/>
      <c r="D85" s="10"/>
      <c r="E85" s="4051">
        <v>38</v>
      </c>
      <c r="F85" s="10" t="s">
        <v>881</v>
      </c>
      <c r="G85" s="1552">
        <v>1.2052490937353404</v>
      </c>
      <c r="H85" s="3217"/>
      <c r="I85" s="3230"/>
      <c r="J85" s="3223"/>
      <c r="K85" s="3194"/>
      <c r="L85" s="4549">
        <v>115318.31250389574</v>
      </c>
      <c r="M85" s="5004">
        <v>0</v>
      </c>
      <c r="N85" s="5496">
        <v>149757.17074223718</v>
      </c>
      <c r="O85" s="4549">
        <v>19667.781723138338</v>
      </c>
      <c r="P85" s="5004">
        <v>36296.196335107394</v>
      </c>
      <c r="Q85" s="3336">
        <v>47626.732616253248</v>
      </c>
      <c r="R85" s="3332">
        <v>100200.33457396099</v>
      </c>
      <c r="S85" s="3333">
        <v>79753.899571793852</v>
      </c>
      <c r="T85" s="3334">
        <v>117588.77975878307</v>
      </c>
      <c r="U85" s="3332">
        <v>117588.77975878307</v>
      </c>
      <c r="V85" s="3333">
        <v>111149.24992184738</v>
      </c>
      <c r="W85" s="3334">
        <v>116929.23593937047</v>
      </c>
      <c r="X85" s="2085">
        <f t="shared" si="9"/>
        <v>1011876.4734451707</v>
      </c>
      <c r="Y85" s="1637"/>
      <c r="Z85" s="3911"/>
      <c r="AA85" s="3911"/>
      <c r="AB85" s="8" t="str">
        <f t="shared" si="30"/>
        <v>ZF TRW</v>
      </c>
      <c r="AC85" s="1576" t="str">
        <f t="shared" si="33"/>
        <v>Motor CVR</v>
      </c>
      <c r="AD85" s="1533"/>
    </row>
    <row r="86" spans="1:30" s="1569" customFormat="1" ht="16.5" customHeight="1">
      <c r="A86" s="7170"/>
      <c r="B86" s="7173"/>
      <c r="C86" s="8"/>
      <c r="D86" s="10"/>
      <c r="E86" s="7159" t="s">
        <v>1737</v>
      </c>
      <c r="F86" s="7160"/>
      <c r="G86" s="7161"/>
      <c r="H86" s="3712"/>
      <c r="I86" s="3713"/>
      <c r="J86" s="3714"/>
      <c r="K86" s="3715"/>
      <c r="L86" s="5876">
        <f>SUM(L83:L85)</f>
        <v>215770.23853248678</v>
      </c>
      <c r="M86" s="5877">
        <f t="shared" ref="M86:X86" si="34">SUM(M83:M85)</f>
        <v>94566.992576627032</v>
      </c>
      <c r="N86" s="5878">
        <f t="shared" si="34"/>
        <v>256093.1959769828</v>
      </c>
      <c r="O86" s="5876">
        <f t="shared" si="34"/>
        <v>73209.717007669125</v>
      </c>
      <c r="P86" s="5877">
        <f t="shared" si="34"/>
        <v>210474.40427031147</v>
      </c>
      <c r="Q86" s="5882">
        <f t="shared" si="34"/>
        <v>162027.60960385873</v>
      </c>
      <c r="R86" s="5944">
        <f t="shared" si="34"/>
        <v>206391.67987993901</v>
      </c>
      <c r="S86" s="5880">
        <f t="shared" si="34"/>
        <v>185945.24487777185</v>
      </c>
      <c r="T86" s="5881">
        <f t="shared" si="34"/>
        <v>222567.46869314322</v>
      </c>
      <c r="U86" s="5944">
        <f t="shared" si="34"/>
        <v>222567.46869314322</v>
      </c>
      <c r="V86" s="5880">
        <f t="shared" si="34"/>
        <v>216127.93885620753</v>
      </c>
      <c r="W86" s="5881">
        <f t="shared" si="34"/>
        <v>223120.58124534847</v>
      </c>
      <c r="X86" s="3593">
        <f t="shared" si="34"/>
        <v>2288862.540213489</v>
      </c>
      <c r="Y86" s="1637"/>
      <c r="Z86" s="3911"/>
      <c r="AA86" s="3911"/>
      <c r="AB86" s="8"/>
      <c r="AC86" s="10"/>
      <c r="AD86" s="1533"/>
    </row>
    <row r="87" spans="1:30" s="1569" customFormat="1" ht="16.5" customHeight="1">
      <c r="A87" s="7170"/>
      <c r="B87" s="7173"/>
      <c r="C87" s="8"/>
      <c r="D87" s="7" t="s">
        <v>868</v>
      </c>
      <c r="E87" s="4052">
        <v>39</v>
      </c>
      <c r="F87" s="1589" t="s">
        <v>882</v>
      </c>
      <c r="G87" s="1570">
        <v>0.57168920848713323</v>
      </c>
      <c r="H87" s="3218"/>
      <c r="I87" s="3231"/>
      <c r="J87" s="3224"/>
      <c r="K87" s="3197"/>
      <c r="L87" s="4554">
        <v>146877.5940967027</v>
      </c>
      <c r="M87" s="5009">
        <v>170837.5503636222</v>
      </c>
      <c r="N87" s="5501">
        <v>178300.27693348672</v>
      </c>
      <c r="O87" s="4554">
        <v>143647.24239655069</v>
      </c>
      <c r="P87" s="5009">
        <v>271008.99568656663</v>
      </c>
      <c r="Q87" s="3357">
        <v>141587.97174697608</v>
      </c>
      <c r="R87" s="3337">
        <v>221410.19000526817</v>
      </c>
      <c r="S87" s="3338">
        <v>226455.20094775557</v>
      </c>
      <c r="T87" s="3339">
        <v>223399.15463706604</v>
      </c>
      <c r="U87" s="3337">
        <v>218354.14369457864</v>
      </c>
      <c r="V87" s="3338">
        <v>210226.36095338306</v>
      </c>
      <c r="W87" s="3339">
        <v>210226.36095338306</v>
      </c>
      <c r="X87" s="2094">
        <f t="shared" si="9"/>
        <v>2362331.0424153395</v>
      </c>
      <c r="Y87" s="1637"/>
      <c r="Z87" s="3911"/>
      <c r="AA87" s="3911"/>
      <c r="AB87" s="8" t="str">
        <f>AB85</f>
        <v>ZF TRW</v>
      </c>
      <c r="AC87" s="10" t="s">
        <v>868</v>
      </c>
      <c r="AD87" s="1533"/>
    </row>
    <row r="88" spans="1:30" s="1569" customFormat="1" ht="16.5" customHeight="1">
      <c r="A88" s="7170"/>
      <c r="B88" s="7173"/>
      <c r="C88" s="8"/>
      <c r="D88" s="10" t="s">
        <v>875</v>
      </c>
      <c r="E88" s="4051">
        <v>40</v>
      </c>
      <c r="F88" s="10" t="s">
        <v>883</v>
      </c>
      <c r="G88" s="1552">
        <v>3.6863181359492403</v>
      </c>
      <c r="H88" s="3217"/>
      <c r="I88" s="3230"/>
      <c r="J88" s="3223"/>
      <c r="K88" s="3194"/>
      <c r="L88" s="4549">
        <v>10396.982393476275</v>
      </c>
      <c r="M88" s="5004">
        <v>9819.3722605053717</v>
      </c>
      <c r="N88" s="5496">
        <v>10974.592526447181</v>
      </c>
      <c r="O88" s="4549">
        <v>15924.589939890213</v>
      </c>
      <c r="P88" s="5004">
        <v>14155.191057680191</v>
      </c>
      <c r="Q88" s="3336">
        <v>17104.189194696897</v>
      </c>
      <c r="R88" s="3332">
        <v>14302.640964531025</v>
      </c>
      <c r="S88" s="3333">
        <v>14302.640964531025</v>
      </c>
      <c r="T88" s="3334">
        <v>14302.640964531025</v>
      </c>
      <c r="U88" s="3332">
        <v>14302.640964531025</v>
      </c>
      <c r="V88" s="3333">
        <v>14302.640964531025</v>
      </c>
      <c r="W88" s="3334">
        <v>14302.640964531025</v>
      </c>
      <c r="X88" s="2085">
        <f t="shared" si="9"/>
        <v>164190.76315988225</v>
      </c>
      <c r="Y88" s="1637"/>
      <c r="Z88" s="3911"/>
      <c r="AA88" s="3911"/>
      <c r="AB88" s="8" t="str">
        <f>AB87</f>
        <v>ZF TRW</v>
      </c>
      <c r="AC88" s="7" t="s">
        <v>875</v>
      </c>
      <c r="AD88" s="1533"/>
    </row>
    <row r="89" spans="1:30" s="1569" customFormat="1" ht="16.5" customHeight="1">
      <c r="A89" s="7170"/>
      <c r="B89" s="7173"/>
      <c r="C89" s="8"/>
      <c r="D89" s="10"/>
      <c r="E89" s="4051">
        <v>41</v>
      </c>
      <c r="F89" s="10" t="s">
        <v>884</v>
      </c>
      <c r="G89" s="1552">
        <v>5.1493137681159418</v>
      </c>
      <c r="H89" s="3217"/>
      <c r="I89" s="3230"/>
      <c r="J89" s="3223"/>
      <c r="K89" s="3194"/>
      <c r="L89" s="4549">
        <v>3898.2830948358715</v>
      </c>
      <c r="M89" s="5004">
        <v>1436.209561255321</v>
      </c>
      <c r="N89" s="5496">
        <v>4308.6286837659636</v>
      </c>
      <c r="O89" s="4549">
        <v>4578.7078673049136</v>
      </c>
      <c r="P89" s="5004">
        <v>6576.7881086986081</v>
      </c>
      <c r="Q89" s="3336">
        <v>5115.2796400989182</v>
      </c>
      <c r="R89" s="3332">
        <v>7307.5423429984539</v>
      </c>
      <c r="S89" s="3333">
        <v>5846.0338743987631</v>
      </c>
      <c r="T89" s="3334">
        <v>5846.0338743987631</v>
      </c>
      <c r="U89" s="3332">
        <v>5846.0338743987631</v>
      </c>
      <c r="V89" s="3333">
        <v>4384.5254057990724</v>
      </c>
      <c r="W89" s="3334">
        <v>4384.5254057990724</v>
      </c>
      <c r="X89" s="2085">
        <f t="shared" si="9"/>
        <v>59528.591733752502</v>
      </c>
      <c r="Y89" s="1637"/>
      <c r="Z89" s="3911"/>
      <c r="AA89" s="3911"/>
      <c r="AB89" s="8" t="str">
        <f t="shared" si="30"/>
        <v>ZF TRW</v>
      </c>
      <c r="AC89" s="10" t="str">
        <f t="shared" ref="AC89:AC92" si="35">AC88</f>
        <v>Heatsink</v>
      </c>
      <c r="AD89" s="1533"/>
    </row>
    <row r="90" spans="1:30" s="1569" customFormat="1" ht="16.5" hidden="1" customHeight="1">
      <c r="A90" s="7170"/>
      <c r="B90" s="7174"/>
      <c r="C90" s="8"/>
      <c r="D90" s="10"/>
      <c r="E90" s="4051"/>
      <c r="F90" s="1598" t="s">
        <v>1228</v>
      </c>
      <c r="G90" s="1552">
        <v>5.25</v>
      </c>
      <c r="H90" s="3217"/>
      <c r="I90" s="3230"/>
      <c r="J90" s="3223"/>
      <c r="K90" s="3194"/>
      <c r="L90" s="4549">
        <v>0</v>
      </c>
      <c r="M90" s="5004">
        <v>0</v>
      </c>
      <c r="N90" s="5502">
        <v>0</v>
      </c>
      <c r="O90" s="4549">
        <v>0</v>
      </c>
      <c r="P90" s="5004">
        <v>0</v>
      </c>
      <c r="Q90" s="3336">
        <v>0</v>
      </c>
      <c r="R90" s="3332">
        <v>0</v>
      </c>
      <c r="S90" s="3333">
        <v>0</v>
      </c>
      <c r="T90" s="3334">
        <v>0</v>
      </c>
      <c r="U90" s="3332">
        <v>0</v>
      </c>
      <c r="V90" s="3333">
        <v>0</v>
      </c>
      <c r="W90" s="3334">
        <v>0</v>
      </c>
      <c r="X90" s="2085">
        <f t="shared" si="9"/>
        <v>0</v>
      </c>
      <c r="Y90" s="1637"/>
      <c r="Z90" s="3911"/>
      <c r="AA90" s="3911"/>
      <c r="AB90" s="8" t="str">
        <f t="shared" si="30"/>
        <v>ZF TRW</v>
      </c>
      <c r="AC90" s="10" t="str">
        <f t="shared" si="35"/>
        <v>Heatsink</v>
      </c>
      <c r="AD90" s="1533"/>
    </row>
    <row r="91" spans="1:30" s="1569" customFormat="1" ht="16.5" hidden="1" customHeight="1">
      <c r="A91" s="7170"/>
      <c r="B91" s="7174"/>
      <c r="C91" s="8"/>
      <c r="D91" s="10"/>
      <c r="E91" s="4051"/>
      <c r="F91" s="1598" t="s">
        <v>1229</v>
      </c>
      <c r="G91" s="1552">
        <v>4.79</v>
      </c>
      <c r="H91" s="3217"/>
      <c r="I91" s="3230"/>
      <c r="J91" s="3223"/>
      <c r="K91" s="3194"/>
      <c r="L91" s="4549">
        <v>0</v>
      </c>
      <c r="M91" s="5004">
        <v>0</v>
      </c>
      <c r="N91" s="5502">
        <v>0</v>
      </c>
      <c r="O91" s="4549">
        <v>0</v>
      </c>
      <c r="P91" s="5004">
        <v>0</v>
      </c>
      <c r="Q91" s="3336">
        <v>0</v>
      </c>
      <c r="R91" s="3332">
        <v>0</v>
      </c>
      <c r="S91" s="3333">
        <v>0</v>
      </c>
      <c r="T91" s="3334">
        <v>0</v>
      </c>
      <c r="U91" s="3332">
        <v>0</v>
      </c>
      <c r="V91" s="3333">
        <v>0</v>
      </c>
      <c r="W91" s="3334">
        <v>0</v>
      </c>
      <c r="X91" s="2085">
        <f t="shared" si="9"/>
        <v>0</v>
      </c>
      <c r="Y91" s="1637"/>
      <c r="Z91" s="3911"/>
      <c r="AA91" s="3911"/>
      <c r="AB91" s="8" t="str">
        <f t="shared" si="30"/>
        <v>ZF TRW</v>
      </c>
      <c r="AC91" s="10" t="str">
        <f t="shared" si="35"/>
        <v>Heatsink</v>
      </c>
      <c r="AD91" s="1533"/>
    </row>
    <row r="92" spans="1:30" s="1569" customFormat="1" ht="16.5" hidden="1" customHeight="1">
      <c r="A92" s="7170"/>
      <c r="B92" s="7174"/>
      <c r="C92" s="8"/>
      <c r="D92" s="10"/>
      <c r="E92" s="4051"/>
      <c r="F92" s="1598" t="s">
        <v>1230</v>
      </c>
      <c r="G92" s="1552">
        <v>5.0199999999999996</v>
      </c>
      <c r="H92" s="3217"/>
      <c r="I92" s="3230"/>
      <c r="J92" s="3223"/>
      <c r="K92" s="3194"/>
      <c r="L92" s="4549">
        <v>0</v>
      </c>
      <c r="M92" s="5004">
        <v>0</v>
      </c>
      <c r="N92" s="5502">
        <v>0</v>
      </c>
      <c r="O92" s="4549">
        <v>0</v>
      </c>
      <c r="P92" s="5004">
        <v>0</v>
      </c>
      <c r="Q92" s="3336">
        <v>0</v>
      </c>
      <c r="R92" s="3332">
        <v>0</v>
      </c>
      <c r="S92" s="3333">
        <v>0</v>
      </c>
      <c r="T92" s="3334">
        <v>0</v>
      </c>
      <c r="U92" s="3332">
        <v>0</v>
      </c>
      <c r="V92" s="3333">
        <v>0</v>
      </c>
      <c r="W92" s="3334">
        <v>0</v>
      </c>
      <c r="X92" s="2085">
        <f t="shared" si="9"/>
        <v>0</v>
      </c>
      <c r="Y92" s="1637"/>
      <c r="Z92" s="3911"/>
      <c r="AA92" s="3911"/>
      <c r="AB92" s="8" t="str">
        <f t="shared" si="30"/>
        <v>ZF TRW</v>
      </c>
      <c r="AC92" s="10" t="str">
        <f t="shared" si="35"/>
        <v>Heatsink</v>
      </c>
      <c r="AD92" s="1533"/>
    </row>
    <row r="93" spans="1:30" s="1569" customFormat="1" ht="16.5" customHeight="1">
      <c r="A93" s="7170"/>
      <c r="B93" s="7174"/>
      <c r="C93" s="8"/>
      <c r="D93" s="1622"/>
      <c r="E93" s="7140" t="s">
        <v>1735</v>
      </c>
      <c r="F93" s="7141"/>
      <c r="G93" s="3917"/>
      <c r="H93" s="5749"/>
      <c r="I93" s="5750"/>
      <c r="J93" s="5751"/>
      <c r="K93" s="5752"/>
      <c r="L93" s="5896">
        <f>SUM(L87:L89)</f>
        <v>161172.85958501484</v>
      </c>
      <c r="M93" s="5897">
        <f t="shared" ref="M93:X93" si="36">SUM(M87:M89)</f>
        <v>182093.13218538288</v>
      </c>
      <c r="N93" s="5898">
        <f t="shared" si="36"/>
        <v>193583.49814369986</v>
      </c>
      <c r="O93" s="5896">
        <f t="shared" si="36"/>
        <v>164150.54020374583</v>
      </c>
      <c r="P93" s="5897">
        <f t="shared" si="36"/>
        <v>291740.97485294542</v>
      </c>
      <c r="Q93" s="5901">
        <f t="shared" si="36"/>
        <v>163807.44058177189</v>
      </c>
      <c r="R93" s="5899">
        <f t="shared" si="36"/>
        <v>243020.37331279766</v>
      </c>
      <c r="S93" s="5900">
        <f t="shared" si="36"/>
        <v>246603.87578668536</v>
      </c>
      <c r="T93" s="5902">
        <f t="shared" si="36"/>
        <v>243547.82947599582</v>
      </c>
      <c r="U93" s="5899">
        <f t="shared" si="36"/>
        <v>238502.81853350843</v>
      </c>
      <c r="V93" s="5900">
        <f t="shared" si="36"/>
        <v>228913.52732371315</v>
      </c>
      <c r="W93" s="5902">
        <f t="shared" si="36"/>
        <v>228913.52732371315</v>
      </c>
      <c r="X93" s="1575">
        <f t="shared" si="36"/>
        <v>2586050.3973089741</v>
      </c>
      <c r="Y93" s="1637"/>
      <c r="Z93" s="3911"/>
      <c r="AA93" s="3911"/>
      <c r="AB93" s="8"/>
      <c r="AC93" s="10"/>
      <c r="AD93" s="1533"/>
    </row>
    <row r="94" spans="1:30" s="1569" customFormat="1" ht="16.5" customHeight="1">
      <c r="A94" s="7170"/>
      <c r="B94" s="7174"/>
      <c r="C94" s="5747"/>
      <c r="D94" s="7146" t="s">
        <v>1718</v>
      </c>
      <c r="E94" s="7146"/>
      <c r="F94" s="7146"/>
      <c r="G94" s="7147"/>
      <c r="H94" s="5755"/>
      <c r="I94" s="5756"/>
      <c r="J94" s="5757"/>
      <c r="K94" s="5758"/>
      <c r="L94" s="5922">
        <f>SUM(L93+L86+L82)</f>
        <v>594846.13678201975</v>
      </c>
      <c r="M94" s="5923">
        <f t="shared" ref="M94:X94" si="37">SUM(M93+M86+M82)</f>
        <v>372208.08086622978</v>
      </c>
      <c r="N94" s="5945">
        <f t="shared" si="37"/>
        <v>710203.84710014099</v>
      </c>
      <c r="O94" s="6051">
        <f t="shared" si="37"/>
        <v>335343.08006380836</v>
      </c>
      <c r="P94" s="5923">
        <f t="shared" si="37"/>
        <v>739158.06999405008</v>
      </c>
      <c r="Q94" s="5927">
        <f t="shared" si="37"/>
        <v>463609.4438836819</v>
      </c>
      <c r="R94" s="5925">
        <f t="shared" si="37"/>
        <v>647525.12917889957</v>
      </c>
      <c r="S94" s="5926">
        <f t="shared" si="37"/>
        <v>594238.90951927379</v>
      </c>
      <c r="T94" s="5928">
        <f t="shared" si="37"/>
        <v>665578.72796239133</v>
      </c>
      <c r="U94" s="5925">
        <f t="shared" si="37"/>
        <v>660533.71701990394</v>
      </c>
      <c r="V94" s="5926">
        <f t="shared" si="37"/>
        <v>637953.99942087848</v>
      </c>
      <c r="W94" s="5928">
        <f t="shared" si="37"/>
        <v>651542.15263932873</v>
      </c>
      <c r="X94" s="5929">
        <f t="shared" si="37"/>
        <v>7072741.2944306061</v>
      </c>
      <c r="Y94" s="1546">
        <f>X94-SUM(L94:W94)</f>
        <v>0</v>
      </c>
      <c r="Z94" s="3911"/>
      <c r="AA94" s="3911"/>
      <c r="AB94" s="8"/>
      <c r="AC94" s="10"/>
      <c r="AD94" s="1533"/>
    </row>
    <row r="95" spans="1:30" s="1569" customFormat="1" ht="16.2" customHeight="1">
      <c r="A95" s="7170"/>
      <c r="B95" s="7174"/>
      <c r="C95" s="8" t="s">
        <v>1262</v>
      </c>
      <c r="D95" s="10"/>
      <c r="E95" s="4051"/>
      <c r="F95" s="1598" t="s">
        <v>1420</v>
      </c>
      <c r="G95" s="5699">
        <v>213.8</v>
      </c>
      <c r="H95" s="3217"/>
      <c r="I95" s="3230"/>
      <c r="J95" s="3223"/>
      <c r="K95" s="3194"/>
      <c r="L95" s="4549">
        <v>0</v>
      </c>
      <c r="M95" s="5004">
        <v>7.2684752104770807</v>
      </c>
      <c r="N95" s="5496">
        <v>0</v>
      </c>
      <c r="O95" s="6052">
        <v>90.503274087932638</v>
      </c>
      <c r="P95" s="5004">
        <v>15</v>
      </c>
      <c r="Q95" s="3336"/>
      <c r="R95" s="3332"/>
      <c r="S95" s="3333">
        <v>77.174929840972865</v>
      </c>
      <c r="T95" s="3334">
        <v>115.7623947614593</v>
      </c>
      <c r="U95" s="3332">
        <v>77.174929840972865</v>
      </c>
      <c r="V95" s="3333">
        <v>77.174929840972865</v>
      </c>
      <c r="W95" s="3334">
        <v>77.174929840972865</v>
      </c>
      <c r="X95" s="2085">
        <f t="shared" si="9"/>
        <v>537.23386342376045</v>
      </c>
      <c r="Y95" s="1637"/>
      <c r="Z95" s="3911"/>
      <c r="AA95" s="3911"/>
      <c r="AB95" s="3506" t="s">
        <v>1262</v>
      </c>
      <c r="AC95" s="3507" t="s">
        <v>1514</v>
      </c>
      <c r="AD95" s="1533"/>
    </row>
    <row r="96" spans="1:30" s="1569" customFormat="1" ht="16.5" customHeight="1">
      <c r="A96" s="7170"/>
      <c r="B96" s="7174"/>
      <c r="C96" s="8"/>
      <c r="D96" s="10"/>
      <c r="E96" s="4051"/>
      <c r="F96" s="1598" t="s">
        <v>1421</v>
      </c>
      <c r="G96" s="1552">
        <v>213.8</v>
      </c>
      <c r="H96" s="3217"/>
      <c r="I96" s="3230"/>
      <c r="J96" s="3223"/>
      <c r="K96" s="3194"/>
      <c r="L96" s="4549">
        <v>0</v>
      </c>
      <c r="M96" s="5004">
        <v>7.7315247895229184</v>
      </c>
      <c r="N96" s="5496">
        <v>67.291861552853135</v>
      </c>
      <c r="O96" s="6052">
        <v>0</v>
      </c>
      <c r="P96" s="5004">
        <v>0</v>
      </c>
      <c r="Q96" s="3336">
        <v>0</v>
      </c>
      <c r="R96" s="3332">
        <v>0</v>
      </c>
      <c r="S96" s="3333">
        <v>0</v>
      </c>
      <c r="T96" s="3334">
        <v>0</v>
      </c>
      <c r="U96" s="3332">
        <v>0</v>
      </c>
      <c r="V96" s="3333">
        <v>0</v>
      </c>
      <c r="W96" s="3334">
        <v>0</v>
      </c>
      <c r="X96" s="2085">
        <f t="shared" ref="X96:X101" si="38">SUM(L96:W96)</f>
        <v>75.023386342376057</v>
      </c>
      <c r="Y96" s="1637"/>
      <c r="Z96" s="3911"/>
      <c r="AA96" s="3911"/>
      <c r="AB96" s="8" t="e">
        <f>#REF!</f>
        <v>#REF!</v>
      </c>
      <c r="AC96" s="10" t="e">
        <f>#REF!</f>
        <v>#REF!</v>
      </c>
      <c r="AD96" s="1533"/>
    </row>
    <row r="97" spans="1:34" s="1569" customFormat="1" ht="16.5" customHeight="1">
      <c r="A97" s="7170"/>
      <c r="B97" s="7174"/>
      <c r="C97" s="8"/>
      <c r="D97" s="10"/>
      <c r="E97" s="4051"/>
      <c r="F97" s="1598" t="s">
        <v>1586</v>
      </c>
      <c r="G97" s="1552">
        <v>76</v>
      </c>
      <c r="H97" s="3217"/>
      <c r="I97" s="3230"/>
      <c r="J97" s="3223"/>
      <c r="K97" s="3194"/>
      <c r="L97" s="4549"/>
      <c r="M97" s="5004">
        <v>66.610389610389618</v>
      </c>
      <c r="N97" s="5502">
        <v>2525.6623376623374</v>
      </c>
      <c r="O97" s="4549">
        <v>2449.5757575757575</v>
      </c>
      <c r="P97" s="5004">
        <v>2180</v>
      </c>
      <c r="Q97" s="3336">
        <v>10.942105263157895</v>
      </c>
      <c r="R97" s="3332"/>
      <c r="S97" s="3333">
        <v>75</v>
      </c>
      <c r="T97" s="3334">
        <v>75</v>
      </c>
      <c r="U97" s="3332">
        <v>75</v>
      </c>
      <c r="V97" s="3333">
        <v>75</v>
      </c>
      <c r="W97" s="3334">
        <v>75</v>
      </c>
      <c r="X97" s="2085">
        <f t="shared" si="38"/>
        <v>7607.7905901116419</v>
      </c>
      <c r="Y97" s="1637"/>
      <c r="Z97" s="3911"/>
      <c r="AA97" s="3911"/>
      <c r="AB97" s="8" t="s">
        <v>1262</v>
      </c>
      <c r="AC97" s="10" t="s">
        <v>1272</v>
      </c>
      <c r="AD97" s="1533"/>
    </row>
    <row r="98" spans="1:34" s="1569" customFormat="1" ht="16.2" hidden="1" customHeight="1">
      <c r="A98" s="7170"/>
      <c r="B98" s="7174"/>
      <c r="C98" s="8"/>
      <c r="D98" s="10"/>
      <c r="E98" s="4051"/>
      <c r="F98" s="1598"/>
      <c r="G98" s="1552"/>
      <c r="H98" s="3217"/>
      <c r="I98" s="3230"/>
      <c r="J98" s="3223"/>
      <c r="K98" s="3194"/>
      <c r="L98" s="4549"/>
      <c r="M98" s="5004"/>
      <c r="N98" s="5502"/>
      <c r="O98" s="4549"/>
      <c r="P98" s="5004"/>
      <c r="Q98" s="3336"/>
      <c r="R98" s="3332"/>
      <c r="S98" s="3333"/>
      <c r="T98" s="3334"/>
      <c r="U98" s="3332"/>
      <c r="V98" s="3333"/>
      <c r="W98" s="3334"/>
      <c r="X98" s="2085">
        <f t="shared" si="38"/>
        <v>0</v>
      </c>
      <c r="Y98" s="1637"/>
      <c r="Z98" s="3911"/>
      <c r="AA98" s="3911"/>
      <c r="AB98" s="8" t="s">
        <v>1262</v>
      </c>
      <c r="AC98" s="10" t="s">
        <v>1272</v>
      </c>
      <c r="AD98" s="1533"/>
    </row>
    <row r="99" spans="1:34" s="1569" customFormat="1" ht="16.5" hidden="1" customHeight="1">
      <c r="A99" s="7170"/>
      <c r="B99" s="7174"/>
      <c r="C99" s="8"/>
      <c r="D99" s="10"/>
      <c r="E99" s="4051"/>
      <c r="F99" s="1598"/>
      <c r="G99" s="1552"/>
      <c r="H99" s="3217"/>
      <c r="I99" s="3230"/>
      <c r="J99" s="3223"/>
      <c r="K99" s="3194"/>
      <c r="L99" s="4549"/>
      <c r="M99" s="5004"/>
      <c r="N99" s="5502"/>
      <c r="O99" s="4549"/>
      <c r="P99" s="5004"/>
      <c r="Q99" s="3336"/>
      <c r="R99" s="3332"/>
      <c r="S99" s="3333"/>
      <c r="T99" s="3334"/>
      <c r="U99" s="3332"/>
      <c r="V99" s="3333"/>
      <c r="W99" s="3334"/>
      <c r="X99" s="2085">
        <f t="shared" si="38"/>
        <v>0</v>
      </c>
      <c r="Y99" s="1637"/>
      <c r="Z99" s="3911"/>
      <c r="AA99" s="3911"/>
      <c r="AB99" s="8" t="s">
        <v>1262</v>
      </c>
      <c r="AC99" s="10" t="s">
        <v>1272</v>
      </c>
      <c r="AD99" s="1533"/>
    </row>
    <row r="100" spans="1:34" s="1569" customFormat="1" ht="16.5" hidden="1" customHeight="1">
      <c r="A100" s="7170"/>
      <c r="B100" s="7174"/>
      <c r="C100" s="8"/>
      <c r="D100" s="10"/>
      <c r="E100" s="4051"/>
      <c r="F100" s="1598"/>
      <c r="G100" s="1552"/>
      <c r="H100" s="3217"/>
      <c r="I100" s="3230"/>
      <c r="J100" s="3223"/>
      <c r="K100" s="3194"/>
      <c r="L100" s="4549"/>
      <c r="M100" s="5004"/>
      <c r="N100" s="5502"/>
      <c r="O100" s="4549"/>
      <c r="P100" s="5004"/>
      <c r="Q100" s="3336"/>
      <c r="R100" s="3332"/>
      <c r="S100" s="3333"/>
      <c r="T100" s="3334"/>
      <c r="U100" s="3332"/>
      <c r="V100" s="3333"/>
      <c r="W100" s="3334"/>
      <c r="X100" s="2085">
        <f t="shared" si="38"/>
        <v>0</v>
      </c>
      <c r="Y100" s="1637"/>
      <c r="Z100" s="3911"/>
      <c r="AA100" s="3911"/>
      <c r="AB100" s="8" t="s">
        <v>1262</v>
      </c>
      <c r="AC100" s="10" t="s">
        <v>1272</v>
      </c>
      <c r="AD100" s="1533"/>
    </row>
    <row r="101" spans="1:34" s="1569" customFormat="1" ht="16.5" hidden="1" customHeight="1">
      <c r="A101" s="7170"/>
      <c r="B101" s="7174"/>
      <c r="C101" s="8"/>
      <c r="D101" s="10"/>
      <c r="E101" s="4051"/>
      <c r="F101" s="1598"/>
      <c r="G101" s="1552"/>
      <c r="H101" s="3217"/>
      <c r="I101" s="3230"/>
      <c r="J101" s="3223"/>
      <c r="K101" s="3194"/>
      <c r="L101" s="4549"/>
      <c r="M101" s="5004"/>
      <c r="N101" s="5502"/>
      <c r="O101" s="4549"/>
      <c r="P101" s="5004"/>
      <c r="Q101" s="3336"/>
      <c r="R101" s="3332"/>
      <c r="S101" s="3333"/>
      <c r="T101" s="3334"/>
      <c r="U101" s="3332"/>
      <c r="V101" s="3333"/>
      <c r="W101" s="3334"/>
      <c r="X101" s="2085">
        <f t="shared" si="38"/>
        <v>0</v>
      </c>
      <c r="Y101" s="1637"/>
      <c r="Z101" s="3911"/>
      <c r="AA101" s="3911"/>
      <c r="AB101" s="8" t="s">
        <v>1262</v>
      </c>
      <c r="AC101" s="10" t="s">
        <v>1272</v>
      </c>
      <c r="AD101" s="1533"/>
    </row>
    <row r="102" spans="1:34" s="1569" customFormat="1" ht="16.5" customHeight="1">
      <c r="A102" s="7170"/>
      <c r="B102" s="7174"/>
      <c r="C102" s="5747"/>
      <c r="D102" s="7145" t="s">
        <v>1719</v>
      </c>
      <c r="E102" s="7146"/>
      <c r="F102" s="7146"/>
      <c r="G102" s="7146"/>
      <c r="H102" s="5818"/>
      <c r="I102" s="5818"/>
      <c r="J102" s="5818"/>
      <c r="K102" s="5818"/>
      <c r="L102" s="5915">
        <f>SUM(L95:L97)</f>
        <v>0</v>
      </c>
      <c r="M102" s="5916">
        <f t="shared" ref="M102:X102" si="39">SUM(M95:M97)</f>
        <v>81.610389610389618</v>
      </c>
      <c r="N102" s="5946">
        <f t="shared" si="39"/>
        <v>2592.9541992151908</v>
      </c>
      <c r="O102" s="5915">
        <f t="shared" si="39"/>
        <v>2540.0790316636903</v>
      </c>
      <c r="P102" s="5916">
        <f t="shared" si="39"/>
        <v>2195</v>
      </c>
      <c r="Q102" s="5949">
        <f t="shared" si="39"/>
        <v>10.942105263157895</v>
      </c>
      <c r="R102" s="5950">
        <f t="shared" si="39"/>
        <v>0</v>
      </c>
      <c r="S102" s="5948">
        <f t="shared" si="39"/>
        <v>152.17492984097288</v>
      </c>
      <c r="T102" s="5951">
        <f t="shared" si="39"/>
        <v>190.76239476145929</v>
      </c>
      <c r="U102" s="5947">
        <f t="shared" si="39"/>
        <v>152.17492984097288</v>
      </c>
      <c r="V102" s="5948">
        <f t="shared" si="39"/>
        <v>152.17492984097288</v>
      </c>
      <c r="W102" s="5949">
        <f t="shared" si="39"/>
        <v>152.17492984097288</v>
      </c>
      <c r="X102" s="3341">
        <f t="shared" si="39"/>
        <v>8220.0478398777777</v>
      </c>
      <c r="Y102" s="1546" t="b">
        <f>X102=SUM(L102:W102)</f>
        <v>1</v>
      </c>
      <c r="Z102" s="3911"/>
      <c r="AA102" s="3911"/>
      <c r="AB102" s="1598"/>
      <c r="AC102" s="1598"/>
      <c r="AD102" s="1533"/>
    </row>
    <row r="103" spans="1:34" s="1535" customFormat="1" ht="20.25" hidden="1" customHeight="1">
      <c r="A103" s="7171"/>
      <c r="B103" s="7180"/>
      <c r="C103" s="1560" t="s">
        <v>141</v>
      </c>
      <c r="D103" s="1560"/>
      <c r="E103" s="4047"/>
      <c r="F103" s="1561"/>
      <c r="G103" s="1601"/>
      <c r="H103" s="2400"/>
      <c r="I103" s="2400"/>
      <c r="J103" s="2400"/>
      <c r="K103" s="2400"/>
      <c r="L103" s="4553">
        <f t="shared" ref="L103:W103" si="40">SUM(L23:L101)</f>
        <v>3742864.4571255581</v>
      </c>
      <c r="M103" s="5008">
        <f t="shared" si="40"/>
        <v>3188479.394253219</v>
      </c>
      <c r="N103" s="5500">
        <f t="shared" si="40"/>
        <v>4747065.7790302243</v>
      </c>
      <c r="O103" s="5249">
        <f t="shared" si="40"/>
        <v>3598258.9696143549</v>
      </c>
      <c r="P103" s="5008">
        <f t="shared" si="40"/>
        <v>4024705.7060522828</v>
      </c>
      <c r="Q103" s="3340">
        <f t="shared" si="40"/>
        <v>3470681.8696733066</v>
      </c>
      <c r="R103" s="2402">
        <f t="shared" si="40"/>
        <v>3902144.1177126952</v>
      </c>
      <c r="S103" s="1527">
        <f t="shared" si="40"/>
        <v>3222724.8693499593</v>
      </c>
      <c r="T103" s="2401">
        <f t="shared" si="40"/>
        <v>3294674.070296865</v>
      </c>
      <c r="U103" s="3344">
        <f t="shared" si="40"/>
        <v>3224397.7028957433</v>
      </c>
      <c r="V103" s="1527">
        <f t="shared" si="40"/>
        <v>3114915.613295693</v>
      </c>
      <c r="W103" s="3340">
        <f t="shared" si="40"/>
        <v>3162293.1993450965</v>
      </c>
      <c r="X103" s="2108">
        <f>X93+X76+X75+X67+X59+X54+X48+X45+X34+X22+X14</f>
        <v>59335054.685118623</v>
      </c>
      <c r="Y103" s="1637"/>
      <c r="Z103" s="1817"/>
      <c r="AA103" s="1817"/>
      <c r="AB103" s="1731"/>
      <c r="AC103" s="1731"/>
      <c r="AD103" s="1636"/>
    </row>
    <row r="104" spans="1:34" ht="18.600000000000001" customHeight="1" thickBot="1">
      <c r="A104" s="58">
        <v>3</v>
      </c>
      <c r="B104" s="5763" t="s">
        <v>797</v>
      </c>
      <c r="C104" s="5764"/>
      <c r="D104" s="5764"/>
      <c r="E104" s="5764"/>
      <c r="F104" s="5765"/>
      <c r="G104" s="78">
        <v>20000</v>
      </c>
      <c r="H104" s="2774"/>
      <c r="I104" s="2774"/>
      <c r="J104" s="2774"/>
      <c r="K104" s="2774"/>
      <c r="L104" s="4556">
        <v>1.19090909090909</v>
      </c>
      <c r="M104" s="5011">
        <v>5.7011590909090897</v>
      </c>
      <c r="N104" s="5504">
        <v>3.0450180000000002</v>
      </c>
      <c r="O104" s="5073">
        <v>6.090255</v>
      </c>
      <c r="P104" s="5006">
        <v>9.2052499999999995</v>
      </c>
      <c r="Q104" s="1818">
        <v>2.8818000000000001</v>
      </c>
      <c r="R104" s="1759">
        <v>2.5</v>
      </c>
      <c r="S104" s="1642">
        <v>3</v>
      </c>
      <c r="T104" s="1643">
        <v>0</v>
      </c>
      <c r="U104" s="1767">
        <v>5.75</v>
      </c>
      <c r="V104" s="1642">
        <v>5</v>
      </c>
      <c r="W104" s="1818">
        <v>2.5</v>
      </c>
      <c r="X104" s="2085">
        <f>SUM(L104:W104)</f>
        <v>46.864391181818178</v>
      </c>
      <c r="Y104" s="1637"/>
      <c r="Z104" s="1530"/>
      <c r="AA104" s="1530"/>
      <c r="AB104" s="1532"/>
      <c r="AC104" s="1532"/>
    </row>
    <row r="105" spans="1:34" ht="21" customHeight="1" thickBot="1">
      <c r="A105" s="7081" t="s">
        <v>87</v>
      </c>
      <c r="B105" s="7082"/>
      <c r="C105" s="7082"/>
      <c r="D105" s="7082"/>
      <c r="E105" s="7082"/>
      <c r="F105" s="7168"/>
      <c r="G105" s="1603"/>
      <c r="H105" s="3201"/>
      <c r="I105" s="3201"/>
      <c r="J105" s="3201"/>
      <c r="K105" s="3201"/>
      <c r="L105" s="3952">
        <f>SUM(L104+L102+L94+L78+L60+L22)</f>
        <v>3211288.1542295506</v>
      </c>
      <c r="M105" s="5012">
        <f t="shared" ref="M105:W105" si="41">SUM(M104+M102+M94+M78+M60+M22)</f>
        <v>2654228.8403942869</v>
      </c>
      <c r="N105" s="5505">
        <f t="shared" si="41"/>
        <v>3296163.5773114581</v>
      </c>
      <c r="O105" s="3952">
        <f t="shared" si="41"/>
        <v>2670644.131974244</v>
      </c>
      <c r="P105" s="5012">
        <f t="shared" si="41"/>
        <v>2958486.9528272739</v>
      </c>
      <c r="Q105" s="1825">
        <f t="shared" si="41"/>
        <v>3628953.8756943541</v>
      </c>
      <c r="R105" s="1824">
        <f t="shared" si="41"/>
        <v>4075616.9485039744</v>
      </c>
      <c r="S105" s="1776">
        <f t="shared" si="41"/>
        <v>3933945.8156696232</v>
      </c>
      <c r="T105" s="1777">
        <f t="shared" si="41"/>
        <v>3241951.6076285392</v>
      </c>
      <c r="U105" s="1778">
        <f t="shared" si="41"/>
        <v>3028956.176851551</v>
      </c>
      <c r="V105" s="1776">
        <f t="shared" si="41"/>
        <v>3204228.192351663</v>
      </c>
      <c r="W105" s="1825">
        <f t="shared" si="41"/>
        <v>3137518.2210347974</v>
      </c>
      <c r="X105" s="1777">
        <f>SUM(X104+X102+X94+X78+X60+X22)</f>
        <v>39041982.494471312</v>
      </c>
      <c r="Y105" s="1546" t="b">
        <f>X105=SUM(L105:W105)</f>
        <v>1</v>
      </c>
      <c r="Z105" s="1530"/>
      <c r="AA105" s="1530"/>
      <c r="AB105" s="1532"/>
      <c r="AC105" s="1532"/>
    </row>
    <row r="106" spans="1:34" s="1610" customFormat="1" ht="23.25" customHeight="1">
      <c r="B106" s="1611"/>
      <c r="E106" s="1611"/>
      <c r="G106" s="4090"/>
      <c r="H106" s="1611"/>
      <c r="I106" s="1611"/>
      <c r="J106" s="1611"/>
      <c r="K106" s="1611"/>
      <c r="L106" s="1534"/>
      <c r="M106" s="1534"/>
      <c r="N106" s="1534"/>
      <c r="O106" s="1534"/>
      <c r="P106" s="1534"/>
      <c r="Q106" s="1533"/>
      <c r="R106" s="1533"/>
      <c r="S106" s="1533"/>
      <c r="T106" s="1533"/>
      <c r="U106" s="1533"/>
      <c r="V106" s="1533"/>
      <c r="W106" s="1533"/>
      <c r="X106" s="1533"/>
      <c r="Y106" s="4"/>
      <c r="Z106" s="1567">
        <f>Z58+Z44</f>
        <v>0</v>
      </c>
      <c r="AA106" s="1567"/>
      <c r="AB106" s="1699">
        <f t="shared" ref="AB106:AC107" si="42">AB105</f>
        <v>0</v>
      </c>
      <c r="AC106" s="1699">
        <f t="shared" si="42"/>
        <v>0</v>
      </c>
    </row>
    <row r="107" spans="1:34" s="1610" customFormat="1" ht="23.25" customHeight="1" thickBot="1">
      <c r="A107" s="1538" t="s">
        <v>34</v>
      </c>
      <c r="E107" s="1611"/>
      <c r="F107" s="1533"/>
      <c r="G107" s="1533"/>
      <c r="H107" s="1611"/>
      <c r="I107" s="1611"/>
      <c r="J107" s="1611"/>
      <c r="K107" s="1611"/>
      <c r="L107" s="1534"/>
      <c r="M107" s="1534"/>
      <c r="N107" s="1534"/>
      <c r="O107" s="1534"/>
      <c r="P107" s="1534"/>
      <c r="Q107" s="1533"/>
      <c r="R107" s="1533"/>
      <c r="S107" s="1533"/>
      <c r="T107" s="1533"/>
      <c r="U107" s="1533"/>
      <c r="V107" s="1533"/>
      <c r="W107" s="1533"/>
      <c r="X107" s="2832" t="s">
        <v>86</v>
      </c>
      <c r="Y107" s="3993"/>
      <c r="Z107" s="3912"/>
      <c r="AA107" s="3912"/>
      <c r="AB107" s="1699">
        <f t="shared" si="42"/>
        <v>0</v>
      </c>
      <c r="AC107" s="1699">
        <f t="shared" si="42"/>
        <v>0</v>
      </c>
    </row>
    <row r="108" spans="1:34" ht="28.5" customHeight="1" thickBot="1">
      <c r="A108" s="1539" t="s">
        <v>40</v>
      </c>
      <c r="B108" s="74" t="s">
        <v>106</v>
      </c>
      <c r="C108" s="74" t="s">
        <v>105</v>
      </c>
      <c r="D108" s="74" t="s">
        <v>989</v>
      </c>
      <c r="E108" s="74" t="s">
        <v>1011</v>
      </c>
      <c r="F108" s="74" t="s">
        <v>107</v>
      </c>
      <c r="G108" s="1540" t="s">
        <v>28</v>
      </c>
      <c r="H108" s="3233" t="s">
        <v>1196</v>
      </c>
      <c r="I108" s="3233" t="s">
        <v>1197</v>
      </c>
      <c r="J108" s="3233" t="s">
        <v>1198</v>
      </c>
      <c r="K108" s="3233" t="s">
        <v>1199</v>
      </c>
      <c r="L108" s="4490" t="str">
        <f t="shared" ref="L108:X108" si="43">L4</f>
        <v>Jan.26</v>
      </c>
      <c r="M108" s="5005" t="str">
        <f t="shared" si="43"/>
        <v>Feb.26</v>
      </c>
      <c r="N108" s="5494" t="str">
        <f t="shared" si="43"/>
        <v>Mar.26</v>
      </c>
      <c r="O108" s="4490" t="str">
        <f t="shared" si="43"/>
        <v>Apr.26</v>
      </c>
      <c r="P108" s="5005" t="str">
        <f t="shared" si="43"/>
        <v>May.26</v>
      </c>
      <c r="Q108" s="1843" t="str">
        <f t="shared" si="43"/>
        <v>Jun.26</v>
      </c>
      <c r="R108" s="1841" t="str">
        <f t="shared" si="43"/>
        <v>Jul.26</v>
      </c>
      <c r="S108" s="1842" t="str">
        <f t="shared" si="43"/>
        <v>Aug.26</v>
      </c>
      <c r="T108" s="1843" t="str">
        <f t="shared" si="43"/>
        <v>Sep.26</v>
      </c>
      <c r="U108" s="1841" t="str">
        <f t="shared" si="43"/>
        <v>Oct.26</v>
      </c>
      <c r="V108" s="1842" t="str">
        <f t="shared" si="43"/>
        <v>Nov.26</v>
      </c>
      <c r="W108" s="1843" t="str">
        <f t="shared" si="43"/>
        <v>Dec.26</v>
      </c>
      <c r="X108" s="2472" t="str">
        <f t="shared" si="43"/>
        <v>2026
Total</v>
      </c>
      <c r="Y108" s="3992"/>
      <c r="AB108" s="74" t="s">
        <v>105</v>
      </c>
      <c r="AC108" s="74" t="s">
        <v>989</v>
      </c>
      <c r="AD108" s="4544"/>
    </row>
    <row r="109" spans="1:34" s="1535" customFormat="1" ht="16.5" customHeight="1">
      <c r="A109" s="7169">
        <v>1</v>
      </c>
      <c r="B109" s="7172" t="s">
        <v>16</v>
      </c>
      <c r="C109" s="7156" t="s">
        <v>19</v>
      </c>
      <c r="D109" s="7156" t="s">
        <v>844</v>
      </c>
      <c r="E109" s="4048"/>
      <c r="F109" s="11" t="str">
        <f t="shared" ref="F109:G111" si="44">F5</f>
        <v>Galaxy Tap</v>
      </c>
      <c r="G109" s="3303">
        <f t="shared" si="44"/>
        <v>1.8</v>
      </c>
      <c r="H109" s="3208">
        <v>1.8</v>
      </c>
      <c r="I109" s="3226">
        <v>1.8</v>
      </c>
      <c r="J109" s="3210">
        <v>1.8</v>
      </c>
      <c r="K109" s="3202">
        <v>1.8</v>
      </c>
      <c r="L109" s="4491">
        <v>0</v>
      </c>
      <c r="M109" s="5013">
        <v>0</v>
      </c>
      <c r="N109" s="5506">
        <v>0</v>
      </c>
      <c r="O109" s="4491">
        <v>0</v>
      </c>
      <c r="P109" s="5013">
        <v>0</v>
      </c>
      <c r="Q109" s="3800">
        <v>0</v>
      </c>
      <c r="R109" s="3799">
        <v>0</v>
      </c>
      <c r="S109" s="3800">
        <f>$G$109*S5</f>
        <v>0</v>
      </c>
      <c r="T109" s="3801">
        <f t="shared" ref="T109:W109" si="45">$G$109*T5</f>
        <v>0</v>
      </c>
      <c r="U109" s="3855">
        <f t="shared" si="45"/>
        <v>0</v>
      </c>
      <c r="V109" s="3800">
        <f t="shared" si="45"/>
        <v>18000</v>
      </c>
      <c r="W109" s="3800">
        <f t="shared" si="45"/>
        <v>90000</v>
      </c>
      <c r="X109" s="2480">
        <f t="shared" ref="X109:X124" si="46">SUM(L109:W109)</f>
        <v>108000</v>
      </c>
      <c r="Y109" s="1637"/>
      <c r="Z109" s="6474"/>
      <c r="AA109" s="6474"/>
      <c r="AB109" s="12" t="s">
        <v>19</v>
      </c>
      <c r="AC109" s="12" t="s">
        <v>844</v>
      </c>
      <c r="AD109" s="6496"/>
      <c r="AE109" s="6474"/>
      <c r="AF109" s="6474"/>
      <c r="AG109" s="6474"/>
      <c r="AH109" s="6474"/>
    </row>
    <row r="110" spans="1:34" s="1535" customFormat="1" ht="16.5" customHeight="1">
      <c r="A110" s="7170"/>
      <c r="B110" s="7173"/>
      <c r="C110" s="7143"/>
      <c r="D110" s="7143"/>
      <c r="E110" s="4049">
        <v>1</v>
      </c>
      <c r="F110" s="10" t="str">
        <f t="shared" si="44"/>
        <v>A15/17</v>
      </c>
      <c r="G110" s="1552">
        <f t="shared" si="44"/>
        <v>0.61799999999999999</v>
      </c>
      <c r="H110" s="3217">
        <v>0.61419494786219131</v>
      </c>
      <c r="I110" s="3230">
        <v>0.60610630378068553</v>
      </c>
      <c r="J110" s="3223">
        <v>0.60378426204155078</v>
      </c>
      <c r="K110" s="3194">
        <v>0.5918912594265312</v>
      </c>
      <c r="L110" s="4492">
        <v>728158.88</v>
      </c>
      <c r="M110" s="5014">
        <v>505424.592</v>
      </c>
      <c r="N110" s="5507">
        <v>543576</v>
      </c>
      <c r="O110" s="4492">
        <v>596942.80999999994</v>
      </c>
      <c r="P110" s="5014">
        <f>H110*P6+54503</f>
        <v>650763.45538461534</v>
      </c>
      <c r="Q110" s="3802">
        <f>I110*Q6</f>
        <v>703083.31238559517</v>
      </c>
      <c r="R110" s="3803">
        <f>$J$110*R6</f>
        <v>724541.11444986088</v>
      </c>
      <c r="S110" s="3802">
        <f t="shared" ref="S110" si="47">$J$110*S6</f>
        <v>724541.11444986088</v>
      </c>
      <c r="T110" s="3804">
        <f>$K$110*T6</f>
        <v>473513.00754122494</v>
      </c>
      <c r="U110" s="3805">
        <f t="shared" ref="U110:W110" si="48">$K$110*U6</f>
        <v>443918.44456989842</v>
      </c>
      <c r="V110" s="3802">
        <f t="shared" si="48"/>
        <v>443918.44456989842</v>
      </c>
      <c r="W110" s="3806">
        <f t="shared" si="48"/>
        <v>443918.44456989842</v>
      </c>
      <c r="X110" s="2085">
        <f t="shared" si="46"/>
        <v>6982299.6199208535</v>
      </c>
      <c r="Y110" s="1637"/>
      <c r="Z110" s="6474"/>
      <c r="AA110" s="6474"/>
      <c r="AB110" s="1588" t="str">
        <f t="shared" ref="AB110:AC110" si="49">AB109</f>
        <v>Samsung</v>
      </c>
      <c r="AC110" s="1588" t="str">
        <f t="shared" si="49"/>
        <v>Mobile</v>
      </c>
      <c r="AD110" s="6496"/>
      <c r="AE110" s="6474"/>
      <c r="AF110" s="6474"/>
      <c r="AG110" s="6474"/>
      <c r="AH110" s="6474"/>
    </row>
    <row r="111" spans="1:34" s="1535" customFormat="1" ht="16.5" customHeight="1">
      <c r="A111" s="7170"/>
      <c r="B111" s="7173"/>
      <c r="C111" s="7143"/>
      <c r="D111" s="7143"/>
      <c r="E111" s="4049">
        <v>2</v>
      </c>
      <c r="F111" s="10" t="str">
        <f t="shared" si="44"/>
        <v>A36</v>
      </c>
      <c r="G111" s="1552">
        <f t="shared" si="44"/>
        <v>0.70957692307692311</v>
      </c>
      <c r="H111" s="3209">
        <v>0.68</v>
      </c>
      <c r="I111" s="3213">
        <v>0.67183999999999999</v>
      </c>
      <c r="J111" s="3211">
        <v>0.6845326752893125</v>
      </c>
      <c r="K111" s="3195">
        <v>0.6845326752893125</v>
      </c>
      <c r="L111" s="4492">
        <v>32867.603076923078</v>
      </c>
      <c r="M111" s="5014">
        <v>0</v>
      </c>
      <c r="N111" s="5507">
        <v>41155.033846153849</v>
      </c>
      <c r="O111" s="4492">
        <v>57220.283076923079</v>
      </c>
      <c r="P111" s="5014">
        <f>H111*P7</f>
        <v>13708.800000000001</v>
      </c>
      <c r="Q111" s="3802">
        <f>I111*Q7</f>
        <v>10077.6</v>
      </c>
      <c r="R111" s="3803">
        <v>0</v>
      </c>
      <c r="S111" s="3802">
        <v>0</v>
      </c>
      <c r="T111" s="3804">
        <v>0</v>
      </c>
      <c r="U111" s="3805">
        <v>0</v>
      </c>
      <c r="V111" s="3802">
        <v>0</v>
      </c>
      <c r="W111" s="3806">
        <v>0</v>
      </c>
      <c r="X111" s="2085">
        <f t="shared" si="46"/>
        <v>155029.32</v>
      </c>
      <c r="Y111" s="1637"/>
      <c r="Z111" s="6474"/>
      <c r="AA111" s="6474"/>
      <c r="AB111" s="1588" t="str">
        <f t="shared" ref="AB111:AC111" si="50">AB110</f>
        <v>Samsung</v>
      </c>
      <c r="AC111" s="1588" t="str">
        <f t="shared" si="50"/>
        <v>Mobile</v>
      </c>
      <c r="AD111" s="6496"/>
      <c r="AE111" s="6474"/>
      <c r="AF111" s="6474"/>
      <c r="AG111" s="6474"/>
      <c r="AH111" s="6474"/>
    </row>
    <row r="112" spans="1:34" s="1535" customFormat="1" ht="16.5" customHeight="1">
      <c r="A112" s="7170"/>
      <c r="B112" s="7173"/>
      <c r="C112" s="7143"/>
      <c r="D112" s="7143"/>
      <c r="E112" s="4049">
        <v>3</v>
      </c>
      <c r="F112" s="10" t="str">
        <f>F8</f>
        <v>A26</v>
      </c>
      <c r="G112" s="1552">
        <v>0.69684525672261732</v>
      </c>
      <c r="H112" s="3217">
        <v>0.68169230769230771</v>
      </c>
      <c r="I112" s="3230">
        <v>0.68169230769230771</v>
      </c>
      <c r="J112" s="3223">
        <v>0.69684525672261732</v>
      </c>
      <c r="K112" s="3194">
        <v>0.69684525672261732</v>
      </c>
      <c r="L112" s="4492">
        <v>145668.53246529592</v>
      </c>
      <c r="M112" s="5014">
        <v>38099.664779963678</v>
      </c>
      <c r="N112" s="5507">
        <v>0</v>
      </c>
      <c r="O112" s="4492">
        <v>5021.0437553925685</v>
      </c>
      <c r="P112" s="5014">
        <f>H112*P8</f>
        <v>56771.335384615384</v>
      </c>
      <c r="Q112" s="3802">
        <v>0</v>
      </c>
      <c r="R112" s="3803">
        <v>0</v>
      </c>
      <c r="S112" s="3802">
        <v>0</v>
      </c>
      <c r="T112" s="3804">
        <v>0</v>
      </c>
      <c r="U112" s="3805">
        <v>0</v>
      </c>
      <c r="V112" s="3802">
        <v>0</v>
      </c>
      <c r="W112" s="3806">
        <v>0</v>
      </c>
      <c r="X112" s="2085">
        <f t="shared" si="46"/>
        <v>245560.57638526754</v>
      </c>
      <c r="Y112" s="1637"/>
      <c r="Z112" s="6474"/>
      <c r="AA112" s="6474"/>
      <c r="AB112" s="1588" t="str">
        <f t="shared" ref="AB112:AC112" si="51">AB111</f>
        <v>Samsung</v>
      </c>
      <c r="AC112" s="1588" t="str">
        <f t="shared" si="51"/>
        <v>Mobile</v>
      </c>
      <c r="AD112" s="6496"/>
      <c r="AE112" s="6474"/>
      <c r="AF112" s="6474"/>
      <c r="AG112" s="6474"/>
      <c r="AH112" s="6474"/>
    </row>
    <row r="113" spans="1:34" s="1535" customFormat="1" ht="16.5" customHeight="1">
      <c r="A113" s="7170"/>
      <c r="B113" s="7173"/>
      <c r="C113" s="7143"/>
      <c r="D113" s="7143"/>
      <c r="E113" s="4049">
        <v>4</v>
      </c>
      <c r="F113" s="10" t="str">
        <f>F9</f>
        <v>A27</v>
      </c>
      <c r="G113" s="1552">
        <v>0.67039567839195968</v>
      </c>
      <c r="H113" s="3217"/>
      <c r="I113" s="3230">
        <v>0.66800000000000004</v>
      </c>
      <c r="J113" s="3223">
        <v>0.65464</v>
      </c>
      <c r="K113" s="3194">
        <v>0.65464</v>
      </c>
      <c r="L113" s="4492">
        <v>0</v>
      </c>
      <c r="M113" s="5014">
        <v>0</v>
      </c>
      <c r="N113" s="5507">
        <v>0</v>
      </c>
      <c r="O113" s="4492">
        <v>0</v>
      </c>
      <c r="P113" s="5014">
        <f>$I$113*P9</f>
        <v>67975.680000000008</v>
      </c>
      <c r="Q113" s="3802">
        <f t="shared" ref="Q113:S113" si="52">$I$113*Q9</f>
        <v>527720</v>
      </c>
      <c r="R113" s="3803">
        <f t="shared" si="52"/>
        <v>668000</v>
      </c>
      <c r="S113" s="3802">
        <f t="shared" si="52"/>
        <v>668000</v>
      </c>
      <c r="T113" s="3804">
        <f>$J$113*T9</f>
        <v>458248</v>
      </c>
      <c r="U113" s="3805">
        <f>$K$113*U9</f>
        <v>327320</v>
      </c>
      <c r="V113" s="3802">
        <f t="shared" ref="V113:W113" si="53">$K$113*V9</f>
        <v>327320</v>
      </c>
      <c r="W113" s="3802">
        <f t="shared" si="53"/>
        <v>261856</v>
      </c>
      <c r="X113" s="2085">
        <f t="shared" si="46"/>
        <v>3306439.68</v>
      </c>
      <c r="Y113" s="1637"/>
      <c r="Z113" s="6474"/>
      <c r="AA113" s="6474"/>
      <c r="AB113" s="1588" t="str">
        <f t="shared" ref="AB113:AC113" si="54">AB112</f>
        <v>Samsung</v>
      </c>
      <c r="AC113" s="1588" t="str">
        <f t="shared" si="54"/>
        <v>Mobile</v>
      </c>
      <c r="AD113" s="6496"/>
      <c r="AE113" s="6474"/>
      <c r="AF113" s="6474"/>
      <c r="AG113" s="6474"/>
      <c r="AH113" s="6474"/>
    </row>
    <row r="114" spans="1:34" s="1535" customFormat="1" ht="16.5" customHeight="1">
      <c r="A114" s="7170"/>
      <c r="B114" s="7173"/>
      <c r="C114" s="7143"/>
      <c r="D114" s="7143"/>
      <c r="E114" s="4049">
        <v>5</v>
      </c>
      <c r="F114" s="10" t="str">
        <f>F10</f>
        <v>A37</v>
      </c>
      <c r="G114" s="1552">
        <v>0.74759610598153359</v>
      </c>
      <c r="H114" s="3217"/>
      <c r="I114" s="3230">
        <v>0.75175000000000003</v>
      </c>
      <c r="J114" s="3223">
        <v>0.74272899999999997</v>
      </c>
      <c r="K114" s="3194">
        <v>0.72787441999999991</v>
      </c>
      <c r="L114" s="4492">
        <v>51733.650533922126</v>
      </c>
      <c r="M114" s="5014">
        <v>319754.83605379367</v>
      </c>
      <c r="N114" s="5507">
        <v>167977.38461538462</v>
      </c>
      <c r="O114" s="4492">
        <v>0</v>
      </c>
      <c r="P114" s="5014">
        <f>$I$114*P10</f>
        <v>36535.050000000003</v>
      </c>
      <c r="Q114" s="3802">
        <f>$J$114*Q10</f>
        <v>47534.655999999995</v>
      </c>
      <c r="R114" s="3803">
        <f t="shared" ref="R114:S114" si="55">$J$114*R10</f>
        <v>74272.899999999994</v>
      </c>
      <c r="S114" s="3802">
        <f t="shared" si="55"/>
        <v>74272.899999999994</v>
      </c>
      <c r="T114" s="3804">
        <f>$K$114*T10</f>
        <v>72787.441999999995</v>
      </c>
      <c r="U114" s="3805">
        <f>$K$114*U10</f>
        <v>72787.441999999995</v>
      </c>
      <c r="V114" s="3802">
        <v>0</v>
      </c>
      <c r="W114" s="3806">
        <v>0</v>
      </c>
      <c r="X114" s="2085">
        <f t="shared" si="46"/>
        <v>917656.26120310056</v>
      </c>
      <c r="Y114" s="1637"/>
      <c r="Z114" s="6474"/>
      <c r="AA114" s="6474"/>
      <c r="AB114" s="1588" t="str">
        <f t="shared" ref="AB114:AC114" si="56">AB113</f>
        <v>Samsung</v>
      </c>
      <c r="AC114" s="1588" t="str">
        <f t="shared" si="56"/>
        <v>Mobile</v>
      </c>
      <c r="AD114" s="6496"/>
      <c r="AE114" s="6474"/>
      <c r="AF114" s="6474"/>
      <c r="AG114" s="6474"/>
      <c r="AH114" s="6474"/>
    </row>
    <row r="115" spans="1:34" s="1535" customFormat="1" ht="16.5" customHeight="1">
      <c r="A115" s="7170"/>
      <c r="B115" s="7173"/>
      <c r="C115" s="7143"/>
      <c r="D115" s="7143"/>
      <c r="E115" s="4049">
        <v>6</v>
      </c>
      <c r="F115" s="10" t="str">
        <f>F11</f>
        <v>A18</v>
      </c>
      <c r="G115" s="1552">
        <f>G11</f>
        <v>0.6</v>
      </c>
      <c r="H115" s="3217"/>
      <c r="I115" s="3230">
        <v>0.62229999999999996</v>
      </c>
      <c r="J115" s="3223">
        <v>0.62229999999999996</v>
      </c>
      <c r="K115" s="3194">
        <v>0.62229999999999996</v>
      </c>
      <c r="L115" s="4492">
        <v>0</v>
      </c>
      <c r="M115" s="5014">
        <v>0</v>
      </c>
      <c r="N115" s="5507">
        <v>0</v>
      </c>
      <c r="O115" s="4492">
        <v>0</v>
      </c>
      <c r="P115" s="5014">
        <v>0</v>
      </c>
      <c r="Q115" s="3802">
        <v>0</v>
      </c>
      <c r="R115" s="3803">
        <v>0</v>
      </c>
      <c r="S115" s="3802">
        <v>0</v>
      </c>
      <c r="T115" s="3804">
        <v>0</v>
      </c>
      <c r="U115" s="3805">
        <f>$K$115*U11</f>
        <v>31115</v>
      </c>
      <c r="V115" s="3802">
        <f t="shared" ref="V115:W115" si="57">$K$115*V11</f>
        <v>248920</v>
      </c>
      <c r="W115" s="3806">
        <f t="shared" si="57"/>
        <v>248920</v>
      </c>
      <c r="X115" s="2085">
        <f t="shared" si="46"/>
        <v>528955</v>
      </c>
      <c r="Y115" s="1637"/>
      <c r="Z115" s="6474"/>
      <c r="AA115" s="6474"/>
      <c r="AB115" s="1588" t="str">
        <f t="shared" ref="AB115:AC115" si="58">AB114</f>
        <v>Samsung</v>
      </c>
      <c r="AC115" s="4780" t="str">
        <f t="shared" si="58"/>
        <v>Mobile</v>
      </c>
      <c r="AD115" s="6496"/>
      <c r="AE115" s="6474"/>
      <c r="AF115" s="6474"/>
      <c r="AG115" s="6474"/>
      <c r="AH115" s="6474"/>
    </row>
    <row r="116" spans="1:34" s="1535" customFormat="1" ht="16.5" customHeight="1">
      <c r="A116" s="7170"/>
      <c r="B116" s="7173"/>
      <c r="C116" s="7143"/>
      <c r="D116" s="7143"/>
      <c r="E116" s="7208" t="s">
        <v>1548</v>
      </c>
      <c r="F116" s="7209"/>
      <c r="G116" s="7210"/>
      <c r="H116" s="3216"/>
      <c r="I116" s="4870"/>
      <c r="J116" s="3222"/>
      <c r="K116" s="3196"/>
      <c r="L116" s="4623">
        <f>SUM(L109:L115)</f>
        <v>958428.66607614106</v>
      </c>
      <c r="M116" s="4873">
        <f t="shared" ref="M116:W116" si="59">SUM(M109:M115)</f>
        <v>863279.0928337574</v>
      </c>
      <c r="N116" s="5508">
        <f t="shared" si="59"/>
        <v>752708.4184615385</v>
      </c>
      <c r="O116" s="4623">
        <f t="shared" si="59"/>
        <v>659184.13683231559</v>
      </c>
      <c r="P116" s="4873">
        <f t="shared" si="59"/>
        <v>825754.32076923084</v>
      </c>
      <c r="Q116" s="4871">
        <f t="shared" si="59"/>
        <v>1288415.568385595</v>
      </c>
      <c r="R116" s="6483">
        <f t="shared" si="59"/>
        <v>1466814.0144498609</v>
      </c>
      <c r="S116" s="6484">
        <f t="shared" si="59"/>
        <v>1466814.0144498609</v>
      </c>
      <c r="T116" s="6485">
        <f t="shared" si="59"/>
        <v>1004548.449541225</v>
      </c>
      <c r="U116" s="6475">
        <f t="shared" si="59"/>
        <v>875140.88656989846</v>
      </c>
      <c r="V116" s="4871">
        <f t="shared" si="59"/>
        <v>1038158.4445698984</v>
      </c>
      <c r="W116" s="4872">
        <f t="shared" si="59"/>
        <v>1044694.4445698984</v>
      </c>
      <c r="X116" s="2108">
        <f>SUM(X109:X115)</f>
        <v>12243940.457509222</v>
      </c>
      <c r="Y116" s="1637" t="b">
        <f>X116=SUM(L116:W116)</f>
        <v>1</v>
      </c>
      <c r="Z116" s="1532"/>
      <c r="AA116" s="1532"/>
      <c r="AB116" s="1588"/>
      <c r="AC116" s="1588"/>
      <c r="AD116" s="6496"/>
      <c r="AE116" s="6474"/>
    </row>
    <row r="117" spans="1:34" s="1535" customFormat="1" ht="16.5" customHeight="1">
      <c r="A117" s="7170"/>
      <c r="B117" s="7173"/>
      <c r="C117" s="7144"/>
      <c r="D117" s="7144"/>
      <c r="E117" s="4050"/>
      <c r="F117" s="1" t="str">
        <f>F13</f>
        <v>CNC</v>
      </c>
      <c r="G117" s="1547">
        <f>G13</f>
        <v>1.1399999999999999</v>
      </c>
      <c r="H117" s="3215">
        <v>1.1399999999999999</v>
      </c>
      <c r="I117" s="3228">
        <v>1.1399999999999999</v>
      </c>
      <c r="J117" s="3221">
        <f>I117+0.099</f>
        <v>1.2389999999999999</v>
      </c>
      <c r="K117" s="3221">
        <f>I117+0.099</f>
        <v>1.2389999999999999</v>
      </c>
      <c r="L117" s="4869">
        <v>593607.81711538462</v>
      </c>
      <c r="M117" s="5015">
        <v>397029.05384615384</v>
      </c>
      <c r="N117" s="5509">
        <v>638739.25115384615</v>
      </c>
      <c r="O117" s="6053">
        <v>395524</v>
      </c>
      <c r="P117" s="5018">
        <v>477107.5506923077</v>
      </c>
      <c r="Q117" s="3817">
        <v>514339.2349373746</v>
      </c>
      <c r="R117" s="3816">
        <v>537865.76425941894</v>
      </c>
      <c r="S117" s="3817">
        <v>611144.6488748031</v>
      </c>
      <c r="T117" s="3818">
        <v>597557.8931040857</v>
      </c>
      <c r="U117" s="3829">
        <v>592874.9194483622</v>
      </c>
      <c r="V117" s="3817">
        <v>548772.76773882355</v>
      </c>
      <c r="W117" s="3818">
        <v>547016.48942417337</v>
      </c>
      <c r="X117" s="2099">
        <f t="shared" si="46"/>
        <v>6451579.3905947339</v>
      </c>
      <c r="Y117" s="1637" t="b">
        <f>X117=SUM(L117:W117)</f>
        <v>1</v>
      </c>
      <c r="Z117" s="1532"/>
      <c r="AA117" s="1532"/>
      <c r="AB117" s="1600" t="str">
        <f>AB115</f>
        <v>Samsung</v>
      </c>
      <c r="AC117" s="3772" t="str">
        <f>AC115</f>
        <v>Mobile</v>
      </c>
      <c r="AD117" s="6496"/>
      <c r="AE117" s="6474"/>
    </row>
    <row r="118" spans="1:34" s="1535" customFormat="1" ht="16.5" customHeight="1">
      <c r="A118" s="7170"/>
      <c r="B118" s="7174"/>
      <c r="C118" s="7211" t="s">
        <v>1549</v>
      </c>
      <c r="D118" s="7212"/>
      <c r="E118" s="7212"/>
      <c r="F118" s="7212"/>
      <c r="G118" s="7213"/>
      <c r="H118" s="3217"/>
      <c r="I118" s="3230"/>
      <c r="J118" s="3223"/>
      <c r="K118" s="3194"/>
      <c r="L118" s="4873">
        <f t="shared" ref="L118:X118" si="60">L117+L116</f>
        <v>1552036.4831915256</v>
      </c>
      <c r="M118" s="4873">
        <f t="shared" si="60"/>
        <v>1260308.1466799113</v>
      </c>
      <c r="N118" s="5508">
        <f t="shared" si="60"/>
        <v>1391447.6696153847</v>
      </c>
      <c r="O118" s="4623">
        <f t="shared" si="60"/>
        <v>1054708.1368323155</v>
      </c>
      <c r="P118" s="4873">
        <f t="shared" si="60"/>
        <v>1302861.8714615386</v>
      </c>
      <c r="Q118" s="4871">
        <f t="shared" si="60"/>
        <v>1802754.8033229695</v>
      </c>
      <c r="R118" s="6483">
        <f t="shared" si="60"/>
        <v>2004679.7787092798</v>
      </c>
      <c r="S118" s="6484">
        <f t="shared" si="60"/>
        <v>2077958.6633246639</v>
      </c>
      <c r="T118" s="6485">
        <f t="shared" si="60"/>
        <v>1602106.3426453108</v>
      </c>
      <c r="U118" s="6475">
        <f t="shared" si="60"/>
        <v>1468015.8060182608</v>
      </c>
      <c r="V118" s="4871">
        <f t="shared" si="60"/>
        <v>1586931.2123087221</v>
      </c>
      <c r="W118" s="4872">
        <f t="shared" si="60"/>
        <v>1591710.9339940718</v>
      </c>
      <c r="X118" s="2108">
        <f t="shared" si="60"/>
        <v>18695519.848103955</v>
      </c>
      <c r="Y118" s="1637" t="b">
        <f>X118=SUM(L118:W118)</f>
        <v>1</v>
      </c>
      <c r="Z118" s="1532"/>
      <c r="AA118" s="1532"/>
      <c r="AB118" s="8"/>
      <c r="AC118" s="10"/>
      <c r="AD118" s="6496"/>
      <c r="AE118" s="6474"/>
    </row>
    <row r="119" spans="1:34" s="1535" customFormat="1" ht="16.5" customHeight="1">
      <c r="A119" s="7170"/>
      <c r="B119" s="7174"/>
      <c r="C119" s="7151" t="s">
        <v>150</v>
      </c>
      <c r="D119" s="7142" t="s">
        <v>844</v>
      </c>
      <c r="E119" s="4049">
        <v>7</v>
      </c>
      <c r="F119" s="10" t="str">
        <f>F15</f>
        <v>MTP+IDP+ADP</v>
      </c>
      <c r="G119" s="1552">
        <v>1.85</v>
      </c>
      <c r="H119" s="3209"/>
      <c r="I119" s="3213"/>
      <c r="J119" s="3211"/>
      <c r="K119" s="3195"/>
      <c r="L119" s="4492">
        <f>L15*$G$119</f>
        <v>33300</v>
      </c>
      <c r="M119" s="5014">
        <f>M15*$G$119</f>
        <v>11302.02</v>
      </c>
      <c r="N119" s="5507">
        <v>9052</v>
      </c>
      <c r="O119" s="4492">
        <f t="shared" ref="O119:W119" si="61">O15*$G$119</f>
        <v>29600</v>
      </c>
      <c r="P119" s="5014">
        <f t="shared" si="61"/>
        <v>26935.71428571429</v>
      </c>
      <c r="Q119" s="3802">
        <f t="shared" si="61"/>
        <v>33792.857142857145</v>
      </c>
      <c r="R119" s="3803">
        <f t="shared" si="61"/>
        <v>33792.857142857145</v>
      </c>
      <c r="S119" s="3802">
        <f t="shared" si="61"/>
        <v>33792.857142857145</v>
      </c>
      <c r="T119" s="3804">
        <f t="shared" si="61"/>
        <v>33792.857142857145</v>
      </c>
      <c r="U119" s="3805">
        <f t="shared" si="61"/>
        <v>33792.857142857145</v>
      </c>
      <c r="V119" s="3802">
        <f t="shared" si="61"/>
        <v>25221.428571428572</v>
      </c>
      <c r="W119" s="3806">
        <f t="shared" si="61"/>
        <v>25221.428571428572</v>
      </c>
      <c r="X119" s="2085">
        <f t="shared" si="46"/>
        <v>329596.87714285724</v>
      </c>
      <c r="Y119" s="2825" t="s">
        <v>310</v>
      </c>
      <c r="Z119" s="3519">
        <f>SUM(X119:X124)</f>
        <v>693554.69314285717</v>
      </c>
      <c r="AA119" s="4000">
        <v>0.2</v>
      </c>
      <c r="AB119" s="8" t="s">
        <v>150</v>
      </c>
      <c r="AC119" s="3507" t="s">
        <v>844</v>
      </c>
      <c r="AD119" s="6496"/>
      <c r="AE119" s="6474"/>
    </row>
    <row r="120" spans="1:34" s="1535" customFormat="1" ht="16.5" customHeight="1">
      <c r="A120" s="7170"/>
      <c r="B120" s="7174"/>
      <c r="C120" s="7151"/>
      <c r="D120" s="7143"/>
      <c r="E120" s="4049">
        <v>8</v>
      </c>
      <c r="F120" s="10" t="s">
        <v>796</v>
      </c>
      <c r="G120" s="1552">
        <v>71.430000000000007</v>
      </c>
      <c r="H120" s="3209"/>
      <c r="I120" s="3213"/>
      <c r="J120" s="3211"/>
      <c r="K120" s="3195"/>
      <c r="L120" s="4492">
        <f>L16*$G$120</f>
        <v>14286.000000000002</v>
      </c>
      <c r="M120" s="5014">
        <f>M16*$G$120</f>
        <v>14286.000000000002</v>
      </c>
      <c r="N120" s="5507">
        <v>16582</v>
      </c>
      <c r="O120" s="4492">
        <f t="shared" ref="O120:W120" si="62">O16*$G$120</f>
        <v>10143.000000000002</v>
      </c>
      <c r="P120" s="5014">
        <f t="shared" si="62"/>
        <v>14286.000000000002</v>
      </c>
      <c r="Q120" s="3802">
        <f t="shared" si="62"/>
        <v>14286.000000000002</v>
      </c>
      <c r="R120" s="3803">
        <f t="shared" si="62"/>
        <v>17857.5</v>
      </c>
      <c r="S120" s="3802">
        <f t="shared" si="62"/>
        <v>17857.5</v>
      </c>
      <c r="T120" s="3804">
        <f t="shared" si="62"/>
        <v>17857.5</v>
      </c>
      <c r="U120" s="3805">
        <f t="shared" si="62"/>
        <v>14286.000000000002</v>
      </c>
      <c r="V120" s="3802">
        <f t="shared" si="62"/>
        <v>7143.0000000000009</v>
      </c>
      <c r="W120" s="3806">
        <f t="shared" si="62"/>
        <v>7143.0000000000009</v>
      </c>
      <c r="X120" s="2085">
        <f t="shared" si="46"/>
        <v>166013.5</v>
      </c>
      <c r="Y120" s="2825" t="s">
        <v>296</v>
      </c>
      <c r="Z120" s="3997">
        <f>Z121*0.8</f>
        <v>2774218.7725714287</v>
      </c>
      <c r="AA120" s="4000">
        <v>0.8</v>
      </c>
      <c r="AB120" s="8" t="str">
        <f t="shared" ref="AB120:AB124" si="63">AB119</f>
        <v>Qualcomm</v>
      </c>
      <c r="AC120" s="10" t="str">
        <f t="shared" ref="AC120:AC124" si="64">AC119</f>
        <v>Mobile</v>
      </c>
      <c r="AD120" s="6496"/>
      <c r="AE120" s="6474"/>
    </row>
    <row r="121" spans="1:34" s="1535" customFormat="1" ht="16.5" customHeight="1">
      <c r="A121" s="7170"/>
      <c r="B121" s="7174"/>
      <c r="C121" s="7151"/>
      <c r="D121" s="7143"/>
      <c r="E121" s="4049"/>
      <c r="F121" s="10" t="s">
        <v>1171</v>
      </c>
      <c r="G121" s="1552">
        <v>4.9000000000000004</v>
      </c>
      <c r="H121" s="3209"/>
      <c r="I121" s="3213"/>
      <c r="J121" s="3211"/>
      <c r="K121" s="3195"/>
      <c r="L121" s="4492">
        <f t="shared" ref="L121:W121" si="65">L17*$G$121</f>
        <v>0</v>
      </c>
      <c r="M121" s="5014">
        <f t="shared" si="65"/>
        <v>0</v>
      </c>
      <c r="N121" s="5507">
        <f t="shared" si="65"/>
        <v>0</v>
      </c>
      <c r="O121" s="4492">
        <f t="shared" si="65"/>
        <v>0</v>
      </c>
      <c r="P121" s="5014">
        <f t="shared" si="65"/>
        <v>0</v>
      </c>
      <c r="Q121" s="3802">
        <f t="shared" si="65"/>
        <v>0</v>
      </c>
      <c r="R121" s="3803">
        <f t="shared" si="65"/>
        <v>0</v>
      </c>
      <c r="S121" s="3802">
        <f t="shared" si="65"/>
        <v>0</v>
      </c>
      <c r="T121" s="3804">
        <f t="shared" si="65"/>
        <v>0</v>
      </c>
      <c r="U121" s="3805">
        <f t="shared" si="65"/>
        <v>0</v>
      </c>
      <c r="V121" s="3802">
        <f t="shared" si="65"/>
        <v>0</v>
      </c>
      <c r="W121" s="3806">
        <f t="shared" si="65"/>
        <v>0</v>
      </c>
      <c r="X121" s="2085">
        <f t="shared" si="46"/>
        <v>0</v>
      </c>
      <c r="Y121" s="2825" t="s">
        <v>15</v>
      </c>
      <c r="Z121" s="3519">
        <f>Z119/0.2</f>
        <v>3467773.4657142856</v>
      </c>
      <c r="AA121" s="4000">
        <v>1</v>
      </c>
      <c r="AB121" s="8" t="str">
        <f t="shared" si="63"/>
        <v>Qualcomm</v>
      </c>
      <c r="AC121" s="10" t="str">
        <f t="shared" si="64"/>
        <v>Mobile</v>
      </c>
      <c r="AD121" s="6496"/>
      <c r="AE121" s="6474"/>
    </row>
    <row r="122" spans="1:34" s="1535" customFormat="1" ht="16.5" customHeight="1">
      <c r="A122" s="7170"/>
      <c r="B122" s="7174"/>
      <c r="C122" s="7151"/>
      <c r="D122" s="7143"/>
      <c r="E122" s="4049">
        <v>9</v>
      </c>
      <c r="F122" s="10" t="s">
        <v>1048</v>
      </c>
      <c r="G122" s="1552">
        <v>8.23</v>
      </c>
      <c r="H122" s="3209"/>
      <c r="I122" s="3213"/>
      <c r="J122" s="3211"/>
      <c r="K122" s="3195"/>
      <c r="L122" s="4492">
        <f>L18*$G$122</f>
        <v>8230</v>
      </c>
      <c r="M122" s="5014">
        <f>M18*$G$122</f>
        <v>6683.3159999999998</v>
      </c>
      <c r="N122" s="5507">
        <f>26510-2035</f>
        <v>24475</v>
      </c>
      <c r="O122" s="4492">
        <f t="shared" ref="O122:W122" si="66">O18*$G$122</f>
        <v>8230</v>
      </c>
      <c r="P122" s="5014">
        <f t="shared" si="66"/>
        <v>8230</v>
      </c>
      <c r="Q122" s="3802">
        <f t="shared" si="66"/>
        <v>8230</v>
      </c>
      <c r="R122" s="3803">
        <f t="shared" si="66"/>
        <v>8230</v>
      </c>
      <c r="S122" s="3802">
        <f t="shared" si="66"/>
        <v>8230</v>
      </c>
      <c r="T122" s="3804">
        <f t="shared" si="66"/>
        <v>8230</v>
      </c>
      <c r="U122" s="3805">
        <f t="shared" si="66"/>
        <v>8230</v>
      </c>
      <c r="V122" s="3802">
        <f t="shared" si="66"/>
        <v>8230</v>
      </c>
      <c r="W122" s="3806">
        <f t="shared" si="66"/>
        <v>8230</v>
      </c>
      <c r="X122" s="2085">
        <f t="shared" si="46"/>
        <v>113458.31599999999</v>
      </c>
      <c r="Y122" s="1785" t="s">
        <v>1375</v>
      </c>
      <c r="Z122" s="3997">
        <v>237500</v>
      </c>
      <c r="AA122" s="3999"/>
      <c r="AB122" s="8" t="str">
        <f t="shared" si="63"/>
        <v>Qualcomm</v>
      </c>
      <c r="AC122" s="10" t="str">
        <f t="shared" si="64"/>
        <v>Mobile</v>
      </c>
      <c r="AD122" s="6496"/>
      <c r="AE122" s="6474"/>
    </row>
    <row r="123" spans="1:34" s="1535" customFormat="1" ht="16.5" customHeight="1">
      <c r="A123" s="7170"/>
      <c r="B123" s="7174"/>
      <c r="C123" s="7151"/>
      <c r="D123" s="7143"/>
      <c r="E123" s="4049">
        <v>10</v>
      </c>
      <c r="F123" s="10" t="s">
        <v>1049</v>
      </c>
      <c r="G123" s="1552">
        <v>8.23</v>
      </c>
      <c r="H123" s="3209"/>
      <c r="I123" s="3213"/>
      <c r="J123" s="3211"/>
      <c r="K123" s="3195"/>
      <c r="L123" s="4492">
        <f>L19*$G$123</f>
        <v>4115</v>
      </c>
      <c r="M123" s="5014">
        <f>M19*$G$123</f>
        <v>4115</v>
      </c>
      <c r="N123" s="5507"/>
      <c r="O123" s="4492">
        <f t="shared" ref="O123:W123" si="67">O19*$G$123</f>
        <v>0</v>
      </c>
      <c r="P123" s="5014">
        <f t="shared" si="67"/>
        <v>4115</v>
      </c>
      <c r="Q123" s="3802">
        <f t="shared" si="67"/>
        <v>0</v>
      </c>
      <c r="R123" s="3803">
        <f t="shared" si="67"/>
        <v>4115</v>
      </c>
      <c r="S123" s="3802">
        <f t="shared" si="67"/>
        <v>0</v>
      </c>
      <c r="T123" s="3804">
        <f t="shared" si="67"/>
        <v>4115</v>
      </c>
      <c r="U123" s="3805">
        <f t="shared" si="67"/>
        <v>0</v>
      </c>
      <c r="V123" s="3802">
        <f t="shared" si="67"/>
        <v>4115</v>
      </c>
      <c r="W123" s="3806">
        <f t="shared" si="67"/>
        <v>0</v>
      </c>
      <c r="X123" s="2085">
        <f t="shared" si="46"/>
        <v>24690</v>
      </c>
      <c r="Y123" s="2825" t="s">
        <v>1374</v>
      </c>
      <c r="Z123" s="3519">
        <f>Z121+Z122</f>
        <v>3705273.4657142856</v>
      </c>
      <c r="AA123" s="3998" t="s">
        <v>1371</v>
      </c>
      <c r="AB123" s="8" t="str">
        <f t="shared" si="63"/>
        <v>Qualcomm</v>
      </c>
      <c r="AC123" s="10" t="str">
        <f t="shared" si="64"/>
        <v>Mobile</v>
      </c>
      <c r="AD123" s="6496"/>
      <c r="AE123" s="6474"/>
    </row>
    <row r="124" spans="1:34" s="1535" customFormat="1" ht="16.5" customHeight="1">
      <c r="A124" s="7170"/>
      <c r="B124" s="7174"/>
      <c r="C124" s="7151"/>
      <c r="D124" s="7144"/>
      <c r="E124" s="4050"/>
      <c r="F124" s="6" t="str">
        <f>F20</f>
        <v>LDS Antenna</v>
      </c>
      <c r="G124" s="1547">
        <v>2.68</v>
      </c>
      <c r="H124" s="3209"/>
      <c r="I124" s="3213"/>
      <c r="J124" s="3211"/>
      <c r="K124" s="3195"/>
      <c r="L124" s="4492">
        <f>L20*$G$124+20</f>
        <v>9680</v>
      </c>
      <c r="M124" s="5014">
        <f>M20*$G$124</f>
        <v>5360</v>
      </c>
      <c r="N124" s="5507"/>
      <c r="O124" s="4492">
        <f t="shared" ref="O124:W124" si="68">O20*$G$124</f>
        <v>12060</v>
      </c>
      <c r="P124" s="5014">
        <f t="shared" si="68"/>
        <v>6700</v>
      </c>
      <c r="Q124" s="3802">
        <f t="shared" si="68"/>
        <v>3216</v>
      </c>
      <c r="R124" s="3803">
        <f t="shared" si="68"/>
        <v>6700</v>
      </c>
      <c r="S124" s="3802">
        <f t="shared" si="68"/>
        <v>3216</v>
      </c>
      <c r="T124" s="3804">
        <f t="shared" si="68"/>
        <v>3216</v>
      </c>
      <c r="U124" s="3805">
        <f t="shared" si="68"/>
        <v>3216</v>
      </c>
      <c r="V124" s="3802">
        <f t="shared" si="68"/>
        <v>3216</v>
      </c>
      <c r="W124" s="3806">
        <f t="shared" si="68"/>
        <v>3216</v>
      </c>
      <c r="X124" s="2085">
        <f t="shared" si="46"/>
        <v>59796</v>
      </c>
      <c r="Y124" s="1637"/>
      <c r="Z124" s="1532"/>
      <c r="AA124" s="1532"/>
      <c r="AB124" s="8" t="str">
        <f t="shared" si="63"/>
        <v>Qualcomm</v>
      </c>
      <c r="AC124" s="6" t="str">
        <f t="shared" si="64"/>
        <v>Mobile</v>
      </c>
      <c r="AD124" s="6496"/>
      <c r="AE124" s="6474"/>
    </row>
    <row r="125" spans="1:34" s="1535" customFormat="1" ht="16.5" customHeight="1">
      <c r="A125" s="7170"/>
      <c r="B125" s="4864"/>
      <c r="C125" s="7215" t="s">
        <v>1558</v>
      </c>
      <c r="D125" s="7216"/>
      <c r="E125" s="7216"/>
      <c r="F125" s="7216"/>
      <c r="G125" s="7217"/>
      <c r="H125" s="4874"/>
      <c r="I125" s="4875"/>
      <c r="J125" s="4876"/>
      <c r="K125" s="4877"/>
      <c r="L125" s="4623">
        <f>SUM(L119:L124)</f>
        <v>69611</v>
      </c>
      <c r="M125" s="4873">
        <f t="shared" ref="M125:X125" si="69">SUM(M119:M124)</f>
        <v>41746.336000000003</v>
      </c>
      <c r="N125" s="5508">
        <f t="shared" si="69"/>
        <v>50109</v>
      </c>
      <c r="O125" s="4623">
        <f t="shared" si="69"/>
        <v>60033</v>
      </c>
      <c r="P125" s="4873">
        <f t="shared" si="69"/>
        <v>60266.71428571429</v>
      </c>
      <c r="Q125" s="4872">
        <f t="shared" si="69"/>
        <v>59524.857142857145</v>
      </c>
      <c r="R125" s="6483">
        <f t="shared" si="69"/>
        <v>70695.357142857145</v>
      </c>
      <c r="S125" s="6484">
        <f t="shared" si="69"/>
        <v>63096.357142857145</v>
      </c>
      <c r="T125" s="6485">
        <f t="shared" si="69"/>
        <v>67211.357142857145</v>
      </c>
      <c r="U125" s="6475">
        <f t="shared" si="69"/>
        <v>59524.857142857145</v>
      </c>
      <c r="V125" s="4871">
        <f t="shared" si="69"/>
        <v>47925.428571428572</v>
      </c>
      <c r="W125" s="4872">
        <f t="shared" si="69"/>
        <v>43810.428571428572</v>
      </c>
      <c r="X125" s="2108">
        <f t="shared" si="69"/>
        <v>693554.69314285717</v>
      </c>
      <c r="Y125" s="1637"/>
      <c r="Z125" s="1532"/>
      <c r="AA125" s="1532"/>
      <c r="AB125" s="1598"/>
      <c r="AC125" s="3526"/>
      <c r="AD125" s="6496"/>
      <c r="AE125" s="6474"/>
    </row>
    <row r="126" spans="1:34" s="1535" customFormat="1" ht="16.5" customHeight="1">
      <c r="A126" s="7171"/>
      <c r="B126" s="1559"/>
      <c r="C126" s="7176" t="s">
        <v>1559</v>
      </c>
      <c r="D126" s="7176"/>
      <c r="E126" s="7176"/>
      <c r="F126" s="7176"/>
      <c r="G126" s="7214"/>
      <c r="H126" s="3216"/>
      <c r="I126" s="3229"/>
      <c r="J126" s="3222"/>
      <c r="K126" s="3196"/>
      <c r="L126" s="5952">
        <f>L125+L118</f>
        <v>1621647.4831915256</v>
      </c>
      <c r="M126" s="5953">
        <f t="shared" ref="M126:W126" si="70">M125+M118</f>
        <v>1302054.4826799112</v>
      </c>
      <c r="N126" s="5954">
        <f t="shared" si="70"/>
        <v>1441556.6696153847</v>
      </c>
      <c r="O126" s="5952">
        <f t="shared" si="70"/>
        <v>1114741.1368323155</v>
      </c>
      <c r="P126" s="5953">
        <f t="shared" si="70"/>
        <v>1363128.5857472529</v>
      </c>
      <c r="Q126" s="5956">
        <f t="shared" si="70"/>
        <v>1862279.6604658265</v>
      </c>
      <c r="R126" s="5797">
        <f t="shared" si="70"/>
        <v>2075375.1358521369</v>
      </c>
      <c r="S126" s="5798">
        <f t="shared" si="70"/>
        <v>2141055.0204675212</v>
      </c>
      <c r="T126" s="5800">
        <f t="shared" si="70"/>
        <v>1669317.6997881678</v>
      </c>
      <c r="U126" s="5802">
        <f t="shared" si="70"/>
        <v>1527540.6631611178</v>
      </c>
      <c r="V126" s="5955">
        <f t="shared" si="70"/>
        <v>1634856.6408801507</v>
      </c>
      <c r="W126" s="5956">
        <f t="shared" si="70"/>
        <v>1635521.3625655004</v>
      </c>
      <c r="X126" s="5957">
        <f>X125+X118</f>
        <v>19389074.541246813</v>
      </c>
      <c r="Y126" s="1637" t="b">
        <f>SUM(L126:W126)=X126</f>
        <v>1</v>
      </c>
      <c r="Z126" s="5"/>
      <c r="AA126" s="5"/>
      <c r="AB126" s="1560"/>
      <c r="AC126" s="1731"/>
      <c r="AD126" s="6496"/>
      <c r="AE126" s="6474"/>
    </row>
    <row r="127" spans="1:34" s="1535" customFormat="1" ht="16.5" customHeight="1">
      <c r="A127" s="7170">
        <v>2</v>
      </c>
      <c r="B127" s="7174" t="s">
        <v>492</v>
      </c>
      <c r="C127" s="10" t="s">
        <v>20</v>
      </c>
      <c r="D127" s="1658" t="s">
        <v>848</v>
      </c>
      <c r="E127" s="4051">
        <v>11</v>
      </c>
      <c r="F127" s="1658" t="s">
        <v>849</v>
      </c>
      <c r="G127" s="2298">
        <v>2.2135427475450986</v>
      </c>
      <c r="H127" s="3925"/>
      <c r="I127" s="3926"/>
      <c r="J127" s="3927"/>
      <c r="K127" s="3928"/>
      <c r="L127" s="4492">
        <f t="shared" ref="L127:W127" si="71">L23*$G$127</f>
        <v>85535.993832749096</v>
      </c>
      <c r="M127" s="5014">
        <f t="shared" si="71"/>
        <v>83635.193969799133</v>
      </c>
      <c r="N127" s="5507">
        <f t="shared" si="71"/>
        <v>121651.19122879874</v>
      </c>
      <c r="O127" s="6054">
        <f t="shared" si="71"/>
        <v>120579.8313060451</v>
      </c>
      <c r="P127" s="5264">
        <f t="shared" si="71"/>
        <v>104795.9924440794</v>
      </c>
      <c r="Q127" s="3883">
        <f t="shared" si="71"/>
        <v>154802.86883852177</v>
      </c>
      <c r="R127" s="3884">
        <f t="shared" si="71"/>
        <v>124675.19101076461</v>
      </c>
      <c r="S127" s="3882">
        <f t="shared" si="71"/>
        <v>117779.87150792568</v>
      </c>
      <c r="T127" s="3883">
        <f t="shared" si="71"/>
        <v>0</v>
      </c>
      <c r="U127" s="6476">
        <f t="shared" si="71"/>
        <v>0</v>
      </c>
      <c r="V127" s="3882">
        <f t="shared" si="71"/>
        <v>0</v>
      </c>
      <c r="W127" s="3929">
        <f t="shared" si="71"/>
        <v>0</v>
      </c>
      <c r="X127" s="1557">
        <f t="shared" ref="X127:X199" si="72">SUM(L127:W127)</f>
        <v>913456.13413868356</v>
      </c>
      <c r="Y127" s="1546"/>
      <c r="Z127" s="1532"/>
      <c r="AA127" s="5"/>
      <c r="AB127" s="10" t="s">
        <v>20</v>
      </c>
      <c r="AC127" s="1658" t="s">
        <v>848</v>
      </c>
      <c r="AD127" s="6496"/>
      <c r="AE127" s="6474"/>
    </row>
    <row r="128" spans="1:34" s="1535" customFormat="1" ht="16.5" customHeight="1">
      <c r="A128" s="7170"/>
      <c r="B128" s="7174"/>
      <c r="C128" s="10"/>
      <c r="D128" s="1658"/>
      <c r="E128" s="4051">
        <v>12</v>
      </c>
      <c r="F128" s="1658" t="s">
        <v>850</v>
      </c>
      <c r="G128" s="2298">
        <v>2.2725264389102779</v>
      </c>
      <c r="H128" s="3925"/>
      <c r="I128" s="3926"/>
      <c r="J128" s="3927"/>
      <c r="K128" s="3928"/>
      <c r="L128" s="4492">
        <f t="shared" ref="L128:W128" si="73">L24*$G$128</f>
        <v>0</v>
      </c>
      <c r="M128" s="5014">
        <f t="shared" si="73"/>
        <v>0</v>
      </c>
      <c r="N128" s="5507">
        <f t="shared" si="73"/>
        <v>7810.5599999999995</v>
      </c>
      <c r="O128" s="6054">
        <f t="shared" si="73"/>
        <v>12614.400000000001</v>
      </c>
      <c r="P128" s="5264">
        <f t="shared" si="73"/>
        <v>1181.8800000000001</v>
      </c>
      <c r="Q128" s="3883">
        <f t="shared" si="73"/>
        <v>0</v>
      </c>
      <c r="R128" s="3884">
        <f t="shared" si="73"/>
        <v>0</v>
      </c>
      <c r="S128" s="3882">
        <f t="shared" si="73"/>
        <v>0</v>
      </c>
      <c r="T128" s="3883">
        <f t="shared" si="73"/>
        <v>0</v>
      </c>
      <c r="U128" s="6476">
        <f t="shared" si="73"/>
        <v>0</v>
      </c>
      <c r="V128" s="3882">
        <f t="shared" si="73"/>
        <v>0</v>
      </c>
      <c r="W128" s="3929">
        <f t="shared" si="73"/>
        <v>0</v>
      </c>
      <c r="X128" s="1557">
        <f t="shared" si="72"/>
        <v>21606.84</v>
      </c>
      <c r="Y128" s="1546"/>
      <c r="Z128" s="1532"/>
      <c r="AA128" s="5"/>
      <c r="AB128" s="10" t="str">
        <f t="shared" ref="AB128:AB156" si="74">AB127</f>
        <v>LGIT</v>
      </c>
      <c r="AC128" s="1658" t="str">
        <f t="shared" ref="AC128:AC137" si="75">AC127</f>
        <v>Motor HSG</v>
      </c>
      <c r="AD128" s="6496"/>
      <c r="AE128" s="6474"/>
    </row>
    <row r="129" spans="1:31" s="1535" customFormat="1" ht="16.5" hidden="1" customHeight="1">
      <c r="A129" s="7170"/>
      <c r="B129" s="7174"/>
      <c r="C129" s="10"/>
      <c r="D129" s="1658"/>
      <c r="E129" s="4051"/>
      <c r="F129" s="1658" t="s">
        <v>1186</v>
      </c>
      <c r="G129" s="2298">
        <v>2.0915655894938765</v>
      </c>
      <c r="H129" s="3925"/>
      <c r="I129" s="3926"/>
      <c r="J129" s="3927"/>
      <c r="K129" s="3928"/>
      <c r="L129" s="4492">
        <f t="shared" ref="L129:W129" si="76">L25*$G$129</f>
        <v>0</v>
      </c>
      <c r="M129" s="5014">
        <f t="shared" si="76"/>
        <v>0</v>
      </c>
      <c r="N129" s="5507">
        <f t="shared" si="76"/>
        <v>0</v>
      </c>
      <c r="O129" s="6054">
        <f t="shared" si="76"/>
        <v>0</v>
      </c>
      <c r="P129" s="5264">
        <f t="shared" si="76"/>
        <v>0</v>
      </c>
      <c r="Q129" s="3883">
        <f t="shared" si="76"/>
        <v>0</v>
      </c>
      <c r="R129" s="3884">
        <f t="shared" si="76"/>
        <v>0</v>
      </c>
      <c r="S129" s="3882">
        <f t="shared" si="76"/>
        <v>0</v>
      </c>
      <c r="T129" s="3883">
        <f t="shared" si="76"/>
        <v>0</v>
      </c>
      <c r="U129" s="6476">
        <f t="shared" si="76"/>
        <v>0</v>
      </c>
      <c r="V129" s="3882">
        <f t="shared" si="76"/>
        <v>0</v>
      </c>
      <c r="W129" s="3929">
        <f t="shared" si="76"/>
        <v>0</v>
      </c>
      <c r="X129" s="1557">
        <f t="shared" si="72"/>
        <v>0</v>
      </c>
      <c r="Y129" s="5000"/>
      <c r="Z129" s="1532"/>
      <c r="AA129" s="5"/>
      <c r="AB129" s="10" t="str">
        <f t="shared" si="74"/>
        <v>LGIT</v>
      </c>
      <c r="AC129" s="1658" t="str">
        <f t="shared" si="75"/>
        <v>Motor HSG</v>
      </c>
      <c r="AD129" s="6496"/>
      <c r="AE129" s="6474"/>
    </row>
    <row r="130" spans="1:31" s="1535" customFormat="1" ht="16.5" hidden="1" customHeight="1">
      <c r="A130" s="7170"/>
      <c r="B130" s="7174"/>
      <c r="C130" s="10"/>
      <c r="D130" s="1658"/>
      <c r="E130" s="4051"/>
      <c r="F130" s="1658" t="s">
        <v>1172</v>
      </c>
      <c r="G130" s="2298">
        <v>2.2086071428571432</v>
      </c>
      <c r="H130" s="3925"/>
      <c r="I130" s="3926"/>
      <c r="J130" s="3927"/>
      <c r="K130" s="3928"/>
      <c r="L130" s="4492">
        <f t="shared" ref="L130:W130" si="77">L26*$G$130</f>
        <v>0</v>
      </c>
      <c r="M130" s="5014">
        <f t="shared" si="77"/>
        <v>0</v>
      </c>
      <c r="N130" s="5507">
        <f t="shared" si="77"/>
        <v>0</v>
      </c>
      <c r="O130" s="6054">
        <f t="shared" si="77"/>
        <v>0</v>
      </c>
      <c r="P130" s="5264">
        <f t="shared" si="77"/>
        <v>0</v>
      </c>
      <c r="Q130" s="3883">
        <f t="shared" si="77"/>
        <v>0</v>
      </c>
      <c r="R130" s="3884">
        <f t="shared" si="77"/>
        <v>0</v>
      </c>
      <c r="S130" s="3882">
        <f t="shared" si="77"/>
        <v>0</v>
      </c>
      <c r="T130" s="3883">
        <f t="shared" si="77"/>
        <v>0</v>
      </c>
      <c r="U130" s="6476">
        <f t="shared" si="77"/>
        <v>0</v>
      </c>
      <c r="V130" s="3882">
        <f t="shared" si="77"/>
        <v>0</v>
      </c>
      <c r="W130" s="3929">
        <f t="shared" si="77"/>
        <v>0</v>
      </c>
      <c r="X130" s="1557">
        <f t="shared" si="72"/>
        <v>0</v>
      </c>
      <c r="Y130" s="1546"/>
      <c r="Z130" s="1532"/>
      <c r="AA130" s="5"/>
      <c r="AB130" s="10" t="str">
        <f t="shared" si="74"/>
        <v>LGIT</v>
      </c>
      <c r="AC130" s="1658" t="str">
        <f t="shared" si="75"/>
        <v>Motor HSG</v>
      </c>
      <c r="AD130" s="6496"/>
      <c r="AE130" s="6474"/>
    </row>
    <row r="131" spans="1:31" s="1569" customFormat="1" ht="16.5" customHeight="1">
      <c r="A131" s="7170"/>
      <c r="B131" s="7174"/>
      <c r="C131" s="10"/>
      <c r="D131" s="1658"/>
      <c r="E131" s="4051"/>
      <c r="F131" s="1658" t="s">
        <v>853</v>
      </c>
      <c r="G131" s="2298">
        <v>4.2</v>
      </c>
      <c r="H131" s="3925"/>
      <c r="I131" s="3926"/>
      <c r="J131" s="3927"/>
      <c r="K131" s="3928"/>
      <c r="L131" s="4492">
        <f t="shared" ref="L131:W131" si="78">L27*$G$131</f>
        <v>0</v>
      </c>
      <c r="M131" s="5014">
        <f t="shared" si="78"/>
        <v>0</v>
      </c>
      <c r="N131" s="5507">
        <f t="shared" si="78"/>
        <v>103331.14923388245</v>
      </c>
      <c r="O131" s="4492">
        <f t="shared" si="78"/>
        <v>54240.466982495433</v>
      </c>
      <c r="P131" s="5014">
        <f t="shared" si="78"/>
        <v>0</v>
      </c>
      <c r="Q131" s="3883">
        <f t="shared" si="78"/>
        <v>0</v>
      </c>
      <c r="R131" s="3884">
        <f t="shared" si="78"/>
        <v>0</v>
      </c>
      <c r="S131" s="3882">
        <f t="shared" si="78"/>
        <v>0</v>
      </c>
      <c r="T131" s="3883">
        <f t="shared" si="78"/>
        <v>0</v>
      </c>
      <c r="U131" s="6476">
        <f t="shared" si="78"/>
        <v>0</v>
      </c>
      <c r="V131" s="3882">
        <f t="shared" si="78"/>
        <v>0</v>
      </c>
      <c r="W131" s="3929">
        <f t="shared" si="78"/>
        <v>0</v>
      </c>
      <c r="X131" s="1557">
        <f t="shared" si="72"/>
        <v>157571.61621637788</v>
      </c>
      <c r="Y131" s="1546"/>
      <c r="Z131" s="1532"/>
      <c r="AA131" s="5"/>
      <c r="AB131" s="10" t="str">
        <f t="shared" si="74"/>
        <v>LGIT</v>
      </c>
      <c r="AC131" s="1658" t="str">
        <f t="shared" si="75"/>
        <v>Motor HSG</v>
      </c>
      <c r="AD131" s="6356"/>
      <c r="AE131" s="6474"/>
    </row>
    <row r="132" spans="1:31" s="1535" customFormat="1" ht="16.5" customHeight="1">
      <c r="A132" s="7170"/>
      <c r="B132" s="7174"/>
      <c r="C132" s="10"/>
      <c r="D132" s="1658"/>
      <c r="E132" s="4051">
        <v>13</v>
      </c>
      <c r="F132" s="1658" t="str">
        <f>F28</f>
        <v>CL4 Housing (YT)</v>
      </c>
      <c r="G132" s="2298">
        <v>3.3439707121397766</v>
      </c>
      <c r="H132" s="3922"/>
      <c r="I132" s="3923"/>
      <c r="J132" s="3924"/>
      <c r="K132" s="2403"/>
      <c r="L132" s="4492">
        <f t="shared" ref="L132:W132" si="79">L28*$G$132</f>
        <v>157343.58000000002</v>
      </c>
      <c r="M132" s="5014">
        <f t="shared" si="79"/>
        <v>105973.02</v>
      </c>
      <c r="N132" s="5507">
        <f t="shared" si="79"/>
        <v>125269.63999999998</v>
      </c>
      <c r="O132" s="6054">
        <f t="shared" si="79"/>
        <v>148780.80000000002</v>
      </c>
      <c r="P132" s="5264">
        <f t="shared" si="79"/>
        <v>158902.56</v>
      </c>
      <c r="Q132" s="3883">
        <f t="shared" si="79"/>
        <v>95328.36</v>
      </c>
      <c r="R132" s="3884">
        <f t="shared" si="79"/>
        <v>0</v>
      </c>
      <c r="S132" s="3882">
        <f t="shared" si="79"/>
        <v>0</v>
      </c>
      <c r="T132" s="3883">
        <f t="shared" si="79"/>
        <v>0</v>
      </c>
      <c r="U132" s="6476">
        <f t="shared" si="79"/>
        <v>0</v>
      </c>
      <c r="V132" s="3882">
        <f t="shared" si="79"/>
        <v>0</v>
      </c>
      <c r="W132" s="3929">
        <f t="shared" si="79"/>
        <v>0</v>
      </c>
      <c r="X132" s="1557">
        <f t="shared" si="72"/>
        <v>791597.96000000008</v>
      </c>
      <c r="Y132" s="1546"/>
      <c r="Z132" s="1532"/>
      <c r="AA132" s="5"/>
      <c r="AB132" s="10" t="str">
        <f t="shared" si="74"/>
        <v>LGIT</v>
      </c>
      <c r="AC132" s="1658" t="str">
        <f t="shared" si="75"/>
        <v>Motor HSG</v>
      </c>
      <c r="AD132" s="6496"/>
      <c r="AE132" s="6474"/>
    </row>
    <row r="133" spans="1:31" s="1535" customFormat="1" ht="16.5" customHeight="1">
      <c r="A133" s="7170"/>
      <c r="B133" s="7174"/>
      <c r="C133" s="10"/>
      <c r="D133" s="1658"/>
      <c r="E133" s="4051"/>
      <c r="F133" s="1658" t="str">
        <f>F29</f>
        <v>CL4 Housing (MX)</v>
      </c>
      <c r="G133" s="2298">
        <v>3.32</v>
      </c>
      <c r="H133" s="3922"/>
      <c r="I133" s="3923"/>
      <c r="J133" s="3924"/>
      <c r="K133" s="2403"/>
      <c r="L133" s="4492">
        <f t="shared" ref="L133:W133" si="80">L29*$G$133</f>
        <v>0</v>
      </c>
      <c r="M133" s="5014">
        <f t="shared" si="80"/>
        <v>65400</v>
      </c>
      <c r="N133" s="5507">
        <f t="shared" si="80"/>
        <v>0</v>
      </c>
      <c r="O133" s="6054">
        <f t="shared" si="80"/>
        <v>65400</v>
      </c>
      <c r="P133" s="5264">
        <f t="shared" si="80"/>
        <v>89000</v>
      </c>
      <c r="Q133" s="3929">
        <f t="shared" si="80"/>
        <v>78320</v>
      </c>
      <c r="R133" s="3884">
        <f t="shared" si="80"/>
        <v>65400</v>
      </c>
      <c r="S133" s="3882">
        <f t="shared" si="80"/>
        <v>0</v>
      </c>
      <c r="T133" s="3883">
        <f t="shared" si="80"/>
        <v>0</v>
      </c>
      <c r="U133" s="6476">
        <f t="shared" si="80"/>
        <v>0</v>
      </c>
      <c r="V133" s="3882">
        <f t="shared" si="80"/>
        <v>0</v>
      </c>
      <c r="W133" s="3929">
        <f t="shared" si="80"/>
        <v>0</v>
      </c>
      <c r="X133" s="1557">
        <f t="shared" si="72"/>
        <v>363520</v>
      </c>
      <c r="Y133" s="1546"/>
      <c r="Z133" s="1532"/>
      <c r="AA133" s="5"/>
      <c r="AB133" s="10" t="str">
        <f t="shared" si="74"/>
        <v>LGIT</v>
      </c>
      <c r="AC133" s="1658" t="str">
        <f t="shared" si="75"/>
        <v>Motor HSG</v>
      </c>
      <c r="AD133" s="6496"/>
      <c r="AE133" s="6474"/>
    </row>
    <row r="134" spans="1:31" s="1535" customFormat="1" ht="16.5" customHeight="1">
      <c r="A134" s="7170"/>
      <c r="B134" s="7174"/>
      <c r="C134" s="10"/>
      <c r="D134" s="1658"/>
      <c r="E134" s="4051">
        <v>14</v>
      </c>
      <c r="F134" s="1658" t="s">
        <v>855</v>
      </c>
      <c r="G134" s="2298">
        <v>3.3730168503980447</v>
      </c>
      <c r="H134" s="3922"/>
      <c r="I134" s="3923"/>
      <c r="J134" s="3924"/>
      <c r="K134" s="2403"/>
      <c r="L134" s="4492">
        <f t="shared" ref="L134:W134" si="81">L30*$G$134</f>
        <v>1985.9275498475145</v>
      </c>
      <c r="M134" s="5014">
        <f t="shared" si="81"/>
        <v>53620.043845882887</v>
      </c>
      <c r="N134" s="5507">
        <f t="shared" si="81"/>
        <v>90789.987820528855</v>
      </c>
      <c r="O134" s="6054">
        <f t="shared" si="81"/>
        <v>72529.224005517826</v>
      </c>
      <c r="P134" s="5264">
        <f t="shared" si="81"/>
        <v>91517.38128392768</v>
      </c>
      <c r="Q134" s="3929">
        <f t="shared" si="81"/>
        <v>34308.188376556041</v>
      </c>
      <c r="R134" s="3884">
        <f t="shared" si="81"/>
        <v>56140.671888909885</v>
      </c>
      <c r="S134" s="3882">
        <f t="shared" si="81"/>
        <v>101206.26781619582</v>
      </c>
      <c r="T134" s="3883">
        <f t="shared" si="81"/>
        <v>34698.054153562356</v>
      </c>
      <c r="U134" s="6476">
        <f t="shared" si="81"/>
        <v>0</v>
      </c>
      <c r="V134" s="3882">
        <f t="shared" si="81"/>
        <v>0</v>
      </c>
      <c r="W134" s="3929">
        <f t="shared" si="81"/>
        <v>0</v>
      </c>
      <c r="X134" s="1557">
        <f t="shared" si="72"/>
        <v>536795.74674092897</v>
      </c>
      <c r="Y134" s="1546"/>
      <c r="Z134" s="1532"/>
      <c r="AA134" s="5"/>
      <c r="AB134" s="10" t="str">
        <f t="shared" si="74"/>
        <v>LGIT</v>
      </c>
      <c r="AC134" s="1658" t="str">
        <f t="shared" si="75"/>
        <v>Motor HSG</v>
      </c>
      <c r="AD134" s="6496"/>
      <c r="AE134" s="6474"/>
    </row>
    <row r="135" spans="1:31" s="1535" customFormat="1" ht="16.5" customHeight="1">
      <c r="A135" s="7170"/>
      <c r="B135" s="7174"/>
      <c r="C135" s="10"/>
      <c r="D135" s="1658"/>
      <c r="E135" s="4051"/>
      <c r="F135" s="1658"/>
      <c r="G135" s="2298">
        <v>3.26</v>
      </c>
      <c r="H135" s="3922"/>
      <c r="I135" s="3923"/>
      <c r="J135" s="3924"/>
      <c r="K135" s="2403"/>
      <c r="L135" s="4492">
        <f t="shared" ref="L135:W135" si="82">L31*$G$135</f>
        <v>0</v>
      </c>
      <c r="M135" s="5014">
        <f t="shared" si="82"/>
        <v>64200</v>
      </c>
      <c r="N135" s="5507">
        <f t="shared" si="82"/>
        <v>0</v>
      </c>
      <c r="O135" s="6054">
        <f>O31*$G$135+18166</f>
        <v>82366</v>
      </c>
      <c r="P135" s="5264">
        <f t="shared" si="82"/>
        <v>80730</v>
      </c>
      <c r="Q135" s="3929">
        <f t="shared" si="82"/>
        <v>70200</v>
      </c>
      <c r="R135" s="3884">
        <f t="shared" si="82"/>
        <v>64200</v>
      </c>
      <c r="S135" s="3882">
        <f t="shared" si="82"/>
        <v>0</v>
      </c>
      <c r="T135" s="3883">
        <f t="shared" si="82"/>
        <v>0</v>
      </c>
      <c r="U135" s="6476">
        <f t="shared" si="82"/>
        <v>0</v>
      </c>
      <c r="V135" s="3882">
        <f t="shared" si="82"/>
        <v>0</v>
      </c>
      <c r="W135" s="3929">
        <f t="shared" si="82"/>
        <v>0</v>
      </c>
      <c r="X135" s="1557">
        <f t="shared" si="72"/>
        <v>361696</v>
      </c>
      <c r="Y135" s="1546"/>
      <c r="Z135" s="1532"/>
      <c r="AA135" s="5"/>
      <c r="AB135" s="10" t="str">
        <f t="shared" si="74"/>
        <v>LGIT</v>
      </c>
      <c r="AC135" s="1658" t="str">
        <f t="shared" si="75"/>
        <v>Motor HSG</v>
      </c>
      <c r="AD135" s="6496"/>
      <c r="AE135" s="6474"/>
    </row>
    <row r="136" spans="1:31" s="1535" customFormat="1" ht="13.95" hidden="1" customHeight="1">
      <c r="A136" s="7170"/>
      <c r="B136" s="7174"/>
      <c r="C136" s="10"/>
      <c r="D136" s="1658"/>
      <c r="E136" s="4051"/>
      <c r="F136" s="1658" t="s">
        <v>680</v>
      </c>
      <c r="G136" s="2298">
        <v>2.2553821243523315</v>
      </c>
      <c r="H136" s="3922"/>
      <c r="I136" s="3923"/>
      <c r="J136" s="3924"/>
      <c r="K136" s="2403"/>
      <c r="L136" s="4492">
        <f t="shared" ref="L136:W136" si="83">L32*$G$136</f>
        <v>0</v>
      </c>
      <c r="M136" s="5014">
        <f t="shared" si="83"/>
        <v>0</v>
      </c>
      <c r="N136" s="5507">
        <f t="shared" si="83"/>
        <v>0</v>
      </c>
      <c r="O136" s="6054">
        <f t="shared" si="83"/>
        <v>0</v>
      </c>
      <c r="P136" s="5264">
        <f t="shared" si="83"/>
        <v>0</v>
      </c>
      <c r="Q136" s="3929">
        <f t="shared" si="83"/>
        <v>0</v>
      </c>
      <c r="R136" s="3884">
        <f t="shared" si="83"/>
        <v>0</v>
      </c>
      <c r="S136" s="3882">
        <f t="shared" si="83"/>
        <v>0</v>
      </c>
      <c r="T136" s="3883">
        <f t="shared" si="83"/>
        <v>0</v>
      </c>
      <c r="U136" s="6476">
        <f t="shared" si="83"/>
        <v>0</v>
      </c>
      <c r="V136" s="3882">
        <f t="shared" si="83"/>
        <v>0</v>
      </c>
      <c r="W136" s="3929">
        <f t="shared" si="83"/>
        <v>0</v>
      </c>
      <c r="X136" s="1557">
        <f t="shared" si="72"/>
        <v>0</v>
      </c>
      <c r="Y136" s="1546"/>
      <c r="Z136" s="1532"/>
      <c r="AA136" s="5"/>
      <c r="AB136" s="10" t="str">
        <f t="shared" si="74"/>
        <v>LGIT</v>
      </c>
      <c r="AC136" s="1658" t="str">
        <f t="shared" si="75"/>
        <v>Motor HSG</v>
      </c>
      <c r="AD136" s="6496"/>
      <c r="AE136" s="6474"/>
    </row>
    <row r="137" spans="1:31" s="1535" customFormat="1" ht="16.5" hidden="1" customHeight="1">
      <c r="A137" s="7170"/>
      <c r="B137" s="7174"/>
      <c r="C137" s="10"/>
      <c r="D137" s="1658"/>
      <c r="E137" s="4051">
        <v>15</v>
      </c>
      <c r="F137" s="1658" t="s">
        <v>1276</v>
      </c>
      <c r="G137" s="2298">
        <v>4.59</v>
      </c>
      <c r="H137" s="3922"/>
      <c r="I137" s="3923"/>
      <c r="J137" s="3924"/>
      <c r="K137" s="2403"/>
      <c r="L137" s="4492">
        <f t="shared" ref="L137:W137" si="84">L33*$G$137</f>
        <v>0</v>
      </c>
      <c r="M137" s="5014">
        <f t="shared" si="84"/>
        <v>0</v>
      </c>
      <c r="N137" s="5507">
        <f t="shared" si="84"/>
        <v>0</v>
      </c>
      <c r="O137" s="6054">
        <f t="shared" si="84"/>
        <v>0</v>
      </c>
      <c r="P137" s="5264">
        <f t="shared" si="84"/>
        <v>0</v>
      </c>
      <c r="Q137" s="3929">
        <f t="shared" si="84"/>
        <v>0</v>
      </c>
      <c r="R137" s="3884">
        <f t="shared" si="84"/>
        <v>0</v>
      </c>
      <c r="S137" s="3882">
        <f t="shared" si="84"/>
        <v>0</v>
      </c>
      <c r="T137" s="3883">
        <f t="shared" si="84"/>
        <v>0</v>
      </c>
      <c r="U137" s="6476">
        <f t="shared" si="84"/>
        <v>0</v>
      </c>
      <c r="V137" s="3882">
        <f t="shared" si="84"/>
        <v>0</v>
      </c>
      <c r="W137" s="3929">
        <f t="shared" si="84"/>
        <v>0</v>
      </c>
      <c r="X137" s="1557">
        <f t="shared" si="72"/>
        <v>0</v>
      </c>
      <c r="Y137" s="1546"/>
      <c r="Z137" s="1532"/>
      <c r="AA137" s="5"/>
      <c r="AB137" s="10" t="str">
        <f t="shared" si="74"/>
        <v>LGIT</v>
      </c>
      <c r="AC137" s="1658" t="str">
        <f t="shared" si="75"/>
        <v>Motor HSG</v>
      </c>
      <c r="AD137" s="6496"/>
      <c r="AE137" s="6474"/>
    </row>
    <row r="138" spans="1:31" s="1535" customFormat="1" ht="16.5" customHeight="1">
      <c r="A138" s="7170"/>
      <c r="B138" s="7174"/>
      <c r="C138" s="10"/>
      <c r="D138" s="7137" t="s">
        <v>1709</v>
      </c>
      <c r="E138" s="7138"/>
      <c r="F138" s="7139"/>
      <c r="G138" s="5700"/>
      <c r="H138" s="5701"/>
      <c r="I138" s="5702"/>
      <c r="J138" s="5703"/>
      <c r="K138" s="5704"/>
      <c r="L138" s="5705">
        <f>SUM(L127:L135)</f>
        <v>244865.50138259662</v>
      </c>
      <c r="M138" s="5706">
        <f t="shared" ref="M138:X138" si="85">SUM(M127:M135)</f>
        <v>372828.25781568204</v>
      </c>
      <c r="N138" s="5707">
        <f t="shared" si="85"/>
        <v>448852.52828321006</v>
      </c>
      <c r="O138" s="6055">
        <f t="shared" si="85"/>
        <v>556510.72229405842</v>
      </c>
      <c r="P138" s="6525">
        <f t="shared" si="85"/>
        <v>526127.81372800714</v>
      </c>
      <c r="Q138" s="5708">
        <f t="shared" si="85"/>
        <v>432959.41721507779</v>
      </c>
      <c r="R138" s="5709">
        <f t="shared" si="85"/>
        <v>310415.86289967451</v>
      </c>
      <c r="S138" s="5710">
        <f t="shared" si="85"/>
        <v>218986.1393241215</v>
      </c>
      <c r="T138" s="5711">
        <f t="shared" si="85"/>
        <v>34698.054153562356</v>
      </c>
      <c r="U138" s="6477">
        <f t="shared" si="85"/>
        <v>0</v>
      </c>
      <c r="V138" s="5710">
        <f t="shared" si="85"/>
        <v>0</v>
      </c>
      <c r="W138" s="5708">
        <f t="shared" si="85"/>
        <v>0</v>
      </c>
      <c r="X138" s="5712">
        <f t="shared" si="85"/>
        <v>3146244.2970959903</v>
      </c>
      <c r="Y138" s="1546"/>
      <c r="Z138" s="1532"/>
      <c r="AA138" s="5"/>
      <c r="AB138" s="10"/>
      <c r="AC138" s="1658"/>
      <c r="AD138" s="6496"/>
      <c r="AE138" s="6474"/>
    </row>
    <row r="139" spans="1:31" s="1535" customFormat="1" ht="16.5" customHeight="1">
      <c r="A139" s="7170"/>
      <c r="B139" s="7174"/>
      <c r="C139" s="10"/>
      <c r="D139" s="1746" t="s">
        <v>857</v>
      </c>
      <c r="E139" s="4052"/>
      <c r="F139" s="1746" t="s">
        <v>858</v>
      </c>
      <c r="G139" s="3917">
        <v>2.1305740748584583</v>
      </c>
      <c r="H139" s="3930"/>
      <c r="I139" s="3931"/>
      <c r="J139" s="3932"/>
      <c r="K139" s="3933"/>
      <c r="L139" s="4496">
        <f t="shared" ref="L139:W139" si="86">L35*$G$139</f>
        <v>7625.4</v>
      </c>
      <c r="M139" s="5016">
        <f t="shared" si="86"/>
        <v>0</v>
      </c>
      <c r="N139" s="5511">
        <f t="shared" si="86"/>
        <v>0</v>
      </c>
      <c r="O139" s="4496">
        <f t="shared" si="86"/>
        <v>0</v>
      </c>
      <c r="P139" s="6526">
        <f t="shared" si="86"/>
        <v>0</v>
      </c>
      <c r="Q139" s="3937">
        <f t="shared" si="86"/>
        <v>0</v>
      </c>
      <c r="R139" s="3934">
        <f t="shared" si="86"/>
        <v>46787.579999999994</v>
      </c>
      <c r="S139" s="3935">
        <f t="shared" si="86"/>
        <v>0</v>
      </c>
      <c r="T139" s="3936">
        <f t="shared" si="86"/>
        <v>0</v>
      </c>
      <c r="U139" s="6478">
        <f t="shared" si="86"/>
        <v>0</v>
      </c>
      <c r="V139" s="3935">
        <f t="shared" si="86"/>
        <v>0</v>
      </c>
      <c r="W139" s="3937">
        <f t="shared" si="86"/>
        <v>0</v>
      </c>
      <c r="X139" s="1575">
        <f t="shared" si="72"/>
        <v>54412.979999999996</v>
      </c>
      <c r="Y139" s="1546"/>
      <c r="Z139" s="1532"/>
      <c r="AA139" s="5"/>
      <c r="AB139" s="10" t="str">
        <f>AB137</f>
        <v>LGIT</v>
      </c>
      <c r="AC139" s="1746" t="s">
        <v>857</v>
      </c>
      <c r="AD139" s="6496"/>
      <c r="AE139" s="6474"/>
    </row>
    <row r="140" spans="1:31" s="1535" customFormat="1" ht="16.5" customHeight="1">
      <c r="A140" s="7170"/>
      <c r="B140" s="7174"/>
      <c r="C140" s="10"/>
      <c r="D140" s="1658"/>
      <c r="E140" s="4051"/>
      <c r="F140" s="1658" t="s">
        <v>859</v>
      </c>
      <c r="G140" s="2298">
        <v>1.21</v>
      </c>
      <c r="H140" s="3925"/>
      <c r="I140" s="3926"/>
      <c r="J140" s="3927"/>
      <c r="K140" s="3928"/>
      <c r="L140" s="4492">
        <f t="shared" ref="L140:W140" si="87">L36*$G$140</f>
        <v>0</v>
      </c>
      <c r="M140" s="5014">
        <f t="shared" si="87"/>
        <v>0</v>
      </c>
      <c r="N140" s="5507">
        <f t="shared" si="87"/>
        <v>17075.940690411142</v>
      </c>
      <c r="O140" s="4492">
        <f t="shared" si="87"/>
        <v>32550.701731151716</v>
      </c>
      <c r="P140" s="5264">
        <f t="shared" si="87"/>
        <v>0</v>
      </c>
      <c r="Q140" s="3929">
        <f t="shared" si="87"/>
        <v>0</v>
      </c>
      <c r="R140" s="3884">
        <f t="shared" si="87"/>
        <v>0</v>
      </c>
      <c r="S140" s="3882">
        <f t="shared" si="87"/>
        <v>0</v>
      </c>
      <c r="T140" s="3883">
        <f t="shared" si="87"/>
        <v>0</v>
      </c>
      <c r="U140" s="6476">
        <f t="shared" si="87"/>
        <v>0</v>
      </c>
      <c r="V140" s="3882">
        <f t="shared" si="87"/>
        <v>0</v>
      </c>
      <c r="W140" s="3929">
        <f t="shared" si="87"/>
        <v>0</v>
      </c>
      <c r="X140" s="1557">
        <f t="shared" si="72"/>
        <v>49626.642421562858</v>
      </c>
      <c r="Y140" s="1546"/>
      <c r="Z140" s="1532"/>
      <c r="AA140" s="5"/>
      <c r="AB140" s="10" t="str">
        <f t="shared" si="74"/>
        <v>LGIT</v>
      </c>
      <c r="AC140" s="1658" t="str">
        <f t="shared" ref="AC140:AC148" si="88">AC139</f>
        <v>Motor CVR</v>
      </c>
      <c r="AD140" s="6496"/>
      <c r="AE140" s="6474"/>
    </row>
    <row r="141" spans="1:31" s="1535" customFormat="1" ht="16.5" customHeight="1">
      <c r="A141" s="7170"/>
      <c r="B141" s="7174"/>
      <c r="C141" s="10"/>
      <c r="D141" s="1658"/>
      <c r="E141" s="4051">
        <v>16</v>
      </c>
      <c r="F141" s="1658" t="s">
        <v>860</v>
      </c>
      <c r="G141" s="2298">
        <v>1.7131494493284096</v>
      </c>
      <c r="H141" s="3922"/>
      <c r="I141" s="3923"/>
      <c r="J141" s="3924"/>
      <c r="K141" s="2403"/>
      <c r="L141" s="4492">
        <f t="shared" ref="L141:W141" si="89">L37*$G$141</f>
        <v>34715.519999999997</v>
      </c>
      <c r="M141" s="5014">
        <f t="shared" si="89"/>
        <v>24796.799999999999</v>
      </c>
      <c r="N141" s="5507">
        <f t="shared" si="89"/>
        <v>22317.119999999999</v>
      </c>
      <c r="O141" s="4492">
        <f t="shared" si="89"/>
        <v>28301.480000000003</v>
      </c>
      <c r="P141" s="5264">
        <f t="shared" si="89"/>
        <v>32098.02</v>
      </c>
      <c r="Q141" s="3929">
        <f t="shared" si="89"/>
        <v>28301.480000000003</v>
      </c>
      <c r="R141" s="3884">
        <f t="shared" si="89"/>
        <v>28301.480000000003</v>
      </c>
      <c r="S141" s="3882">
        <f t="shared" si="89"/>
        <v>23176.48</v>
      </c>
      <c r="T141" s="3883">
        <f t="shared" si="89"/>
        <v>0</v>
      </c>
      <c r="U141" s="6476">
        <f t="shared" si="89"/>
        <v>0</v>
      </c>
      <c r="V141" s="3882">
        <f t="shared" si="89"/>
        <v>0</v>
      </c>
      <c r="W141" s="3929">
        <f t="shared" si="89"/>
        <v>0</v>
      </c>
      <c r="X141" s="1557">
        <f t="shared" si="72"/>
        <v>222008.38</v>
      </c>
      <c r="Y141" s="1546"/>
      <c r="Z141" s="1532"/>
      <c r="AA141" s="5"/>
      <c r="AB141" s="10" t="str">
        <f t="shared" si="74"/>
        <v>LGIT</v>
      </c>
      <c r="AC141" s="1658" t="str">
        <f t="shared" si="88"/>
        <v>Motor CVR</v>
      </c>
      <c r="AD141" s="6496"/>
      <c r="AE141" s="6474"/>
    </row>
    <row r="142" spans="1:31" s="1535" customFormat="1" ht="16.5" hidden="1" customHeight="1">
      <c r="A142" s="7170"/>
      <c r="B142" s="7174"/>
      <c r="C142" s="10"/>
      <c r="D142" s="1658"/>
      <c r="E142" s="4051"/>
      <c r="F142" s="1658" t="s">
        <v>1044</v>
      </c>
      <c r="G142" s="2298">
        <v>1.93</v>
      </c>
      <c r="H142" s="3922"/>
      <c r="I142" s="3923"/>
      <c r="J142" s="3924"/>
      <c r="K142" s="2403"/>
      <c r="L142" s="4492">
        <f t="shared" ref="L142:W142" si="90">L38*$G$142</f>
        <v>0</v>
      </c>
      <c r="M142" s="5014">
        <f t="shared" si="90"/>
        <v>0</v>
      </c>
      <c r="N142" s="5507">
        <f t="shared" si="90"/>
        <v>0</v>
      </c>
      <c r="O142" s="4492">
        <f t="shared" si="90"/>
        <v>0</v>
      </c>
      <c r="P142" s="5264">
        <f t="shared" si="90"/>
        <v>0</v>
      </c>
      <c r="Q142" s="3929">
        <f t="shared" si="90"/>
        <v>0</v>
      </c>
      <c r="R142" s="3884">
        <f t="shared" si="90"/>
        <v>0</v>
      </c>
      <c r="S142" s="3882">
        <f t="shared" si="90"/>
        <v>0</v>
      </c>
      <c r="T142" s="3883">
        <f t="shared" si="90"/>
        <v>0</v>
      </c>
      <c r="U142" s="6476">
        <f t="shared" si="90"/>
        <v>0</v>
      </c>
      <c r="V142" s="3882">
        <f t="shared" si="90"/>
        <v>0</v>
      </c>
      <c r="W142" s="3929">
        <f t="shared" si="90"/>
        <v>0</v>
      </c>
      <c r="X142" s="1557">
        <f t="shared" si="72"/>
        <v>0</v>
      </c>
      <c r="Y142" s="1546"/>
      <c r="Z142" s="1532"/>
      <c r="AA142" s="5"/>
      <c r="AB142" s="10" t="str">
        <f t="shared" si="74"/>
        <v>LGIT</v>
      </c>
      <c r="AC142" s="1658" t="str">
        <f t="shared" si="88"/>
        <v>Motor CVR</v>
      </c>
      <c r="AD142" s="6496"/>
      <c r="AE142" s="6474"/>
    </row>
    <row r="143" spans="1:31" s="1535" customFormat="1" ht="16.5" customHeight="1">
      <c r="A143" s="7170"/>
      <c r="B143" s="7174"/>
      <c r="C143" s="10"/>
      <c r="D143" s="1658"/>
      <c r="E143" s="4051">
        <v>17</v>
      </c>
      <c r="F143" s="1658" t="s">
        <v>861</v>
      </c>
      <c r="G143" s="2298">
        <v>1.3549204341869534</v>
      </c>
      <c r="H143" s="3922"/>
      <c r="I143" s="3923"/>
      <c r="J143" s="3924"/>
      <c r="K143" s="2403"/>
      <c r="L143" s="4492">
        <f t="shared" ref="L143:W143" si="91">L39*$G$143</f>
        <v>10233</v>
      </c>
      <c r="M143" s="5014">
        <f t="shared" si="91"/>
        <v>25592.660000000003</v>
      </c>
      <c r="N143" s="5507">
        <f t="shared" si="91"/>
        <v>26049.600000000006</v>
      </c>
      <c r="O143" s="6054">
        <f t="shared" si="91"/>
        <v>10108.800000000001</v>
      </c>
      <c r="P143" s="5264">
        <f t="shared" si="91"/>
        <v>18408</v>
      </c>
      <c r="Q143" s="3929">
        <f t="shared" si="91"/>
        <v>16692</v>
      </c>
      <c r="R143" s="3884">
        <f t="shared" si="91"/>
        <v>0</v>
      </c>
      <c r="S143" s="3882">
        <f t="shared" si="91"/>
        <v>0</v>
      </c>
      <c r="T143" s="3883">
        <f t="shared" si="91"/>
        <v>0</v>
      </c>
      <c r="U143" s="6476">
        <f t="shared" si="91"/>
        <v>0</v>
      </c>
      <c r="V143" s="3882">
        <f t="shared" si="91"/>
        <v>0</v>
      </c>
      <c r="W143" s="3929">
        <f t="shared" si="91"/>
        <v>0</v>
      </c>
      <c r="X143" s="1557">
        <f t="shared" si="72"/>
        <v>107084.06000000001</v>
      </c>
      <c r="Y143" s="1546"/>
      <c r="Z143" s="1532"/>
      <c r="AA143" s="5"/>
      <c r="AB143" s="10" t="str">
        <f t="shared" si="74"/>
        <v>LGIT</v>
      </c>
      <c r="AC143" s="1658" t="str">
        <f t="shared" si="88"/>
        <v>Motor CVR</v>
      </c>
      <c r="AD143" s="6496"/>
      <c r="AE143" s="6474"/>
    </row>
    <row r="144" spans="1:31" s="1535" customFormat="1" ht="16.5" customHeight="1">
      <c r="A144" s="7170"/>
      <c r="B144" s="7174"/>
      <c r="C144" s="10"/>
      <c r="D144" s="1658"/>
      <c r="E144" s="4051"/>
      <c r="F144" s="1658"/>
      <c r="G144" s="2298">
        <v>1.34</v>
      </c>
      <c r="H144" s="3922"/>
      <c r="I144" s="3923"/>
      <c r="J144" s="3924"/>
      <c r="K144" s="2403"/>
      <c r="L144" s="4492">
        <f t="shared" ref="L144:W144" si="92">L40*$G$144</f>
        <v>0</v>
      </c>
      <c r="M144" s="5014">
        <f t="shared" si="92"/>
        <v>26400</v>
      </c>
      <c r="N144" s="5507">
        <f t="shared" si="92"/>
        <v>0</v>
      </c>
      <c r="O144" s="6054">
        <f t="shared" si="92"/>
        <v>26400</v>
      </c>
      <c r="P144" s="5264">
        <f t="shared" si="92"/>
        <v>29106</v>
      </c>
      <c r="Q144" s="3929">
        <f t="shared" si="92"/>
        <v>34223.42</v>
      </c>
      <c r="R144" s="3884">
        <f t="shared" si="92"/>
        <v>40818.36</v>
      </c>
      <c r="S144" s="3882">
        <f t="shared" si="92"/>
        <v>0</v>
      </c>
      <c r="T144" s="3883">
        <f t="shared" si="92"/>
        <v>0</v>
      </c>
      <c r="U144" s="6476">
        <f t="shared" si="92"/>
        <v>0</v>
      </c>
      <c r="V144" s="3882">
        <f t="shared" si="92"/>
        <v>0</v>
      </c>
      <c r="W144" s="3929">
        <f t="shared" si="92"/>
        <v>0</v>
      </c>
      <c r="X144" s="1557">
        <f t="shared" si="72"/>
        <v>156947.78</v>
      </c>
      <c r="Y144" s="1546"/>
      <c r="Z144" s="1532"/>
      <c r="AA144" s="5"/>
      <c r="AB144" s="10" t="str">
        <f t="shared" si="74"/>
        <v>LGIT</v>
      </c>
      <c r="AC144" s="1658" t="str">
        <f t="shared" si="88"/>
        <v>Motor CVR</v>
      </c>
      <c r="AD144" s="6496"/>
      <c r="AE144" s="6474"/>
    </row>
    <row r="145" spans="1:31" s="1535" customFormat="1" ht="16.5" customHeight="1">
      <c r="A145" s="7170"/>
      <c r="B145" s="7174"/>
      <c r="C145" s="10"/>
      <c r="D145" s="1658"/>
      <c r="E145" s="4051">
        <v>18</v>
      </c>
      <c r="F145" s="1658" t="s">
        <v>862</v>
      </c>
      <c r="G145" s="2298">
        <v>1.4397755464400579</v>
      </c>
      <c r="H145" s="3922"/>
      <c r="I145" s="3923"/>
      <c r="J145" s="3924"/>
      <c r="K145" s="2403"/>
      <c r="L145" s="4492">
        <f t="shared" ref="L145:W145" si="93">L41*$G$145</f>
        <v>3432.0171550313798</v>
      </c>
      <c r="M145" s="5014">
        <f t="shared" si="93"/>
        <v>23004.114986696346</v>
      </c>
      <c r="N145" s="5507">
        <f t="shared" si="93"/>
        <v>36806.583978714159</v>
      </c>
      <c r="O145" s="6054">
        <f t="shared" si="93"/>
        <v>23846.51919747678</v>
      </c>
      <c r="P145" s="5264">
        <f t="shared" si="93"/>
        <v>42509.012482458595</v>
      </c>
      <c r="Q145" s="3929">
        <f t="shared" si="93"/>
        <v>42509.012482458595</v>
      </c>
      <c r="R145" s="3884">
        <f t="shared" si="93"/>
        <v>42509.012482458595</v>
      </c>
      <c r="S145" s="3882">
        <f t="shared" si="93"/>
        <v>23550.517717905303</v>
      </c>
      <c r="T145" s="3883">
        <f t="shared" si="93"/>
        <v>0</v>
      </c>
      <c r="U145" s="6476">
        <f t="shared" si="93"/>
        <v>0</v>
      </c>
      <c r="V145" s="3882">
        <f t="shared" si="93"/>
        <v>0</v>
      </c>
      <c r="W145" s="3929">
        <f t="shared" si="93"/>
        <v>0</v>
      </c>
      <c r="X145" s="1557">
        <f t="shared" si="72"/>
        <v>238166.79048319979</v>
      </c>
      <c r="Y145" s="1546"/>
      <c r="Z145" s="1532"/>
      <c r="AA145" s="5"/>
      <c r="AB145" s="10" t="str">
        <f t="shared" si="74"/>
        <v>LGIT</v>
      </c>
      <c r="AC145" s="1658" t="str">
        <f t="shared" si="88"/>
        <v>Motor CVR</v>
      </c>
      <c r="AD145" s="6496"/>
      <c r="AE145" s="6474"/>
    </row>
    <row r="146" spans="1:31" s="1535" customFormat="1" ht="16.5" customHeight="1">
      <c r="A146" s="7170"/>
      <c r="B146" s="7174"/>
      <c r="C146" s="10"/>
      <c r="D146" s="1658"/>
      <c r="E146" s="4051"/>
      <c r="F146" s="1658"/>
      <c r="G146" s="2298">
        <v>1.42</v>
      </c>
      <c r="H146" s="3922"/>
      <c r="I146" s="3923"/>
      <c r="J146" s="3924"/>
      <c r="K146" s="2403"/>
      <c r="L146" s="4492">
        <f>L42*$G$146</f>
        <v>0</v>
      </c>
      <c r="M146" s="5014">
        <f>M42*$G$146</f>
        <v>28000</v>
      </c>
      <c r="N146" s="5507">
        <v>16622</v>
      </c>
      <c r="O146" s="6054">
        <f t="shared" ref="O146:W146" si="94">O42*$G$146</f>
        <v>28000</v>
      </c>
      <c r="P146" s="5264">
        <f t="shared" si="94"/>
        <v>37260</v>
      </c>
      <c r="Q146" s="3929">
        <f t="shared" si="94"/>
        <v>32400.000000000004</v>
      </c>
      <c r="R146" s="3884">
        <f t="shared" si="94"/>
        <v>28000</v>
      </c>
      <c r="S146" s="3882">
        <f t="shared" si="94"/>
        <v>0</v>
      </c>
      <c r="T146" s="3883">
        <f t="shared" si="94"/>
        <v>0</v>
      </c>
      <c r="U146" s="6476">
        <f t="shared" si="94"/>
        <v>0</v>
      </c>
      <c r="V146" s="3882">
        <f t="shared" si="94"/>
        <v>0</v>
      </c>
      <c r="W146" s="3929">
        <f t="shared" si="94"/>
        <v>0</v>
      </c>
      <c r="X146" s="1557">
        <f t="shared" si="72"/>
        <v>170282</v>
      </c>
      <c r="Y146" s="1546"/>
      <c r="Z146" s="1532"/>
      <c r="AA146" s="5"/>
      <c r="AB146" s="10" t="str">
        <f t="shared" si="74"/>
        <v>LGIT</v>
      </c>
      <c r="AC146" s="1658" t="str">
        <f t="shared" si="88"/>
        <v>Motor CVR</v>
      </c>
      <c r="AD146" s="6496"/>
      <c r="AE146" s="6474"/>
    </row>
    <row r="147" spans="1:31" s="1535" customFormat="1" ht="16.5" hidden="1" customHeight="1">
      <c r="A147" s="7170"/>
      <c r="B147" s="7174"/>
      <c r="C147" s="10"/>
      <c r="D147" s="1658"/>
      <c r="E147" s="4051"/>
      <c r="F147" s="1658" t="s">
        <v>863</v>
      </c>
      <c r="G147" s="2298">
        <v>2.4464796639087116</v>
      </c>
      <c r="H147" s="3938"/>
      <c r="I147" s="3939"/>
      <c r="J147" s="3940"/>
      <c r="K147" s="3941"/>
      <c r="L147" s="4492">
        <f t="shared" ref="L147:W147" si="95">L43*$G$147</f>
        <v>0</v>
      </c>
      <c r="M147" s="5014">
        <f t="shared" si="95"/>
        <v>0</v>
      </c>
      <c r="N147" s="5507">
        <f t="shared" si="95"/>
        <v>0</v>
      </c>
      <c r="O147" s="6054">
        <f t="shared" si="95"/>
        <v>0</v>
      </c>
      <c r="P147" s="5264">
        <f t="shared" si="95"/>
        <v>0</v>
      </c>
      <c r="Q147" s="3929">
        <f t="shared" si="95"/>
        <v>0</v>
      </c>
      <c r="R147" s="3884">
        <f t="shared" si="95"/>
        <v>0</v>
      </c>
      <c r="S147" s="3882">
        <f t="shared" si="95"/>
        <v>0</v>
      </c>
      <c r="T147" s="3883">
        <f t="shared" si="95"/>
        <v>0</v>
      </c>
      <c r="U147" s="6476">
        <f t="shared" si="95"/>
        <v>0</v>
      </c>
      <c r="V147" s="3882">
        <f t="shared" si="95"/>
        <v>0</v>
      </c>
      <c r="W147" s="3929">
        <f t="shared" si="95"/>
        <v>0</v>
      </c>
      <c r="X147" s="1557">
        <f t="shared" si="72"/>
        <v>0</v>
      </c>
      <c r="Y147" s="1546"/>
      <c r="Z147" s="1532"/>
      <c r="AA147" s="5"/>
      <c r="AB147" s="10" t="str">
        <f t="shared" si="74"/>
        <v>LGIT</v>
      </c>
      <c r="AC147" s="1658" t="str">
        <f t="shared" si="88"/>
        <v>Motor CVR</v>
      </c>
      <c r="AD147" s="6496"/>
      <c r="AE147" s="6474"/>
    </row>
    <row r="148" spans="1:31" s="1535" customFormat="1" ht="16.5" hidden="1" customHeight="1">
      <c r="A148" s="7170"/>
      <c r="B148" s="7174"/>
      <c r="C148" s="10"/>
      <c r="D148" s="1658"/>
      <c r="E148" s="4051">
        <v>19</v>
      </c>
      <c r="F148" s="1658" t="s">
        <v>1277</v>
      </c>
      <c r="G148" s="2298">
        <v>1.22</v>
      </c>
      <c r="H148" s="3922"/>
      <c r="I148" s="3923"/>
      <c r="J148" s="3924"/>
      <c r="K148" s="2403"/>
      <c r="L148" s="4492">
        <f t="shared" ref="L148:W148" si="96">L44*$G$148</f>
        <v>0</v>
      </c>
      <c r="M148" s="5014">
        <f t="shared" si="96"/>
        <v>0</v>
      </c>
      <c r="N148" s="5507">
        <f t="shared" si="96"/>
        <v>0</v>
      </c>
      <c r="O148" s="6054">
        <f t="shared" si="96"/>
        <v>0</v>
      </c>
      <c r="P148" s="5264">
        <f t="shared" si="96"/>
        <v>0</v>
      </c>
      <c r="Q148" s="3929">
        <f t="shared" si="96"/>
        <v>0</v>
      </c>
      <c r="R148" s="3884">
        <f t="shared" si="96"/>
        <v>0</v>
      </c>
      <c r="S148" s="3882">
        <f t="shared" si="96"/>
        <v>0</v>
      </c>
      <c r="T148" s="3883">
        <f t="shared" si="96"/>
        <v>0</v>
      </c>
      <c r="U148" s="6476">
        <f t="shared" si="96"/>
        <v>0</v>
      </c>
      <c r="V148" s="3882">
        <f t="shared" si="96"/>
        <v>0</v>
      </c>
      <c r="W148" s="3929">
        <f t="shared" si="96"/>
        <v>0</v>
      </c>
      <c r="X148" s="1557">
        <f t="shared" si="72"/>
        <v>0</v>
      </c>
      <c r="Y148" s="1546"/>
      <c r="Z148" s="1532"/>
      <c r="AA148" s="2454"/>
      <c r="AB148" s="10" t="str">
        <f t="shared" si="74"/>
        <v>LGIT</v>
      </c>
      <c r="AC148" s="1658" t="str">
        <f t="shared" si="88"/>
        <v>Motor CVR</v>
      </c>
      <c r="AD148" s="6496"/>
      <c r="AE148" s="6474"/>
    </row>
    <row r="149" spans="1:31" s="1535" customFormat="1" ht="16.5" customHeight="1">
      <c r="A149" s="7170"/>
      <c r="B149" s="7174"/>
      <c r="C149" s="10"/>
      <c r="D149" s="7137" t="s">
        <v>1710</v>
      </c>
      <c r="E149" s="7138"/>
      <c r="F149" s="7139"/>
      <c r="G149" s="5700"/>
      <c r="H149" s="5701"/>
      <c r="I149" s="5702"/>
      <c r="J149" s="5703"/>
      <c r="K149" s="5704"/>
      <c r="L149" s="5705">
        <f>SUM(L139:L146)</f>
        <v>56005.937155031381</v>
      </c>
      <c r="M149" s="5706">
        <f t="shared" ref="M149:X149" si="97">SUM(M139:M146)</f>
        <v>127793.57498669636</v>
      </c>
      <c r="N149" s="5707">
        <f t="shared" si="97"/>
        <v>118871.2446691253</v>
      </c>
      <c r="O149" s="6055">
        <f t="shared" si="97"/>
        <v>149207.50092862849</v>
      </c>
      <c r="P149" s="6525">
        <f t="shared" si="97"/>
        <v>159381.0324824586</v>
      </c>
      <c r="Q149" s="5708">
        <f t="shared" si="97"/>
        <v>154125.9124824586</v>
      </c>
      <c r="R149" s="5709">
        <f t="shared" si="97"/>
        <v>186416.43248245859</v>
      </c>
      <c r="S149" s="5710">
        <f t="shared" si="97"/>
        <v>46726.997717905302</v>
      </c>
      <c r="T149" s="5711">
        <f t="shared" si="97"/>
        <v>0</v>
      </c>
      <c r="U149" s="6477">
        <f t="shared" si="97"/>
        <v>0</v>
      </c>
      <c r="V149" s="5710">
        <f t="shared" si="97"/>
        <v>0</v>
      </c>
      <c r="W149" s="5708">
        <f t="shared" si="97"/>
        <v>0</v>
      </c>
      <c r="X149" s="5712">
        <f t="shared" si="97"/>
        <v>998528.63290476264</v>
      </c>
      <c r="Y149" s="1546"/>
      <c r="Z149" s="1532"/>
      <c r="AA149" s="2454"/>
      <c r="AB149" s="10"/>
      <c r="AC149" s="1658"/>
      <c r="AD149" s="6496"/>
      <c r="AE149" s="6474"/>
    </row>
    <row r="150" spans="1:31" s="1535" customFormat="1" ht="16.5" hidden="1" customHeight="1">
      <c r="A150" s="7170"/>
      <c r="B150" s="7174"/>
      <c r="C150" s="10"/>
      <c r="D150" s="1746" t="s">
        <v>889</v>
      </c>
      <c r="E150" s="4052"/>
      <c r="F150" s="1746" t="s">
        <v>950</v>
      </c>
      <c r="G150" s="3917">
        <v>1.1200000000000001</v>
      </c>
      <c r="H150" s="3946"/>
      <c r="I150" s="3947"/>
      <c r="J150" s="3948"/>
      <c r="K150" s="3949"/>
      <c r="L150" s="4496">
        <f t="shared" ref="L150:W150" si="98">L46*$G$150</f>
        <v>0</v>
      </c>
      <c r="M150" s="5016">
        <f t="shared" si="98"/>
        <v>0</v>
      </c>
      <c r="N150" s="5511">
        <f t="shared" si="98"/>
        <v>0</v>
      </c>
      <c r="O150" s="6056">
        <f t="shared" si="98"/>
        <v>0</v>
      </c>
      <c r="P150" s="6526">
        <f t="shared" si="98"/>
        <v>0</v>
      </c>
      <c r="Q150" s="3937">
        <f t="shared" si="98"/>
        <v>0</v>
      </c>
      <c r="R150" s="3934">
        <f t="shared" si="98"/>
        <v>0</v>
      </c>
      <c r="S150" s="3935">
        <f t="shared" si="98"/>
        <v>0</v>
      </c>
      <c r="T150" s="3936">
        <f t="shared" si="98"/>
        <v>0</v>
      </c>
      <c r="U150" s="6478">
        <f t="shared" si="98"/>
        <v>0</v>
      </c>
      <c r="V150" s="3935">
        <f t="shared" si="98"/>
        <v>0</v>
      </c>
      <c r="W150" s="3937">
        <f t="shared" si="98"/>
        <v>0</v>
      </c>
      <c r="X150" s="1575">
        <f t="shared" si="72"/>
        <v>0</v>
      </c>
      <c r="Y150" s="1546"/>
      <c r="Z150" s="1532"/>
      <c r="AA150" s="1530"/>
      <c r="AB150" s="10" t="str">
        <f>AB148</f>
        <v>LGIT</v>
      </c>
      <c r="AC150" s="1746" t="s">
        <v>889</v>
      </c>
      <c r="AD150" s="6496"/>
      <c r="AE150" s="6474"/>
    </row>
    <row r="151" spans="1:31" s="1535" customFormat="1" ht="16.95" customHeight="1">
      <c r="A151" s="7170"/>
      <c r="B151" s="7174"/>
      <c r="C151" s="10"/>
      <c r="D151" s="1746" t="s">
        <v>889</v>
      </c>
      <c r="E151" s="4051">
        <v>20</v>
      </c>
      <c r="F151" s="1658" t="s">
        <v>864</v>
      </c>
      <c r="G151" s="2298">
        <v>0.68899999999999995</v>
      </c>
      <c r="H151" s="3942"/>
      <c r="I151" s="3943"/>
      <c r="J151" s="3944"/>
      <c r="K151" s="3945"/>
      <c r="L151" s="4492">
        <f t="shared" ref="L151:W151" si="99">L47*$G$151</f>
        <v>15737.038792261506</v>
      </c>
      <c r="M151" s="5014">
        <f t="shared" si="99"/>
        <v>18473.915103959163</v>
      </c>
      <c r="N151" s="5507">
        <f t="shared" si="99"/>
        <v>44474.240065086873</v>
      </c>
      <c r="O151" s="6054">
        <f t="shared" si="99"/>
        <v>44785</v>
      </c>
      <c r="P151" s="5264">
        <f t="shared" si="99"/>
        <v>0</v>
      </c>
      <c r="Q151" s="3929">
        <f t="shared" si="99"/>
        <v>15846.999999999998</v>
      </c>
      <c r="R151" s="3884">
        <f t="shared" si="99"/>
        <v>15846.999999999998</v>
      </c>
      <c r="S151" s="3882">
        <f t="shared" si="99"/>
        <v>15846.999999999998</v>
      </c>
      <c r="T151" s="3883">
        <f t="shared" si="99"/>
        <v>15330.249999999998</v>
      </c>
      <c r="U151" s="6476">
        <f t="shared" si="99"/>
        <v>15330.249999999998</v>
      </c>
      <c r="V151" s="3882">
        <f t="shared" si="99"/>
        <v>15330.249999999998</v>
      </c>
      <c r="W151" s="3929">
        <f t="shared" si="99"/>
        <v>15330.249999999998</v>
      </c>
      <c r="X151" s="1557">
        <f t="shared" si="72"/>
        <v>232332.19396130755</v>
      </c>
      <c r="Y151" s="1546"/>
      <c r="Z151" s="1532"/>
      <c r="AA151" s="1530"/>
      <c r="AB151" s="10" t="str">
        <f t="shared" si="74"/>
        <v>LGIT</v>
      </c>
      <c r="AC151" s="1753" t="str">
        <f>AC150</f>
        <v>CAM HSG</v>
      </c>
      <c r="AD151" s="6496"/>
      <c r="AE151" s="6474"/>
    </row>
    <row r="152" spans="1:31" s="1535" customFormat="1" ht="16.95" customHeight="1">
      <c r="A152" s="7170"/>
      <c r="B152" s="7174"/>
      <c r="C152" s="10"/>
      <c r="D152" s="7137" t="s">
        <v>1711</v>
      </c>
      <c r="E152" s="7138"/>
      <c r="F152" s="7139"/>
      <c r="G152" s="5700"/>
      <c r="H152" s="5701"/>
      <c r="I152" s="5702"/>
      <c r="J152" s="5703"/>
      <c r="K152" s="5704"/>
      <c r="L152" s="5705">
        <f>SUM(L151)</f>
        <v>15737.038792261506</v>
      </c>
      <c r="M152" s="5706">
        <f t="shared" ref="M152:X152" si="100">SUM(M151)</f>
        <v>18473.915103959163</v>
      </c>
      <c r="N152" s="5707">
        <f t="shared" si="100"/>
        <v>44474.240065086873</v>
      </c>
      <c r="O152" s="6055">
        <f t="shared" si="100"/>
        <v>44785</v>
      </c>
      <c r="P152" s="6525">
        <f t="shared" si="100"/>
        <v>0</v>
      </c>
      <c r="Q152" s="5708">
        <f t="shared" si="100"/>
        <v>15846.999999999998</v>
      </c>
      <c r="R152" s="5709">
        <f t="shared" si="100"/>
        <v>15846.999999999998</v>
      </c>
      <c r="S152" s="5710">
        <f t="shared" si="100"/>
        <v>15846.999999999998</v>
      </c>
      <c r="T152" s="5711">
        <f t="shared" si="100"/>
        <v>15330.249999999998</v>
      </c>
      <c r="U152" s="6477">
        <f t="shared" si="100"/>
        <v>15330.249999999998</v>
      </c>
      <c r="V152" s="5710">
        <f t="shared" si="100"/>
        <v>15330.249999999998</v>
      </c>
      <c r="W152" s="5708">
        <f t="shared" si="100"/>
        <v>15330.249999999998</v>
      </c>
      <c r="X152" s="5712">
        <f t="shared" si="100"/>
        <v>232332.19396130755</v>
      </c>
      <c r="Y152" s="1546"/>
      <c r="Z152" s="1532"/>
      <c r="AA152" s="1530"/>
      <c r="AB152" s="10"/>
      <c r="AC152" s="1658"/>
      <c r="AD152" s="6496"/>
      <c r="AE152" s="6474"/>
    </row>
    <row r="153" spans="1:31" s="1535" customFormat="1" ht="16.5" customHeight="1">
      <c r="A153" s="7170"/>
      <c r="B153" s="7174"/>
      <c r="C153" s="10"/>
      <c r="D153" s="1658" t="s">
        <v>865</v>
      </c>
      <c r="E153" s="4051">
        <v>21</v>
      </c>
      <c r="F153" s="1658" t="s">
        <v>866</v>
      </c>
      <c r="G153" s="2298">
        <v>0.48499999999999999</v>
      </c>
      <c r="H153" s="3942"/>
      <c r="I153" s="3943"/>
      <c r="J153" s="3944"/>
      <c r="K153" s="3945"/>
      <c r="L153" s="4492">
        <f t="shared" ref="L153:W153" si="101">L49*$G$153</f>
        <v>11076.464306013066</v>
      </c>
      <c r="M153" s="5014">
        <f t="shared" si="101"/>
        <v>13002.805924450122</v>
      </c>
      <c r="N153" s="5507">
        <f t="shared" si="101"/>
        <v>31303.051299602143</v>
      </c>
      <c r="O153" s="6054">
        <f t="shared" si="101"/>
        <v>31525</v>
      </c>
      <c r="P153" s="5264">
        <f t="shared" si="101"/>
        <v>0</v>
      </c>
      <c r="Q153" s="3929">
        <f t="shared" si="101"/>
        <v>11155</v>
      </c>
      <c r="R153" s="3884">
        <f t="shared" si="101"/>
        <v>11155</v>
      </c>
      <c r="S153" s="3882">
        <f t="shared" si="101"/>
        <v>11155</v>
      </c>
      <c r="T153" s="3883">
        <f t="shared" si="101"/>
        <v>10791.25</v>
      </c>
      <c r="U153" s="6476">
        <f t="shared" si="101"/>
        <v>10791.25</v>
      </c>
      <c r="V153" s="3882">
        <f t="shared" si="101"/>
        <v>10791.25</v>
      </c>
      <c r="W153" s="3929">
        <f t="shared" si="101"/>
        <v>10791.25</v>
      </c>
      <c r="X153" s="1557">
        <f t="shared" si="72"/>
        <v>163537.32153006532</v>
      </c>
      <c r="Y153" s="1546"/>
      <c r="Z153" s="1532"/>
      <c r="AA153" s="1530"/>
      <c r="AB153" s="10" t="str">
        <f>AB151</f>
        <v>LGIT</v>
      </c>
      <c r="AC153" s="1658" t="s">
        <v>865</v>
      </c>
      <c r="AD153" s="6496"/>
      <c r="AE153" s="6474"/>
    </row>
    <row r="154" spans="1:31" s="1535" customFormat="1" ht="16.5" hidden="1" customHeight="1">
      <c r="A154" s="7170"/>
      <c r="B154" s="7174"/>
      <c r="C154" s="10"/>
      <c r="D154" s="2000"/>
      <c r="E154" s="2297"/>
      <c r="F154" s="1658" t="s">
        <v>951</v>
      </c>
      <c r="G154" s="2298">
        <v>0.53</v>
      </c>
      <c r="H154" s="3942"/>
      <c r="I154" s="3943"/>
      <c r="J154" s="3944"/>
      <c r="K154" s="3945"/>
      <c r="L154" s="4492">
        <f t="shared" ref="L154:W154" si="102">L50*$G$154</f>
        <v>0</v>
      </c>
      <c r="M154" s="5014">
        <f t="shared" si="102"/>
        <v>0</v>
      </c>
      <c r="N154" s="5507">
        <f t="shared" si="102"/>
        <v>0</v>
      </c>
      <c r="O154" s="6054">
        <f t="shared" si="102"/>
        <v>0</v>
      </c>
      <c r="P154" s="5264">
        <f t="shared" si="102"/>
        <v>0</v>
      </c>
      <c r="Q154" s="3929">
        <f t="shared" si="102"/>
        <v>0</v>
      </c>
      <c r="R154" s="3884">
        <f t="shared" si="102"/>
        <v>0</v>
      </c>
      <c r="S154" s="3882">
        <f t="shared" si="102"/>
        <v>0</v>
      </c>
      <c r="T154" s="3883">
        <f t="shared" si="102"/>
        <v>0</v>
      </c>
      <c r="U154" s="6476">
        <f t="shared" si="102"/>
        <v>0</v>
      </c>
      <c r="V154" s="3882">
        <f t="shared" si="102"/>
        <v>0</v>
      </c>
      <c r="W154" s="3929">
        <f t="shared" si="102"/>
        <v>0</v>
      </c>
      <c r="X154" s="1557">
        <f t="shared" si="72"/>
        <v>0</v>
      </c>
      <c r="Y154" s="1546"/>
      <c r="Z154" s="1532"/>
      <c r="AA154" s="1530"/>
      <c r="AB154" s="10" t="str">
        <f t="shared" si="74"/>
        <v>LGIT</v>
      </c>
      <c r="AC154" s="2000" t="str">
        <f t="shared" ref="AC154:AC156" si="103">AC153</f>
        <v>CAM CVR</v>
      </c>
      <c r="AD154" s="6496"/>
      <c r="AE154" s="6474"/>
    </row>
    <row r="155" spans="1:31" s="1569" customFormat="1" ht="16.5" hidden="1" customHeight="1">
      <c r="A155" s="7170"/>
      <c r="B155" s="7174"/>
      <c r="C155" s="10"/>
      <c r="D155" s="2000"/>
      <c r="E155" s="2297"/>
      <c r="F155" s="1658" t="s">
        <v>867</v>
      </c>
      <c r="G155" s="2298">
        <v>0.69273636363636371</v>
      </c>
      <c r="H155" s="3942"/>
      <c r="I155" s="3943"/>
      <c r="J155" s="3944"/>
      <c r="K155" s="3945"/>
      <c r="L155" s="4492">
        <f t="shared" ref="L155:W155" si="104">L51*$G$155</f>
        <v>0</v>
      </c>
      <c r="M155" s="5014">
        <f t="shared" si="104"/>
        <v>0</v>
      </c>
      <c r="N155" s="5507">
        <f t="shared" si="104"/>
        <v>0</v>
      </c>
      <c r="O155" s="4492">
        <f t="shared" si="104"/>
        <v>0</v>
      </c>
      <c r="P155" s="5264">
        <f t="shared" si="104"/>
        <v>0</v>
      </c>
      <c r="Q155" s="3929">
        <f t="shared" si="104"/>
        <v>0</v>
      </c>
      <c r="R155" s="3884">
        <f t="shared" si="104"/>
        <v>0</v>
      </c>
      <c r="S155" s="3882">
        <f t="shared" si="104"/>
        <v>0</v>
      </c>
      <c r="T155" s="3883">
        <f t="shared" si="104"/>
        <v>0</v>
      </c>
      <c r="U155" s="6476">
        <f t="shared" si="104"/>
        <v>0</v>
      </c>
      <c r="V155" s="3882">
        <f t="shared" si="104"/>
        <v>0</v>
      </c>
      <c r="W155" s="3929">
        <f t="shared" si="104"/>
        <v>0</v>
      </c>
      <c r="X155" s="1557">
        <f t="shared" si="72"/>
        <v>0</v>
      </c>
      <c r="Y155" s="1546"/>
      <c r="Z155" s="1532"/>
      <c r="AA155" s="1530"/>
      <c r="AB155" s="10" t="str">
        <f t="shared" si="74"/>
        <v>LGIT</v>
      </c>
      <c r="AC155" s="2000" t="str">
        <f t="shared" si="103"/>
        <v>CAM CVR</v>
      </c>
      <c r="AD155" s="6496"/>
      <c r="AE155" s="6474"/>
    </row>
    <row r="156" spans="1:31" s="1569" customFormat="1" ht="16.95" customHeight="1">
      <c r="A156" s="7170"/>
      <c r="B156" s="7174"/>
      <c r="C156" s="10"/>
      <c r="D156" s="2000"/>
      <c r="E156" s="2297"/>
      <c r="F156" s="1658" t="s">
        <v>66</v>
      </c>
      <c r="G156" s="2298">
        <v>3.3561999999999994</v>
      </c>
      <c r="H156" s="3942"/>
      <c r="I156" s="3943"/>
      <c r="J156" s="3944"/>
      <c r="K156" s="3945"/>
      <c r="L156" s="4492">
        <f t="shared" ref="L156:W156" si="105">L52*$G$156</f>
        <v>5557.8671999999988</v>
      </c>
      <c r="M156" s="5014">
        <f t="shared" si="105"/>
        <v>0</v>
      </c>
      <c r="N156" s="5507">
        <f t="shared" si="105"/>
        <v>573.9101999999998</v>
      </c>
      <c r="O156" s="4492">
        <f t="shared" si="105"/>
        <v>3722.0257999999994</v>
      </c>
      <c r="P156" s="5264">
        <f t="shared" si="105"/>
        <v>0</v>
      </c>
      <c r="Q156" s="3929">
        <f t="shared" si="105"/>
        <v>5393.4133999999995</v>
      </c>
      <c r="R156" s="3884">
        <f t="shared" si="105"/>
        <v>0</v>
      </c>
      <c r="S156" s="3882">
        <f t="shared" si="105"/>
        <v>0</v>
      </c>
      <c r="T156" s="3883">
        <f t="shared" si="105"/>
        <v>0</v>
      </c>
      <c r="U156" s="6476">
        <f t="shared" si="105"/>
        <v>0</v>
      </c>
      <c r="V156" s="3882">
        <f t="shared" si="105"/>
        <v>0</v>
      </c>
      <c r="W156" s="3929">
        <f t="shared" si="105"/>
        <v>0</v>
      </c>
      <c r="X156" s="1557">
        <f t="shared" si="72"/>
        <v>15247.216599999998</v>
      </c>
      <c r="Y156" s="1546"/>
      <c r="Z156" s="1532"/>
      <c r="AA156" s="1530"/>
      <c r="AB156" s="10" t="str">
        <f t="shared" si="74"/>
        <v>LGIT</v>
      </c>
      <c r="AC156" s="2000" t="str">
        <f t="shared" si="103"/>
        <v>CAM CVR</v>
      </c>
      <c r="AD156" s="6356"/>
      <c r="AE156" s="6474"/>
    </row>
    <row r="157" spans="1:31" s="1569" customFormat="1" ht="16.95" customHeight="1">
      <c r="A157" s="7170"/>
      <c r="B157" s="7174"/>
      <c r="C157" s="10"/>
      <c r="D157" s="2000"/>
      <c r="E157" s="2297"/>
      <c r="F157" s="1658" t="s">
        <v>68</v>
      </c>
      <c r="G157" s="2298">
        <v>1.5322899999999999</v>
      </c>
      <c r="H157" s="3942"/>
      <c r="I157" s="3943"/>
      <c r="J157" s="3944"/>
      <c r="K157" s="3945"/>
      <c r="L157" s="4492"/>
      <c r="M157" s="5014"/>
      <c r="N157" s="5507"/>
      <c r="O157" s="4492"/>
      <c r="P157" s="5264">
        <f>P53*$G$157</f>
        <v>7607.8198499999999</v>
      </c>
      <c r="Q157" s="3929">
        <f t="shared" ref="Q157:W157" si="106">Q53*$G$157</f>
        <v>7016.3559099999993</v>
      </c>
      <c r="R157" s="3884">
        <f t="shared" si="106"/>
        <v>4826.7134999999998</v>
      </c>
      <c r="S157" s="3882">
        <f t="shared" si="106"/>
        <v>0</v>
      </c>
      <c r="T157" s="3883">
        <f t="shared" si="106"/>
        <v>0</v>
      </c>
      <c r="U157" s="6476">
        <f t="shared" si="106"/>
        <v>0</v>
      </c>
      <c r="V157" s="3882">
        <f t="shared" si="106"/>
        <v>0</v>
      </c>
      <c r="W157" s="3929">
        <f t="shared" si="106"/>
        <v>0</v>
      </c>
      <c r="X157" s="1557">
        <f t="shared" si="72"/>
        <v>19450.889259999996</v>
      </c>
      <c r="Y157" s="1546"/>
      <c r="Z157" s="1532"/>
      <c r="AA157" s="1530"/>
      <c r="AB157" s="10"/>
      <c r="AC157" s="2000"/>
      <c r="AD157" s="6356"/>
      <c r="AE157" s="6474"/>
    </row>
    <row r="158" spans="1:31" s="1569" customFormat="1" ht="16.95" customHeight="1">
      <c r="A158" s="7170"/>
      <c r="B158" s="7174"/>
      <c r="C158" s="10"/>
      <c r="D158" s="7137" t="s">
        <v>1712</v>
      </c>
      <c r="E158" s="7138"/>
      <c r="F158" s="7139"/>
      <c r="G158" s="5700"/>
      <c r="H158" s="5701"/>
      <c r="I158" s="5702"/>
      <c r="J158" s="5703"/>
      <c r="K158" s="5704"/>
      <c r="L158" s="5705">
        <f>SUM(L153:L156)</f>
        <v>16634.331506013063</v>
      </c>
      <c r="M158" s="5706">
        <f t="shared" ref="M158:O158" si="107">SUM(M153:M156)</f>
        <v>13002.805924450122</v>
      </c>
      <c r="N158" s="5707">
        <f t="shared" si="107"/>
        <v>31876.961499602141</v>
      </c>
      <c r="O158" s="5705">
        <f t="shared" si="107"/>
        <v>35247.025800000003</v>
      </c>
      <c r="P158" s="6525">
        <f>SUM(P153:P157)</f>
        <v>7607.8198499999999</v>
      </c>
      <c r="Q158" s="5708">
        <f t="shared" ref="Q158:W158" si="108">SUM(Q153:Q157)</f>
        <v>23564.769309999996</v>
      </c>
      <c r="R158" s="5709">
        <f t="shared" si="108"/>
        <v>15981.7135</v>
      </c>
      <c r="S158" s="5710">
        <f t="shared" si="108"/>
        <v>11155</v>
      </c>
      <c r="T158" s="5711">
        <f t="shared" si="108"/>
        <v>10791.25</v>
      </c>
      <c r="U158" s="6477">
        <f t="shared" si="108"/>
        <v>10791.25</v>
      </c>
      <c r="V158" s="5710">
        <f t="shared" si="108"/>
        <v>10791.25</v>
      </c>
      <c r="W158" s="5708">
        <f t="shared" si="108"/>
        <v>10791.25</v>
      </c>
      <c r="X158" s="5712">
        <f>SUM(X153:X157)</f>
        <v>198235.42739006531</v>
      </c>
      <c r="Y158" s="1546"/>
      <c r="Z158" s="1532"/>
      <c r="AA158" s="1530"/>
      <c r="AB158" s="10"/>
      <c r="AC158" s="2000"/>
      <c r="AD158" s="6356"/>
      <c r="AE158" s="6474"/>
    </row>
    <row r="159" spans="1:31" s="1535" customFormat="1" ht="16.5" hidden="1" customHeight="1">
      <c r="A159" s="7170"/>
      <c r="B159" s="7174"/>
      <c r="C159" s="10"/>
      <c r="D159" s="2014" t="s">
        <v>868</v>
      </c>
      <c r="E159" s="4054"/>
      <c r="F159" s="1746" t="s">
        <v>869</v>
      </c>
      <c r="G159" s="3917">
        <v>0.53564000000000001</v>
      </c>
      <c r="H159" s="3946"/>
      <c r="I159" s="3947"/>
      <c r="J159" s="3948"/>
      <c r="K159" s="3949"/>
      <c r="L159" s="4496">
        <f t="shared" ref="L159:W159" si="109">L55*$G$159</f>
        <v>0</v>
      </c>
      <c r="M159" s="5016">
        <f t="shared" si="109"/>
        <v>0</v>
      </c>
      <c r="N159" s="5511">
        <f t="shared" si="109"/>
        <v>0</v>
      </c>
      <c r="O159" s="4496">
        <f t="shared" si="109"/>
        <v>0</v>
      </c>
      <c r="P159" s="6526">
        <f t="shared" si="109"/>
        <v>0</v>
      </c>
      <c r="Q159" s="3937">
        <f t="shared" si="109"/>
        <v>0</v>
      </c>
      <c r="R159" s="3934">
        <f t="shared" si="109"/>
        <v>0</v>
      </c>
      <c r="S159" s="3935">
        <f t="shared" si="109"/>
        <v>0</v>
      </c>
      <c r="T159" s="3936">
        <f t="shared" si="109"/>
        <v>0</v>
      </c>
      <c r="U159" s="6478">
        <f t="shared" si="109"/>
        <v>0</v>
      </c>
      <c r="V159" s="3935">
        <f t="shared" si="109"/>
        <v>0</v>
      </c>
      <c r="W159" s="3937">
        <f t="shared" si="109"/>
        <v>0</v>
      </c>
      <c r="X159" s="1575">
        <f t="shared" si="72"/>
        <v>0</v>
      </c>
      <c r="Y159" s="1546"/>
      <c r="Z159" s="1532"/>
      <c r="AA159" s="1530"/>
      <c r="AB159" s="10" t="str">
        <f>AB156</f>
        <v>LGIT</v>
      </c>
      <c r="AC159" s="2014" t="s">
        <v>868</v>
      </c>
      <c r="AD159" s="6356"/>
      <c r="AE159" s="6474"/>
    </row>
    <row r="160" spans="1:31" s="1535" customFormat="1" ht="16.5" hidden="1" customHeight="1">
      <c r="A160" s="7170"/>
      <c r="B160" s="7174"/>
      <c r="C160" s="10"/>
      <c r="D160" s="1658"/>
      <c r="E160" s="4051"/>
      <c r="F160" s="1658" t="s">
        <v>870</v>
      </c>
      <c r="G160" s="2298">
        <v>0.72165999999999986</v>
      </c>
      <c r="H160" s="3942"/>
      <c r="I160" s="3943"/>
      <c r="J160" s="3944"/>
      <c r="K160" s="3945"/>
      <c r="L160" s="4492">
        <f t="shared" ref="L160:W160" si="110">L56*$G$160</f>
        <v>0</v>
      </c>
      <c r="M160" s="5014">
        <f t="shared" si="110"/>
        <v>0</v>
      </c>
      <c r="N160" s="5507">
        <f t="shared" si="110"/>
        <v>0</v>
      </c>
      <c r="O160" s="4492">
        <f t="shared" si="110"/>
        <v>0</v>
      </c>
      <c r="P160" s="5014">
        <f t="shared" si="110"/>
        <v>46763.567999999992</v>
      </c>
      <c r="Q160" s="3929">
        <f t="shared" si="110"/>
        <v>59789.530999999988</v>
      </c>
      <c r="R160" s="3884">
        <f t="shared" si="110"/>
        <v>59789.530999999988</v>
      </c>
      <c r="S160" s="3882">
        <f t="shared" si="110"/>
        <v>59789.530999999988</v>
      </c>
      <c r="T160" s="3883">
        <f t="shared" si="110"/>
        <v>59789.530999999988</v>
      </c>
      <c r="U160" s="6476">
        <f t="shared" si="110"/>
        <v>59789.530999999988</v>
      </c>
      <c r="V160" s="3882">
        <f t="shared" si="110"/>
        <v>59789.530999999988</v>
      </c>
      <c r="W160" s="3929">
        <f t="shared" si="110"/>
        <v>59789.530999999988</v>
      </c>
      <c r="X160" s="1557">
        <f t="shared" si="72"/>
        <v>465290.2849999998</v>
      </c>
      <c r="Y160" s="1546"/>
      <c r="Z160" s="1532"/>
      <c r="AA160" s="1530"/>
      <c r="AB160" s="10" t="str">
        <f t="shared" ref="AB160:AC162" si="111">AB159</f>
        <v>LGIT</v>
      </c>
      <c r="AC160" s="1658" t="str">
        <f t="shared" si="111"/>
        <v>CAM L.Mount</v>
      </c>
      <c r="AD160" s="6496"/>
      <c r="AE160" s="6474"/>
    </row>
    <row r="161" spans="1:31" s="1535" customFormat="1" ht="16.5" customHeight="1">
      <c r="A161" s="7170"/>
      <c r="B161" s="7174"/>
      <c r="C161" s="10"/>
      <c r="D161" s="2014" t="s">
        <v>868</v>
      </c>
      <c r="E161" s="4051">
        <v>22</v>
      </c>
      <c r="F161" s="1658" t="s">
        <v>75</v>
      </c>
      <c r="G161" s="2298">
        <v>0.88100000000000001</v>
      </c>
      <c r="H161" s="3942"/>
      <c r="I161" s="3943"/>
      <c r="J161" s="3944"/>
      <c r="K161" s="3945"/>
      <c r="L161" s="4492">
        <f>L57*$G$161+35026</f>
        <v>163453.09313832814</v>
      </c>
      <c r="M161" s="5014">
        <f>M57*$G$161-1176</f>
        <v>70018.646294719088</v>
      </c>
      <c r="N161" s="5507">
        <f>N57*$G$161+4735</f>
        <v>133162.09313832814</v>
      </c>
      <c r="O161" s="4492">
        <f t="shared" ref="O161:W161" si="112">O57*$G$161</f>
        <v>105684</v>
      </c>
      <c r="P161" s="5014">
        <f t="shared" si="112"/>
        <v>57069.36</v>
      </c>
      <c r="Q161" s="3929">
        <f t="shared" si="112"/>
        <v>72965.99500000001</v>
      </c>
      <c r="R161" s="3884">
        <f t="shared" si="112"/>
        <v>72965.99500000001</v>
      </c>
      <c r="S161" s="3882">
        <f t="shared" si="112"/>
        <v>72965.99500000001</v>
      </c>
      <c r="T161" s="3883">
        <f t="shared" si="112"/>
        <v>72965.99500000001</v>
      </c>
      <c r="U161" s="6476">
        <f t="shared" si="112"/>
        <v>72965.99500000001</v>
      </c>
      <c r="V161" s="3882">
        <f t="shared" si="112"/>
        <v>72965.99500000001</v>
      </c>
      <c r="W161" s="3929">
        <f t="shared" si="112"/>
        <v>72965.99500000001</v>
      </c>
      <c r="X161" s="1557">
        <f t="shared" si="72"/>
        <v>1040149.1575713754</v>
      </c>
      <c r="Y161" s="1546"/>
      <c r="Z161" s="1532"/>
      <c r="AA161" s="1530"/>
      <c r="AB161" s="10" t="str">
        <f t="shared" si="111"/>
        <v>LGIT</v>
      </c>
      <c r="AC161" s="1658" t="str">
        <f t="shared" si="111"/>
        <v>CAM L.Mount</v>
      </c>
      <c r="AD161" s="6496"/>
      <c r="AE161" s="6474"/>
    </row>
    <row r="162" spans="1:31" s="1535" customFormat="1" ht="16.5" hidden="1" customHeight="1">
      <c r="A162" s="7170"/>
      <c r="B162" s="7174"/>
      <c r="C162" s="10"/>
      <c r="D162" s="1658"/>
      <c r="E162" s="4051"/>
      <c r="F162" s="1658" t="s">
        <v>952</v>
      </c>
      <c r="G162" s="2298">
        <v>0.67</v>
      </c>
      <c r="H162" s="3942"/>
      <c r="I162" s="3943"/>
      <c r="J162" s="3944"/>
      <c r="K162" s="3945"/>
      <c r="L162" s="4492">
        <f t="shared" ref="L162:W162" si="113">L58*$G$162</f>
        <v>0</v>
      </c>
      <c r="M162" s="5014">
        <f t="shared" si="113"/>
        <v>0</v>
      </c>
      <c r="N162" s="5507">
        <f t="shared" si="113"/>
        <v>0</v>
      </c>
      <c r="O162" s="4492">
        <f t="shared" si="113"/>
        <v>0</v>
      </c>
      <c r="P162" s="5014">
        <f t="shared" si="113"/>
        <v>0</v>
      </c>
      <c r="Q162" s="3929">
        <f t="shared" si="113"/>
        <v>0</v>
      </c>
      <c r="R162" s="3884">
        <f t="shared" si="113"/>
        <v>0</v>
      </c>
      <c r="S162" s="3882">
        <f t="shared" si="113"/>
        <v>0</v>
      </c>
      <c r="T162" s="3883">
        <f t="shared" si="113"/>
        <v>0</v>
      </c>
      <c r="U162" s="6476">
        <f t="shared" si="113"/>
        <v>0</v>
      </c>
      <c r="V162" s="3882">
        <f t="shared" si="113"/>
        <v>0</v>
      </c>
      <c r="W162" s="3929">
        <f t="shared" si="113"/>
        <v>0</v>
      </c>
      <c r="X162" s="1557">
        <f t="shared" si="72"/>
        <v>0</v>
      </c>
      <c r="Y162" s="1546"/>
      <c r="Z162" s="1532"/>
      <c r="AA162" s="1546"/>
      <c r="AB162" s="6" t="str">
        <f t="shared" si="111"/>
        <v>LGIT</v>
      </c>
      <c r="AC162" s="1713" t="str">
        <f t="shared" si="111"/>
        <v>CAM L.Mount</v>
      </c>
      <c r="AD162" s="6496"/>
      <c r="AE162" s="6474"/>
    </row>
    <row r="163" spans="1:31" s="1535" customFormat="1" ht="16.5" customHeight="1">
      <c r="A163" s="7170"/>
      <c r="B163" s="7174"/>
      <c r="C163" s="6"/>
      <c r="D163" s="7152" t="s">
        <v>1713</v>
      </c>
      <c r="E163" s="7153"/>
      <c r="F163" s="7154"/>
      <c r="G163" s="5748"/>
      <c r="H163" s="5713"/>
      <c r="I163" s="5714"/>
      <c r="J163" s="5715"/>
      <c r="K163" s="5716"/>
      <c r="L163" s="5717">
        <f>SUM(L161)</f>
        <v>163453.09313832814</v>
      </c>
      <c r="M163" s="5718">
        <f t="shared" ref="M163:X163" si="114">SUM(M161)</f>
        <v>70018.646294719088</v>
      </c>
      <c r="N163" s="5719">
        <f t="shared" si="114"/>
        <v>133162.09313832814</v>
      </c>
      <c r="O163" s="5717">
        <f t="shared" si="114"/>
        <v>105684</v>
      </c>
      <c r="P163" s="5718">
        <f t="shared" si="114"/>
        <v>57069.36</v>
      </c>
      <c r="Q163" s="5722">
        <f t="shared" si="114"/>
        <v>72965.99500000001</v>
      </c>
      <c r="R163" s="5720">
        <f t="shared" si="114"/>
        <v>72965.99500000001</v>
      </c>
      <c r="S163" s="5721">
        <f t="shared" si="114"/>
        <v>72965.99500000001</v>
      </c>
      <c r="T163" s="5723">
        <f t="shared" si="114"/>
        <v>72965.99500000001</v>
      </c>
      <c r="U163" s="6479">
        <f t="shared" si="114"/>
        <v>72965.99500000001</v>
      </c>
      <c r="V163" s="5721">
        <f t="shared" si="114"/>
        <v>72965.99500000001</v>
      </c>
      <c r="W163" s="5722">
        <f t="shared" si="114"/>
        <v>72965.99500000001</v>
      </c>
      <c r="X163" s="5724">
        <f t="shared" si="114"/>
        <v>1040149.1575713754</v>
      </c>
      <c r="Y163" s="1546"/>
      <c r="Z163" s="1532"/>
      <c r="AA163" s="1546"/>
      <c r="AB163" s="10"/>
      <c r="AC163" s="1658"/>
      <c r="AD163" s="6497"/>
      <c r="AE163" s="6474"/>
    </row>
    <row r="164" spans="1:31" s="1535" customFormat="1" ht="16.5" customHeight="1">
      <c r="A164" s="7170"/>
      <c r="B164" s="7174"/>
      <c r="C164" s="7145" t="s">
        <v>1721</v>
      </c>
      <c r="D164" s="7146"/>
      <c r="E164" s="7146"/>
      <c r="F164" s="7146"/>
      <c r="G164" s="7147"/>
      <c r="H164" s="5767"/>
      <c r="I164" s="5768"/>
      <c r="J164" s="5769"/>
      <c r="K164" s="5770"/>
      <c r="L164" s="5771">
        <f>SUM(L163+L158+L152+L149+L138)</f>
        <v>496695.90197423071</v>
      </c>
      <c r="M164" s="5772">
        <f t="shared" ref="M164:X164" si="115">SUM(M163+M158+M152+M149+M138)</f>
        <v>602117.20012550685</v>
      </c>
      <c r="N164" s="5773">
        <f t="shared" si="115"/>
        <v>777237.06765535253</v>
      </c>
      <c r="O164" s="5771">
        <f t="shared" si="115"/>
        <v>891434.24902268685</v>
      </c>
      <c r="P164" s="5772">
        <f t="shared" si="115"/>
        <v>750186.02606046572</v>
      </c>
      <c r="Q164" s="5776">
        <f t="shared" si="115"/>
        <v>699463.09400753642</v>
      </c>
      <c r="R164" s="5774">
        <f t="shared" si="115"/>
        <v>601627.00388213317</v>
      </c>
      <c r="S164" s="5775">
        <f t="shared" si="115"/>
        <v>365681.13204202685</v>
      </c>
      <c r="T164" s="5777">
        <f t="shared" si="115"/>
        <v>133785.54915356237</v>
      </c>
      <c r="U164" s="6480">
        <f t="shared" si="115"/>
        <v>99087.49500000001</v>
      </c>
      <c r="V164" s="5775">
        <f t="shared" si="115"/>
        <v>99087.49500000001</v>
      </c>
      <c r="W164" s="5776">
        <f t="shared" si="115"/>
        <v>99087.49500000001</v>
      </c>
      <c r="X164" s="5766">
        <f t="shared" si="115"/>
        <v>5615489.7089235019</v>
      </c>
      <c r="Y164" s="1546" t="b">
        <f>X164=SUM(L164:W164)</f>
        <v>1</v>
      </c>
      <c r="Z164" s="1532"/>
      <c r="AA164" s="1546"/>
      <c r="AB164" s="10"/>
      <c r="AC164" s="1658"/>
      <c r="AD164" s="6497"/>
      <c r="AE164" s="6474"/>
    </row>
    <row r="165" spans="1:31" s="1535" customFormat="1" ht="16.5" customHeight="1">
      <c r="A165" s="7170"/>
      <c r="B165" s="7174"/>
      <c r="C165" s="10" t="s">
        <v>887</v>
      </c>
      <c r="D165" s="1588" t="s">
        <v>848</v>
      </c>
      <c r="E165" s="4049">
        <v>23</v>
      </c>
      <c r="F165" s="1588" t="str">
        <f t="shared" ref="F165:F170" si="116">F61</f>
        <v>NX4 HSG</v>
      </c>
      <c r="G165" s="1552">
        <v>3.82</v>
      </c>
      <c r="H165" s="3217"/>
      <c r="I165" s="3230"/>
      <c r="J165" s="3223"/>
      <c r="K165" s="3194"/>
      <c r="L165" s="4492">
        <f>L61*$G$165</f>
        <v>115129.8</v>
      </c>
      <c r="M165" s="5014">
        <f>M61*$G$165-3605.14</f>
        <v>208362.65999999997</v>
      </c>
      <c r="N165" s="5507">
        <f t="shared" ref="N165:W165" si="117">N61*$G$165</f>
        <v>202473.59999999998</v>
      </c>
      <c r="O165" s="4492">
        <f t="shared" si="117"/>
        <v>161200</v>
      </c>
      <c r="P165" s="5014">
        <f t="shared" si="117"/>
        <v>0</v>
      </c>
      <c r="Q165" s="3806">
        <f t="shared" si="117"/>
        <v>0</v>
      </c>
      <c r="R165" s="3803">
        <f t="shared" si="117"/>
        <v>0</v>
      </c>
      <c r="S165" s="3802">
        <f t="shared" si="117"/>
        <v>0</v>
      </c>
      <c r="T165" s="3804">
        <f t="shared" si="117"/>
        <v>187180</v>
      </c>
      <c r="U165" s="3805">
        <f t="shared" si="117"/>
        <v>187180</v>
      </c>
      <c r="V165" s="3802">
        <f t="shared" si="117"/>
        <v>141340</v>
      </c>
      <c r="W165" s="3804">
        <f t="shared" si="117"/>
        <v>141340</v>
      </c>
      <c r="X165" s="2085">
        <f t="shared" si="72"/>
        <v>1344206.06</v>
      </c>
      <c r="Y165" s="1637"/>
      <c r="Z165" s="1532"/>
      <c r="AA165" s="1530"/>
      <c r="AB165" s="10" t="s">
        <v>887</v>
      </c>
      <c r="AC165" s="1588" t="s">
        <v>848</v>
      </c>
      <c r="AD165" s="6497"/>
      <c r="AE165" s="6474"/>
    </row>
    <row r="166" spans="1:31" s="1535" customFormat="1" ht="16.5" customHeight="1">
      <c r="A166" s="7170"/>
      <c r="B166" s="7174"/>
      <c r="C166" s="10"/>
      <c r="D166" s="1588"/>
      <c r="E166" s="4049">
        <v>24</v>
      </c>
      <c r="F166" s="1588" t="str">
        <f t="shared" si="116"/>
        <v>IMEB2 Housing</v>
      </c>
      <c r="G166" s="1552">
        <v>2.66</v>
      </c>
      <c r="H166" s="3217"/>
      <c r="I166" s="3230"/>
      <c r="J166" s="3223"/>
      <c r="K166" s="3194"/>
      <c r="L166" s="4492">
        <f t="shared" ref="L166:W166" si="118">L62*$G$166</f>
        <v>113094.72</v>
      </c>
      <c r="M166" s="5014">
        <f t="shared" si="118"/>
        <v>74926.080000000002</v>
      </c>
      <c r="N166" s="5507">
        <f t="shared" si="118"/>
        <v>121020.48</v>
      </c>
      <c r="O166" s="4492">
        <f t="shared" si="118"/>
        <v>107205.12000000002</v>
      </c>
      <c r="P166" s="5014">
        <f t="shared" si="118"/>
        <v>112976.63999999998</v>
      </c>
      <c r="Q166" s="3806">
        <f t="shared" si="118"/>
        <v>117210.24000000001</v>
      </c>
      <c r="R166" s="3803">
        <f t="shared" si="118"/>
        <v>117040</v>
      </c>
      <c r="S166" s="3802">
        <f t="shared" si="118"/>
        <v>111720</v>
      </c>
      <c r="T166" s="3804">
        <f t="shared" si="118"/>
        <v>127680</v>
      </c>
      <c r="U166" s="3805">
        <f t="shared" si="118"/>
        <v>106400</v>
      </c>
      <c r="V166" s="3802">
        <f t="shared" si="118"/>
        <v>110390</v>
      </c>
      <c r="W166" s="3806">
        <f t="shared" si="118"/>
        <v>110390</v>
      </c>
      <c r="X166" s="2085">
        <f t="shared" si="72"/>
        <v>1330053.28</v>
      </c>
      <c r="Y166" s="1637"/>
      <c r="Z166" s="1532"/>
      <c r="AA166" s="1530"/>
      <c r="AB166" s="10" t="str">
        <f t="shared" ref="AB166:AB176" si="119">AB165</f>
        <v>Mando</v>
      </c>
      <c r="AC166" s="1588" t="str">
        <f t="shared" ref="AC166:AC170" si="120">AC165</f>
        <v>Motor HSG</v>
      </c>
      <c r="AD166" s="6496"/>
      <c r="AE166" s="6474"/>
    </row>
    <row r="167" spans="1:31" s="1535" customFormat="1" ht="16.5" customHeight="1">
      <c r="A167" s="7170"/>
      <c r="B167" s="7174"/>
      <c r="C167" s="10"/>
      <c r="D167" s="1588"/>
      <c r="E167" s="4049">
        <v>25</v>
      </c>
      <c r="F167" s="1588" t="str">
        <f t="shared" si="116"/>
        <v>J100 Housing</v>
      </c>
      <c r="G167" s="1552">
        <v>3.78</v>
      </c>
      <c r="H167" s="3217"/>
      <c r="I167" s="3230"/>
      <c r="J167" s="3223"/>
      <c r="K167" s="3194"/>
      <c r="L167" s="4492">
        <f t="shared" ref="L167:W167" si="121">L63*$G$167</f>
        <v>19051.2</v>
      </c>
      <c r="M167" s="5014">
        <f t="shared" si="121"/>
        <v>19984.86</v>
      </c>
      <c r="N167" s="5507">
        <f t="shared" si="121"/>
        <v>0</v>
      </c>
      <c r="O167" s="4492">
        <f t="shared" si="121"/>
        <v>39564</v>
      </c>
      <c r="P167" s="5014">
        <f t="shared" si="121"/>
        <v>23625</v>
      </c>
      <c r="Q167" s="3806">
        <f t="shared" si="121"/>
        <v>24570</v>
      </c>
      <c r="R167" s="3803">
        <f t="shared" si="121"/>
        <v>24570</v>
      </c>
      <c r="S167" s="3802">
        <f t="shared" si="121"/>
        <v>24570</v>
      </c>
      <c r="T167" s="3804">
        <f t="shared" si="121"/>
        <v>24570</v>
      </c>
      <c r="U167" s="3805">
        <f t="shared" si="121"/>
        <v>32319</v>
      </c>
      <c r="V167" s="3802">
        <f t="shared" si="121"/>
        <v>21546</v>
      </c>
      <c r="W167" s="3806">
        <f t="shared" si="121"/>
        <v>21546</v>
      </c>
      <c r="X167" s="2085">
        <f t="shared" si="72"/>
        <v>275916.06</v>
      </c>
      <c r="Y167" s="1637"/>
      <c r="Z167" s="1532"/>
      <c r="AA167" s="1530"/>
      <c r="AB167" s="10" t="str">
        <f t="shared" si="119"/>
        <v>Mando</v>
      </c>
      <c r="AC167" s="1588" t="str">
        <f t="shared" si="120"/>
        <v>Motor HSG</v>
      </c>
      <c r="AD167" s="6496"/>
      <c r="AE167" s="6474"/>
    </row>
    <row r="168" spans="1:31" s="1535" customFormat="1" ht="16.5" hidden="1" customHeight="1">
      <c r="A168" s="7170"/>
      <c r="B168" s="7174"/>
      <c r="C168" s="10"/>
      <c r="D168" s="1588"/>
      <c r="E168" s="4049"/>
      <c r="F168" s="1588" t="str">
        <f t="shared" si="116"/>
        <v>BENZ R-EPS HSG (Anodizing)</v>
      </c>
      <c r="G168" s="1552">
        <v>5.28</v>
      </c>
      <c r="H168" s="3217"/>
      <c r="I168" s="3230"/>
      <c r="J168" s="3223"/>
      <c r="K168" s="3194"/>
      <c r="L168" s="4492">
        <f t="shared" ref="L168:W168" si="122">L64*$G$168</f>
        <v>0</v>
      </c>
      <c r="M168" s="5014">
        <f t="shared" si="122"/>
        <v>0</v>
      </c>
      <c r="N168" s="5507">
        <f t="shared" si="122"/>
        <v>0</v>
      </c>
      <c r="O168" s="4492">
        <f t="shared" si="122"/>
        <v>0</v>
      </c>
      <c r="P168" s="5014">
        <f t="shared" si="122"/>
        <v>0</v>
      </c>
      <c r="Q168" s="3806">
        <f t="shared" si="122"/>
        <v>0</v>
      </c>
      <c r="R168" s="3803">
        <f t="shared" si="122"/>
        <v>0</v>
      </c>
      <c r="S168" s="3802">
        <f t="shared" si="122"/>
        <v>0</v>
      </c>
      <c r="T168" s="3804">
        <f t="shared" si="122"/>
        <v>0</v>
      </c>
      <c r="U168" s="3805">
        <f t="shared" si="122"/>
        <v>0</v>
      </c>
      <c r="V168" s="3802">
        <f t="shared" si="122"/>
        <v>0</v>
      </c>
      <c r="W168" s="3806">
        <f t="shared" si="122"/>
        <v>0</v>
      </c>
      <c r="X168" s="2085">
        <f t="shared" si="72"/>
        <v>0</v>
      </c>
      <c r="Y168" s="1637"/>
      <c r="Z168" s="1532"/>
      <c r="AA168" s="1530"/>
      <c r="AB168" s="10" t="str">
        <f t="shared" si="119"/>
        <v>Mando</v>
      </c>
      <c r="AC168" s="1588" t="str">
        <f t="shared" si="120"/>
        <v>Motor HSG</v>
      </c>
      <c r="AD168" s="6496"/>
      <c r="AE168" s="6474"/>
    </row>
    <row r="169" spans="1:31" s="1535" customFormat="1" ht="16.5" hidden="1" customHeight="1">
      <c r="A169" s="7170"/>
      <c r="B169" s="7174"/>
      <c r="C169" s="10"/>
      <c r="D169" s="1588"/>
      <c r="E169" s="4049"/>
      <c r="F169" s="1588" t="str">
        <f t="shared" si="116"/>
        <v>NE2 R-EPS HSG</v>
      </c>
      <c r="G169" s="1552">
        <v>4</v>
      </c>
      <c r="H169" s="3217"/>
      <c r="I169" s="3230"/>
      <c r="J169" s="3223"/>
      <c r="K169" s="3194"/>
      <c r="L169" s="4492">
        <f t="shared" ref="L169:W169" si="123">L65*$G$169</f>
        <v>0</v>
      </c>
      <c r="M169" s="5014">
        <f t="shared" si="123"/>
        <v>0</v>
      </c>
      <c r="N169" s="5507">
        <f t="shared" si="123"/>
        <v>0</v>
      </c>
      <c r="O169" s="4492">
        <f t="shared" si="123"/>
        <v>0</v>
      </c>
      <c r="P169" s="5014">
        <f t="shared" si="123"/>
        <v>0</v>
      </c>
      <c r="Q169" s="3806">
        <f t="shared" si="123"/>
        <v>0</v>
      </c>
      <c r="R169" s="3803">
        <f t="shared" si="123"/>
        <v>0</v>
      </c>
      <c r="S169" s="3802">
        <f t="shared" si="123"/>
        <v>0</v>
      </c>
      <c r="T169" s="3804">
        <f t="shared" si="123"/>
        <v>0</v>
      </c>
      <c r="U169" s="3805">
        <f t="shared" si="123"/>
        <v>0</v>
      </c>
      <c r="V169" s="3802">
        <f t="shared" si="123"/>
        <v>0</v>
      </c>
      <c r="W169" s="3806">
        <f t="shared" si="123"/>
        <v>0</v>
      </c>
      <c r="X169" s="2085">
        <f t="shared" si="72"/>
        <v>0</v>
      </c>
      <c r="Y169" s="1637"/>
      <c r="Z169" s="1532"/>
      <c r="AA169" s="1530"/>
      <c r="AB169" s="10" t="str">
        <f t="shared" si="119"/>
        <v>Mando</v>
      </c>
      <c r="AC169" s="1588" t="str">
        <f t="shared" si="120"/>
        <v>Motor HSG</v>
      </c>
      <c r="AD169" s="6496"/>
      <c r="AE169" s="6474"/>
    </row>
    <row r="170" spans="1:31" s="1535" customFormat="1" ht="16.5" hidden="1" customHeight="1">
      <c r="A170" s="7170"/>
      <c r="B170" s="7174"/>
      <c r="C170" s="10"/>
      <c r="D170" s="1588"/>
      <c r="E170" s="4049"/>
      <c r="F170" s="1588" t="str">
        <f t="shared" si="116"/>
        <v>M184 R-EPS HSG</v>
      </c>
      <c r="G170" s="1552">
        <v>5.94</v>
      </c>
      <c r="H170" s="3217"/>
      <c r="I170" s="3230"/>
      <c r="J170" s="3223"/>
      <c r="K170" s="3194"/>
      <c r="L170" s="4492">
        <f t="shared" ref="L170:W170" si="124">L66*$G$170</f>
        <v>0</v>
      </c>
      <c r="M170" s="5014">
        <f t="shared" si="124"/>
        <v>0</v>
      </c>
      <c r="N170" s="5507">
        <f t="shared" si="124"/>
        <v>0</v>
      </c>
      <c r="O170" s="4492">
        <f t="shared" si="124"/>
        <v>0</v>
      </c>
      <c r="P170" s="5014">
        <f t="shared" si="124"/>
        <v>0</v>
      </c>
      <c r="Q170" s="3806">
        <f t="shared" si="124"/>
        <v>0</v>
      </c>
      <c r="R170" s="3803">
        <f t="shared" si="124"/>
        <v>0</v>
      </c>
      <c r="S170" s="3802">
        <f t="shared" si="124"/>
        <v>0</v>
      </c>
      <c r="T170" s="3804">
        <f t="shared" si="124"/>
        <v>0</v>
      </c>
      <c r="U170" s="3805">
        <f t="shared" si="124"/>
        <v>0</v>
      </c>
      <c r="V170" s="3802">
        <f t="shared" si="124"/>
        <v>0</v>
      </c>
      <c r="W170" s="3806">
        <f t="shared" si="124"/>
        <v>0</v>
      </c>
      <c r="X170" s="2085">
        <f t="shared" si="72"/>
        <v>0</v>
      </c>
      <c r="Y170" s="1637"/>
      <c r="Z170" s="1532"/>
      <c r="AA170" s="1530"/>
      <c r="AB170" s="10" t="str">
        <f t="shared" si="119"/>
        <v>Mando</v>
      </c>
      <c r="AC170" s="1588" t="str">
        <f t="shared" si="120"/>
        <v>Motor HSG</v>
      </c>
      <c r="AD170" s="6496"/>
      <c r="AE170" s="6474"/>
    </row>
    <row r="171" spans="1:31" s="1535" customFormat="1" ht="16.5" customHeight="1">
      <c r="A171" s="7170"/>
      <c r="B171" s="7174"/>
      <c r="C171" s="10"/>
      <c r="D171" s="7137" t="s">
        <v>1715</v>
      </c>
      <c r="E171" s="7138"/>
      <c r="F171" s="7139"/>
      <c r="G171" s="3711"/>
      <c r="H171" s="5725"/>
      <c r="I171" s="5726"/>
      <c r="J171" s="5727"/>
      <c r="K171" s="5728"/>
      <c r="L171" s="5705">
        <f>SUM(L165:L167)</f>
        <v>247275.72000000003</v>
      </c>
      <c r="M171" s="5706">
        <f t="shared" ref="M171:X171" si="125">SUM(M165:M167)</f>
        <v>303273.59999999998</v>
      </c>
      <c r="N171" s="5707">
        <f t="shared" si="125"/>
        <v>323494.07999999996</v>
      </c>
      <c r="O171" s="5705">
        <f t="shared" si="125"/>
        <v>307969.12</v>
      </c>
      <c r="P171" s="5706">
        <f t="shared" si="125"/>
        <v>136601.63999999998</v>
      </c>
      <c r="Q171" s="5731">
        <f t="shared" si="125"/>
        <v>141780.24</v>
      </c>
      <c r="R171" s="5729">
        <f t="shared" si="125"/>
        <v>141610</v>
      </c>
      <c r="S171" s="5730">
        <f t="shared" si="125"/>
        <v>136290</v>
      </c>
      <c r="T171" s="5732">
        <f t="shared" si="125"/>
        <v>339430</v>
      </c>
      <c r="U171" s="5813">
        <f t="shared" si="125"/>
        <v>325899</v>
      </c>
      <c r="V171" s="5730">
        <f t="shared" si="125"/>
        <v>273276</v>
      </c>
      <c r="W171" s="5731">
        <f t="shared" si="125"/>
        <v>273276</v>
      </c>
      <c r="X171" s="5733">
        <f t="shared" si="125"/>
        <v>2950175.4</v>
      </c>
      <c r="Y171" s="1546"/>
      <c r="Z171" s="1532"/>
      <c r="AA171" s="1530"/>
      <c r="AB171" s="10"/>
      <c r="AC171" s="1588"/>
      <c r="AD171" s="6496"/>
      <c r="AE171" s="6474"/>
    </row>
    <row r="172" spans="1:31" s="1535" customFormat="1" ht="16.5" customHeight="1">
      <c r="A172" s="7170"/>
      <c r="B172" s="7174"/>
      <c r="C172" s="10"/>
      <c r="D172" s="7" t="s">
        <v>857</v>
      </c>
      <c r="E172" s="4052">
        <v>26</v>
      </c>
      <c r="F172" s="1589" t="str">
        <f>F68</f>
        <v>NX4 Cover</v>
      </c>
      <c r="G172" s="1570">
        <v>1.41</v>
      </c>
      <c r="H172" s="3218"/>
      <c r="I172" s="3231"/>
      <c r="J172" s="3224"/>
      <c r="K172" s="3197"/>
      <c r="L172" s="4496">
        <f t="shared" ref="L172:W172" si="126">L68*$G$172</f>
        <v>104899.05999999998</v>
      </c>
      <c r="M172" s="5016">
        <f t="shared" si="126"/>
        <v>156880.79999999999</v>
      </c>
      <c r="N172" s="5511">
        <f t="shared" si="126"/>
        <v>170225.91999999998</v>
      </c>
      <c r="O172" s="4496">
        <f t="shared" si="126"/>
        <v>79531</v>
      </c>
      <c r="P172" s="5016">
        <f t="shared" si="126"/>
        <v>41126.400000000001</v>
      </c>
      <c r="Q172" s="3811">
        <f t="shared" si="126"/>
        <v>43243.199999999997</v>
      </c>
      <c r="R172" s="3807">
        <f t="shared" si="126"/>
        <v>45360</v>
      </c>
      <c r="S172" s="3808">
        <f t="shared" si="126"/>
        <v>22680</v>
      </c>
      <c r="T172" s="3809">
        <f t="shared" si="126"/>
        <v>22680</v>
      </c>
      <c r="U172" s="3810">
        <f t="shared" si="126"/>
        <v>22680</v>
      </c>
      <c r="V172" s="3808">
        <f t="shared" si="126"/>
        <v>22680</v>
      </c>
      <c r="W172" s="3811">
        <f t="shared" si="126"/>
        <v>22680</v>
      </c>
      <c r="X172" s="2094">
        <f t="shared" si="72"/>
        <v>754666.37999999989</v>
      </c>
      <c r="Y172" s="1637"/>
      <c r="Z172" s="1532"/>
      <c r="AA172" s="1530"/>
      <c r="AB172" s="10" t="str">
        <f>AB170</f>
        <v>Mando</v>
      </c>
      <c r="AC172" s="7" t="s">
        <v>857</v>
      </c>
      <c r="AD172" s="6496"/>
      <c r="AE172" s="6474"/>
    </row>
    <row r="173" spans="1:31" s="1535" customFormat="1" ht="16.5" customHeight="1">
      <c r="A173" s="7170"/>
      <c r="B173" s="7174"/>
      <c r="C173" s="10"/>
      <c r="D173" s="10"/>
      <c r="E173" s="4051">
        <v>27</v>
      </c>
      <c r="F173" s="1588" t="str">
        <f>F69</f>
        <v>Tey Gen4 Cover</v>
      </c>
      <c r="G173" s="1552">
        <v>1.74</v>
      </c>
      <c r="H173" s="3217"/>
      <c r="I173" s="3230"/>
      <c r="J173" s="3223"/>
      <c r="K173" s="3194"/>
      <c r="L173" s="4492">
        <f>L69*$G$173+1039</f>
        <v>161059</v>
      </c>
      <c r="M173" s="5014">
        <f t="shared" ref="M173:W173" si="127">M69*$G$173</f>
        <v>135933.59999999998</v>
      </c>
      <c r="N173" s="5507">
        <f t="shared" si="127"/>
        <v>162540</v>
      </c>
      <c r="O173" s="4492">
        <f>O69*$G$173+9317</f>
        <v>143313.72</v>
      </c>
      <c r="P173" s="5014">
        <f t="shared" si="127"/>
        <v>146592</v>
      </c>
      <c r="Q173" s="3806">
        <f t="shared" si="127"/>
        <v>163199.59999999998</v>
      </c>
      <c r="R173" s="3803">
        <f t="shared" si="127"/>
        <v>141960</v>
      </c>
      <c r="S173" s="3802">
        <f t="shared" si="127"/>
        <v>138580</v>
      </c>
      <c r="T173" s="3804">
        <f t="shared" si="127"/>
        <v>141960</v>
      </c>
      <c r="U173" s="3805">
        <f t="shared" si="127"/>
        <v>138580</v>
      </c>
      <c r="V173" s="3802">
        <f t="shared" si="127"/>
        <v>138580</v>
      </c>
      <c r="W173" s="3806">
        <f t="shared" si="127"/>
        <v>138580</v>
      </c>
      <c r="X173" s="2085">
        <f t="shared" si="72"/>
        <v>1750877.92</v>
      </c>
      <c r="Y173" s="4545"/>
      <c r="Z173" s="1532"/>
      <c r="AA173" s="1530"/>
      <c r="AB173" s="10" t="str">
        <f t="shared" si="119"/>
        <v>Mando</v>
      </c>
      <c r="AC173" s="10" t="str">
        <f t="shared" ref="AC173:AC176" si="128">AC172</f>
        <v>Motor CVR</v>
      </c>
      <c r="AD173" s="6496"/>
      <c r="AE173" s="6474"/>
    </row>
    <row r="174" spans="1:31" s="1535" customFormat="1" ht="16.5" hidden="1" customHeight="1">
      <c r="A174" s="7170"/>
      <c r="B174" s="7174"/>
      <c r="C174" s="10"/>
      <c r="D174" s="8"/>
      <c r="E174" s="4051">
        <v>28</v>
      </c>
      <c r="F174" s="1623" t="s">
        <v>1224</v>
      </c>
      <c r="G174" s="1552">
        <v>2.97</v>
      </c>
      <c r="H174" s="3217"/>
      <c r="I174" s="3230"/>
      <c r="J174" s="3223"/>
      <c r="K174" s="3194"/>
      <c r="L174" s="4492">
        <f t="shared" ref="L174:W174" si="129">L70*$G$174</f>
        <v>0</v>
      </c>
      <c r="M174" s="5014">
        <f t="shared" si="129"/>
        <v>0</v>
      </c>
      <c r="N174" s="5507">
        <f t="shared" si="129"/>
        <v>0</v>
      </c>
      <c r="O174" s="4492">
        <f t="shared" si="129"/>
        <v>0</v>
      </c>
      <c r="P174" s="5014">
        <f t="shared" si="129"/>
        <v>0</v>
      </c>
      <c r="Q174" s="3806">
        <f t="shared" si="129"/>
        <v>0</v>
      </c>
      <c r="R174" s="3803">
        <f t="shared" si="129"/>
        <v>0</v>
      </c>
      <c r="S174" s="3802">
        <f t="shared" si="129"/>
        <v>0</v>
      </c>
      <c r="T174" s="3804">
        <f t="shared" si="129"/>
        <v>0</v>
      </c>
      <c r="U174" s="3805">
        <f t="shared" si="129"/>
        <v>0</v>
      </c>
      <c r="V174" s="3802">
        <f t="shared" si="129"/>
        <v>0</v>
      </c>
      <c r="W174" s="3806">
        <f t="shared" si="129"/>
        <v>0</v>
      </c>
      <c r="X174" s="2085">
        <f t="shared" si="72"/>
        <v>0</v>
      </c>
      <c r="Y174" s="1637"/>
      <c r="Z174" s="1532"/>
      <c r="AA174" s="1530"/>
      <c r="AB174" s="10" t="str">
        <f t="shared" si="119"/>
        <v>Mando</v>
      </c>
      <c r="AC174" s="8" t="str">
        <f t="shared" si="128"/>
        <v>Motor CVR</v>
      </c>
      <c r="AD174" s="6496"/>
      <c r="AE174" s="6474"/>
    </row>
    <row r="175" spans="1:31" s="1535" customFormat="1" ht="16.5" hidden="1" customHeight="1">
      <c r="A175" s="7170"/>
      <c r="B175" s="7174"/>
      <c r="C175" s="10"/>
      <c r="D175" s="8"/>
      <c r="E175" s="4051">
        <v>29</v>
      </c>
      <c r="F175" s="1623" t="s">
        <v>1225</v>
      </c>
      <c r="G175" s="1552">
        <v>2.86</v>
      </c>
      <c r="H175" s="3217"/>
      <c r="I175" s="3230"/>
      <c r="J175" s="3223"/>
      <c r="K175" s="3194"/>
      <c r="L175" s="4492">
        <f t="shared" ref="L175:W175" si="130">L71*$G$175</f>
        <v>0</v>
      </c>
      <c r="M175" s="5014">
        <f t="shared" si="130"/>
        <v>0</v>
      </c>
      <c r="N175" s="5507">
        <f t="shared" si="130"/>
        <v>0</v>
      </c>
      <c r="O175" s="4492">
        <f t="shared" si="130"/>
        <v>0</v>
      </c>
      <c r="P175" s="5014">
        <f t="shared" si="130"/>
        <v>0</v>
      </c>
      <c r="Q175" s="3806">
        <f t="shared" si="130"/>
        <v>0</v>
      </c>
      <c r="R175" s="3803">
        <f t="shared" si="130"/>
        <v>0</v>
      </c>
      <c r="S175" s="3802">
        <f t="shared" si="130"/>
        <v>0</v>
      </c>
      <c r="T175" s="3804">
        <f t="shared" si="130"/>
        <v>0</v>
      </c>
      <c r="U175" s="3805">
        <f t="shared" si="130"/>
        <v>0</v>
      </c>
      <c r="V175" s="3802">
        <f t="shared" si="130"/>
        <v>0</v>
      </c>
      <c r="W175" s="3806">
        <f t="shared" si="130"/>
        <v>9532.3799999999992</v>
      </c>
      <c r="X175" s="2085">
        <f t="shared" si="72"/>
        <v>9532.3799999999992</v>
      </c>
      <c r="Y175" s="1637"/>
      <c r="Z175" s="1532"/>
      <c r="AA175" s="1530"/>
      <c r="AB175" s="10" t="str">
        <f t="shared" si="119"/>
        <v>Mando</v>
      </c>
      <c r="AC175" s="8" t="str">
        <f t="shared" si="128"/>
        <v>Motor CVR</v>
      </c>
      <c r="AD175" s="6496"/>
      <c r="AE175" s="6474"/>
    </row>
    <row r="176" spans="1:31" s="1535" customFormat="1" ht="16.5" customHeight="1">
      <c r="A176" s="7170"/>
      <c r="B176" s="7174"/>
      <c r="C176" s="10"/>
      <c r="D176" s="8"/>
      <c r="E176" s="4051">
        <v>30</v>
      </c>
      <c r="F176" s="1623" t="s">
        <v>1226</v>
      </c>
      <c r="G176" s="1552">
        <v>2.69</v>
      </c>
      <c r="H176" s="3217"/>
      <c r="I176" s="3230"/>
      <c r="J176" s="3223"/>
      <c r="K176" s="3194"/>
      <c r="L176" s="4492">
        <f t="shared" ref="L176:W177" si="131">L72*$G$176</f>
        <v>0</v>
      </c>
      <c r="M176" s="5014">
        <f t="shared" si="131"/>
        <v>0</v>
      </c>
      <c r="N176" s="5507">
        <f t="shared" si="131"/>
        <v>0</v>
      </c>
      <c r="O176" s="4492">
        <f t="shared" si="131"/>
        <v>10389</v>
      </c>
      <c r="P176" s="5014">
        <f t="shared" si="131"/>
        <v>0</v>
      </c>
      <c r="Q176" s="3806">
        <f>Q72*$G$176</f>
        <v>6324.9999999999982</v>
      </c>
      <c r="R176" s="3803">
        <f t="shared" ref="R176:V176" si="132">R72*$G$176</f>
        <v>7589.9999999999982</v>
      </c>
      <c r="S176" s="3802">
        <f t="shared" si="132"/>
        <v>5060</v>
      </c>
      <c r="T176" s="3804">
        <f t="shared" si="132"/>
        <v>5060</v>
      </c>
      <c r="U176" s="3805">
        <f t="shared" si="132"/>
        <v>4554</v>
      </c>
      <c r="V176" s="3802">
        <f t="shared" si="132"/>
        <v>3035.9999999999995</v>
      </c>
      <c r="W176" s="3806">
        <f t="shared" si="131"/>
        <v>0</v>
      </c>
      <c r="X176" s="2085">
        <f t="shared" si="72"/>
        <v>42014</v>
      </c>
      <c r="Y176" s="1637"/>
      <c r="Z176" s="1532"/>
      <c r="AA176" s="1530"/>
      <c r="AB176" s="10" t="str">
        <f t="shared" si="119"/>
        <v>Mando</v>
      </c>
      <c r="AC176" s="8" t="str">
        <f t="shared" si="128"/>
        <v>Motor CVR</v>
      </c>
      <c r="AD176" s="6496"/>
      <c r="AE176" s="6474"/>
    </row>
    <row r="177" spans="1:31" s="1535" customFormat="1" ht="16.5" hidden="1" customHeight="1">
      <c r="A177" s="7170"/>
      <c r="B177" s="7174"/>
      <c r="C177" s="10"/>
      <c r="D177" s="8"/>
      <c r="E177" s="4051"/>
      <c r="F177" s="6299" t="s">
        <v>1850</v>
      </c>
      <c r="G177" s="6300">
        <v>2.63</v>
      </c>
      <c r="H177" s="3217"/>
      <c r="I177" s="3230"/>
      <c r="J177" s="3223"/>
      <c r="K177" s="3194"/>
      <c r="L177" s="4492"/>
      <c r="M177" s="5014"/>
      <c r="N177" s="5507"/>
      <c r="O177" s="4492"/>
      <c r="P177" s="5014">
        <f t="shared" si="131"/>
        <v>0</v>
      </c>
      <c r="Q177" s="3806">
        <f>Q73*$G$177</f>
        <v>0</v>
      </c>
      <c r="R177" s="3803">
        <f t="shared" ref="R177:V177" si="133">R73*$G$177</f>
        <v>0</v>
      </c>
      <c r="S177" s="3802">
        <f t="shared" si="133"/>
        <v>0</v>
      </c>
      <c r="T177" s="3804">
        <f t="shared" si="133"/>
        <v>0</v>
      </c>
      <c r="U177" s="3805">
        <f t="shared" si="133"/>
        <v>0</v>
      </c>
      <c r="V177" s="3802">
        <f t="shared" si="133"/>
        <v>0</v>
      </c>
      <c r="W177" s="3806">
        <f t="shared" si="131"/>
        <v>0</v>
      </c>
      <c r="X177" s="2085">
        <f t="shared" ref="X177" si="134">SUM(L177:W177)</f>
        <v>0</v>
      </c>
      <c r="Y177" s="1637"/>
      <c r="Z177" s="1532"/>
      <c r="AA177" s="1530"/>
      <c r="AB177" s="10"/>
      <c r="AC177" s="8"/>
      <c r="AD177" s="6496"/>
      <c r="AE177" s="6474"/>
    </row>
    <row r="178" spans="1:31" s="1535" customFormat="1" ht="16.5" customHeight="1">
      <c r="A178" s="7170"/>
      <c r="B178" s="7174"/>
      <c r="C178" s="10"/>
      <c r="D178" s="8"/>
      <c r="E178" s="4051">
        <v>31</v>
      </c>
      <c r="F178" s="1623" t="s">
        <v>1227</v>
      </c>
      <c r="G178" s="1552">
        <v>2.86</v>
      </c>
      <c r="H178" s="3217"/>
      <c r="I178" s="3230"/>
      <c r="J178" s="3223"/>
      <c r="K178" s="3194"/>
      <c r="L178" s="4492">
        <f t="shared" ref="L178:W178" si="135">L74*$G$178</f>
        <v>0</v>
      </c>
      <c r="M178" s="5014">
        <f t="shared" si="135"/>
        <v>0</v>
      </c>
      <c r="N178" s="5507">
        <f t="shared" si="135"/>
        <v>0</v>
      </c>
      <c r="O178" s="4492">
        <f t="shared" si="135"/>
        <v>769.5</v>
      </c>
      <c r="P178" s="5014">
        <f t="shared" si="135"/>
        <v>0</v>
      </c>
      <c r="Q178" s="3806">
        <f t="shared" si="135"/>
        <v>0</v>
      </c>
      <c r="R178" s="3803">
        <f t="shared" si="135"/>
        <v>0</v>
      </c>
      <c r="S178" s="3802">
        <f t="shared" si="135"/>
        <v>0</v>
      </c>
      <c r="T178" s="3804">
        <f t="shared" si="135"/>
        <v>0</v>
      </c>
      <c r="U178" s="3805">
        <f t="shared" si="135"/>
        <v>0</v>
      </c>
      <c r="V178" s="3802">
        <f t="shared" si="135"/>
        <v>0</v>
      </c>
      <c r="W178" s="3806">
        <f t="shared" si="135"/>
        <v>0</v>
      </c>
      <c r="X178" s="2085">
        <f t="shared" si="72"/>
        <v>769.5</v>
      </c>
      <c r="Y178" s="1637"/>
      <c r="Z178" s="1532"/>
      <c r="AA178" s="1530"/>
      <c r="AB178" s="10" t="str">
        <f>AB176</f>
        <v>Mando</v>
      </c>
      <c r="AC178" s="8" t="str">
        <f>AC176</f>
        <v>Motor CVR</v>
      </c>
      <c r="AD178" s="6496"/>
      <c r="AE178" s="6474"/>
    </row>
    <row r="179" spans="1:31" s="1535" customFormat="1" ht="16.5" customHeight="1">
      <c r="A179" s="7170"/>
      <c r="B179" s="7174"/>
      <c r="C179" s="10"/>
      <c r="D179" s="7137" t="s">
        <v>1714</v>
      </c>
      <c r="E179" s="7138"/>
      <c r="F179" s="7139"/>
      <c r="G179" s="3711"/>
      <c r="H179" s="5725"/>
      <c r="I179" s="5726"/>
      <c r="J179" s="5727"/>
      <c r="K179" s="5728"/>
      <c r="L179" s="5705">
        <f>SUM(L172:L178)</f>
        <v>265958.06</v>
      </c>
      <c r="M179" s="5706">
        <f t="shared" ref="M179:X179" si="136">SUM(M172:M178)</f>
        <v>292814.39999999997</v>
      </c>
      <c r="N179" s="5707">
        <f t="shared" si="136"/>
        <v>332765.92</v>
      </c>
      <c r="O179" s="5705">
        <f t="shared" si="136"/>
        <v>234003.22</v>
      </c>
      <c r="P179" s="5706">
        <f t="shared" si="136"/>
        <v>187718.39999999999</v>
      </c>
      <c r="Q179" s="5731">
        <f t="shared" si="136"/>
        <v>212767.8</v>
      </c>
      <c r="R179" s="5729">
        <f t="shared" si="136"/>
        <v>194910</v>
      </c>
      <c r="S179" s="5730">
        <f t="shared" si="136"/>
        <v>166320</v>
      </c>
      <c r="T179" s="5732">
        <f t="shared" si="136"/>
        <v>169700</v>
      </c>
      <c r="U179" s="5813">
        <f t="shared" si="136"/>
        <v>165814</v>
      </c>
      <c r="V179" s="5730">
        <f t="shared" si="136"/>
        <v>164296</v>
      </c>
      <c r="W179" s="5731">
        <f t="shared" si="136"/>
        <v>170792.38</v>
      </c>
      <c r="X179" s="5733">
        <f t="shared" si="136"/>
        <v>2557860.1799999997</v>
      </c>
      <c r="Y179" s="1546"/>
      <c r="Z179" s="1532"/>
      <c r="AA179" s="1530"/>
      <c r="AB179" s="10"/>
      <c r="AC179" s="8"/>
      <c r="AD179" s="6496"/>
      <c r="AE179" s="6474"/>
    </row>
    <row r="180" spans="1:31" s="1535" customFormat="1" ht="15.6" customHeight="1">
      <c r="A180" s="7170"/>
      <c r="B180" s="7174"/>
      <c r="C180" s="10"/>
      <c r="D180" s="1590" t="s">
        <v>875</v>
      </c>
      <c r="E180" s="4058">
        <v>32</v>
      </c>
      <c r="F180" s="1590" t="str">
        <f>F76</f>
        <v>MAS65 Heatsink Cover</v>
      </c>
      <c r="G180" s="1591">
        <v>1.1529856447955524</v>
      </c>
      <c r="H180" s="3219"/>
      <c r="I180" s="3232"/>
      <c r="J180" s="3225"/>
      <c r="K180" s="3200"/>
      <c r="L180" s="4498">
        <f>L76*$G$180-210.67</f>
        <v>109952.4304129302</v>
      </c>
      <c r="M180" s="5019">
        <f>M76*$G$180-529</f>
        <v>73613.299773144288</v>
      </c>
      <c r="N180" s="5514">
        <v>74493.235923076922</v>
      </c>
      <c r="O180" s="4498">
        <f>O76*$G$180+641</f>
        <v>111854.44965971641</v>
      </c>
      <c r="P180" s="5019">
        <f t="shared" ref="P180:W180" si="137">P76*$G$180</f>
        <v>74142.299773144288</v>
      </c>
      <c r="Q180" s="3823">
        <f t="shared" si="137"/>
        <v>107020.87913683029</v>
      </c>
      <c r="R180" s="3820">
        <f t="shared" si="137"/>
        <v>110661.79564354719</v>
      </c>
      <c r="S180" s="3821">
        <f t="shared" si="137"/>
        <v>74142.299773144288</v>
      </c>
      <c r="T180" s="3822">
        <f t="shared" si="137"/>
        <v>74142.299773144288</v>
      </c>
      <c r="U180" s="3835">
        <f t="shared" si="137"/>
        <v>74142.299773144288</v>
      </c>
      <c r="V180" s="3821">
        <f t="shared" si="137"/>
        <v>74142.299773144288</v>
      </c>
      <c r="W180" s="3823">
        <f t="shared" si="137"/>
        <v>74142.299773144288</v>
      </c>
      <c r="X180" s="3341">
        <f t="shared" si="72"/>
        <v>1032449.8891881112</v>
      </c>
      <c r="Y180" s="1546"/>
      <c r="Z180" s="1532"/>
      <c r="AA180" s="1637"/>
      <c r="AB180" s="6" t="str">
        <f>AB178</f>
        <v>Mando</v>
      </c>
      <c r="AC180" s="1590" t="s">
        <v>875</v>
      </c>
      <c r="AD180" s="6496"/>
      <c r="AE180" s="6474"/>
    </row>
    <row r="181" spans="1:31" s="1535" customFormat="1" ht="15.6" customHeight="1">
      <c r="A181" s="7170"/>
      <c r="B181" s="7174"/>
      <c r="C181" s="6"/>
      <c r="D181" s="7148" t="s">
        <v>1722</v>
      </c>
      <c r="E181" s="7149"/>
      <c r="F181" s="7149"/>
      <c r="G181" s="7150"/>
      <c r="H181" s="5780"/>
      <c r="I181" s="5781"/>
      <c r="J181" s="5782"/>
      <c r="K181" s="5783"/>
      <c r="L181" s="5784">
        <f>SUM(L180)</f>
        <v>109952.4304129302</v>
      </c>
      <c r="M181" s="5785">
        <f t="shared" ref="M181:X181" si="138">SUM(M180)</f>
        <v>73613.299773144288</v>
      </c>
      <c r="N181" s="5786">
        <f t="shared" si="138"/>
        <v>74493.235923076922</v>
      </c>
      <c r="O181" s="5784">
        <f t="shared" si="138"/>
        <v>111854.44965971641</v>
      </c>
      <c r="P181" s="5785">
        <f t="shared" si="138"/>
        <v>74142.299773144288</v>
      </c>
      <c r="Q181" s="5789">
        <f t="shared" si="138"/>
        <v>107020.87913683029</v>
      </c>
      <c r="R181" s="5787">
        <f t="shared" si="138"/>
        <v>110661.79564354719</v>
      </c>
      <c r="S181" s="5788">
        <f t="shared" si="138"/>
        <v>74142.299773144288</v>
      </c>
      <c r="T181" s="5790">
        <f t="shared" si="138"/>
        <v>74142.299773144288</v>
      </c>
      <c r="U181" s="6481">
        <f t="shared" si="138"/>
        <v>74142.299773144288</v>
      </c>
      <c r="V181" s="5788">
        <f t="shared" si="138"/>
        <v>74142.299773144288</v>
      </c>
      <c r="W181" s="5789">
        <f t="shared" si="138"/>
        <v>74142.299773144288</v>
      </c>
      <c r="X181" s="5791">
        <f t="shared" si="138"/>
        <v>1032449.8891881112</v>
      </c>
      <c r="Y181" s="1546"/>
      <c r="Z181" s="1532"/>
      <c r="AA181" s="1637"/>
      <c r="AB181" s="10"/>
      <c r="AC181" s="8"/>
      <c r="AD181" s="6498"/>
      <c r="AE181" s="6474"/>
    </row>
    <row r="182" spans="1:31" s="1535" customFormat="1" ht="15.6" customHeight="1">
      <c r="A182" s="7170"/>
      <c r="B182" s="7174"/>
      <c r="C182" s="7145" t="s">
        <v>1720</v>
      </c>
      <c r="D182" s="7146"/>
      <c r="E182" s="7146"/>
      <c r="F182" s="7146"/>
      <c r="G182" s="7147"/>
      <c r="H182" s="5793"/>
      <c r="I182" s="5794"/>
      <c r="J182" s="5795"/>
      <c r="K182" s="5796"/>
      <c r="L182" s="5771">
        <f>SUM(L181+L179+L171)</f>
        <v>623186.21041293023</v>
      </c>
      <c r="M182" s="5772">
        <f t="shared" ref="M182:X182" si="139">SUM(M181+M179+M171)</f>
        <v>669701.2997731443</v>
      </c>
      <c r="N182" s="5773">
        <f t="shared" si="139"/>
        <v>730753.23592307686</v>
      </c>
      <c r="O182" s="5771">
        <f t="shared" si="139"/>
        <v>653826.78965971642</v>
      </c>
      <c r="P182" s="5772">
        <f t="shared" si="139"/>
        <v>398462.33977314422</v>
      </c>
      <c r="Q182" s="5799">
        <f t="shared" si="139"/>
        <v>461568.91913683026</v>
      </c>
      <c r="R182" s="5797">
        <f t="shared" si="139"/>
        <v>447181.7956435472</v>
      </c>
      <c r="S182" s="5798">
        <f t="shared" si="139"/>
        <v>376752.2997731443</v>
      </c>
      <c r="T182" s="5800">
        <f t="shared" si="139"/>
        <v>583272.2997731443</v>
      </c>
      <c r="U182" s="5802">
        <f t="shared" si="139"/>
        <v>565855.2997731443</v>
      </c>
      <c r="V182" s="5798">
        <f t="shared" si="139"/>
        <v>511714.2997731443</v>
      </c>
      <c r="W182" s="5799">
        <f t="shared" si="139"/>
        <v>518210.67977314431</v>
      </c>
      <c r="X182" s="5779">
        <f t="shared" si="139"/>
        <v>6540485.4691881109</v>
      </c>
      <c r="Y182" s="1546" t="b">
        <f>X182=SUM(L182:W182)</f>
        <v>1</v>
      </c>
      <c r="Z182" s="1532"/>
      <c r="AA182" s="1637"/>
      <c r="AB182" s="10"/>
      <c r="AC182" s="8"/>
      <c r="AD182" s="6498"/>
      <c r="AE182" s="6474"/>
    </row>
    <row r="183" spans="1:31" s="1535" customFormat="1" ht="16.5" customHeight="1">
      <c r="A183" s="7170"/>
      <c r="B183" s="7174"/>
      <c r="C183" s="10" t="s">
        <v>22</v>
      </c>
      <c r="D183" s="1588" t="s">
        <v>848</v>
      </c>
      <c r="E183" s="4051">
        <v>33</v>
      </c>
      <c r="F183" s="10" t="str">
        <f>F79</f>
        <v>FCA Housing</v>
      </c>
      <c r="G183" s="1552">
        <v>1.2499036613596994</v>
      </c>
      <c r="H183" s="3214"/>
      <c r="I183" s="3227"/>
      <c r="J183" s="3220"/>
      <c r="K183" s="3199"/>
      <c r="L183" s="4492">
        <f>L79*$G$183</f>
        <v>64691.135999999999</v>
      </c>
      <c r="M183" s="5014">
        <f>M79*$G$183-1568</f>
        <v>63123.135999999999</v>
      </c>
      <c r="N183" s="5507">
        <f t="shared" ref="N183:W183" si="140">N79*$G$183</f>
        <v>67087.104000000007</v>
      </c>
      <c r="O183" s="4492">
        <f t="shared" si="140"/>
        <v>89699.98</v>
      </c>
      <c r="P183" s="5014">
        <f t="shared" si="140"/>
        <v>152978.304</v>
      </c>
      <c r="Q183" s="3806">
        <f t="shared" si="140"/>
        <v>74638.607999999993</v>
      </c>
      <c r="R183" s="3803">
        <f t="shared" si="140"/>
        <v>57681.713499999998</v>
      </c>
      <c r="S183" s="3802">
        <f t="shared" si="140"/>
        <v>57681.713499999998</v>
      </c>
      <c r="T183" s="3804">
        <f t="shared" si="140"/>
        <v>57681.713499999998</v>
      </c>
      <c r="U183" s="3805">
        <f t="shared" si="140"/>
        <v>57681.713499999998</v>
      </c>
      <c r="V183" s="3802">
        <f t="shared" si="140"/>
        <v>57681.713499999998</v>
      </c>
      <c r="W183" s="3806">
        <f t="shared" si="140"/>
        <v>57681.713499999998</v>
      </c>
      <c r="X183" s="2085">
        <f t="shared" si="72"/>
        <v>858308.54899999977</v>
      </c>
      <c r="Y183" s="1637"/>
      <c r="Z183" s="1532"/>
      <c r="AA183" s="1530"/>
      <c r="AB183" s="10" t="s">
        <v>22</v>
      </c>
      <c r="AC183" s="1588" t="s">
        <v>848</v>
      </c>
      <c r="AD183" s="6498"/>
      <c r="AE183" s="6474"/>
    </row>
    <row r="184" spans="1:31" s="1535" customFormat="1" ht="16.5" customHeight="1">
      <c r="A184" s="7170"/>
      <c r="B184" s="7174"/>
      <c r="C184" s="10"/>
      <c r="D184" s="10"/>
      <c r="E184" s="4051">
        <v>34</v>
      </c>
      <c r="F184" s="10" t="str">
        <f>F80</f>
        <v>GM EU2L Housing</v>
      </c>
      <c r="G184" s="1552">
        <v>1.3532265538756645</v>
      </c>
      <c r="H184" s="3217"/>
      <c r="I184" s="3230"/>
      <c r="J184" s="3223"/>
      <c r="K184" s="3194"/>
      <c r="L184" s="4492">
        <f t="shared" ref="L184:W184" si="141">L80*$G$184</f>
        <v>67511.244015899938</v>
      </c>
      <c r="M184" s="5014">
        <f t="shared" si="141"/>
        <v>59259.222985456756</v>
      </c>
      <c r="N184" s="5507">
        <f t="shared" si="141"/>
        <v>74946.23326115073</v>
      </c>
      <c r="O184" s="4492">
        <f t="shared" si="141"/>
        <v>10619.277333543654</v>
      </c>
      <c r="P184" s="5014">
        <f t="shared" si="141"/>
        <v>105785.37337698667</v>
      </c>
      <c r="Q184" s="3806">
        <f t="shared" si="141"/>
        <v>42283.584754477408</v>
      </c>
      <c r="R184" s="3803">
        <f t="shared" si="141"/>
        <v>70406.965133152073</v>
      </c>
      <c r="S184" s="3802">
        <f t="shared" si="141"/>
        <v>49265.172755913372</v>
      </c>
      <c r="T184" s="3804">
        <f t="shared" si="141"/>
        <v>47645.44433958023</v>
      </c>
      <c r="U184" s="3805">
        <f t="shared" si="141"/>
        <v>47645.44433958023</v>
      </c>
      <c r="V184" s="3802">
        <f t="shared" si="141"/>
        <v>47645.44433958023</v>
      </c>
      <c r="W184" s="3806">
        <f t="shared" si="141"/>
        <v>49265.172755913372</v>
      </c>
      <c r="X184" s="2085">
        <f t="shared" si="72"/>
        <v>672278.57939123479</v>
      </c>
      <c r="Y184" s="1637"/>
      <c r="Z184" s="1532"/>
      <c r="AA184" s="1530"/>
      <c r="AB184" s="10" t="str">
        <f t="shared" ref="AB184:AB196" si="142">AB183</f>
        <v>ZF TRW</v>
      </c>
      <c r="AC184" s="10" t="str">
        <f t="shared" ref="AC184:AC185" si="143">AC183</f>
        <v>Motor HSG</v>
      </c>
      <c r="AD184" s="6496"/>
      <c r="AE184" s="6474"/>
    </row>
    <row r="185" spans="1:31" s="1569" customFormat="1" ht="16.5" customHeight="1">
      <c r="A185" s="7170"/>
      <c r="B185" s="7174"/>
      <c r="C185" s="10"/>
      <c r="D185" s="10"/>
      <c r="E185" s="4051">
        <v>35</v>
      </c>
      <c r="F185" s="10" t="str">
        <f>F81</f>
        <v>GM ACP Housing</v>
      </c>
      <c r="G185" s="1552">
        <v>1.8021041927736006</v>
      </c>
      <c r="H185" s="3217"/>
      <c r="I185" s="3230"/>
      <c r="J185" s="3223"/>
      <c r="K185" s="3194"/>
      <c r="L185" s="4492">
        <f>L81*$G$185</f>
        <v>209507.31532223584</v>
      </c>
      <c r="M185" s="5014">
        <f>M81*$G$185</f>
        <v>0</v>
      </c>
      <c r="N185" s="5507">
        <f>N81*$G$185+4531</f>
        <v>277495.67376140004</v>
      </c>
      <c r="O185" s="4492">
        <f t="shared" ref="O185:W185" si="144">O81*$G$185</f>
        <v>33104.531481547252</v>
      </c>
      <c r="P185" s="5014">
        <f t="shared" si="144"/>
        <v>65556.792856898799</v>
      </c>
      <c r="Q185" s="3806">
        <f t="shared" si="144"/>
        <v>84360.842939171242</v>
      </c>
      <c r="R185" s="3803">
        <f t="shared" si="144"/>
        <v>180093.62890876204</v>
      </c>
      <c r="S185" s="3802">
        <f t="shared" si="144"/>
        <v>142609.78895083201</v>
      </c>
      <c r="T185" s="3804">
        <f t="shared" si="144"/>
        <v>212838.83282557517</v>
      </c>
      <c r="U185" s="3805">
        <f t="shared" si="144"/>
        <v>212838.83282557517</v>
      </c>
      <c r="V185" s="3802">
        <f t="shared" si="144"/>
        <v>201033.43468225928</v>
      </c>
      <c r="W185" s="3806">
        <f t="shared" si="144"/>
        <v>210762.22523797749</v>
      </c>
      <c r="X185" s="2085">
        <f t="shared" si="72"/>
        <v>1830201.8997922344</v>
      </c>
      <c r="Y185" s="1637"/>
      <c r="Z185" s="1532"/>
      <c r="AA185" s="1530"/>
      <c r="AB185" s="10" t="str">
        <f t="shared" si="142"/>
        <v>ZF TRW</v>
      </c>
      <c r="AC185" s="10" t="str">
        <f t="shared" si="143"/>
        <v>Motor HSG</v>
      </c>
      <c r="AD185" s="6496"/>
      <c r="AE185" s="6474"/>
    </row>
    <row r="186" spans="1:31" s="1569" customFormat="1" ht="16.5" customHeight="1">
      <c r="A186" s="7170"/>
      <c r="B186" s="7174"/>
      <c r="C186" s="8"/>
      <c r="D186" s="7137" t="s">
        <v>1723</v>
      </c>
      <c r="E186" s="7138"/>
      <c r="F186" s="7138"/>
      <c r="G186" s="7192"/>
      <c r="H186" s="5725"/>
      <c r="I186" s="5726"/>
      <c r="J186" s="5727"/>
      <c r="K186" s="5728"/>
      <c r="L186" s="5705">
        <f>SUM(L183:L185)</f>
        <v>341709.69533813582</v>
      </c>
      <c r="M186" s="5706">
        <f t="shared" ref="M186:X186" si="145">SUM(M183:M185)</f>
        <v>122382.35898545675</v>
      </c>
      <c r="N186" s="5707">
        <f t="shared" si="145"/>
        <v>419529.01102255075</v>
      </c>
      <c r="O186" s="5705">
        <f t="shared" si="145"/>
        <v>133423.7888150909</v>
      </c>
      <c r="P186" s="5706">
        <f t="shared" si="145"/>
        <v>324320.47023388545</v>
      </c>
      <c r="Q186" s="5731">
        <f t="shared" si="145"/>
        <v>201283.03569364865</v>
      </c>
      <c r="R186" s="5729">
        <f t="shared" si="145"/>
        <v>308182.30754191411</v>
      </c>
      <c r="S186" s="5730">
        <f t="shared" si="145"/>
        <v>249556.67520674539</v>
      </c>
      <c r="T186" s="5732">
        <f t="shared" si="145"/>
        <v>318165.9906651554</v>
      </c>
      <c r="U186" s="5813">
        <f t="shared" si="145"/>
        <v>318165.9906651554</v>
      </c>
      <c r="V186" s="5730">
        <f t="shared" si="145"/>
        <v>306360.59252183954</v>
      </c>
      <c r="W186" s="5731">
        <f t="shared" si="145"/>
        <v>317709.11149389087</v>
      </c>
      <c r="X186" s="5733">
        <f t="shared" si="145"/>
        <v>3360789.0281834691</v>
      </c>
      <c r="Y186" s="1637"/>
      <c r="Z186" s="1532"/>
      <c r="AA186" s="1530"/>
      <c r="AB186" s="8"/>
      <c r="AC186" s="10"/>
      <c r="AD186" s="6356"/>
      <c r="AE186" s="6474"/>
    </row>
    <row r="187" spans="1:31" s="1569" customFormat="1" ht="16.5" customHeight="1">
      <c r="A187" s="7170"/>
      <c r="B187" s="7174"/>
      <c r="C187" s="8"/>
      <c r="D187" s="7" t="s">
        <v>857</v>
      </c>
      <c r="E187" s="4052">
        <v>36</v>
      </c>
      <c r="F187" s="7" t="str">
        <f>F83</f>
        <v>FCA Cover</v>
      </c>
      <c r="G187" s="1570">
        <v>1.117840943747278</v>
      </c>
      <c r="H187" s="3218"/>
      <c r="I187" s="3231"/>
      <c r="J187" s="3224"/>
      <c r="K187" s="3197"/>
      <c r="L187" s="4496">
        <f t="shared" ref="L187:W187" si="146">L83*$G$187</f>
        <v>57894.912000000004</v>
      </c>
      <c r="M187" s="5016">
        <f t="shared" si="146"/>
        <v>57894.912000000004</v>
      </c>
      <c r="N187" s="5511">
        <f t="shared" si="146"/>
        <v>57894.912000000004</v>
      </c>
      <c r="O187" s="4496">
        <f t="shared" si="146"/>
        <v>51041.372000000003</v>
      </c>
      <c r="P187" s="5016">
        <f>P83*$G$187</f>
        <v>109276.8</v>
      </c>
      <c r="Q187" s="3811">
        <f t="shared" si="146"/>
        <v>66112.464000000007</v>
      </c>
      <c r="R187" s="3807">
        <f t="shared" si="146"/>
        <v>51092.595500000003</v>
      </c>
      <c r="S187" s="3808">
        <f t="shared" si="146"/>
        <v>51092.595500000003</v>
      </c>
      <c r="T187" s="3809">
        <f t="shared" si="146"/>
        <v>51092.595500000003</v>
      </c>
      <c r="U187" s="3810">
        <f t="shared" si="146"/>
        <v>51092.595500000003</v>
      </c>
      <c r="V187" s="3808">
        <f t="shared" si="146"/>
        <v>51092.595500000003</v>
      </c>
      <c r="W187" s="3809">
        <f t="shared" si="146"/>
        <v>51092.595500000003</v>
      </c>
      <c r="X187" s="2094">
        <f t="shared" si="72"/>
        <v>706670.94500000018</v>
      </c>
      <c r="Y187" s="1637"/>
      <c r="Z187" s="1532"/>
      <c r="AA187" s="1530"/>
      <c r="AB187" s="8" t="str">
        <f>AB185</f>
        <v>ZF TRW</v>
      </c>
      <c r="AC187" s="7" t="s">
        <v>857</v>
      </c>
      <c r="AD187" s="6356"/>
      <c r="AE187" s="6474"/>
    </row>
    <row r="188" spans="1:31" s="1569" customFormat="1" ht="16.5" customHeight="1">
      <c r="A188" s="7170"/>
      <c r="B188" s="7174"/>
      <c r="C188" s="8"/>
      <c r="D188" s="10"/>
      <c r="E188" s="4051">
        <v>37</v>
      </c>
      <c r="F188" s="10" t="str">
        <f>F84</f>
        <v>GM EU2L Cover</v>
      </c>
      <c r="G188" s="1552">
        <v>1.1984147066786577</v>
      </c>
      <c r="H188" s="3217"/>
      <c r="I188" s="3230"/>
      <c r="J188" s="3223"/>
      <c r="K188" s="3194"/>
      <c r="L188" s="4492">
        <f t="shared" ref="L188:W188" si="147">L84*$G$188</f>
        <v>58315.09920496893</v>
      </c>
      <c r="M188" s="5014">
        <f t="shared" si="147"/>
        <v>51262.508408310059</v>
      </c>
      <c r="N188" s="5515">
        <f t="shared" si="147"/>
        <v>65366.690229180786</v>
      </c>
      <c r="O188" s="4492">
        <f t="shared" si="147"/>
        <v>9445.0182687424913</v>
      </c>
      <c r="P188" s="5014">
        <f t="shared" si="147"/>
        <v>91584.274981703304</v>
      </c>
      <c r="Q188" s="3806">
        <f t="shared" si="147"/>
        <v>66221.855589461411</v>
      </c>
      <c r="R188" s="3803">
        <f t="shared" si="147"/>
        <v>72485.929856247618</v>
      </c>
      <c r="S188" s="3802">
        <f t="shared" si="147"/>
        <v>72485.929856247618</v>
      </c>
      <c r="T188" s="3804">
        <f t="shared" si="147"/>
        <v>71032.664626353202</v>
      </c>
      <c r="U188" s="3805">
        <f t="shared" si="147"/>
        <v>71032.664626353202</v>
      </c>
      <c r="V188" s="3802">
        <f t="shared" si="147"/>
        <v>71032.664626353202</v>
      </c>
      <c r="W188" s="3804">
        <f t="shared" si="147"/>
        <v>72485.929856247618</v>
      </c>
      <c r="X188" s="2085">
        <f t="shared" si="72"/>
        <v>772751.23013016942</v>
      </c>
      <c r="Y188" s="1637"/>
      <c r="Z188" s="1532"/>
      <c r="AA188" s="1530"/>
      <c r="AB188" s="8" t="str">
        <f t="shared" si="142"/>
        <v>ZF TRW</v>
      </c>
      <c r="AC188" s="10" t="str">
        <f t="shared" ref="AC188:AC189" si="148">AC187</f>
        <v>Motor CVR</v>
      </c>
      <c r="AD188" s="6356"/>
      <c r="AE188" s="6474"/>
    </row>
    <row r="189" spans="1:31" s="1569" customFormat="1" ht="16.5" customHeight="1">
      <c r="A189" s="7170"/>
      <c r="B189" s="7174"/>
      <c r="C189" s="8"/>
      <c r="D189" s="10"/>
      <c r="E189" s="4051">
        <v>38</v>
      </c>
      <c r="F189" s="10" t="str">
        <f>F85</f>
        <v>GM ACP Cover</v>
      </c>
      <c r="G189" s="1552">
        <v>1.2087003393901419</v>
      </c>
      <c r="H189" s="3217"/>
      <c r="I189" s="3230"/>
      <c r="J189" s="3223"/>
      <c r="K189" s="3194"/>
      <c r="L189" s="4492">
        <f t="shared" ref="L189:W189" si="149">L85*$G$189</f>
        <v>139385.2834613572</v>
      </c>
      <c r="M189" s="5014">
        <f t="shared" si="149"/>
        <v>0</v>
      </c>
      <c r="N189" s="5515">
        <f t="shared" si="149"/>
        <v>181011.5431022495</v>
      </c>
      <c r="O189" s="4492">
        <f t="shared" si="149"/>
        <v>23772.45444380854</v>
      </c>
      <c r="P189" s="5014">
        <f t="shared" si="149"/>
        <v>43871.224828815532</v>
      </c>
      <c r="Q189" s="3806">
        <f t="shared" si="149"/>
        <v>57566.447877308841</v>
      </c>
      <c r="R189" s="3803">
        <f t="shared" si="149"/>
        <v>121112.17840655243</v>
      </c>
      <c r="S189" s="3802">
        <f t="shared" si="149"/>
        <v>96398.565480114514</v>
      </c>
      <c r="T189" s="3804">
        <f t="shared" si="149"/>
        <v>142129.59800291376</v>
      </c>
      <c r="U189" s="3805">
        <f t="shared" si="149"/>
        <v>142129.59800291376</v>
      </c>
      <c r="V189" s="3802">
        <f t="shared" si="149"/>
        <v>134346.13610349662</v>
      </c>
      <c r="W189" s="3804">
        <f t="shared" si="149"/>
        <v>141332.40716454707</v>
      </c>
      <c r="X189" s="2085">
        <f t="shared" si="72"/>
        <v>1223055.4368740779</v>
      </c>
      <c r="Y189" s="1637"/>
      <c r="Z189" s="1532"/>
      <c r="AA189" s="1530"/>
      <c r="AB189" s="8" t="str">
        <f t="shared" si="142"/>
        <v>ZF TRW</v>
      </c>
      <c r="AC189" s="1576" t="str">
        <f t="shared" si="148"/>
        <v>Motor CVR</v>
      </c>
      <c r="AD189" s="6356"/>
      <c r="AE189" s="6474"/>
    </row>
    <row r="190" spans="1:31" s="1569" customFormat="1" ht="16.5" customHeight="1">
      <c r="A190" s="7170"/>
      <c r="B190" s="7174"/>
      <c r="C190" s="8"/>
      <c r="D190" s="7137" t="s">
        <v>1724</v>
      </c>
      <c r="E190" s="7138"/>
      <c r="F190" s="7138"/>
      <c r="G190" s="7192"/>
      <c r="H190" s="5725"/>
      <c r="I190" s="5726"/>
      <c r="J190" s="5727"/>
      <c r="K190" s="5728"/>
      <c r="L190" s="5705">
        <f>SUM(L187:L189)</f>
        <v>255595.29466632614</v>
      </c>
      <c r="M190" s="5706">
        <f t="shared" ref="M190:X190" si="150">SUM(M187:M189)</f>
        <v>109157.42040831006</v>
      </c>
      <c r="N190" s="5804">
        <f t="shared" si="150"/>
        <v>304273.14533143031</v>
      </c>
      <c r="O190" s="5705">
        <f t="shared" si="150"/>
        <v>84258.844712551028</v>
      </c>
      <c r="P190" s="5706">
        <f t="shared" si="150"/>
        <v>244732.29981051883</v>
      </c>
      <c r="Q190" s="5731">
        <f t="shared" si="150"/>
        <v>189900.76746677028</v>
      </c>
      <c r="R190" s="5729">
        <f t="shared" si="150"/>
        <v>244690.70376280003</v>
      </c>
      <c r="S190" s="5730">
        <f t="shared" si="150"/>
        <v>219977.09083636213</v>
      </c>
      <c r="T190" s="5732">
        <f t="shared" si="150"/>
        <v>264254.858129267</v>
      </c>
      <c r="U190" s="5813">
        <f t="shared" si="150"/>
        <v>264254.858129267</v>
      </c>
      <c r="V190" s="5730">
        <f t="shared" si="150"/>
        <v>256471.39622984984</v>
      </c>
      <c r="W190" s="5732">
        <f t="shared" si="150"/>
        <v>264910.93252079468</v>
      </c>
      <c r="X190" s="5733">
        <f t="shared" si="150"/>
        <v>2702477.6120042475</v>
      </c>
      <c r="Y190" s="1637"/>
      <c r="Z190" s="1532"/>
      <c r="AA190" s="1530"/>
      <c r="AB190" s="8"/>
      <c r="AC190" s="10"/>
      <c r="AD190" s="6356"/>
      <c r="AE190" s="6474"/>
    </row>
    <row r="191" spans="1:31" s="1535" customFormat="1" ht="16.5" customHeight="1">
      <c r="A191" s="7170"/>
      <c r="B191" s="7174"/>
      <c r="C191" s="8"/>
      <c r="D191" s="10" t="s">
        <v>868</v>
      </c>
      <c r="E191" s="4053">
        <v>39</v>
      </c>
      <c r="F191" s="1588" t="str">
        <f>F87</f>
        <v>Lens Mount</v>
      </c>
      <c r="G191" s="1552">
        <v>0.57383423604085371</v>
      </c>
      <c r="H191" s="3217"/>
      <c r="I191" s="3230"/>
      <c r="J191" s="3223"/>
      <c r="K191" s="3194"/>
      <c r="L191" s="4492">
        <f t="shared" ref="L191:W191" si="151">L87*$G$191</f>
        <v>84283.391999999993</v>
      </c>
      <c r="M191" s="5014">
        <f t="shared" si="151"/>
        <v>98032.435200000007</v>
      </c>
      <c r="N191" s="5515">
        <f t="shared" si="151"/>
        <v>102314.80319999999</v>
      </c>
      <c r="O191" s="4492">
        <f t="shared" si="151"/>
        <v>82429.705600000001</v>
      </c>
      <c r="P191" s="5014">
        <f t="shared" si="151"/>
        <v>155514.23999999999</v>
      </c>
      <c r="Q191" s="3806">
        <f t="shared" si="151"/>
        <v>81248.025599999994</v>
      </c>
      <c r="R191" s="3803">
        <f t="shared" si="151"/>
        <v>127052.74723333333</v>
      </c>
      <c r="S191" s="3802">
        <f t="shared" si="151"/>
        <v>129947.74723333333</v>
      </c>
      <c r="T191" s="3804">
        <f t="shared" si="151"/>
        <v>128194.08323333332</v>
      </c>
      <c r="U191" s="3805">
        <f t="shared" si="151"/>
        <v>125299.08323333332</v>
      </c>
      <c r="V191" s="3802">
        <f t="shared" si="151"/>
        <v>120635.08323333332</v>
      </c>
      <c r="W191" s="3804">
        <f t="shared" si="151"/>
        <v>120635.08323333332</v>
      </c>
      <c r="X191" s="2085">
        <f t="shared" si="72"/>
        <v>1355586.429</v>
      </c>
      <c r="Y191" s="1637"/>
      <c r="Z191" s="1532"/>
      <c r="AA191" s="1530"/>
      <c r="AB191" s="8" t="str">
        <f>AB189</f>
        <v>ZF TRW</v>
      </c>
      <c r="AC191" s="10" t="s">
        <v>868</v>
      </c>
      <c r="AD191" s="6356"/>
    </row>
    <row r="192" spans="1:31" s="1569" customFormat="1" ht="16.5" customHeight="1">
      <c r="A192" s="7170"/>
      <c r="B192" s="7174"/>
      <c r="C192" s="1623"/>
      <c r="D192" s="7" t="s">
        <v>875</v>
      </c>
      <c r="E192" s="4051">
        <v>40</v>
      </c>
      <c r="F192" s="7" t="str">
        <f>F88</f>
        <v>IPM 1.0 Housing</v>
      </c>
      <c r="G192" s="1570">
        <v>3.6857968350552484</v>
      </c>
      <c r="H192" s="3218"/>
      <c r="I192" s="3231"/>
      <c r="J192" s="3224"/>
      <c r="K192" s="3197"/>
      <c r="L192" s="4496">
        <f t="shared" ref="L192:W192" si="152">L88*$G$192</f>
        <v>38321.164799999999</v>
      </c>
      <c r="M192" s="5016">
        <f t="shared" si="152"/>
        <v>36192.211199999998</v>
      </c>
      <c r="N192" s="5516">
        <f t="shared" si="152"/>
        <v>40450.118399999999</v>
      </c>
      <c r="O192" s="4496">
        <f t="shared" si="152"/>
        <v>58694.803199999995</v>
      </c>
      <c r="P192" s="5016">
        <f t="shared" si="152"/>
        <v>52173.1584</v>
      </c>
      <c r="Q192" s="3811">
        <f t="shared" si="152"/>
        <v>63042.566400000003</v>
      </c>
      <c r="R192" s="3807">
        <f t="shared" si="152"/>
        <v>52716.628799999999</v>
      </c>
      <c r="S192" s="3808">
        <f t="shared" si="152"/>
        <v>52716.628799999999</v>
      </c>
      <c r="T192" s="3809">
        <f t="shared" si="152"/>
        <v>52716.628799999999</v>
      </c>
      <c r="U192" s="3810">
        <f t="shared" si="152"/>
        <v>52716.628799999999</v>
      </c>
      <c r="V192" s="3808">
        <f t="shared" si="152"/>
        <v>52716.628799999999</v>
      </c>
      <c r="W192" s="3809">
        <f t="shared" si="152"/>
        <v>52716.628799999999</v>
      </c>
      <c r="X192" s="2094">
        <f t="shared" si="72"/>
        <v>605173.79519999993</v>
      </c>
      <c r="Y192" s="1637"/>
      <c r="Z192" s="1532"/>
      <c r="AA192" s="1530"/>
      <c r="AB192" s="1623" t="str">
        <f t="shared" si="142"/>
        <v>ZF TRW</v>
      </c>
      <c r="AC192" s="7" t="s">
        <v>875</v>
      </c>
      <c r="AD192" s="6496"/>
    </row>
    <row r="193" spans="1:30" s="1569" customFormat="1" ht="16.5" customHeight="1">
      <c r="A193" s="7170"/>
      <c r="B193" s="7174"/>
      <c r="C193" s="1588"/>
      <c r="D193" s="10"/>
      <c r="E193" s="4051">
        <v>41</v>
      </c>
      <c r="F193" s="10" t="str">
        <f>F89</f>
        <v>IPM 2.0  Base Housing</v>
      </c>
      <c r="G193" s="1552">
        <v>5.1424829629629629</v>
      </c>
      <c r="H193" s="3217"/>
      <c r="I193" s="3230"/>
      <c r="J193" s="3223"/>
      <c r="K193" s="3194"/>
      <c r="L193" s="4492">
        <f>L89*$G$193+1017</f>
        <v>21063.8544</v>
      </c>
      <c r="M193" s="5014">
        <f t="shared" ref="M193:W193" si="153">M89*$G$193</f>
        <v>7385.6832000000004</v>
      </c>
      <c r="N193" s="5515">
        <f t="shared" si="153"/>
        <v>22157.049600000002</v>
      </c>
      <c r="O193" s="4492">
        <f>O89*$G$193+2380</f>
        <v>25925.927200000002</v>
      </c>
      <c r="P193" s="5014">
        <f t="shared" si="153"/>
        <v>33821.020799999998</v>
      </c>
      <c r="Q193" s="3806">
        <f t="shared" si="153"/>
        <v>26305.238400000002</v>
      </c>
      <c r="R193" s="3803">
        <f t="shared" si="153"/>
        <v>37578.912000000004</v>
      </c>
      <c r="S193" s="3802">
        <f t="shared" si="153"/>
        <v>30063.1296</v>
      </c>
      <c r="T193" s="3804">
        <f t="shared" si="153"/>
        <v>30063.1296</v>
      </c>
      <c r="U193" s="3805">
        <f t="shared" si="153"/>
        <v>30063.1296</v>
      </c>
      <c r="V193" s="3802">
        <f t="shared" si="153"/>
        <v>22547.3472</v>
      </c>
      <c r="W193" s="3804">
        <f t="shared" si="153"/>
        <v>22547.3472</v>
      </c>
      <c r="X193" s="2085">
        <f t="shared" si="72"/>
        <v>309521.76880000002</v>
      </c>
      <c r="Y193" s="1637"/>
      <c r="Z193" s="1532"/>
      <c r="AA193" s="1530"/>
      <c r="AB193" s="1588" t="str">
        <f t="shared" si="142"/>
        <v>ZF TRW</v>
      </c>
      <c r="AC193" s="10" t="str">
        <f t="shared" ref="AC193:AC196" si="154">AC192</f>
        <v>Heatsink</v>
      </c>
      <c r="AD193" s="6356"/>
    </row>
    <row r="194" spans="1:30" s="1569" customFormat="1" ht="16.5" hidden="1" customHeight="1">
      <c r="A194" s="7170"/>
      <c r="B194" s="7174"/>
      <c r="C194" s="1588"/>
      <c r="D194" s="10"/>
      <c r="E194" s="4051"/>
      <c r="F194" s="3138" t="s">
        <v>1228</v>
      </c>
      <c r="G194" s="1552">
        <v>5.25</v>
      </c>
      <c r="H194" s="3217"/>
      <c r="I194" s="3230"/>
      <c r="J194" s="3223"/>
      <c r="K194" s="3194"/>
      <c r="L194" s="4492">
        <f t="shared" ref="L194:W194" si="155">L90*$G$194</f>
        <v>0</v>
      </c>
      <c r="M194" s="5014">
        <f t="shared" si="155"/>
        <v>0</v>
      </c>
      <c r="N194" s="5515">
        <f t="shared" si="155"/>
        <v>0</v>
      </c>
      <c r="O194" s="4492">
        <f t="shared" si="155"/>
        <v>0</v>
      </c>
      <c r="P194" s="5014">
        <f t="shared" si="155"/>
        <v>0</v>
      </c>
      <c r="Q194" s="3806">
        <f t="shared" si="155"/>
        <v>0</v>
      </c>
      <c r="R194" s="3803">
        <f t="shared" si="155"/>
        <v>0</v>
      </c>
      <c r="S194" s="3802">
        <f t="shared" si="155"/>
        <v>0</v>
      </c>
      <c r="T194" s="3804">
        <f t="shared" si="155"/>
        <v>0</v>
      </c>
      <c r="U194" s="3805">
        <f t="shared" si="155"/>
        <v>0</v>
      </c>
      <c r="V194" s="3802">
        <f t="shared" si="155"/>
        <v>0</v>
      </c>
      <c r="W194" s="3806">
        <f t="shared" si="155"/>
        <v>0</v>
      </c>
      <c r="X194" s="2085">
        <f t="shared" si="72"/>
        <v>0</v>
      </c>
      <c r="Y194" s="1637"/>
      <c r="Z194" s="1532"/>
      <c r="AA194" s="1530"/>
      <c r="AB194" s="1588" t="str">
        <f t="shared" si="142"/>
        <v>ZF TRW</v>
      </c>
      <c r="AC194" s="10" t="str">
        <f t="shared" si="154"/>
        <v>Heatsink</v>
      </c>
      <c r="AD194" s="6356"/>
    </row>
    <row r="195" spans="1:30" s="1569" customFormat="1" ht="16.5" hidden="1" customHeight="1">
      <c r="A195" s="7170"/>
      <c r="B195" s="7174"/>
      <c r="C195" s="1588"/>
      <c r="D195" s="10"/>
      <c r="E195" s="4051"/>
      <c r="F195" s="3138" t="s">
        <v>1229</v>
      </c>
      <c r="G195" s="1552">
        <v>4.79</v>
      </c>
      <c r="H195" s="3217"/>
      <c r="I195" s="3230"/>
      <c r="J195" s="3223"/>
      <c r="K195" s="3194"/>
      <c r="L195" s="4492">
        <f t="shared" ref="L195:W195" si="156">L91*$G$195</f>
        <v>0</v>
      </c>
      <c r="M195" s="5014">
        <f t="shared" si="156"/>
        <v>0</v>
      </c>
      <c r="N195" s="5515">
        <f t="shared" si="156"/>
        <v>0</v>
      </c>
      <c r="O195" s="4492">
        <f t="shared" si="156"/>
        <v>0</v>
      </c>
      <c r="P195" s="5014">
        <f t="shared" si="156"/>
        <v>0</v>
      </c>
      <c r="Q195" s="3806">
        <f t="shared" si="156"/>
        <v>0</v>
      </c>
      <c r="R195" s="3803">
        <f t="shared" si="156"/>
        <v>0</v>
      </c>
      <c r="S195" s="3802">
        <f t="shared" si="156"/>
        <v>0</v>
      </c>
      <c r="T195" s="3804">
        <f t="shared" si="156"/>
        <v>0</v>
      </c>
      <c r="U195" s="3805">
        <f t="shared" si="156"/>
        <v>0</v>
      </c>
      <c r="V195" s="3802">
        <f t="shared" si="156"/>
        <v>0</v>
      </c>
      <c r="W195" s="3806">
        <f t="shared" si="156"/>
        <v>0</v>
      </c>
      <c r="X195" s="2085">
        <f t="shared" si="72"/>
        <v>0</v>
      </c>
      <c r="Y195" s="1637"/>
      <c r="Z195" s="1532"/>
      <c r="AA195" s="1530"/>
      <c r="AB195" s="1588" t="str">
        <f t="shared" si="142"/>
        <v>ZF TRW</v>
      </c>
      <c r="AC195" s="10" t="str">
        <f t="shared" si="154"/>
        <v>Heatsink</v>
      </c>
      <c r="AD195" s="6356"/>
    </row>
    <row r="196" spans="1:30" s="1569" customFormat="1" ht="15.75" hidden="1" customHeight="1">
      <c r="A196" s="7170"/>
      <c r="B196" s="7174"/>
      <c r="C196" s="1588"/>
      <c r="D196" s="10"/>
      <c r="E196" s="4051"/>
      <c r="F196" s="3138" t="s">
        <v>1230</v>
      </c>
      <c r="G196" s="1552">
        <v>5.0199999999999996</v>
      </c>
      <c r="H196" s="3217"/>
      <c r="I196" s="3230"/>
      <c r="J196" s="3223"/>
      <c r="K196" s="3194"/>
      <c r="L196" s="4492">
        <f t="shared" ref="L196:W196" si="157">L92*$G$196</f>
        <v>0</v>
      </c>
      <c r="M196" s="5014">
        <f t="shared" si="157"/>
        <v>0</v>
      </c>
      <c r="N196" s="5515">
        <f t="shared" si="157"/>
        <v>0</v>
      </c>
      <c r="O196" s="4492">
        <f t="shared" si="157"/>
        <v>0</v>
      </c>
      <c r="P196" s="5014">
        <f t="shared" si="157"/>
        <v>0</v>
      </c>
      <c r="Q196" s="3806">
        <f t="shared" si="157"/>
        <v>0</v>
      </c>
      <c r="R196" s="3803">
        <f t="shared" si="157"/>
        <v>0</v>
      </c>
      <c r="S196" s="3802">
        <f t="shared" si="157"/>
        <v>0</v>
      </c>
      <c r="T196" s="3804">
        <f t="shared" si="157"/>
        <v>0</v>
      </c>
      <c r="U196" s="3805">
        <f t="shared" si="157"/>
        <v>0</v>
      </c>
      <c r="V196" s="3802">
        <f t="shared" si="157"/>
        <v>0</v>
      </c>
      <c r="W196" s="3806">
        <f t="shared" si="157"/>
        <v>0</v>
      </c>
      <c r="X196" s="2085">
        <f t="shared" si="72"/>
        <v>0</v>
      </c>
      <c r="Y196" s="1637"/>
      <c r="Z196" s="1532"/>
      <c r="AA196" s="2454"/>
      <c r="AB196" s="1588" t="str">
        <f t="shared" si="142"/>
        <v>ZF TRW</v>
      </c>
      <c r="AC196" s="10" t="str">
        <f t="shared" si="154"/>
        <v>Heatsink</v>
      </c>
      <c r="AD196" s="6356"/>
    </row>
    <row r="197" spans="1:30" s="1569" customFormat="1" ht="15.75" customHeight="1">
      <c r="A197" s="7170"/>
      <c r="B197" s="7174"/>
      <c r="C197" s="1588"/>
      <c r="D197" s="7152" t="s">
        <v>1725</v>
      </c>
      <c r="E197" s="7153"/>
      <c r="F197" s="7153"/>
      <c r="G197" s="7193"/>
      <c r="H197" s="5725"/>
      <c r="I197" s="5726"/>
      <c r="J197" s="5727"/>
      <c r="K197" s="5728"/>
      <c r="L197" s="5705">
        <f>SUM(L191:L196)</f>
        <v>143668.4112</v>
      </c>
      <c r="M197" s="5706">
        <f t="shared" ref="M197:X197" si="158">SUM(M191:M196)</f>
        <v>141610.3296</v>
      </c>
      <c r="N197" s="5804">
        <f t="shared" si="158"/>
        <v>164921.9712</v>
      </c>
      <c r="O197" s="5705">
        <f t="shared" si="158"/>
        <v>167050.43600000002</v>
      </c>
      <c r="P197" s="5706">
        <f t="shared" si="158"/>
        <v>241508.4192</v>
      </c>
      <c r="Q197" s="5731">
        <f t="shared" si="158"/>
        <v>170595.83040000001</v>
      </c>
      <c r="R197" s="5729">
        <f t="shared" si="158"/>
        <v>217348.28803333335</v>
      </c>
      <c r="S197" s="5730">
        <f t="shared" si="158"/>
        <v>212727.50563333335</v>
      </c>
      <c r="T197" s="5732">
        <f t="shared" si="158"/>
        <v>210973.8416333333</v>
      </c>
      <c r="U197" s="5813">
        <f t="shared" si="158"/>
        <v>208078.8416333333</v>
      </c>
      <c r="V197" s="5730">
        <f t="shared" si="158"/>
        <v>195899.0592333333</v>
      </c>
      <c r="W197" s="5731">
        <f t="shared" si="158"/>
        <v>195899.0592333333</v>
      </c>
      <c r="X197" s="5733">
        <f t="shared" si="158"/>
        <v>2270281.9930000002</v>
      </c>
      <c r="Y197" s="1637"/>
      <c r="Z197" s="1532"/>
      <c r="AA197" s="2454"/>
      <c r="AB197" s="1588"/>
      <c r="AC197" s="10"/>
      <c r="AD197" s="5"/>
    </row>
    <row r="198" spans="1:30" s="1569" customFormat="1" ht="15.75" customHeight="1">
      <c r="A198" s="7170"/>
      <c r="B198" s="7174"/>
      <c r="C198" s="7194" t="s">
        <v>1726</v>
      </c>
      <c r="D198" s="7195"/>
      <c r="E198" s="7195"/>
      <c r="F198" s="7195"/>
      <c r="G198" s="7196"/>
      <c r="H198" s="5780"/>
      <c r="I198" s="5781"/>
      <c r="J198" s="5782"/>
      <c r="K198" s="5783"/>
      <c r="L198" s="5805">
        <f>SUM(L197+L190+L186)</f>
        <v>740973.40120446193</v>
      </c>
      <c r="M198" s="5806">
        <f t="shared" ref="M198:X198" si="159">SUM(M197+M190+M186)</f>
        <v>373150.10899376683</v>
      </c>
      <c r="N198" s="5807">
        <f t="shared" si="159"/>
        <v>888724.12755398103</v>
      </c>
      <c r="O198" s="5805">
        <f t="shared" si="159"/>
        <v>384733.06952764193</v>
      </c>
      <c r="P198" s="5806">
        <f t="shared" si="159"/>
        <v>810561.18924440432</v>
      </c>
      <c r="Q198" s="5810">
        <f t="shared" si="159"/>
        <v>561779.63356041897</v>
      </c>
      <c r="R198" s="5808">
        <f t="shared" si="159"/>
        <v>770221.29933804739</v>
      </c>
      <c r="S198" s="5809">
        <f t="shared" si="159"/>
        <v>682261.27167644084</v>
      </c>
      <c r="T198" s="5811">
        <f t="shared" si="159"/>
        <v>793394.6904277557</v>
      </c>
      <c r="U198" s="5812">
        <f t="shared" si="159"/>
        <v>790499.6904277557</v>
      </c>
      <c r="V198" s="5809">
        <f t="shared" si="159"/>
        <v>758731.04798502265</v>
      </c>
      <c r="W198" s="5810">
        <f t="shared" si="159"/>
        <v>778519.10324801889</v>
      </c>
      <c r="X198" s="5791">
        <f t="shared" si="159"/>
        <v>8333548.6331877168</v>
      </c>
      <c r="Y198" s="1637" t="b">
        <f>ROUND(X198,0)=ROUND(SUM(L198:W198),0)</f>
        <v>1</v>
      </c>
      <c r="Z198" s="1532"/>
      <c r="AA198" s="2454"/>
      <c r="AB198" s="1588"/>
      <c r="AC198" s="10"/>
      <c r="AD198" s="5"/>
    </row>
    <row r="199" spans="1:30" s="1569" customFormat="1" ht="16.5" customHeight="1">
      <c r="A199" s="7170"/>
      <c r="B199" s="7174"/>
      <c r="C199" s="3594" t="s">
        <v>1262</v>
      </c>
      <c r="D199" s="3507"/>
      <c r="E199" s="3547"/>
      <c r="F199" s="3525" t="str">
        <f>F95</f>
        <v>Glass Frame (ZF60A-T5)</v>
      </c>
      <c r="G199" s="4164">
        <v>213.8</v>
      </c>
      <c r="H199" s="3214"/>
      <c r="I199" s="3508"/>
      <c r="J199" s="3220"/>
      <c r="K199" s="3509"/>
      <c r="L199" s="4499">
        <f>L95*$G199</f>
        <v>0</v>
      </c>
      <c r="M199" s="5020">
        <f>M95*$G199</f>
        <v>1554</v>
      </c>
      <c r="N199" s="5517">
        <f t="shared" ref="N199:W199" si="160">N95*$G$199</f>
        <v>0</v>
      </c>
      <c r="O199" s="4499">
        <f>O95*$G$199+98</f>
        <v>19447.599999999999</v>
      </c>
      <c r="P199" s="5020">
        <f t="shared" si="160"/>
        <v>3207</v>
      </c>
      <c r="Q199" s="3826">
        <f t="shared" si="160"/>
        <v>0</v>
      </c>
      <c r="R199" s="5873">
        <f t="shared" si="160"/>
        <v>0</v>
      </c>
      <c r="S199" s="5874">
        <f t="shared" si="160"/>
        <v>16500</v>
      </c>
      <c r="T199" s="5875">
        <f t="shared" si="160"/>
        <v>24750</v>
      </c>
      <c r="U199" s="3828">
        <f t="shared" si="160"/>
        <v>16500</v>
      </c>
      <c r="V199" s="3825">
        <f t="shared" si="160"/>
        <v>16500</v>
      </c>
      <c r="W199" s="3826">
        <f t="shared" si="160"/>
        <v>16500</v>
      </c>
      <c r="X199" s="2089">
        <f t="shared" si="72"/>
        <v>114958.6</v>
      </c>
      <c r="Y199" s="1637"/>
      <c r="Z199" s="1532"/>
      <c r="AA199" s="1530"/>
      <c r="AB199" s="3594" t="s">
        <v>1262</v>
      </c>
      <c r="AC199" s="3507" t="s">
        <v>1514</v>
      </c>
      <c r="AD199" s="5"/>
    </row>
    <row r="200" spans="1:30" s="1569" customFormat="1" ht="18.600000000000001" customHeight="1">
      <c r="A200" s="7170"/>
      <c r="B200" s="7174"/>
      <c r="C200" s="1588"/>
      <c r="D200" s="10"/>
      <c r="E200" s="4051"/>
      <c r="F200" s="1598" t="str">
        <f>F96</f>
        <v>Body Compute enclosure (AL6061-T6)</v>
      </c>
      <c r="G200" s="1552">
        <v>213.8</v>
      </c>
      <c r="H200" s="3217"/>
      <c r="I200" s="3230"/>
      <c r="J200" s="3223"/>
      <c r="K200" s="3194"/>
      <c r="L200" s="4492">
        <f>L96*$G200*4</f>
        <v>0</v>
      </c>
      <c r="M200" s="5014">
        <f>M96*$G$200</f>
        <v>1653</v>
      </c>
      <c r="N200" s="5515">
        <v>14387</v>
      </c>
      <c r="O200" s="4492">
        <f t="shared" ref="O200:W200" si="161">O96*$G$200</f>
        <v>0</v>
      </c>
      <c r="P200" s="5014">
        <f t="shared" si="161"/>
        <v>0</v>
      </c>
      <c r="Q200" s="3806">
        <f t="shared" si="161"/>
        <v>0</v>
      </c>
      <c r="R200" s="3803">
        <f t="shared" si="161"/>
        <v>0</v>
      </c>
      <c r="S200" s="3802">
        <f t="shared" si="161"/>
        <v>0</v>
      </c>
      <c r="T200" s="3804">
        <f t="shared" si="161"/>
        <v>0</v>
      </c>
      <c r="U200" s="3805">
        <f t="shared" si="161"/>
        <v>0</v>
      </c>
      <c r="V200" s="3802">
        <f t="shared" si="161"/>
        <v>0</v>
      </c>
      <c r="W200" s="3806">
        <f t="shared" si="161"/>
        <v>0</v>
      </c>
      <c r="X200" s="2085">
        <f t="shared" ref="X200:X201" si="162">SUM(L200:W200)</f>
        <v>16040</v>
      </c>
      <c r="Y200" s="1637"/>
      <c r="Z200" s="1532"/>
      <c r="AA200" s="1530"/>
      <c r="AB200" s="1588" t="e">
        <f>#REF!</f>
        <v>#REF!</v>
      </c>
      <c r="AC200" s="10" t="e">
        <f>#REF!</f>
        <v>#REF!</v>
      </c>
      <c r="AD200" s="5"/>
    </row>
    <row r="201" spans="1:30" s="1569" customFormat="1" ht="16.5" customHeight="1">
      <c r="A201" s="7170"/>
      <c r="B201" s="7174"/>
      <c r="C201" s="1588"/>
      <c r="D201" s="10"/>
      <c r="E201" s="4051"/>
      <c r="F201" s="1598" t="s">
        <v>1729</v>
      </c>
      <c r="G201" s="1552">
        <f>G97</f>
        <v>76</v>
      </c>
      <c r="H201" s="3217"/>
      <c r="I201" s="3230"/>
      <c r="J201" s="3223"/>
      <c r="K201" s="3194"/>
      <c r="L201" s="4492">
        <v>0</v>
      </c>
      <c r="M201" s="5014">
        <v>153.87000000000003</v>
      </c>
      <c r="N201" s="5515">
        <v>5910.28</v>
      </c>
      <c r="O201" s="4492">
        <v>5687.71</v>
      </c>
      <c r="P201" s="5014">
        <v>5035.8</v>
      </c>
      <c r="Q201" s="3806">
        <f t="shared" ref="Q201:W201" si="163">Q97*$G$201</f>
        <v>831.6</v>
      </c>
      <c r="R201" s="3803">
        <f t="shared" si="163"/>
        <v>0</v>
      </c>
      <c r="S201" s="3802">
        <f t="shared" si="163"/>
        <v>5700</v>
      </c>
      <c r="T201" s="3804">
        <f t="shared" si="163"/>
        <v>5700</v>
      </c>
      <c r="U201" s="3805">
        <f t="shared" si="163"/>
        <v>5700</v>
      </c>
      <c r="V201" s="3802">
        <f t="shared" si="163"/>
        <v>5700</v>
      </c>
      <c r="W201" s="3806">
        <f t="shared" si="163"/>
        <v>5700</v>
      </c>
      <c r="X201" s="2085">
        <f t="shared" si="162"/>
        <v>46119.259999999995</v>
      </c>
      <c r="Y201" s="1637"/>
      <c r="Z201" s="1532"/>
      <c r="AA201" s="1530"/>
      <c r="AB201" s="8" t="e">
        <f t="shared" ref="AB201:AB208" si="164">AB200</f>
        <v>#REF!</v>
      </c>
      <c r="AC201" s="10" t="e">
        <f t="shared" ref="AC201:AC208" si="165">AC200</f>
        <v>#REF!</v>
      </c>
      <c r="AD201" s="5"/>
    </row>
    <row r="202" spans="1:30" s="1569" customFormat="1" ht="16.5" customHeight="1">
      <c r="A202" s="7170"/>
      <c r="B202" s="7174"/>
      <c r="C202" s="5792"/>
      <c r="D202" s="7145" t="s">
        <v>1727</v>
      </c>
      <c r="E202" s="7146"/>
      <c r="F202" s="7146"/>
      <c r="G202" s="7147"/>
      <c r="H202" s="5778"/>
      <c r="I202" s="5778"/>
      <c r="J202" s="5778"/>
      <c r="K202" s="5778"/>
      <c r="L202" s="5771">
        <f>SUM(L199:L201)</f>
        <v>0</v>
      </c>
      <c r="M202" s="5772">
        <f t="shared" ref="M202:X202" si="166">SUM(M199:M201)</f>
        <v>3360.87</v>
      </c>
      <c r="N202" s="5801">
        <f t="shared" si="166"/>
        <v>20297.28</v>
      </c>
      <c r="O202" s="5771">
        <f t="shared" si="166"/>
        <v>25135.309999999998</v>
      </c>
      <c r="P202" s="5772">
        <f t="shared" si="166"/>
        <v>8242.7999999999993</v>
      </c>
      <c r="Q202" s="5799">
        <f t="shared" si="166"/>
        <v>831.6</v>
      </c>
      <c r="R202" s="5797">
        <f t="shared" si="166"/>
        <v>0</v>
      </c>
      <c r="S202" s="5798">
        <f t="shared" si="166"/>
        <v>22200</v>
      </c>
      <c r="T202" s="5800">
        <f t="shared" si="166"/>
        <v>30450</v>
      </c>
      <c r="U202" s="5802">
        <f t="shared" si="166"/>
        <v>22200</v>
      </c>
      <c r="V202" s="5798">
        <f t="shared" si="166"/>
        <v>22200</v>
      </c>
      <c r="W202" s="5799">
        <f t="shared" si="166"/>
        <v>22200</v>
      </c>
      <c r="X202" s="5779">
        <f t="shared" si="166"/>
        <v>177117.86</v>
      </c>
      <c r="Y202" s="1637" t="b">
        <f>X202=SUM(L202:W202)</f>
        <v>1</v>
      </c>
      <c r="Z202" s="1532"/>
      <c r="AA202" s="1530"/>
      <c r="AB202" s="1598"/>
      <c r="AC202" s="1598"/>
      <c r="AD202" s="5"/>
    </row>
    <row r="203" spans="1:30" s="1535" customFormat="1" ht="21" customHeight="1">
      <c r="A203" s="7171"/>
      <c r="B203" s="7180"/>
      <c r="C203" s="7176" t="s">
        <v>1728</v>
      </c>
      <c r="D203" s="7176"/>
      <c r="E203" s="7176"/>
      <c r="F203" s="7177"/>
      <c r="G203" s="1624"/>
      <c r="H203" s="2400"/>
      <c r="I203" s="2400"/>
      <c r="J203" s="2400"/>
      <c r="K203" s="2400"/>
      <c r="L203" s="4494">
        <f t="shared" ref="L203" si="167">SUM(L202+L198+L182+L164+L126)</f>
        <v>3482502.9967831485</v>
      </c>
      <c r="M203" s="4734">
        <f>SUM(M202+M198+M182+M164+M126)</f>
        <v>2950383.9615723295</v>
      </c>
      <c r="N203" s="5510">
        <f>SUM(N202+N198+N182+N164+N126)</f>
        <v>3858568.3807477951</v>
      </c>
      <c r="O203" s="4494">
        <f t="shared" ref="O203:W203" si="168">SUM(O202+O198+O182+O164+O126)</f>
        <v>3069870.5550423609</v>
      </c>
      <c r="P203" s="4734">
        <f>SUM(P202+P198+P182+P164+P126)</f>
        <v>3330580.9408252672</v>
      </c>
      <c r="Q203" s="1733">
        <f t="shared" si="168"/>
        <v>3585922.9071706124</v>
      </c>
      <c r="R203" s="6486">
        <f t="shared" si="168"/>
        <v>3894405.2347158645</v>
      </c>
      <c r="S203" s="5294">
        <f t="shared" si="168"/>
        <v>3587949.723959133</v>
      </c>
      <c r="T203" s="5295">
        <f t="shared" si="168"/>
        <v>3210220.2391426302</v>
      </c>
      <c r="U203" s="5296">
        <f t="shared" si="168"/>
        <v>3005183.1483620182</v>
      </c>
      <c r="V203" s="1732">
        <f t="shared" si="168"/>
        <v>3026589.4836383178</v>
      </c>
      <c r="W203" s="2129">
        <f t="shared" si="168"/>
        <v>3053538.640586664</v>
      </c>
      <c r="X203" s="2089">
        <f>SUM(X202+X198+X182+X164+X126)</f>
        <v>40055716.21254614</v>
      </c>
      <c r="Y203" s="1637" t="b">
        <f>X203=SUM(L203:W203)</f>
        <v>1</v>
      </c>
      <c r="Z203" s="1532"/>
      <c r="AA203" s="1988"/>
      <c r="AB203" s="1533"/>
      <c r="AC203" s="1533"/>
      <c r="AD203" s="5"/>
    </row>
    <row r="204" spans="1:30" s="1535" customFormat="1" ht="18.75" customHeight="1">
      <c r="A204" s="1626">
        <v>3</v>
      </c>
      <c r="B204" s="7181" t="s">
        <v>500</v>
      </c>
      <c r="C204" s="7182"/>
      <c r="D204" s="7182"/>
      <c r="E204" s="7182"/>
      <c r="F204" s="7183"/>
      <c r="G204" s="1627">
        <v>20000</v>
      </c>
      <c r="H204" s="3204"/>
      <c r="I204" s="3204"/>
      <c r="J204" s="3204"/>
      <c r="K204" s="3204"/>
      <c r="L204" s="4494">
        <v>23818.181818181802</v>
      </c>
      <c r="M204" s="5022">
        <f>101129.196663462-264</f>
        <v>100865.196663462</v>
      </c>
      <c r="N204" s="5510">
        <f>10596+56377+21819+3034</f>
        <v>91826</v>
      </c>
      <c r="O204" s="6057">
        <v>99637.29</v>
      </c>
      <c r="P204" s="6527">
        <v>236027</v>
      </c>
      <c r="Q204" s="5295">
        <v>53295</v>
      </c>
      <c r="R204" s="6486">
        <v>40000</v>
      </c>
      <c r="S204" s="5294">
        <v>60000</v>
      </c>
      <c r="T204" s="5295">
        <v>0</v>
      </c>
      <c r="U204" s="5296">
        <v>65000</v>
      </c>
      <c r="V204" s="5294">
        <v>0</v>
      </c>
      <c r="W204" s="5295">
        <v>0</v>
      </c>
      <c r="X204" s="2108">
        <f>SUM(L204:W204)</f>
        <v>770468.66848164378</v>
      </c>
      <c r="Y204" s="1637"/>
      <c r="Z204" s="1532"/>
      <c r="AA204" s="1988"/>
      <c r="AB204" s="1533"/>
      <c r="AC204" s="1533"/>
      <c r="AD204" s="5"/>
    </row>
    <row r="205" spans="1:30" s="1535" customFormat="1" ht="18.75" customHeight="1" thickBot="1">
      <c r="A205" s="1629">
        <v>4</v>
      </c>
      <c r="B205" s="7189" t="s">
        <v>984</v>
      </c>
      <c r="C205" s="7190"/>
      <c r="D205" s="7190"/>
      <c r="E205" s="7190"/>
      <c r="F205" s="7191"/>
      <c r="G205" s="1630"/>
      <c r="H205" s="3194"/>
      <c r="I205" s="3194"/>
      <c r="J205" s="3194"/>
      <c r="K205" s="3194"/>
      <c r="L205" s="4557">
        <v>143308</v>
      </c>
      <c r="M205" s="5021">
        <v>92158</v>
      </c>
      <c r="N205" s="5518">
        <v>146717</v>
      </c>
      <c r="O205" s="4664">
        <v>125811</v>
      </c>
      <c r="P205" s="5029">
        <v>135029</v>
      </c>
      <c r="Q205" s="1816">
        <v>130000</v>
      </c>
      <c r="R205" s="6487">
        <v>130000</v>
      </c>
      <c r="S205" s="6488">
        <v>130000</v>
      </c>
      <c r="T205" s="6489">
        <v>110000</v>
      </c>
      <c r="U205" s="6482">
        <v>130000</v>
      </c>
      <c r="V205" s="2226">
        <v>130000</v>
      </c>
      <c r="W205" s="2227">
        <v>110000</v>
      </c>
      <c r="X205" s="2142">
        <f>SUM(L205:W205)</f>
        <v>1513023</v>
      </c>
      <c r="Y205" s="1637"/>
      <c r="Z205" s="1532"/>
      <c r="AA205" s="1988"/>
      <c r="AB205" s="1533"/>
      <c r="AC205" s="1533"/>
    </row>
    <row r="206" spans="1:30" s="1535" customFormat="1" ht="18.75" customHeight="1" thickBot="1">
      <c r="A206" s="7088" t="s">
        <v>137</v>
      </c>
      <c r="B206" s="7178"/>
      <c r="C206" s="7178"/>
      <c r="D206" s="7178"/>
      <c r="E206" s="7178"/>
      <c r="F206" s="7179"/>
      <c r="G206" s="1635"/>
      <c r="H206" s="3205"/>
      <c r="I206" s="3205"/>
      <c r="J206" s="3205"/>
      <c r="K206" s="3205"/>
      <c r="L206" s="3952">
        <f t="shared" ref="L206:N206" si="169">SUM(L205+L204+L202+L198+L182+L164+L126)</f>
        <v>3649629.1786013301</v>
      </c>
      <c r="M206" s="5012">
        <f t="shared" si="169"/>
        <v>3143407.1582357911</v>
      </c>
      <c r="N206" s="5505">
        <f t="shared" si="169"/>
        <v>4097111.3807477951</v>
      </c>
      <c r="O206" s="3952">
        <f>SUM(O205+O204+O202+O198+O182+O164+O126)</f>
        <v>3295318.8450423609</v>
      </c>
      <c r="P206" s="5012">
        <f t="shared" ref="P206:W206" si="170">SUM(P205+P204+P202+P198+P182+P164+P126)</f>
        <v>3701636.9408252668</v>
      </c>
      <c r="Q206" s="2227">
        <f t="shared" si="170"/>
        <v>3769217.9071706124</v>
      </c>
      <c r="R206" s="1824">
        <f t="shared" si="170"/>
        <v>4064405.2347158645</v>
      </c>
      <c r="S206" s="1776">
        <f t="shared" si="170"/>
        <v>3777949.723959133</v>
      </c>
      <c r="T206" s="1777">
        <f t="shared" si="170"/>
        <v>3320220.2391426302</v>
      </c>
      <c r="U206" s="1824">
        <f t="shared" si="170"/>
        <v>3200183.1483620182</v>
      </c>
      <c r="V206" s="1776">
        <f t="shared" si="170"/>
        <v>3156589.4836383178</v>
      </c>
      <c r="W206" s="1777">
        <f t="shared" si="170"/>
        <v>3163538.640586664</v>
      </c>
      <c r="X206" s="3345">
        <f>SUM(X205+X204+X203)</f>
        <v>42339207.88102778</v>
      </c>
      <c r="Y206" s="1637" t="b">
        <f>ROUND(X206,0)=ROUND(SUM(L206:W206),0)</f>
        <v>1</v>
      </c>
      <c r="Z206" s="1988"/>
      <c r="AA206" s="1988"/>
      <c r="AB206" s="1533"/>
      <c r="AC206" s="1533"/>
    </row>
    <row r="207" spans="1:30" s="2144" customFormat="1" ht="23.25" customHeight="1">
      <c r="B207" s="3297"/>
      <c r="C207" s="3297"/>
      <c r="D207" s="3297"/>
      <c r="E207" s="3297"/>
      <c r="F207" s="3297"/>
      <c r="G207" s="3137"/>
      <c r="H207" s="3137"/>
      <c r="I207" s="3137"/>
      <c r="J207" s="3137"/>
      <c r="K207" s="3137"/>
      <c r="L207" s="1699">
        <v>3649629.1786013301</v>
      </c>
      <c r="M207" s="1699">
        <v>3143407.1582357911</v>
      </c>
      <c r="N207" s="1699">
        <v>4097111.3807477951</v>
      </c>
      <c r="O207" s="1699">
        <v>3295318.8450423609</v>
      </c>
      <c r="P207" s="7011">
        <v>3701636.9408252668</v>
      </c>
      <c r="Q207" s="1533"/>
      <c r="R207" s="1533"/>
      <c r="S207" s="1533"/>
      <c r="T207" s="1533"/>
      <c r="U207" s="1533"/>
      <c r="V207" s="1533"/>
      <c r="W207" s="1533"/>
      <c r="X207" s="3149"/>
      <c r="Y207" s="3994"/>
      <c r="Z207" s="2454"/>
      <c r="AA207" s="2454"/>
      <c r="AB207" s="6"/>
      <c r="AC207" s="6"/>
      <c r="AD207" s="1535"/>
    </row>
    <row r="208" spans="1:30" s="1610" customFormat="1" ht="20.399999999999999" customHeight="1" thickBot="1">
      <c r="A208" s="1538" t="s">
        <v>1213</v>
      </c>
      <c r="E208" s="1611"/>
      <c r="G208" s="3298"/>
      <c r="H208" s="3298"/>
      <c r="I208" s="3298"/>
      <c r="J208" s="3298"/>
      <c r="K208" s="3298"/>
      <c r="L208" s="1699">
        <f>+L206-L207</f>
        <v>0</v>
      </c>
      <c r="M208" s="1699">
        <f t="shared" ref="M208:P208" si="171">+M206-M207</f>
        <v>0</v>
      </c>
      <c r="N208" s="1699">
        <f t="shared" si="171"/>
        <v>0</v>
      </c>
      <c r="O208" s="1699">
        <f t="shared" si="171"/>
        <v>0</v>
      </c>
      <c r="P208" s="1699">
        <f t="shared" si="171"/>
        <v>0</v>
      </c>
      <c r="Q208" s="1533"/>
      <c r="R208" s="1533"/>
      <c r="S208" s="1533"/>
      <c r="T208" s="1533"/>
      <c r="U208" s="1533"/>
      <c r="V208" s="1533"/>
      <c r="W208" s="1533"/>
      <c r="X208" s="2571"/>
      <c r="Y208" s="3361"/>
      <c r="AB208" s="1699">
        <f t="shared" si="164"/>
        <v>0</v>
      </c>
      <c r="AC208" s="1699">
        <f t="shared" si="165"/>
        <v>0</v>
      </c>
    </row>
    <row r="209" spans="1:29" ht="22.5" customHeight="1" thickBot="1">
      <c r="A209" s="1539" t="s">
        <v>40</v>
      </c>
      <c r="B209" s="74" t="s">
        <v>106</v>
      </c>
      <c r="C209" s="74" t="s">
        <v>105</v>
      </c>
      <c r="D209" s="74" t="s">
        <v>989</v>
      </c>
      <c r="E209" s="74" t="s">
        <v>1011</v>
      </c>
      <c r="F209" s="74" t="s">
        <v>107</v>
      </c>
      <c r="G209" s="1540" t="s">
        <v>393</v>
      </c>
      <c r="H209" s="80"/>
      <c r="I209" s="80"/>
      <c r="J209" s="80"/>
      <c r="K209" s="80"/>
      <c r="L209" s="4490" t="str">
        <f t="shared" ref="L209:X209" si="172">L108</f>
        <v>Jan.26</v>
      </c>
      <c r="M209" s="5005" t="str">
        <f t="shared" si="172"/>
        <v>Feb.26</v>
      </c>
      <c r="N209" s="5494" t="str">
        <f t="shared" si="172"/>
        <v>Mar.26</v>
      </c>
      <c r="O209" s="4490" t="str">
        <f t="shared" si="172"/>
        <v>Apr.26</v>
      </c>
      <c r="P209" s="5005" t="str">
        <f t="shared" si="172"/>
        <v>May.26</v>
      </c>
      <c r="Q209" s="1843" t="str">
        <f t="shared" si="172"/>
        <v>Jun.26</v>
      </c>
      <c r="R209" s="1841" t="str">
        <f t="shared" si="172"/>
        <v>Jul.26</v>
      </c>
      <c r="S209" s="1842" t="str">
        <f t="shared" si="172"/>
        <v>Aug.26</v>
      </c>
      <c r="T209" s="1843" t="str">
        <f t="shared" si="172"/>
        <v>Sep.26</v>
      </c>
      <c r="U209" s="1841" t="str">
        <f t="shared" si="172"/>
        <v>Oct.26</v>
      </c>
      <c r="V209" s="1842" t="str">
        <f t="shared" si="172"/>
        <v>Nov.26</v>
      </c>
      <c r="W209" s="1843" t="str">
        <f t="shared" si="172"/>
        <v>Dec.26</v>
      </c>
      <c r="X209" s="2472" t="str">
        <f t="shared" si="172"/>
        <v>2026
Total</v>
      </c>
      <c r="Y209" s="3992"/>
      <c r="AB209" s="2309"/>
      <c r="AC209" s="2309"/>
    </row>
    <row r="210" spans="1:29" s="1535" customFormat="1" ht="17.25" customHeight="1">
      <c r="A210" s="7169">
        <v>1</v>
      </c>
      <c r="B210" s="7172" t="s">
        <v>16</v>
      </c>
      <c r="C210" s="7184" t="s">
        <v>19</v>
      </c>
      <c r="D210" s="11" t="s">
        <v>844</v>
      </c>
      <c r="E210" s="4048"/>
      <c r="F210" s="11" t="str">
        <f t="shared" ref="F210:F216" si="173">F5</f>
        <v>Galaxy Tap</v>
      </c>
      <c r="G210" s="1639" t="s">
        <v>394</v>
      </c>
      <c r="H210" s="3206"/>
      <c r="I210" s="3206"/>
      <c r="J210" s="3206"/>
      <c r="K210" s="3206"/>
      <c r="L210" s="4491">
        <v>0</v>
      </c>
      <c r="M210" s="5013"/>
      <c r="N210" s="5506"/>
      <c r="O210" s="4491">
        <v>0</v>
      </c>
      <c r="P210" s="5013">
        <v>0</v>
      </c>
      <c r="Q210" s="3801"/>
      <c r="R210" s="3855">
        <f t="shared" ref="R210:W210" si="174">+P109</f>
        <v>0</v>
      </c>
      <c r="S210" s="3800">
        <f t="shared" si="174"/>
        <v>0</v>
      </c>
      <c r="T210" s="3801">
        <f t="shared" si="174"/>
        <v>0</v>
      </c>
      <c r="U210" s="3800">
        <f t="shared" si="174"/>
        <v>0</v>
      </c>
      <c r="V210" s="3802">
        <f t="shared" si="174"/>
        <v>0</v>
      </c>
      <c r="W210" s="3800">
        <f t="shared" si="174"/>
        <v>0</v>
      </c>
      <c r="X210" s="2480">
        <f t="shared" ref="X210:X258" si="175">SUM(L210:W210)</f>
        <v>0</v>
      </c>
      <c r="Y210" s="1637"/>
      <c r="AB210" s="11" t="s">
        <v>19</v>
      </c>
      <c r="AC210" s="11" t="s">
        <v>844</v>
      </c>
    </row>
    <row r="211" spans="1:29" s="1535" customFormat="1" ht="17.25" customHeight="1">
      <c r="A211" s="7170"/>
      <c r="B211" s="7173"/>
      <c r="C211" s="7185"/>
      <c r="D211" s="10"/>
      <c r="E211" s="4049">
        <f t="shared" ref="E211:E216" si="176">E6</f>
        <v>1</v>
      </c>
      <c r="F211" s="10" t="str">
        <f t="shared" si="173"/>
        <v>A15/17</v>
      </c>
      <c r="G211" s="2788" t="s">
        <v>394</v>
      </c>
      <c r="H211" s="3206"/>
      <c r="I211" s="3206"/>
      <c r="J211" s="3206"/>
      <c r="K211" s="3206"/>
      <c r="L211" s="4492"/>
      <c r="M211" s="5014"/>
      <c r="N211" s="5507"/>
      <c r="O211" s="4492"/>
      <c r="P211" s="5014"/>
      <c r="Q211" s="3804"/>
      <c r="R211" s="3805">
        <f t="shared" ref="Q211:W216" si="177">+Q110</f>
        <v>703083.31238559517</v>
      </c>
      <c r="S211" s="3802">
        <f t="shared" si="177"/>
        <v>724541.11444986088</v>
      </c>
      <c r="T211" s="3804">
        <f t="shared" si="177"/>
        <v>724541.11444986088</v>
      </c>
      <c r="U211" s="3805">
        <f t="shared" si="177"/>
        <v>473513.00754122494</v>
      </c>
      <c r="V211" s="3802">
        <f t="shared" si="177"/>
        <v>443918.44456989842</v>
      </c>
      <c r="W211" s="3806">
        <f t="shared" si="177"/>
        <v>443918.44456989842</v>
      </c>
      <c r="X211" s="2085">
        <f t="shared" si="175"/>
        <v>3513515.4379663384</v>
      </c>
      <c r="Y211" s="1637"/>
      <c r="AB211" s="10" t="str">
        <f t="shared" ref="AB211:AC217" si="178">AB210</f>
        <v>Samsung</v>
      </c>
      <c r="AC211" s="10" t="str">
        <f t="shared" si="178"/>
        <v>Mobile</v>
      </c>
    </row>
    <row r="212" spans="1:29" s="1535" customFormat="1" ht="17.25" customHeight="1">
      <c r="A212" s="7170"/>
      <c r="B212" s="7173"/>
      <c r="C212" s="7185"/>
      <c r="D212" s="10"/>
      <c r="E212" s="4049">
        <f t="shared" si="176"/>
        <v>2</v>
      </c>
      <c r="F212" s="10" t="str">
        <f t="shared" si="173"/>
        <v>A36</v>
      </c>
      <c r="G212" s="2788" t="s">
        <v>394</v>
      </c>
      <c r="H212" s="3206"/>
      <c r="I212" s="3206"/>
      <c r="J212" s="3206"/>
      <c r="K212" s="3206"/>
      <c r="L212" s="4492">
        <v>1066408</v>
      </c>
      <c r="M212" s="5014">
        <v>1040852</v>
      </c>
      <c r="N212" s="5507">
        <v>117326.88</v>
      </c>
      <c r="O212" s="4492">
        <v>1671786</v>
      </c>
      <c r="P212" s="5014">
        <v>797860</v>
      </c>
      <c r="Q212" s="3804">
        <v>908330</v>
      </c>
      <c r="R212" s="3805">
        <f t="shared" si="177"/>
        <v>10077.6</v>
      </c>
      <c r="S212" s="3802">
        <f t="shared" si="177"/>
        <v>0</v>
      </c>
      <c r="T212" s="3804">
        <f t="shared" si="177"/>
        <v>0</v>
      </c>
      <c r="U212" s="3805">
        <f t="shared" si="177"/>
        <v>0</v>
      </c>
      <c r="V212" s="3802">
        <f t="shared" si="177"/>
        <v>0</v>
      </c>
      <c r="W212" s="3806">
        <f t="shared" si="177"/>
        <v>0</v>
      </c>
      <c r="X212" s="2085">
        <f t="shared" si="175"/>
        <v>5612640.4799999995</v>
      </c>
      <c r="Y212" s="1637"/>
      <c r="AB212" s="10" t="str">
        <f t="shared" si="178"/>
        <v>Samsung</v>
      </c>
      <c r="AC212" s="10" t="str">
        <f t="shared" si="178"/>
        <v>Mobile</v>
      </c>
    </row>
    <row r="213" spans="1:29" s="1535" customFormat="1" ht="17.25" customHeight="1">
      <c r="A213" s="7170"/>
      <c r="B213" s="7173"/>
      <c r="C213" s="7185"/>
      <c r="D213" s="10"/>
      <c r="E213" s="4049">
        <f t="shared" si="176"/>
        <v>3</v>
      </c>
      <c r="F213" s="10" t="str">
        <f t="shared" si="173"/>
        <v>A26</v>
      </c>
      <c r="G213" s="2788" t="s">
        <v>394</v>
      </c>
      <c r="H213" s="3206"/>
      <c r="I213" s="3206"/>
      <c r="J213" s="3206"/>
      <c r="K213" s="3206"/>
      <c r="L213" s="4492"/>
      <c r="M213" s="5014"/>
      <c r="N213" s="5507"/>
      <c r="O213" s="4492"/>
      <c r="P213" s="5014"/>
      <c r="Q213" s="3804"/>
      <c r="R213" s="3805">
        <f t="shared" si="177"/>
        <v>0</v>
      </c>
      <c r="S213" s="3802">
        <f t="shared" si="177"/>
        <v>0</v>
      </c>
      <c r="T213" s="3804">
        <f t="shared" si="177"/>
        <v>0</v>
      </c>
      <c r="U213" s="3805">
        <f t="shared" si="177"/>
        <v>0</v>
      </c>
      <c r="V213" s="3802">
        <f t="shared" si="177"/>
        <v>0</v>
      </c>
      <c r="W213" s="3806">
        <f t="shared" si="177"/>
        <v>0</v>
      </c>
      <c r="X213" s="2085">
        <f t="shared" si="175"/>
        <v>0</v>
      </c>
      <c r="Y213" s="1637"/>
      <c r="AB213" s="10" t="str">
        <f t="shared" si="178"/>
        <v>Samsung</v>
      </c>
      <c r="AC213" s="10" t="str">
        <f t="shared" si="178"/>
        <v>Mobile</v>
      </c>
    </row>
    <row r="214" spans="1:29" s="1535" customFormat="1" ht="17.25" customHeight="1">
      <c r="A214" s="7170"/>
      <c r="B214" s="7173"/>
      <c r="C214" s="7185"/>
      <c r="D214" s="10"/>
      <c r="E214" s="4049">
        <f t="shared" si="176"/>
        <v>4</v>
      </c>
      <c r="F214" s="10" t="str">
        <f t="shared" si="173"/>
        <v>A27</v>
      </c>
      <c r="G214" s="1617" t="s">
        <v>394</v>
      </c>
      <c r="H214" s="3203"/>
      <c r="I214" s="3203"/>
      <c r="J214" s="3203"/>
      <c r="K214" s="3203"/>
      <c r="L214" s="4492">
        <v>0</v>
      </c>
      <c r="M214" s="5014"/>
      <c r="N214" s="5507"/>
      <c r="O214" s="4492"/>
      <c r="P214" s="5014">
        <v>0</v>
      </c>
      <c r="Q214" s="3804"/>
      <c r="R214" s="3805">
        <f t="shared" si="177"/>
        <v>527720</v>
      </c>
      <c r="S214" s="3802">
        <f t="shared" si="177"/>
        <v>668000</v>
      </c>
      <c r="T214" s="3804">
        <f t="shared" si="177"/>
        <v>668000</v>
      </c>
      <c r="U214" s="3803">
        <f t="shared" si="177"/>
        <v>458248</v>
      </c>
      <c r="V214" s="3802">
        <f t="shared" si="177"/>
        <v>327320</v>
      </c>
      <c r="W214" s="3804">
        <f t="shared" si="177"/>
        <v>327320</v>
      </c>
      <c r="X214" s="2085">
        <f t="shared" si="175"/>
        <v>2976608</v>
      </c>
      <c r="Y214" s="1637"/>
      <c r="AB214" s="10" t="str">
        <f t="shared" si="178"/>
        <v>Samsung</v>
      </c>
      <c r="AC214" s="10" t="str">
        <f t="shared" si="178"/>
        <v>Mobile</v>
      </c>
    </row>
    <row r="215" spans="1:29" s="1535" customFormat="1" ht="17.25" customHeight="1">
      <c r="A215" s="7170"/>
      <c r="B215" s="7173"/>
      <c r="C215" s="10"/>
      <c r="D215" s="10"/>
      <c r="E215" s="4049">
        <f t="shared" si="176"/>
        <v>5</v>
      </c>
      <c r="F215" s="10" t="str">
        <f t="shared" si="173"/>
        <v>A37</v>
      </c>
      <c r="G215" s="1617" t="s">
        <v>394</v>
      </c>
      <c r="H215" s="3203"/>
      <c r="I215" s="3203"/>
      <c r="J215" s="3203"/>
      <c r="K215" s="3203"/>
      <c r="L215" s="4492">
        <v>0</v>
      </c>
      <c r="M215" s="5014"/>
      <c r="N215" s="5507"/>
      <c r="O215" s="4492"/>
      <c r="P215" s="5014">
        <v>0</v>
      </c>
      <c r="Q215" s="3804"/>
      <c r="R215" s="3805">
        <f t="shared" si="177"/>
        <v>47534.655999999995</v>
      </c>
      <c r="S215" s="3802">
        <f t="shared" si="177"/>
        <v>74272.899999999994</v>
      </c>
      <c r="T215" s="3804">
        <f t="shared" si="177"/>
        <v>74272.899999999994</v>
      </c>
      <c r="U215" s="3803">
        <f t="shared" si="177"/>
        <v>72787.441999999995</v>
      </c>
      <c r="V215" s="3802">
        <f t="shared" si="177"/>
        <v>72787.441999999995</v>
      </c>
      <c r="W215" s="3804">
        <f t="shared" si="177"/>
        <v>0</v>
      </c>
      <c r="X215" s="2085">
        <f t="shared" si="175"/>
        <v>341655.33999999997</v>
      </c>
      <c r="Y215" s="1637"/>
      <c r="AB215" s="10" t="str">
        <f t="shared" si="178"/>
        <v>Samsung</v>
      </c>
      <c r="AC215" s="10" t="str">
        <f t="shared" si="178"/>
        <v>Mobile</v>
      </c>
    </row>
    <row r="216" spans="1:29" s="1535" customFormat="1" ht="17.25" customHeight="1">
      <c r="A216" s="7170"/>
      <c r="B216" s="7173"/>
      <c r="C216" s="10"/>
      <c r="D216" s="10"/>
      <c r="E216" s="4049">
        <f t="shared" si="176"/>
        <v>6</v>
      </c>
      <c r="F216" s="10" t="str">
        <f t="shared" si="173"/>
        <v>A18</v>
      </c>
      <c r="G216" s="1617" t="s">
        <v>394</v>
      </c>
      <c r="H216" s="3203"/>
      <c r="I216" s="3203"/>
      <c r="J216" s="3203"/>
      <c r="K216" s="3203"/>
      <c r="L216" s="4492">
        <v>0</v>
      </c>
      <c r="M216" s="5014"/>
      <c r="N216" s="5507"/>
      <c r="O216" s="4492">
        <v>0</v>
      </c>
      <c r="P216" s="5014">
        <v>0</v>
      </c>
      <c r="Q216" s="3804">
        <f t="shared" si="177"/>
        <v>0</v>
      </c>
      <c r="R216" s="3805">
        <f t="shared" si="177"/>
        <v>0</v>
      </c>
      <c r="S216" s="3802">
        <f t="shared" si="177"/>
        <v>0</v>
      </c>
      <c r="T216" s="3804">
        <f t="shared" si="177"/>
        <v>0</v>
      </c>
      <c r="U216" s="3803">
        <f t="shared" si="177"/>
        <v>0</v>
      </c>
      <c r="V216" s="3802">
        <f t="shared" si="177"/>
        <v>31115</v>
      </c>
      <c r="W216" s="3804">
        <f t="shared" si="177"/>
        <v>248920</v>
      </c>
      <c r="X216" s="2085">
        <f t="shared" si="175"/>
        <v>280035</v>
      </c>
      <c r="Y216" s="1637"/>
      <c r="AB216" s="10" t="str">
        <f t="shared" si="178"/>
        <v>Samsung</v>
      </c>
      <c r="AC216" s="10" t="str">
        <f t="shared" si="178"/>
        <v>Mobile</v>
      </c>
    </row>
    <row r="217" spans="1:29" s="1535" customFormat="1" ht="17.25" customHeight="1">
      <c r="A217" s="7170"/>
      <c r="B217" s="7173"/>
      <c r="C217" s="6"/>
      <c r="D217" s="6"/>
      <c r="E217" s="4050"/>
      <c r="F217" s="6" t="str">
        <f>F13</f>
        <v>CNC</v>
      </c>
      <c r="G217" s="3320" t="s">
        <v>394</v>
      </c>
      <c r="H217" s="3906"/>
      <c r="I217" s="3906"/>
      <c r="J217" s="3906"/>
      <c r="K217" s="3906"/>
      <c r="L217" s="4493">
        <v>588879.12723076926</v>
      </c>
      <c r="M217" s="5018">
        <v>593607.81711538462</v>
      </c>
      <c r="N217" s="5513">
        <v>397029.05384615384</v>
      </c>
      <c r="O217" s="4493">
        <v>638739.25115384615</v>
      </c>
      <c r="P217" s="5018">
        <v>395205.74678733031</v>
      </c>
      <c r="Q217" s="3818">
        <f t="shared" ref="Q217:W217" si="179">+P117</f>
        <v>477107.5506923077</v>
      </c>
      <c r="R217" s="3829">
        <f t="shared" si="179"/>
        <v>514339.2349373746</v>
      </c>
      <c r="S217" s="3817">
        <f t="shared" si="179"/>
        <v>537865.76425941894</v>
      </c>
      <c r="T217" s="3818">
        <f t="shared" si="179"/>
        <v>611144.6488748031</v>
      </c>
      <c r="U217" s="3816">
        <f t="shared" si="179"/>
        <v>597557.8931040857</v>
      </c>
      <c r="V217" s="3817">
        <f t="shared" si="179"/>
        <v>592874.9194483622</v>
      </c>
      <c r="W217" s="3818">
        <f t="shared" si="179"/>
        <v>548772.76773882355</v>
      </c>
      <c r="X217" s="2099">
        <f t="shared" si="175"/>
        <v>6493123.7751886593</v>
      </c>
      <c r="Y217" s="1637"/>
      <c r="AB217" s="6" t="str">
        <f t="shared" si="178"/>
        <v>Samsung</v>
      </c>
      <c r="AC217" s="6" t="str">
        <f t="shared" si="178"/>
        <v>Mobile</v>
      </c>
    </row>
    <row r="218" spans="1:29" s="1535" customFormat="1" ht="17.25" customHeight="1">
      <c r="A218" s="7170"/>
      <c r="B218" s="7173"/>
      <c r="C218" s="7186" t="s">
        <v>24</v>
      </c>
      <c r="D218" s="77" t="s">
        <v>844</v>
      </c>
      <c r="E218" s="4049">
        <f>E15</f>
        <v>7</v>
      </c>
      <c r="F218" s="10" t="str">
        <f>F15</f>
        <v>MTP+IDP+ADP</v>
      </c>
      <c r="G218" s="1617" t="s">
        <v>1209</v>
      </c>
      <c r="H218" s="3319"/>
      <c r="I218" s="3319"/>
      <c r="J218" s="3319"/>
      <c r="K218" s="3319"/>
      <c r="L218" s="4492">
        <v>30572</v>
      </c>
      <c r="M218" s="5014">
        <v>23310</v>
      </c>
      <c r="N218" s="5507">
        <v>33485</v>
      </c>
      <c r="O218" s="4492">
        <f t="shared" ref="O218:W223" si="180">+L119</f>
        <v>33300</v>
      </c>
      <c r="P218" s="5014">
        <f t="shared" si="180"/>
        <v>11302.02</v>
      </c>
      <c r="Q218" s="3804">
        <f t="shared" si="180"/>
        <v>9052</v>
      </c>
      <c r="R218" s="3805">
        <f t="shared" si="180"/>
        <v>29600</v>
      </c>
      <c r="S218" s="3802">
        <f t="shared" si="180"/>
        <v>26935.71428571429</v>
      </c>
      <c r="T218" s="3804">
        <f t="shared" si="180"/>
        <v>33792.857142857145</v>
      </c>
      <c r="U218" s="3803">
        <f t="shared" si="180"/>
        <v>33792.857142857145</v>
      </c>
      <c r="V218" s="3802">
        <f t="shared" si="180"/>
        <v>33792.857142857145</v>
      </c>
      <c r="W218" s="3804">
        <f t="shared" si="180"/>
        <v>33792.857142857145</v>
      </c>
      <c r="X218" s="2085">
        <f t="shared" si="175"/>
        <v>332728.16285714292</v>
      </c>
      <c r="Y218" s="1637"/>
      <c r="AB218" s="10" t="s">
        <v>24</v>
      </c>
      <c r="AC218" s="77" t="s">
        <v>844</v>
      </c>
    </row>
    <row r="219" spans="1:29" s="1535" customFormat="1" ht="17.25" customHeight="1">
      <c r="A219" s="7170"/>
      <c r="B219" s="7173"/>
      <c r="C219" s="7186"/>
      <c r="D219" s="77"/>
      <c r="E219" s="4049">
        <f>E16</f>
        <v>8</v>
      </c>
      <c r="F219" s="10" t="str">
        <f>F16</f>
        <v>Ride5</v>
      </c>
      <c r="G219" s="1617" t="s">
        <v>1209</v>
      </c>
      <c r="H219" s="3319"/>
      <c r="I219" s="3319"/>
      <c r="J219" s="3319"/>
      <c r="K219" s="3319"/>
      <c r="L219" s="4492">
        <v>12157.900000000001</v>
      </c>
      <c r="M219" s="5014">
        <v>14286.000000000002</v>
      </c>
      <c r="N219" s="5507">
        <v>14286.000000000002</v>
      </c>
      <c r="O219" s="4492">
        <f t="shared" si="180"/>
        <v>14286.000000000002</v>
      </c>
      <c r="P219" s="5014">
        <f t="shared" si="180"/>
        <v>14286.000000000002</v>
      </c>
      <c r="Q219" s="3804">
        <f t="shared" si="180"/>
        <v>16582</v>
      </c>
      <c r="R219" s="3805">
        <f t="shared" si="180"/>
        <v>10143.000000000002</v>
      </c>
      <c r="S219" s="3802">
        <f t="shared" si="180"/>
        <v>14286.000000000002</v>
      </c>
      <c r="T219" s="3804">
        <f t="shared" si="180"/>
        <v>14286.000000000002</v>
      </c>
      <c r="U219" s="3803">
        <f t="shared" si="180"/>
        <v>17857.5</v>
      </c>
      <c r="V219" s="3802">
        <f t="shared" si="180"/>
        <v>17857.5</v>
      </c>
      <c r="W219" s="3804">
        <f t="shared" si="180"/>
        <v>17857.5</v>
      </c>
      <c r="X219" s="2085">
        <f t="shared" si="175"/>
        <v>178171.40000000002</v>
      </c>
      <c r="Y219" s="1637"/>
      <c r="AB219" s="10" t="str">
        <f t="shared" ref="AB219:AB223" si="181">AB218</f>
        <v>Qualcomm</v>
      </c>
      <c r="AC219" s="77" t="str">
        <f t="shared" ref="AC219:AC223" si="182">AC218</f>
        <v>Mobile</v>
      </c>
    </row>
    <row r="220" spans="1:29" s="1535" customFormat="1" ht="17.25" customHeight="1">
      <c r="A220" s="7170"/>
      <c r="B220" s="7173"/>
      <c r="C220" s="7186"/>
      <c r="D220" s="77"/>
      <c r="E220" s="4049"/>
      <c r="F220" s="10" t="str">
        <f>F17</f>
        <v>Glymur</v>
      </c>
      <c r="G220" s="1617" t="s">
        <v>1209</v>
      </c>
      <c r="H220" s="3319"/>
      <c r="I220" s="3319"/>
      <c r="J220" s="3319"/>
      <c r="K220" s="3319"/>
      <c r="L220" s="4492">
        <v>0</v>
      </c>
      <c r="M220" s="5014">
        <v>0</v>
      </c>
      <c r="N220" s="5507">
        <v>0</v>
      </c>
      <c r="O220" s="4492">
        <f t="shared" si="180"/>
        <v>0</v>
      </c>
      <c r="P220" s="5014">
        <f t="shared" si="180"/>
        <v>0</v>
      </c>
      <c r="Q220" s="3804">
        <f t="shared" si="180"/>
        <v>0</v>
      </c>
      <c r="R220" s="3805">
        <f t="shared" si="180"/>
        <v>0</v>
      </c>
      <c r="S220" s="3802">
        <f t="shared" si="180"/>
        <v>0</v>
      </c>
      <c r="T220" s="3804">
        <f t="shared" si="180"/>
        <v>0</v>
      </c>
      <c r="U220" s="3803">
        <f t="shared" si="180"/>
        <v>0</v>
      </c>
      <c r="V220" s="3802">
        <f t="shared" si="180"/>
        <v>0</v>
      </c>
      <c r="W220" s="3804">
        <f t="shared" si="180"/>
        <v>0</v>
      </c>
      <c r="X220" s="2085">
        <f t="shared" si="175"/>
        <v>0</v>
      </c>
      <c r="Y220" s="1637"/>
      <c r="AB220" s="10" t="str">
        <f t="shared" si="181"/>
        <v>Qualcomm</v>
      </c>
      <c r="AC220" s="77" t="str">
        <f t="shared" si="182"/>
        <v>Mobile</v>
      </c>
    </row>
    <row r="221" spans="1:29" s="1535" customFormat="1" ht="17.25" customHeight="1">
      <c r="A221" s="7170"/>
      <c r="B221" s="7173"/>
      <c r="C221" s="7186"/>
      <c r="D221" s="77"/>
      <c r="E221" s="4049">
        <f>E18</f>
        <v>9</v>
      </c>
      <c r="F221" s="10" t="str">
        <f>F18</f>
        <v>MTP Hawi</v>
      </c>
      <c r="G221" s="1617" t="s">
        <v>1209</v>
      </c>
      <c r="H221" s="3319"/>
      <c r="I221" s="3319"/>
      <c r="J221" s="3319"/>
      <c r="K221" s="3319"/>
      <c r="L221" s="4492">
        <v>37364.200000000004</v>
      </c>
      <c r="M221" s="5014">
        <v>24690</v>
      </c>
      <c r="N221" s="5507">
        <v>16460</v>
      </c>
      <c r="O221" s="4492">
        <f t="shared" si="180"/>
        <v>8230</v>
      </c>
      <c r="P221" s="5014">
        <f t="shared" si="180"/>
        <v>6683.3159999999998</v>
      </c>
      <c r="Q221" s="3804">
        <f t="shared" si="180"/>
        <v>24475</v>
      </c>
      <c r="R221" s="3805">
        <f t="shared" si="180"/>
        <v>8230</v>
      </c>
      <c r="S221" s="3802">
        <f t="shared" si="180"/>
        <v>8230</v>
      </c>
      <c r="T221" s="3804">
        <f t="shared" si="180"/>
        <v>8230</v>
      </c>
      <c r="U221" s="3803">
        <f t="shared" si="180"/>
        <v>8230</v>
      </c>
      <c r="V221" s="3802">
        <f t="shared" si="180"/>
        <v>8230</v>
      </c>
      <c r="W221" s="3804">
        <f t="shared" si="180"/>
        <v>8230</v>
      </c>
      <c r="X221" s="2085">
        <f t="shared" si="175"/>
        <v>167282.516</v>
      </c>
      <c r="Y221" s="1637"/>
      <c r="AB221" s="10" t="str">
        <f t="shared" si="181"/>
        <v>Qualcomm</v>
      </c>
      <c r="AC221" s="77" t="str">
        <f t="shared" si="182"/>
        <v>Mobile</v>
      </c>
    </row>
    <row r="222" spans="1:29" s="1535" customFormat="1" ht="17.25" customHeight="1">
      <c r="A222" s="7170"/>
      <c r="B222" s="7173"/>
      <c r="C222" s="7186"/>
      <c r="D222" s="77"/>
      <c r="E222" s="4049">
        <f>E19</f>
        <v>10</v>
      </c>
      <c r="F222" s="10" t="str">
        <f>F19</f>
        <v>QMP Amboseli</v>
      </c>
      <c r="G222" s="1617" t="s">
        <v>1209</v>
      </c>
      <c r="H222" s="3319"/>
      <c r="I222" s="3319"/>
      <c r="J222" s="3319"/>
      <c r="K222" s="3319"/>
      <c r="L222" s="4492">
        <v>16460</v>
      </c>
      <c r="M222" s="5014">
        <v>13303.383500000002</v>
      </c>
      <c r="N222" s="5507">
        <v>0</v>
      </c>
      <c r="O222" s="4492">
        <f t="shared" si="180"/>
        <v>4115</v>
      </c>
      <c r="P222" s="5014">
        <f t="shared" si="180"/>
        <v>4115</v>
      </c>
      <c r="Q222" s="3804">
        <f t="shared" si="180"/>
        <v>0</v>
      </c>
      <c r="R222" s="3805">
        <f t="shared" si="180"/>
        <v>0</v>
      </c>
      <c r="S222" s="3802">
        <f t="shared" si="180"/>
        <v>4115</v>
      </c>
      <c r="T222" s="3804">
        <f t="shared" si="180"/>
        <v>0</v>
      </c>
      <c r="U222" s="3803">
        <f t="shared" si="180"/>
        <v>4115</v>
      </c>
      <c r="V222" s="3802">
        <f t="shared" si="180"/>
        <v>0</v>
      </c>
      <c r="W222" s="3804">
        <f t="shared" si="180"/>
        <v>4115</v>
      </c>
      <c r="X222" s="2085">
        <f t="shared" si="175"/>
        <v>50338.383500000004</v>
      </c>
      <c r="Y222" s="1637"/>
      <c r="AB222" s="10" t="str">
        <f t="shared" si="181"/>
        <v>Qualcomm</v>
      </c>
      <c r="AC222" s="77" t="str">
        <f t="shared" si="182"/>
        <v>Mobile</v>
      </c>
    </row>
    <row r="223" spans="1:29" s="1535" customFormat="1" ht="17.25" customHeight="1">
      <c r="A223" s="7170"/>
      <c r="B223" s="7173"/>
      <c r="C223" s="7187"/>
      <c r="D223" s="76"/>
      <c r="E223" s="4050"/>
      <c r="F223" s="6" t="str">
        <f>F20</f>
        <v>LDS Antenna</v>
      </c>
      <c r="G223" s="3320" t="s">
        <v>1209</v>
      </c>
      <c r="H223" s="3321"/>
      <c r="I223" s="3321"/>
      <c r="J223" s="3321"/>
      <c r="K223" s="3321"/>
      <c r="L223" s="4493">
        <v>36850</v>
      </c>
      <c r="M223" s="5018">
        <v>17875</v>
      </c>
      <c r="N223" s="5513">
        <v>12447.2</v>
      </c>
      <c r="O223" s="4493">
        <f t="shared" si="180"/>
        <v>9680</v>
      </c>
      <c r="P223" s="5018">
        <f t="shared" si="180"/>
        <v>5360</v>
      </c>
      <c r="Q223" s="3818">
        <f t="shared" si="180"/>
        <v>0</v>
      </c>
      <c r="R223" s="3829">
        <f t="shared" si="180"/>
        <v>12060</v>
      </c>
      <c r="S223" s="3817">
        <f t="shared" si="180"/>
        <v>6700</v>
      </c>
      <c r="T223" s="3818">
        <f t="shared" si="180"/>
        <v>3216</v>
      </c>
      <c r="U223" s="3816">
        <f t="shared" si="180"/>
        <v>6700</v>
      </c>
      <c r="V223" s="3817">
        <f t="shared" si="180"/>
        <v>3216</v>
      </c>
      <c r="W223" s="3818">
        <f t="shared" si="180"/>
        <v>3216</v>
      </c>
      <c r="X223" s="2099">
        <f t="shared" si="175"/>
        <v>117320.2</v>
      </c>
      <c r="Y223" s="1637"/>
      <c r="AB223" s="6" t="str">
        <f t="shared" si="181"/>
        <v>Qualcomm</v>
      </c>
      <c r="AC223" s="76" t="str">
        <f t="shared" si="182"/>
        <v>Mobile</v>
      </c>
    </row>
    <row r="224" spans="1:29" s="1535" customFormat="1" ht="17.25" customHeight="1">
      <c r="A224" s="7171"/>
      <c r="B224" s="1559"/>
      <c r="C224" s="1560" t="s">
        <v>43</v>
      </c>
      <c r="D224" s="1560"/>
      <c r="E224" s="4047"/>
      <c r="F224" s="1561"/>
      <c r="G224" s="1562"/>
      <c r="H224" s="3196"/>
      <c r="I224" s="3196"/>
      <c r="J224" s="3196"/>
      <c r="K224" s="3196"/>
      <c r="L224" s="4494">
        <f t="shared" ref="L224:M224" si="183">SUM(L210:L223)</f>
        <v>1788691.2272307691</v>
      </c>
      <c r="M224" s="5022">
        <f t="shared" si="183"/>
        <v>1727924.2006153846</v>
      </c>
      <c r="N224" s="5510">
        <f t="shared" ref="N224:Q224" si="184">SUM(N210:N223)</f>
        <v>591034.13384615374</v>
      </c>
      <c r="O224" s="4494">
        <f t="shared" si="184"/>
        <v>2380136.2511538463</v>
      </c>
      <c r="P224" s="5022">
        <f t="shared" si="184"/>
        <v>1234812.0827873305</v>
      </c>
      <c r="Q224" s="5022">
        <f t="shared" si="184"/>
        <v>1435546.5506923078</v>
      </c>
      <c r="R224" s="1806">
        <f t="shared" ref="R224:W224" si="185">SUM(R210:R223)</f>
        <v>1862787.8033229695</v>
      </c>
      <c r="S224" s="1732">
        <f t="shared" si="185"/>
        <v>2064946.4929949942</v>
      </c>
      <c r="T224" s="1733">
        <f t="shared" si="185"/>
        <v>2137483.5204675212</v>
      </c>
      <c r="U224" s="1805">
        <f t="shared" si="185"/>
        <v>1672801.6997881678</v>
      </c>
      <c r="V224" s="1732">
        <f t="shared" si="185"/>
        <v>1531112.1631611178</v>
      </c>
      <c r="W224" s="1733">
        <f t="shared" si="185"/>
        <v>1636142.5694515791</v>
      </c>
      <c r="X224" s="2108">
        <f t="shared" si="175"/>
        <v>20063418.695512138</v>
      </c>
      <c r="Y224" s="1637"/>
      <c r="AB224" s="1560"/>
      <c r="AC224" s="1731"/>
    </row>
    <row r="225" spans="1:29" s="1535" customFormat="1" ht="17.25" customHeight="1">
      <c r="A225" s="7175">
        <v>2</v>
      </c>
      <c r="B225" s="7188" t="s">
        <v>492</v>
      </c>
      <c r="C225" s="10" t="s">
        <v>20</v>
      </c>
      <c r="D225" s="10" t="str">
        <f>D127</f>
        <v>Motor HSG</v>
      </c>
      <c r="E225" s="4051">
        <f>E23</f>
        <v>11</v>
      </c>
      <c r="F225" s="10" t="str">
        <f>F23</f>
        <v>GEN3 AL5 Housing (YT)</v>
      </c>
      <c r="G225" s="1552" t="s">
        <v>402</v>
      </c>
      <c r="H225" s="3194"/>
      <c r="I225" s="3194"/>
      <c r="J225" s="3194"/>
      <c r="K225" s="3194"/>
      <c r="L225" s="4492"/>
      <c r="M225" s="5014"/>
      <c r="N225" s="5507"/>
      <c r="O225" s="4492"/>
      <c r="P225" s="5014"/>
      <c r="Q225" s="3804"/>
      <c r="R225" s="3805">
        <f t="shared" ref="R225:R235" si="186">O127</f>
        <v>120579.8313060451</v>
      </c>
      <c r="S225" s="3802">
        <f t="shared" ref="S225:S235" si="187">P127</f>
        <v>104795.9924440794</v>
      </c>
      <c r="T225" s="3804">
        <f t="shared" ref="T225:T235" si="188">Q127</f>
        <v>154802.86883852177</v>
      </c>
      <c r="U225" s="3803">
        <f t="shared" ref="U225:U235" si="189">R127</f>
        <v>124675.19101076461</v>
      </c>
      <c r="V225" s="3802">
        <f t="shared" ref="V225:V235" si="190">S127</f>
        <v>117779.87150792568</v>
      </c>
      <c r="W225" s="3806">
        <f t="shared" ref="W225:W235" si="191">T127</f>
        <v>0</v>
      </c>
      <c r="X225" s="2085">
        <f t="shared" si="175"/>
        <v>622633.75510733656</v>
      </c>
      <c r="Y225" s="1637"/>
      <c r="Z225" s="1637"/>
      <c r="AA225" s="1637"/>
      <c r="AB225" s="10" t="s">
        <v>20</v>
      </c>
      <c r="AC225" s="10" t="str">
        <f>AC127</f>
        <v>Motor HSG</v>
      </c>
    </row>
    <row r="226" spans="1:29" s="1535" customFormat="1" ht="17.25" customHeight="1">
      <c r="A226" s="7170"/>
      <c r="B226" s="7174"/>
      <c r="C226" s="10"/>
      <c r="D226" s="10"/>
      <c r="E226" s="4051">
        <f>E24</f>
        <v>12</v>
      </c>
      <c r="F226" s="10" t="str">
        <f>F24</f>
        <v>GEN3 AL6 Housing (YT)</v>
      </c>
      <c r="G226" s="1552" t="s">
        <v>402</v>
      </c>
      <c r="H226" s="3194"/>
      <c r="I226" s="3194"/>
      <c r="J226" s="3194"/>
      <c r="K226" s="3194"/>
      <c r="L226" s="4492"/>
      <c r="M226" s="5014"/>
      <c r="N226" s="5507"/>
      <c r="O226" s="4492"/>
      <c r="P226" s="5014"/>
      <c r="Q226" s="3804"/>
      <c r="R226" s="3805">
        <f t="shared" si="186"/>
        <v>12614.400000000001</v>
      </c>
      <c r="S226" s="3802">
        <f t="shared" si="187"/>
        <v>1181.8800000000001</v>
      </c>
      <c r="T226" s="3804">
        <f t="shared" si="188"/>
        <v>0</v>
      </c>
      <c r="U226" s="3803">
        <f t="shared" si="189"/>
        <v>0</v>
      </c>
      <c r="V226" s="3802">
        <f t="shared" si="190"/>
        <v>0</v>
      </c>
      <c r="W226" s="3806">
        <f t="shared" si="191"/>
        <v>0</v>
      </c>
      <c r="X226" s="2085">
        <f t="shared" si="175"/>
        <v>13796.280000000002</v>
      </c>
      <c r="Y226" s="1637"/>
      <c r="Z226" s="1637"/>
      <c r="AA226" s="1637"/>
      <c r="AB226" s="10" t="str">
        <f t="shared" ref="AB226:AB251" si="192">AB225</f>
        <v>LGIT</v>
      </c>
      <c r="AC226" s="10" t="str">
        <f t="shared" ref="AC226:AC235" si="193">AC225</f>
        <v>Motor HSG</v>
      </c>
    </row>
    <row r="227" spans="1:29" s="1535" customFormat="1" ht="17.25" hidden="1" customHeight="1">
      <c r="A227" s="7170"/>
      <c r="B227" s="7174"/>
      <c r="C227" s="10"/>
      <c r="D227" s="10"/>
      <c r="E227" s="4051"/>
      <c r="F227" s="10" t="str">
        <f>F25</f>
        <v>GEN3 AL5  Housing (MX)</v>
      </c>
      <c r="G227" s="1552" t="s">
        <v>953</v>
      </c>
      <c r="H227" s="3194"/>
      <c r="I227" s="3194"/>
      <c r="J227" s="3194"/>
      <c r="K227" s="3194"/>
      <c r="L227" s="4492"/>
      <c r="M227" s="5014"/>
      <c r="N227" s="5507"/>
      <c r="O227" s="4492"/>
      <c r="P227" s="5014"/>
      <c r="Q227" s="3804"/>
      <c r="R227" s="3805">
        <f t="shared" si="186"/>
        <v>0</v>
      </c>
      <c r="S227" s="3802">
        <f t="shared" si="187"/>
        <v>0</v>
      </c>
      <c r="T227" s="3804">
        <f t="shared" si="188"/>
        <v>0</v>
      </c>
      <c r="U227" s="3803">
        <f t="shared" si="189"/>
        <v>0</v>
      </c>
      <c r="V227" s="3802">
        <f t="shared" si="190"/>
        <v>0</v>
      </c>
      <c r="W227" s="3806">
        <f t="shared" si="191"/>
        <v>0</v>
      </c>
      <c r="X227" s="2085">
        <f t="shared" si="175"/>
        <v>0</v>
      </c>
      <c r="Y227" s="1637"/>
      <c r="Z227" s="1637"/>
      <c r="AA227" s="1637"/>
      <c r="AB227" s="10" t="str">
        <f t="shared" si="192"/>
        <v>LGIT</v>
      </c>
      <c r="AC227" s="10" t="str">
        <f t="shared" si="193"/>
        <v>Motor HSG</v>
      </c>
    </row>
    <row r="228" spans="1:29" s="1535" customFormat="1" ht="17.25" hidden="1" customHeight="1">
      <c r="A228" s="7170"/>
      <c r="B228" s="7174"/>
      <c r="C228" s="10"/>
      <c r="D228" s="10"/>
      <c r="E228" s="4051"/>
      <c r="F228" s="10" t="s">
        <v>1172</v>
      </c>
      <c r="G228" s="1552" t="s">
        <v>953</v>
      </c>
      <c r="H228" s="3194"/>
      <c r="I228" s="3194"/>
      <c r="J228" s="3194"/>
      <c r="K228" s="3194"/>
      <c r="L228" s="4492"/>
      <c r="M228" s="5014"/>
      <c r="N228" s="5507"/>
      <c r="O228" s="4492"/>
      <c r="P228" s="5014"/>
      <c r="Q228" s="3804"/>
      <c r="R228" s="3805">
        <f t="shared" si="186"/>
        <v>0</v>
      </c>
      <c r="S228" s="3802">
        <f t="shared" si="187"/>
        <v>0</v>
      </c>
      <c r="T228" s="3804">
        <f t="shared" si="188"/>
        <v>0</v>
      </c>
      <c r="U228" s="3803">
        <f t="shared" si="189"/>
        <v>0</v>
      </c>
      <c r="V228" s="3802">
        <f t="shared" si="190"/>
        <v>0</v>
      </c>
      <c r="W228" s="3806">
        <f t="shared" si="191"/>
        <v>0</v>
      </c>
      <c r="X228" s="2085">
        <f t="shared" si="175"/>
        <v>0</v>
      </c>
      <c r="Y228" s="1637"/>
      <c r="Z228" s="1637"/>
      <c r="AA228" s="1637"/>
      <c r="AB228" s="10" t="str">
        <f t="shared" si="192"/>
        <v>LGIT</v>
      </c>
      <c r="AC228" s="10" t="str">
        <f t="shared" si="193"/>
        <v>Motor HSG</v>
      </c>
    </row>
    <row r="229" spans="1:29" s="1535" customFormat="1" ht="17.25" customHeight="1">
      <c r="A229" s="7170"/>
      <c r="B229" s="7174"/>
      <c r="C229" s="10"/>
      <c r="D229" s="10"/>
      <c r="E229" s="4051"/>
      <c r="F229" s="10" t="str">
        <f t="shared" ref="F229:F235" si="194">F27</f>
        <v>T6 Housing</v>
      </c>
      <c r="G229" s="1552" t="s">
        <v>402</v>
      </c>
      <c r="H229" s="3194"/>
      <c r="I229" s="3194"/>
      <c r="J229" s="3194"/>
      <c r="K229" s="3194"/>
      <c r="L229" s="4492"/>
      <c r="M229" s="5014"/>
      <c r="N229" s="5507"/>
      <c r="O229" s="4492"/>
      <c r="P229" s="5014"/>
      <c r="Q229" s="3804"/>
      <c r="R229" s="3805">
        <f t="shared" si="186"/>
        <v>54240.466982495433</v>
      </c>
      <c r="S229" s="3802">
        <f t="shared" si="187"/>
        <v>0</v>
      </c>
      <c r="T229" s="3804">
        <f t="shared" si="188"/>
        <v>0</v>
      </c>
      <c r="U229" s="3803">
        <f t="shared" si="189"/>
        <v>0</v>
      </c>
      <c r="V229" s="3802">
        <f t="shared" si="190"/>
        <v>0</v>
      </c>
      <c r="W229" s="3806">
        <f t="shared" si="191"/>
        <v>0</v>
      </c>
      <c r="X229" s="2085">
        <f t="shared" si="175"/>
        <v>54240.466982495433</v>
      </c>
      <c r="Y229" s="1637"/>
      <c r="Z229" s="1637"/>
      <c r="AA229" s="1637"/>
      <c r="AB229" s="10" t="str">
        <f t="shared" si="192"/>
        <v>LGIT</v>
      </c>
      <c r="AC229" s="10" t="str">
        <f t="shared" si="193"/>
        <v>Motor HSG</v>
      </c>
    </row>
    <row r="230" spans="1:29" s="1535" customFormat="1" ht="17.25" customHeight="1">
      <c r="A230" s="7170"/>
      <c r="B230" s="7174"/>
      <c r="C230" s="10"/>
      <c r="D230" s="10"/>
      <c r="E230" s="4051">
        <f>E28</f>
        <v>13</v>
      </c>
      <c r="F230" s="10" t="str">
        <f t="shared" si="194"/>
        <v>CL4 Housing (YT)</v>
      </c>
      <c r="G230" s="1552" t="s">
        <v>402</v>
      </c>
      <c r="H230" s="3194"/>
      <c r="I230" s="3194"/>
      <c r="J230" s="3194"/>
      <c r="K230" s="3194"/>
      <c r="L230" s="4495"/>
      <c r="M230" s="5014"/>
      <c r="N230" s="5515"/>
      <c r="O230" s="4492"/>
      <c r="P230" s="5014"/>
      <c r="Q230" s="3804"/>
      <c r="R230" s="3805">
        <f t="shared" si="186"/>
        <v>148780.80000000002</v>
      </c>
      <c r="S230" s="3802">
        <f t="shared" si="187"/>
        <v>158902.56</v>
      </c>
      <c r="T230" s="3804">
        <f t="shared" si="188"/>
        <v>95328.36</v>
      </c>
      <c r="U230" s="3803">
        <f t="shared" si="189"/>
        <v>0</v>
      </c>
      <c r="V230" s="3802">
        <f t="shared" si="190"/>
        <v>0</v>
      </c>
      <c r="W230" s="3806">
        <f t="shared" si="191"/>
        <v>0</v>
      </c>
      <c r="X230" s="2085">
        <f t="shared" si="175"/>
        <v>403011.72</v>
      </c>
      <c r="Y230" s="1637"/>
      <c r="Z230" s="1637"/>
      <c r="AA230" s="1637"/>
      <c r="AB230" s="10" t="str">
        <f t="shared" si="192"/>
        <v>LGIT</v>
      </c>
      <c r="AC230" s="10" t="str">
        <f t="shared" si="193"/>
        <v>Motor HSG</v>
      </c>
    </row>
    <row r="231" spans="1:29" s="1535" customFormat="1" ht="17.25" customHeight="1">
      <c r="A231" s="7170"/>
      <c r="B231" s="7174"/>
      <c r="C231" s="10"/>
      <c r="D231" s="10"/>
      <c r="E231" s="4051"/>
      <c r="F231" s="10" t="str">
        <f t="shared" si="194"/>
        <v>CL4 Housing (MX)</v>
      </c>
      <c r="G231" s="1552" t="s">
        <v>402</v>
      </c>
      <c r="H231" s="3194"/>
      <c r="I231" s="3194"/>
      <c r="J231" s="3194"/>
      <c r="K231" s="3194"/>
      <c r="L231" s="4495"/>
      <c r="M231" s="5014"/>
      <c r="N231" s="5515"/>
      <c r="O231" s="4492"/>
      <c r="P231" s="5014"/>
      <c r="Q231" s="3804"/>
      <c r="R231" s="3805">
        <f t="shared" si="186"/>
        <v>65400</v>
      </c>
      <c r="S231" s="3802">
        <f t="shared" si="187"/>
        <v>89000</v>
      </c>
      <c r="T231" s="3804">
        <f t="shared" si="188"/>
        <v>78320</v>
      </c>
      <c r="U231" s="3803">
        <f t="shared" si="189"/>
        <v>65400</v>
      </c>
      <c r="V231" s="3802">
        <f t="shared" si="190"/>
        <v>0</v>
      </c>
      <c r="W231" s="3806">
        <f t="shared" si="191"/>
        <v>0</v>
      </c>
      <c r="X231" s="2085">
        <f t="shared" si="175"/>
        <v>298120</v>
      </c>
      <c r="Y231" s="1637"/>
      <c r="Z231" s="1637"/>
      <c r="AA231" s="1637"/>
      <c r="AB231" s="10" t="str">
        <f t="shared" si="192"/>
        <v>LGIT</v>
      </c>
      <c r="AC231" s="10" t="str">
        <f t="shared" si="193"/>
        <v>Motor HSG</v>
      </c>
    </row>
    <row r="232" spans="1:29" s="1535" customFormat="1" ht="17.25" customHeight="1">
      <c r="A232" s="7170"/>
      <c r="B232" s="7174"/>
      <c r="C232" s="10"/>
      <c r="D232" s="10"/>
      <c r="E232" s="4051">
        <f>E30</f>
        <v>14</v>
      </c>
      <c r="F232" s="10" t="str">
        <f t="shared" si="194"/>
        <v>MQ4a PE Housing (YT)</v>
      </c>
      <c r="G232" s="1552" t="s">
        <v>402</v>
      </c>
      <c r="H232" s="3194"/>
      <c r="I232" s="3194"/>
      <c r="J232" s="3194"/>
      <c r="K232" s="3194"/>
      <c r="L232" s="4495"/>
      <c r="M232" s="5014"/>
      <c r="N232" s="5515"/>
      <c r="O232" s="4492"/>
      <c r="P232" s="5014"/>
      <c r="Q232" s="3804"/>
      <c r="R232" s="3805">
        <f t="shared" si="186"/>
        <v>72529.224005517826</v>
      </c>
      <c r="S232" s="3802">
        <f t="shared" si="187"/>
        <v>91517.38128392768</v>
      </c>
      <c r="T232" s="3804">
        <f t="shared" si="188"/>
        <v>34308.188376556041</v>
      </c>
      <c r="U232" s="3803">
        <f t="shared" si="189"/>
        <v>56140.671888909885</v>
      </c>
      <c r="V232" s="3802">
        <f t="shared" si="190"/>
        <v>101206.26781619582</v>
      </c>
      <c r="W232" s="3806">
        <f t="shared" si="191"/>
        <v>34698.054153562356</v>
      </c>
      <c r="X232" s="2085">
        <f t="shared" si="175"/>
        <v>390399.78752466961</v>
      </c>
      <c r="Y232" s="1637"/>
      <c r="Z232" s="1637"/>
      <c r="AA232" s="1637"/>
      <c r="AB232" s="10" t="str">
        <f t="shared" si="192"/>
        <v>LGIT</v>
      </c>
      <c r="AC232" s="10" t="str">
        <f t="shared" si="193"/>
        <v>Motor HSG</v>
      </c>
    </row>
    <row r="233" spans="1:29" s="1535" customFormat="1" ht="17.25" customHeight="1">
      <c r="A233" s="7170"/>
      <c r="B233" s="7174"/>
      <c r="C233" s="10"/>
      <c r="D233" s="10"/>
      <c r="E233" s="4051"/>
      <c r="F233" s="10" t="str">
        <f t="shared" si="194"/>
        <v>MQ4a PE Housing (MX)</v>
      </c>
      <c r="G233" s="1552" t="s">
        <v>402</v>
      </c>
      <c r="H233" s="3194"/>
      <c r="I233" s="3194"/>
      <c r="J233" s="3194"/>
      <c r="K233" s="3194"/>
      <c r="L233" s="4495"/>
      <c r="M233" s="5014"/>
      <c r="N233" s="5515"/>
      <c r="O233" s="4492"/>
      <c r="P233" s="5014"/>
      <c r="Q233" s="3804"/>
      <c r="R233" s="3805">
        <f t="shared" si="186"/>
        <v>82366</v>
      </c>
      <c r="S233" s="3802">
        <f t="shared" si="187"/>
        <v>80730</v>
      </c>
      <c r="T233" s="3804">
        <f t="shared" si="188"/>
        <v>70200</v>
      </c>
      <c r="U233" s="3803">
        <f t="shared" si="189"/>
        <v>64200</v>
      </c>
      <c r="V233" s="3802">
        <f t="shared" si="190"/>
        <v>0</v>
      </c>
      <c r="W233" s="3806">
        <f t="shared" si="191"/>
        <v>0</v>
      </c>
      <c r="X233" s="2085">
        <f t="shared" si="175"/>
        <v>297496</v>
      </c>
      <c r="Y233" s="1637"/>
      <c r="Z233" s="1637"/>
      <c r="AA233" s="1637"/>
      <c r="AB233" s="10" t="str">
        <f t="shared" si="192"/>
        <v>LGIT</v>
      </c>
      <c r="AC233" s="10" t="str">
        <f t="shared" si="193"/>
        <v>Motor HSG</v>
      </c>
    </row>
    <row r="234" spans="1:29" s="1535" customFormat="1" ht="17.25" hidden="1" customHeight="1">
      <c r="A234" s="7170"/>
      <c r="B234" s="7174"/>
      <c r="C234" s="10"/>
      <c r="D234" s="10"/>
      <c r="E234" s="4051"/>
      <c r="F234" s="10" t="str">
        <f t="shared" si="194"/>
        <v>BYD Housing</v>
      </c>
      <c r="G234" s="1552" t="s">
        <v>402</v>
      </c>
      <c r="H234" s="3194"/>
      <c r="I234" s="3194"/>
      <c r="J234" s="3194"/>
      <c r="K234" s="3194"/>
      <c r="L234" s="4492"/>
      <c r="M234" s="5014"/>
      <c r="N234" s="5507"/>
      <c r="O234" s="4492"/>
      <c r="P234" s="5014"/>
      <c r="Q234" s="3804"/>
      <c r="R234" s="3805">
        <f t="shared" si="186"/>
        <v>0</v>
      </c>
      <c r="S234" s="3802">
        <f t="shared" si="187"/>
        <v>0</v>
      </c>
      <c r="T234" s="3804">
        <f t="shared" si="188"/>
        <v>0</v>
      </c>
      <c r="U234" s="3803">
        <f t="shared" si="189"/>
        <v>0</v>
      </c>
      <c r="V234" s="3802">
        <f t="shared" si="190"/>
        <v>0</v>
      </c>
      <c r="W234" s="3806">
        <f t="shared" si="191"/>
        <v>0</v>
      </c>
      <c r="X234" s="2085">
        <f t="shared" si="175"/>
        <v>0</v>
      </c>
      <c r="Y234" s="1637"/>
      <c r="Z234" s="1637"/>
      <c r="AA234" s="1637"/>
      <c r="AB234" s="10" t="str">
        <f t="shared" si="192"/>
        <v>LGIT</v>
      </c>
      <c r="AC234" s="10" t="str">
        <f t="shared" si="193"/>
        <v>Motor HSG</v>
      </c>
    </row>
    <row r="235" spans="1:29" s="1535" customFormat="1" ht="17.25" hidden="1" customHeight="1">
      <c r="A235" s="7170"/>
      <c r="B235" s="7174"/>
      <c r="C235" s="10"/>
      <c r="D235" s="10"/>
      <c r="E235" s="4051">
        <f>E33</f>
        <v>15</v>
      </c>
      <c r="F235" s="1576" t="str">
        <f t="shared" si="194"/>
        <v>MX5 Housing</v>
      </c>
      <c r="G235" s="1577" t="s">
        <v>402</v>
      </c>
      <c r="H235" s="3194"/>
      <c r="I235" s="3194"/>
      <c r="J235" s="3194"/>
      <c r="K235" s="3194"/>
      <c r="L235" s="4492"/>
      <c r="M235" s="5014"/>
      <c r="N235" s="5507"/>
      <c r="O235" s="4492"/>
      <c r="P235" s="5014"/>
      <c r="Q235" s="3804"/>
      <c r="R235" s="3805">
        <f t="shared" si="186"/>
        <v>0</v>
      </c>
      <c r="S235" s="3802">
        <f t="shared" si="187"/>
        <v>0</v>
      </c>
      <c r="T235" s="3804">
        <f t="shared" si="188"/>
        <v>0</v>
      </c>
      <c r="U235" s="3803">
        <f t="shared" si="189"/>
        <v>0</v>
      </c>
      <c r="V235" s="3802">
        <f t="shared" si="190"/>
        <v>0</v>
      </c>
      <c r="W235" s="3806">
        <f t="shared" si="191"/>
        <v>0</v>
      </c>
      <c r="X235" s="2085">
        <f t="shared" si="175"/>
        <v>0</v>
      </c>
      <c r="Y235" s="1637"/>
      <c r="Z235" s="1637"/>
      <c r="AA235" s="1637"/>
      <c r="AB235" s="10" t="str">
        <f t="shared" si="192"/>
        <v>LGIT</v>
      </c>
      <c r="AC235" s="10" t="str">
        <f t="shared" si="193"/>
        <v>Motor HSG</v>
      </c>
    </row>
    <row r="236" spans="1:29" s="1535" customFormat="1" ht="17.25" customHeight="1">
      <c r="A236" s="7170"/>
      <c r="B236" s="7174"/>
      <c r="C236" s="10"/>
      <c r="D236" s="7" t="str">
        <f>D139</f>
        <v>Motor CVR</v>
      </c>
      <c r="E236" s="4052"/>
      <c r="F236" s="10" t="str">
        <f t="shared" ref="F236:F243" si="195">F35</f>
        <v>Gen2 Cover</v>
      </c>
      <c r="G236" s="1552" t="s">
        <v>402</v>
      </c>
      <c r="H236" s="3197"/>
      <c r="I236" s="3197"/>
      <c r="J236" s="3197"/>
      <c r="K236" s="3197"/>
      <c r="L236" s="4496"/>
      <c r="M236" s="5016"/>
      <c r="N236" s="5511"/>
      <c r="O236" s="4496"/>
      <c r="P236" s="5016"/>
      <c r="Q236" s="3809"/>
      <c r="R236" s="3810">
        <f t="shared" ref="R236:R245" si="196">O139</f>
        <v>0</v>
      </c>
      <c r="S236" s="3808">
        <f t="shared" ref="S236:S245" si="197">P139</f>
        <v>0</v>
      </c>
      <c r="T236" s="3809">
        <f t="shared" ref="T236:T245" si="198">Q139</f>
        <v>0</v>
      </c>
      <c r="U236" s="3807">
        <f t="shared" ref="U236:U245" si="199">R139</f>
        <v>46787.579999999994</v>
      </c>
      <c r="V236" s="3808">
        <f t="shared" ref="V236:V245" si="200">S139</f>
        <v>0</v>
      </c>
      <c r="W236" s="3811">
        <f t="shared" ref="W236:W245" si="201">T139</f>
        <v>0</v>
      </c>
      <c r="X236" s="2085">
        <f t="shared" si="175"/>
        <v>46787.579999999994</v>
      </c>
      <c r="Y236" s="1637"/>
      <c r="Z236" s="1637"/>
      <c r="AA236" s="1637"/>
      <c r="AB236" s="10" t="str">
        <f t="shared" si="192"/>
        <v>LGIT</v>
      </c>
      <c r="AC236" s="7" t="str">
        <f>AC139</f>
        <v>Motor CVR</v>
      </c>
    </row>
    <row r="237" spans="1:29" s="1535" customFormat="1" ht="17.25" customHeight="1">
      <c r="A237" s="7170"/>
      <c r="B237" s="7174"/>
      <c r="C237" s="10"/>
      <c r="D237" s="10"/>
      <c r="E237" s="4051"/>
      <c r="F237" s="10" t="str">
        <f t="shared" si="195"/>
        <v>T6 Cover</v>
      </c>
      <c r="G237" s="1552" t="s">
        <v>402</v>
      </c>
      <c r="H237" s="3194"/>
      <c r="I237" s="3194"/>
      <c r="J237" s="3194"/>
      <c r="K237" s="3194"/>
      <c r="L237" s="4492"/>
      <c r="M237" s="5014"/>
      <c r="N237" s="5507"/>
      <c r="O237" s="4492"/>
      <c r="P237" s="5014"/>
      <c r="Q237" s="3804"/>
      <c r="R237" s="3805">
        <f t="shared" si="196"/>
        <v>32550.701731151716</v>
      </c>
      <c r="S237" s="3802">
        <f t="shared" si="197"/>
        <v>0</v>
      </c>
      <c r="T237" s="3804">
        <f t="shared" si="198"/>
        <v>0</v>
      </c>
      <c r="U237" s="3803">
        <f t="shared" si="199"/>
        <v>0</v>
      </c>
      <c r="V237" s="3802">
        <f t="shared" si="200"/>
        <v>0</v>
      </c>
      <c r="W237" s="3806">
        <f t="shared" si="201"/>
        <v>0</v>
      </c>
      <c r="X237" s="2085">
        <f t="shared" si="175"/>
        <v>32550.701731151716</v>
      </c>
      <c r="Y237" s="1637"/>
      <c r="Z237" s="1637"/>
      <c r="AA237" s="1637"/>
      <c r="AB237" s="10" t="str">
        <f t="shared" si="192"/>
        <v>LGIT</v>
      </c>
      <c r="AC237" s="10" t="str">
        <f t="shared" ref="AC237:AC245" si="202">AC236</f>
        <v>Motor CVR</v>
      </c>
    </row>
    <row r="238" spans="1:29" s="1535" customFormat="1" ht="17.25" customHeight="1">
      <c r="A238" s="7170"/>
      <c r="B238" s="7174"/>
      <c r="C238" s="10"/>
      <c r="D238" s="10"/>
      <c r="E238" s="4051">
        <f>E37</f>
        <v>16</v>
      </c>
      <c r="F238" s="10" t="str">
        <f t="shared" si="195"/>
        <v>EK_Part Cover</v>
      </c>
      <c r="G238" s="1552" t="s">
        <v>402</v>
      </c>
      <c r="H238" s="3194"/>
      <c r="I238" s="3194"/>
      <c r="J238" s="3194"/>
      <c r="K238" s="3194"/>
      <c r="L238" s="4492"/>
      <c r="M238" s="5014"/>
      <c r="N238" s="5507"/>
      <c r="O238" s="4492"/>
      <c r="P238" s="5014"/>
      <c r="Q238" s="3804"/>
      <c r="R238" s="3805">
        <f t="shared" si="196"/>
        <v>28301.480000000003</v>
      </c>
      <c r="S238" s="3802">
        <f t="shared" si="197"/>
        <v>32098.02</v>
      </c>
      <c r="T238" s="3804">
        <f t="shared" si="198"/>
        <v>28301.480000000003</v>
      </c>
      <c r="U238" s="3803">
        <f t="shared" si="199"/>
        <v>28301.480000000003</v>
      </c>
      <c r="V238" s="3802">
        <f t="shared" si="200"/>
        <v>23176.48</v>
      </c>
      <c r="W238" s="3806">
        <f t="shared" si="201"/>
        <v>0</v>
      </c>
      <c r="X238" s="2085">
        <f t="shared" si="175"/>
        <v>140178.94000000003</v>
      </c>
      <c r="Y238" s="1637"/>
      <c r="Z238" s="1637"/>
      <c r="AA238" s="1637"/>
      <c r="AB238" s="10" t="str">
        <f t="shared" si="192"/>
        <v>LGIT</v>
      </c>
      <c r="AC238" s="10" t="str">
        <f t="shared" si="202"/>
        <v>Motor CVR</v>
      </c>
    </row>
    <row r="239" spans="1:29" s="1535" customFormat="1" ht="17.25" customHeight="1">
      <c r="A239" s="7170"/>
      <c r="B239" s="7174"/>
      <c r="C239" s="10"/>
      <c r="D239" s="10"/>
      <c r="E239" s="4051"/>
      <c r="F239" s="10" t="str">
        <f t="shared" si="195"/>
        <v>570W Cover</v>
      </c>
      <c r="G239" s="1552" t="s">
        <v>402</v>
      </c>
      <c r="H239" s="3194"/>
      <c r="I239" s="3194"/>
      <c r="J239" s="3194"/>
      <c r="K239" s="3194"/>
      <c r="L239" s="4492">
        <f>686625+41567</f>
        <v>728192</v>
      </c>
      <c r="M239" s="5014">
        <v>780207</v>
      </c>
      <c r="N239" s="5507">
        <f>561112+8297</f>
        <v>569409</v>
      </c>
      <c r="O239" s="4492">
        <v>762757</v>
      </c>
      <c r="P239" s="5014">
        <v>987049</v>
      </c>
      <c r="Q239" s="3804">
        <v>868371</v>
      </c>
      <c r="R239" s="3805">
        <f t="shared" si="196"/>
        <v>0</v>
      </c>
      <c r="S239" s="3802">
        <f t="shared" si="197"/>
        <v>0</v>
      </c>
      <c r="T239" s="3804">
        <f t="shared" si="198"/>
        <v>0</v>
      </c>
      <c r="U239" s="3803">
        <f t="shared" si="199"/>
        <v>0</v>
      </c>
      <c r="V239" s="3802">
        <f t="shared" si="200"/>
        <v>0</v>
      </c>
      <c r="W239" s="3806">
        <f t="shared" si="201"/>
        <v>0</v>
      </c>
      <c r="X239" s="2085">
        <f t="shared" si="175"/>
        <v>4695985</v>
      </c>
      <c r="Y239" s="1637"/>
      <c r="Z239" s="1637"/>
      <c r="AA239" s="1637"/>
      <c r="AB239" s="10" t="str">
        <f t="shared" si="192"/>
        <v>LGIT</v>
      </c>
      <c r="AC239" s="10" t="str">
        <f t="shared" si="202"/>
        <v>Motor CVR</v>
      </c>
    </row>
    <row r="240" spans="1:29" s="1535" customFormat="1" ht="17.25" customHeight="1">
      <c r="A240" s="7170"/>
      <c r="B240" s="7174"/>
      <c r="C240" s="10"/>
      <c r="D240" s="10"/>
      <c r="E240" s="4051">
        <f>E39</f>
        <v>17</v>
      </c>
      <c r="F240" s="10" t="str">
        <f t="shared" si="195"/>
        <v>CL4 Cover (YT)</v>
      </c>
      <c r="G240" s="1552" t="s">
        <v>402</v>
      </c>
      <c r="H240" s="3194"/>
      <c r="I240" s="3194"/>
      <c r="J240" s="3194"/>
      <c r="K240" s="3194"/>
      <c r="L240" s="4495"/>
      <c r="M240" s="5014"/>
      <c r="N240" s="5515"/>
      <c r="O240" s="4492"/>
      <c r="P240" s="5014"/>
      <c r="Q240" s="3804"/>
      <c r="R240" s="3805">
        <f t="shared" si="196"/>
        <v>10108.800000000001</v>
      </c>
      <c r="S240" s="3802">
        <f t="shared" si="197"/>
        <v>18408</v>
      </c>
      <c r="T240" s="3804">
        <f t="shared" si="198"/>
        <v>16692</v>
      </c>
      <c r="U240" s="3803">
        <f t="shared" si="199"/>
        <v>0</v>
      </c>
      <c r="V240" s="3802">
        <f t="shared" si="200"/>
        <v>0</v>
      </c>
      <c r="W240" s="3806">
        <f t="shared" si="201"/>
        <v>0</v>
      </c>
      <c r="X240" s="2085">
        <f t="shared" si="175"/>
        <v>45208.800000000003</v>
      </c>
      <c r="Y240" s="1637"/>
      <c r="Z240" s="1637"/>
      <c r="AA240" s="1637"/>
      <c r="AB240" s="10" t="str">
        <f t="shared" si="192"/>
        <v>LGIT</v>
      </c>
      <c r="AC240" s="10" t="str">
        <f t="shared" si="202"/>
        <v>Motor CVR</v>
      </c>
    </row>
    <row r="241" spans="1:29" s="1535" customFormat="1" ht="17.25" customHeight="1">
      <c r="A241" s="7170"/>
      <c r="B241" s="7174"/>
      <c r="C241" s="10"/>
      <c r="D241" s="10"/>
      <c r="E241" s="4051"/>
      <c r="F241" s="10" t="str">
        <f t="shared" si="195"/>
        <v>CL4 Cover (MX)</v>
      </c>
      <c r="G241" s="1552" t="s">
        <v>402</v>
      </c>
      <c r="H241" s="3194"/>
      <c r="I241" s="3194"/>
      <c r="J241" s="3194"/>
      <c r="K241" s="3194"/>
      <c r="L241" s="4495"/>
      <c r="M241" s="5014"/>
      <c r="N241" s="5515"/>
      <c r="O241" s="4492"/>
      <c r="P241" s="5014"/>
      <c r="Q241" s="3804"/>
      <c r="R241" s="3805">
        <f t="shared" si="196"/>
        <v>26400</v>
      </c>
      <c r="S241" s="3802">
        <f t="shared" si="197"/>
        <v>29106</v>
      </c>
      <c r="T241" s="3804">
        <f t="shared" si="198"/>
        <v>34223.42</v>
      </c>
      <c r="U241" s="3803">
        <f t="shared" si="199"/>
        <v>40818.36</v>
      </c>
      <c r="V241" s="3802">
        <f t="shared" si="200"/>
        <v>0</v>
      </c>
      <c r="W241" s="3806">
        <f t="shared" si="201"/>
        <v>0</v>
      </c>
      <c r="X241" s="2085">
        <f t="shared" si="175"/>
        <v>130547.78</v>
      </c>
      <c r="Y241" s="1637"/>
      <c r="Z241" s="1637"/>
      <c r="AA241" s="1637"/>
      <c r="AB241" s="10" t="str">
        <f t="shared" si="192"/>
        <v>LGIT</v>
      </c>
      <c r="AC241" s="10" t="str">
        <f t="shared" si="202"/>
        <v>Motor CVR</v>
      </c>
    </row>
    <row r="242" spans="1:29" s="1535" customFormat="1" ht="17.25" customHeight="1">
      <c r="A242" s="7170"/>
      <c r="B242" s="7174"/>
      <c r="C242" s="10"/>
      <c r="D242" s="10"/>
      <c r="E242" s="4051">
        <f>E41</f>
        <v>18</v>
      </c>
      <c r="F242" s="10" t="str">
        <f t="shared" si="195"/>
        <v>MQ4a PE Cover (YT)</v>
      </c>
      <c r="G242" s="1552" t="s">
        <v>402</v>
      </c>
      <c r="H242" s="3194"/>
      <c r="I242" s="3194"/>
      <c r="J242" s="3194"/>
      <c r="K242" s="3194"/>
      <c r="L242" s="4495"/>
      <c r="M242" s="5014"/>
      <c r="N242" s="5515"/>
      <c r="O242" s="4492"/>
      <c r="P242" s="5014"/>
      <c r="Q242" s="3804"/>
      <c r="R242" s="3805">
        <f t="shared" si="196"/>
        <v>23846.51919747678</v>
      </c>
      <c r="S242" s="3802">
        <f t="shared" si="197"/>
        <v>42509.012482458595</v>
      </c>
      <c r="T242" s="3804">
        <f t="shared" si="198"/>
        <v>42509.012482458595</v>
      </c>
      <c r="U242" s="3803">
        <f t="shared" si="199"/>
        <v>42509.012482458595</v>
      </c>
      <c r="V242" s="3802">
        <f t="shared" si="200"/>
        <v>23550.517717905303</v>
      </c>
      <c r="W242" s="3806">
        <f t="shared" si="201"/>
        <v>0</v>
      </c>
      <c r="X242" s="2085">
        <f t="shared" si="175"/>
        <v>174924.07436275788</v>
      </c>
      <c r="Y242" s="1637"/>
      <c r="Z242" s="1637"/>
      <c r="AA242" s="1637"/>
      <c r="AB242" s="10" t="str">
        <f t="shared" si="192"/>
        <v>LGIT</v>
      </c>
      <c r="AC242" s="10" t="str">
        <f t="shared" si="202"/>
        <v>Motor CVR</v>
      </c>
    </row>
    <row r="243" spans="1:29" s="1535" customFormat="1" ht="17.25" customHeight="1">
      <c r="A243" s="7170"/>
      <c r="B243" s="7174"/>
      <c r="C243" s="10"/>
      <c r="D243" s="10"/>
      <c r="E243" s="4051"/>
      <c r="F243" s="10" t="str">
        <f t="shared" si="195"/>
        <v>MQ4a PE Cover (MX)</v>
      </c>
      <c r="G243" s="1552" t="s">
        <v>402</v>
      </c>
      <c r="H243" s="3194"/>
      <c r="I243" s="3194"/>
      <c r="J243" s="3194"/>
      <c r="K243" s="3194"/>
      <c r="L243" s="4495"/>
      <c r="M243" s="5014"/>
      <c r="N243" s="5515"/>
      <c r="O243" s="4492"/>
      <c r="P243" s="5014"/>
      <c r="Q243" s="3804"/>
      <c r="R243" s="3805">
        <f t="shared" si="196"/>
        <v>28000</v>
      </c>
      <c r="S243" s="3802">
        <f t="shared" si="197"/>
        <v>37260</v>
      </c>
      <c r="T243" s="3804">
        <f t="shared" si="198"/>
        <v>32400.000000000004</v>
      </c>
      <c r="U243" s="3803">
        <f t="shared" si="199"/>
        <v>28000</v>
      </c>
      <c r="V243" s="3802">
        <f t="shared" si="200"/>
        <v>0</v>
      </c>
      <c r="W243" s="3806">
        <f t="shared" si="201"/>
        <v>0</v>
      </c>
      <c r="X243" s="2085">
        <f t="shared" si="175"/>
        <v>125660</v>
      </c>
      <c r="Y243" s="1637"/>
      <c r="Z243" s="1637"/>
      <c r="AA243" s="1637"/>
      <c r="AB243" s="10" t="str">
        <f t="shared" si="192"/>
        <v>LGIT</v>
      </c>
      <c r="AC243" s="10" t="str">
        <f t="shared" si="202"/>
        <v>Motor CVR</v>
      </c>
    </row>
    <row r="244" spans="1:29" s="1535" customFormat="1" ht="17.25" hidden="1" customHeight="1">
      <c r="A244" s="7170"/>
      <c r="B244" s="7174"/>
      <c r="C244" s="10"/>
      <c r="D244" s="10"/>
      <c r="E244" s="4051"/>
      <c r="F244" s="10" t="s">
        <v>863</v>
      </c>
      <c r="G244" s="1552" t="s">
        <v>402</v>
      </c>
      <c r="H244" s="3194"/>
      <c r="I244" s="3194"/>
      <c r="J244" s="3194"/>
      <c r="K244" s="3194"/>
      <c r="L244" s="4492"/>
      <c r="M244" s="5014"/>
      <c r="N244" s="5507"/>
      <c r="O244" s="4492"/>
      <c r="P244" s="5014"/>
      <c r="Q244" s="3804"/>
      <c r="R244" s="3805">
        <f t="shared" si="196"/>
        <v>0</v>
      </c>
      <c r="S244" s="3802">
        <f t="shared" si="197"/>
        <v>0</v>
      </c>
      <c r="T244" s="3804">
        <f t="shared" si="198"/>
        <v>0</v>
      </c>
      <c r="U244" s="3803">
        <f t="shared" si="199"/>
        <v>0</v>
      </c>
      <c r="V244" s="3802">
        <f t="shared" si="200"/>
        <v>0</v>
      </c>
      <c r="W244" s="3806">
        <f t="shared" si="201"/>
        <v>0</v>
      </c>
      <c r="X244" s="2085">
        <f t="shared" si="175"/>
        <v>0</v>
      </c>
      <c r="Y244" s="1637"/>
      <c r="Z244" s="1637"/>
      <c r="AA244" s="1637"/>
      <c r="AB244" s="10" t="str">
        <f t="shared" si="192"/>
        <v>LGIT</v>
      </c>
      <c r="AC244" s="10" t="str">
        <f t="shared" si="202"/>
        <v>Motor CVR</v>
      </c>
    </row>
    <row r="245" spans="1:29" s="1535" customFormat="1" ht="17.25" hidden="1" customHeight="1">
      <c r="A245" s="7170"/>
      <c r="B245" s="7174"/>
      <c r="C245" s="10"/>
      <c r="D245" s="1576"/>
      <c r="E245" s="4053">
        <f>E44</f>
        <v>19</v>
      </c>
      <c r="F245" s="1576" t="s">
        <v>1277</v>
      </c>
      <c r="G245" s="1552" t="s">
        <v>402</v>
      </c>
      <c r="H245" s="3198"/>
      <c r="I245" s="3198"/>
      <c r="J245" s="3198"/>
      <c r="K245" s="3198"/>
      <c r="L245" s="4497"/>
      <c r="M245" s="5017"/>
      <c r="N245" s="5512"/>
      <c r="O245" s="4497"/>
      <c r="P245" s="5017"/>
      <c r="Q245" s="3814"/>
      <c r="R245" s="3834">
        <f t="shared" si="196"/>
        <v>0</v>
      </c>
      <c r="S245" s="3813">
        <f t="shared" si="197"/>
        <v>0</v>
      </c>
      <c r="T245" s="3814">
        <f t="shared" si="198"/>
        <v>0</v>
      </c>
      <c r="U245" s="3812">
        <f t="shared" si="199"/>
        <v>0</v>
      </c>
      <c r="V245" s="3813">
        <f t="shared" si="200"/>
        <v>0</v>
      </c>
      <c r="W245" s="3815">
        <f t="shared" si="201"/>
        <v>0</v>
      </c>
      <c r="X245" s="2085">
        <f t="shared" si="175"/>
        <v>0</v>
      </c>
      <c r="Y245" s="1637"/>
      <c r="Z245" s="1637"/>
      <c r="AA245" s="1637"/>
      <c r="AB245" s="10" t="str">
        <f t="shared" si="192"/>
        <v>LGIT</v>
      </c>
      <c r="AC245" s="1576" t="str">
        <f t="shared" si="202"/>
        <v>Motor CVR</v>
      </c>
    </row>
    <row r="246" spans="1:29" s="1535" customFormat="1" ht="17.25" customHeight="1">
      <c r="A246" s="7170"/>
      <c r="B246" s="7174"/>
      <c r="C246" s="10"/>
      <c r="D246" s="10" t="s">
        <v>889</v>
      </c>
      <c r="E246" s="4051"/>
      <c r="F246" s="10" t="s">
        <v>950</v>
      </c>
      <c r="G246" s="1552" t="s">
        <v>402</v>
      </c>
      <c r="H246" s="3194"/>
      <c r="I246" s="3194"/>
      <c r="J246" s="3194"/>
      <c r="K246" s="3194"/>
      <c r="L246" s="4492"/>
      <c r="M246" s="5014"/>
      <c r="N246" s="5507"/>
      <c r="O246" s="4492"/>
      <c r="P246" s="5014"/>
      <c r="Q246" s="3804"/>
      <c r="R246" s="3805">
        <f t="shared" ref="R246:W247" si="203">O150</f>
        <v>0</v>
      </c>
      <c r="S246" s="3802">
        <f t="shared" si="203"/>
        <v>0</v>
      </c>
      <c r="T246" s="3804">
        <f t="shared" si="203"/>
        <v>0</v>
      </c>
      <c r="U246" s="3803">
        <f t="shared" si="203"/>
        <v>0</v>
      </c>
      <c r="V246" s="3802">
        <f t="shared" si="203"/>
        <v>0</v>
      </c>
      <c r="W246" s="3806">
        <f t="shared" si="203"/>
        <v>0</v>
      </c>
      <c r="X246" s="2085">
        <f t="shared" si="175"/>
        <v>0</v>
      </c>
      <c r="Y246" s="1637"/>
      <c r="Z246" s="1637"/>
      <c r="AA246" s="1637"/>
      <c r="AB246" s="10" t="str">
        <f t="shared" si="192"/>
        <v>LGIT</v>
      </c>
      <c r="AC246" s="10" t="s">
        <v>889</v>
      </c>
    </row>
    <row r="247" spans="1:29" s="1535" customFormat="1" ht="17.25" customHeight="1">
      <c r="A247" s="7170"/>
      <c r="B247" s="7174"/>
      <c r="C247" s="10"/>
      <c r="D247" s="1576"/>
      <c r="E247" s="4053">
        <f>E47</f>
        <v>20</v>
      </c>
      <c r="F247" s="1576" t="str">
        <f>F47</f>
        <v>DCU15 Housing</v>
      </c>
      <c r="G247" s="1577" t="s">
        <v>402</v>
      </c>
      <c r="H247" s="3198"/>
      <c r="I247" s="3198"/>
      <c r="J247" s="3198"/>
      <c r="K247" s="3198"/>
      <c r="L247" s="4497"/>
      <c r="M247" s="5017"/>
      <c r="N247" s="5512"/>
      <c r="O247" s="4497"/>
      <c r="P247" s="5017"/>
      <c r="Q247" s="3814"/>
      <c r="R247" s="3834">
        <f t="shared" si="203"/>
        <v>44785</v>
      </c>
      <c r="S247" s="3813">
        <f t="shared" si="203"/>
        <v>0</v>
      </c>
      <c r="T247" s="3814">
        <f t="shared" si="203"/>
        <v>15846.999999999998</v>
      </c>
      <c r="U247" s="3812">
        <f t="shared" si="203"/>
        <v>15846.999999999998</v>
      </c>
      <c r="V247" s="3813">
        <f t="shared" si="203"/>
        <v>15846.999999999998</v>
      </c>
      <c r="W247" s="3815">
        <f t="shared" si="203"/>
        <v>15330.249999999998</v>
      </c>
      <c r="X247" s="2085">
        <f t="shared" si="175"/>
        <v>107656.25</v>
      </c>
      <c r="Y247" s="1637"/>
      <c r="Z247" s="1637"/>
      <c r="AA247" s="1637"/>
      <c r="AB247" s="10" t="str">
        <f t="shared" si="192"/>
        <v>LGIT</v>
      </c>
      <c r="AC247" s="1576" t="str">
        <f>AC246</f>
        <v>CAM HSG</v>
      </c>
    </row>
    <row r="248" spans="1:29" s="1535" customFormat="1" ht="17.25" customHeight="1">
      <c r="A248" s="7170"/>
      <c r="B248" s="7174"/>
      <c r="C248" s="10"/>
      <c r="D248" s="10" t="str">
        <f>D153</f>
        <v>CAM CVR</v>
      </c>
      <c r="E248" s="4051">
        <f>E49</f>
        <v>21</v>
      </c>
      <c r="F248" s="10" t="str">
        <f>F49</f>
        <v>DCU15 Cover</v>
      </c>
      <c r="G248" s="1552" t="s">
        <v>402</v>
      </c>
      <c r="H248" s="3194"/>
      <c r="I248" s="3194"/>
      <c r="J248" s="3194"/>
      <c r="K248" s="3194"/>
      <c r="L248" s="4492"/>
      <c r="M248" s="5014"/>
      <c r="N248" s="5507"/>
      <c r="O248" s="4492"/>
      <c r="P248" s="5014"/>
      <c r="Q248" s="3804"/>
      <c r="R248" s="3805">
        <f t="shared" ref="R248:W252" si="204">O153</f>
        <v>31525</v>
      </c>
      <c r="S248" s="3802">
        <f t="shared" si="204"/>
        <v>0</v>
      </c>
      <c r="T248" s="3804">
        <f t="shared" si="204"/>
        <v>11155</v>
      </c>
      <c r="U248" s="3803">
        <f t="shared" si="204"/>
        <v>11155</v>
      </c>
      <c r="V248" s="3802">
        <f t="shared" si="204"/>
        <v>11155</v>
      </c>
      <c r="W248" s="3806">
        <f t="shared" si="204"/>
        <v>10791.25</v>
      </c>
      <c r="X248" s="2085">
        <f t="shared" si="175"/>
        <v>75781.25</v>
      </c>
      <c r="Y248" s="1637"/>
      <c r="Z248" s="1637"/>
      <c r="AA248" s="1637"/>
      <c r="AB248" s="10" t="str">
        <f t="shared" si="192"/>
        <v>LGIT</v>
      </c>
      <c r="AC248" s="10" t="str">
        <f>AC153</f>
        <v>CAM CVR</v>
      </c>
    </row>
    <row r="249" spans="1:29" s="1535" customFormat="1" ht="17.25" customHeight="1">
      <c r="A249" s="7170"/>
      <c r="B249" s="7174"/>
      <c r="C249" s="10"/>
      <c r="D249" s="8"/>
      <c r="E249" s="2297"/>
      <c r="F249" s="10" t="s">
        <v>951</v>
      </c>
      <c r="G249" s="1552" t="s">
        <v>402</v>
      </c>
      <c r="H249" s="3194"/>
      <c r="I249" s="3194"/>
      <c r="J249" s="3194"/>
      <c r="K249" s="3194"/>
      <c r="L249" s="4492"/>
      <c r="M249" s="5014"/>
      <c r="N249" s="5507"/>
      <c r="O249" s="4492"/>
      <c r="P249" s="5014"/>
      <c r="Q249" s="3804"/>
      <c r="R249" s="3805">
        <f t="shared" si="204"/>
        <v>0</v>
      </c>
      <c r="S249" s="3802">
        <f t="shared" si="204"/>
        <v>0</v>
      </c>
      <c r="T249" s="3804">
        <f t="shared" si="204"/>
        <v>0</v>
      </c>
      <c r="U249" s="3803">
        <f t="shared" si="204"/>
        <v>0</v>
      </c>
      <c r="V249" s="3802">
        <f t="shared" si="204"/>
        <v>0</v>
      </c>
      <c r="W249" s="3806">
        <f t="shared" si="204"/>
        <v>0</v>
      </c>
      <c r="X249" s="2085">
        <f t="shared" si="175"/>
        <v>0</v>
      </c>
      <c r="Y249" s="1637"/>
      <c r="Z249" s="1637"/>
      <c r="AA249" s="1637"/>
      <c r="AB249" s="10" t="str">
        <f t="shared" si="192"/>
        <v>LGIT</v>
      </c>
      <c r="AC249" s="8" t="str">
        <f t="shared" ref="AC249:AC251" si="205">AC248</f>
        <v>CAM CVR</v>
      </c>
    </row>
    <row r="250" spans="1:29" s="1535" customFormat="1" ht="17.25" customHeight="1">
      <c r="A250" s="7170"/>
      <c r="B250" s="7174"/>
      <c r="C250" s="10"/>
      <c r="D250" s="8"/>
      <c r="E250" s="2297"/>
      <c r="F250" s="10" t="str">
        <f>F51</f>
        <v>OMS Entry Vcsel Cover(250A)</v>
      </c>
      <c r="G250" s="1552" t="s">
        <v>402</v>
      </c>
      <c r="H250" s="3194"/>
      <c r="I250" s="3194"/>
      <c r="J250" s="3194"/>
      <c r="K250" s="3194"/>
      <c r="L250" s="4492"/>
      <c r="M250" s="5014"/>
      <c r="N250" s="5507"/>
      <c r="O250" s="4492"/>
      <c r="P250" s="5014"/>
      <c r="Q250" s="3804"/>
      <c r="R250" s="3805">
        <f t="shared" si="204"/>
        <v>0</v>
      </c>
      <c r="S250" s="3802">
        <f t="shared" si="204"/>
        <v>0</v>
      </c>
      <c r="T250" s="3804">
        <f t="shared" si="204"/>
        <v>0</v>
      </c>
      <c r="U250" s="3803">
        <f t="shared" si="204"/>
        <v>0</v>
      </c>
      <c r="V250" s="3802">
        <f t="shared" si="204"/>
        <v>0</v>
      </c>
      <c r="W250" s="3806">
        <f t="shared" si="204"/>
        <v>0</v>
      </c>
      <c r="X250" s="2085">
        <f t="shared" si="175"/>
        <v>0</v>
      </c>
      <c r="Y250" s="1637"/>
      <c r="Z250" s="1637"/>
      <c r="AA250" s="1637"/>
      <c r="AB250" s="10" t="str">
        <f t="shared" si="192"/>
        <v>LGIT</v>
      </c>
      <c r="AC250" s="8" t="str">
        <f t="shared" si="205"/>
        <v>CAM CVR</v>
      </c>
    </row>
    <row r="251" spans="1:29" s="1535" customFormat="1" ht="17.25" customHeight="1">
      <c r="A251" s="7170"/>
      <c r="B251" s="7174"/>
      <c r="C251" s="10"/>
      <c r="D251" s="8"/>
      <c r="E251" s="2297"/>
      <c r="F251" s="10" t="s">
        <v>66</v>
      </c>
      <c r="G251" s="1552" t="s">
        <v>402</v>
      </c>
      <c r="H251" s="3194"/>
      <c r="I251" s="3194"/>
      <c r="J251" s="3194"/>
      <c r="K251" s="3194"/>
      <c r="L251" s="4492"/>
      <c r="M251" s="5014"/>
      <c r="N251" s="5507"/>
      <c r="O251" s="4492"/>
      <c r="P251" s="5014"/>
      <c r="Q251" s="3804"/>
      <c r="R251" s="3805">
        <f t="shared" si="204"/>
        <v>3722.0257999999994</v>
      </c>
      <c r="S251" s="3802">
        <f t="shared" si="204"/>
        <v>0</v>
      </c>
      <c r="T251" s="3804">
        <f t="shared" si="204"/>
        <v>5393.4133999999995</v>
      </c>
      <c r="U251" s="3803">
        <f t="shared" si="204"/>
        <v>0</v>
      </c>
      <c r="V251" s="3802">
        <f t="shared" si="204"/>
        <v>0</v>
      </c>
      <c r="W251" s="3806">
        <f t="shared" si="204"/>
        <v>0</v>
      </c>
      <c r="X251" s="2085">
        <f t="shared" si="175"/>
        <v>9115.4391999999989</v>
      </c>
      <c r="Y251" s="1637"/>
      <c r="Z251" s="1637"/>
      <c r="AA251" s="1637"/>
      <c r="AB251" s="10" t="str">
        <f t="shared" si="192"/>
        <v>LGIT</v>
      </c>
      <c r="AC251" s="8" t="str">
        <f t="shared" si="205"/>
        <v>CAM CVR</v>
      </c>
    </row>
    <row r="252" spans="1:29" s="1535" customFormat="1" ht="17.25" customHeight="1">
      <c r="A252" s="7170"/>
      <c r="B252" s="7174"/>
      <c r="C252" s="10"/>
      <c r="D252" s="8"/>
      <c r="E252" s="2297"/>
      <c r="F252" s="10" t="s">
        <v>68</v>
      </c>
      <c r="G252" s="1552">
        <v>1.5322899999999999</v>
      </c>
      <c r="H252" s="3194"/>
      <c r="I252" s="3194"/>
      <c r="J252" s="3194"/>
      <c r="K252" s="3194"/>
      <c r="L252" s="4492"/>
      <c r="M252" s="5014"/>
      <c r="N252" s="5507"/>
      <c r="O252" s="4492"/>
      <c r="P252" s="5014"/>
      <c r="Q252" s="3804"/>
      <c r="R252" s="3805">
        <f t="shared" si="204"/>
        <v>0</v>
      </c>
      <c r="S252" s="3802">
        <f t="shared" si="204"/>
        <v>7607.8198499999999</v>
      </c>
      <c r="T252" s="3804">
        <f t="shared" si="204"/>
        <v>7016.3559099999993</v>
      </c>
      <c r="U252" s="3803">
        <f t="shared" si="204"/>
        <v>4826.7134999999998</v>
      </c>
      <c r="V252" s="3802">
        <f t="shared" si="204"/>
        <v>0</v>
      </c>
      <c r="W252" s="3806">
        <f t="shared" si="204"/>
        <v>0</v>
      </c>
      <c r="X252" s="2085">
        <f t="shared" ref="X252" si="206">SUM(L252:W252)</f>
        <v>19450.889259999996</v>
      </c>
      <c r="Y252" s="1637"/>
      <c r="Z252" s="1637"/>
      <c r="AA252" s="1637"/>
      <c r="AB252" s="10"/>
      <c r="AC252" s="8"/>
    </row>
    <row r="253" spans="1:29" s="1535" customFormat="1" ht="17.25" customHeight="1">
      <c r="A253" s="7170"/>
      <c r="B253" s="7174"/>
      <c r="C253" s="10"/>
      <c r="D253" s="9" t="str">
        <f>D159</f>
        <v>CAM L.Mount</v>
      </c>
      <c r="E253" s="4054"/>
      <c r="F253" s="7" t="str">
        <f>F55</f>
        <v>OMS Entry Lens Holder (203A)</v>
      </c>
      <c r="G253" s="1570" t="s">
        <v>402</v>
      </c>
      <c r="H253" s="3197"/>
      <c r="I253" s="3197"/>
      <c r="J253" s="3197"/>
      <c r="K253" s="3197"/>
      <c r="L253" s="4496"/>
      <c r="M253" s="5016"/>
      <c r="N253" s="5511"/>
      <c r="O253" s="4496"/>
      <c r="P253" s="5016"/>
      <c r="Q253" s="3809"/>
      <c r="R253" s="3810">
        <f t="shared" ref="R253:W256" si="207">O159</f>
        <v>0</v>
      </c>
      <c r="S253" s="3808">
        <f t="shared" si="207"/>
        <v>0</v>
      </c>
      <c r="T253" s="3809">
        <f t="shared" si="207"/>
        <v>0</v>
      </c>
      <c r="U253" s="3807">
        <f t="shared" si="207"/>
        <v>0</v>
      </c>
      <c r="V253" s="3808">
        <f t="shared" si="207"/>
        <v>0</v>
      </c>
      <c r="W253" s="3811">
        <f t="shared" si="207"/>
        <v>0</v>
      </c>
      <c r="X253" s="2094">
        <f t="shared" si="175"/>
        <v>0</v>
      </c>
      <c r="Y253" s="1637"/>
      <c r="Z253" s="1637"/>
      <c r="AA253" s="1637"/>
      <c r="AB253" s="10" t="str">
        <f>AB251</f>
        <v>LGIT</v>
      </c>
      <c r="AC253" s="9" t="str">
        <f>AC159</f>
        <v>CAM L.Mount</v>
      </c>
    </row>
    <row r="254" spans="1:29" s="1535" customFormat="1" ht="17.25" customHeight="1">
      <c r="A254" s="7170"/>
      <c r="B254" s="7174"/>
      <c r="C254" s="10"/>
      <c r="D254" s="10"/>
      <c r="E254" s="4051"/>
      <c r="F254" s="10" t="str">
        <f>F56</f>
        <v>OMS Front Lens Holder (207A)</v>
      </c>
      <c r="G254" s="1552" t="s">
        <v>402</v>
      </c>
      <c r="H254" s="3194"/>
      <c r="I254" s="3194"/>
      <c r="J254" s="3194"/>
      <c r="K254" s="3194"/>
      <c r="L254" s="4492"/>
      <c r="M254" s="5014"/>
      <c r="N254" s="5507"/>
      <c r="O254" s="4492"/>
      <c r="P254" s="5014"/>
      <c r="Q254" s="3804"/>
      <c r="R254" s="3805">
        <f t="shared" si="207"/>
        <v>0</v>
      </c>
      <c r="S254" s="3802">
        <f t="shared" si="207"/>
        <v>46763.567999999992</v>
      </c>
      <c r="T254" s="3804">
        <f t="shared" si="207"/>
        <v>59789.530999999988</v>
      </c>
      <c r="U254" s="3803">
        <f t="shared" si="207"/>
        <v>59789.530999999988</v>
      </c>
      <c r="V254" s="3802">
        <f t="shared" si="207"/>
        <v>59789.530999999988</v>
      </c>
      <c r="W254" s="3806">
        <f t="shared" si="207"/>
        <v>59789.530999999988</v>
      </c>
      <c r="X254" s="2085">
        <f t="shared" si="175"/>
        <v>285921.69199999992</v>
      </c>
      <c r="Y254" s="1637"/>
      <c r="Z254" s="1637"/>
      <c r="AA254" s="1637"/>
      <c r="AB254" s="10" t="str">
        <f t="shared" ref="AB254:AC256" si="208">AB253</f>
        <v>LGIT</v>
      </c>
      <c r="AC254" s="10" t="str">
        <f t="shared" si="208"/>
        <v>CAM L.Mount</v>
      </c>
    </row>
    <row r="255" spans="1:29" s="1535" customFormat="1" ht="17.25" customHeight="1">
      <c r="A255" s="7170"/>
      <c r="B255" s="7174"/>
      <c r="C255" s="10"/>
      <c r="D255" s="7" t="s">
        <v>1730</v>
      </c>
      <c r="E255" s="4052">
        <f>E57</f>
        <v>22</v>
      </c>
      <c r="F255" s="7" t="str">
        <f>F57</f>
        <v>MPC5.5 Cover Lens</v>
      </c>
      <c r="G255" s="1570" t="s">
        <v>402</v>
      </c>
      <c r="H255" s="3197"/>
      <c r="I255" s="3197"/>
      <c r="J255" s="3197"/>
      <c r="K255" s="3197"/>
      <c r="L255" s="4496"/>
      <c r="M255" s="5016"/>
      <c r="N255" s="5511"/>
      <c r="O255" s="4496"/>
      <c r="P255" s="5016"/>
      <c r="Q255" s="3809"/>
      <c r="R255" s="3810">
        <f t="shared" si="207"/>
        <v>105684</v>
      </c>
      <c r="S255" s="3808">
        <f t="shared" si="207"/>
        <v>57069.36</v>
      </c>
      <c r="T255" s="3809">
        <f t="shared" si="207"/>
        <v>72965.99500000001</v>
      </c>
      <c r="U255" s="3807">
        <f t="shared" si="207"/>
        <v>72965.99500000001</v>
      </c>
      <c r="V255" s="3808">
        <f t="shared" si="207"/>
        <v>72965.99500000001</v>
      </c>
      <c r="W255" s="3811">
        <f t="shared" si="207"/>
        <v>72965.99500000001</v>
      </c>
      <c r="X255" s="2094">
        <f t="shared" si="175"/>
        <v>454617.33999999997</v>
      </c>
      <c r="Y255" s="1637"/>
      <c r="Z255" s="1637"/>
      <c r="AA255" s="1637"/>
      <c r="AB255" s="10" t="str">
        <f t="shared" si="208"/>
        <v>LGIT</v>
      </c>
      <c r="AC255" s="10" t="str">
        <f t="shared" si="208"/>
        <v>CAM L.Mount</v>
      </c>
    </row>
    <row r="256" spans="1:29" s="1535" customFormat="1" ht="17.25" customHeight="1">
      <c r="A256" s="7170"/>
      <c r="B256" s="7174"/>
      <c r="C256" s="6"/>
      <c r="D256" s="6"/>
      <c r="E256" s="4056"/>
      <c r="F256" s="6" t="s">
        <v>952</v>
      </c>
      <c r="G256" s="1547" t="s">
        <v>402</v>
      </c>
      <c r="H256" s="3193"/>
      <c r="I256" s="3193"/>
      <c r="J256" s="3193"/>
      <c r="K256" s="3193"/>
      <c r="L256" s="4493"/>
      <c r="M256" s="5018">
        <v>0</v>
      </c>
      <c r="N256" s="5513"/>
      <c r="O256" s="4493"/>
      <c r="P256" s="5018"/>
      <c r="Q256" s="3818"/>
      <c r="R256" s="3829">
        <f t="shared" si="207"/>
        <v>0</v>
      </c>
      <c r="S256" s="3817">
        <f t="shared" si="207"/>
        <v>0</v>
      </c>
      <c r="T256" s="3818">
        <f t="shared" si="207"/>
        <v>0</v>
      </c>
      <c r="U256" s="3816">
        <f t="shared" si="207"/>
        <v>0</v>
      </c>
      <c r="V256" s="3817">
        <f t="shared" si="207"/>
        <v>0</v>
      </c>
      <c r="W256" s="3819">
        <f t="shared" si="207"/>
        <v>0</v>
      </c>
      <c r="X256" s="2099">
        <f t="shared" si="175"/>
        <v>0</v>
      </c>
      <c r="Y256" s="1637"/>
      <c r="Z256" s="1637"/>
      <c r="AA256" s="1637"/>
      <c r="AB256" s="6" t="str">
        <f t="shared" si="208"/>
        <v>LGIT</v>
      </c>
      <c r="AC256" s="6" t="str">
        <f t="shared" si="208"/>
        <v>CAM L.Mount</v>
      </c>
    </row>
    <row r="257" spans="1:29" s="1535" customFormat="1" ht="17.25" customHeight="1">
      <c r="A257" s="7170"/>
      <c r="B257" s="7174"/>
      <c r="C257" s="10" t="s">
        <v>887</v>
      </c>
      <c r="D257" s="1588" t="str">
        <f>D165</f>
        <v>Motor HSG</v>
      </c>
      <c r="E257" s="4049">
        <f t="shared" ref="E257:F259" si="209">E61</f>
        <v>23</v>
      </c>
      <c r="F257" s="1588" t="str">
        <f t="shared" si="209"/>
        <v>NX4 HSG</v>
      </c>
      <c r="G257" s="1552" t="s">
        <v>836</v>
      </c>
      <c r="H257" s="3194"/>
      <c r="I257" s="3194"/>
      <c r="J257" s="3194"/>
      <c r="K257" s="3194"/>
      <c r="L257" s="4492"/>
      <c r="M257" s="5014"/>
      <c r="N257" s="5507"/>
      <c r="O257" s="4492"/>
      <c r="P257" s="5014"/>
      <c r="Q257" s="3804"/>
      <c r="R257" s="3805">
        <f t="shared" ref="R257:W262" si="210">O165</f>
        <v>161200</v>
      </c>
      <c r="S257" s="3802">
        <f t="shared" si="210"/>
        <v>0</v>
      </c>
      <c r="T257" s="3804">
        <f t="shared" si="210"/>
        <v>0</v>
      </c>
      <c r="U257" s="3803">
        <f t="shared" si="210"/>
        <v>0</v>
      </c>
      <c r="V257" s="3802">
        <f t="shared" si="210"/>
        <v>0</v>
      </c>
      <c r="W257" s="3804">
        <f t="shared" si="210"/>
        <v>187180</v>
      </c>
      <c r="X257" s="2085">
        <f t="shared" si="175"/>
        <v>348380</v>
      </c>
      <c r="Y257" s="1637"/>
      <c r="AB257" s="10" t="s">
        <v>887</v>
      </c>
      <c r="AC257" s="1588" t="str">
        <f>AC165</f>
        <v>Motor HSG</v>
      </c>
    </row>
    <row r="258" spans="1:29" s="1535" customFormat="1" ht="17.25" customHeight="1">
      <c r="A258" s="7170"/>
      <c r="B258" s="7174"/>
      <c r="C258" s="10"/>
      <c r="D258" s="1588"/>
      <c r="E258" s="4049">
        <f t="shared" si="209"/>
        <v>24</v>
      </c>
      <c r="F258" s="1588" t="str">
        <f t="shared" si="209"/>
        <v>IMEB2 Housing</v>
      </c>
      <c r="G258" s="1552" t="s">
        <v>836</v>
      </c>
      <c r="H258" s="3194"/>
      <c r="I258" s="3194"/>
      <c r="J258" s="3194"/>
      <c r="K258" s="3194"/>
      <c r="L258" s="4492"/>
      <c r="M258" s="5014"/>
      <c r="N258" s="5507"/>
      <c r="O258" s="4492"/>
      <c r="P258" s="5014"/>
      <c r="Q258" s="3804"/>
      <c r="R258" s="3805">
        <f t="shared" si="210"/>
        <v>107205.12000000002</v>
      </c>
      <c r="S258" s="3802">
        <f t="shared" si="210"/>
        <v>112976.63999999998</v>
      </c>
      <c r="T258" s="3804">
        <f t="shared" si="210"/>
        <v>117210.24000000001</v>
      </c>
      <c r="U258" s="3803">
        <f t="shared" si="210"/>
        <v>117040</v>
      </c>
      <c r="V258" s="3802">
        <f t="shared" si="210"/>
        <v>111720</v>
      </c>
      <c r="W258" s="3806">
        <f t="shared" si="210"/>
        <v>127680</v>
      </c>
      <c r="X258" s="2085">
        <f t="shared" si="175"/>
        <v>693832</v>
      </c>
      <c r="Y258" s="1637"/>
      <c r="AB258" s="10" t="str">
        <f t="shared" ref="AB258:AB270" si="211">AB257</f>
        <v>Mando</v>
      </c>
      <c r="AC258" s="1588" t="str">
        <f t="shared" ref="AC258:AC262" si="212">AC257</f>
        <v>Motor HSG</v>
      </c>
    </row>
    <row r="259" spans="1:29" s="1535" customFormat="1" ht="17.25" customHeight="1">
      <c r="A259" s="7170"/>
      <c r="B259" s="7174"/>
      <c r="C259" s="10"/>
      <c r="D259" s="1588"/>
      <c r="E259" s="4049">
        <f t="shared" si="209"/>
        <v>25</v>
      </c>
      <c r="F259" s="1588" t="str">
        <f t="shared" si="209"/>
        <v>J100 Housing</v>
      </c>
      <c r="G259" s="1552" t="s">
        <v>953</v>
      </c>
      <c r="H259" s="3194"/>
      <c r="I259" s="3194"/>
      <c r="J259" s="3194"/>
      <c r="K259" s="3194"/>
      <c r="L259" s="4492"/>
      <c r="M259" s="5014"/>
      <c r="N259" s="5507"/>
      <c r="O259" s="4492"/>
      <c r="P259" s="5014"/>
      <c r="Q259" s="3804"/>
      <c r="R259" s="3805">
        <f t="shared" si="210"/>
        <v>39564</v>
      </c>
      <c r="S259" s="3802">
        <f t="shared" si="210"/>
        <v>23625</v>
      </c>
      <c r="T259" s="3804">
        <f t="shared" si="210"/>
        <v>24570</v>
      </c>
      <c r="U259" s="3803">
        <f t="shared" si="210"/>
        <v>24570</v>
      </c>
      <c r="V259" s="3802">
        <f t="shared" si="210"/>
        <v>24570</v>
      </c>
      <c r="W259" s="3806">
        <f t="shared" si="210"/>
        <v>24570</v>
      </c>
      <c r="X259" s="2085">
        <f t="shared" ref="X259:X279" si="213">SUM(L259:W259)</f>
        <v>161469</v>
      </c>
      <c r="Y259" s="1637"/>
      <c r="AB259" s="10" t="str">
        <f t="shared" si="211"/>
        <v>Mando</v>
      </c>
      <c r="AC259" s="1588" t="str">
        <f t="shared" si="212"/>
        <v>Motor HSG</v>
      </c>
    </row>
    <row r="260" spans="1:29" s="1535" customFormat="1" ht="17.25" hidden="1" customHeight="1">
      <c r="A260" s="7170"/>
      <c r="B260" s="7174"/>
      <c r="C260" s="10"/>
      <c r="D260" s="1588"/>
      <c r="E260" s="4049"/>
      <c r="F260" s="4158" t="s">
        <v>1221</v>
      </c>
      <c r="G260" s="1552" t="s">
        <v>402</v>
      </c>
      <c r="H260" s="3194"/>
      <c r="I260" s="3194"/>
      <c r="J260" s="3194"/>
      <c r="K260" s="3194"/>
      <c r="L260" s="4492"/>
      <c r="M260" s="5014"/>
      <c r="N260" s="5507"/>
      <c r="O260" s="4492"/>
      <c r="P260" s="5014">
        <f>M168</f>
        <v>0</v>
      </c>
      <c r="Q260" s="3804"/>
      <c r="R260" s="3805">
        <f t="shared" si="210"/>
        <v>0</v>
      </c>
      <c r="S260" s="3802">
        <f t="shared" si="210"/>
        <v>0</v>
      </c>
      <c r="T260" s="3804">
        <f t="shared" si="210"/>
        <v>0</v>
      </c>
      <c r="U260" s="3803">
        <f t="shared" si="210"/>
        <v>0</v>
      </c>
      <c r="V260" s="3802">
        <f t="shared" si="210"/>
        <v>0</v>
      </c>
      <c r="W260" s="3806">
        <f t="shared" si="210"/>
        <v>0</v>
      </c>
      <c r="X260" s="2085">
        <f t="shared" si="213"/>
        <v>0</v>
      </c>
      <c r="Y260" s="1637"/>
      <c r="AB260" s="10" t="str">
        <f t="shared" si="211"/>
        <v>Mando</v>
      </c>
      <c r="AC260" s="1588" t="str">
        <f t="shared" si="212"/>
        <v>Motor HSG</v>
      </c>
    </row>
    <row r="261" spans="1:29" s="1535" customFormat="1" ht="17.25" hidden="1" customHeight="1">
      <c r="A261" s="7170"/>
      <c r="B261" s="7174"/>
      <c r="C261" s="10"/>
      <c r="D261" s="1588"/>
      <c r="E261" s="4049"/>
      <c r="F261" s="4158" t="s">
        <v>1222</v>
      </c>
      <c r="G261" s="1552" t="s">
        <v>402</v>
      </c>
      <c r="H261" s="3194"/>
      <c r="I261" s="3194"/>
      <c r="J261" s="3194"/>
      <c r="K261" s="3194"/>
      <c r="L261" s="4492"/>
      <c r="M261" s="5014"/>
      <c r="N261" s="5507"/>
      <c r="O261" s="4492"/>
      <c r="P261" s="5014">
        <f>M169</f>
        <v>0</v>
      </c>
      <c r="Q261" s="3804"/>
      <c r="R261" s="3805">
        <f t="shared" si="210"/>
        <v>0</v>
      </c>
      <c r="S261" s="3802">
        <f t="shared" si="210"/>
        <v>0</v>
      </c>
      <c r="T261" s="3804">
        <f t="shared" si="210"/>
        <v>0</v>
      </c>
      <c r="U261" s="3803">
        <f t="shared" si="210"/>
        <v>0</v>
      </c>
      <c r="V261" s="3802">
        <f t="shared" si="210"/>
        <v>0</v>
      </c>
      <c r="W261" s="3806">
        <f t="shared" si="210"/>
        <v>0</v>
      </c>
      <c r="X261" s="2085">
        <f t="shared" si="213"/>
        <v>0</v>
      </c>
      <c r="Y261" s="1637"/>
      <c r="AB261" s="10" t="str">
        <f t="shared" si="211"/>
        <v>Mando</v>
      </c>
      <c r="AC261" s="1588" t="str">
        <f t="shared" si="212"/>
        <v>Motor HSG</v>
      </c>
    </row>
    <row r="262" spans="1:29" s="1535" customFormat="1" ht="17.25" customHeight="1">
      <c r="A262" s="7170"/>
      <c r="B262" s="7174"/>
      <c r="C262" s="10"/>
      <c r="D262" s="1588"/>
      <c r="E262" s="4049"/>
      <c r="F262" s="4158" t="s">
        <v>1223</v>
      </c>
      <c r="G262" s="1552" t="s">
        <v>402</v>
      </c>
      <c r="H262" s="3194"/>
      <c r="I262" s="3194"/>
      <c r="J262" s="3194"/>
      <c r="K262" s="3194"/>
      <c r="L262" s="4492">
        <v>432673</v>
      </c>
      <c r="M262" s="5014">
        <v>496476.2</v>
      </c>
      <c r="N262" s="5507">
        <v>539385.88</v>
      </c>
      <c r="O262" s="4492">
        <v>524859</v>
      </c>
      <c r="P262" s="5014">
        <v>635318.64</v>
      </c>
      <c r="Q262" s="3804">
        <v>700000</v>
      </c>
      <c r="R262" s="3805">
        <f t="shared" si="210"/>
        <v>0</v>
      </c>
      <c r="S262" s="3802">
        <f t="shared" si="210"/>
        <v>0</v>
      </c>
      <c r="T262" s="3804">
        <f t="shared" si="210"/>
        <v>0</v>
      </c>
      <c r="U262" s="3803">
        <f t="shared" si="210"/>
        <v>0</v>
      </c>
      <c r="V262" s="3802">
        <f t="shared" si="210"/>
        <v>0</v>
      </c>
      <c r="W262" s="3806">
        <f t="shared" si="210"/>
        <v>0</v>
      </c>
      <c r="X262" s="2085">
        <f t="shared" si="213"/>
        <v>3328712.72</v>
      </c>
      <c r="Y262" s="1637"/>
      <c r="AB262" s="10" t="str">
        <f t="shared" si="211"/>
        <v>Mando</v>
      </c>
      <c r="AC262" s="1588" t="str">
        <f t="shared" si="212"/>
        <v>Motor HSG</v>
      </c>
    </row>
    <row r="263" spans="1:29" s="1535" customFormat="1" ht="17.25" customHeight="1">
      <c r="A263" s="7170"/>
      <c r="B263" s="7174"/>
      <c r="C263" s="10"/>
      <c r="D263" s="7" t="str">
        <f>D172</f>
        <v>Motor CVR</v>
      </c>
      <c r="E263" s="4052">
        <f>E68</f>
        <v>26</v>
      </c>
      <c r="F263" s="1589" t="str">
        <f>F68</f>
        <v>NX4 Cover</v>
      </c>
      <c r="G263" s="1570" t="s">
        <v>402</v>
      </c>
      <c r="H263" s="3194"/>
      <c r="I263" s="3194"/>
      <c r="J263" s="3194"/>
      <c r="K263" s="3194"/>
      <c r="L263" s="4496"/>
      <c r="M263" s="5016"/>
      <c r="N263" s="5511"/>
      <c r="O263" s="4496"/>
      <c r="P263" s="5016"/>
      <c r="Q263" s="3809"/>
      <c r="R263" s="3810">
        <f t="shared" ref="Q263:W267" si="214">O172</f>
        <v>79531</v>
      </c>
      <c r="S263" s="3808">
        <f t="shared" si="214"/>
        <v>41126.400000000001</v>
      </c>
      <c r="T263" s="3809">
        <f t="shared" si="214"/>
        <v>43243.199999999997</v>
      </c>
      <c r="U263" s="3807">
        <f t="shared" si="214"/>
        <v>45360</v>
      </c>
      <c r="V263" s="3808">
        <f t="shared" si="214"/>
        <v>22680</v>
      </c>
      <c r="W263" s="3811">
        <f t="shared" si="214"/>
        <v>22680</v>
      </c>
      <c r="X263" s="2094">
        <f t="shared" si="213"/>
        <v>254620.59999999998</v>
      </c>
      <c r="Y263" s="1637"/>
      <c r="AB263" s="10" t="str">
        <f t="shared" si="211"/>
        <v>Mando</v>
      </c>
      <c r="AC263" s="7" t="str">
        <f>AC172</f>
        <v>Motor CVR</v>
      </c>
    </row>
    <row r="264" spans="1:29" s="1535" customFormat="1" ht="17.25" customHeight="1">
      <c r="A264" s="7170"/>
      <c r="B264" s="7174"/>
      <c r="C264" s="10"/>
      <c r="D264" s="10"/>
      <c r="E264" s="4051">
        <f>E69</f>
        <v>27</v>
      </c>
      <c r="F264" s="1588" t="str">
        <f>F69</f>
        <v>Tey Gen4 Cover</v>
      </c>
      <c r="G264" s="1552" t="s">
        <v>402</v>
      </c>
      <c r="H264" s="3194"/>
      <c r="I264" s="3194"/>
      <c r="J264" s="3194"/>
      <c r="K264" s="3194"/>
      <c r="L264" s="4492"/>
      <c r="M264" s="5014"/>
      <c r="N264" s="5507"/>
      <c r="O264" s="4492"/>
      <c r="P264" s="5014"/>
      <c r="Q264" s="3804"/>
      <c r="R264" s="3805">
        <f t="shared" si="214"/>
        <v>143313.72</v>
      </c>
      <c r="S264" s="3802">
        <f t="shared" si="214"/>
        <v>146592</v>
      </c>
      <c r="T264" s="3804">
        <f t="shared" si="214"/>
        <v>163199.59999999998</v>
      </c>
      <c r="U264" s="3803">
        <f t="shared" si="214"/>
        <v>141960</v>
      </c>
      <c r="V264" s="3802">
        <f t="shared" si="214"/>
        <v>138580</v>
      </c>
      <c r="W264" s="3806">
        <f t="shared" si="214"/>
        <v>141960</v>
      </c>
      <c r="X264" s="2085">
        <f t="shared" si="213"/>
        <v>875605.32</v>
      </c>
      <c r="Y264" s="1637"/>
      <c r="AB264" s="10" t="str">
        <f t="shared" si="211"/>
        <v>Mando</v>
      </c>
      <c r="AC264" s="10" t="str">
        <f t="shared" ref="AC264:AC267" si="215">AC263</f>
        <v>Motor CVR</v>
      </c>
    </row>
    <row r="265" spans="1:29" s="1535" customFormat="1" ht="17.25" customHeight="1">
      <c r="A265" s="7170"/>
      <c r="B265" s="7174"/>
      <c r="C265" s="10"/>
      <c r="D265" s="8"/>
      <c r="E265" s="2297">
        <f>E70</f>
        <v>28</v>
      </c>
      <c r="F265" s="1623" t="s">
        <v>1224</v>
      </c>
      <c r="G265" s="1552" t="s">
        <v>402</v>
      </c>
      <c r="H265" s="3194"/>
      <c r="I265" s="3194"/>
      <c r="J265" s="3194"/>
      <c r="K265" s="3194"/>
      <c r="L265" s="4492">
        <v>0</v>
      </c>
      <c r="M265" s="5014"/>
      <c r="N265" s="5507"/>
      <c r="O265" s="4492"/>
      <c r="P265" s="5014">
        <f>M174</f>
        <v>0</v>
      </c>
      <c r="Q265" s="3804"/>
      <c r="R265" s="3805">
        <f t="shared" si="214"/>
        <v>0</v>
      </c>
      <c r="S265" s="3802">
        <f t="shared" si="214"/>
        <v>0</v>
      </c>
      <c r="T265" s="3804">
        <f t="shared" si="214"/>
        <v>0</v>
      </c>
      <c r="U265" s="3803">
        <f t="shared" si="214"/>
        <v>0</v>
      </c>
      <c r="V265" s="3802">
        <f t="shared" si="214"/>
        <v>0</v>
      </c>
      <c r="W265" s="3806">
        <f t="shared" si="214"/>
        <v>0</v>
      </c>
      <c r="X265" s="2085">
        <f t="shared" si="213"/>
        <v>0</v>
      </c>
      <c r="Y265" s="1637"/>
      <c r="AB265" s="10" t="str">
        <f t="shared" si="211"/>
        <v>Mando</v>
      </c>
      <c r="AC265" s="8" t="str">
        <f t="shared" si="215"/>
        <v>Motor CVR</v>
      </c>
    </row>
    <row r="266" spans="1:29" s="1535" customFormat="1" ht="17.25" customHeight="1">
      <c r="A266" s="7170"/>
      <c r="B266" s="7174"/>
      <c r="C266" s="10"/>
      <c r="D266" s="8"/>
      <c r="E266" s="2297">
        <f>E71</f>
        <v>29</v>
      </c>
      <c r="F266" s="1623" t="s">
        <v>1225</v>
      </c>
      <c r="G266" s="1552" t="s">
        <v>402</v>
      </c>
      <c r="H266" s="3194"/>
      <c r="I266" s="3194"/>
      <c r="J266" s="3194"/>
      <c r="K266" s="3194"/>
      <c r="L266" s="4492">
        <v>0</v>
      </c>
      <c r="M266" s="5014">
        <v>0</v>
      </c>
      <c r="N266" s="5507">
        <v>0</v>
      </c>
      <c r="O266" s="4492"/>
      <c r="P266" s="5014">
        <f>M175</f>
        <v>0</v>
      </c>
      <c r="Q266" s="3804"/>
      <c r="R266" s="3805">
        <f t="shared" si="214"/>
        <v>0</v>
      </c>
      <c r="S266" s="3802">
        <f t="shared" si="214"/>
        <v>0</v>
      </c>
      <c r="T266" s="3804">
        <f t="shared" si="214"/>
        <v>0</v>
      </c>
      <c r="U266" s="3803">
        <f t="shared" si="214"/>
        <v>0</v>
      </c>
      <c r="V266" s="3802">
        <f t="shared" si="214"/>
        <v>0</v>
      </c>
      <c r="W266" s="3806">
        <f t="shared" si="214"/>
        <v>0</v>
      </c>
      <c r="X266" s="2085">
        <f t="shared" si="213"/>
        <v>0</v>
      </c>
      <c r="Y266" s="1637"/>
      <c r="AB266" s="10" t="str">
        <f t="shared" si="211"/>
        <v>Mando</v>
      </c>
      <c r="AC266" s="8" t="str">
        <f t="shared" si="215"/>
        <v>Motor CVR</v>
      </c>
    </row>
    <row r="267" spans="1:29" s="1535" customFormat="1" ht="17.25" customHeight="1">
      <c r="A267" s="7170"/>
      <c r="B267" s="7174"/>
      <c r="C267" s="10"/>
      <c r="D267" s="8"/>
      <c r="E267" s="2297">
        <f>E72</f>
        <v>30</v>
      </c>
      <c r="F267" s="1623" t="s">
        <v>1226</v>
      </c>
      <c r="G267" s="1552" t="s">
        <v>402</v>
      </c>
      <c r="H267" s="3194"/>
      <c r="I267" s="3194"/>
      <c r="J267" s="3194"/>
      <c r="K267" s="3194"/>
      <c r="L267" s="4492">
        <v>0</v>
      </c>
      <c r="M267" s="5014">
        <v>0</v>
      </c>
      <c r="N267" s="5507">
        <v>0</v>
      </c>
      <c r="O267" s="4492"/>
      <c r="P267" s="5014">
        <f>M176</f>
        <v>0</v>
      </c>
      <c r="Q267" s="3804">
        <f t="shared" si="214"/>
        <v>0</v>
      </c>
      <c r="R267" s="3805">
        <f t="shared" si="214"/>
        <v>10389</v>
      </c>
      <c r="S267" s="3802">
        <f t="shared" si="214"/>
        <v>0</v>
      </c>
      <c r="T267" s="3804">
        <f t="shared" si="214"/>
        <v>6324.9999999999982</v>
      </c>
      <c r="U267" s="3803">
        <f t="shared" si="214"/>
        <v>7589.9999999999982</v>
      </c>
      <c r="V267" s="3802">
        <f t="shared" si="214"/>
        <v>5060</v>
      </c>
      <c r="W267" s="3806">
        <f t="shared" si="214"/>
        <v>5060</v>
      </c>
      <c r="X267" s="2085">
        <f t="shared" si="213"/>
        <v>34424</v>
      </c>
      <c r="Y267" s="1637"/>
      <c r="AB267" s="10" t="str">
        <f t="shared" si="211"/>
        <v>Mando</v>
      </c>
      <c r="AC267" s="8" t="str">
        <f t="shared" si="215"/>
        <v>Motor CVR</v>
      </c>
    </row>
    <row r="268" spans="1:29" s="1535" customFormat="1" ht="17.25" customHeight="1">
      <c r="A268" s="7170"/>
      <c r="B268" s="7174"/>
      <c r="C268" s="10"/>
      <c r="D268" s="8"/>
      <c r="E268" s="2297"/>
      <c r="F268" s="1623" t="s">
        <v>1850</v>
      </c>
      <c r="G268" s="1552">
        <v>2.63</v>
      </c>
      <c r="H268" s="3194"/>
      <c r="I268" s="3194"/>
      <c r="J268" s="3194"/>
      <c r="K268" s="3194"/>
      <c r="L268" s="4492"/>
      <c r="M268" s="5014"/>
      <c r="N268" s="5507"/>
      <c r="O268" s="4492"/>
      <c r="P268" s="5014"/>
      <c r="Q268" s="3804"/>
      <c r="R268" s="3805">
        <f t="shared" ref="R268:W268" si="216">O177</f>
        <v>0</v>
      </c>
      <c r="S268" s="3802">
        <f t="shared" si="216"/>
        <v>0</v>
      </c>
      <c r="T268" s="3804">
        <f t="shared" si="216"/>
        <v>0</v>
      </c>
      <c r="U268" s="3803">
        <f t="shared" si="216"/>
        <v>0</v>
      </c>
      <c r="V268" s="3802">
        <f t="shared" si="216"/>
        <v>0</v>
      </c>
      <c r="W268" s="3806">
        <f t="shared" si="216"/>
        <v>0</v>
      </c>
      <c r="X268" s="2085">
        <f t="shared" si="213"/>
        <v>0</v>
      </c>
      <c r="Y268" s="1637"/>
      <c r="AB268" s="10"/>
      <c r="AC268" s="8"/>
    </row>
    <row r="269" spans="1:29" s="1535" customFormat="1" ht="17.25" customHeight="1">
      <c r="A269" s="7170"/>
      <c r="B269" s="7174"/>
      <c r="C269" s="10"/>
      <c r="D269" s="8"/>
      <c r="E269" s="2297">
        <f>E74</f>
        <v>31</v>
      </c>
      <c r="F269" s="1623" t="s">
        <v>1227</v>
      </c>
      <c r="G269" s="1552" t="s">
        <v>402</v>
      </c>
      <c r="H269" s="3194"/>
      <c r="I269" s="3194"/>
      <c r="J269" s="3194"/>
      <c r="K269" s="3194"/>
      <c r="L269" s="4492">
        <v>0</v>
      </c>
      <c r="M269" s="5014">
        <v>95689.78</v>
      </c>
      <c r="N269" s="5507">
        <v>0</v>
      </c>
      <c r="O269" s="4492"/>
      <c r="P269" s="5014">
        <f t="shared" ref="P269:W269" si="217">M178</f>
        <v>0</v>
      </c>
      <c r="Q269" s="3804">
        <f t="shared" si="217"/>
        <v>0</v>
      </c>
      <c r="R269" s="3805">
        <f t="shared" si="217"/>
        <v>769.5</v>
      </c>
      <c r="S269" s="3802">
        <f t="shared" si="217"/>
        <v>0</v>
      </c>
      <c r="T269" s="3804">
        <f t="shared" si="217"/>
        <v>0</v>
      </c>
      <c r="U269" s="3803">
        <f t="shared" si="217"/>
        <v>0</v>
      </c>
      <c r="V269" s="3802">
        <f t="shared" si="217"/>
        <v>0</v>
      </c>
      <c r="W269" s="3806">
        <f t="shared" si="217"/>
        <v>0</v>
      </c>
      <c r="X269" s="2085">
        <f t="shared" si="213"/>
        <v>96459.28</v>
      </c>
      <c r="Y269" s="1637"/>
      <c r="AB269" s="10" t="str">
        <f>AB267</f>
        <v>Mando</v>
      </c>
      <c r="AC269" s="8" t="str">
        <f>AC267</f>
        <v>Motor CVR</v>
      </c>
    </row>
    <row r="270" spans="1:29" s="1535" customFormat="1" ht="17.25" customHeight="1">
      <c r="A270" s="7170"/>
      <c r="B270" s="7174"/>
      <c r="C270" s="6"/>
      <c r="D270" s="1590" t="str">
        <f>D180</f>
        <v>Heatsink</v>
      </c>
      <c r="E270" s="4055">
        <f>E76</f>
        <v>32</v>
      </c>
      <c r="F270" s="1590" t="str">
        <f>F76</f>
        <v>MAS65 Heatsink Cover</v>
      </c>
      <c r="G270" s="1591" t="s">
        <v>402</v>
      </c>
      <c r="H270" s="3200"/>
      <c r="I270" s="3200"/>
      <c r="J270" s="3200"/>
      <c r="K270" s="3200"/>
      <c r="L270" s="4498">
        <v>85244</v>
      </c>
      <c r="M270" s="5019">
        <v>37634.25</v>
      </c>
      <c r="N270" s="5514">
        <v>114638</v>
      </c>
      <c r="O270" s="4498">
        <v>37068.199999999997</v>
      </c>
      <c r="P270" s="5019">
        <v>110124</v>
      </c>
      <c r="Q270" s="3822">
        <v>37089.699999999997</v>
      </c>
      <c r="R270" s="3835">
        <f t="shared" ref="R270:W270" si="218">O180</f>
        <v>111854.44965971641</v>
      </c>
      <c r="S270" s="3821">
        <f t="shared" si="218"/>
        <v>74142.299773144288</v>
      </c>
      <c r="T270" s="3822">
        <f t="shared" si="218"/>
        <v>107020.87913683029</v>
      </c>
      <c r="U270" s="3820">
        <f t="shared" si="218"/>
        <v>110661.79564354719</v>
      </c>
      <c r="V270" s="3821">
        <f t="shared" si="218"/>
        <v>74142.299773144288</v>
      </c>
      <c r="W270" s="3823">
        <f t="shared" si="218"/>
        <v>74142.299773144288</v>
      </c>
      <c r="X270" s="3341">
        <f t="shared" si="213"/>
        <v>973762.17375952692</v>
      </c>
      <c r="Y270" s="1637"/>
      <c r="AB270" s="6" t="str">
        <f t="shared" si="211"/>
        <v>Mando</v>
      </c>
      <c r="AC270" s="1590" t="str">
        <f>AC180</f>
        <v>Heatsink</v>
      </c>
    </row>
    <row r="271" spans="1:29" s="1535" customFormat="1" ht="17.25" customHeight="1">
      <c r="A271" s="7170"/>
      <c r="B271" s="7174"/>
      <c r="C271" s="10" t="s">
        <v>22</v>
      </c>
      <c r="D271" s="1588" t="str">
        <f>D183</f>
        <v>Motor HSG</v>
      </c>
      <c r="E271" s="4049">
        <f t="shared" ref="E271:F273" si="219">E79</f>
        <v>33</v>
      </c>
      <c r="F271" s="10" t="str">
        <f t="shared" si="219"/>
        <v>FCA Housing</v>
      </c>
      <c r="G271" s="1552" t="s">
        <v>402</v>
      </c>
      <c r="H271" s="3194"/>
      <c r="I271" s="3194"/>
      <c r="J271" s="3194"/>
      <c r="K271" s="3194"/>
      <c r="L271" s="4492"/>
      <c r="M271" s="5014"/>
      <c r="N271" s="5507"/>
      <c r="O271" s="4492"/>
      <c r="P271" s="5014"/>
      <c r="Q271" s="3804"/>
      <c r="R271" s="3805">
        <f t="shared" ref="R271:W273" si="220">O183</f>
        <v>89699.98</v>
      </c>
      <c r="S271" s="3802">
        <f t="shared" si="220"/>
        <v>152978.304</v>
      </c>
      <c r="T271" s="3804">
        <f t="shared" si="220"/>
        <v>74638.607999999993</v>
      </c>
      <c r="U271" s="3803">
        <f t="shared" si="220"/>
        <v>57681.713499999998</v>
      </c>
      <c r="V271" s="3802">
        <f t="shared" si="220"/>
        <v>57681.713499999998</v>
      </c>
      <c r="W271" s="3806">
        <f t="shared" si="220"/>
        <v>57681.713499999998</v>
      </c>
      <c r="X271" s="2085">
        <f t="shared" si="213"/>
        <v>490362.03250000003</v>
      </c>
      <c r="Y271" s="1637" t="s">
        <v>1845</v>
      </c>
      <c r="AB271" s="10" t="s">
        <v>22</v>
      </c>
      <c r="AC271" s="1588" t="str">
        <f>AC183</f>
        <v>Motor HSG</v>
      </c>
    </row>
    <row r="272" spans="1:29" s="1535" customFormat="1" ht="17.25" customHeight="1">
      <c r="A272" s="7170"/>
      <c r="B272" s="7174"/>
      <c r="C272" s="10"/>
      <c r="D272" s="10"/>
      <c r="E272" s="4051">
        <f t="shared" si="219"/>
        <v>34</v>
      </c>
      <c r="F272" s="10" t="str">
        <f t="shared" si="219"/>
        <v>GM EU2L Housing</v>
      </c>
      <c r="G272" s="1552" t="s">
        <v>953</v>
      </c>
      <c r="H272" s="3194"/>
      <c r="I272" s="3194"/>
      <c r="J272" s="3194"/>
      <c r="K272" s="3194"/>
      <c r="L272" s="4492"/>
      <c r="M272" s="5014"/>
      <c r="N272" s="5507"/>
      <c r="O272" s="4492"/>
      <c r="P272" s="5014"/>
      <c r="Q272" s="3804"/>
      <c r="R272" s="3805">
        <f t="shared" si="220"/>
        <v>10619.277333543654</v>
      </c>
      <c r="S272" s="3802">
        <f t="shared" si="220"/>
        <v>105785.37337698667</v>
      </c>
      <c r="T272" s="3804">
        <f t="shared" si="220"/>
        <v>42283.584754477408</v>
      </c>
      <c r="U272" s="3803">
        <f t="shared" si="220"/>
        <v>70406.965133152073</v>
      </c>
      <c r="V272" s="3802">
        <f t="shared" si="220"/>
        <v>49265.172755913372</v>
      </c>
      <c r="W272" s="3806">
        <f t="shared" si="220"/>
        <v>47645.44433958023</v>
      </c>
      <c r="X272" s="2085">
        <f t="shared" si="213"/>
        <v>326005.8176936534</v>
      </c>
      <c r="Y272" s="1637" t="s">
        <v>1845</v>
      </c>
      <c r="AB272" s="10" t="str">
        <f t="shared" ref="AB272:AB282" si="221">AB271</f>
        <v>ZF TRW</v>
      </c>
      <c r="AC272" s="10" t="str">
        <f t="shared" ref="AC272:AC273" si="222">AC271</f>
        <v>Motor HSG</v>
      </c>
    </row>
    <row r="273" spans="1:29" s="1535" customFormat="1" ht="17.25" customHeight="1">
      <c r="A273" s="7170"/>
      <c r="B273" s="7174"/>
      <c r="C273" s="10"/>
      <c r="D273" s="10"/>
      <c r="E273" s="4051">
        <f t="shared" si="219"/>
        <v>35</v>
      </c>
      <c r="F273" s="10" t="str">
        <f t="shared" si="219"/>
        <v>GM ACP Housing</v>
      </c>
      <c r="G273" s="1552" t="s">
        <v>953</v>
      </c>
      <c r="H273" s="3194"/>
      <c r="I273" s="3194"/>
      <c r="J273" s="3194"/>
      <c r="K273" s="3194"/>
      <c r="L273" s="4492"/>
      <c r="M273" s="5014"/>
      <c r="N273" s="5507"/>
      <c r="O273" s="4492"/>
      <c r="P273" s="5014"/>
      <c r="Q273" s="3804"/>
      <c r="R273" s="3805">
        <f t="shared" si="220"/>
        <v>33104.531481547252</v>
      </c>
      <c r="S273" s="3802">
        <f t="shared" si="220"/>
        <v>65556.792856898799</v>
      </c>
      <c r="T273" s="3804">
        <f t="shared" si="220"/>
        <v>84360.842939171242</v>
      </c>
      <c r="U273" s="3803">
        <f t="shared" si="220"/>
        <v>180093.62890876204</v>
      </c>
      <c r="V273" s="3802">
        <f t="shared" si="220"/>
        <v>142609.78895083201</v>
      </c>
      <c r="W273" s="3806">
        <f t="shared" si="220"/>
        <v>212838.83282557517</v>
      </c>
      <c r="X273" s="2085">
        <f t="shared" si="213"/>
        <v>718564.41796278651</v>
      </c>
      <c r="Y273" s="1637" t="s">
        <v>1844</v>
      </c>
      <c r="AB273" s="10" t="str">
        <f t="shared" si="221"/>
        <v>ZF TRW</v>
      </c>
      <c r="AC273" s="10" t="str">
        <f t="shared" si="222"/>
        <v>Motor HSG</v>
      </c>
    </row>
    <row r="274" spans="1:29" s="1569" customFormat="1" ht="17.25" customHeight="1">
      <c r="A274" s="7170"/>
      <c r="B274" s="7174"/>
      <c r="C274" s="10"/>
      <c r="D274" s="7" t="str">
        <f>D187</f>
        <v>Motor CVR</v>
      </c>
      <c r="E274" s="4052">
        <f t="shared" ref="E274:F276" si="223">E83</f>
        <v>36</v>
      </c>
      <c r="F274" s="7" t="str">
        <f t="shared" si="223"/>
        <v>FCA Cover</v>
      </c>
      <c r="G274" s="1570" t="s">
        <v>953</v>
      </c>
      <c r="H274" s="3197"/>
      <c r="I274" s="3197"/>
      <c r="J274" s="3197"/>
      <c r="K274" s="3197"/>
      <c r="L274" s="4496"/>
      <c r="M274" s="5016"/>
      <c r="N274" s="5511"/>
      <c r="O274" s="4496"/>
      <c r="P274" s="5016"/>
      <c r="Q274" s="3809"/>
      <c r="R274" s="3810">
        <f t="shared" ref="R274:W276" si="224">O187</f>
        <v>51041.372000000003</v>
      </c>
      <c r="S274" s="3808">
        <f t="shared" si="224"/>
        <v>109276.8</v>
      </c>
      <c r="T274" s="3809">
        <f t="shared" si="224"/>
        <v>66112.464000000007</v>
      </c>
      <c r="U274" s="3807">
        <f t="shared" si="224"/>
        <v>51092.595500000003</v>
      </c>
      <c r="V274" s="3808">
        <f t="shared" si="224"/>
        <v>51092.595500000003</v>
      </c>
      <c r="W274" s="3809">
        <f t="shared" si="224"/>
        <v>51092.595500000003</v>
      </c>
      <c r="X274" s="2094">
        <f t="shared" si="213"/>
        <v>379708.42250000004</v>
      </c>
      <c r="Y274" s="1637" t="s">
        <v>1846</v>
      </c>
      <c r="AB274" s="10" t="str">
        <f t="shared" si="221"/>
        <v>ZF TRW</v>
      </c>
      <c r="AC274" s="7" t="str">
        <f>AC187</f>
        <v>Motor CVR</v>
      </c>
    </row>
    <row r="275" spans="1:29" s="1569" customFormat="1" ht="17.25" customHeight="1">
      <c r="A275" s="7170"/>
      <c r="B275" s="7174"/>
      <c r="C275" s="10"/>
      <c r="D275" s="10"/>
      <c r="E275" s="4051">
        <f t="shared" si="223"/>
        <v>37</v>
      </c>
      <c r="F275" s="10" t="str">
        <f t="shared" si="223"/>
        <v>GM EU2L Cover</v>
      </c>
      <c r="G275" s="1552" t="s">
        <v>953</v>
      </c>
      <c r="H275" s="3194"/>
      <c r="I275" s="3194"/>
      <c r="J275" s="3194"/>
      <c r="K275" s="3194"/>
      <c r="L275" s="4492"/>
      <c r="M275" s="5014"/>
      <c r="N275" s="5507"/>
      <c r="O275" s="4492"/>
      <c r="P275" s="5014"/>
      <c r="Q275" s="3804"/>
      <c r="R275" s="3805">
        <f t="shared" si="224"/>
        <v>9445.0182687424913</v>
      </c>
      <c r="S275" s="3802">
        <f t="shared" si="224"/>
        <v>91584.274981703304</v>
      </c>
      <c r="T275" s="3804">
        <f t="shared" si="224"/>
        <v>66221.855589461411</v>
      </c>
      <c r="U275" s="3803">
        <f t="shared" si="224"/>
        <v>72485.929856247618</v>
      </c>
      <c r="V275" s="3802">
        <f t="shared" si="224"/>
        <v>72485.929856247618</v>
      </c>
      <c r="W275" s="3804">
        <f t="shared" si="224"/>
        <v>71032.664626353202</v>
      </c>
      <c r="X275" s="2085">
        <f t="shared" si="213"/>
        <v>383255.67317875562</v>
      </c>
      <c r="Y275" s="1637" t="s">
        <v>1845</v>
      </c>
      <c r="AB275" s="10" t="str">
        <f t="shared" si="221"/>
        <v>ZF TRW</v>
      </c>
      <c r="AC275" s="10" t="str">
        <f t="shared" ref="AC275:AC276" si="225">AC274</f>
        <v>Motor CVR</v>
      </c>
    </row>
    <row r="276" spans="1:29" s="1569" customFormat="1" ht="17.25" customHeight="1">
      <c r="A276" s="7170"/>
      <c r="B276" s="7174"/>
      <c r="C276" s="10"/>
      <c r="D276" s="1576"/>
      <c r="E276" s="4053">
        <f t="shared" si="223"/>
        <v>38</v>
      </c>
      <c r="F276" s="1576" t="str">
        <f t="shared" si="223"/>
        <v>GM ACP Cover</v>
      </c>
      <c r="G276" s="1577" t="s">
        <v>953</v>
      </c>
      <c r="H276" s="3198"/>
      <c r="I276" s="3198"/>
      <c r="J276" s="3198"/>
      <c r="K276" s="3198"/>
      <c r="L276" s="4497">
        <v>680190</v>
      </c>
      <c r="M276" s="5017">
        <v>713963</v>
      </c>
      <c r="N276" s="5512">
        <v>770941</v>
      </c>
      <c r="O276" s="4497">
        <v>728641</v>
      </c>
      <c r="P276" s="5017">
        <v>479442</v>
      </c>
      <c r="Q276" s="3814">
        <v>675813</v>
      </c>
      <c r="R276" s="3834">
        <f t="shared" si="224"/>
        <v>23772.45444380854</v>
      </c>
      <c r="S276" s="3813">
        <f t="shared" si="224"/>
        <v>43871.224828815532</v>
      </c>
      <c r="T276" s="3814">
        <f t="shared" si="224"/>
        <v>57566.447877308841</v>
      </c>
      <c r="U276" s="3812">
        <f t="shared" si="224"/>
        <v>121112.17840655243</v>
      </c>
      <c r="V276" s="3813">
        <f t="shared" si="224"/>
        <v>96398.565480114514</v>
      </c>
      <c r="W276" s="3814">
        <f t="shared" si="224"/>
        <v>142129.59800291376</v>
      </c>
      <c r="X276" s="2097">
        <f t="shared" si="213"/>
        <v>4533840.4690395137</v>
      </c>
      <c r="Y276" s="1637" t="s">
        <v>1845</v>
      </c>
      <c r="AB276" s="10" t="str">
        <f t="shared" si="221"/>
        <v>ZF TRW</v>
      </c>
      <c r="AC276" s="1576" t="str">
        <f t="shared" si="225"/>
        <v>Motor CVR</v>
      </c>
    </row>
    <row r="277" spans="1:29" s="1569" customFormat="1" ht="17.25" customHeight="1">
      <c r="A277" s="7170"/>
      <c r="B277" s="7174"/>
      <c r="C277" s="10"/>
      <c r="D277" s="10" t="str">
        <f>D191</f>
        <v>CAM L.Mount</v>
      </c>
      <c r="E277" s="4051">
        <f t="shared" ref="E277:F279" si="226">E87</f>
        <v>39</v>
      </c>
      <c r="F277" s="1588" t="str">
        <f t="shared" si="226"/>
        <v>Lens Mount</v>
      </c>
      <c r="G277" s="1552" t="s">
        <v>402</v>
      </c>
      <c r="H277" s="3194"/>
      <c r="I277" s="3194"/>
      <c r="J277" s="3194"/>
      <c r="K277" s="3194"/>
      <c r="L277" s="4492"/>
      <c r="M277" s="5014"/>
      <c r="N277" s="5507"/>
      <c r="O277" s="4492"/>
      <c r="P277" s="5014"/>
      <c r="Q277" s="3804"/>
      <c r="R277" s="3805">
        <f t="shared" ref="Q277:W282" si="227">O191</f>
        <v>82429.705600000001</v>
      </c>
      <c r="S277" s="3802">
        <f t="shared" si="227"/>
        <v>155514.23999999999</v>
      </c>
      <c r="T277" s="3804">
        <f t="shared" si="227"/>
        <v>81248.025599999994</v>
      </c>
      <c r="U277" s="3803">
        <f t="shared" si="227"/>
        <v>127052.74723333333</v>
      </c>
      <c r="V277" s="3802">
        <f t="shared" si="227"/>
        <v>129947.74723333333</v>
      </c>
      <c r="W277" s="3804">
        <f t="shared" si="227"/>
        <v>128194.08323333332</v>
      </c>
      <c r="X277" s="2085">
        <f t="shared" si="213"/>
        <v>704386.54889999994</v>
      </c>
      <c r="Y277" s="1637"/>
      <c r="AB277" s="10" t="str">
        <f t="shared" si="221"/>
        <v>ZF TRW</v>
      </c>
      <c r="AC277" s="10" t="str">
        <f>AC191</f>
        <v>CAM L.Mount</v>
      </c>
    </row>
    <row r="278" spans="1:29" s="1535" customFormat="1" ht="17.25" customHeight="1">
      <c r="A278" s="7170"/>
      <c r="B278" s="7174"/>
      <c r="C278" s="10"/>
      <c r="D278" s="7" t="str">
        <f>D192</f>
        <v>Heatsink</v>
      </c>
      <c r="E278" s="4052">
        <f t="shared" si="226"/>
        <v>40</v>
      </c>
      <c r="F278" s="7" t="str">
        <f t="shared" si="226"/>
        <v>IPM 1.0 Housing</v>
      </c>
      <c r="G278" s="1570" t="s">
        <v>402</v>
      </c>
      <c r="H278" s="3197"/>
      <c r="I278" s="3197"/>
      <c r="J278" s="3197"/>
      <c r="K278" s="3197"/>
      <c r="L278" s="4496"/>
      <c r="M278" s="5016"/>
      <c r="N278" s="5511"/>
      <c r="O278" s="4496"/>
      <c r="P278" s="5016"/>
      <c r="Q278" s="3809"/>
      <c r="R278" s="3810">
        <f t="shared" si="227"/>
        <v>58694.803199999995</v>
      </c>
      <c r="S278" s="3808">
        <f t="shared" si="227"/>
        <v>52173.1584</v>
      </c>
      <c r="T278" s="3809">
        <f t="shared" si="227"/>
        <v>63042.566400000003</v>
      </c>
      <c r="U278" s="3807">
        <f t="shared" si="227"/>
        <v>52716.628799999999</v>
      </c>
      <c r="V278" s="3808">
        <f t="shared" si="227"/>
        <v>52716.628799999999</v>
      </c>
      <c r="W278" s="3809">
        <f t="shared" si="227"/>
        <v>52716.628799999999</v>
      </c>
      <c r="X278" s="2094">
        <f t="shared" si="213"/>
        <v>332060.41440000001</v>
      </c>
      <c r="Y278" s="1637"/>
      <c r="AB278" s="10" t="str">
        <f t="shared" si="221"/>
        <v>ZF TRW</v>
      </c>
      <c r="AC278" s="7" t="str">
        <f>AC192</f>
        <v>Heatsink</v>
      </c>
    </row>
    <row r="279" spans="1:29" s="1569" customFormat="1" ht="17.25" customHeight="1">
      <c r="A279" s="7170"/>
      <c r="B279" s="7174"/>
      <c r="C279" s="10"/>
      <c r="D279" s="1576"/>
      <c r="E279" s="4053">
        <f t="shared" si="226"/>
        <v>41</v>
      </c>
      <c r="F279" s="1576" t="str">
        <f t="shared" si="226"/>
        <v>IPM 2.0  Base Housing</v>
      </c>
      <c r="G279" s="1577" t="s">
        <v>402</v>
      </c>
      <c r="H279" s="3198"/>
      <c r="I279" s="3198"/>
      <c r="J279" s="3198"/>
      <c r="K279" s="3198"/>
      <c r="L279" s="4497"/>
      <c r="M279" s="5017"/>
      <c r="N279" s="5512"/>
      <c r="O279" s="4497"/>
      <c r="P279" s="5017"/>
      <c r="Q279" s="3814"/>
      <c r="R279" s="3834">
        <f t="shared" si="227"/>
        <v>25925.927200000002</v>
      </c>
      <c r="S279" s="3813">
        <f t="shared" si="227"/>
        <v>33821.020799999998</v>
      </c>
      <c r="T279" s="3814">
        <f t="shared" si="227"/>
        <v>26305.238400000002</v>
      </c>
      <c r="U279" s="3812">
        <f t="shared" si="227"/>
        <v>37578.912000000004</v>
      </c>
      <c r="V279" s="3813">
        <f t="shared" si="227"/>
        <v>30063.1296</v>
      </c>
      <c r="W279" s="3814">
        <f t="shared" si="227"/>
        <v>30063.1296</v>
      </c>
      <c r="X279" s="2097">
        <f t="shared" si="213"/>
        <v>183757.35759999999</v>
      </c>
      <c r="Y279" s="1637"/>
      <c r="AB279" s="10" t="str">
        <f t="shared" si="221"/>
        <v>ZF TRW</v>
      </c>
      <c r="AC279" s="1576" t="str">
        <f t="shared" ref="AC279:AC282" si="228">AC278</f>
        <v>Heatsink</v>
      </c>
    </row>
    <row r="280" spans="1:29" s="1569" customFormat="1" ht="17.25" hidden="1" customHeight="1">
      <c r="A280" s="7170"/>
      <c r="B280" s="7174"/>
      <c r="C280" s="10"/>
      <c r="D280" s="10"/>
      <c r="E280" s="4057"/>
      <c r="F280" s="10" t="s">
        <v>1228</v>
      </c>
      <c r="G280" s="1552" t="s">
        <v>402</v>
      </c>
      <c r="H280" s="3194"/>
      <c r="I280" s="3194"/>
      <c r="J280" s="3194"/>
      <c r="K280" s="3194"/>
      <c r="L280" s="4492">
        <f t="shared" ref="L280:O280" si="229">I194</f>
        <v>0</v>
      </c>
      <c r="M280" s="5014">
        <f t="shared" si="229"/>
        <v>0</v>
      </c>
      <c r="N280" s="5507">
        <f t="shared" si="229"/>
        <v>0</v>
      </c>
      <c r="O280" s="4492">
        <f t="shared" si="229"/>
        <v>0</v>
      </c>
      <c r="P280" s="5014">
        <f>M194</f>
        <v>0</v>
      </c>
      <c r="Q280" s="3804">
        <f t="shared" si="227"/>
        <v>0</v>
      </c>
      <c r="R280" s="3805">
        <f t="shared" si="227"/>
        <v>0</v>
      </c>
      <c r="S280" s="3802">
        <f t="shared" si="227"/>
        <v>0</v>
      </c>
      <c r="T280" s="3804">
        <f t="shared" si="227"/>
        <v>0</v>
      </c>
      <c r="U280" s="3803">
        <f t="shared" si="227"/>
        <v>0</v>
      </c>
      <c r="V280" s="3802">
        <f t="shared" si="227"/>
        <v>0</v>
      </c>
      <c r="W280" s="3806">
        <f t="shared" si="227"/>
        <v>0</v>
      </c>
      <c r="X280" s="2085">
        <f t="shared" ref="X280:X285" si="230">SUM(L280:W280)</f>
        <v>0</v>
      </c>
      <c r="Y280" s="1637"/>
      <c r="AB280" s="10" t="str">
        <f t="shared" si="221"/>
        <v>ZF TRW</v>
      </c>
      <c r="AC280" s="10" t="str">
        <f t="shared" si="228"/>
        <v>Heatsink</v>
      </c>
    </row>
    <row r="281" spans="1:29" s="1569" customFormat="1" ht="17.25" hidden="1" customHeight="1">
      <c r="A281" s="7170"/>
      <c r="B281" s="7174"/>
      <c r="C281" s="10"/>
      <c r="D281" s="10"/>
      <c r="E281" s="4057"/>
      <c r="F281" s="10" t="s">
        <v>1229</v>
      </c>
      <c r="G281" s="1552" t="s">
        <v>402</v>
      </c>
      <c r="H281" s="3194"/>
      <c r="I281" s="3194"/>
      <c r="J281" s="3194"/>
      <c r="K281" s="3194"/>
      <c r="L281" s="4492">
        <f t="shared" ref="L281:O281" si="231">I195</f>
        <v>0</v>
      </c>
      <c r="M281" s="5014">
        <f t="shared" si="231"/>
        <v>0</v>
      </c>
      <c r="N281" s="5507">
        <f t="shared" si="231"/>
        <v>0</v>
      </c>
      <c r="O281" s="4492">
        <f t="shared" si="231"/>
        <v>0</v>
      </c>
      <c r="P281" s="5014">
        <f>M195</f>
        <v>0</v>
      </c>
      <c r="Q281" s="3804">
        <f t="shared" si="227"/>
        <v>0</v>
      </c>
      <c r="R281" s="3805">
        <f t="shared" si="227"/>
        <v>0</v>
      </c>
      <c r="S281" s="3802">
        <f t="shared" si="227"/>
        <v>0</v>
      </c>
      <c r="T281" s="3804">
        <f t="shared" si="227"/>
        <v>0</v>
      </c>
      <c r="U281" s="3803">
        <f t="shared" si="227"/>
        <v>0</v>
      </c>
      <c r="V281" s="3802">
        <f t="shared" si="227"/>
        <v>0</v>
      </c>
      <c r="W281" s="3806">
        <f t="shared" si="227"/>
        <v>0</v>
      </c>
      <c r="X281" s="2085">
        <f t="shared" si="230"/>
        <v>0</v>
      </c>
      <c r="Y281" s="1637"/>
      <c r="AB281" s="10" t="str">
        <f t="shared" si="221"/>
        <v>ZF TRW</v>
      </c>
      <c r="AC281" s="10" t="str">
        <f t="shared" si="228"/>
        <v>Heatsink</v>
      </c>
    </row>
    <row r="282" spans="1:29" s="1569" customFormat="1" ht="17.25" hidden="1" customHeight="1">
      <c r="A282" s="7170"/>
      <c r="B282" s="7174"/>
      <c r="C282" s="10"/>
      <c r="D282" s="10"/>
      <c r="E282" s="4057"/>
      <c r="F282" s="10" t="s">
        <v>1230</v>
      </c>
      <c r="G282" s="1552" t="s">
        <v>402</v>
      </c>
      <c r="H282" s="3194"/>
      <c r="I282" s="3194"/>
      <c r="J282" s="3194"/>
      <c r="K282" s="3194"/>
      <c r="L282" s="4492">
        <f t="shared" ref="L282:O282" si="232">I196</f>
        <v>0</v>
      </c>
      <c r="M282" s="5014">
        <f t="shared" si="232"/>
        <v>0</v>
      </c>
      <c r="N282" s="5507">
        <f t="shared" si="232"/>
        <v>0</v>
      </c>
      <c r="O282" s="4492">
        <f t="shared" si="232"/>
        <v>0</v>
      </c>
      <c r="P282" s="5014">
        <f>M196</f>
        <v>0</v>
      </c>
      <c r="Q282" s="3804">
        <f t="shared" si="227"/>
        <v>0</v>
      </c>
      <c r="R282" s="3805">
        <f t="shared" si="227"/>
        <v>0</v>
      </c>
      <c r="S282" s="3802">
        <f t="shared" si="227"/>
        <v>0</v>
      </c>
      <c r="T282" s="3804">
        <f t="shared" si="227"/>
        <v>0</v>
      </c>
      <c r="U282" s="3803">
        <f t="shared" si="227"/>
        <v>0</v>
      </c>
      <c r="V282" s="3802">
        <f t="shared" si="227"/>
        <v>0</v>
      </c>
      <c r="W282" s="3806">
        <f t="shared" si="227"/>
        <v>0</v>
      </c>
      <c r="X282" s="2085">
        <f t="shared" si="230"/>
        <v>0</v>
      </c>
      <c r="Y282" s="1637"/>
      <c r="AB282" s="10" t="str">
        <f t="shared" si="221"/>
        <v>ZF TRW</v>
      </c>
      <c r="AC282" s="10" t="str">
        <f t="shared" si="228"/>
        <v>Heatsink</v>
      </c>
    </row>
    <row r="283" spans="1:29" s="1569" customFormat="1" ht="17.25" customHeight="1">
      <c r="A283" s="7170"/>
      <c r="B283" s="7174"/>
      <c r="C283" s="3507" t="s">
        <v>1262</v>
      </c>
      <c r="D283" s="3507"/>
      <c r="E283" s="6267"/>
      <c r="F283" s="3507" t="str">
        <f>F199</f>
        <v>Glass Frame (ZF60A-T5)</v>
      </c>
      <c r="G283" s="6268" t="s">
        <v>1380</v>
      </c>
      <c r="H283" s="3509"/>
      <c r="I283" s="3509"/>
      <c r="J283" s="3509"/>
      <c r="K283" s="3509"/>
      <c r="L283" s="4499">
        <f t="shared" ref="L283:N283" si="233">K199</f>
        <v>0</v>
      </c>
      <c r="M283" s="5020">
        <f t="shared" si="233"/>
        <v>0</v>
      </c>
      <c r="N283" s="6269">
        <f t="shared" si="233"/>
        <v>1554</v>
      </c>
      <c r="O283" s="4499">
        <f t="shared" ref="O283:W283" si="234">N199</f>
        <v>0</v>
      </c>
      <c r="P283" s="5020">
        <f t="shared" si="234"/>
        <v>19447.599999999999</v>
      </c>
      <c r="Q283" s="3827">
        <f t="shared" si="234"/>
        <v>3207</v>
      </c>
      <c r="R283" s="3828">
        <f t="shared" si="234"/>
        <v>0</v>
      </c>
      <c r="S283" s="3825">
        <f t="shared" si="234"/>
        <v>0</v>
      </c>
      <c r="T283" s="3827">
        <f t="shared" si="234"/>
        <v>16500</v>
      </c>
      <c r="U283" s="3824">
        <f t="shared" si="234"/>
        <v>24750</v>
      </c>
      <c r="V283" s="3825">
        <f t="shared" si="234"/>
        <v>16500</v>
      </c>
      <c r="W283" s="3826">
        <f t="shared" si="234"/>
        <v>16500</v>
      </c>
      <c r="X283" s="2089">
        <f t="shared" si="230"/>
        <v>98458.6</v>
      </c>
      <c r="Y283" s="1637"/>
      <c r="AB283" s="3507" t="s">
        <v>1262</v>
      </c>
      <c r="AC283" s="3507" t="s">
        <v>1514</v>
      </c>
    </row>
    <row r="284" spans="1:29" s="1569" customFormat="1" ht="17.25" customHeight="1">
      <c r="A284" s="7170"/>
      <c r="B284" s="7174"/>
      <c r="C284" s="10"/>
      <c r="D284" s="10"/>
      <c r="E284" s="4057"/>
      <c r="F284" s="10" t="str">
        <f>F200</f>
        <v>Body Compute enclosure (AL6061-T6)</v>
      </c>
      <c r="G284" s="1617" t="s">
        <v>1380</v>
      </c>
      <c r="H284" s="3194"/>
      <c r="I284" s="3194"/>
      <c r="J284" s="3194"/>
      <c r="K284" s="3194"/>
      <c r="L284" s="4492">
        <f t="shared" ref="L284:N284" si="235">K200</f>
        <v>0</v>
      </c>
      <c r="M284" s="5014">
        <f t="shared" si="235"/>
        <v>0</v>
      </c>
      <c r="N284" s="5507">
        <f t="shared" si="235"/>
        <v>1653</v>
      </c>
      <c r="O284" s="4492">
        <f t="shared" ref="O284:W284" si="236">N200</f>
        <v>14387</v>
      </c>
      <c r="P284" s="5014">
        <f t="shared" si="236"/>
        <v>0</v>
      </c>
      <c r="Q284" s="3804">
        <f t="shared" si="236"/>
        <v>0</v>
      </c>
      <c r="R284" s="3805">
        <f t="shared" si="236"/>
        <v>0</v>
      </c>
      <c r="S284" s="3802">
        <f t="shared" si="236"/>
        <v>0</v>
      </c>
      <c r="T284" s="3804">
        <f t="shared" si="236"/>
        <v>0</v>
      </c>
      <c r="U284" s="3803">
        <f t="shared" si="236"/>
        <v>0</v>
      </c>
      <c r="V284" s="3802">
        <f t="shared" si="236"/>
        <v>0</v>
      </c>
      <c r="W284" s="3806">
        <f t="shared" si="236"/>
        <v>0</v>
      </c>
      <c r="X284" s="2085">
        <f t="shared" si="230"/>
        <v>16040</v>
      </c>
      <c r="Y284" s="1637"/>
      <c r="AB284" s="10" t="e">
        <f>#REF!</f>
        <v>#REF!</v>
      </c>
      <c r="AC284" s="10" t="e">
        <f>#REF!</f>
        <v>#REF!</v>
      </c>
    </row>
    <row r="285" spans="1:29" s="1569" customFormat="1" ht="17.25" customHeight="1">
      <c r="A285" s="7170"/>
      <c r="B285" s="7174"/>
      <c r="C285" s="10"/>
      <c r="D285" s="10"/>
      <c r="E285" s="4057"/>
      <c r="F285" s="10" t="str">
        <f>F201</f>
        <v>Others Part</v>
      </c>
      <c r="G285" s="1617" t="s">
        <v>1380</v>
      </c>
      <c r="H285" s="3194"/>
      <c r="I285" s="3194"/>
      <c r="J285" s="3194"/>
      <c r="K285" s="3194"/>
      <c r="L285" s="4492">
        <f t="shared" ref="L285:M285" si="237">K201</f>
        <v>0</v>
      </c>
      <c r="M285" s="5014">
        <f t="shared" si="237"/>
        <v>0</v>
      </c>
      <c r="N285" s="5507">
        <f t="shared" ref="N285:W285" si="238">M201</f>
        <v>153.87000000000003</v>
      </c>
      <c r="O285" s="4492">
        <f t="shared" si="238"/>
        <v>5910.28</v>
      </c>
      <c r="P285" s="5014">
        <f t="shared" si="238"/>
        <v>5687.71</v>
      </c>
      <c r="Q285" s="3804">
        <f t="shared" si="238"/>
        <v>5035.8</v>
      </c>
      <c r="R285" s="3805">
        <f t="shared" si="238"/>
        <v>831.6</v>
      </c>
      <c r="S285" s="3802">
        <f t="shared" si="238"/>
        <v>0</v>
      </c>
      <c r="T285" s="3804">
        <f t="shared" si="238"/>
        <v>5700</v>
      </c>
      <c r="U285" s="3803">
        <f t="shared" si="238"/>
        <v>5700</v>
      </c>
      <c r="V285" s="3802">
        <f t="shared" si="238"/>
        <v>5700</v>
      </c>
      <c r="W285" s="3806">
        <f t="shared" si="238"/>
        <v>5700</v>
      </c>
      <c r="X285" s="2085">
        <f t="shared" si="230"/>
        <v>40419.259999999995</v>
      </c>
      <c r="Y285" s="1637"/>
      <c r="AB285" s="10"/>
      <c r="AC285" s="10"/>
    </row>
    <row r="286" spans="1:29" s="1535" customFormat="1" ht="17.25" customHeight="1">
      <c r="A286" s="7171"/>
      <c r="B286" s="7180"/>
      <c r="C286" s="7176" t="s">
        <v>43</v>
      </c>
      <c r="D286" s="7176"/>
      <c r="E286" s="7176"/>
      <c r="F286" s="7177"/>
      <c r="G286" s="1624"/>
      <c r="H286" s="2400"/>
      <c r="I286" s="2400"/>
      <c r="J286" s="2400"/>
      <c r="K286" s="2400"/>
      <c r="L286" s="4494">
        <f t="shared" ref="L286:M286" si="239">SUM(L225:L285)</f>
        <v>1926299</v>
      </c>
      <c r="M286" s="5022">
        <f t="shared" si="239"/>
        <v>2123970.23</v>
      </c>
      <c r="N286" s="5510">
        <f>SUM(N225:N282)</f>
        <v>1994373.88</v>
      </c>
      <c r="O286" s="4494">
        <f>SUM(O225:O282)</f>
        <v>2053325.2</v>
      </c>
      <c r="P286" s="5022">
        <f>SUM(P225:P282)</f>
        <v>2211933.64</v>
      </c>
      <c r="Q286" s="1733">
        <f t="shared" ref="Q286:X286" si="240">SUM(Q225:Q282)</f>
        <v>2281273.7000000002</v>
      </c>
      <c r="R286" s="1806">
        <f t="shared" si="240"/>
        <v>1929994.1082100454</v>
      </c>
      <c r="S286" s="1732">
        <f t="shared" si="240"/>
        <v>2005973.1230780147</v>
      </c>
      <c r="T286" s="1733">
        <f t="shared" si="240"/>
        <v>1782601.1777047855</v>
      </c>
      <c r="U286" s="1805">
        <f t="shared" si="240"/>
        <v>1878819.6298637276</v>
      </c>
      <c r="V286" s="1732">
        <f t="shared" si="240"/>
        <v>1484484.2344916121</v>
      </c>
      <c r="W286" s="2129">
        <f t="shared" si="240"/>
        <v>1570242.0703544628</v>
      </c>
      <c r="X286" s="2089">
        <f t="shared" si="240"/>
        <v>23243289.993702646</v>
      </c>
      <c r="Y286" s="1637"/>
    </row>
    <row r="287" spans="1:29" s="1535" customFormat="1" ht="18" customHeight="1">
      <c r="A287" s="7175">
        <v>5</v>
      </c>
      <c r="B287" s="7235" t="s">
        <v>90</v>
      </c>
      <c r="C287" s="7236"/>
      <c r="D287" s="7236"/>
      <c r="E287" s="7236"/>
      <c r="F287" s="7237"/>
      <c r="G287" s="1624"/>
      <c r="H287" s="2400"/>
      <c r="I287" s="2400"/>
      <c r="J287" s="2400"/>
      <c r="K287" s="2400"/>
      <c r="L287" s="4500">
        <v>85864.148461538454</v>
      </c>
      <c r="M287" s="5023"/>
      <c r="N287" s="5519">
        <f>181986.5</f>
        <v>181986.5</v>
      </c>
      <c r="O287" s="4500"/>
      <c r="P287" s="5023"/>
      <c r="Q287" s="3719"/>
      <c r="R287" s="3720">
        <f t="shared" ref="R287:W288" si="241">+Q204</f>
        <v>53295</v>
      </c>
      <c r="S287" s="1602">
        <f t="shared" si="241"/>
        <v>40000</v>
      </c>
      <c r="T287" s="3721">
        <f t="shared" si="241"/>
        <v>60000</v>
      </c>
      <c r="U287" s="3718">
        <f t="shared" si="241"/>
        <v>0</v>
      </c>
      <c r="V287" s="1602">
        <f t="shared" si="241"/>
        <v>65000</v>
      </c>
      <c r="W287" s="3721">
        <f t="shared" si="241"/>
        <v>0</v>
      </c>
      <c r="X287" s="2108">
        <f>SUM(L287:W287)</f>
        <v>486145.64846153848</v>
      </c>
      <c r="Y287" s="1637"/>
    </row>
    <row r="288" spans="1:29" s="1535" customFormat="1" ht="17.25" customHeight="1">
      <c r="A288" s="7171"/>
      <c r="B288" s="7238" t="s">
        <v>984</v>
      </c>
      <c r="C288" s="7239"/>
      <c r="D288" s="7239"/>
      <c r="E288" s="7239"/>
      <c r="F288" s="7240"/>
      <c r="G288" s="1624"/>
      <c r="H288" s="3193"/>
      <c r="I288" s="3193"/>
      <c r="J288" s="3193"/>
      <c r="K288" s="3193"/>
      <c r="L288" s="4500">
        <v>22332</v>
      </c>
      <c r="M288" s="5023">
        <f>119879+61175</f>
        <v>181054</v>
      </c>
      <c r="N288" s="5519">
        <v>116192.46642307693</v>
      </c>
      <c r="O288" s="6058">
        <v>128696</v>
      </c>
      <c r="P288" s="6511">
        <f>153843+24799</f>
        <v>178642</v>
      </c>
      <c r="Q288" s="3719">
        <f>86909+26886</f>
        <v>113795</v>
      </c>
      <c r="R288" s="3387">
        <f t="shared" si="241"/>
        <v>130000</v>
      </c>
      <c r="S288" s="1602">
        <f t="shared" si="241"/>
        <v>130000</v>
      </c>
      <c r="T288" s="3719">
        <f t="shared" si="241"/>
        <v>130000</v>
      </c>
      <c r="U288" s="3387">
        <f t="shared" si="241"/>
        <v>110000</v>
      </c>
      <c r="V288" s="1602">
        <f t="shared" si="241"/>
        <v>130000</v>
      </c>
      <c r="W288" s="3719">
        <f t="shared" si="241"/>
        <v>130000</v>
      </c>
      <c r="X288" s="2108">
        <f>SUM(L288:W288)</f>
        <v>1500711.466423077</v>
      </c>
      <c r="Y288" s="1637"/>
    </row>
    <row r="289" spans="1:29" s="1535" customFormat="1" ht="15.6" customHeight="1">
      <c r="A289" s="1662">
        <v>6</v>
      </c>
      <c r="B289" s="7162" t="s">
        <v>1181</v>
      </c>
      <c r="C289" s="7163"/>
      <c r="D289" s="7163"/>
      <c r="E289" s="7163"/>
      <c r="F289" s="7164"/>
      <c r="G289" s="1624"/>
      <c r="H289" s="3193"/>
      <c r="I289" s="3193"/>
      <c r="J289" s="3193"/>
      <c r="K289" s="3193"/>
      <c r="L289" s="4500">
        <f>28829+1635</f>
        <v>30464</v>
      </c>
      <c r="M289" s="5023">
        <v>48438</v>
      </c>
      <c r="N289" s="5519">
        <v>137221</v>
      </c>
      <c r="O289" s="6058">
        <v>40338</v>
      </c>
      <c r="P289" s="6511">
        <f>23458+4726+424</f>
        <v>28608</v>
      </c>
      <c r="Q289" s="3719"/>
      <c r="R289" s="3387"/>
      <c r="S289" s="1602"/>
      <c r="T289" s="3719"/>
      <c r="U289" s="3387"/>
      <c r="V289" s="1602"/>
      <c r="W289" s="3719"/>
      <c r="X289" s="2108">
        <f>SUM(L289:W289)</f>
        <v>285069</v>
      </c>
      <c r="Y289" s="1637"/>
    </row>
    <row r="290" spans="1:29" s="1535" customFormat="1" ht="17.25" customHeight="1" thickBot="1">
      <c r="A290" s="75">
        <v>7</v>
      </c>
      <c r="B290" s="7232" t="s">
        <v>465</v>
      </c>
      <c r="C290" s="7233"/>
      <c r="D290" s="7233"/>
      <c r="E290" s="7233"/>
      <c r="F290" s="7234"/>
      <c r="G290" s="1552"/>
      <c r="H290" s="3194"/>
      <c r="I290" s="3194"/>
      <c r="J290" s="3194"/>
      <c r="K290" s="3194"/>
      <c r="L290" s="4501">
        <f>250456.19+53.76</f>
        <v>250509.95</v>
      </c>
      <c r="M290" s="5024">
        <v>452208.44</v>
      </c>
      <c r="N290" s="5520">
        <v>200654.67</v>
      </c>
      <c r="O290" s="6059"/>
      <c r="P290" s="6512">
        <f>151442+100000</f>
        <v>251442</v>
      </c>
      <c r="Q290" s="4162">
        <v>100000</v>
      </c>
      <c r="R290" s="4163">
        <v>300000</v>
      </c>
      <c r="S290" s="3569">
        <v>150000</v>
      </c>
      <c r="T290" s="4161">
        <v>150000</v>
      </c>
      <c r="U290" s="4163">
        <v>150000</v>
      </c>
      <c r="V290" s="3569">
        <v>150000</v>
      </c>
      <c r="W290" s="3569">
        <v>250000</v>
      </c>
      <c r="X290" s="2085">
        <f>SUM(L290:W290)</f>
        <v>2404815.06</v>
      </c>
      <c r="Y290" s="1637"/>
      <c r="AB290" s="1663"/>
      <c r="AC290" s="1663"/>
    </row>
    <row r="291" spans="1:29" s="1535" customFormat="1" ht="17.25" customHeight="1" thickBot="1">
      <c r="A291" s="7165" t="s">
        <v>137</v>
      </c>
      <c r="B291" s="7166"/>
      <c r="C291" s="7166"/>
      <c r="D291" s="7166"/>
      <c r="E291" s="7166"/>
      <c r="F291" s="7167"/>
      <c r="G291" s="3950"/>
      <c r="H291" s="3205"/>
      <c r="I291" s="3205"/>
      <c r="J291" s="3205"/>
      <c r="K291" s="3205"/>
      <c r="L291" s="3952">
        <f t="shared" ref="L291:X291" si="242">+L224+L286+L287+L288+L289+L290-SUM(L218:L223)</f>
        <v>3970756.2256923076</v>
      </c>
      <c r="M291" s="5012">
        <f t="shared" si="242"/>
        <v>4440130.487115385</v>
      </c>
      <c r="N291" s="5505">
        <f t="shared" si="242"/>
        <v>3144784.4502692302</v>
      </c>
      <c r="O291" s="3952">
        <f t="shared" si="242"/>
        <v>4532884.4511538465</v>
      </c>
      <c r="P291" s="5012">
        <f t="shared" si="242"/>
        <v>3863691.3867873307</v>
      </c>
      <c r="Q291" s="1777">
        <f t="shared" si="242"/>
        <v>3880506.2506923079</v>
      </c>
      <c r="R291" s="1778">
        <f t="shared" si="242"/>
        <v>4216043.9115330148</v>
      </c>
      <c r="S291" s="1776">
        <f t="shared" si="242"/>
        <v>4330652.9017872941</v>
      </c>
      <c r="T291" s="1777">
        <f t="shared" si="242"/>
        <v>4200559.8410294494</v>
      </c>
      <c r="U291" s="1824">
        <f t="shared" si="242"/>
        <v>3740925.9725090382</v>
      </c>
      <c r="V291" s="1776">
        <f t="shared" si="242"/>
        <v>3297500.0405098726</v>
      </c>
      <c r="W291" s="1777">
        <f t="shared" si="242"/>
        <v>3519173.2826631847</v>
      </c>
      <c r="X291" s="3345">
        <f t="shared" si="242"/>
        <v>47137609.201742254</v>
      </c>
      <c r="Y291" s="2270"/>
    </row>
    <row r="292" spans="1:29" s="1535" customFormat="1" ht="19.5" customHeight="1" thickBot="1">
      <c r="A292" s="1667"/>
      <c r="B292" s="1668" t="s">
        <v>1435</v>
      </c>
      <c r="C292" s="1668"/>
      <c r="D292" s="1668"/>
      <c r="E292" s="2447"/>
      <c r="F292" s="1669"/>
      <c r="G292" s="3303"/>
      <c r="H292" s="3202"/>
      <c r="I292" s="3202"/>
      <c r="J292" s="3202"/>
      <c r="K292" s="3202"/>
      <c r="L292" s="4502"/>
      <c r="M292" s="5025"/>
      <c r="N292" s="5521"/>
      <c r="O292" s="4502"/>
      <c r="P292" s="5025"/>
      <c r="Q292" s="3348">
        <v>330000</v>
      </c>
      <c r="R292" s="2393"/>
      <c r="S292" s="11"/>
      <c r="T292" s="11">
        <v>300000</v>
      </c>
      <c r="U292" s="3347"/>
      <c r="V292" s="11"/>
      <c r="W292" s="2173">
        <v>350000</v>
      </c>
      <c r="X292" s="2480">
        <f>SUM(L292:W292)</f>
        <v>980000</v>
      </c>
      <c r="Y292" s="1637"/>
      <c r="AB292" s="1668"/>
      <c r="AC292" s="1668"/>
    </row>
    <row r="293" spans="1:29" ht="18" customHeight="1" thickBot="1">
      <c r="A293" s="7220"/>
      <c r="B293" s="7221"/>
      <c r="C293" s="7221"/>
      <c r="D293" s="7221"/>
      <c r="E293" s="7221"/>
      <c r="F293" s="7222"/>
      <c r="G293" s="3951" t="s">
        <v>840</v>
      </c>
      <c r="H293" s="3207"/>
      <c r="I293" s="3207"/>
      <c r="J293" s="3207"/>
      <c r="K293" s="3207"/>
      <c r="L293" s="4503">
        <f>L203+L119+L120+L124</f>
        <v>3539768.9967831485</v>
      </c>
      <c r="M293" s="5026">
        <f t="shared" ref="M293:W293" si="243">M203+M119+M120+M124+M121+M122+M123</f>
        <v>2992130.2975723296</v>
      </c>
      <c r="N293" s="5522">
        <f t="shared" si="243"/>
        <v>3908677.3807477951</v>
      </c>
      <c r="O293" s="4503">
        <f t="shared" si="243"/>
        <v>3129903.5550423609</v>
      </c>
      <c r="P293" s="5026">
        <f t="shared" si="243"/>
        <v>3390847.6551109813</v>
      </c>
      <c r="Q293" s="2460">
        <f t="shared" si="243"/>
        <v>3645447.7643134696</v>
      </c>
      <c r="R293" s="3644">
        <f t="shared" si="243"/>
        <v>3965100.5918587218</v>
      </c>
      <c r="S293" s="2459">
        <f t="shared" si="243"/>
        <v>3651046.0811019903</v>
      </c>
      <c r="T293" s="2459">
        <f t="shared" si="243"/>
        <v>3277431.5962854875</v>
      </c>
      <c r="U293" s="2458">
        <f t="shared" si="243"/>
        <v>3064708.0055048754</v>
      </c>
      <c r="V293" s="2459">
        <f t="shared" si="243"/>
        <v>3074514.9122097464</v>
      </c>
      <c r="W293" s="3349">
        <f t="shared" si="243"/>
        <v>3097349.0691580926</v>
      </c>
      <c r="X293" s="3350"/>
      <c r="Z293" s="1569"/>
      <c r="AB293" s="5"/>
      <c r="AC293" s="5"/>
    </row>
    <row r="294" spans="1:29" ht="16.5" customHeight="1">
      <c r="L294" s="4489"/>
      <c r="M294" s="1534"/>
    </row>
    <row r="295" spans="1:29">
      <c r="A295" s="1530" t="s">
        <v>1003</v>
      </c>
      <c r="L295" s="4489"/>
      <c r="N295" s="1534"/>
      <c r="P295" s="1534"/>
    </row>
    <row r="296" spans="1:29" ht="13.5" customHeight="1">
      <c r="A296" s="1530"/>
      <c r="L296" s="4489"/>
    </row>
    <row r="297" spans="1:29" ht="16.2" thickBot="1">
      <c r="A297" s="1530" t="s">
        <v>1004</v>
      </c>
      <c r="L297" s="4489"/>
    </row>
    <row r="298" spans="1:29" ht="36" customHeight="1" thickBot="1">
      <c r="A298" s="1539" t="s">
        <v>1009</v>
      </c>
      <c r="B298" s="7202" t="s">
        <v>106</v>
      </c>
      <c r="C298" s="7202"/>
      <c r="D298" s="7202" t="s">
        <v>105</v>
      </c>
      <c r="E298" s="7202"/>
      <c r="F298" s="7202"/>
      <c r="G298" s="1679" t="s">
        <v>1007</v>
      </c>
      <c r="H298" s="1679"/>
      <c r="I298" s="1679"/>
      <c r="J298" s="1679"/>
      <c r="K298" s="1679"/>
      <c r="L298" s="5005" t="str">
        <f t="shared" ref="L298:X298" si="244">L209</f>
        <v>Jan.26</v>
      </c>
      <c r="M298" s="5005" t="str">
        <f t="shared" si="244"/>
        <v>Feb.26</v>
      </c>
      <c r="N298" s="5005" t="str">
        <f t="shared" si="244"/>
        <v>Mar.26</v>
      </c>
      <c r="O298" s="5005" t="str">
        <f t="shared" si="244"/>
        <v>Apr.26</v>
      </c>
      <c r="P298" s="5005" t="str">
        <f t="shared" si="244"/>
        <v>May.26</v>
      </c>
      <c r="Q298" s="1842" t="str">
        <f t="shared" si="244"/>
        <v>Jun.26</v>
      </c>
      <c r="R298" s="1842" t="str">
        <f t="shared" si="244"/>
        <v>Jul.26</v>
      </c>
      <c r="S298" s="1842" t="str">
        <f t="shared" si="244"/>
        <v>Aug.26</v>
      </c>
      <c r="T298" s="1842" t="str">
        <f t="shared" si="244"/>
        <v>Sep.26</v>
      </c>
      <c r="U298" s="1842" t="str">
        <f t="shared" si="244"/>
        <v>Oct.26</v>
      </c>
      <c r="V298" s="1842" t="str">
        <f t="shared" si="244"/>
        <v>Nov.26</v>
      </c>
      <c r="W298" s="1842" t="str">
        <f t="shared" si="244"/>
        <v>Dec.26</v>
      </c>
      <c r="X298" s="3351" t="str">
        <f t="shared" si="244"/>
        <v>2026
Total</v>
      </c>
      <c r="Y298" s="3992"/>
      <c r="AB298" s="5"/>
      <c r="AC298" s="5"/>
    </row>
    <row r="299" spans="1:29" ht="18" customHeight="1">
      <c r="A299" s="7224">
        <v>1</v>
      </c>
      <c r="B299" s="7197" t="s">
        <v>844</v>
      </c>
      <c r="C299" s="7197"/>
      <c r="D299" s="7197" t="s">
        <v>19</v>
      </c>
      <c r="E299" s="7197"/>
      <c r="F299" s="7197"/>
      <c r="G299" s="1681">
        <f>X299/$X$309</f>
        <v>0.62479412470756068</v>
      </c>
      <c r="H299" s="1681"/>
      <c r="I299" s="1681"/>
      <c r="J299" s="1681"/>
      <c r="K299" s="1681"/>
      <c r="L299" s="5027">
        <f t="shared" ref="L299:W300" si="245">SUMIF($AB$5:$AB$101,$D299,L$5:L$101)</f>
        <v>1940361</v>
      </c>
      <c r="M299" s="5027">
        <f t="shared" si="245"/>
        <v>1581721</v>
      </c>
      <c r="N299" s="5027">
        <f t="shared" si="245"/>
        <v>1691279</v>
      </c>
      <c r="O299" s="5027">
        <f t="shared" si="245"/>
        <v>1447883</v>
      </c>
      <c r="P299" s="5027">
        <f t="shared" si="245"/>
        <v>1618286</v>
      </c>
      <c r="Q299" s="3352">
        <f t="shared" si="245"/>
        <v>2479000</v>
      </c>
      <c r="R299" s="3352">
        <f t="shared" si="245"/>
        <v>2780000</v>
      </c>
      <c r="S299" s="3352">
        <f t="shared" si="245"/>
        <v>2866500</v>
      </c>
      <c r="T299" s="3352">
        <f t="shared" si="245"/>
        <v>2150000</v>
      </c>
      <c r="U299" s="3352">
        <f t="shared" si="245"/>
        <v>1961000</v>
      </c>
      <c r="V299" s="3352">
        <f t="shared" si="245"/>
        <v>2177000</v>
      </c>
      <c r="W299" s="3352">
        <f t="shared" si="245"/>
        <v>2095000</v>
      </c>
      <c r="X299" s="3348">
        <f>SUM(L299:W299)</f>
        <v>24788030</v>
      </c>
      <c r="Y299" s="4"/>
      <c r="AB299" s="5"/>
      <c r="AC299" s="5"/>
    </row>
    <row r="300" spans="1:29" ht="18" customHeight="1">
      <c r="A300" s="7225"/>
      <c r="B300" s="7200"/>
      <c r="C300" s="7200"/>
      <c r="D300" s="7198" t="s">
        <v>24</v>
      </c>
      <c r="E300" s="7198"/>
      <c r="F300" s="7198"/>
      <c r="G300" s="1684">
        <f>X300/$X$309</f>
        <v>5.8545689923815312E-3</v>
      </c>
      <c r="H300" s="1684"/>
      <c r="I300" s="1684"/>
      <c r="J300" s="1684"/>
      <c r="K300" s="1684"/>
      <c r="L300" s="5028">
        <f t="shared" si="245"/>
        <v>23304.4776119403</v>
      </c>
      <c r="M300" s="5028">
        <f t="shared" si="245"/>
        <v>9621.2675577156733</v>
      </c>
      <c r="N300" s="5028">
        <f t="shared" si="245"/>
        <v>20797.63648390623</v>
      </c>
      <c r="O300" s="5028">
        <f t="shared" si="245"/>
        <v>21641.9991600168</v>
      </c>
      <c r="P300" s="5028">
        <f t="shared" si="245"/>
        <v>18759.845559845562</v>
      </c>
      <c r="Q300" s="2356">
        <f t="shared" si="245"/>
        <v>20666.409266409268</v>
      </c>
      <c r="R300" s="2356">
        <f t="shared" si="245"/>
        <v>22516.409266409268</v>
      </c>
      <c r="S300" s="2356">
        <f t="shared" si="245"/>
        <v>20716.409266409268</v>
      </c>
      <c r="T300" s="2356">
        <f t="shared" si="245"/>
        <v>21216.409266409268</v>
      </c>
      <c r="U300" s="2356">
        <f t="shared" si="245"/>
        <v>20666.409266409268</v>
      </c>
      <c r="V300" s="2356">
        <f t="shared" si="245"/>
        <v>16433.204633204634</v>
      </c>
      <c r="W300" s="2356">
        <f t="shared" si="245"/>
        <v>15933.204633204634</v>
      </c>
      <c r="X300" s="3716">
        <f>SUM(L300:W300)</f>
        <v>232273.68197188017</v>
      </c>
      <c r="Y300" s="4"/>
      <c r="AB300" s="5"/>
      <c r="AC300" s="5"/>
    </row>
    <row r="301" spans="1:29" ht="18" customHeight="1" thickBot="1">
      <c r="A301" s="7226"/>
      <c r="B301" s="7199"/>
      <c r="C301" s="7199"/>
      <c r="D301" s="7199" t="s">
        <v>122</v>
      </c>
      <c r="E301" s="7199"/>
      <c r="F301" s="7199"/>
      <c r="G301" s="1685"/>
      <c r="H301" s="1685"/>
      <c r="I301" s="1685"/>
      <c r="J301" s="1685"/>
      <c r="K301" s="1685"/>
      <c r="L301" s="5029">
        <f t="shared" ref="L301:M301" si="246">SUM(L299:L300)</f>
        <v>1963665.4776119404</v>
      </c>
      <c r="M301" s="5029">
        <f t="shared" si="246"/>
        <v>1591342.2675577158</v>
      </c>
      <c r="N301" s="5029">
        <f t="shared" ref="N301" si="247">SUM(N299:N300)</f>
        <v>1712076.6364839063</v>
      </c>
      <c r="O301" s="5029">
        <f t="shared" ref="O301" si="248">SUM(O299:O300)</f>
        <v>1469524.9991600169</v>
      </c>
      <c r="P301" s="5029">
        <f t="shared" ref="P301" si="249">SUM(P299:P300)</f>
        <v>1637045.8455598457</v>
      </c>
      <c r="Q301" s="2226">
        <f t="shared" ref="Q301" si="250">SUM(Q299:Q300)</f>
        <v>2499666.4092664095</v>
      </c>
      <c r="R301" s="2226">
        <f t="shared" ref="R301" si="251">SUM(R299:R300)</f>
        <v>2802516.4092664095</v>
      </c>
      <c r="S301" s="2226">
        <f t="shared" ref="S301" si="252">SUM(S299:S300)</f>
        <v>2887216.4092664095</v>
      </c>
      <c r="T301" s="2226">
        <f t="shared" ref="T301" si="253">SUM(T299:T300)</f>
        <v>2171216.4092664095</v>
      </c>
      <c r="U301" s="2226">
        <f t="shared" ref="U301" si="254">SUM(U299:U300)</f>
        <v>1981666.4092664092</v>
      </c>
      <c r="V301" s="2226">
        <f t="shared" ref="V301" si="255">SUM(V299:V300)</f>
        <v>2193433.2046332047</v>
      </c>
      <c r="W301" s="2226">
        <f t="shared" ref="W301" si="256">SUM(W299:W300)</f>
        <v>2110933.2046332047</v>
      </c>
      <c r="X301" s="2227">
        <f>SUM(X299:X300)</f>
        <v>25020303.681971882</v>
      </c>
      <c r="Y301" s="1637"/>
      <c r="AB301" s="5"/>
      <c r="AC301" s="5"/>
    </row>
    <row r="302" spans="1:29" ht="18" customHeight="1">
      <c r="A302" s="7224">
        <v>2</v>
      </c>
      <c r="B302" s="7197" t="s">
        <v>23</v>
      </c>
      <c r="C302" s="7197"/>
      <c r="D302" s="7197" t="s">
        <v>20</v>
      </c>
      <c r="E302" s="7197"/>
      <c r="F302" s="7197"/>
      <c r="G302" s="1681">
        <f t="shared" ref="G302:G308" si="257">X302/$X$309</f>
        <v>0.10578483827700837</v>
      </c>
      <c r="H302" s="1681"/>
      <c r="I302" s="1681"/>
      <c r="J302" s="1681"/>
      <c r="K302" s="1681"/>
      <c r="L302" s="5027">
        <f t="shared" ref="L302:W306" si="258">SUMIF($AB$5:$AB$101,$D302,L$5:L$101)</f>
        <v>313171.88934843946</v>
      </c>
      <c r="M302" s="5027">
        <f t="shared" si="258"/>
        <v>347957.17440252309</v>
      </c>
      <c r="N302" s="5027">
        <f t="shared" si="258"/>
        <v>494341.10076049063</v>
      </c>
      <c r="O302" s="5027">
        <f t="shared" si="258"/>
        <v>536258.95094194356</v>
      </c>
      <c r="P302" s="5027">
        <f t="shared" si="258"/>
        <v>413470.85898688767</v>
      </c>
      <c r="Q302" s="3352">
        <f t="shared" si="258"/>
        <v>473737.43592886557</v>
      </c>
      <c r="R302" s="3352">
        <f t="shared" si="258"/>
        <v>442216.46120524197</v>
      </c>
      <c r="S302" s="3352">
        <f t="shared" si="258"/>
        <v>324770.87997068604</v>
      </c>
      <c r="T302" s="3352">
        <f t="shared" si="258"/>
        <v>220458.7372859313</v>
      </c>
      <c r="U302" s="3352">
        <f t="shared" si="258"/>
        <v>210171.78774120321</v>
      </c>
      <c r="V302" s="3352">
        <f t="shared" si="258"/>
        <v>210171.78774120321</v>
      </c>
      <c r="W302" s="3352">
        <f t="shared" si="258"/>
        <v>210171.78774120321</v>
      </c>
      <c r="X302" s="3348">
        <f>SUM(L302:W302)</f>
        <v>4196898.8520546192</v>
      </c>
      <c r="Y302" s="4"/>
      <c r="AB302" s="5"/>
      <c r="AC302" s="5"/>
    </row>
    <row r="303" spans="1:29" ht="18" customHeight="1">
      <c r="A303" s="7225"/>
      <c r="B303" s="7200"/>
      <c r="C303" s="7200"/>
      <c r="D303" s="7200" t="s">
        <v>398</v>
      </c>
      <c r="E303" s="7200"/>
      <c r="F303" s="7200"/>
      <c r="G303" s="1686">
        <f t="shared" si="257"/>
        <v>8.5089349439565518E-2</v>
      </c>
      <c r="H303" s="1686"/>
      <c r="I303" s="1686"/>
      <c r="J303" s="1686"/>
      <c r="K303" s="1686"/>
      <c r="L303" s="4728">
        <f t="shared" si="258"/>
        <v>339603.4595780602</v>
      </c>
      <c r="M303" s="4728">
        <f t="shared" si="258"/>
        <v>342634.0060191169</v>
      </c>
      <c r="N303" s="4728">
        <f t="shared" si="258"/>
        <v>376945.99374970491</v>
      </c>
      <c r="O303" s="4728">
        <f t="shared" si="258"/>
        <v>326970.9325218114</v>
      </c>
      <c r="P303" s="4728">
        <f t="shared" si="258"/>
        <v>226442.97303649021</v>
      </c>
      <c r="Q303" s="2299">
        <f t="shared" si="258"/>
        <v>270197.76271013392</v>
      </c>
      <c r="R303" s="2299">
        <f t="shared" si="258"/>
        <v>263056.44885342341</v>
      </c>
      <c r="S303" s="2299">
        <f t="shared" si="258"/>
        <v>210414.44198341313</v>
      </c>
      <c r="T303" s="2299">
        <f t="shared" si="258"/>
        <v>267356.97071904526</v>
      </c>
      <c r="U303" s="2299">
        <f t="shared" si="258"/>
        <v>259276.3378941938</v>
      </c>
      <c r="V303" s="2299">
        <f t="shared" si="258"/>
        <v>245362.02562653582</v>
      </c>
      <c r="W303" s="2299">
        <f t="shared" si="258"/>
        <v>247566.40109121983</v>
      </c>
      <c r="X303" s="2300">
        <f>SUM(L303:W303)</f>
        <v>3375827.7537831492</v>
      </c>
      <c r="Y303" s="4"/>
      <c r="AB303" s="5"/>
      <c r="AC303" s="5"/>
    </row>
    <row r="304" spans="1:29" ht="18" customHeight="1">
      <c r="A304" s="7225"/>
      <c r="B304" s="7200"/>
      <c r="C304" s="7200"/>
      <c r="D304" s="7200" t="s">
        <v>397</v>
      </c>
      <c r="E304" s="7200"/>
      <c r="F304" s="7200"/>
      <c r="G304" s="1686">
        <f t="shared" si="257"/>
        <v>0</v>
      </c>
      <c r="H304" s="1686"/>
      <c r="I304" s="1686"/>
      <c r="J304" s="1686"/>
      <c r="K304" s="1686"/>
      <c r="L304" s="4728">
        <f t="shared" si="258"/>
        <v>0</v>
      </c>
      <c r="M304" s="4728">
        <f t="shared" si="258"/>
        <v>0</v>
      </c>
      <c r="N304" s="4728">
        <f t="shared" si="258"/>
        <v>0</v>
      </c>
      <c r="O304" s="4728">
        <f t="shared" si="258"/>
        <v>0</v>
      </c>
      <c r="P304" s="4728">
        <f t="shared" si="258"/>
        <v>0</v>
      </c>
      <c r="Q304" s="2299">
        <f t="shared" si="258"/>
        <v>0</v>
      </c>
      <c r="R304" s="2299">
        <f t="shared" si="258"/>
        <v>0</v>
      </c>
      <c r="S304" s="2299">
        <f t="shared" si="258"/>
        <v>0</v>
      </c>
      <c r="T304" s="2299">
        <f t="shared" si="258"/>
        <v>0</v>
      </c>
      <c r="U304" s="2299">
        <f t="shared" si="258"/>
        <v>0</v>
      </c>
      <c r="V304" s="2299">
        <f t="shared" si="258"/>
        <v>0</v>
      </c>
      <c r="W304" s="2299">
        <f t="shared" si="258"/>
        <v>0</v>
      </c>
      <c r="X304" s="2300">
        <f>SUM(L304:W304)</f>
        <v>0</v>
      </c>
      <c r="Y304" s="4"/>
      <c r="AB304" s="5"/>
      <c r="AC304" s="5"/>
    </row>
    <row r="305" spans="1:29" ht="18" customHeight="1">
      <c r="A305" s="7225"/>
      <c r="B305" s="7200"/>
      <c r="C305" s="7200"/>
      <c r="D305" s="7200" t="s">
        <v>400</v>
      </c>
      <c r="E305" s="7200"/>
      <c r="F305" s="7200"/>
      <c r="G305" s="1686">
        <f t="shared" si="257"/>
        <v>0.17827181935542236</v>
      </c>
      <c r="H305" s="1686"/>
      <c r="I305" s="1686"/>
      <c r="J305" s="1686"/>
      <c r="K305" s="1686"/>
      <c r="L305" s="4728">
        <f t="shared" si="258"/>
        <v>594846.13678201975</v>
      </c>
      <c r="M305" s="4728">
        <f t="shared" si="258"/>
        <v>372208.08086622978</v>
      </c>
      <c r="N305" s="4728">
        <f t="shared" si="258"/>
        <v>710203.84710014099</v>
      </c>
      <c r="O305" s="4728">
        <f t="shared" si="258"/>
        <v>335343.08006380836</v>
      </c>
      <c r="P305" s="4728">
        <f t="shared" si="258"/>
        <v>739158.06999405008</v>
      </c>
      <c r="Q305" s="2299">
        <f t="shared" si="258"/>
        <v>463609.4438836819</v>
      </c>
      <c r="R305" s="2299">
        <f t="shared" si="258"/>
        <v>647525.12917889957</v>
      </c>
      <c r="S305" s="2299">
        <f t="shared" si="258"/>
        <v>594238.90951927379</v>
      </c>
      <c r="T305" s="2299">
        <f t="shared" si="258"/>
        <v>665578.72796239133</v>
      </c>
      <c r="U305" s="2299">
        <f t="shared" si="258"/>
        <v>660533.71701990394</v>
      </c>
      <c r="V305" s="2299">
        <f t="shared" si="258"/>
        <v>637953.99942087848</v>
      </c>
      <c r="W305" s="2299">
        <f t="shared" si="258"/>
        <v>651542.15263932873</v>
      </c>
      <c r="X305" s="2300">
        <f>SUM(L305:W305)</f>
        <v>7072741.2944306061</v>
      </c>
      <c r="Y305" s="4"/>
      <c r="AB305" s="5"/>
      <c r="AC305" s="5"/>
    </row>
    <row r="306" spans="1:29" ht="18" customHeight="1">
      <c r="A306" s="7225"/>
      <c r="B306" s="7200"/>
      <c r="C306" s="7200"/>
      <c r="D306" s="7198" t="s">
        <v>886</v>
      </c>
      <c r="E306" s="7198"/>
      <c r="F306" s="7198"/>
      <c r="G306" s="1684">
        <f t="shared" si="257"/>
        <v>0</v>
      </c>
      <c r="H306" s="1684"/>
      <c r="I306" s="1684"/>
      <c r="J306" s="1684"/>
      <c r="K306" s="1684"/>
      <c r="L306" s="5028">
        <f t="shared" si="258"/>
        <v>0</v>
      </c>
      <c r="M306" s="5028">
        <f t="shared" si="258"/>
        <v>0</v>
      </c>
      <c r="N306" s="5028">
        <f t="shared" si="258"/>
        <v>0</v>
      </c>
      <c r="O306" s="5028">
        <f t="shared" si="258"/>
        <v>0</v>
      </c>
      <c r="P306" s="5028">
        <f t="shared" si="258"/>
        <v>0</v>
      </c>
      <c r="Q306" s="2356">
        <f t="shared" si="258"/>
        <v>0</v>
      </c>
      <c r="R306" s="2356">
        <f t="shared" si="258"/>
        <v>0</v>
      </c>
      <c r="S306" s="2356">
        <f t="shared" si="258"/>
        <v>0</v>
      </c>
      <c r="T306" s="2356">
        <f t="shared" si="258"/>
        <v>0</v>
      </c>
      <c r="U306" s="2356">
        <f t="shared" si="258"/>
        <v>0</v>
      </c>
      <c r="V306" s="2356">
        <f t="shared" si="258"/>
        <v>0</v>
      </c>
      <c r="W306" s="2356">
        <f t="shared" si="258"/>
        <v>0</v>
      </c>
      <c r="X306" s="3716">
        <f>SUM(L306:W306)</f>
        <v>0</v>
      </c>
      <c r="Y306" s="4"/>
      <c r="AB306" s="5"/>
      <c r="AC306" s="5"/>
    </row>
    <row r="307" spans="1:29" ht="18" customHeight="1" thickBot="1">
      <c r="A307" s="7226"/>
      <c r="B307" s="7199"/>
      <c r="C307" s="7199"/>
      <c r="D307" s="7199" t="s">
        <v>122</v>
      </c>
      <c r="E307" s="7199"/>
      <c r="F307" s="7199"/>
      <c r="G307" s="1685"/>
      <c r="H307" s="1685"/>
      <c r="I307" s="1685"/>
      <c r="J307" s="1685"/>
      <c r="K307" s="1685"/>
      <c r="L307" s="5029">
        <f t="shared" ref="L307:M307" si="259">SUM(L302:L306)</f>
        <v>1247621.4857085194</v>
      </c>
      <c r="M307" s="5029">
        <f t="shared" si="259"/>
        <v>1062799.2612878697</v>
      </c>
      <c r="N307" s="5029">
        <f t="shared" ref="N307" si="260">SUM(N302:N306)</f>
        <v>1581490.9416103365</v>
      </c>
      <c r="O307" s="5029">
        <f t="shared" ref="O307" si="261">SUM(O302:O306)</f>
        <v>1198572.9635275635</v>
      </c>
      <c r="P307" s="5029">
        <f t="shared" ref="P307" si="262">SUM(P302:P306)</f>
        <v>1379071.9020174281</v>
      </c>
      <c r="Q307" s="2226">
        <f t="shared" ref="Q307" si="263">SUM(Q302:Q306)</f>
        <v>1207544.6425226815</v>
      </c>
      <c r="R307" s="2226">
        <f t="shared" ref="R307" si="264">SUM(R302:R306)</f>
        <v>1352798.0392375649</v>
      </c>
      <c r="S307" s="2226">
        <f t="shared" ref="S307" si="265">SUM(S302:S306)</f>
        <v>1129424.231473373</v>
      </c>
      <c r="T307" s="2226">
        <f t="shared" ref="T307" si="266">SUM(T302:T306)</f>
        <v>1153394.4359673678</v>
      </c>
      <c r="U307" s="2226">
        <f t="shared" ref="U307" si="267">SUM(U302:U306)</f>
        <v>1129981.8426553011</v>
      </c>
      <c r="V307" s="2226">
        <f t="shared" ref="V307" si="268">SUM(V302:V306)</f>
        <v>1093487.8127886176</v>
      </c>
      <c r="W307" s="2226">
        <f t="shared" ref="W307" si="269">SUM(W302:W306)</f>
        <v>1109280.3414717517</v>
      </c>
      <c r="X307" s="2227">
        <f t="shared" ref="X307" si="270">SUM(X302:X306)</f>
        <v>14645467.900268374</v>
      </c>
      <c r="Y307" s="1637"/>
      <c r="AB307" s="5"/>
      <c r="AC307" s="5"/>
    </row>
    <row r="308" spans="1:29" ht="18" customHeight="1" thickBot="1">
      <c r="A308" s="1539">
        <v>3</v>
      </c>
      <c r="B308" s="7223" t="s">
        <v>1272</v>
      </c>
      <c r="C308" s="7223"/>
      <c r="D308" s="7223" t="s">
        <v>1271</v>
      </c>
      <c r="E308" s="7223"/>
      <c r="F308" s="7223"/>
      <c r="G308" s="1684">
        <f t="shared" si="257"/>
        <v>2.0529922806162209E-4</v>
      </c>
      <c r="H308" s="1687"/>
      <c r="I308" s="1687"/>
      <c r="J308" s="1687"/>
      <c r="K308" s="1687"/>
      <c r="L308" s="5030">
        <f t="shared" ref="L308:W308" si="271">SUMIF($AB$5:$AB$101,$D308,L$5:L$101)</f>
        <v>0</v>
      </c>
      <c r="M308" s="5030">
        <f t="shared" si="271"/>
        <v>73.878864820866696</v>
      </c>
      <c r="N308" s="5030">
        <f t="shared" si="271"/>
        <v>2525.6623376623374</v>
      </c>
      <c r="O308" s="5030">
        <f t="shared" si="271"/>
        <v>2540.0790316636903</v>
      </c>
      <c r="P308" s="5030">
        <f t="shared" si="271"/>
        <v>2195</v>
      </c>
      <c r="Q308" s="3353">
        <f t="shared" si="271"/>
        <v>10.942105263157895</v>
      </c>
      <c r="R308" s="3353">
        <f t="shared" si="271"/>
        <v>0</v>
      </c>
      <c r="S308" s="3353">
        <f t="shared" si="271"/>
        <v>152.17492984097288</v>
      </c>
      <c r="T308" s="3353">
        <f t="shared" si="271"/>
        <v>190.76239476145929</v>
      </c>
      <c r="U308" s="3353">
        <f t="shared" si="271"/>
        <v>152.17492984097288</v>
      </c>
      <c r="V308" s="3353">
        <f t="shared" si="271"/>
        <v>152.17492984097288</v>
      </c>
      <c r="W308" s="3353">
        <f t="shared" si="271"/>
        <v>152.17492984097288</v>
      </c>
      <c r="X308" s="2460">
        <f>SUM(L308:W308)</f>
        <v>8145.0244535354041</v>
      </c>
      <c r="Y308" s="4"/>
      <c r="AB308" s="5"/>
      <c r="AC308" s="5"/>
    </row>
    <row r="309" spans="1:29" ht="18" customHeight="1" thickBot="1">
      <c r="A309" s="69"/>
      <c r="B309" s="7199" t="s">
        <v>15</v>
      </c>
      <c r="C309" s="7199"/>
      <c r="D309" s="7199"/>
      <c r="E309" s="7199"/>
      <c r="F309" s="7199"/>
      <c r="G309" s="1685"/>
      <c r="H309" s="1685"/>
      <c r="I309" s="1685"/>
      <c r="J309" s="1685"/>
      <c r="K309" s="1685"/>
      <c r="L309" s="5029">
        <f t="shared" ref="L309:M309" si="272">SUM(+L307,L308,L301)</f>
        <v>3211286.9633204597</v>
      </c>
      <c r="M309" s="5029">
        <f t="shared" si="272"/>
        <v>2654215.407710406</v>
      </c>
      <c r="N309" s="5029">
        <f t="shared" ref="N309" si="273">SUM(+N307,N308,N301)</f>
        <v>3296093.2404319053</v>
      </c>
      <c r="O309" s="5029">
        <f t="shared" ref="O309" si="274">SUM(+O307,O308,O301)</f>
        <v>2670638.0417192439</v>
      </c>
      <c r="P309" s="5029">
        <f t="shared" ref="P309" si="275">SUM(+P307,P308,P301)</f>
        <v>3018312.7475772738</v>
      </c>
      <c r="Q309" s="2226">
        <f t="shared" ref="Q309" si="276">SUM(+Q307,Q308,Q301)</f>
        <v>3707221.9938943544</v>
      </c>
      <c r="R309" s="2226">
        <f t="shared" ref="R309" si="277">SUM(+R307,R308,R301)</f>
        <v>4155314.4485039744</v>
      </c>
      <c r="S309" s="2226">
        <f t="shared" ref="S309" si="278">SUM(+S307,S308,S301)</f>
        <v>4016792.8156696232</v>
      </c>
      <c r="T309" s="2226">
        <f t="shared" ref="T309" si="279">SUM(+T307,T308,T301)</f>
        <v>3324801.6076285387</v>
      </c>
      <c r="U309" s="2226">
        <f t="shared" ref="U309" si="280">SUM(+U307,U308,U301)</f>
        <v>3111800.426851551</v>
      </c>
      <c r="V309" s="2226">
        <f t="shared" ref="V309" si="281">SUM(+V307,V308,V301)</f>
        <v>3287073.1923516635</v>
      </c>
      <c r="W309" s="2226">
        <f t="shared" ref="W309" si="282">SUM(+W307,W308,W301)</f>
        <v>3220365.7210347974</v>
      </c>
      <c r="X309" s="2227">
        <f>SUM(+X307,X308,X301)</f>
        <v>39673916.606693789</v>
      </c>
      <c r="Y309" s="1637"/>
      <c r="AB309" s="5"/>
      <c r="AC309" s="5"/>
    </row>
    <row r="310" spans="1:29">
      <c r="A310" s="1530"/>
      <c r="X310" s="1533">
        <f>X309-X105</f>
        <v>631934.11222247779</v>
      </c>
      <c r="Y310" s="4"/>
    </row>
    <row r="311" spans="1:29">
      <c r="A311" s="1530"/>
      <c r="G311" s="1688" t="str">
        <f>B299</f>
        <v>Mobile</v>
      </c>
      <c r="H311" s="1688"/>
      <c r="I311" s="1688"/>
      <c r="J311" s="1688"/>
      <c r="K311" s="1688"/>
      <c r="L311" s="5031">
        <f t="shared" ref="L311" si="283">L301/L309</f>
        <v>0.61148863369766149</v>
      </c>
      <c r="M311" s="5031">
        <f t="shared" ref="M311:X311" si="284">M301/M309</f>
        <v>0.59955279550217377</v>
      </c>
      <c r="N311" s="5031">
        <f t="shared" si="284"/>
        <v>0.5194260330631798</v>
      </c>
      <c r="O311" s="5031">
        <f t="shared" si="284"/>
        <v>0.5502524026857637</v>
      </c>
      <c r="P311" s="5031">
        <f t="shared" si="284"/>
        <v>0.54237117968436588</v>
      </c>
      <c r="Q311" s="3354">
        <f t="shared" si="284"/>
        <v>0.67426941612432689</v>
      </c>
      <c r="R311" s="3354">
        <f t="shared" si="284"/>
        <v>0.67444147584917213</v>
      </c>
      <c r="S311" s="3354">
        <f t="shared" si="284"/>
        <v>0.71878649005826145</v>
      </c>
      <c r="T311" s="3354">
        <f t="shared" si="284"/>
        <v>0.65303638096321182</v>
      </c>
      <c r="U311" s="3354">
        <f t="shared" si="284"/>
        <v>0.63682310477456106</v>
      </c>
      <c r="V311" s="3354">
        <f t="shared" si="284"/>
        <v>0.66729064924287906</v>
      </c>
      <c r="W311" s="3354">
        <f t="shared" si="284"/>
        <v>0.65549486843838978</v>
      </c>
      <c r="X311" s="3354">
        <f t="shared" si="284"/>
        <v>0.63064869369994214</v>
      </c>
      <c r="Y311" s="3995"/>
    </row>
    <row r="312" spans="1:29">
      <c r="A312" s="1530"/>
      <c r="G312" s="1688" t="str">
        <f>B302</f>
        <v>Automotive</v>
      </c>
      <c r="H312" s="1688"/>
      <c r="I312" s="1688"/>
      <c r="J312" s="1688"/>
      <c r="K312" s="1688"/>
      <c r="L312" s="5031">
        <f t="shared" ref="L312" si="285">L307/L309</f>
        <v>0.38851136630233851</v>
      </c>
      <c r="M312" s="5031">
        <f t="shared" ref="M312:X312" si="286">M307/M309</f>
        <v>0.4004193699578692</v>
      </c>
      <c r="N312" s="5031">
        <f t="shared" si="286"/>
        <v>0.47980770756445745</v>
      </c>
      <c r="O312" s="5031">
        <f t="shared" si="286"/>
        <v>0.44879648413754075</v>
      </c>
      <c r="P312" s="5031">
        <f t="shared" si="286"/>
        <v>0.456901592826779</v>
      </c>
      <c r="Q312" s="3354">
        <f t="shared" si="286"/>
        <v>0.32572763231105634</v>
      </c>
      <c r="R312" s="3354">
        <f t="shared" si="286"/>
        <v>0.32555852415082781</v>
      </c>
      <c r="S312" s="3354">
        <f t="shared" si="286"/>
        <v>0.28117562525691064</v>
      </c>
      <c r="T312" s="3354">
        <f t="shared" si="286"/>
        <v>0.34690624346456644</v>
      </c>
      <c r="U312" s="3354">
        <f t="shared" si="286"/>
        <v>0.36312799269026103</v>
      </c>
      <c r="V312" s="3354">
        <f t="shared" si="286"/>
        <v>0.33266305579472238</v>
      </c>
      <c r="W312" s="3354">
        <f t="shared" si="286"/>
        <v>0.34445787763363334</v>
      </c>
      <c r="X312" s="3354">
        <f t="shared" si="286"/>
        <v>0.36914600707199624</v>
      </c>
      <c r="Y312" s="3995"/>
    </row>
    <row r="313" spans="1:29">
      <c r="A313" s="1530"/>
    </row>
    <row r="314" spans="1:29">
      <c r="A314" s="1530"/>
    </row>
    <row r="315" spans="1:29">
      <c r="A315" s="1530"/>
    </row>
    <row r="316" spans="1:29" ht="16.2" thickBot="1">
      <c r="A316" s="1530" t="s">
        <v>1005</v>
      </c>
    </row>
    <row r="317" spans="1:29" ht="31.8" thickBot="1">
      <c r="A317" s="1539" t="s">
        <v>1009</v>
      </c>
      <c r="B317" s="7202" t="s">
        <v>106</v>
      </c>
      <c r="C317" s="7202"/>
      <c r="D317" s="7202" t="s">
        <v>105</v>
      </c>
      <c r="E317" s="7202"/>
      <c r="F317" s="7202"/>
      <c r="G317" s="1679" t="s">
        <v>1007</v>
      </c>
      <c r="H317" s="1679"/>
      <c r="I317" s="1679"/>
      <c r="J317" s="1679"/>
      <c r="K317" s="1679"/>
      <c r="L317" s="5005" t="str">
        <f t="shared" ref="L317" si="287">L298</f>
        <v>Jan.26</v>
      </c>
      <c r="M317" s="5005" t="str">
        <f t="shared" ref="M317:X317" si="288">M298</f>
        <v>Feb.26</v>
      </c>
      <c r="N317" s="5005" t="str">
        <f t="shared" si="288"/>
        <v>Mar.26</v>
      </c>
      <c r="O317" s="5005" t="str">
        <f t="shared" si="288"/>
        <v>Apr.26</v>
      </c>
      <c r="P317" s="5005" t="str">
        <f t="shared" si="288"/>
        <v>May.26</v>
      </c>
      <c r="Q317" s="1842" t="str">
        <f t="shared" si="288"/>
        <v>Jun.26</v>
      </c>
      <c r="R317" s="1842" t="str">
        <f t="shared" si="288"/>
        <v>Jul.26</v>
      </c>
      <c r="S317" s="1842" t="str">
        <f t="shared" si="288"/>
        <v>Aug.26</v>
      </c>
      <c r="T317" s="1842" t="str">
        <f t="shared" si="288"/>
        <v>Sep.26</v>
      </c>
      <c r="U317" s="1842" t="str">
        <f t="shared" si="288"/>
        <v>Oct.26</v>
      </c>
      <c r="V317" s="1842" t="str">
        <f t="shared" si="288"/>
        <v>Nov.26</v>
      </c>
      <c r="W317" s="1842" t="str">
        <f t="shared" si="288"/>
        <v>Dec.26</v>
      </c>
      <c r="X317" s="3351" t="str">
        <f t="shared" si="288"/>
        <v>2026
Total</v>
      </c>
      <c r="Y317" s="3992"/>
      <c r="AB317" s="5"/>
      <c r="AC317" s="5"/>
    </row>
    <row r="318" spans="1:29">
      <c r="A318" s="7224">
        <v>1</v>
      </c>
      <c r="B318" s="7197" t="s">
        <v>16</v>
      </c>
      <c r="C318" s="7197"/>
      <c r="D318" s="7197" t="s">
        <v>19</v>
      </c>
      <c r="E318" s="7197"/>
      <c r="F318" s="7197"/>
      <c r="G318" s="1681">
        <f>X318/$X$329</f>
        <v>0.43759962670984176</v>
      </c>
      <c r="H318" s="1681"/>
      <c r="I318" s="1681"/>
      <c r="J318" s="1681"/>
      <c r="K318" s="1681"/>
      <c r="L318" s="5013">
        <f t="shared" ref="L318:W319" si="289">SUMIF($AB$109:$AB$201,$D318,L$109:L$201)</f>
        <v>1552036.4831915256</v>
      </c>
      <c r="M318" s="5013">
        <f t="shared" si="289"/>
        <v>1260308.1466799113</v>
      </c>
      <c r="N318" s="5013">
        <f t="shared" si="289"/>
        <v>1391447.6696153847</v>
      </c>
      <c r="O318" s="5013">
        <f t="shared" si="289"/>
        <v>1054708.1368323155</v>
      </c>
      <c r="P318" s="5013">
        <f t="shared" si="289"/>
        <v>1302861.8714615386</v>
      </c>
      <c r="Q318" s="3800">
        <f t="shared" si="289"/>
        <v>1802754.8033229695</v>
      </c>
      <c r="R318" s="3800">
        <f t="shared" si="289"/>
        <v>2004679.7787092798</v>
      </c>
      <c r="S318" s="3800">
        <f t="shared" si="289"/>
        <v>2077958.6633246639</v>
      </c>
      <c r="T318" s="3800">
        <f t="shared" si="289"/>
        <v>1602106.3426453108</v>
      </c>
      <c r="U318" s="3800">
        <f t="shared" si="289"/>
        <v>1468015.8060182608</v>
      </c>
      <c r="V318" s="3800">
        <f t="shared" si="289"/>
        <v>1586931.2123087221</v>
      </c>
      <c r="W318" s="3800">
        <f t="shared" si="289"/>
        <v>1591710.9339940718</v>
      </c>
      <c r="X318" s="3348">
        <f>SUM(L318:W318)</f>
        <v>18695519.848103955</v>
      </c>
      <c r="Y318" s="4"/>
      <c r="AB318" s="3567"/>
      <c r="AC318" s="3567"/>
    </row>
    <row r="319" spans="1:29">
      <c r="A319" s="7225"/>
      <c r="B319" s="7200"/>
      <c r="C319" s="7200"/>
      <c r="D319" s="7198" t="s">
        <v>24</v>
      </c>
      <c r="E319" s="7198"/>
      <c r="F319" s="7198"/>
      <c r="G319" s="1684">
        <f>X319/$X$329</f>
        <v>1.623379704271519E-2</v>
      </c>
      <c r="H319" s="1684"/>
      <c r="I319" s="1684"/>
      <c r="J319" s="1684"/>
      <c r="K319" s="1684"/>
      <c r="L319" s="5018">
        <f t="shared" si="289"/>
        <v>69611</v>
      </c>
      <c r="M319" s="5018">
        <f t="shared" si="289"/>
        <v>41746.336000000003</v>
      </c>
      <c r="N319" s="5018">
        <f t="shared" si="289"/>
        <v>50109</v>
      </c>
      <c r="O319" s="5018">
        <f t="shared" si="289"/>
        <v>60033</v>
      </c>
      <c r="P319" s="5018">
        <f t="shared" si="289"/>
        <v>60266.71428571429</v>
      </c>
      <c r="Q319" s="3817">
        <f t="shared" si="289"/>
        <v>59524.857142857145</v>
      </c>
      <c r="R319" s="3817">
        <f t="shared" si="289"/>
        <v>70695.357142857145</v>
      </c>
      <c r="S319" s="3817">
        <f t="shared" si="289"/>
        <v>63096.357142857145</v>
      </c>
      <c r="T319" s="3817">
        <f t="shared" si="289"/>
        <v>67211.357142857145</v>
      </c>
      <c r="U319" s="3817">
        <f t="shared" si="289"/>
        <v>59524.857142857145</v>
      </c>
      <c r="V319" s="3817">
        <f t="shared" si="289"/>
        <v>47925.428571428572</v>
      </c>
      <c r="W319" s="3817">
        <f t="shared" si="289"/>
        <v>43810.428571428572</v>
      </c>
      <c r="X319" s="3716">
        <f>SUM(L319:W319)</f>
        <v>693554.69314285717</v>
      </c>
      <c r="Y319" s="4"/>
      <c r="AB319" s="3567"/>
      <c r="AC319" s="3567"/>
    </row>
    <row r="320" spans="1:29" ht="16.2" thickBot="1">
      <c r="A320" s="7226"/>
      <c r="B320" s="7199"/>
      <c r="C320" s="7199"/>
      <c r="D320" s="7199" t="s">
        <v>122</v>
      </c>
      <c r="E320" s="7199"/>
      <c r="F320" s="7199"/>
      <c r="G320" s="1685"/>
      <c r="H320" s="1685"/>
      <c r="I320" s="1685"/>
      <c r="J320" s="1685"/>
      <c r="K320" s="1685"/>
      <c r="L320" s="5029">
        <f t="shared" ref="L320" si="290">SUM(L318:L319)</f>
        <v>1621647.4831915256</v>
      </c>
      <c r="M320" s="5029">
        <f t="shared" ref="M320:W320" si="291">SUM(M318:M319)</f>
        <v>1302054.4826799112</v>
      </c>
      <c r="N320" s="5029">
        <f t="shared" si="291"/>
        <v>1441556.6696153847</v>
      </c>
      <c r="O320" s="5029">
        <f t="shared" si="291"/>
        <v>1114741.1368323155</v>
      </c>
      <c r="P320" s="5029">
        <f t="shared" si="291"/>
        <v>1363128.5857472529</v>
      </c>
      <c r="Q320" s="2226">
        <f t="shared" si="291"/>
        <v>1862279.6604658265</v>
      </c>
      <c r="R320" s="2226">
        <f t="shared" si="291"/>
        <v>2075375.1358521369</v>
      </c>
      <c r="S320" s="2226">
        <f t="shared" si="291"/>
        <v>2141055.0204675212</v>
      </c>
      <c r="T320" s="2226">
        <f t="shared" si="291"/>
        <v>1669317.6997881678</v>
      </c>
      <c r="U320" s="2226">
        <f t="shared" si="291"/>
        <v>1527540.6631611178</v>
      </c>
      <c r="V320" s="2226">
        <f t="shared" si="291"/>
        <v>1634856.6408801507</v>
      </c>
      <c r="W320" s="2226">
        <f t="shared" si="291"/>
        <v>1635521.3625655004</v>
      </c>
      <c r="X320" s="2227">
        <f t="shared" ref="X320" si="292">SUM(X318:X319)</f>
        <v>19389074.541246813</v>
      </c>
      <c r="Y320" s="1637"/>
      <c r="AB320" s="3567"/>
      <c r="AC320" s="3567"/>
    </row>
    <row r="321" spans="1:29">
      <c r="A321" s="7224">
        <v>2</v>
      </c>
      <c r="B321" s="7197" t="s">
        <v>492</v>
      </c>
      <c r="C321" s="7197"/>
      <c r="D321" s="7197" t="s">
        <v>544</v>
      </c>
      <c r="E321" s="7197"/>
      <c r="F321" s="7197"/>
      <c r="G321" s="1681">
        <f t="shared" ref="G321:G325" si="293">X321/$X$329</f>
        <v>0.14187545332339335</v>
      </c>
      <c r="H321" s="1681"/>
      <c r="I321" s="1681"/>
      <c r="J321" s="1681"/>
      <c r="K321" s="1681"/>
      <c r="L321" s="5013">
        <f t="shared" ref="L321:W325" si="294">SUMIF($AB$109:$AB$201,$D321,L$109:L$201)</f>
        <v>496695.90197423066</v>
      </c>
      <c r="M321" s="5013">
        <f t="shared" si="294"/>
        <v>602117.20012550673</v>
      </c>
      <c r="N321" s="5013">
        <f t="shared" si="294"/>
        <v>777237.06765535264</v>
      </c>
      <c r="O321" s="5013">
        <f t="shared" si="294"/>
        <v>891434.24902268685</v>
      </c>
      <c r="P321" s="5013">
        <f t="shared" si="294"/>
        <v>789341.77421046572</v>
      </c>
      <c r="Q321" s="3800">
        <f t="shared" si="294"/>
        <v>752236.26909753622</v>
      </c>
      <c r="R321" s="3800">
        <f t="shared" si="294"/>
        <v>656589.82138213306</v>
      </c>
      <c r="S321" s="3800">
        <f t="shared" si="294"/>
        <v>425470.6630420268</v>
      </c>
      <c r="T321" s="3800">
        <f t="shared" si="294"/>
        <v>193575.08015356236</v>
      </c>
      <c r="U321" s="3800">
        <f t="shared" si="294"/>
        <v>158877.02600000001</v>
      </c>
      <c r="V321" s="3800">
        <f t="shared" si="294"/>
        <v>158877.02600000001</v>
      </c>
      <c r="W321" s="3800">
        <f t="shared" si="294"/>
        <v>158877.02600000001</v>
      </c>
      <c r="X321" s="3348">
        <f>SUM(L321:W321)</f>
        <v>6061329.1046634996</v>
      </c>
      <c r="Y321" s="4"/>
      <c r="AB321" s="3567"/>
      <c r="AC321" s="3567"/>
    </row>
    <row r="322" spans="1:29">
      <c r="A322" s="7225"/>
      <c r="B322" s="7200"/>
      <c r="C322" s="7200"/>
      <c r="D322" s="7200" t="s">
        <v>398</v>
      </c>
      <c r="E322" s="7200"/>
      <c r="F322" s="7200"/>
      <c r="G322" s="1686">
        <f t="shared" si="293"/>
        <v>0.15309090215579799</v>
      </c>
      <c r="H322" s="1686"/>
      <c r="I322" s="1686"/>
      <c r="J322" s="1686"/>
      <c r="K322" s="1686"/>
      <c r="L322" s="5014">
        <f t="shared" si="294"/>
        <v>623186.21041293023</v>
      </c>
      <c r="M322" s="5014">
        <f t="shared" si="294"/>
        <v>669701.2997731443</v>
      </c>
      <c r="N322" s="5014">
        <f t="shared" si="294"/>
        <v>730753.23592307698</v>
      </c>
      <c r="O322" s="5014">
        <f t="shared" si="294"/>
        <v>653826.78965971642</v>
      </c>
      <c r="P322" s="5014">
        <f t="shared" si="294"/>
        <v>398462.33977314428</v>
      </c>
      <c r="Q322" s="3802">
        <f t="shared" si="294"/>
        <v>461568.91913683026</v>
      </c>
      <c r="R322" s="3802">
        <f t="shared" si="294"/>
        <v>447181.7956435472</v>
      </c>
      <c r="S322" s="3802">
        <f t="shared" si="294"/>
        <v>376752.2997731443</v>
      </c>
      <c r="T322" s="3802">
        <f t="shared" si="294"/>
        <v>583272.2997731443</v>
      </c>
      <c r="U322" s="3802">
        <f t="shared" si="294"/>
        <v>565855.2997731443</v>
      </c>
      <c r="V322" s="3802">
        <f t="shared" si="294"/>
        <v>511714.2997731443</v>
      </c>
      <c r="W322" s="3802">
        <f t="shared" si="294"/>
        <v>518210.67977314431</v>
      </c>
      <c r="X322" s="2300">
        <f>SUM(L322:W322)</f>
        <v>6540485.4691881118</v>
      </c>
      <c r="Y322" s="4"/>
      <c r="AB322" s="3567"/>
      <c r="AC322" s="3567"/>
    </row>
    <row r="323" spans="1:29">
      <c r="A323" s="7225"/>
      <c r="B323" s="7200"/>
      <c r="C323" s="7200"/>
      <c r="D323" s="7200" t="s">
        <v>397</v>
      </c>
      <c r="E323" s="7200"/>
      <c r="F323" s="7200"/>
      <c r="G323" s="1686">
        <f t="shared" si="293"/>
        <v>0</v>
      </c>
      <c r="H323" s="1686"/>
      <c r="I323" s="1686"/>
      <c r="J323" s="1686"/>
      <c r="K323" s="1686"/>
      <c r="L323" s="5014">
        <f t="shared" si="294"/>
        <v>0</v>
      </c>
      <c r="M323" s="5014">
        <f t="shared" si="294"/>
        <v>0</v>
      </c>
      <c r="N323" s="5014">
        <f t="shared" si="294"/>
        <v>0</v>
      </c>
      <c r="O323" s="5014">
        <f t="shared" si="294"/>
        <v>0</v>
      </c>
      <c r="P323" s="5014">
        <f t="shared" si="294"/>
        <v>0</v>
      </c>
      <c r="Q323" s="3802">
        <f t="shared" si="294"/>
        <v>0</v>
      </c>
      <c r="R323" s="3802">
        <f t="shared" si="294"/>
        <v>0</v>
      </c>
      <c r="S323" s="3802">
        <f t="shared" si="294"/>
        <v>0</v>
      </c>
      <c r="T323" s="3802">
        <f t="shared" si="294"/>
        <v>0</v>
      </c>
      <c r="U323" s="3802">
        <f t="shared" si="294"/>
        <v>0</v>
      </c>
      <c r="V323" s="3802">
        <f t="shared" si="294"/>
        <v>0</v>
      </c>
      <c r="W323" s="3802">
        <f t="shared" si="294"/>
        <v>0</v>
      </c>
      <c r="X323" s="2300">
        <f>SUM(L323:W323)</f>
        <v>0</v>
      </c>
      <c r="Y323" s="4"/>
      <c r="AB323" s="3567"/>
      <c r="AC323" s="3567"/>
    </row>
    <row r="324" spans="1:29">
      <c r="A324" s="7225"/>
      <c r="B324" s="7200"/>
      <c r="C324" s="7200"/>
      <c r="D324" s="7200" t="s">
        <v>400</v>
      </c>
      <c r="E324" s="7200"/>
      <c r="F324" s="7200"/>
      <c r="G324" s="1686">
        <f t="shared" si="293"/>
        <v>0.19506051720841025</v>
      </c>
      <c r="H324" s="1686"/>
      <c r="I324" s="1686"/>
      <c r="J324" s="1686"/>
      <c r="K324" s="1686"/>
      <c r="L324" s="5014">
        <f t="shared" si="294"/>
        <v>740973.40120446193</v>
      </c>
      <c r="M324" s="5014">
        <f t="shared" si="294"/>
        <v>373150.10899376689</v>
      </c>
      <c r="N324" s="5014">
        <f t="shared" si="294"/>
        <v>888724.12755398103</v>
      </c>
      <c r="O324" s="5014">
        <f t="shared" si="294"/>
        <v>384733.06952764193</v>
      </c>
      <c r="P324" s="5014">
        <f t="shared" si="294"/>
        <v>810561.1892444042</v>
      </c>
      <c r="Q324" s="3802">
        <f t="shared" si="294"/>
        <v>561779.63356041885</v>
      </c>
      <c r="R324" s="3802">
        <f t="shared" si="294"/>
        <v>770221.29933804739</v>
      </c>
      <c r="S324" s="3802">
        <f t="shared" si="294"/>
        <v>682261.27167644072</v>
      </c>
      <c r="T324" s="3802">
        <f t="shared" si="294"/>
        <v>793394.69042775559</v>
      </c>
      <c r="U324" s="3802">
        <f t="shared" si="294"/>
        <v>790499.69042775559</v>
      </c>
      <c r="V324" s="3802">
        <f t="shared" si="294"/>
        <v>758731.04798502254</v>
      </c>
      <c r="W324" s="3802">
        <f t="shared" si="294"/>
        <v>778519.10324801877</v>
      </c>
      <c r="X324" s="2300">
        <f>SUM(L324:W324)</f>
        <v>8333548.6331877168</v>
      </c>
      <c r="Y324" s="4"/>
      <c r="AB324" s="3567"/>
      <c r="AC324" s="3567"/>
    </row>
    <row r="325" spans="1:29">
      <c r="A325" s="7225"/>
      <c r="B325" s="7200"/>
      <c r="C325" s="7200"/>
      <c r="D325" s="7198" t="s">
        <v>886</v>
      </c>
      <c r="E325" s="7198"/>
      <c r="F325" s="7198"/>
      <c r="G325" s="1684">
        <f t="shared" si="293"/>
        <v>0</v>
      </c>
      <c r="H325" s="1684"/>
      <c r="I325" s="1684"/>
      <c r="J325" s="1684"/>
      <c r="K325" s="1684"/>
      <c r="L325" s="5018">
        <f t="shared" si="294"/>
        <v>0</v>
      </c>
      <c r="M325" s="5018">
        <f t="shared" si="294"/>
        <v>0</v>
      </c>
      <c r="N325" s="5018">
        <f t="shared" si="294"/>
        <v>0</v>
      </c>
      <c r="O325" s="5018">
        <f t="shared" si="294"/>
        <v>0</v>
      </c>
      <c r="P325" s="5018">
        <f t="shared" si="294"/>
        <v>0</v>
      </c>
      <c r="Q325" s="3817">
        <f t="shared" si="294"/>
        <v>0</v>
      </c>
      <c r="R325" s="3817">
        <f t="shared" si="294"/>
        <v>0</v>
      </c>
      <c r="S325" s="3817">
        <f t="shared" si="294"/>
        <v>0</v>
      </c>
      <c r="T325" s="3817">
        <f t="shared" si="294"/>
        <v>0</v>
      </c>
      <c r="U325" s="3817">
        <f t="shared" si="294"/>
        <v>0</v>
      </c>
      <c r="V325" s="3817">
        <f t="shared" si="294"/>
        <v>0</v>
      </c>
      <c r="W325" s="3817">
        <f t="shared" si="294"/>
        <v>0</v>
      </c>
      <c r="X325" s="3716">
        <f>SUM(L325:W325)</f>
        <v>0</v>
      </c>
      <c r="Y325" s="4"/>
      <c r="AB325" s="3567"/>
      <c r="AC325" s="3567"/>
    </row>
    <row r="326" spans="1:29" ht="16.2" thickBot="1">
      <c r="A326" s="7226"/>
      <c r="B326" s="7199"/>
      <c r="C326" s="7199"/>
      <c r="D326" s="7199" t="s">
        <v>122</v>
      </c>
      <c r="E326" s="7199"/>
      <c r="F326" s="7199"/>
      <c r="G326" s="1685"/>
      <c r="H326" s="1685"/>
      <c r="I326" s="1685"/>
      <c r="J326" s="1685"/>
      <c r="K326" s="1685"/>
      <c r="L326" s="5029">
        <f t="shared" ref="L326" si="295">SUM(L321:L325)</f>
        <v>1860855.5135916227</v>
      </c>
      <c r="M326" s="5029">
        <f t="shared" ref="M326:W326" si="296">SUM(M321:M325)</f>
        <v>1644968.608892418</v>
      </c>
      <c r="N326" s="5029">
        <f t="shared" si="296"/>
        <v>2396714.4311324107</v>
      </c>
      <c r="O326" s="5029">
        <f t="shared" si="296"/>
        <v>1929994.1082100451</v>
      </c>
      <c r="P326" s="5029">
        <f t="shared" si="296"/>
        <v>1998365.3032280141</v>
      </c>
      <c r="Q326" s="2226">
        <f t="shared" si="296"/>
        <v>1775584.8217947853</v>
      </c>
      <c r="R326" s="2226">
        <f t="shared" si="296"/>
        <v>1873992.9163637278</v>
      </c>
      <c r="S326" s="2226">
        <f t="shared" si="296"/>
        <v>1484484.2344916118</v>
      </c>
      <c r="T326" s="2226">
        <f t="shared" si="296"/>
        <v>1570242.0703544621</v>
      </c>
      <c r="U326" s="2226">
        <f t="shared" si="296"/>
        <v>1515232.0162009001</v>
      </c>
      <c r="V326" s="2226">
        <f t="shared" si="296"/>
        <v>1429322.373758167</v>
      </c>
      <c r="W326" s="2226">
        <f t="shared" si="296"/>
        <v>1455606.809021163</v>
      </c>
      <c r="X326" s="2227">
        <f t="shared" ref="X326" si="297">SUM(X321:X325)</f>
        <v>20935363.207039326</v>
      </c>
      <c r="Y326" s="1637"/>
      <c r="AB326" s="3717"/>
      <c r="AC326" s="3567"/>
    </row>
    <row r="327" spans="1:29" ht="16.2" thickBot="1">
      <c r="A327" s="69"/>
      <c r="B327" s="7223" t="s">
        <v>1272</v>
      </c>
      <c r="C327" s="7223"/>
      <c r="D327" s="7223" t="s">
        <v>1271</v>
      </c>
      <c r="E327" s="7223"/>
      <c r="F327" s="7223"/>
      <c r="G327" s="1685"/>
      <c r="H327" s="1685"/>
      <c r="I327" s="1685"/>
      <c r="J327" s="1685"/>
      <c r="K327" s="1685"/>
      <c r="L327" s="5014">
        <f t="shared" ref="L327:W327" si="298">SUMIF($AB$109:$AB$201,$D327,L$109:L$201)</f>
        <v>0</v>
      </c>
      <c r="M327" s="5014">
        <f t="shared" si="298"/>
        <v>1554</v>
      </c>
      <c r="N327" s="5014">
        <f t="shared" si="298"/>
        <v>0</v>
      </c>
      <c r="O327" s="5014">
        <f t="shared" si="298"/>
        <v>19447.599999999999</v>
      </c>
      <c r="P327" s="5014">
        <f t="shared" si="298"/>
        <v>3207</v>
      </c>
      <c r="Q327" s="3802">
        <f t="shared" si="298"/>
        <v>0</v>
      </c>
      <c r="R327" s="3802">
        <f t="shared" si="298"/>
        <v>0</v>
      </c>
      <c r="S327" s="3802">
        <f t="shared" si="298"/>
        <v>16500</v>
      </c>
      <c r="T327" s="3802">
        <f t="shared" si="298"/>
        <v>24750</v>
      </c>
      <c r="U327" s="3802">
        <f t="shared" si="298"/>
        <v>16500</v>
      </c>
      <c r="V327" s="3802">
        <f t="shared" si="298"/>
        <v>16500</v>
      </c>
      <c r="W327" s="3802">
        <f t="shared" si="298"/>
        <v>16500</v>
      </c>
      <c r="X327" s="2300">
        <f>SUM(L327:W327)</f>
        <v>114958.6</v>
      </c>
      <c r="Y327" s="4"/>
      <c r="AB327" s="3717"/>
      <c r="AC327" s="3567"/>
    </row>
    <row r="328" spans="1:29" ht="16.2" thickBot="1">
      <c r="A328" s="1539">
        <v>3</v>
      </c>
      <c r="B328" s="7223" t="s">
        <v>1002</v>
      </c>
      <c r="C328" s="7223"/>
      <c r="D328" s="7223" t="s">
        <v>1002</v>
      </c>
      <c r="E328" s="7223"/>
      <c r="F328" s="7223"/>
      <c r="G328" s="1687">
        <f>X328/$X$329</f>
        <v>5.3448907002387663E-2</v>
      </c>
      <c r="H328" s="1687"/>
      <c r="I328" s="1687"/>
      <c r="J328" s="1687"/>
      <c r="K328" s="1687"/>
      <c r="L328" s="5032">
        <f t="shared" ref="L328:W328" si="299">L204+L205</f>
        <v>167126.18181818179</v>
      </c>
      <c r="M328" s="5032">
        <f t="shared" si="299"/>
        <v>193023.196663462</v>
      </c>
      <c r="N328" s="5032">
        <f t="shared" si="299"/>
        <v>238543</v>
      </c>
      <c r="O328" s="5032">
        <f t="shared" si="299"/>
        <v>225448.28999999998</v>
      </c>
      <c r="P328" s="5032">
        <f t="shared" si="299"/>
        <v>371056</v>
      </c>
      <c r="Q328" s="3639">
        <f t="shared" si="299"/>
        <v>183295</v>
      </c>
      <c r="R328" s="3639">
        <f t="shared" si="299"/>
        <v>170000</v>
      </c>
      <c r="S328" s="3639">
        <f t="shared" si="299"/>
        <v>190000</v>
      </c>
      <c r="T328" s="3639">
        <f t="shared" si="299"/>
        <v>110000</v>
      </c>
      <c r="U328" s="3639">
        <f t="shared" si="299"/>
        <v>195000</v>
      </c>
      <c r="V328" s="3639">
        <f t="shared" si="299"/>
        <v>130000</v>
      </c>
      <c r="W328" s="3639">
        <f t="shared" si="299"/>
        <v>110000</v>
      </c>
      <c r="X328" s="2460">
        <f>SUM(L328:W328)</f>
        <v>2283491.6684816438</v>
      </c>
      <c r="Y328" s="4"/>
      <c r="AB328" s="3717"/>
      <c r="AC328" s="3567"/>
    </row>
    <row r="329" spans="1:29" ht="16.2" thickBot="1">
      <c r="A329" s="69"/>
      <c r="B329" s="7199"/>
      <c r="C329" s="7199"/>
      <c r="D329" s="7199" t="s">
        <v>15</v>
      </c>
      <c r="E329" s="7199"/>
      <c r="F329" s="7199"/>
      <c r="G329" s="1685"/>
      <c r="H329" s="1685"/>
      <c r="I329" s="1685"/>
      <c r="J329" s="1685"/>
      <c r="K329" s="1685"/>
      <c r="L329" s="5029">
        <f t="shared" ref="L329" si="300">SUM(+L326,L328,L320,L327)</f>
        <v>3649629.1786013301</v>
      </c>
      <c r="M329" s="5029">
        <f t="shared" ref="M329:W329" si="301">SUM(+M326,M328,M320,M327)</f>
        <v>3141600.288235791</v>
      </c>
      <c r="N329" s="5029">
        <f t="shared" si="301"/>
        <v>4076814.1007477953</v>
      </c>
      <c r="O329" s="5029">
        <f t="shared" si="301"/>
        <v>3289631.1350423605</v>
      </c>
      <c r="P329" s="5029">
        <f t="shared" si="301"/>
        <v>3735756.8889752673</v>
      </c>
      <c r="Q329" s="2226">
        <f t="shared" si="301"/>
        <v>3821159.4822606118</v>
      </c>
      <c r="R329" s="2226">
        <f t="shared" si="301"/>
        <v>4119368.0522158649</v>
      </c>
      <c r="S329" s="2226">
        <f t="shared" si="301"/>
        <v>3832039.254959133</v>
      </c>
      <c r="T329" s="2226">
        <f t="shared" si="301"/>
        <v>3374309.7701426297</v>
      </c>
      <c r="U329" s="2226">
        <f t="shared" si="301"/>
        <v>3254272.6793620177</v>
      </c>
      <c r="V329" s="2226">
        <f t="shared" si="301"/>
        <v>3210679.0146383177</v>
      </c>
      <c r="W329" s="2226">
        <f t="shared" si="301"/>
        <v>3217628.1715866635</v>
      </c>
      <c r="X329" s="2227">
        <f>SUM(+X326,X327,X328,X320)</f>
        <v>42722888.016767785</v>
      </c>
      <c r="Y329" s="1637"/>
      <c r="AB329" s="3567"/>
      <c r="AC329" s="3567"/>
    </row>
    <row r="330" spans="1:29">
      <c r="A330" s="1530"/>
      <c r="B330" s="1528"/>
      <c r="D330" s="5"/>
      <c r="X330" s="1535" t="b">
        <f>X329=X206</f>
        <v>0</v>
      </c>
      <c r="AC330" s="5"/>
    </row>
    <row r="331" spans="1:29">
      <c r="A331" s="1530"/>
      <c r="B331" s="1528"/>
      <c r="D331" s="5"/>
      <c r="G331" s="1688" t="str">
        <f>B318</f>
        <v>Mobile</v>
      </c>
      <c r="H331" s="1688"/>
      <c r="I331" s="1688"/>
      <c r="J331" s="1688"/>
      <c r="K331" s="1688"/>
      <c r="L331" s="5031">
        <f>L320/L329</f>
        <v>0.44433212357563395</v>
      </c>
      <c r="M331" s="5031">
        <f>M320/M329</f>
        <v>0.41445580698335682</v>
      </c>
      <c r="N331" s="5031">
        <f t="shared" ref="N331:V331" si="302">N320/N329</f>
        <v>0.35359882349086391</v>
      </c>
      <c r="O331" s="5031">
        <f t="shared" si="302"/>
        <v>0.33886508580177366</v>
      </c>
      <c r="P331" s="5031">
        <f t="shared" si="302"/>
        <v>0.36488685593273829</v>
      </c>
      <c r="Q331" s="3354">
        <f t="shared" si="302"/>
        <v>0.48735983648714265</v>
      </c>
      <c r="R331" s="3354">
        <f t="shared" si="302"/>
        <v>0.50380910604376905</v>
      </c>
      <c r="S331" s="3354">
        <f t="shared" si="302"/>
        <v>0.55872470974735733</v>
      </c>
      <c r="T331" s="3354">
        <f t="shared" si="302"/>
        <v>0.49471382697552602</v>
      </c>
      <c r="U331" s="3354">
        <f t="shared" si="302"/>
        <v>0.4693954114074374</v>
      </c>
      <c r="V331" s="3354">
        <f t="shared" si="302"/>
        <v>0.50919342401604628</v>
      </c>
      <c r="W331" s="3354">
        <f>W320/W329</f>
        <v>0.50830029927261577</v>
      </c>
      <c r="X331" s="3354">
        <f t="shared" ref="X331" si="303">X320/X329</f>
        <v>0.45383342375255697</v>
      </c>
      <c r="Y331" s="3995"/>
      <c r="AC331" s="5"/>
    </row>
    <row r="332" spans="1:29">
      <c r="A332" s="1530"/>
      <c r="B332" s="1528"/>
      <c r="D332" s="5"/>
      <c r="G332" s="1688" t="str">
        <f>B321</f>
        <v>Automotive</v>
      </c>
      <c r="H332" s="1688"/>
      <c r="I332" s="1688"/>
      <c r="J332" s="1688"/>
      <c r="K332" s="1688"/>
      <c r="L332" s="5031">
        <f>L326/L329</f>
        <v>0.50987522910608962</v>
      </c>
      <c r="M332" s="5031">
        <f>M326/M329</f>
        <v>0.52360849820782673</v>
      </c>
      <c r="N332" s="5031">
        <f t="shared" ref="N332:X332" si="304">N326/N329</f>
        <v>0.58788906531028484</v>
      </c>
      <c r="O332" s="5031">
        <f t="shared" si="304"/>
        <v>0.58669012694190492</v>
      </c>
      <c r="P332" s="5031">
        <f t="shared" si="304"/>
        <v>0.53492916231392496</v>
      </c>
      <c r="Q332" s="3354">
        <f t="shared" si="304"/>
        <v>0.46467173904616588</v>
      </c>
      <c r="R332" s="3354">
        <f t="shared" si="304"/>
        <v>0.45492242805439081</v>
      </c>
      <c r="S332" s="3354">
        <f t="shared" si="304"/>
        <v>0.38738753330110215</v>
      </c>
      <c r="T332" s="3354">
        <f t="shared" si="304"/>
        <v>0.46535208007535395</v>
      </c>
      <c r="U332" s="3354">
        <f t="shared" si="304"/>
        <v>0.46561310790279353</v>
      </c>
      <c r="V332" s="3354">
        <f t="shared" si="304"/>
        <v>0.44517759864549394</v>
      </c>
      <c r="W332" s="3354">
        <f t="shared" si="304"/>
        <v>0.45238502754138316</v>
      </c>
      <c r="X332" s="3354">
        <f t="shared" si="304"/>
        <v>0.49002687268760159</v>
      </c>
      <c r="Y332" s="3995"/>
      <c r="AC332" s="5"/>
    </row>
    <row r="333" spans="1:29">
      <c r="A333" s="1530"/>
      <c r="B333" s="1528"/>
      <c r="D333" s="5"/>
      <c r="G333" s="3513" t="s">
        <v>1262</v>
      </c>
      <c r="H333" s="3513"/>
      <c r="I333" s="3513"/>
      <c r="J333" s="3513"/>
      <c r="K333" s="3513"/>
      <c r="L333" s="5033">
        <f t="shared" ref="L333" si="305">L327/L329</f>
        <v>0</v>
      </c>
      <c r="M333" s="5033">
        <f t="shared" ref="M333:X333" si="306">M327/M329</f>
        <v>4.9465236103370428E-4</v>
      </c>
      <c r="N333" s="5033">
        <f t="shared" si="306"/>
        <v>0</v>
      </c>
      <c r="O333" s="5033">
        <f t="shared" si="306"/>
        <v>5.9117874319819666E-3</v>
      </c>
      <c r="P333" s="5033">
        <f t="shared" si="306"/>
        <v>8.5846057313426858E-4</v>
      </c>
      <c r="Q333" s="3521">
        <f t="shared" si="306"/>
        <v>0</v>
      </c>
      <c r="R333" s="3521">
        <f t="shared" si="306"/>
        <v>0</v>
      </c>
      <c r="S333" s="3521">
        <f t="shared" si="306"/>
        <v>4.3058014029075924E-3</v>
      </c>
      <c r="T333" s="3521">
        <f t="shared" si="306"/>
        <v>7.3348333988179854E-3</v>
      </c>
      <c r="U333" s="3521">
        <f t="shared" si="306"/>
        <v>5.0702573587763193E-3</v>
      </c>
      <c r="V333" s="3521">
        <f t="shared" si="306"/>
        <v>5.1390998367548497E-3</v>
      </c>
      <c r="W333" s="3521">
        <f t="shared" si="306"/>
        <v>5.1280008503479715E-3</v>
      </c>
      <c r="X333" s="3521">
        <f t="shared" si="306"/>
        <v>2.6907965574537308E-3</v>
      </c>
      <c r="Y333" s="3995"/>
      <c r="AC333" s="5"/>
    </row>
    <row r="334" spans="1:29">
      <c r="A334" s="1530"/>
      <c r="B334" s="1528"/>
      <c r="D334" s="5"/>
      <c r="AC334" s="5"/>
    </row>
    <row r="335" spans="1:29">
      <c r="A335" s="1530"/>
      <c r="B335" s="1528"/>
      <c r="D335" s="5"/>
      <c r="AC335" s="5"/>
    </row>
    <row r="336" spans="1:29">
      <c r="A336" s="1530"/>
      <c r="B336" s="1528"/>
      <c r="D336" s="5"/>
      <c r="AC336" s="5"/>
    </row>
    <row r="337" spans="1:29" ht="16.2" thickBot="1">
      <c r="A337" s="1530" t="s">
        <v>1006</v>
      </c>
      <c r="B337" s="1528"/>
      <c r="D337" s="5"/>
      <c r="AC337" s="5"/>
    </row>
    <row r="338" spans="1:29" ht="31.8" thickBot="1">
      <c r="A338" s="1539" t="s">
        <v>1009</v>
      </c>
      <c r="B338" s="7202" t="s">
        <v>106</v>
      </c>
      <c r="C338" s="7202"/>
      <c r="D338" s="7202" t="s">
        <v>989</v>
      </c>
      <c r="E338" s="7202"/>
      <c r="F338" s="7202"/>
      <c r="G338" s="74" t="s">
        <v>1369</v>
      </c>
      <c r="H338" s="74"/>
      <c r="I338" s="74"/>
      <c r="J338" s="74"/>
      <c r="K338" s="74"/>
      <c r="L338" s="5005" t="str">
        <f t="shared" ref="L338" si="307">L317</f>
        <v>Jan.26</v>
      </c>
      <c r="M338" s="5005" t="str">
        <f t="shared" ref="M338:X338" si="308">M317</f>
        <v>Feb.26</v>
      </c>
      <c r="N338" s="5005" t="str">
        <f t="shared" si="308"/>
        <v>Mar.26</v>
      </c>
      <c r="O338" s="5005" t="str">
        <f t="shared" si="308"/>
        <v>Apr.26</v>
      </c>
      <c r="P338" s="5005" t="str">
        <f t="shared" si="308"/>
        <v>May.26</v>
      </c>
      <c r="Q338" s="1842" t="str">
        <f t="shared" si="308"/>
        <v>Jun.26</v>
      </c>
      <c r="R338" s="1842" t="str">
        <f t="shared" si="308"/>
        <v>Jul.26</v>
      </c>
      <c r="S338" s="1842" t="str">
        <f t="shared" si="308"/>
        <v>Aug.26</v>
      </c>
      <c r="T338" s="1842" t="str">
        <f t="shared" si="308"/>
        <v>Sep.26</v>
      </c>
      <c r="U338" s="1842" t="str">
        <f t="shared" si="308"/>
        <v>Oct.26</v>
      </c>
      <c r="V338" s="1842" t="str">
        <f t="shared" si="308"/>
        <v>Nov.26</v>
      </c>
      <c r="W338" s="1842" t="str">
        <f t="shared" si="308"/>
        <v>Dec.26</v>
      </c>
      <c r="X338" s="3351" t="str">
        <f t="shared" si="308"/>
        <v>2026
Total</v>
      </c>
      <c r="Y338" s="3992"/>
      <c r="AB338" s="5"/>
      <c r="AC338" s="5"/>
    </row>
    <row r="339" spans="1:29" ht="15.6" customHeight="1">
      <c r="A339" s="7224">
        <v>1</v>
      </c>
      <c r="B339" s="7197" t="s">
        <v>16</v>
      </c>
      <c r="C339" s="7197"/>
      <c r="D339" s="7228" t="s">
        <v>16</v>
      </c>
      <c r="E339" s="7228"/>
      <c r="F339" s="7228"/>
      <c r="G339" s="1689">
        <f>X339/$X$350</f>
        <v>0.63064869369994214</v>
      </c>
      <c r="H339" s="1689"/>
      <c r="I339" s="1689"/>
      <c r="J339" s="1689"/>
      <c r="K339" s="1689"/>
      <c r="L339" s="5034">
        <f t="shared" ref="L339:W339" si="309">SUMIF($AC$5:$AC$101,$D339,L$5:L$101)</f>
        <v>1963665.4776119404</v>
      </c>
      <c r="M339" s="5034">
        <f t="shared" si="309"/>
        <v>1591342.2675577155</v>
      </c>
      <c r="N339" s="5034">
        <f t="shared" si="309"/>
        <v>1712076.6364839063</v>
      </c>
      <c r="O339" s="5034">
        <f t="shared" si="309"/>
        <v>1469524.9991600169</v>
      </c>
      <c r="P339" s="5034">
        <f t="shared" si="309"/>
        <v>1637045.8455598457</v>
      </c>
      <c r="Q339" s="2372">
        <f t="shared" si="309"/>
        <v>2499666.4092664095</v>
      </c>
      <c r="R339" s="2372">
        <f t="shared" si="309"/>
        <v>2802516.4092664095</v>
      </c>
      <c r="S339" s="2372">
        <f t="shared" si="309"/>
        <v>2887216.4092664095</v>
      </c>
      <c r="T339" s="2372">
        <f t="shared" si="309"/>
        <v>2171216.4092664095</v>
      </c>
      <c r="U339" s="2372">
        <f t="shared" si="309"/>
        <v>1981666.4092664092</v>
      </c>
      <c r="V339" s="2372">
        <f t="shared" si="309"/>
        <v>2193433.2046332047</v>
      </c>
      <c r="W339" s="2372">
        <f t="shared" si="309"/>
        <v>2110933.2046332047</v>
      </c>
      <c r="X339" s="3754">
        <f t="shared" ref="X339:X350" si="310">SUM(L339:W339)</f>
        <v>25020303.681971882</v>
      </c>
      <c r="Y339" s="3996"/>
      <c r="AB339" s="3567"/>
      <c r="AC339" s="3567"/>
    </row>
    <row r="340" spans="1:29" ht="15.6" customHeight="1" thickBot="1">
      <c r="A340" s="7226"/>
      <c r="B340" s="7199"/>
      <c r="C340" s="7199"/>
      <c r="D340" s="7199" t="s">
        <v>122</v>
      </c>
      <c r="E340" s="7199"/>
      <c r="F340" s="7199"/>
      <c r="G340" s="1690"/>
      <c r="H340" s="1690"/>
      <c r="I340" s="1690"/>
      <c r="J340" s="1690"/>
      <c r="K340" s="1690"/>
      <c r="L340" s="5024">
        <f t="shared" ref="L340:M340" si="311">L339</f>
        <v>1963665.4776119404</v>
      </c>
      <c r="M340" s="5024">
        <f t="shared" si="311"/>
        <v>1591342.2675577155</v>
      </c>
      <c r="N340" s="5024">
        <f t="shared" ref="N340" si="312">N339</f>
        <v>1712076.6364839063</v>
      </c>
      <c r="O340" s="5024">
        <f t="shared" ref="O340" si="313">O339</f>
        <v>1469524.9991600169</v>
      </c>
      <c r="P340" s="5024">
        <f t="shared" ref="P340" si="314">P339</f>
        <v>1637045.8455598457</v>
      </c>
      <c r="Q340" s="3569">
        <f t="shared" ref="Q340" si="315">Q339</f>
        <v>2499666.4092664095</v>
      </c>
      <c r="R340" s="3569">
        <f t="shared" ref="R340" si="316">R339</f>
        <v>2802516.4092664095</v>
      </c>
      <c r="S340" s="3569">
        <f t="shared" ref="S340" si="317">S339</f>
        <v>2887216.4092664095</v>
      </c>
      <c r="T340" s="3569">
        <f t="shared" ref="T340" si="318">T339</f>
        <v>2171216.4092664095</v>
      </c>
      <c r="U340" s="3569">
        <f t="shared" ref="U340" si="319">U339</f>
        <v>1981666.4092664092</v>
      </c>
      <c r="V340" s="3569">
        <f t="shared" ref="V340" si="320">V339</f>
        <v>2193433.2046332047</v>
      </c>
      <c r="W340" s="3569">
        <f t="shared" ref="W340" si="321">W339</f>
        <v>2110933.2046332047</v>
      </c>
      <c r="X340" s="3755">
        <f t="shared" si="310"/>
        <v>25020303.681971882</v>
      </c>
      <c r="Y340" s="3996"/>
      <c r="AB340" s="3567"/>
      <c r="AC340" s="3567"/>
    </row>
    <row r="341" spans="1:29" ht="16.2" customHeight="1">
      <c r="A341" s="7224">
        <v>2</v>
      </c>
      <c r="B341" s="7197" t="s">
        <v>492</v>
      </c>
      <c r="C341" s="7197"/>
      <c r="D341" s="7229" t="s">
        <v>848</v>
      </c>
      <c r="E341" s="7229"/>
      <c r="F341" s="7229"/>
      <c r="G341" s="1681">
        <f t="shared" ref="G341:G347" si="322">X341/$X$350</f>
        <v>0.10571437971004689</v>
      </c>
      <c r="H341" s="1681"/>
      <c r="I341" s="1681"/>
      <c r="J341" s="1681"/>
      <c r="K341" s="1681"/>
      <c r="L341" s="5027">
        <f t="shared" ref="L341:W347" si="323">SUMIF($AC$5:$AC$101,$D341,L$5:L$101)</f>
        <v>381882.35304542462</v>
      </c>
      <c r="M341" s="5027">
        <f t="shared" si="323"/>
        <v>309254.60060547333</v>
      </c>
      <c r="N341" s="5027">
        <f t="shared" si="323"/>
        <v>506402.32486412849</v>
      </c>
      <c r="O341" s="5027">
        <f t="shared" si="323"/>
        <v>369277.10582135787</v>
      </c>
      <c r="P341" s="5027">
        <f t="shared" si="323"/>
        <v>459750.65358693642</v>
      </c>
      <c r="Q341" s="3352">
        <f t="shared" si="323"/>
        <v>342075.83604593226</v>
      </c>
      <c r="R341" s="3352">
        <f t="shared" si="323"/>
        <v>360972.99939132039</v>
      </c>
      <c r="S341" s="3352">
        <f t="shared" si="323"/>
        <v>293403.22494173201</v>
      </c>
      <c r="T341" s="3352">
        <f t="shared" si="323"/>
        <v>313250.37933798035</v>
      </c>
      <c r="U341" s="3352">
        <f t="shared" si="323"/>
        <v>297013.42979325226</v>
      </c>
      <c r="V341" s="3352">
        <f t="shared" si="323"/>
        <v>277112.53324095783</v>
      </c>
      <c r="W341" s="3352">
        <f t="shared" si="323"/>
        <v>283708.04407026712</v>
      </c>
      <c r="X341" s="3348">
        <f t="shared" si="310"/>
        <v>4194103.4847447625</v>
      </c>
      <c r="Y341" s="4"/>
      <c r="AB341" s="3567"/>
      <c r="AC341" s="3567"/>
    </row>
    <row r="342" spans="1:29" ht="17.399999999999999" customHeight="1">
      <c r="A342" s="7225"/>
      <c r="B342" s="7200"/>
      <c r="C342" s="7200"/>
      <c r="D342" s="7230" t="s">
        <v>857</v>
      </c>
      <c r="E342" s="7230"/>
      <c r="F342" s="7230"/>
      <c r="G342" s="1691">
        <f t="shared" si="322"/>
        <v>0.11366512039570988</v>
      </c>
      <c r="H342" s="1691"/>
      <c r="I342" s="1691"/>
      <c r="J342" s="1691"/>
      <c r="K342" s="1691"/>
      <c r="L342" s="5035">
        <f t="shared" si="323"/>
        <v>415911.62892092834</v>
      </c>
      <c r="M342" s="5035">
        <f t="shared" si="323"/>
        <v>372713.17763893853</v>
      </c>
      <c r="N342" s="5035">
        <f t="shared" si="323"/>
        <v>542163.93258936843</v>
      </c>
      <c r="O342" s="5035">
        <f t="shared" si="323"/>
        <v>317620.2553375499</v>
      </c>
      <c r="P342" s="5035">
        <f t="shared" si="323"/>
        <v>433697.7228645038</v>
      </c>
      <c r="Q342" s="3355">
        <f t="shared" si="323"/>
        <v>395561.92629231297</v>
      </c>
      <c r="R342" s="3355">
        <f t="shared" si="323"/>
        <v>441154.41093961947</v>
      </c>
      <c r="S342" s="3355">
        <f t="shared" si="323"/>
        <v>313440.72645643086</v>
      </c>
      <c r="T342" s="3355">
        <f t="shared" si="323"/>
        <v>322119.82286486699</v>
      </c>
      <c r="U342" s="3355">
        <f t="shared" si="323"/>
        <v>319989.1900400155</v>
      </c>
      <c r="V342" s="3355">
        <f t="shared" si="323"/>
        <v>312985.3479354218</v>
      </c>
      <c r="W342" s="3355">
        <f t="shared" si="323"/>
        <v>322182.36578924675</v>
      </c>
      <c r="X342" s="3756">
        <f t="shared" si="310"/>
        <v>4509540.507669203</v>
      </c>
      <c r="Y342" s="4"/>
      <c r="AB342" s="3567"/>
      <c r="AC342" s="3567"/>
    </row>
    <row r="343" spans="1:29" ht="17.399999999999999" customHeight="1">
      <c r="A343" s="7225"/>
      <c r="B343" s="7200"/>
      <c r="C343" s="7200"/>
      <c r="D343" s="7231" t="s">
        <v>868</v>
      </c>
      <c r="E343" s="7231"/>
      <c r="F343" s="7231"/>
      <c r="G343" s="1692">
        <f t="shared" si="322"/>
        <v>0.10444973954899626</v>
      </c>
      <c r="H343" s="1692"/>
      <c r="I343" s="1692"/>
      <c r="J343" s="1692"/>
      <c r="K343" s="1692"/>
      <c r="L343" s="5036">
        <f t="shared" si="323"/>
        <v>292651.82013339753</v>
      </c>
      <c r="M343" s="5036">
        <f t="shared" si="323"/>
        <v>251648.726634586</v>
      </c>
      <c r="N343" s="5036">
        <f t="shared" si="323"/>
        <v>324074.50297018152</v>
      </c>
      <c r="O343" s="5036">
        <f t="shared" si="323"/>
        <v>263606.37974047806</v>
      </c>
      <c r="P343" s="5036">
        <f t="shared" si="323"/>
        <v>400586.9298522874</v>
      </c>
      <c r="Q343" s="3356">
        <f t="shared" si="323"/>
        <v>307259.75948817929</v>
      </c>
      <c r="R343" s="3356">
        <f t="shared" si="323"/>
        <v>387081.97774647141</v>
      </c>
      <c r="S343" s="3356">
        <f t="shared" si="323"/>
        <v>392126.98868895881</v>
      </c>
      <c r="T343" s="3356">
        <f t="shared" si="323"/>
        <v>389070.94237826928</v>
      </c>
      <c r="U343" s="3356">
        <f t="shared" si="323"/>
        <v>384025.93143578188</v>
      </c>
      <c r="V343" s="3356">
        <f t="shared" si="323"/>
        <v>375898.14869458624</v>
      </c>
      <c r="W343" s="3356">
        <f t="shared" si="323"/>
        <v>375898.14869458624</v>
      </c>
      <c r="X343" s="3757">
        <f t="shared" si="310"/>
        <v>4143930.2564577637</v>
      </c>
      <c r="Y343" s="4"/>
      <c r="AB343" s="3567"/>
      <c r="AC343" s="3567"/>
    </row>
    <row r="344" spans="1:29" ht="17.399999999999999" customHeight="1">
      <c r="A344" s="7225"/>
      <c r="B344" s="7200"/>
      <c r="C344" s="7200"/>
      <c r="D344" s="7200" t="s">
        <v>888</v>
      </c>
      <c r="E344" s="7200"/>
      <c r="F344" s="7200"/>
      <c r="G344" s="1686">
        <f t="shared" si="322"/>
        <v>8.4993379027522263E-3</v>
      </c>
      <c r="H344" s="1686"/>
      <c r="I344" s="1686"/>
      <c r="J344" s="1686"/>
      <c r="K344" s="1686"/>
      <c r="L344" s="4728">
        <f t="shared" si="323"/>
        <v>22840.404633180708</v>
      </c>
      <c r="M344" s="4728">
        <f t="shared" si="323"/>
        <v>26812.64891721214</v>
      </c>
      <c r="N344" s="4728">
        <f t="shared" si="323"/>
        <v>64548.969615510709</v>
      </c>
      <c r="O344" s="4728">
        <f t="shared" si="323"/>
        <v>65000.000000000007</v>
      </c>
      <c r="P344" s="4728">
        <f t="shared" si="323"/>
        <v>0</v>
      </c>
      <c r="Q344" s="2299">
        <f t="shared" si="323"/>
        <v>23000</v>
      </c>
      <c r="R344" s="2299">
        <f t="shared" si="323"/>
        <v>23000</v>
      </c>
      <c r="S344" s="2299">
        <f t="shared" si="323"/>
        <v>23000</v>
      </c>
      <c r="T344" s="2299">
        <f t="shared" si="323"/>
        <v>22250</v>
      </c>
      <c r="U344" s="2299">
        <f t="shared" si="323"/>
        <v>22250</v>
      </c>
      <c r="V344" s="2299">
        <f t="shared" si="323"/>
        <v>22250</v>
      </c>
      <c r="W344" s="2299">
        <f t="shared" si="323"/>
        <v>22250</v>
      </c>
      <c r="X344" s="2300">
        <f t="shared" si="310"/>
        <v>337202.02316590352</v>
      </c>
      <c r="Y344" s="4"/>
      <c r="AB344" s="3567"/>
      <c r="AC344" s="3567"/>
    </row>
    <row r="345" spans="1:29" ht="17.399999999999999" customHeight="1">
      <c r="A345" s="7225"/>
      <c r="B345" s="7200"/>
      <c r="C345" s="7200"/>
      <c r="D345" s="7230" t="s">
        <v>865</v>
      </c>
      <c r="E345" s="7230"/>
      <c r="F345" s="7230"/>
      <c r="G345" s="1691">
        <f t="shared" si="322"/>
        <v>8.6135522504118111E-3</v>
      </c>
      <c r="H345" s="1691"/>
      <c r="I345" s="1691"/>
      <c r="J345" s="1691"/>
      <c r="K345" s="1691"/>
      <c r="L345" s="5035">
        <f t="shared" si="323"/>
        <v>24494.07073404756</v>
      </c>
      <c r="M345" s="5035">
        <f t="shared" si="323"/>
        <v>26809.90912257757</v>
      </c>
      <c r="N345" s="5035">
        <f t="shared" si="323"/>
        <v>64713.373813612663</v>
      </c>
      <c r="O345" s="5035">
        <f t="shared" si="323"/>
        <v>66109</v>
      </c>
      <c r="P345" s="5035">
        <f t="shared" si="323"/>
        <v>0</v>
      </c>
      <c r="Q345" s="3355">
        <f t="shared" si="323"/>
        <v>24607</v>
      </c>
      <c r="R345" s="3355">
        <f t="shared" si="323"/>
        <v>23000</v>
      </c>
      <c r="S345" s="3355">
        <f t="shared" si="323"/>
        <v>23000</v>
      </c>
      <c r="T345" s="3355">
        <f t="shared" si="323"/>
        <v>22250</v>
      </c>
      <c r="U345" s="3355">
        <f t="shared" si="323"/>
        <v>22250</v>
      </c>
      <c r="V345" s="3355">
        <f t="shared" si="323"/>
        <v>22250</v>
      </c>
      <c r="W345" s="3355">
        <f t="shared" si="323"/>
        <v>22250</v>
      </c>
      <c r="X345" s="3756">
        <f t="shared" si="310"/>
        <v>341733.35367023782</v>
      </c>
      <c r="Y345" s="4"/>
      <c r="AB345" s="3567"/>
      <c r="AC345" s="3567"/>
    </row>
    <row r="346" spans="1:29" ht="17.399999999999999" customHeight="1">
      <c r="A346" s="7225"/>
      <c r="B346" s="7200"/>
      <c r="C346" s="7200"/>
      <c r="D346" s="7245" t="s">
        <v>1241</v>
      </c>
      <c r="E346" s="7246"/>
      <c r="F346" s="7247"/>
      <c r="G346" s="1691">
        <f t="shared" si="322"/>
        <v>0</v>
      </c>
      <c r="H346" s="1691"/>
      <c r="I346" s="1691"/>
      <c r="J346" s="1691"/>
      <c r="K346" s="1691"/>
      <c r="L346" s="5035">
        <f t="shared" si="323"/>
        <v>0</v>
      </c>
      <c r="M346" s="5035">
        <f t="shared" si="323"/>
        <v>0</v>
      </c>
      <c r="N346" s="5035">
        <f t="shared" si="323"/>
        <v>0</v>
      </c>
      <c r="O346" s="5035">
        <f t="shared" si="323"/>
        <v>0</v>
      </c>
      <c r="P346" s="5035">
        <f t="shared" si="323"/>
        <v>0</v>
      </c>
      <c r="Q346" s="3355">
        <f t="shared" si="323"/>
        <v>0</v>
      </c>
      <c r="R346" s="3355">
        <f t="shared" si="323"/>
        <v>0</v>
      </c>
      <c r="S346" s="3355">
        <f t="shared" si="323"/>
        <v>0</v>
      </c>
      <c r="T346" s="3355">
        <f t="shared" si="323"/>
        <v>0</v>
      </c>
      <c r="U346" s="3355">
        <f t="shared" si="323"/>
        <v>0</v>
      </c>
      <c r="V346" s="3355">
        <f t="shared" si="323"/>
        <v>0</v>
      </c>
      <c r="W346" s="3355">
        <f t="shared" si="323"/>
        <v>0</v>
      </c>
      <c r="X346" s="3756">
        <f t="shared" si="310"/>
        <v>0</v>
      </c>
      <c r="Y346" s="4"/>
      <c r="AB346" s="3567"/>
      <c r="AC346" s="3567"/>
    </row>
    <row r="347" spans="1:29" ht="17.399999999999999" customHeight="1">
      <c r="A347" s="7225"/>
      <c r="B347" s="7200"/>
      <c r="C347" s="7200"/>
      <c r="D347" s="7198" t="s">
        <v>875</v>
      </c>
      <c r="E347" s="7198"/>
      <c r="F347" s="7198"/>
      <c r="G347" s="1684">
        <f t="shared" si="322"/>
        <v>2.820387726407915E-2</v>
      </c>
      <c r="H347" s="1684"/>
      <c r="I347" s="1684"/>
      <c r="J347" s="1684"/>
      <c r="K347" s="1684"/>
      <c r="L347" s="5028">
        <f t="shared" si="323"/>
        <v>109841.20824154073</v>
      </c>
      <c r="M347" s="5028">
        <f t="shared" si="323"/>
        <v>75560.198369082238</v>
      </c>
      <c r="N347" s="5028">
        <f t="shared" si="323"/>
        <v>79587.837757534682</v>
      </c>
      <c r="O347" s="5028">
        <f t="shared" si="323"/>
        <v>116960.22262817743</v>
      </c>
      <c r="P347" s="5028">
        <f t="shared" si="323"/>
        <v>85036.595713700342</v>
      </c>
      <c r="Q347" s="2356">
        <f t="shared" si="323"/>
        <v>115040.12069625697</v>
      </c>
      <c r="R347" s="2356">
        <f t="shared" si="323"/>
        <v>117588.65116015373</v>
      </c>
      <c r="S347" s="2356">
        <f t="shared" si="323"/>
        <v>84453.291386251338</v>
      </c>
      <c r="T347" s="2356">
        <f t="shared" si="323"/>
        <v>84453.291386251338</v>
      </c>
      <c r="U347" s="2356">
        <f t="shared" si="323"/>
        <v>84453.291386251338</v>
      </c>
      <c r="V347" s="2356">
        <f t="shared" si="323"/>
        <v>82991.782917651639</v>
      </c>
      <c r="W347" s="2356">
        <f t="shared" si="323"/>
        <v>82991.782917651639</v>
      </c>
      <c r="X347" s="3716">
        <f t="shared" si="310"/>
        <v>1118958.2745605032</v>
      </c>
      <c r="Y347" s="4"/>
      <c r="AB347" s="3567"/>
      <c r="AC347" s="3567"/>
    </row>
    <row r="348" spans="1:29" ht="18" customHeight="1" thickBot="1">
      <c r="A348" s="7226"/>
      <c r="B348" s="7199"/>
      <c r="C348" s="7199"/>
      <c r="D348" s="7199" t="s">
        <v>122</v>
      </c>
      <c r="E348" s="7199"/>
      <c r="F348" s="7199"/>
      <c r="G348" s="1690"/>
      <c r="H348" s="1690"/>
      <c r="I348" s="1690"/>
      <c r="J348" s="1690"/>
      <c r="K348" s="1690"/>
      <c r="L348" s="5029">
        <f t="shared" ref="L348:M348" si="324">SUM(L341:L347)</f>
        <v>1247621.4857085196</v>
      </c>
      <c r="M348" s="5029">
        <f t="shared" si="324"/>
        <v>1062799.2612878697</v>
      </c>
      <c r="N348" s="5029">
        <f t="shared" ref="N348" si="325">SUM(N341:N347)</f>
        <v>1581490.9416103363</v>
      </c>
      <c r="O348" s="5029">
        <f t="shared" ref="O348" si="326">SUM(O341:O347)</f>
        <v>1198572.9635275633</v>
      </c>
      <c r="P348" s="5029">
        <f t="shared" ref="P348" si="327">SUM(P341:P347)</f>
        <v>1379071.9020174278</v>
      </c>
      <c r="Q348" s="2226">
        <f t="shared" ref="Q348" si="328">SUM(Q341:Q347)</f>
        <v>1207544.6425226815</v>
      </c>
      <c r="R348" s="2226">
        <f t="shared" ref="R348" si="329">SUM(R341:R347)</f>
        <v>1352798.0392375651</v>
      </c>
      <c r="S348" s="2226">
        <f t="shared" ref="S348" si="330">SUM(S341:S347)</f>
        <v>1129424.231473373</v>
      </c>
      <c r="T348" s="2226">
        <f t="shared" ref="T348" si="331">SUM(T341:T347)</f>
        <v>1153394.4359673681</v>
      </c>
      <c r="U348" s="2226">
        <f t="shared" ref="U348" si="332">SUM(U341:U347)</f>
        <v>1129981.8426553011</v>
      </c>
      <c r="V348" s="2226">
        <f t="shared" ref="V348" si="333">SUM(V341:V347)</f>
        <v>1093487.8127886176</v>
      </c>
      <c r="W348" s="2226">
        <f t="shared" ref="W348" si="334">SUM(W341:W347)</f>
        <v>1109280.3414717517</v>
      </c>
      <c r="X348" s="2227">
        <f t="shared" si="310"/>
        <v>14645467.900268374</v>
      </c>
      <c r="Y348" s="1637"/>
      <c r="AB348" s="3567"/>
      <c r="AC348" s="3567"/>
    </row>
    <row r="349" spans="1:29" ht="16.2" thickBot="1">
      <c r="A349" s="1539">
        <v>3</v>
      </c>
      <c r="B349" s="7223" t="s">
        <v>1272</v>
      </c>
      <c r="C349" s="7223"/>
      <c r="D349" s="7223" t="s">
        <v>1271</v>
      </c>
      <c r="E349" s="7223"/>
      <c r="F349" s="7223"/>
      <c r="G349" s="1687">
        <f>X349/$X$350</f>
        <v>2.0529922806162209E-4</v>
      </c>
      <c r="H349" s="1687"/>
      <c r="I349" s="1687"/>
      <c r="J349" s="1687"/>
      <c r="K349" s="1687"/>
      <c r="L349" s="5030">
        <f t="shared" ref="L349" si="335">L308</f>
        <v>0</v>
      </c>
      <c r="M349" s="5030">
        <f t="shared" ref="M349:W349" si="336">M308</f>
        <v>73.878864820866696</v>
      </c>
      <c r="N349" s="5030">
        <f t="shared" si="336"/>
        <v>2525.6623376623374</v>
      </c>
      <c r="O349" s="5030">
        <f t="shared" si="336"/>
        <v>2540.0790316636903</v>
      </c>
      <c r="P349" s="5030">
        <f t="shared" si="336"/>
        <v>2195</v>
      </c>
      <c r="Q349" s="3353">
        <f t="shared" si="336"/>
        <v>10.942105263157895</v>
      </c>
      <c r="R349" s="3353">
        <f t="shared" si="336"/>
        <v>0</v>
      </c>
      <c r="S349" s="3353">
        <f t="shared" si="336"/>
        <v>152.17492984097288</v>
      </c>
      <c r="T349" s="3353">
        <f t="shared" si="336"/>
        <v>190.76239476145929</v>
      </c>
      <c r="U349" s="3353">
        <f t="shared" si="336"/>
        <v>152.17492984097288</v>
      </c>
      <c r="V349" s="3353">
        <f t="shared" si="336"/>
        <v>152.17492984097288</v>
      </c>
      <c r="W349" s="3353">
        <f t="shared" si="336"/>
        <v>152.17492984097288</v>
      </c>
      <c r="X349" s="2460">
        <f t="shared" si="310"/>
        <v>8145.0244535354041</v>
      </c>
      <c r="Y349" s="4"/>
      <c r="AB349" s="3567"/>
      <c r="AC349" s="3567"/>
    </row>
    <row r="350" spans="1:29" ht="18" customHeight="1" thickBot="1">
      <c r="A350" s="1693"/>
      <c r="B350" s="7199" t="s">
        <v>15</v>
      </c>
      <c r="C350" s="7199"/>
      <c r="D350" s="7199"/>
      <c r="E350" s="7199"/>
      <c r="F350" s="7199"/>
      <c r="G350" s="1690"/>
      <c r="H350" s="1690"/>
      <c r="I350" s="1690"/>
      <c r="J350" s="1690"/>
      <c r="K350" s="1690"/>
      <c r="L350" s="5029">
        <f t="shared" ref="L350:M350" si="337">L340+L348+L349</f>
        <v>3211286.9633204602</v>
      </c>
      <c r="M350" s="5029">
        <f t="shared" si="337"/>
        <v>2654215.407710406</v>
      </c>
      <c r="N350" s="5029">
        <f t="shared" ref="N350" si="338">N340+N348+N349</f>
        <v>3296093.2404319048</v>
      </c>
      <c r="O350" s="5029">
        <f t="shared" ref="O350" si="339">O340+O348+O349</f>
        <v>2670638.0417192434</v>
      </c>
      <c r="P350" s="5029">
        <f t="shared" ref="P350" si="340">P340+P348+P349</f>
        <v>3018312.7475772733</v>
      </c>
      <c r="Q350" s="2226">
        <f t="shared" ref="Q350" si="341">Q340+Q348+Q349</f>
        <v>3707221.993894354</v>
      </c>
      <c r="R350" s="2226">
        <f t="shared" ref="R350" si="342">R340+R348+R349</f>
        <v>4155314.4485039748</v>
      </c>
      <c r="S350" s="2226">
        <f t="shared" ref="S350" si="343">S340+S348+S349</f>
        <v>4016792.8156696237</v>
      </c>
      <c r="T350" s="2226">
        <f t="shared" ref="T350" si="344">T340+T348+T349</f>
        <v>3324801.6076285392</v>
      </c>
      <c r="U350" s="2226">
        <f t="shared" ref="U350" si="345">U340+U348+U349</f>
        <v>3111800.4268515515</v>
      </c>
      <c r="V350" s="2226">
        <f t="shared" ref="V350" si="346">V340+V348+V349</f>
        <v>3287073.192351663</v>
      </c>
      <c r="W350" s="2226">
        <f t="shared" ref="W350" si="347">W340+W348+W349</f>
        <v>3220365.7210347974</v>
      </c>
      <c r="X350" s="2227">
        <f t="shared" si="310"/>
        <v>39673916.606693789</v>
      </c>
      <c r="Y350" s="1637"/>
      <c r="AB350" s="3567"/>
      <c r="AC350" s="3567"/>
    </row>
    <row r="351" spans="1:29">
      <c r="A351" s="1530"/>
      <c r="B351" s="1528"/>
      <c r="D351" s="5"/>
      <c r="L351" s="1534">
        <f t="shared" ref="L351" si="348">L350-L309</f>
        <v>0</v>
      </c>
      <c r="M351" s="1534">
        <f t="shared" ref="M351:W351" si="349">M350-M309</f>
        <v>0</v>
      </c>
      <c r="N351" s="1534">
        <f t="shared" si="349"/>
        <v>0</v>
      </c>
      <c r="O351" s="1534">
        <f t="shared" si="349"/>
        <v>0</v>
      </c>
      <c r="P351" s="1534">
        <f t="shared" si="349"/>
        <v>0</v>
      </c>
      <c r="Q351" s="1533">
        <f t="shared" si="349"/>
        <v>0</v>
      </c>
      <c r="R351" s="1533">
        <f t="shared" si="349"/>
        <v>0</v>
      </c>
      <c r="S351" s="1533">
        <f t="shared" si="349"/>
        <v>0</v>
      </c>
      <c r="T351" s="1533">
        <f t="shared" si="349"/>
        <v>0</v>
      </c>
      <c r="U351" s="1533">
        <f t="shared" si="349"/>
        <v>0</v>
      </c>
      <c r="V351" s="1533">
        <f t="shared" si="349"/>
        <v>0</v>
      </c>
      <c r="W351" s="1533">
        <f t="shared" si="349"/>
        <v>0</v>
      </c>
      <c r="X351" s="1533">
        <f>X350-X309</f>
        <v>0</v>
      </c>
      <c r="Y351" s="4"/>
      <c r="AC351" s="5"/>
    </row>
    <row r="352" spans="1:29" ht="16.2" customHeight="1">
      <c r="A352" s="1530"/>
      <c r="B352" s="1528"/>
      <c r="D352" s="5"/>
      <c r="W352" s="1610"/>
      <c r="X352" s="1699">
        <f>X350-X105</f>
        <v>631934.11222247779</v>
      </c>
      <c r="Y352" s="1837"/>
      <c r="AC352" s="5"/>
    </row>
    <row r="353" spans="1:29">
      <c r="A353" s="1530"/>
      <c r="B353" s="1528"/>
      <c r="D353" s="5"/>
      <c r="AC353" s="5"/>
    </row>
    <row r="354" spans="1:29">
      <c r="A354" s="1530"/>
      <c r="B354" s="1528"/>
      <c r="D354" s="5"/>
      <c r="AC354" s="5"/>
    </row>
    <row r="355" spans="1:29" ht="16.2" thickBot="1">
      <c r="A355" s="1530" t="s">
        <v>1008</v>
      </c>
      <c r="B355" s="1528"/>
      <c r="D355" s="5"/>
      <c r="AC355" s="5"/>
    </row>
    <row r="356" spans="1:29" ht="31.8" thickBot="1">
      <c r="A356" s="1694" t="s">
        <v>1009</v>
      </c>
      <c r="B356" s="7202" t="s">
        <v>106</v>
      </c>
      <c r="C356" s="7202"/>
      <c r="D356" s="7202" t="s">
        <v>989</v>
      </c>
      <c r="E356" s="7202"/>
      <c r="F356" s="7202"/>
      <c r="G356" s="74" t="s">
        <v>1007</v>
      </c>
      <c r="H356" s="74"/>
      <c r="I356" s="74"/>
      <c r="J356" s="74"/>
      <c r="K356" s="74"/>
      <c r="L356" s="5005" t="str">
        <f t="shared" ref="L356" si="350">L338</f>
        <v>Jan.26</v>
      </c>
      <c r="M356" s="5005" t="str">
        <f t="shared" ref="M356:X356" si="351">M338</f>
        <v>Feb.26</v>
      </c>
      <c r="N356" s="5005" t="str">
        <f t="shared" si="351"/>
        <v>Mar.26</v>
      </c>
      <c r="O356" s="5005" t="str">
        <f t="shared" si="351"/>
        <v>Apr.26</v>
      </c>
      <c r="P356" s="5005" t="str">
        <f t="shared" si="351"/>
        <v>May.26</v>
      </c>
      <c r="Q356" s="1842" t="str">
        <f t="shared" si="351"/>
        <v>Jun.26</v>
      </c>
      <c r="R356" s="1842" t="str">
        <f t="shared" si="351"/>
        <v>Jul.26</v>
      </c>
      <c r="S356" s="1842" t="str">
        <f t="shared" si="351"/>
        <v>Aug.26</v>
      </c>
      <c r="T356" s="1842" t="str">
        <f t="shared" si="351"/>
        <v>Sep.26</v>
      </c>
      <c r="U356" s="1842" t="str">
        <f t="shared" si="351"/>
        <v>Oct.26</v>
      </c>
      <c r="V356" s="1842" t="str">
        <f t="shared" si="351"/>
        <v>Nov.26</v>
      </c>
      <c r="W356" s="1842" t="str">
        <f t="shared" si="351"/>
        <v>Dec.26</v>
      </c>
      <c r="X356" s="3351" t="str">
        <f t="shared" si="351"/>
        <v>2026
Total</v>
      </c>
      <c r="Y356" s="3992"/>
      <c r="AB356" s="5"/>
      <c r="AC356" s="5"/>
    </row>
    <row r="357" spans="1:29">
      <c r="A357" s="7224">
        <v>1</v>
      </c>
      <c r="B357" s="7197" t="s">
        <v>16</v>
      </c>
      <c r="C357" s="7197"/>
      <c r="D357" s="7228" t="s">
        <v>16</v>
      </c>
      <c r="E357" s="7228"/>
      <c r="F357" s="7228"/>
      <c r="G357" s="1689">
        <f>X357/$X$350</f>
        <v>0.48871087605138247</v>
      </c>
      <c r="H357" s="1689"/>
      <c r="I357" s="1689"/>
      <c r="J357" s="1689"/>
      <c r="K357" s="1689"/>
      <c r="L357" s="5037">
        <f t="shared" ref="L357:W357" si="352">SUMIF($AC$109:$AC$201,$D357,L$109:L$201)</f>
        <v>1621647.4831915256</v>
      </c>
      <c r="M357" s="5037">
        <f t="shared" si="352"/>
        <v>1302054.4826799114</v>
      </c>
      <c r="N357" s="5037">
        <f t="shared" si="352"/>
        <v>1441556.6696153847</v>
      </c>
      <c r="O357" s="5037">
        <f t="shared" si="352"/>
        <v>1114741.1368323155</v>
      </c>
      <c r="P357" s="5037">
        <f t="shared" si="352"/>
        <v>1363128.5857472529</v>
      </c>
      <c r="Q357" s="3836">
        <f t="shared" si="352"/>
        <v>1862279.6604658265</v>
      </c>
      <c r="R357" s="3836">
        <f t="shared" si="352"/>
        <v>2075375.1358521369</v>
      </c>
      <c r="S357" s="3836">
        <f t="shared" si="352"/>
        <v>2141055.0204675212</v>
      </c>
      <c r="T357" s="3836">
        <f t="shared" si="352"/>
        <v>1669317.6997881678</v>
      </c>
      <c r="U357" s="3836">
        <f t="shared" si="352"/>
        <v>1527540.6631611178</v>
      </c>
      <c r="V357" s="3836">
        <f t="shared" si="352"/>
        <v>1634856.6408801507</v>
      </c>
      <c r="W357" s="3836">
        <f t="shared" si="352"/>
        <v>1635521.3625655004</v>
      </c>
      <c r="X357" s="3754">
        <f>SUM(L357:W357)</f>
        <v>19389074.541246813</v>
      </c>
      <c r="Y357" s="3996"/>
      <c r="AB357" s="5"/>
      <c r="AC357" s="5"/>
    </row>
    <row r="358" spans="1:29" ht="18" customHeight="1" thickBot="1">
      <c r="A358" s="7226"/>
      <c r="B358" s="7199"/>
      <c r="C358" s="7199"/>
      <c r="D358" s="7199" t="s">
        <v>122</v>
      </c>
      <c r="E358" s="7199"/>
      <c r="F358" s="7199"/>
      <c r="G358" s="1690"/>
      <c r="H358" s="1690"/>
      <c r="I358" s="1690"/>
      <c r="J358" s="1690"/>
      <c r="K358" s="1690"/>
      <c r="L358" s="5024">
        <f t="shared" ref="L358" si="353">L357</f>
        <v>1621647.4831915256</v>
      </c>
      <c r="M358" s="5024">
        <f t="shared" ref="M358:W358" si="354">M357</f>
        <v>1302054.4826799114</v>
      </c>
      <c r="N358" s="5024">
        <f t="shared" si="354"/>
        <v>1441556.6696153847</v>
      </c>
      <c r="O358" s="5024">
        <f t="shared" si="354"/>
        <v>1114741.1368323155</v>
      </c>
      <c r="P358" s="5024">
        <f t="shared" si="354"/>
        <v>1363128.5857472529</v>
      </c>
      <c r="Q358" s="3569">
        <f t="shared" si="354"/>
        <v>1862279.6604658265</v>
      </c>
      <c r="R358" s="3569">
        <f t="shared" si="354"/>
        <v>2075375.1358521369</v>
      </c>
      <c r="S358" s="3569">
        <f t="shared" si="354"/>
        <v>2141055.0204675212</v>
      </c>
      <c r="T358" s="3569">
        <f t="shared" si="354"/>
        <v>1669317.6997881678</v>
      </c>
      <c r="U358" s="3569">
        <f t="shared" si="354"/>
        <v>1527540.6631611178</v>
      </c>
      <c r="V358" s="3569">
        <f t="shared" si="354"/>
        <v>1634856.6408801507</v>
      </c>
      <c r="W358" s="3569">
        <f t="shared" si="354"/>
        <v>1635521.3625655004</v>
      </c>
      <c r="X358" s="3755">
        <f t="shared" ref="X358:X361" si="355">SUM(L358:W358)</f>
        <v>19389074.541246813</v>
      </c>
      <c r="Y358" s="3996"/>
      <c r="AB358" s="5"/>
      <c r="AC358" s="5"/>
    </row>
    <row r="359" spans="1:29">
      <c r="A359" s="7224">
        <v>2</v>
      </c>
      <c r="B359" s="7197" t="s">
        <v>492</v>
      </c>
      <c r="C359" s="7197"/>
      <c r="D359" s="7156" t="s">
        <v>848</v>
      </c>
      <c r="E359" s="7156"/>
      <c r="F359" s="7156"/>
      <c r="G359" s="1681">
        <f t="shared" ref="G359:G365" si="356">X359/$X$350</f>
        <v>0.23837345878989516</v>
      </c>
      <c r="H359" s="1681"/>
      <c r="I359" s="1681"/>
      <c r="J359" s="1681"/>
      <c r="K359" s="1681"/>
      <c r="L359" s="5013">
        <f t="shared" ref="L359:W365" si="357">SUMIF($AC$109:$AC$201,$D359,L$109:L$201)</f>
        <v>833850.91672073235</v>
      </c>
      <c r="M359" s="5013">
        <f t="shared" si="357"/>
        <v>798484.21680113859</v>
      </c>
      <c r="N359" s="5013">
        <f t="shared" si="357"/>
        <v>1191875.6193057611</v>
      </c>
      <c r="O359" s="5013">
        <f t="shared" si="357"/>
        <v>997903.63110914931</v>
      </c>
      <c r="P359" s="5013">
        <f t="shared" si="357"/>
        <v>987049.92396189272</v>
      </c>
      <c r="Q359" s="3800">
        <f t="shared" si="357"/>
        <v>776022.6929087264</v>
      </c>
      <c r="R359" s="3800">
        <f t="shared" si="357"/>
        <v>760208.17044158862</v>
      </c>
      <c r="S359" s="3800">
        <f t="shared" si="357"/>
        <v>604832.81453086692</v>
      </c>
      <c r="T359" s="3800">
        <f t="shared" si="357"/>
        <v>692294.04481871775</v>
      </c>
      <c r="U359" s="3800">
        <f t="shared" si="357"/>
        <v>644064.99066515546</v>
      </c>
      <c r="V359" s="3800">
        <f t="shared" si="357"/>
        <v>579636.59252183954</v>
      </c>
      <c r="W359" s="3800">
        <f t="shared" si="357"/>
        <v>590985.11149389087</v>
      </c>
      <c r="X359" s="3348">
        <f t="shared" si="355"/>
        <v>9457208.7252794597</v>
      </c>
      <c r="Y359" s="4"/>
      <c r="AB359" s="5"/>
      <c r="AC359" s="5"/>
    </row>
    <row r="360" spans="1:29" ht="17.399999999999999" customHeight="1">
      <c r="A360" s="7225"/>
      <c r="B360" s="7200"/>
      <c r="C360" s="7200"/>
      <c r="D360" s="7241" t="s">
        <v>857</v>
      </c>
      <c r="E360" s="7241"/>
      <c r="F360" s="7241"/>
      <c r="G360" s="1691">
        <f t="shared" si="356"/>
        <v>0.15775771489757612</v>
      </c>
      <c r="H360" s="1691"/>
      <c r="I360" s="1691"/>
      <c r="J360" s="1691"/>
      <c r="K360" s="1691"/>
      <c r="L360" s="5038">
        <f t="shared" si="357"/>
        <v>577559.29182135756</v>
      </c>
      <c r="M360" s="5038">
        <f t="shared" si="357"/>
        <v>529765.3953950064</v>
      </c>
      <c r="N360" s="5038">
        <f t="shared" si="357"/>
        <v>755910.31000055559</v>
      </c>
      <c r="O360" s="5038">
        <f t="shared" si="357"/>
        <v>467469.56564117945</v>
      </c>
      <c r="P360" s="5038">
        <f t="shared" si="357"/>
        <v>591831.73229297739</v>
      </c>
      <c r="Q360" s="3837">
        <f t="shared" si="357"/>
        <v>556794.47994922881</v>
      </c>
      <c r="R360" s="3837">
        <f t="shared" si="357"/>
        <v>626017.13624525862</v>
      </c>
      <c r="S360" s="3837">
        <f t="shared" si="357"/>
        <v>433024.08855426742</v>
      </c>
      <c r="T360" s="3837">
        <f t="shared" si="357"/>
        <v>433954.85812926694</v>
      </c>
      <c r="U360" s="3837">
        <f t="shared" si="357"/>
        <v>430068.85812926694</v>
      </c>
      <c r="V360" s="3837">
        <f t="shared" si="357"/>
        <v>420767.39622984978</v>
      </c>
      <c r="W360" s="3837">
        <f t="shared" si="357"/>
        <v>435703.31252079469</v>
      </c>
      <c r="X360" s="3756">
        <f t="shared" si="355"/>
        <v>6258866.4249090096</v>
      </c>
      <c r="Y360" s="4"/>
      <c r="AB360" s="5"/>
      <c r="AC360" s="5"/>
    </row>
    <row r="361" spans="1:29" ht="17.399999999999999" customHeight="1">
      <c r="A361" s="7225"/>
      <c r="B361" s="7200"/>
      <c r="C361" s="7200"/>
      <c r="D361" s="7242" t="s">
        <v>868</v>
      </c>
      <c r="E361" s="7242"/>
      <c r="F361" s="7242"/>
      <c r="G361" s="1692">
        <f t="shared" si="356"/>
        <v>7.2113522340989708E-2</v>
      </c>
      <c r="H361" s="1692"/>
      <c r="I361" s="1692"/>
      <c r="J361" s="1692"/>
      <c r="K361" s="1692"/>
      <c r="L361" s="5039">
        <f t="shared" si="357"/>
        <v>247736.48513832813</v>
      </c>
      <c r="M361" s="5039">
        <f t="shared" si="357"/>
        <v>168051.08149471908</v>
      </c>
      <c r="N361" s="5039">
        <f t="shared" si="357"/>
        <v>235476.89633832814</v>
      </c>
      <c r="O361" s="5039">
        <f t="shared" si="357"/>
        <v>188113.70559999999</v>
      </c>
      <c r="P361" s="5039">
        <f t="shared" si="357"/>
        <v>259347.16799999998</v>
      </c>
      <c r="Q361" s="3838">
        <f t="shared" si="357"/>
        <v>214003.55160000001</v>
      </c>
      <c r="R361" s="3838">
        <f t="shared" si="357"/>
        <v>259808.27323333334</v>
      </c>
      <c r="S361" s="3838">
        <f t="shared" si="357"/>
        <v>262703.27323333337</v>
      </c>
      <c r="T361" s="3838">
        <f t="shared" si="357"/>
        <v>260949.60923333332</v>
      </c>
      <c r="U361" s="3838">
        <f t="shared" si="357"/>
        <v>258054.60923333332</v>
      </c>
      <c r="V361" s="3838">
        <f t="shared" si="357"/>
        <v>253390.60923333332</v>
      </c>
      <c r="W361" s="3838">
        <f t="shared" si="357"/>
        <v>253390.60923333332</v>
      </c>
      <c r="X361" s="3757">
        <f t="shared" si="355"/>
        <v>2861025.8715713751</v>
      </c>
      <c r="Y361" s="4"/>
      <c r="AB361" s="5"/>
      <c r="AC361" s="5"/>
    </row>
    <row r="362" spans="1:29" ht="17.399999999999999" customHeight="1">
      <c r="A362" s="7225"/>
      <c r="B362" s="7200"/>
      <c r="C362" s="7200"/>
      <c r="D362" s="7243" t="s">
        <v>888</v>
      </c>
      <c r="E362" s="7243"/>
      <c r="F362" s="7243"/>
      <c r="G362" s="1686">
        <f t="shared" si="356"/>
        <v>5.8560438149962849E-3</v>
      </c>
      <c r="H362" s="1686"/>
      <c r="I362" s="1686"/>
      <c r="J362" s="1686"/>
      <c r="K362" s="1686"/>
      <c r="L362" s="5014">
        <f t="shared" si="357"/>
        <v>15737.038792261506</v>
      </c>
      <c r="M362" s="5014">
        <f t="shared" si="357"/>
        <v>18473.915103959163</v>
      </c>
      <c r="N362" s="5014">
        <f t="shared" si="357"/>
        <v>44474.240065086873</v>
      </c>
      <c r="O362" s="5014">
        <f t="shared" si="357"/>
        <v>44785</v>
      </c>
      <c r="P362" s="5014">
        <f t="shared" si="357"/>
        <v>0</v>
      </c>
      <c r="Q362" s="3802">
        <f t="shared" si="357"/>
        <v>15846.999999999998</v>
      </c>
      <c r="R362" s="3802">
        <f t="shared" si="357"/>
        <v>15846.999999999998</v>
      </c>
      <c r="S362" s="3802">
        <f t="shared" si="357"/>
        <v>15846.999999999998</v>
      </c>
      <c r="T362" s="3802">
        <f t="shared" si="357"/>
        <v>15330.249999999998</v>
      </c>
      <c r="U362" s="3802">
        <f t="shared" si="357"/>
        <v>15330.249999999998</v>
      </c>
      <c r="V362" s="3802">
        <f t="shared" si="357"/>
        <v>15330.249999999998</v>
      </c>
      <c r="W362" s="3802">
        <f t="shared" si="357"/>
        <v>15330.249999999998</v>
      </c>
      <c r="X362" s="2300">
        <f>SUM(L362:W362)</f>
        <v>232332.19396130755</v>
      </c>
      <c r="Y362" s="4"/>
      <c r="AB362" s="5"/>
      <c r="AC362" s="5"/>
    </row>
    <row r="363" spans="1:29" ht="17.399999999999999" customHeight="1">
      <c r="A363" s="7225"/>
      <c r="B363" s="7200"/>
      <c r="C363" s="7200"/>
      <c r="D363" s="7241" t="s">
        <v>865</v>
      </c>
      <c r="E363" s="7241"/>
      <c r="F363" s="7241"/>
      <c r="G363" s="1691">
        <f t="shared" si="356"/>
        <v>4.5063495974556932E-3</v>
      </c>
      <c r="H363" s="1691"/>
      <c r="I363" s="1691"/>
      <c r="J363" s="1691"/>
      <c r="K363" s="1691"/>
      <c r="L363" s="5038">
        <f t="shared" si="357"/>
        <v>16634.331506013063</v>
      </c>
      <c r="M363" s="5038">
        <f t="shared" si="357"/>
        <v>13002.805924450122</v>
      </c>
      <c r="N363" s="5038">
        <f t="shared" si="357"/>
        <v>31876.961499602141</v>
      </c>
      <c r="O363" s="5038">
        <f t="shared" si="357"/>
        <v>35247.025800000003</v>
      </c>
      <c r="P363" s="5038">
        <f t="shared" si="357"/>
        <v>0</v>
      </c>
      <c r="Q363" s="3837">
        <f t="shared" si="357"/>
        <v>16548.413399999998</v>
      </c>
      <c r="R363" s="3837">
        <f t="shared" si="357"/>
        <v>11155</v>
      </c>
      <c r="S363" s="3837">
        <f t="shared" si="357"/>
        <v>11155</v>
      </c>
      <c r="T363" s="3837">
        <f t="shared" si="357"/>
        <v>10791.25</v>
      </c>
      <c r="U363" s="3837">
        <f t="shared" si="357"/>
        <v>10791.25</v>
      </c>
      <c r="V363" s="3837">
        <f t="shared" si="357"/>
        <v>10791.25</v>
      </c>
      <c r="W363" s="3837">
        <f t="shared" si="357"/>
        <v>10791.25</v>
      </c>
      <c r="X363" s="3756">
        <f t="shared" ref="X363:X369" si="358">SUM(L363:W363)</f>
        <v>178784.53813006531</v>
      </c>
      <c r="Y363" s="4"/>
      <c r="AB363" s="5"/>
      <c r="AC363" s="5"/>
    </row>
    <row r="364" spans="1:29" ht="17.399999999999999" customHeight="1">
      <c r="A364" s="7225"/>
      <c r="B364" s="7200"/>
      <c r="C364" s="7200"/>
      <c r="D364" s="7245" t="s">
        <v>1259</v>
      </c>
      <c r="E364" s="7246"/>
      <c r="F364" s="7247"/>
      <c r="G364" s="1686">
        <f t="shared" si="356"/>
        <v>0</v>
      </c>
      <c r="H364" s="1686"/>
      <c r="I364" s="1686"/>
      <c r="J364" s="1686"/>
      <c r="K364" s="1686"/>
      <c r="L364" s="5014">
        <f t="shared" si="357"/>
        <v>0</v>
      </c>
      <c r="M364" s="5014">
        <f t="shared" si="357"/>
        <v>0</v>
      </c>
      <c r="N364" s="5014">
        <f t="shared" si="357"/>
        <v>0</v>
      </c>
      <c r="O364" s="5014">
        <f t="shared" si="357"/>
        <v>0</v>
      </c>
      <c r="P364" s="5014">
        <f t="shared" si="357"/>
        <v>0</v>
      </c>
      <c r="Q364" s="3802">
        <f t="shared" si="357"/>
        <v>0</v>
      </c>
      <c r="R364" s="3802">
        <f t="shared" si="357"/>
        <v>0</v>
      </c>
      <c r="S364" s="3802">
        <f t="shared" si="357"/>
        <v>0</v>
      </c>
      <c r="T364" s="3802">
        <f t="shared" si="357"/>
        <v>0</v>
      </c>
      <c r="U364" s="3802">
        <f t="shared" si="357"/>
        <v>0</v>
      </c>
      <c r="V364" s="3802">
        <f t="shared" si="357"/>
        <v>0</v>
      </c>
      <c r="W364" s="3802">
        <f t="shared" si="357"/>
        <v>0</v>
      </c>
      <c r="X364" s="2300">
        <f t="shared" si="358"/>
        <v>0</v>
      </c>
      <c r="Y364" s="4"/>
      <c r="AB364" s="5"/>
      <c r="AC364" s="5"/>
    </row>
    <row r="365" spans="1:29" ht="17.399999999999999" customHeight="1">
      <c r="A365" s="7225"/>
      <c r="B365" s="7200"/>
      <c r="C365" s="7200"/>
      <c r="D365" s="7244" t="s">
        <v>875</v>
      </c>
      <c r="E365" s="7244"/>
      <c r="F365" s="7244"/>
      <c r="G365" s="1684">
        <f t="shared" si="356"/>
        <v>4.9078730302608654E-2</v>
      </c>
      <c r="H365" s="1684"/>
      <c r="I365" s="1684"/>
      <c r="J365" s="1684"/>
      <c r="K365" s="1684"/>
      <c r="L365" s="5018">
        <f t="shared" si="357"/>
        <v>169337.44961293021</v>
      </c>
      <c r="M365" s="5018">
        <f t="shared" si="357"/>
        <v>117191.19417314429</v>
      </c>
      <c r="N365" s="5018">
        <f t="shared" si="357"/>
        <v>137100.40392307693</v>
      </c>
      <c r="O365" s="5018">
        <f t="shared" si="357"/>
        <v>196475.18005971643</v>
      </c>
      <c r="P365" s="5018">
        <f t="shared" si="357"/>
        <v>160136.47897314429</v>
      </c>
      <c r="Q365" s="3817">
        <f t="shared" si="357"/>
        <v>196368.68393683029</v>
      </c>
      <c r="R365" s="3817">
        <f t="shared" si="357"/>
        <v>200957.33644354719</v>
      </c>
      <c r="S365" s="3817">
        <f t="shared" si="357"/>
        <v>156922.05817314429</v>
      </c>
      <c r="T365" s="3817">
        <f t="shared" si="357"/>
        <v>156922.05817314429</v>
      </c>
      <c r="U365" s="3817">
        <f t="shared" si="357"/>
        <v>156922.05817314429</v>
      </c>
      <c r="V365" s="3817">
        <f t="shared" si="357"/>
        <v>149406.27577314427</v>
      </c>
      <c r="W365" s="3817">
        <f t="shared" si="357"/>
        <v>149406.27577314427</v>
      </c>
      <c r="X365" s="3716">
        <f t="shared" si="358"/>
        <v>1947145.4531881111</v>
      </c>
      <c r="Y365" s="4"/>
      <c r="AB365" s="5"/>
      <c r="AC365" s="5"/>
    </row>
    <row r="366" spans="1:29" ht="18" customHeight="1" thickBot="1">
      <c r="A366" s="7226"/>
      <c r="B366" s="7199"/>
      <c r="C366" s="7199"/>
      <c r="D366" s="7199" t="s">
        <v>122</v>
      </c>
      <c r="E366" s="7199"/>
      <c r="F366" s="7199"/>
      <c r="G366" s="1690"/>
      <c r="H366" s="1690"/>
      <c r="I366" s="1690"/>
      <c r="J366" s="1690"/>
      <c r="K366" s="1690"/>
      <c r="L366" s="5029">
        <f t="shared" ref="L366" si="359">SUM(L359:L365)</f>
        <v>1860855.5135916229</v>
      </c>
      <c r="M366" s="5029">
        <f t="shared" ref="M366:W366" si="360">SUM(M359:M365)</f>
        <v>1644968.6088924175</v>
      </c>
      <c r="N366" s="5029">
        <f t="shared" si="360"/>
        <v>2396714.4311324111</v>
      </c>
      <c r="O366" s="5029">
        <f t="shared" si="360"/>
        <v>1929994.1082100451</v>
      </c>
      <c r="P366" s="5029">
        <f t="shared" si="360"/>
        <v>1998365.3032280144</v>
      </c>
      <c r="Q366" s="2226">
        <f t="shared" si="360"/>
        <v>1775584.8217947853</v>
      </c>
      <c r="R366" s="2226">
        <f t="shared" si="360"/>
        <v>1873992.9163637278</v>
      </c>
      <c r="S366" s="2226">
        <f t="shared" si="360"/>
        <v>1484484.2344916118</v>
      </c>
      <c r="T366" s="2226">
        <f t="shared" si="360"/>
        <v>1570242.0703544621</v>
      </c>
      <c r="U366" s="2226">
        <f t="shared" si="360"/>
        <v>1515232.0162008998</v>
      </c>
      <c r="V366" s="2226">
        <f t="shared" si="360"/>
        <v>1429322.373758167</v>
      </c>
      <c r="W366" s="2226">
        <f t="shared" si="360"/>
        <v>1455606.8090211633</v>
      </c>
      <c r="X366" s="2227">
        <f t="shared" si="358"/>
        <v>20935363.207039326</v>
      </c>
      <c r="Y366" s="1637"/>
      <c r="AB366" s="5"/>
      <c r="AC366" s="5"/>
    </row>
    <row r="367" spans="1:29" ht="18" customHeight="1" thickBot="1">
      <c r="A367" s="69"/>
      <c r="B367" s="7223" t="s">
        <v>1272</v>
      </c>
      <c r="C367" s="7223"/>
      <c r="D367" s="7223" t="s">
        <v>1271</v>
      </c>
      <c r="E367" s="7223"/>
      <c r="F367" s="7223"/>
      <c r="G367" s="1690"/>
      <c r="H367" s="1690"/>
      <c r="I367" s="1690"/>
      <c r="J367" s="1690"/>
      <c r="K367" s="1690"/>
      <c r="L367" s="5029">
        <f t="shared" ref="L367:W367" si="361">SUMIF($AB$109:$AB$201,$D327,L$109:L$201)</f>
        <v>0</v>
      </c>
      <c r="M367" s="5029">
        <f t="shared" si="361"/>
        <v>1554</v>
      </c>
      <c r="N367" s="5029">
        <f t="shared" si="361"/>
        <v>0</v>
      </c>
      <c r="O367" s="5029">
        <f t="shared" si="361"/>
        <v>19447.599999999999</v>
      </c>
      <c r="P367" s="5029">
        <f t="shared" si="361"/>
        <v>3207</v>
      </c>
      <c r="Q367" s="2226">
        <f t="shared" si="361"/>
        <v>0</v>
      </c>
      <c r="R367" s="2226">
        <f t="shared" si="361"/>
        <v>0</v>
      </c>
      <c r="S367" s="2226">
        <f t="shared" si="361"/>
        <v>16500</v>
      </c>
      <c r="T367" s="2226">
        <f t="shared" si="361"/>
        <v>24750</v>
      </c>
      <c r="U367" s="2226">
        <f t="shared" si="361"/>
        <v>16500</v>
      </c>
      <c r="V367" s="2226">
        <f t="shared" si="361"/>
        <v>16500</v>
      </c>
      <c r="W367" s="2226">
        <f t="shared" si="361"/>
        <v>16500</v>
      </c>
      <c r="X367" s="3716">
        <f t="shared" si="358"/>
        <v>114958.6</v>
      </c>
      <c r="Y367" s="4"/>
      <c r="AB367" s="5"/>
      <c r="AC367" s="5"/>
    </row>
    <row r="368" spans="1:29" ht="16.2" thickBot="1">
      <c r="A368" s="71">
        <v>3</v>
      </c>
      <c r="B368" s="7227" t="s">
        <v>1002</v>
      </c>
      <c r="C368" s="7227"/>
      <c r="D368" s="7227" t="s">
        <v>1002</v>
      </c>
      <c r="E368" s="7227"/>
      <c r="F368" s="7227"/>
      <c r="G368" s="1681">
        <f>X368/$X$350</f>
        <v>5.7556497159556276E-2</v>
      </c>
      <c r="H368" s="1681"/>
      <c r="I368" s="1681"/>
      <c r="J368" s="1681"/>
      <c r="K368" s="1681"/>
      <c r="L368" s="5014">
        <f t="shared" ref="L368" si="362">L328</f>
        <v>167126.18181818179</v>
      </c>
      <c r="M368" s="5014">
        <f t="shared" ref="M368:W368" si="363">M328</f>
        <v>193023.196663462</v>
      </c>
      <c r="N368" s="5014">
        <f t="shared" si="363"/>
        <v>238543</v>
      </c>
      <c r="O368" s="5014">
        <f t="shared" si="363"/>
        <v>225448.28999999998</v>
      </c>
      <c r="P368" s="5014">
        <f t="shared" si="363"/>
        <v>371056</v>
      </c>
      <c r="Q368" s="3802">
        <f t="shared" si="363"/>
        <v>183295</v>
      </c>
      <c r="R368" s="3802">
        <f t="shared" si="363"/>
        <v>170000</v>
      </c>
      <c r="S368" s="3802">
        <f t="shared" si="363"/>
        <v>190000</v>
      </c>
      <c r="T368" s="3802">
        <f t="shared" si="363"/>
        <v>110000</v>
      </c>
      <c r="U368" s="3802">
        <f t="shared" si="363"/>
        <v>195000</v>
      </c>
      <c r="V368" s="3802">
        <f t="shared" si="363"/>
        <v>130000</v>
      </c>
      <c r="W368" s="3802">
        <f t="shared" si="363"/>
        <v>110000</v>
      </c>
      <c r="X368" s="2300">
        <f t="shared" si="358"/>
        <v>2283491.6684816438</v>
      </c>
      <c r="Y368" s="4"/>
      <c r="AB368" s="5"/>
      <c r="AC368" s="5"/>
    </row>
    <row r="369" spans="1:29" ht="18" customHeight="1" thickBot="1">
      <c r="A369" s="1694"/>
      <c r="B369" s="7202" t="s">
        <v>15</v>
      </c>
      <c r="C369" s="7202"/>
      <c r="D369" s="7202"/>
      <c r="E369" s="7202"/>
      <c r="F369" s="7202"/>
      <c r="G369" s="1679"/>
      <c r="H369" s="1679"/>
      <c r="I369" s="1679"/>
      <c r="J369" s="1679"/>
      <c r="K369" s="1679"/>
      <c r="L369" s="5012">
        <f t="shared" ref="L369" si="364">L358+L366+L368+L367</f>
        <v>3649629.1786013301</v>
      </c>
      <c r="M369" s="5012">
        <f t="shared" ref="M369:V369" si="365">M358+M366+M368+M367</f>
        <v>3141600.288235791</v>
      </c>
      <c r="N369" s="5012">
        <f t="shared" si="365"/>
        <v>4076814.1007477958</v>
      </c>
      <c r="O369" s="5012">
        <f t="shared" si="365"/>
        <v>3289631.1350423605</v>
      </c>
      <c r="P369" s="5012">
        <f t="shared" si="365"/>
        <v>3735756.8889752673</v>
      </c>
      <c r="Q369" s="1776">
        <f t="shared" si="365"/>
        <v>3821159.4822606118</v>
      </c>
      <c r="R369" s="1776">
        <f t="shared" si="365"/>
        <v>4119368.0522158649</v>
      </c>
      <c r="S369" s="1776">
        <f t="shared" si="365"/>
        <v>3832039.254959133</v>
      </c>
      <c r="T369" s="1776">
        <f t="shared" si="365"/>
        <v>3374309.7701426297</v>
      </c>
      <c r="U369" s="1776">
        <f t="shared" si="365"/>
        <v>3254272.6793620177</v>
      </c>
      <c r="V369" s="1776">
        <f t="shared" si="365"/>
        <v>3210679.0146383177</v>
      </c>
      <c r="W369" s="1776">
        <f>W358+W366+W368+W367</f>
        <v>3217628.1715866635</v>
      </c>
      <c r="X369" s="1777">
        <f t="shared" si="358"/>
        <v>42722888.016767785</v>
      </c>
      <c r="Y369" s="1637"/>
      <c r="AB369" s="5"/>
      <c r="AC369" s="5"/>
    </row>
    <row r="370" spans="1:29">
      <c r="L370" s="1534" t="b">
        <f t="shared" ref="L370:M370" si="366">L369=L329</f>
        <v>1</v>
      </c>
      <c r="M370" s="1534" t="b">
        <f t="shared" si="366"/>
        <v>1</v>
      </c>
      <c r="N370" s="1534" t="b">
        <f t="shared" ref="N370" si="367">N369=N329</f>
        <v>1</v>
      </c>
      <c r="O370" s="1534" t="b">
        <f t="shared" ref="O370" si="368">O369=O329</f>
        <v>1</v>
      </c>
      <c r="P370" s="1534" t="b">
        <f t="shared" ref="P370" si="369">P369=P329</f>
        <v>1</v>
      </c>
      <c r="Q370" s="1534" t="b">
        <f t="shared" ref="Q370" si="370">Q369=Q329</f>
        <v>1</v>
      </c>
      <c r="R370" s="1534" t="b">
        <f t="shared" ref="R370" si="371">R369=R329</f>
        <v>1</v>
      </c>
      <c r="S370" s="1534" t="b">
        <f t="shared" ref="S370" si="372">S369=S329</f>
        <v>1</v>
      </c>
      <c r="T370" s="1534" t="b">
        <f t="shared" ref="T370" si="373">T369=T329</f>
        <v>1</v>
      </c>
      <c r="U370" s="1534" t="b">
        <f t="shared" ref="U370" si="374">U369=U329</f>
        <v>1</v>
      </c>
      <c r="V370" s="1534" t="b">
        <f t="shared" ref="V370" si="375">V369=V329</f>
        <v>1</v>
      </c>
      <c r="W370" s="1534" t="b">
        <f t="shared" ref="W370" si="376">W369=W329</f>
        <v>1</v>
      </c>
      <c r="X370" s="1534">
        <f>X369-X329</f>
        <v>0</v>
      </c>
      <c r="Y370" s="2649"/>
    </row>
    <row r="371" spans="1:29">
      <c r="L371" s="4489"/>
      <c r="M371" s="1534"/>
      <c r="N371" s="1534"/>
      <c r="O371" s="1534"/>
      <c r="P371" s="1534"/>
      <c r="Q371" s="1534"/>
      <c r="R371" s="1534"/>
      <c r="S371" s="1534"/>
      <c r="T371" s="1534"/>
      <c r="U371" s="1534"/>
      <c r="V371" s="1534"/>
      <c r="W371" s="1534"/>
      <c r="X371" s="1534"/>
      <c r="Y371" s="2649"/>
    </row>
    <row r="372" spans="1:29">
      <c r="L372" s="4489"/>
    </row>
    <row r="373" spans="1:29">
      <c r="L373" s="4489"/>
    </row>
    <row r="374" spans="1:29">
      <c r="L374" s="4489"/>
    </row>
  </sheetData>
  <autoFilter ref="A4:X105" xr:uid="{00000000-0009-0000-0000-000005000000}"/>
  <mergeCells count="149">
    <mergeCell ref="B290:F290"/>
    <mergeCell ref="B287:F287"/>
    <mergeCell ref="B288:F288"/>
    <mergeCell ref="A357:A358"/>
    <mergeCell ref="A359:A366"/>
    <mergeCell ref="A318:A320"/>
    <mergeCell ref="A321:A326"/>
    <mergeCell ref="B329:F329"/>
    <mergeCell ref="A339:A340"/>
    <mergeCell ref="A341:A348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5:F365"/>
    <mergeCell ref="D366:F366"/>
    <mergeCell ref="D328:F328"/>
    <mergeCell ref="B328:C328"/>
    <mergeCell ref="D364:F364"/>
    <mergeCell ref="D346:F346"/>
    <mergeCell ref="B327:C327"/>
    <mergeCell ref="D327:F327"/>
    <mergeCell ref="D368:F368"/>
    <mergeCell ref="B369:F369"/>
    <mergeCell ref="B350:F350"/>
    <mergeCell ref="B356:C356"/>
    <mergeCell ref="B357:C358"/>
    <mergeCell ref="B359:C366"/>
    <mergeCell ref="B368:C368"/>
    <mergeCell ref="B349:C349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7:F347"/>
    <mergeCell ref="D348:F348"/>
    <mergeCell ref="D349:F349"/>
    <mergeCell ref="B338:C338"/>
    <mergeCell ref="B339:C340"/>
    <mergeCell ref="B341:C348"/>
    <mergeCell ref="D367:F367"/>
    <mergeCell ref="B367:C367"/>
    <mergeCell ref="A299:A301"/>
    <mergeCell ref="A302:A307"/>
    <mergeCell ref="D300:F300"/>
    <mergeCell ref="D299:F299"/>
    <mergeCell ref="D301:F301"/>
    <mergeCell ref="D302:F302"/>
    <mergeCell ref="B299:C301"/>
    <mergeCell ref="B302:C307"/>
    <mergeCell ref="B308:C308"/>
    <mergeCell ref="D303:F303"/>
    <mergeCell ref="D304:F304"/>
    <mergeCell ref="D305:F305"/>
    <mergeCell ref="D306:F306"/>
    <mergeCell ref="D307:F307"/>
    <mergeCell ref="D308:F308"/>
    <mergeCell ref="B309:F309"/>
    <mergeCell ref="D323:F323"/>
    <mergeCell ref="D324:F324"/>
    <mergeCell ref="B317:C317"/>
    <mergeCell ref="B318:C320"/>
    <mergeCell ref="B321:C326"/>
    <mergeCell ref="D317:F317"/>
    <mergeCell ref="D318:F318"/>
    <mergeCell ref="D319:F319"/>
    <mergeCell ref="D320:F320"/>
    <mergeCell ref="D321:F321"/>
    <mergeCell ref="D322:F322"/>
    <mergeCell ref="D325:F325"/>
    <mergeCell ref="D326:F326"/>
    <mergeCell ref="A5:A22"/>
    <mergeCell ref="A23:A103"/>
    <mergeCell ref="B23:B103"/>
    <mergeCell ref="B5:B20"/>
    <mergeCell ref="C15:C20"/>
    <mergeCell ref="B298:C298"/>
    <mergeCell ref="D298:F298"/>
    <mergeCell ref="C22:G22"/>
    <mergeCell ref="E12:G12"/>
    <mergeCell ref="E21:G21"/>
    <mergeCell ref="E116:G116"/>
    <mergeCell ref="C118:G118"/>
    <mergeCell ref="C126:G126"/>
    <mergeCell ref="C125:G125"/>
    <mergeCell ref="D5:D13"/>
    <mergeCell ref="C14:G14"/>
    <mergeCell ref="A293:F293"/>
    <mergeCell ref="B289:F289"/>
    <mergeCell ref="A291:F291"/>
    <mergeCell ref="A105:F105"/>
    <mergeCell ref="A109:A126"/>
    <mergeCell ref="C109:C117"/>
    <mergeCell ref="B109:B124"/>
    <mergeCell ref="A287:A288"/>
    <mergeCell ref="C203:F203"/>
    <mergeCell ref="A206:F206"/>
    <mergeCell ref="A127:A203"/>
    <mergeCell ref="B127:B203"/>
    <mergeCell ref="B204:F204"/>
    <mergeCell ref="A210:A224"/>
    <mergeCell ref="B210:B223"/>
    <mergeCell ref="C210:C214"/>
    <mergeCell ref="C218:C223"/>
    <mergeCell ref="A225:A286"/>
    <mergeCell ref="B225:B286"/>
    <mergeCell ref="C286:F286"/>
    <mergeCell ref="B205:F205"/>
    <mergeCell ref="D186:G186"/>
    <mergeCell ref="D190:G190"/>
    <mergeCell ref="D197:G197"/>
    <mergeCell ref="C198:G198"/>
    <mergeCell ref="E34:F34"/>
    <mergeCell ref="E45:F45"/>
    <mergeCell ref="E48:F48"/>
    <mergeCell ref="E54:F54"/>
    <mergeCell ref="E59:F59"/>
    <mergeCell ref="E67:F67"/>
    <mergeCell ref="E75:F75"/>
    <mergeCell ref="D60:G60"/>
    <mergeCell ref="D109:D117"/>
    <mergeCell ref="D78:G78"/>
    <mergeCell ref="E77:F77"/>
    <mergeCell ref="D94:G94"/>
    <mergeCell ref="E82:G82"/>
    <mergeCell ref="E86:G86"/>
    <mergeCell ref="D102:G102"/>
    <mergeCell ref="D152:F152"/>
    <mergeCell ref="D149:F149"/>
    <mergeCell ref="D138:F138"/>
    <mergeCell ref="E93:F93"/>
    <mergeCell ref="D119:D124"/>
    <mergeCell ref="D202:G202"/>
    <mergeCell ref="C182:G182"/>
    <mergeCell ref="C164:G164"/>
    <mergeCell ref="D181:G181"/>
    <mergeCell ref="C119:C124"/>
    <mergeCell ref="D179:F179"/>
    <mergeCell ref="D171:F171"/>
    <mergeCell ref="D163:F163"/>
    <mergeCell ref="D158:F158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scale="15" orientation="landscape" r:id="rId1"/>
  <customProperties>
    <customPr name="BudgetSheetCodeName" r:id="rId2"/>
  </customProperties>
  <ignoredErrors>
    <ignoredError sqref="L34" formulaRange="1"/>
  </ignoredErrors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I31"/>
  <sheetViews>
    <sheetView workbookViewId="0">
      <selection sqref="A1:F2"/>
    </sheetView>
  </sheetViews>
  <sheetFormatPr defaultColWidth="9" defaultRowHeight="17.399999999999999"/>
  <cols>
    <col min="1" max="1" width="5.8984375" style="264" customWidth="1"/>
    <col min="2" max="2" width="19.59765625" style="264" bestFit="1" customWidth="1"/>
    <col min="3" max="3" width="10.09765625" style="264" customWidth="1"/>
    <col min="4" max="4" width="21.09765625" style="265" bestFit="1" customWidth="1"/>
    <col min="5" max="5" width="81.09765625" style="264" customWidth="1"/>
    <col min="6" max="6" width="14.09765625" style="265" bestFit="1" customWidth="1"/>
    <col min="7" max="7" width="14.09765625" style="264" customWidth="1"/>
    <col min="8" max="8" width="9" style="264" customWidth="1"/>
    <col min="9" max="16384" width="9" style="264"/>
  </cols>
  <sheetData>
    <row r="1" spans="1:9">
      <c r="A1" s="7248" t="s">
        <v>215</v>
      </c>
      <c r="B1" s="7248"/>
      <c r="C1" s="7248"/>
      <c r="D1" s="7248"/>
      <c r="E1" s="7248"/>
      <c r="F1" s="7248"/>
    </row>
    <row r="2" spans="1:9">
      <c r="A2" s="7248"/>
      <c r="B2" s="7248"/>
      <c r="C2" s="7248"/>
      <c r="D2" s="7248"/>
      <c r="E2" s="7248"/>
      <c r="F2" s="7248"/>
    </row>
    <row r="3" spans="1:9">
      <c r="A3" s="264" t="s">
        <v>221</v>
      </c>
    </row>
    <row r="4" spans="1:9" ht="18" thickBot="1">
      <c r="A4" s="774" t="s">
        <v>40</v>
      </c>
      <c r="B4" s="774" t="s">
        <v>748</v>
      </c>
      <c r="C4" s="774" t="s">
        <v>118</v>
      </c>
      <c r="D4" s="775" t="s">
        <v>108</v>
      </c>
      <c r="E4" s="775" t="s">
        <v>749</v>
      </c>
      <c r="F4" s="774" t="s">
        <v>750</v>
      </c>
    </row>
    <row r="5" spans="1:9" ht="87">
      <c r="A5" s="7249">
        <v>1</v>
      </c>
      <c r="B5" s="7251" t="s">
        <v>751</v>
      </c>
      <c r="C5" s="7253" t="s">
        <v>752</v>
      </c>
      <c r="D5" s="1131" t="s">
        <v>753</v>
      </c>
      <c r="E5" s="1132" t="s">
        <v>754</v>
      </c>
      <c r="F5" s="89"/>
    </row>
    <row r="6" spans="1:9" ht="52.2">
      <c r="A6" s="7250"/>
      <c r="B6" s="7252"/>
      <c r="C6" s="7254"/>
      <c r="D6" s="1131" t="s">
        <v>755</v>
      </c>
      <c r="E6" s="1132" t="s">
        <v>756</v>
      </c>
      <c r="F6" s="1135"/>
    </row>
    <row r="7" spans="1:9" ht="18" customHeight="1">
      <c r="A7" s="7255">
        <v>2</v>
      </c>
      <c r="B7" s="7257" t="s">
        <v>757</v>
      </c>
      <c r="C7" s="7259" t="s">
        <v>758</v>
      </c>
      <c r="D7" s="1135" t="s">
        <v>781</v>
      </c>
      <c r="E7" s="1136" t="s">
        <v>783</v>
      </c>
      <c r="F7" s="1135"/>
      <c r="I7" s="266"/>
    </row>
    <row r="8" spans="1:9" ht="18" customHeight="1">
      <c r="A8" s="7256"/>
      <c r="B8" s="7258"/>
      <c r="C8" s="7260"/>
      <c r="D8" s="1135" t="s">
        <v>782</v>
      </c>
      <c r="E8" s="1136" t="s">
        <v>789</v>
      </c>
      <c r="F8" s="1135"/>
    </row>
    <row r="9" spans="1:9" ht="52.2">
      <c r="A9" s="88">
        <v>3</v>
      </c>
      <c r="B9" s="87" t="s">
        <v>759</v>
      </c>
      <c r="C9" s="86" t="s">
        <v>760</v>
      </c>
      <c r="D9" s="1131" t="s">
        <v>761</v>
      </c>
      <c r="E9" s="1132" t="s">
        <v>762</v>
      </c>
      <c r="F9" s="1135"/>
    </row>
    <row r="10" spans="1:9" ht="52.2">
      <c r="A10" s="7255">
        <v>4</v>
      </c>
      <c r="B10" s="7257" t="s">
        <v>763</v>
      </c>
      <c r="C10" s="7259" t="s">
        <v>764</v>
      </c>
      <c r="D10" s="1130" t="s">
        <v>779</v>
      </c>
      <c r="E10" s="92" t="s">
        <v>780</v>
      </c>
      <c r="F10" s="1135" t="s">
        <v>778</v>
      </c>
    </row>
    <row r="11" spans="1:9" ht="30" customHeight="1">
      <c r="A11" s="7256"/>
      <c r="B11" s="7258"/>
      <c r="C11" s="7260"/>
      <c r="D11" s="1130" t="s">
        <v>787</v>
      </c>
      <c r="E11" s="92" t="s">
        <v>788</v>
      </c>
      <c r="F11" s="1135"/>
    </row>
    <row r="12" spans="1:9" ht="52.2">
      <c r="A12" s="7256"/>
      <c r="B12" s="7258"/>
      <c r="C12" s="7260"/>
      <c r="D12" s="1130" t="s">
        <v>765</v>
      </c>
      <c r="E12" s="1137" t="s">
        <v>766</v>
      </c>
      <c r="F12" s="1135"/>
    </row>
    <row r="13" spans="1:9" ht="52.2">
      <c r="A13" s="7256"/>
      <c r="B13" s="7258"/>
      <c r="C13" s="7260"/>
      <c r="D13" s="1130" t="s">
        <v>767</v>
      </c>
      <c r="E13" s="1137" t="s">
        <v>768</v>
      </c>
      <c r="F13" s="1135"/>
    </row>
    <row r="14" spans="1:9" ht="34.799999999999997">
      <c r="A14" s="7250"/>
      <c r="B14" s="7254"/>
      <c r="C14" s="7252"/>
      <c r="D14" s="1130" t="s">
        <v>769</v>
      </c>
      <c r="E14" s="1137" t="s">
        <v>770</v>
      </c>
      <c r="F14" s="1135"/>
    </row>
    <row r="15" spans="1:9" ht="34.799999999999997">
      <c r="A15" s="88">
        <v>5</v>
      </c>
      <c r="B15" s="86" t="s">
        <v>757</v>
      </c>
      <c r="C15" s="86" t="s">
        <v>771</v>
      </c>
      <c r="D15" s="1138" t="s">
        <v>790</v>
      </c>
      <c r="E15" s="1139" t="s">
        <v>791</v>
      </c>
      <c r="F15" s="1140"/>
    </row>
    <row r="16" spans="1:9" ht="18" customHeight="1">
      <c r="A16" s="88">
        <v>6</v>
      </c>
      <c r="B16" s="87" t="s">
        <v>757</v>
      </c>
      <c r="C16" s="86" t="s">
        <v>772</v>
      </c>
      <c r="D16" s="1138" t="s">
        <v>792</v>
      </c>
      <c r="E16" s="1141" t="s">
        <v>793</v>
      </c>
      <c r="F16" s="1140"/>
    </row>
    <row r="17" spans="1:6" ht="18" customHeight="1">
      <c r="A17" s="7255">
        <v>7</v>
      </c>
      <c r="B17" s="7257" t="s">
        <v>773</v>
      </c>
      <c r="C17" s="7259" t="s">
        <v>774</v>
      </c>
      <c r="D17" s="1134"/>
      <c r="E17" s="1133"/>
      <c r="F17" s="797"/>
    </row>
    <row r="18" spans="1:6" ht="18" customHeight="1">
      <c r="A18" s="7256"/>
      <c r="B18" s="7258"/>
      <c r="C18" s="7260"/>
      <c r="D18" s="1134"/>
      <c r="E18" s="1133"/>
      <c r="F18" s="798"/>
    </row>
    <row r="19" spans="1:6" ht="18" customHeight="1">
      <c r="A19" s="7256"/>
      <c r="B19" s="7258"/>
      <c r="C19" s="7260"/>
      <c r="D19" s="1134"/>
      <c r="E19" s="1133"/>
      <c r="F19" s="799"/>
    </row>
    <row r="20" spans="1:6" ht="18" customHeight="1">
      <c r="A20" s="7256"/>
      <c r="B20" s="7258"/>
      <c r="C20" s="7260"/>
      <c r="D20" s="1134"/>
      <c r="E20" s="1133"/>
      <c r="F20" s="800"/>
    </row>
    <row r="21" spans="1:6" ht="18" customHeight="1">
      <c r="A21" s="7250"/>
      <c r="B21" s="7254"/>
      <c r="C21" s="7252"/>
      <c r="D21" s="1134"/>
      <c r="E21" s="1133"/>
      <c r="F21" s="801"/>
    </row>
    <row r="22" spans="1:6" ht="18" customHeight="1">
      <c r="A22" s="7255">
        <v>8</v>
      </c>
      <c r="B22" s="7259" t="s">
        <v>775</v>
      </c>
      <c r="C22" s="7259" t="s">
        <v>776</v>
      </c>
      <c r="D22" s="1134"/>
      <c r="E22" s="1133"/>
      <c r="F22" s="797"/>
    </row>
    <row r="23" spans="1:6" ht="18" customHeight="1">
      <c r="A23" s="7256"/>
      <c r="B23" s="7260"/>
      <c r="C23" s="7260"/>
      <c r="D23" s="1134"/>
      <c r="E23" s="1133"/>
      <c r="F23" s="798"/>
    </row>
    <row r="24" spans="1:6" ht="18" customHeight="1">
      <c r="A24" s="7256"/>
      <c r="B24" s="7260"/>
      <c r="C24" s="7260"/>
      <c r="D24" s="1134"/>
      <c r="E24" s="1133"/>
      <c r="F24" s="799"/>
    </row>
    <row r="25" spans="1:6" ht="18" customHeight="1">
      <c r="A25" s="7256"/>
      <c r="B25" s="7260"/>
      <c r="C25" s="7260"/>
      <c r="D25" s="1134"/>
      <c r="E25" s="1133"/>
      <c r="F25" s="800"/>
    </row>
    <row r="26" spans="1:6" ht="18" customHeight="1">
      <c r="A26" s="7250"/>
      <c r="B26" s="7252"/>
      <c r="C26" s="7252"/>
      <c r="D26" s="1134"/>
      <c r="E26" s="1133"/>
      <c r="F26" s="801"/>
    </row>
    <row r="27" spans="1:6" ht="18" customHeight="1">
      <c r="A27" s="7255">
        <v>9</v>
      </c>
      <c r="B27" s="7257" t="s">
        <v>773</v>
      </c>
      <c r="C27" s="7259" t="s">
        <v>777</v>
      </c>
      <c r="D27" s="1134"/>
      <c r="E27" s="1133"/>
      <c r="F27" s="797"/>
    </row>
    <row r="28" spans="1:6" ht="18" customHeight="1">
      <c r="A28" s="7256"/>
      <c r="B28" s="7258"/>
      <c r="C28" s="7260"/>
      <c r="D28" s="1134"/>
      <c r="E28" s="1133"/>
      <c r="F28" s="798"/>
    </row>
    <row r="29" spans="1:6" ht="18" customHeight="1">
      <c r="A29" s="7256"/>
      <c r="B29" s="7258"/>
      <c r="C29" s="7260"/>
      <c r="D29" s="1134"/>
      <c r="E29" s="1133"/>
      <c r="F29" s="799"/>
    </row>
    <row r="30" spans="1:6" ht="18" customHeight="1">
      <c r="A30" s="7256"/>
      <c r="B30" s="7258"/>
      <c r="C30" s="7260"/>
      <c r="D30" s="1134"/>
      <c r="E30" s="1133"/>
      <c r="F30" s="800"/>
    </row>
    <row r="31" spans="1:6" ht="18" customHeight="1">
      <c r="A31" s="7250"/>
      <c r="B31" s="7254"/>
      <c r="C31" s="7252"/>
      <c r="D31" s="1134"/>
      <c r="E31" s="1133"/>
      <c r="F31" s="801"/>
    </row>
  </sheetData>
  <mergeCells count="19">
    <mergeCell ref="A27:A31"/>
    <mergeCell ref="B27:B31"/>
    <mergeCell ref="C27:C31"/>
    <mergeCell ref="A10:A14"/>
    <mergeCell ref="B10:B14"/>
    <mergeCell ref="C10:C14"/>
    <mergeCell ref="A17:A21"/>
    <mergeCell ref="B17:B21"/>
    <mergeCell ref="C17:C21"/>
    <mergeCell ref="A22:A26"/>
    <mergeCell ref="B22:B26"/>
    <mergeCell ref="C22:C26"/>
    <mergeCell ref="A1:F2"/>
    <mergeCell ref="A5:A6"/>
    <mergeCell ref="B5:B6"/>
    <mergeCell ref="C5:C6"/>
    <mergeCell ref="A7:A8"/>
    <mergeCell ref="B7:B8"/>
    <mergeCell ref="C7:C8"/>
  </mergeCells>
  <phoneticPr fontId="10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L285"/>
  <sheetViews>
    <sheetView workbookViewId="0">
      <selection sqref="A1:A2"/>
    </sheetView>
  </sheetViews>
  <sheetFormatPr defaultColWidth="9" defaultRowHeight="19.2" outlineLevelCol="1"/>
  <cols>
    <col min="1" max="1" width="13.59765625" style="1124" customWidth="1"/>
    <col min="2" max="2" width="27.69921875" style="860" customWidth="1"/>
    <col min="3" max="3" width="13.59765625" style="860" customWidth="1"/>
    <col min="4" max="7" width="8.3984375" style="568" hidden="1" customWidth="1" outlineLevel="1"/>
    <col min="8" max="8" width="8.09765625" style="568" hidden="1" customWidth="1" outlineLevel="1" collapsed="1"/>
    <col min="9" max="11" width="8.09765625" style="568" hidden="1" customWidth="1" outlineLevel="1"/>
    <col min="12" max="12" width="9.765625E-2" style="568" customWidth="1" collapsed="1"/>
    <col min="13" max="24" width="10.09765625" style="553" hidden="1" customWidth="1" outlineLevel="1"/>
    <col min="25" max="25" width="10.09765625" style="553" bestFit="1" customWidth="1" collapsed="1"/>
    <col min="26" max="28" width="10.09765625" style="860" hidden="1" customWidth="1" outlineLevel="1"/>
    <col min="29" max="29" width="13" style="860" hidden="1" customWidth="1" outlineLevel="1"/>
    <col min="30" max="31" width="10.09765625" style="860" hidden="1" customWidth="1" outlineLevel="1"/>
    <col min="32" max="37" width="13.09765625" style="860" hidden="1" customWidth="1" outlineLevel="1"/>
    <col min="38" max="38" width="14.59765625" style="569" customWidth="1" collapsed="1"/>
    <col min="39" max="50" width="13.59765625" style="553" customWidth="1" outlineLevel="1"/>
    <col min="51" max="51" width="14.59765625" style="553" customWidth="1"/>
    <col min="52" max="54" width="13.8984375" style="860" customWidth="1" outlineLevel="1"/>
    <col min="55" max="63" width="13.09765625" style="860" customWidth="1" outlineLevel="1"/>
    <col min="64" max="64" width="14.59765625" style="569" customWidth="1"/>
    <col min="65" max="76" width="13.59765625" style="553" hidden="1" customWidth="1" outlineLevel="1"/>
    <col min="77" max="77" width="14.59765625" style="553" customWidth="1" collapsed="1"/>
    <col min="78" max="80" width="13.8984375" style="860" hidden="1" customWidth="1" outlineLevel="1"/>
    <col min="81" max="89" width="13.09765625" style="860" hidden="1" customWidth="1" outlineLevel="1"/>
    <col min="90" max="90" width="14.59765625" style="569" customWidth="1" collapsed="1"/>
    <col min="91" max="102" width="13.59765625" style="553" hidden="1" customWidth="1" outlineLevel="1"/>
    <col min="103" max="103" width="14.59765625" style="553" customWidth="1" collapsed="1"/>
    <col min="104" max="106" width="13.8984375" style="860" hidden="1" customWidth="1" outlineLevel="1"/>
    <col min="107" max="115" width="13.09765625" style="860" hidden="1" customWidth="1" outlineLevel="1"/>
    <col min="116" max="116" width="14.59765625" style="569" customWidth="1" collapsed="1"/>
    <col min="117" max="128" width="13.59765625" style="553" hidden="1" customWidth="1" outlineLevel="1"/>
    <col min="129" max="129" width="14.59765625" style="553" customWidth="1" collapsed="1"/>
    <col min="130" max="132" width="13.8984375" style="860" hidden="1" customWidth="1" outlineLevel="1"/>
    <col min="133" max="141" width="13.09765625" style="860" hidden="1" customWidth="1" outlineLevel="1"/>
    <col min="142" max="142" width="14.59765625" style="569" customWidth="1" collapsed="1"/>
    <col min="143" max="16384" width="9" style="860"/>
  </cols>
  <sheetData>
    <row r="1" spans="1:142" ht="20.25" customHeight="1" thickTop="1">
      <c r="A1" s="7280" t="s">
        <v>45</v>
      </c>
      <c r="B1" s="7282" t="s">
        <v>100</v>
      </c>
      <c r="C1" s="7282" t="s">
        <v>46</v>
      </c>
      <c r="D1" s="7276" t="s">
        <v>589</v>
      </c>
      <c r="E1" s="7278" t="s">
        <v>590</v>
      </c>
      <c r="F1" s="7278" t="s">
        <v>591</v>
      </c>
      <c r="G1" s="7274" t="s">
        <v>592</v>
      </c>
      <c r="H1" s="7276" t="s">
        <v>593</v>
      </c>
      <c r="I1" s="7278" t="s">
        <v>594</v>
      </c>
      <c r="J1" s="7278" t="s">
        <v>595</v>
      </c>
      <c r="K1" s="7274" t="s">
        <v>596</v>
      </c>
      <c r="L1" s="859"/>
      <c r="M1" s="7273" t="s">
        <v>597</v>
      </c>
      <c r="N1" s="7270"/>
      <c r="O1" s="7270"/>
      <c r="P1" s="7270"/>
      <c r="Q1" s="7270"/>
      <c r="R1" s="7270"/>
      <c r="S1" s="7270"/>
      <c r="T1" s="7270"/>
      <c r="U1" s="7270"/>
      <c r="V1" s="7270"/>
      <c r="W1" s="7270"/>
      <c r="X1" s="7270"/>
      <c r="Y1" s="7271"/>
      <c r="Z1" s="7267" t="s">
        <v>598</v>
      </c>
      <c r="AA1" s="7268"/>
      <c r="AB1" s="7268"/>
      <c r="AC1" s="7268"/>
      <c r="AD1" s="7268"/>
      <c r="AE1" s="7268"/>
      <c r="AF1" s="7268"/>
      <c r="AG1" s="7268"/>
      <c r="AH1" s="7268"/>
      <c r="AI1" s="7268"/>
      <c r="AJ1" s="7268"/>
      <c r="AK1" s="7268"/>
      <c r="AL1" s="7269"/>
      <c r="AM1" s="7273" t="s">
        <v>599</v>
      </c>
      <c r="AN1" s="7270"/>
      <c r="AO1" s="7270"/>
      <c r="AP1" s="7270"/>
      <c r="AQ1" s="7270"/>
      <c r="AR1" s="7270"/>
      <c r="AS1" s="7270"/>
      <c r="AT1" s="7270"/>
      <c r="AU1" s="7270"/>
      <c r="AV1" s="7270"/>
      <c r="AW1" s="7270"/>
      <c r="AX1" s="7270"/>
      <c r="AY1" s="7271"/>
      <c r="AZ1" s="7267" t="s">
        <v>600</v>
      </c>
      <c r="BA1" s="7268"/>
      <c r="BB1" s="7268"/>
      <c r="BC1" s="7268"/>
      <c r="BD1" s="7268"/>
      <c r="BE1" s="7268"/>
      <c r="BF1" s="7268"/>
      <c r="BG1" s="7268"/>
      <c r="BH1" s="7268"/>
      <c r="BI1" s="7268"/>
      <c r="BJ1" s="7268"/>
      <c r="BK1" s="7268"/>
      <c r="BL1" s="7269"/>
      <c r="BM1" s="7273" t="s">
        <v>601</v>
      </c>
      <c r="BN1" s="7270"/>
      <c r="BO1" s="7270"/>
      <c r="BP1" s="7270"/>
      <c r="BQ1" s="7270"/>
      <c r="BR1" s="7270"/>
      <c r="BS1" s="7270"/>
      <c r="BT1" s="7270"/>
      <c r="BU1" s="7270"/>
      <c r="BV1" s="7270"/>
      <c r="BW1" s="7270"/>
      <c r="BX1" s="7270"/>
      <c r="BY1" s="7271"/>
      <c r="BZ1" s="7268" t="s">
        <v>602</v>
      </c>
      <c r="CA1" s="7268"/>
      <c r="CB1" s="7268"/>
      <c r="CC1" s="7268"/>
      <c r="CD1" s="7268"/>
      <c r="CE1" s="7268"/>
      <c r="CF1" s="7268"/>
      <c r="CG1" s="7268"/>
      <c r="CH1" s="7268"/>
      <c r="CI1" s="7268"/>
      <c r="CJ1" s="7268"/>
      <c r="CK1" s="7268"/>
      <c r="CL1" s="7268"/>
      <c r="CM1" s="7273" t="s">
        <v>603</v>
      </c>
      <c r="CN1" s="7270"/>
      <c r="CO1" s="7270"/>
      <c r="CP1" s="7270"/>
      <c r="CQ1" s="7270"/>
      <c r="CR1" s="7270"/>
      <c r="CS1" s="7270"/>
      <c r="CT1" s="7270"/>
      <c r="CU1" s="7270"/>
      <c r="CV1" s="7270"/>
      <c r="CW1" s="7270"/>
      <c r="CX1" s="7270"/>
      <c r="CY1" s="7271"/>
      <c r="CZ1" s="7267" t="s">
        <v>604</v>
      </c>
      <c r="DA1" s="7268"/>
      <c r="DB1" s="7268"/>
      <c r="DC1" s="7268"/>
      <c r="DD1" s="7268"/>
      <c r="DE1" s="7268"/>
      <c r="DF1" s="7268"/>
      <c r="DG1" s="7268"/>
      <c r="DH1" s="7268"/>
      <c r="DI1" s="7268"/>
      <c r="DJ1" s="7268"/>
      <c r="DK1" s="7268"/>
      <c r="DL1" s="7269"/>
      <c r="DM1" s="7270" t="s">
        <v>605</v>
      </c>
      <c r="DN1" s="7270"/>
      <c r="DO1" s="7270"/>
      <c r="DP1" s="7270"/>
      <c r="DQ1" s="7270"/>
      <c r="DR1" s="7270"/>
      <c r="DS1" s="7270"/>
      <c r="DT1" s="7270"/>
      <c r="DU1" s="7270"/>
      <c r="DV1" s="7270"/>
      <c r="DW1" s="7270"/>
      <c r="DX1" s="7270"/>
      <c r="DY1" s="7271"/>
      <c r="DZ1" s="7272" t="s">
        <v>606</v>
      </c>
      <c r="EA1" s="7268"/>
      <c r="EB1" s="7268"/>
      <c r="EC1" s="7268"/>
      <c r="ED1" s="7268"/>
      <c r="EE1" s="7268"/>
      <c r="EF1" s="7268"/>
      <c r="EG1" s="7268"/>
      <c r="EH1" s="7268"/>
      <c r="EI1" s="7268"/>
      <c r="EJ1" s="7268"/>
      <c r="EK1" s="7268"/>
      <c r="EL1" s="7269"/>
    </row>
    <row r="2" spans="1:142" s="468" customFormat="1" ht="17.25" customHeight="1">
      <c r="A2" s="7281"/>
      <c r="B2" s="7283"/>
      <c r="C2" s="7283"/>
      <c r="D2" s="7277"/>
      <c r="E2" s="7279"/>
      <c r="F2" s="7279"/>
      <c r="G2" s="7275"/>
      <c r="H2" s="7277"/>
      <c r="I2" s="7279"/>
      <c r="J2" s="7279"/>
      <c r="K2" s="7275"/>
      <c r="L2" s="861"/>
      <c r="M2" s="862" t="s">
        <v>607</v>
      </c>
      <c r="N2" s="863" t="s">
        <v>608</v>
      </c>
      <c r="O2" s="862" t="s">
        <v>609</v>
      </c>
      <c r="P2" s="863" t="s">
        <v>610</v>
      </c>
      <c r="Q2" s="862" t="s">
        <v>509</v>
      </c>
      <c r="R2" s="863" t="s">
        <v>559</v>
      </c>
      <c r="S2" s="862" t="s">
        <v>611</v>
      </c>
      <c r="T2" s="863" t="s">
        <v>510</v>
      </c>
      <c r="U2" s="862" t="s">
        <v>511</v>
      </c>
      <c r="V2" s="863" t="s">
        <v>409</v>
      </c>
      <c r="W2" s="862" t="s">
        <v>410</v>
      </c>
      <c r="X2" s="863" t="s">
        <v>612</v>
      </c>
      <c r="Y2" s="864" t="s">
        <v>613</v>
      </c>
      <c r="Z2" s="865">
        <v>45293</v>
      </c>
      <c r="AA2" s="866">
        <v>45324</v>
      </c>
      <c r="AB2" s="866">
        <v>45353</v>
      </c>
      <c r="AC2" s="866">
        <v>45384</v>
      </c>
      <c r="AD2" s="866">
        <v>45414</v>
      </c>
      <c r="AE2" s="866">
        <v>45445</v>
      </c>
      <c r="AF2" s="866">
        <v>45475</v>
      </c>
      <c r="AG2" s="866">
        <v>45506</v>
      </c>
      <c r="AH2" s="866">
        <v>45537</v>
      </c>
      <c r="AI2" s="866">
        <v>45567</v>
      </c>
      <c r="AJ2" s="866">
        <v>45598</v>
      </c>
      <c r="AK2" s="866">
        <v>45628</v>
      </c>
      <c r="AL2" s="867" t="s">
        <v>613</v>
      </c>
      <c r="AM2" s="868" t="s">
        <v>607</v>
      </c>
      <c r="AN2" s="863" t="s">
        <v>608</v>
      </c>
      <c r="AO2" s="862" t="s">
        <v>609</v>
      </c>
      <c r="AP2" s="863" t="s">
        <v>610</v>
      </c>
      <c r="AQ2" s="862" t="s">
        <v>509</v>
      </c>
      <c r="AR2" s="863" t="s">
        <v>559</v>
      </c>
      <c r="AS2" s="862" t="s">
        <v>611</v>
      </c>
      <c r="AT2" s="863" t="s">
        <v>510</v>
      </c>
      <c r="AU2" s="862" t="s">
        <v>511</v>
      </c>
      <c r="AV2" s="863" t="s">
        <v>409</v>
      </c>
      <c r="AW2" s="862" t="s">
        <v>410</v>
      </c>
      <c r="AX2" s="863" t="s">
        <v>612</v>
      </c>
      <c r="AY2" s="864" t="s">
        <v>614</v>
      </c>
      <c r="AZ2" s="865" t="s">
        <v>556</v>
      </c>
      <c r="BA2" s="866" t="s">
        <v>557</v>
      </c>
      <c r="BB2" s="866" t="s">
        <v>558</v>
      </c>
      <c r="BC2" s="866" t="s">
        <v>508</v>
      </c>
      <c r="BD2" s="866" t="s">
        <v>509</v>
      </c>
      <c r="BE2" s="866" t="s">
        <v>559</v>
      </c>
      <c r="BF2" s="866" t="s">
        <v>611</v>
      </c>
      <c r="BG2" s="866" t="s">
        <v>510</v>
      </c>
      <c r="BH2" s="866" t="s">
        <v>511</v>
      </c>
      <c r="BI2" s="866" t="s">
        <v>409</v>
      </c>
      <c r="BJ2" s="866" t="s">
        <v>410</v>
      </c>
      <c r="BK2" s="866" t="s">
        <v>411</v>
      </c>
      <c r="BL2" s="867" t="s">
        <v>615</v>
      </c>
      <c r="BM2" s="868" t="s">
        <v>607</v>
      </c>
      <c r="BN2" s="863" t="s">
        <v>608</v>
      </c>
      <c r="BO2" s="862" t="s">
        <v>609</v>
      </c>
      <c r="BP2" s="863" t="s">
        <v>610</v>
      </c>
      <c r="BQ2" s="862" t="s">
        <v>509</v>
      </c>
      <c r="BR2" s="863" t="s">
        <v>559</v>
      </c>
      <c r="BS2" s="862" t="s">
        <v>611</v>
      </c>
      <c r="BT2" s="863" t="s">
        <v>510</v>
      </c>
      <c r="BU2" s="862" t="s">
        <v>511</v>
      </c>
      <c r="BV2" s="863" t="s">
        <v>409</v>
      </c>
      <c r="BW2" s="862" t="s">
        <v>410</v>
      </c>
      <c r="BX2" s="863" t="s">
        <v>612</v>
      </c>
      <c r="BY2" s="864" t="s">
        <v>616</v>
      </c>
      <c r="BZ2" s="869" t="s">
        <v>556</v>
      </c>
      <c r="CA2" s="866" t="s">
        <v>557</v>
      </c>
      <c r="CB2" s="866" t="s">
        <v>558</v>
      </c>
      <c r="CC2" s="866" t="s">
        <v>508</v>
      </c>
      <c r="CD2" s="866" t="s">
        <v>509</v>
      </c>
      <c r="CE2" s="866" t="s">
        <v>559</v>
      </c>
      <c r="CF2" s="866" t="s">
        <v>611</v>
      </c>
      <c r="CG2" s="866" t="s">
        <v>510</v>
      </c>
      <c r="CH2" s="866" t="s">
        <v>511</v>
      </c>
      <c r="CI2" s="866" t="s">
        <v>409</v>
      </c>
      <c r="CJ2" s="866" t="s">
        <v>410</v>
      </c>
      <c r="CK2" s="866" t="s">
        <v>411</v>
      </c>
      <c r="CL2" s="870" t="s">
        <v>617</v>
      </c>
      <c r="CM2" s="868" t="s">
        <v>607</v>
      </c>
      <c r="CN2" s="863" t="s">
        <v>608</v>
      </c>
      <c r="CO2" s="862" t="s">
        <v>609</v>
      </c>
      <c r="CP2" s="863" t="s">
        <v>610</v>
      </c>
      <c r="CQ2" s="862" t="s">
        <v>509</v>
      </c>
      <c r="CR2" s="863" t="s">
        <v>559</v>
      </c>
      <c r="CS2" s="862" t="s">
        <v>611</v>
      </c>
      <c r="CT2" s="863" t="s">
        <v>510</v>
      </c>
      <c r="CU2" s="862" t="s">
        <v>511</v>
      </c>
      <c r="CV2" s="863" t="s">
        <v>409</v>
      </c>
      <c r="CW2" s="862" t="s">
        <v>410</v>
      </c>
      <c r="CX2" s="863" t="s">
        <v>612</v>
      </c>
      <c r="CY2" s="864" t="s">
        <v>618</v>
      </c>
      <c r="CZ2" s="865" t="s">
        <v>556</v>
      </c>
      <c r="DA2" s="866" t="s">
        <v>557</v>
      </c>
      <c r="DB2" s="866" t="s">
        <v>558</v>
      </c>
      <c r="DC2" s="866" t="s">
        <v>508</v>
      </c>
      <c r="DD2" s="866" t="s">
        <v>509</v>
      </c>
      <c r="DE2" s="866" t="s">
        <v>559</v>
      </c>
      <c r="DF2" s="866" t="s">
        <v>611</v>
      </c>
      <c r="DG2" s="866" t="s">
        <v>510</v>
      </c>
      <c r="DH2" s="866" t="s">
        <v>511</v>
      </c>
      <c r="DI2" s="866" t="s">
        <v>409</v>
      </c>
      <c r="DJ2" s="866" t="s">
        <v>410</v>
      </c>
      <c r="DK2" s="866" t="s">
        <v>411</v>
      </c>
      <c r="DL2" s="867" t="s">
        <v>618</v>
      </c>
      <c r="DM2" s="862" t="s">
        <v>607</v>
      </c>
      <c r="DN2" s="863" t="s">
        <v>608</v>
      </c>
      <c r="DO2" s="862" t="s">
        <v>609</v>
      </c>
      <c r="DP2" s="863" t="s">
        <v>610</v>
      </c>
      <c r="DQ2" s="862" t="s">
        <v>509</v>
      </c>
      <c r="DR2" s="863" t="s">
        <v>559</v>
      </c>
      <c r="DS2" s="862" t="s">
        <v>611</v>
      </c>
      <c r="DT2" s="863" t="s">
        <v>510</v>
      </c>
      <c r="DU2" s="862" t="s">
        <v>511</v>
      </c>
      <c r="DV2" s="863" t="s">
        <v>409</v>
      </c>
      <c r="DW2" s="862" t="s">
        <v>410</v>
      </c>
      <c r="DX2" s="863" t="s">
        <v>612</v>
      </c>
      <c r="DY2" s="864" t="s">
        <v>619</v>
      </c>
      <c r="DZ2" s="866" t="s">
        <v>556</v>
      </c>
      <c r="EA2" s="866" t="s">
        <v>557</v>
      </c>
      <c r="EB2" s="866" t="s">
        <v>558</v>
      </c>
      <c r="EC2" s="866" t="s">
        <v>508</v>
      </c>
      <c r="ED2" s="866" t="s">
        <v>509</v>
      </c>
      <c r="EE2" s="866" t="s">
        <v>559</v>
      </c>
      <c r="EF2" s="866" t="s">
        <v>611</v>
      </c>
      <c r="EG2" s="866" t="s">
        <v>510</v>
      </c>
      <c r="EH2" s="866" t="s">
        <v>511</v>
      </c>
      <c r="EI2" s="866" t="s">
        <v>409</v>
      </c>
      <c r="EJ2" s="866" t="s">
        <v>410</v>
      </c>
      <c r="EK2" s="866" t="s">
        <v>411</v>
      </c>
      <c r="EL2" s="867" t="s">
        <v>619</v>
      </c>
    </row>
    <row r="3" spans="1:142" ht="17.25" customHeight="1">
      <c r="A3" s="871" t="s">
        <v>21</v>
      </c>
      <c r="B3" s="872" t="s">
        <v>620</v>
      </c>
      <c r="C3" s="873"/>
      <c r="D3" s="527">
        <v>3.99</v>
      </c>
      <c r="E3" s="528">
        <v>3.5779999999999998</v>
      </c>
      <c r="F3" s="528">
        <v>3.5779999999999998</v>
      </c>
      <c r="G3" s="528">
        <v>3.5779999999999998</v>
      </c>
      <c r="H3" s="527">
        <f>G3</f>
        <v>3.5779999999999998</v>
      </c>
      <c r="I3" s="528">
        <v>3.79</v>
      </c>
      <c r="J3" s="528">
        <v>3.79</v>
      </c>
      <c r="K3" s="874">
        <v>3.79</v>
      </c>
      <c r="L3" s="875"/>
      <c r="M3" s="555">
        <v>105000</v>
      </c>
      <c r="N3" s="530">
        <v>75000</v>
      </c>
      <c r="O3" s="530">
        <v>90000</v>
      </c>
      <c r="P3" s="530">
        <v>150000</v>
      </c>
      <c r="Q3" s="530">
        <v>200000</v>
      </c>
      <c r="R3" s="530">
        <v>250000</v>
      </c>
      <c r="S3" s="530">
        <v>250000</v>
      </c>
      <c r="T3" s="530">
        <v>230000</v>
      </c>
      <c r="U3" s="530">
        <v>130000</v>
      </c>
      <c r="V3" s="530">
        <v>130000</v>
      </c>
      <c r="W3" s="530">
        <v>130000</v>
      </c>
      <c r="X3" s="530">
        <v>130000</v>
      </c>
      <c r="Y3" s="876">
        <f>SUM(M3:X3)</f>
        <v>1870000</v>
      </c>
      <c r="Z3" s="877">
        <f>M3*$D3</f>
        <v>418950</v>
      </c>
      <c r="AA3" s="248">
        <f>N3*$D3</f>
        <v>299250</v>
      </c>
      <c r="AB3" s="248">
        <f>O3*3.578</f>
        <v>322020</v>
      </c>
      <c r="AC3" s="248">
        <f>P3*3.578</f>
        <v>536700</v>
      </c>
      <c r="AD3" s="248">
        <f>17534800000/25000</f>
        <v>701392</v>
      </c>
      <c r="AE3" s="248">
        <f>R3*3.507</f>
        <v>876750</v>
      </c>
      <c r="AF3" s="248">
        <f t="shared" ref="AF3:AK3" si="0">S3*3.778</f>
        <v>944500</v>
      </c>
      <c r="AG3" s="248">
        <f t="shared" si="0"/>
        <v>868940</v>
      </c>
      <c r="AH3" s="248">
        <f t="shared" si="0"/>
        <v>491140</v>
      </c>
      <c r="AI3" s="248">
        <f t="shared" si="0"/>
        <v>491140</v>
      </c>
      <c r="AJ3" s="248">
        <f t="shared" si="0"/>
        <v>491140</v>
      </c>
      <c r="AK3" s="248">
        <f t="shared" si="0"/>
        <v>491140</v>
      </c>
      <c r="AL3" s="878">
        <f>SUM(Z3:AK3)</f>
        <v>6933062</v>
      </c>
      <c r="AM3" s="879">
        <v>25000</v>
      </c>
      <c r="AN3" s="880">
        <v>25000</v>
      </c>
      <c r="AO3" s="880">
        <v>25000</v>
      </c>
      <c r="AP3" s="880">
        <v>25000</v>
      </c>
      <c r="AQ3" s="880">
        <v>25000</v>
      </c>
      <c r="AR3" s="880">
        <v>25000</v>
      </c>
      <c r="AS3" s="880">
        <v>25000</v>
      </c>
      <c r="AT3" s="880">
        <v>25000</v>
      </c>
      <c r="AU3" s="880">
        <v>25000</v>
      </c>
      <c r="AV3" s="880">
        <v>25000</v>
      </c>
      <c r="AW3" s="880">
        <v>25000</v>
      </c>
      <c r="AX3" s="880">
        <v>25000</v>
      </c>
      <c r="AY3" s="876">
        <f>SUM(AM3:AX3)</f>
        <v>300000</v>
      </c>
      <c r="AZ3" s="877">
        <f t="shared" ref="AZ3:BK4" si="1">AM3*$H3</f>
        <v>89450</v>
      </c>
      <c r="BA3" s="248">
        <f t="shared" si="1"/>
        <v>89450</v>
      </c>
      <c r="BB3" s="248">
        <f t="shared" si="1"/>
        <v>89450</v>
      </c>
      <c r="BC3" s="248">
        <f t="shared" si="1"/>
        <v>89450</v>
      </c>
      <c r="BD3" s="248">
        <f t="shared" si="1"/>
        <v>89450</v>
      </c>
      <c r="BE3" s="248">
        <f t="shared" si="1"/>
        <v>89450</v>
      </c>
      <c r="BF3" s="248">
        <f t="shared" si="1"/>
        <v>89450</v>
      </c>
      <c r="BG3" s="248">
        <f t="shared" si="1"/>
        <v>89450</v>
      </c>
      <c r="BH3" s="248">
        <f t="shared" si="1"/>
        <v>89450</v>
      </c>
      <c r="BI3" s="248">
        <f t="shared" si="1"/>
        <v>89450</v>
      </c>
      <c r="BJ3" s="248">
        <f t="shared" si="1"/>
        <v>89450</v>
      </c>
      <c r="BK3" s="248">
        <f t="shared" si="1"/>
        <v>89450</v>
      </c>
      <c r="BL3" s="878">
        <f t="shared" ref="BL3:BL19" si="2">SUM(AZ3:BK3)</f>
        <v>1073400</v>
      </c>
      <c r="BM3" s="881"/>
      <c r="BN3" s="530"/>
      <c r="BO3" s="530"/>
      <c r="BP3" s="530"/>
      <c r="BQ3" s="530"/>
      <c r="BR3" s="530"/>
      <c r="BS3" s="530"/>
      <c r="BT3" s="530"/>
      <c r="BU3" s="530"/>
      <c r="BV3" s="530"/>
      <c r="BW3" s="530"/>
      <c r="BX3" s="530"/>
      <c r="BY3" s="876">
        <f>SUM(BM3:BX3)</f>
        <v>0</v>
      </c>
      <c r="BZ3" s="882">
        <f t="shared" ref="BZ3:CK4" si="3">BM3*$I3</f>
        <v>0</v>
      </c>
      <c r="CA3" s="248">
        <f t="shared" si="3"/>
        <v>0</v>
      </c>
      <c r="CB3" s="248">
        <f t="shared" si="3"/>
        <v>0</v>
      </c>
      <c r="CC3" s="248">
        <f t="shared" si="3"/>
        <v>0</v>
      </c>
      <c r="CD3" s="248">
        <f t="shared" si="3"/>
        <v>0</v>
      </c>
      <c r="CE3" s="248">
        <f t="shared" si="3"/>
        <v>0</v>
      </c>
      <c r="CF3" s="248">
        <f t="shared" si="3"/>
        <v>0</v>
      </c>
      <c r="CG3" s="248">
        <f t="shared" si="3"/>
        <v>0</v>
      </c>
      <c r="CH3" s="248">
        <f t="shared" si="3"/>
        <v>0</v>
      </c>
      <c r="CI3" s="248">
        <f t="shared" si="3"/>
        <v>0</v>
      </c>
      <c r="CJ3" s="248">
        <f t="shared" si="3"/>
        <v>0</v>
      </c>
      <c r="CK3" s="248">
        <f t="shared" si="3"/>
        <v>0</v>
      </c>
      <c r="CL3" s="883">
        <f t="shared" ref="CL3:CL23" si="4">SUM(BZ3:CK3)</f>
        <v>0</v>
      </c>
      <c r="CM3" s="881"/>
      <c r="CN3" s="530"/>
      <c r="CO3" s="530"/>
      <c r="CP3" s="530"/>
      <c r="CQ3" s="530"/>
      <c r="CR3" s="530"/>
      <c r="CS3" s="530"/>
      <c r="CT3" s="530"/>
      <c r="CU3" s="530"/>
      <c r="CV3" s="530"/>
      <c r="CW3" s="530"/>
      <c r="CX3" s="530"/>
      <c r="CY3" s="876">
        <f>SUM(CM3:CX3)</f>
        <v>0</v>
      </c>
      <c r="CZ3" s="877">
        <f t="shared" ref="CZ3:DK4" si="5">CM3*$J3</f>
        <v>0</v>
      </c>
      <c r="DA3" s="248">
        <f t="shared" si="5"/>
        <v>0</v>
      </c>
      <c r="DB3" s="248">
        <f t="shared" si="5"/>
        <v>0</v>
      </c>
      <c r="DC3" s="248">
        <f t="shared" si="5"/>
        <v>0</v>
      </c>
      <c r="DD3" s="248">
        <f t="shared" si="5"/>
        <v>0</v>
      </c>
      <c r="DE3" s="248">
        <f t="shared" si="5"/>
        <v>0</v>
      </c>
      <c r="DF3" s="248">
        <f t="shared" si="5"/>
        <v>0</v>
      </c>
      <c r="DG3" s="248">
        <f t="shared" si="5"/>
        <v>0</v>
      </c>
      <c r="DH3" s="248">
        <f t="shared" si="5"/>
        <v>0</v>
      </c>
      <c r="DI3" s="248">
        <f t="shared" si="5"/>
        <v>0</v>
      </c>
      <c r="DJ3" s="248">
        <f t="shared" si="5"/>
        <v>0</v>
      </c>
      <c r="DK3" s="248">
        <f t="shared" si="5"/>
        <v>0</v>
      </c>
      <c r="DL3" s="878">
        <f t="shared" ref="DL3:DL23" si="6">SUM(CZ3:DK3)</f>
        <v>0</v>
      </c>
      <c r="DM3" s="555"/>
      <c r="DN3" s="530"/>
      <c r="DO3" s="530"/>
      <c r="DP3" s="530"/>
      <c r="DQ3" s="530"/>
      <c r="DR3" s="530"/>
      <c r="DS3" s="530"/>
      <c r="DT3" s="530"/>
      <c r="DU3" s="530"/>
      <c r="DV3" s="530"/>
      <c r="DW3" s="530"/>
      <c r="DX3" s="530"/>
      <c r="DY3" s="876">
        <f>SUM(DM3:DX3)</f>
        <v>0</v>
      </c>
      <c r="DZ3" s="248">
        <f t="shared" ref="DZ3:EK4" si="7">DM3*$K3</f>
        <v>0</v>
      </c>
      <c r="EA3" s="248">
        <f t="shared" si="7"/>
        <v>0</v>
      </c>
      <c r="EB3" s="248">
        <f t="shared" si="7"/>
        <v>0</v>
      </c>
      <c r="EC3" s="248">
        <f t="shared" si="7"/>
        <v>0</v>
      </c>
      <c r="ED3" s="248">
        <f t="shared" si="7"/>
        <v>0</v>
      </c>
      <c r="EE3" s="248">
        <f t="shared" si="7"/>
        <v>0</v>
      </c>
      <c r="EF3" s="248">
        <f t="shared" si="7"/>
        <v>0</v>
      </c>
      <c r="EG3" s="248">
        <f t="shared" si="7"/>
        <v>0</v>
      </c>
      <c r="EH3" s="248">
        <f t="shared" si="7"/>
        <v>0</v>
      </c>
      <c r="EI3" s="248">
        <f t="shared" si="7"/>
        <v>0</v>
      </c>
      <c r="EJ3" s="248">
        <f t="shared" si="7"/>
        <v>0</v>
      </c>
      <c r="EK3" s="248">
        <f t="shared" si="7"/>
        <v>0</v>
      </c>
      <c r="EL3" s="878">
        <f t="shared" ref="EL3:EL23" si="8">SUM(DZ3:EK3)</f>
        <v>0</v>
      </c>
    </row>
    <row r="4" spans="1:142" ht="21" customHeight="1" thickBot="1">
      <c r="A4" s="884" t="s">
        <v>21</v>
      </c>
      <c r="B4" s="885" t="s">
        <v>621</v>
      </c>
      <c r="C4" s="886"/>
      <c r="D4" s="532"/>
      <c r="E4" s="533"/>
      <c r="F4" s="533"/>
      <c r="G4" s="534"/>
      <c r="H4" s="532"/>
      <c r="I4" s="533"/>
      <c r="J4" s="533"/>
      <c r="K4" s="887"/>
      <c r="L4" s="875"/>
      <c r="M4" s="556"/>
      <c r="N4" s="247"/>
      <c r="O4" s="247"/>
      <c r="P4" s="247"/>
      <c r="Q4" s="247"/>
      <c r="R4" s="247"/>
      <c r="S4" s="247"/>
      <c r="T4" s="247"/>
      <c r="U4" s="247"/>
      <c r="V4" s="247"/>
      <c r="W4" s="247"/>
      <c r="X4" s="247"/>
      <c r="Y4" s="876">
        <f>SUM(M4:X4)</f>
        <v>0</v>
      </c>
      <c r="Z4" s="877">
        <f>-(70333362+68963060+425415309+11353023+19844715)/24000</f>
        <v>-24829.561208333333</v>
      </c>
      <c r="AA4" s="248">
        <f>-(286963809+114084036+35604541)/24000</f>
        <v>-18193.849416666668</v>
      </c>
      <c r="AB4" s="248">
        <v>0</v>
      </c>
      <c r="AC4" s="248">
        <f>-(642)</f>
        <v>-642</v>
      </c>
      <c r="AD4" s="248">
        <f>-5692</f>
        <v>-5692</v>
      </c>
      <c r="AE4" s="248">
        <f>-(15101)</f>
        <v>-15101</v>
      </c>
      <c r="AF4" s="248">
        <f>-(4506+8946)</f>
        <v>-13452</v>
      </c>
      <c r="AG4" s="248"/>
      <c r="AH4" s="248">
        <f>U4*$F4</f>
        <v>0</v>
      </c>
      <c r="AI4" s="248">
        <f>V4*$G4</f>
        <v>0</v>
      </c>
      <c r="AJ4" s="248">
        <f>W4*$G4</f>
        <v>0</v>
      </c>
      <c r="AK4" s="248">
        <f>X4*$G4</f>
        <v>0</v>
      </c>
      <c r="AL4" s="878">
        <f>SUM(Z4:AK4)</f>
        <v>-77910.410625000004</v>
      </c>
      <c r="AM4" s="888"/>
      <c r="AN4" s="247"/>
      <c r="AO4" s="247"/>
      <c r="AP4" s="247"/>
      <c r="AQ4" s="247"/>
      <c r="AR4" s="247"/>
      <c r="AS4" s="247"/>
      <c r="AT4" s="247"/>
      <c r="AU4" s="247"/>
      <c r="AV4" s="247"/>
      <c r="AW4" s="247"/>
      <c r="AX4" s="247"/>
      <c r="AY4" s="876">
        <f>SUM(AM4:AX4)</f>
        <v>0</v>
      </c>
      <c r="AZ4" s="877">
        <f t="shared" si="1"/>
        <v>0</v>
      </c>
      <c r="BA4" s="248">
        <f t="shared" si="1"/>
        <v>0</v>
      </c>
      <c r="BB4" s="248">
        <f t="shared" si="1"/>
        <v>0</v>
      </c>
      <c r="BC4" s="248">
        <f t="shared" si="1"/>
        <v>0</v>
      </c>
      <c r="BD4" s="248">
        <f t="shared" si="1"/>
        <v>0</v>
      </c>
      <c r="BE4" s="248">
        <f t="shared" si="1"/>
        <v>0</v>
      </c>
      <c r="BF4" s="248">
        <f t="shared" si="1"/>
        <v>0</v>
      </c>
      <c r="BG4" s="248">
        <f t="shared" si="1"/>
        <v>0</v>
      </c>
      <c r="BH4" s="248">
        <f t="shared" si="1"/>
        <v>0</v>
      </c>
      <c r="BI4" s="248">
        <f t="shared" si="1"/>
        <v>0</v>
      </c>
      <c r="BJ4" s="248">
        <f t="shared" si="1"/>
        <v>0</v>
      </c>
      <c r="BK4" s="248">
        <f t="shared" si="1"/>
        <v>0</v>
      </c>
      <c r="BL4" s="878">
        <f t="shared" si="2"/>
        <v>0</v>
      </c>
      <c r="BM4" s="888"/>
      <c r="BN4" s="247"/>
      <c r="BO4" s="247"/>
      <c r="BP4" s="247"/>
      <c r="BQ4" s="247"/>
      <c r="BR4" s="247"/>
      <c r="BS4" s="247"/>
      <c r="BT4" s="247"/>
      <c r="BU4" s="247"/>
      <c r="BV4" s="247"/>
      <c r="BW4" s="247"/>
      <c r="BX4" s="247"/>
      <c r="BY4" s="876">
        <f>SUM(BM4:BX4)</f>
        <v>0</v>
      </c>
      <c r="BZ4" s="882">
        <f t="shared" si="3"/>
        <v>0</v>
      </c>
      <c r="CA4" s="248">
        <f t="shared" si="3"/>
        <v>0</v>
      </c>
      <c r="CB4" s="248">
        <f t="shared" si="3"/>
        <v>0</v>
      </c>
      <c r="CC4" s="248">
        <f t="shared" si="3"/>
        <v>0</v>
      </c>
      <c r="CD4" s="248">
        <f t="shared" si="3"/>
        <v>0</v>
      </c>
      <c r="CE4" s="248">
        <f t="shared" si="3"/>
        <v>0</v>
      </c>
      <c r="CF4" s="248">
        <f t="shared" si="3"/>
        <v>0</v>
      </c>
      <c r="CG4" s="248">
        <f t="shared" si="3"/>
        <v>0</v>
      </c>
      <c r="CH4" s="248">
        <f t="shared" si="3"/>
        <v>0</v>
      </c>
      <c r="CI4" s="248">
        <f t="shared" si="3"/>
        <v>0</v>
      </c>
      <c r="CJ4" s="248">
        <f t="shared" si="3"/>
        <v>0</v>
      </c>
      <c r="CK4" s="248">
        <f t="shared" si="3"/>
        <v>0</v>
      </c>
      <c r="CL4" s="883">
        <f t="shared" si="4"/>
        <v>0</v>
      </c>
      <c r="CM4" s="888"/>
      <c r="CN4" s="247"/>
      <c r="CO4" s="247"/>
      <c r="CP4" s="247"/>
      <c r="CQ4" s="247"/>
      <c r="CR4" s="247"/>
      <c r="CS4" s="247"/>
      <c r="CT4" s="247"/>
      <c r="CU4" s="247"/>
      <c r="CV4" s="247"/>
      <c r="CW4" s="247"/>
      <c r="CX4" s="247"/>
      <c r="CY4" s="876">
        <f>SUM(CM4:CX4)</f>
        <v>0</v>
      </c>
      <c r="CZ4" s="877">
        <f t="shared" si="5"/>
        <v>0</v>
      </c>
      <c r="DA4" s="248">
        <f t="shared" si="5"/>
        <v>0</v>
      </c>
      <c r="DB4" s="248">
        <f t="shared" si="5"/>
        <v>0</v>
      </c>
      <c r="DC4" s="248">
        <f t="shared" si="5"/>
        <v>0</v>
      </c>
      <c r="DD4" s="248">
        <f t="shared" si="5"/>
        <v>0</v>
      </c>
      <c r="DE4" s="248">
        <f t="shared" si="5"/>
        <v>0</v>
      </c>
      <c r="DF4" s="248">
        <f t="shared" si="5"/>
        <v>0</v>
      </c>
      <c r="DG4" s="248">
        <f t="shared" si="5"/>
        <v>0</v>
      </c>
      <c r="DH4" s="248">
        <f t="shared" si="5"/>
        <v>0</v>
      </c>
      <c r="DI4" s="248">
        <f t="shared" si="5"/>
        <v>0</v>
      </c>
      <c r="DJ4" s="248">
        <f t="shared" si="5"/>
        <v>0</v>
      </c>
      <c r="DK4" s="248">
        <f t="shared" si="5"/>
        <v>0</v>
      </c>
      <c r="DL4" s="878">
        <f t="shared" si="6"/>
        <v>0</v>
      </c>
      <c r="DM4" s="556"/>
      <c r="DN4" s="247"/>
      <c r="DO4" s="247"/>
      <c r="DP4" s="247"/>
      <c r="DQ4" s="247"/>
      <c r="DR4" s="247"/>
      <c r="DS4" s="247"/>
      <c r="DT4" s="247"/>
      <c r="DU4" s="247"/>
      <c r="DV4" s="247"/>
      <c r="DW4" s="247"/>
      <c r="DX4" s="247"/>
      <c r="DY4" s="876">
        <f>SUM(DM4:DX4)</f>
        <v>0</v>
      </c>
      <c r="DZ4" s="248">
        <f t="shared" si="7"/>
        <v>0</v>
      </c>
      <c r="EA4" s="248">
        <f t="shared" si="7"/>
        <v>0</v>
      </c>
      <c r="EB4" s="248">
        <f t="shared" si="7"/>
        <v>0</v>
      </c>
      <c r="EC4" s="248">
        <f t="shared" si="7"/>
        <v>0</v>
      </c>
      <c r="ED4" s="248">
        <f t="shared" si="7"/>
        <v>0</v>
      </c>
      <c r="EE4" s="248">
        <f t="shared" si="7"/>
        <v>0</v>
      </c>
      <c r="EF4" s="248">
        <f t="shared" si="7"/>
        <v>0</v>
      </c>
      <c r="EG4" s="248">
        <f t="shared" si="7"/>
        <v>0</v>
      </c>
      <c r="EH4" s="248">
        <f t="shared" si="7"/>
        <v>0</v>
      </c>
      <c r="EI4" s="248">
        <f t="shared" si="7"/>
        <v>0</v>
      </c>
      <c r="EJ4" s="248">
        <f t="shared" si="7"/>
        <v>0</v>
      </c>
      <c r="EK4" s="248">
        <f t="shared" si="7"/>
        <v>0</v>
      </c>
      <c r="EL4" s="878">
        <f t="shared" si="8"/>
        <v>0</v>
      </c>
    </row>
    <row r="5" spans="1:142" ht="20.399999999999999" thickTop="1" thickBot="1">
      <c r="A5" s="7261" t="s">
        <v>85</v>
      </c>
      <c r="B5" s="7262"/>
      <c r="C5" s="7263"/>
      <c r="D5" s="889"/>
      <c r="E5" s="889"/>
      <c r="F5" s="889"/>
      <c r="G5" s="889"/>
      <c r="H5" s="889"/>
      <c r="I5" s="889"/>
      <c r="J5" s="889"/>
      <c r="K5" s="890"/>
      <c r="L5" s="891"/>
      <c r="M5" s="892">
        <f>SUM(M3:M4)</f>
        <v>105000</v>
      </c>
      <c r="N5" s="535">
        <f t="shared" ref="N5:BY5" si="9">SUM(N3:N4)</f>
        <v>75000</v>
      </c>
      <c r="O5" s="535">
        <f t="shared" si="9"/>
        <v>90000</v>
      </c>
      <c r="P5" s="535">
        <f t="shared" si="9"/>
        <v>150000</v>
      </c>
      <c r="Q5" s="535">
        <f t="shared" si="9"/>
        <v>200000</v>
      </c>
      <c r="R5" s="535">
        <f t="shared" si="9"/>
        <v>250000</v>
      </c>
      <c r="S5" s="535">
        <f t="shared" si="9"/>
        <v>250000</v>
      </c>
      <c r="T5" s="535">
        <f t="shared" si="9"/>
        <v>230000</v>
      </c>
      <c r="U5" s="535">
        <f t="shared" si="9"/>
        <v>130000</v>
      </c>
      <c r="V5" s="535">
        <f t="shared" si="9"/>
        <v>130000</v>
      </c>
      <c r="W5" s="535">
        <f t="shared" si="9"/>
        <v>130000</v>
      </c>
      <c r="X5" s="535">
        <f t="shared" si="9"/>
        <v>130000</v>
      </c>
      <c r="Y5" s="536">
        <f t="shared" si="9"/>
        <v>1870000</v>
      </c>
      <c r="Z5" s="537">
        <f t="shared" si="9"/>
        <v>394120.43879166665</v>
      </c>
      <c r="AA5" s="537">
        <f t="shared" si="9"/>
        <v>281056.15058333334</v>
      </c>
      <c r="AB5" s="537">
        <f>SUM(AB3:AB4)</f>
        <v>322020</v>
      </c>
      <c r="AC5" s="537">
        <f>SUM(AC3:AC4)</f>
        <v>536058</v>
      </c>
      <c r="AD5" s="537">
        <f>SUM(AD3:AD4)</f>
        <v>695700</v>
      </c>
      <c r="AE5" s="537">
        <f>SUM(AE3:AE4)</f>
        <v>861649</v>
      </c>
      <c r="AF5" s="537">
        <f>SUM(AF3:AF4)</f>
        <v>931048</v>
      </c>
      <c r="AG5" s="537">
        <f t="shared" si="9"/>
        <v>868940</v>
      </c>
      <c r="AH5" s="537">
        <f t="shared" si="9"/>
        <v>491140</v>
      </c>
      <c r="AI5" s="537">
        <f t="shared" si="9"/>
        <v>491140</v>
      </c>
      <c r="AJ5" s="537">
        <f t="shared" si="9"/>
        <v>491140</v>
      </c>
      <c r="AK5" s="537">
        <f t="shared" si="9"/>
        <v>491140</v>
      </c>
      <c r="AL5" s="538">
        <f t="shared" si="9"/>
        <v>6855151.5893750004</v>
      </c>
      <c r="AM5" s="535">
        <f t="shared" si="9"/>
        <v>25000</v>
      </c>
      <c r="AN5" s="535">
        <f t="shared" si="9"/>
        <v>25000</v>
      </c>
      <c r="AO5" s="535">
        <f t="shared" si="9"/>
        <v>25000</v>
      </c>
      <c r="AP5" s="535">
        <f t="shared" si="9"/>
        <v>25000</v>
      </c>
      <c r="AQ5" s="535">
        <f t="shared" si="9"/>
        <v>25000</v>
      </c>
      <c r="AR5" s="535">
        <f t="shared" si="9"/>
        <v>25000</v>
      </c>
      <c r="AS5" s="535">
        <f t="shared" si="9"/>
        <v>25000</v>
      </c>
      <c r="AT5" s="535">
        <f t="shared" si="9"/>
        <v>25000</v>
      </c>
      <c r="AU5" s="535">
        <f t="shared" si="9"/>
        <v>25000</v>
      </c>
      <c r="AV5" s="535">
        <f t="shared" si="9"/>
        <v>25000</v>
      </c>
      <c r="AW5" s="535">
        <f t="shared" si="9"/>
        <v>25000</v>
      </c>
      <c r="AX5" s="535">
        <f t="shared" si="9"/>
        <v>25000</v>
      </c>
      <c r="AY5" s="536">
        <f t="shared" si="9"/>
        <v>300000</v>
      </c>
      <c r="AZ5" s="537">
        <f t="shared" si="9"/>
        <v>89450</v>
      </c>
      <c r="BA5" s="537">
        <f t="shared" si="9"/>
        <v>89450</v>
      </c>
      <c r="BB5" s="537">
        <f t="shared" si="9"/>
        <v>89450</v>
      </c>
      <c r="BC5" s="537">
        <f t="shared" si="9"/>
        <v>89450</v>
      </c>
      <c r="BD5" s="537">
        <f t="shared" si="9"/>
        <v>89450</v>
      </c>
      <c r="BE5" s="537">
        <f t="shared" si="9"/>
        <v>89450</v>
      </c>
      <c r="BF5" s="537">
        <f t="shared" si="9"/>
        <v>89450</v>
      </c>
      <c r="BG5" s="537">
        <f t="shared" si="9"/>
        <v>89450</v>
      </c>
      <c r="BH5" s="537">
        <f t="shared" si="9"/>
        <v>89450</v>
      </c>
      <c r="BI5" s="537">
        <f t="shared" si="9"/>
        <v>89450</v>
      </c>
      <c r="BJ5" s="537">
        <f t="shared" si="9"/>
        <v>89450</v>
      </c>
      <c r="BK5" s="537">
        <f t="shared" si="9"/>
        <v>89450</v>
      </c>
      <c r="BL5" s="538">
        <f t="shared" si="9"/>
        <v>1073400</v>
      </c>
      <c r="BM5" s="535">
        <f t="shared" si="9"/>
        <v>0</v>
      </c>
      <c r="BN5" s="535">
        <f t="shared" si="9"/>
        <v>0</v>
      </c>
      <c r="BO5" s="535">
        <f t="shared" si="9"/>
        <v>0</v>
      </c>
      <c r="BP5" s="535">
        <f t="shared" si="9"/>
        <v>0</v>
      </c>
      <c r="BQ5" s="535">
        <f t="shared" si="9"/>
        <v>0</v>
      </c>
      <c r="BR5" s="535">
        <f t="shared" si="9"/>
        <v>0</v>
      </c>
      <c r="BS5" s="535">
        <f t="shared" si="9"/>
        <v>0</v>
      </c>
      <c r="BT5" s="535">
        <f t="shared" si="9"/>
        <v>0</v>
      </c>
      <c r="BU5" s="535">
        <f t="shared" si="9"/>
        <v>0</v>
      </c>
      <c r="BV5" s="535">
        <f t="shared" si="9"/>
        <v>0</v>
      </c>
      <c r="BW5" s="535">
        <f t="shared" si="9"/>
        <v>0</v>
      </c>
      <c r="BX5" s="535">
        <f t="shared" si="9"/>
        <v>0</v>
      </c>
      <c r="BY5" s="536">
        <f t="shared" si="9"/>
        <v>0</v>
      </c>
      <c r="BZ5" s="893">
        <f t="shared" ref="BZ5:EK5" si="10">SUM(BZ3:BZ4)</f>
        <v>0</v>
      </c>
      <c r="CA5" s="537">
        <f t="shared" si="10"/>
        <v>0</v>
      </c>
      <c r="CB5" s="537">
        <f t="shared" si="10"/>
        <v>0</v>
      </c>
      <c r="CC5" s="537">
        <f t="shared" si="10"/>
        <v>0</v>
      </c>
      <c r="CD5" s="537">
        <f t="shared" si="10"/>
        <v>0</v>
      </c>
      <c r="CE5" s="537">
        <f t="shared" si="10"/>
        <v>0</v>
      </c>
      <c r="CF5" s="537">
        <f t="shared" si="10"/>
        <v>0</v>
      </c>
      <c r="CG5" s="537">
        <f t="shared" si="10"/>
        <v>0</v>
      </c>
      <c r="CH5" s="537">
        <f t="shared" si="10"/>
        <v>0</v>
      </c>
      <c r="CI5" s="537">
        <f t="shared" si="10"/>
        <v>0</v>
      </c>
      <c r="CJ5" s="537">
        <f t="shared" si="10"/>
        <v>0</v>
      </c>
      <c r="CK5" s="537">
        <f t="shared" si="10"/>
        <v>0</v>
      </c>
      <c r="CL5" s="894">
        <f t="shared" si="10"/>
        <v>0</v>
      </c>
      <c r="CM5" s="535">
        <f t="shared" si="10"/>
        <v>0</v>
      </c>
      <c r="CN5" s="535">
        <f t="shared" si="10"/>
        <v>0</v>
      </c>
      <c r="CO5" s="535">
        <f t="shared" si="10"/>
        <v>0</v>
      </c>
      <c r="CP5" s="535">
        <f t="shared" si="10"/>
        <v>0</v>
      </c>
      <c r="CQ5" s="535">
        <f t="shared" si="10"/>
        <v>0</v>
      </c>
      <c r="CR5" s="535">
        <f t="shared" si="10"/>
        <v>0</v>
      </c>
      <c r="CS5" s="535">
        <f t="shared" si="10"/>
        <v>0</v>
      </c>
      <c r="CT5" s="535">
        <f t="shared" si="10"/>
        <v>0</v>
      </c>
      <c r="CU5" s="535">
        <f t="shared" si="10"/>
        <v>0</v>
      </c>
      <c r="CV5" s="535">
        <f t="shared" si="10"/>
        <v>0</v>
      </c>
      <c r="CW5" s="535">
        <f t="shared" si="10"/>
        <v>0</v>
      </c>
      <c r="CX5" s="535">
        <f t="shared" si="10"/>
        <v>0</v>
      </c>
      <c r="CY5" s="536">
        <f t="shared" si="10"/>
        <v>0</v>
      </c>
      <c r="CZ5" s="537">
        <f t="shared" si="10"/>
        <v>0</v>
      </c>
      <c r="DA5" s="537">
        <f t="shared" si="10"/>
        <v>0</v>
      </c>
      <c r="DB5" s="537">
        <f t="shared" si="10"/>
        <v>0</v>
      </c>
      <c r="DC5" s="537">
        <f t="shared" si="10"/>
        <v>0</v>
      </c>
      <c r="DD5" s="537">
        <f t="shared" si="10"/>
        <v>0</v>
      </c>
      <c r="DE5" s="537">
        <f t="shared" si="10"/>
        <v>0</v>
      </c>
      <c r="DF5" s="537">
        <f t="shared" si="10"/>
        <v>0</v>
      </c>
      <c r="DG5" s="537">
        <f t="shared" si="10"/>
        <v>0</v>
      </c>
      <c r="DH5" s="537">
        <f t="shared" si="10"/>
        <v>0</v>
      </c>
      <c r="DI5" s="537">
        <f t="shared" si="10"/>
        <v>0</v>
      </c>
      <c r="DJ5" s="537">
        <f t="shared" si="10"/>
        <v>0</v>
      </c>
      <c r="DK5" s="537">
        <f t="shared" si="10"/>
        <v>0</v>
      </c>
      <c r="DL5" s="538">
        <f t="shared" si="10"/>
        <v>0</v>
      </c>
      <c r="DM5" s="892">
        <f t="shared" si="10"/>
        <v>0</v>
      </c>
      <c r="DN5" s="535">
        <f t="shared" si="10"/>
        <v>0</v>
      </c>
      <c r="DO5" s="535">
        <f t="shared" si="10"/>
        <v>0</v>
      </c>
      <c r="DP5" s="535">
        <f t="shared" si="10"/>
        <v>0</v>
      </c>
      <c r="DQ5" s="535">
        <f t="shared" si="10"/>
        <v>0</v>
      </c>
      <c r="DR5" s="535">
        <f t="shared" si="10"/>
        <v>0</v>
      </c>
      <c r="DS5" s="535">
        <f t="shared" si="10"/>
        <v>0</v>
      </c>
      <c r="DT5" s="535">
        <f t="shared" si="10"/>
        <v>0</v>
      </c>
      <c r="DU5" s="535">
        <f t="shared" si="10"/>
        <v>0</v>
      </c>
      <c r="DV5" s="535">
        <f t="shared" si="10"/>
        <v>0</v>
      </c>
      <c r="DW5" s="535">
        <f t="shared" si="10"/>
        <v>0</v>
      </c>
      <c r="DX5" s="535">
        <f t="shared" si="10"/>
        <v>0</v>
      </c>
      <c r="DY5" s="536">
        <f t="shared" si="10"/>
        <v>0</v>
      </c>
      <c r="DZ5" s="537">
        <f t="shared" si="10"/>
        <v>0</v>
      </c>
      <c r="EA5" s="537">
        <f t="shared" si="10"/>
        <v>0</v>
      </c>
      <c r="EB5" s="537">
        <f t="shared" si="10"/>
        <v>0</v>
      </c>
      <c r="EC5" s="537">
        <f t="shared" si="10"/>
        <v>0</v>
      </c>
      <c r="ED5" s="537">
        <f t="shared" si="10"/>
        <v>0</v>
      </c>
      <c r="EE5" s="537">
        <f t="shared" si="10"/>
        <v>0</v>
      </c>
      <c r="EF5" s="537">
        <f t="shared" si="10"/>
        <v>0</v>
      </c>
      <c r="EG5" s="537">
        <f t="shared" si="10"/>
        <v>0</v>
      </c>
      <c r="EH5" s="537">
        <f t="shared" si="10"/>
        <v>0</v>
      </c>
      <c r="EI5" s="537">
        <f t="shared" si="10"/>
        <v>0</v>
      </c>
      <c r="EJ5" s="537">
        <f t="shared" si="10"/>
        <v>0</v>
      </c>
      <c r="EK5" s="537">
        <f t="shared" si="10"/>
        <v>0</v>
      </c>
      <c r="EL5" s="538">
        <f>SUM(EL3:EL4)</f>
        <v>0</v>
      </c>
    </row>
    <row r="6" spans="1:142" ht="19.8" thickTop="1">
      <c r="A6" s="895" t="s">
        <v>622</v>
      </c>
      <c r="B6" s="896" t="s">
        <v>249</v>
      </c>
      <c r="C6" s="897" t="s">
        <v>250</v>
      </c>
      <c r="D6" s="527">
        <v>0.74480000000000002</v>
      </c>
      <c r="E6" s="898">
        <v>0.729904</v>
      </c>
      <c r="F6" s="528">
        <v>0.71530592000000004</v>
      </c>
      <c r="G6" s="529">
        <v>0.71530592000000004</v>
      </c>
      <c r="H6" s="527">
        <f t="shared" ref="H6:H11" si="11">G6</f>
        <v>0.71530592000000004</v>
      </c>
      <c r="I6" s="898"/>
      <c r="J6" s="528"/>
      <c r="K6" s="874"/>
      <c r="L6" s="875"/>
      <c r="M6" s="899">
        <v>71200</v>
      </c>
      <c r="N6" s="260"/>
      <c r="O6" s="260"/>
      <c r="P6" s="260"/>
      <c r="Q6" s="260"/>
      <c r="R6" s="260"/>
      <c r="S6" s="260"/>
      <c r="T6" s="260"/>
      <c r="U6" s="260"/>
      <c r="V6" s="260"/>
      <c r="W6" s="260"/>
      <c r="X6" s="260"/>
      <c r="Y6" s="900">
        <f t="shared" ref="Y6:Y13" si="12">SUM(M6:X6)</f>
        <v>71200</v>
      </c>
      <c r="Z6" s="877">
        <f t="shared" ref="Z6:AA9" si="13">M6*$D6</f>
        <v>53029.760000000002</v>
      </c>
      <c r="AA6" s="248">
        <f t="shared" si="13"/>
        <v>0</v>
      </c>
      <c r="AB6" s="248">
        <f t="shared" ref="AB6:AD11" si="14">O6*$E6</f>
        <v>0</v>
      </c>
      <c r="AC6" s="248">
        <f t="shared" si="14"/>
        <v>0</v>
      </c>
      <c r="AD6" s="248">
        <f t="shared" si="14"/>
        <v>0</v>
      </c>
      <c r="AE6" s="248">
        <f t="shared" ref="AE6:AG11" si="15">R6*$F6</f>
        <v>0</v>
      </c>
      <c r="AF6" s="248">
        <f t="shared" si="15"/>
        <v>0</v>
      </c>
      <c r="AG6" s="248">
        <f t="shared" si="15"/>
        <v>0</v>
      </c>
      <c r="AH6" s="248">
        <f t="shared" ref="AH6:AK13" si="16">U6*$G6</f>
        <v>0</v>
      </c>
      <c r="AI6" s="248">
        <f t="shared" si="16"/>
        <v>0</v>
      </c>
      <c r="AJ6" s="248">
        <f t="shared" si="16"/>
        <v>0</v>
      </c>
      <c r="AK6" s="248">
        <f t="shared" si="16"/>
        <v>0</v>
      </c>
      <c r="AL6" s="901">
        <f t="shared" ref="AL6:AL13" si="17">SUM(Z6:AK6)</f>
        <v>53029.760000000002</v>
      </c>
      <c r="AM6" s="902"/>
      <c r="AN6" s="260"/>
      <c r="AO6" s="260"/>
      <c r="AP6" s="260"/>
      <c r="AQ6" s="260"/>
      <c r="AR6" s="260"/>
      <c r="AS6" s="260"/>
      <c r="AT6" s="260"/>
      <c r="AU6" s="260"/>
      <c r="AV6" s="260"/>
      <c r="AW6" s="260"/>
      <c r="AX6" s="260"/>
      <c r="AY6" s="900">
        <f t="shared" ref="AY6:AY23" si="18">SUM(AM6:AX6)</f>
        <v>0</v>
      </c>
      <c r="AZ6" s="877">
        <f t="shared" ref="AZ6:BK13" si="19">AM6*$H6</f>
        <v>0</v>
      </c>
      <c r="BA6" s="248">
        <f t="shared" si="19"/>
        <v>0</v>
      </c>
      <c r="BB6" s="248">
        <f t="shared" si="19"/>
        <v>0</v>
      </c>
      <c r="BC6" s="248">
        <f t="shared" si="19"/>
        <v>0</v>
      </c>
      <c r="BD6" s="248">
        <f t="shared" si="19"/>
        <v>0</v>
      </c>
      <c r="BE6" s="248">
        <f t="shared" si="19"/>
        <v>0</v>
      </c>
      <c r="BF6" s="248">
        <f t="shared" si="19"/>
        <v>0</v>
      </c>
      <c r="BG6" s="248">
        <f t="shared" si="19"/>
        <v>0</v>
      </c>
      <c r="BH6" s="248">
        <f t="shared" si="19"/>
        <v>0</v>
      </c>
      <c r="BI6" s="248">
        <f t="shared" si="19"/>
        <v>0</v>
      </c>
      <c r="BJ6" s="248">
        <f t="shared" si="19"/>
        <v>0</v>
      </c>
      <c r="BK6" s="248">
        <f t="shared" si="19"/>
        <v>0</v>
      </c>
      <c r="BL6" s="901">
        <f t="shared" si="2"/>
        <v>0</v>
      </c>
      <c r="BM6" s="902"/>
      <c r="BN6" s="260"/>
      <c r="BO6" s="260"/>
      <c r="BP6" s="260"/>
      <c r="BQ6" s="260"/>
      <c r="BR6" s="260"/>
      <c r="BS6" s="260"/>
      <c r="BT6" s="260"/>
      <c r="BU6" s="260"/>
      <c r="BV6" s="260"/>
      <c r="BW6" s="260"/>
      <c r="BX6" s="260"/>
      <c r="BY6" s="900">
        <f t="shared" ref="BY6:BY23" si="20">SUM(BM6:BX6)</f>
        <v>0</v>
      </c>
      <c r="BZ6" s="882">
        <f t="shared" ref="BZ6:CK13" si="21">BM6*$I6</f>
        <v>0</v>
      </c>
      <c r="CA6" s="248">
        <f t="shared" si="21"/>
        <v>0</v>
      </c>
      <c r="CB6" s="248">
        <f t="shared" si="21"/>
        <v>0</v>
      </c>
      <c r="CC6" s="248">
        <f t="shared" si="21"/>
        <v>0</v>
      </c>
      <c r="CD6" s="248">
        <f t="shared" si="21"/>
        <v>0</v>
      </c>
      <c r="CE6" s="248">
        <f t="shared" si="21"/>
        <v>0</v>
      </c>
      <c r="CF6" s="248">
        <f t="shared" si="21"/>
        <v>0</v>
      </c>
      <c r="CG6" s="248">
        <f t="shared" si="21"/>
        <v>0</v>
      </c>
      <c r="CH6" s="248">
        <f t="shared" si="21"/>
        <v>0</v>
      </c>
      <c r="CI6" s="248">
        <f t="shared" si="21"/>
        <v>0</v>
      </c>
      <c r="CJ6" s="248">
        <f t="shared" si="21"/>
        <v>0</v>
      </c>
      <c r="CK6" s="248">
        <f t="shared" si="21"/>
        <v>0</v>
      </c>
      <c r="CL6" s="903">
        <f t="shared" si="4"/>
        <v>0</v>
      </c>
      <c r="CM6" s="902"/>
      <c r="CN6" s="260"/>
      <c r="CO6" s="260"/>
      <c r="CP6" s="260"/>
      <c r="CQ6" s="260"/>
      <c r="CR6" s="260"/>
      <c r="CS6" s="260"/>
      <c r="CT6" s="260"/>
      <c r="CU6" s="260"/>
      <c r="CV6" s="260"/>
      <c r="CW6" s="260"/>
      <c r="CX6" s="260"/>
      <c r="CY6" s="900">
        <f t="shared" ref="CY6:CY23" si="22">SUM(CM6:CX6)</f>
        <v>0</v>
      </c>
      <c r="CZ6" s="877">
        <f t="shared" ref="CZ6:DK13" si="23">CM6*$J6</f>
        <v>0</v>
      </c>
      <c r="DA6" s="248">
        <f t="shared" si="23"/>
        <v>0</v>
      </c>
      <c r="DB6" s="248">
        <f t="shared" si="23"/>
        <v>0</v>
      </c>
      <c r="DC6" s="248">
        <f t="shared" si="23"/>
        <v>0</v>
      </c>
      <c r="DD6" s="248">
        <f t="shared" si="23"/>
        <v>0</v>
      </c>
      <c r="DE6" s="248">
        <f t="shared" si="23"/>
        <v>0</v>
      </c>
      <c r="DF6" s="248">
        <f t="shared" si="23"/>
        <v>0</v>
      </c>
      <c r="DG6" s="248">
        <f t="shared" si="23"/>
        <v>0</v>
      </c>
      <c r="DH6" s="248">
        <f t="shared" si="23"/>
        <v>0</v>
      </c>
      <c r="DI6" s="248">
        <f t="shared" si="23"/>
        <v>0</v>
      </c>
      <c r="DJ6" s="248">
        <f t="shared" si="23"/>
        <v>0</v>
      </c>
      <c r="DK6" s="248">
        <f t="shared" si="23"/>
        <v>0</v>
      </c>
      <c r="DL6" s="901">
        <f t="shared" si="6"/>
        <v>0</v>
      </c>
      <c r="DM6" s="899"/>
      <c r="DN6" s="260"/>
      <c r="DO6" s="260"/>
      <c r="DP6" s="260"/>
      <c r="DQ6" s="260"/>
      <c r="DR6" s="260"/>
      <c r="DS6" s="260"/>
      <c r="DT6" s="260"/>
      <c r="DU6" s="260"/>
      <c r="DV6" s="260"/>
      <c r="DW6" s="260"/>
      <c r="DX6" s="260"/>
      <c r="DY6" s="900">
        <f t="shared" ref="DY6:DY23" si="24">SUM(DM6:DX6)</f>
        <v>0</v>
      </c>
      <c r="DZ6" s="248">
        <f t="shared" ref="DZ6:EK13" si="25">DM6*$K6</f>
        <v>0</v>
      </c>
      <c r="EA6" s="248">
        <f t="shared" si="25"/>
        <v>0</v>
      </c>
      <c r="EB6" s="248">
        <f t="shared" si="25"/>
        <v>0</v>
      </c>
      <c r="EC6" s="248">
        <f t="shared" si="25"/>
        <v>0</v>
      </c>
      <c r="ED6" s="248">
        <f t="shared" si="25"/>
        <v>0</v>
      </c>
      <c r="EE6" s="248">
        <f t="shared" si="25"/>
        <v>0</v>
      </c>
      <c r="EF6" s="248">
        <f t="shared" si="25"/>
        <v>0</v>
      </c>
      <c r="EG6" s="248">
        <f t="shared" si="25"/>
        <v>0</v>
      </c>
      <c r="EH6" s="248">
        <f t="shared" si="25"/>
        <v>0</v>
      </c>
      <c r="EI6" s="248">
        <f t="shared" si="25"/>
        <v>0</v>
      </c>
      <c r="EJ6" s="248">
        <f t="shared" si="25"/>
        <v>0</v>
      </c>
      <c r="EK6" s="248">
        <f t="shared" si="25"/>
        <v>0</v>
      </c>
      <c r="EL6" s="901">
        <f t="shared" si="8"/>
        <v>0</v>
      </c>
    </row>
    <row r="7" spans="1:142">
      <c r="A7" s="895" t="s">
        <v>622</v>
      </c>
      <c r="B7" s="904" t="s">
        <v>284</v>
      </c>
      <c r="C7" s="897" t="s">
        <v>250</v>
      </c>
      <c r="D7" s="527">
        <v>0.76350166666666663</v>
      </c>
      <c r="E7" s="898">
        <v>0.73669387755102045</v>
      </c>
      <c r="F7" s="528">
        <v>0.73326700066666661</v>
      </c>
      <c r="G7" s="529">
        <v>0.73326700066666661</v>
      </c>
      <c r="H7" s="527">
        <f t="shared" si="11"/>
        <v>0.73326700066666661</v>
      </c>
      <c r="I7" s="898"/>
      <c r="J7" s="528"/>
      <c r="K7" s="874"/>
      <c r="L7" s="875"/>
      <c r="M7" s="899">
        <v>86400</v>
      </c>
      <c r="N7" s="260">
        <v>66800</v>
      </c>
      <c r="O7" s="260">
        <v>73800</v>
      </c>
      <c r="P7" s="260"/>
      <c r="Q7" s="260"/>
      <c r="R7" s="260"/>
      <c r="S7" s="260"/>
      <c r="T7" s="260"/>
      <c r="U7" s="260"/>
      <c r="V7" s="260"/>
      <c r="W7" s="260"/>
      <c r="X7" s="260"/>
      <c r="Y7" s="900">
        <f t="shared" si="12"/>
        <v>227000</v>
      </c>
      <c r="Z7" s="877">
        <f t="shared" si="13"/>
        <v>65966.543999999994</v>
      </c>
      <c r="AA7" s="248">
        <f t="shared" si="13"/>
        <v>51001.91133333333</v>
      </c>
      <c r="AB7" s="248">
        <f t="shared" si="14"/>
        <v>54368.008163265309</v>
      </c>
      <c r="AC7" s="248">
        <f t="shared" si="14"/>
        <v>0</v>
      </c>
      <c r="AD7" s="248">
        <f t="shared" si="14"/>
        <v>0</v>
      </c>
      <c r="AE7" s="248">
        <f t="shared" si="15"/>
        <v>0</v>
      </c>
      <c r="AF7" s="248">
        <f t="shared" si="15"/>
        <v>0</v>
      </c>
      <c r="AG7" s="248">
        <f t="shared" si="15"/>
        <v>0</v>
      </c>
      <c r="AH7" s="248">
        <f t="shared" si="16"/>
        <v>0</v>
      </c>
      <c r="AI7" s="248">
        <f t="shared" si="16"/>
        <v>0</v>
      </c>
      <c r="AJ7" s="248">
        <f t="shared" si="16"/>
        <v>0</v>
      </c>
      <c r="AK7" s="248">
        <f t="shared" si="16"/>
        <v>0</v>
      </c>
      <c r="AL7" s="901">
        <f t="shared" si="17"/>
        <v>171336.46349659862</v>
      </c>
      <c r="AM7" s="902"/>
      <c r="AN7" s="260"/>
      <c r="AO7" s="260"/>
      <c r="AP7" s="260"/>
      <c r="AQ7" s="260"/>
      <c r="AR7" s="260"/>
      <c r="AS7" s="260"/>
      <c r="AT7" s="260"/>
      <c r="AU7" s="260"/>
      <c r="AV7" s="260"/>
      <c r="AW7" s="260"/>
      <c r="AX7" s="260"/>
      <c r="AY7" s="900">
        <f t="shared" si="18"/>
        <v>0</v>
      </c>
      <c r="AZ7" s="877">
        <f t="shared" si="19"/>
        <v>0</v>
      </c>
      <c r="BA7" s="248">
        <f t="shared" si="19"/>
        <v>0</v>
      </c>
      <c r="BB7" s="248">
        <f t="shared" si="19"/>
        <v>0</v>
      </c>
      <c r="BC7" s="248">
        <f t="shared" si="19"/>
        <v>0</v>
      </c>
      <c r="BD7" s="248">
        <f t="shared" si="19"/>
        <v>0</v>
      </c>
      <c r="BE7" s="248">
        <f t="shared" si="19"/>
        <v>0</v>
      </c>
      <c r="BF7" s="248">
        <f t="shared" si="19"/>
        <v>0</v>
      </c>
      <c r="BG7" s="248">
        <f t="shared" si="19"/>
        <v>0</v>
      </c>
      <c r="BH7" s="248">
        <f t="shared" si="19"/>
        <v>0</v>
      </c>
      <c r="BI7" s="248">
        <f t="shared" si="19"/>
        <v>0</v>
      </c>
      <c r="BJ7" s="248">
        <f t="shared" si="19"/>
        <v>0</v>
      </c>
      <c r="BK7" s="248">
        <f t="shared" si="19"/>
        <v>0</v>
      </c>
      <c r="BL7" s="901">
        <f t="shared" si="2"/>
        <v>0</v>
      </c>
      <c r="BM7" s="902"/>
      <c r="BN7" s="260"/>
      <c r="BO7" s="260"/>
      <c r="BP7" s="260"/>
      <c r="BQ7" s="260"/>
      <c r="BR7" s="260"/>
      <c r="BS7" s="260"/>
      <c r="BT7" s="260"/>
      <c r="BU7" s="260"/>
      <c r="BV7" s="260"/>
      <c r="BW7" s="260"/>
      <c r="BX7" s="260"/>
      <c r="BY7" s="900">
        <f t="shared" si="20"/>
        <v>0</v>
      </c>
      <c r="BZ7" s="882">
        <f t="shared" si="21"/>
        <v>0</v>
      </c>
      <c r="CA7" s="248">
        <f t="shared" si="21"/>
        <v>0</v>
      </c>
      <c r="CB7" s="248">
        <f t="shared" si="21"/>
        <v>0</v>
      </c>
      <c r="CC7" s="248">
        <f t="shared" si="21"/>
        <v>0</v>
      </c>
      <c r="CD7" s="248">
        <f t="shared" si="21"/>
        <v>0</v>
      </c>
      <c r="CE7" s="248">
        <f t="shared" si="21"/>
        <v>0</v>
      </c>
      <c r="CF7" s="248">
        <f t="shared" si="21"/>
        <v>0</v>
      </c>
      <c r="CG7" s="248">
        <f t="shared" si="21"/>
        <v>0</v>
      </c>
      <c r="CH7" s="248">
        <f t="shared" si="21"/>
        <v>0</v>
      </c>
      <c r="CI7" s="248">
        <f t="shared" si="21"/>
        <v>0</v>
      </c>
      <c r="CJ7" s="248">
        <f t="shared" si="21"/>
        <v>0</v>
      </c>
      <c r="CK7" s="248">
        <f t="shared" si="21"/>
        <v>0</v>
      </c>
      <c r="CL7" s="903">
        <f t="shared" si="4"/>
        <v>0</v>
      </c>
      <c r="CM7" s="902"/>
      <c r="CN7" s="260"/>
      <c r="CO7" s="260"/>
      <c r="CP7" s="260"/>
      <c r="CQ7" s="260"/>
      <c r="CR7" s="260"/>
      <c r="CS7" s="260"/>
      <c r="CT7" s="260"/>
      <c r="CU7" s="260"/>
      <c r="CV7" s="260"/>
      <c r="CW7" s="260"/>
      <c r="CX7" s="260"/>
      <c r="CY7" s="900">
        <f t="shared" si="22"/>
        <v>0</v>
      </c>
      <c r="CZ7" s="877">
        <f t="shared" si="23"/>
        <v>0</v>
      </c>
      <c r="DA7" s="248">
        <f>CL4*$J7</f>
        <v>0</v>
      </c>
      <c r="DB7" s="248">
        <f t="shared" si="23"/>
        <v>0</v>
      </c>
      <c r="DC7" s="248">
        <f t="shared" si="23"/>
        <v>0</v>
      </c>
      <c r="DD7" s="248">
        <f t="shared" si="23"/>
        <v>0</v>
      </c>
      <c r="DE7" s="248">
        <f t="shared" si="23"/>
        <v>0</v>
      </c>
      <c r="DF7" s="248">
        <f t="shared" si="23"/>
        <v>0</v>
      </c>
      <c r="DG7" s="248">
        <f t="shared" si="23"/>
        <v>0</v>
      </c>
      <c r="DH7" s="248">
        <f t="shared" si="23"/>
        <v>0</v>
      </c>
      <c r="DI7" s="248">
        <f t="shared" si="23"/>
        <v>0</v>
      </c>
      <c r="DJ7" s="248">
        <f t="shared" si="23"/>
        <v>0</v>
      </c>
      <c r="DK7" s="248">
        <f t="shared" si="23"/>
        <v>0</v>
      </c>
      <c r="DL7" s="901">
        <f t="shared" si="6"/>
        <v>0</v>
      </c>
      <c r="DM7" s="899"/>
      <c r="DN7" s="260"/>
      <c r="DO7" s="260"/>
      <c r="DP7" s="260"/>
      <c r="DQ7" s="260"/>
      <c r="DR7" s="260"/>
      <c r="DS7" s="260"/>
      <c r="DT7" s="260"/>
      <c r="DU7" s="260"/>
      <c r="DV7" s="260"/>
      <c r="DW7" s="260"/>
      <c r="DX7" s="260"/>
      <c r="DY7" s="900">
        <f t="shared" si="24"/>
        <v>0</v>
      </c>
      <c r="DZ7" s="248">
        <f t="shared" si="25"/>
        <v>0</v>
      </c>
      <c r="EA7" s="248">
        <f t="shared" si="25"/>
        <v>0</v>
      </c>
      <c r="EB7" s="248">
        <f t="shared" si="25"/>
        <v>0</v>
      </c>
      <c r="EC7" s="248">
        <f t="shared" si="25"/>
        <v>0</v>
      </c>
      <c r="ED7" s="248">
        <f t="shared" si="25"/>
        <v>0</v>
      </c>
      <c r="EE7" s="248">
        <f t="shared" si="25"/>
        <v>0</v>
      </c>
      <c r="EF7" s="248">
        <f t="shared" si="25"/>
        <v>0</v>
      </c>
      <c r="EG7" s="248">
        <f t="shared" si="25"/>
        <v>0</v>
      </c>
      <c r="EH7" s="248">
        <f t="shared" si="25"/>
        <v>0</v>
      </c>
      <c r="EI7" s="248">
        <f t="shared" si="25"/>
        <v>0</v>
      </c>
      <c r="EJ7" s="248">
        <f t="shared" si="25"/>
        <v>0</v>
      </c>
      <c r="EK7" s="248">
        <f t="shared" si="25"/>
        <v>0</v>
      </c>
      <c r="EL7" s="901">
        <f t="shared" si="8"/>
        <v>0</v>
      </c>
    </row>
    <row r="8" spans="1:142">
      <c r="A8" s="895" t="s">
        <v>622</v>
      </c>
      <c r="B8" s="896" t="s">
        <v>623</v>
      </c>
      <c r="C8" s="897" t="s">
        <v>251</v>
      </c>
      <c r="D8" s="527">
        <v>0.77272999999999992</v>
      </c>
      <c r="E8" s="898">
        <f>D8*0.98</f>
        <v>0.75727539999999993</v>
      </c>
      <c r="F8" s="528">
        <f>E8*0.98</f>
        <v>0.7421298919999999</v>
      </c>
      <c r="G8" s="529">
        <f>F8</f>
        <v>0.7421298919999999</v>
      </c>
      <c r="H8" s="527">
        <f t="shared" si="11"/>
        <v>0.7421298919999999</v>
      </c>
      <c r="I8" s="898"/>
      <c r="J8" s="528"/>
      <c r="K8" s="874"/>
      <c r="L8" s="875"/>
      <c r="M8" s="899"/>
      <c r="N8" s="260"/>
      <c r="O8" s="260"/>
      <c r="P8" s="260"/>
      <c r="Q8" s="260"/>
      <c r="R8" s="260"/>
      <c r="S8" s="260"/>
      <c r="T8" s="260"/>
      <c r="U8" s="260"/>
      <c r="V8" s="260"/>
      <c r="W8" s="260"/>
      <c r="X8" s="260"/>
      <c r="Y8" s="900">
        <f t="shared" si="12"/>
        <v>0</v>
      </c>
      <c r="Z8" s="877">
        <f t="shared" si="13"/>
        <v>0</v>
      </c>
      <c r="AA8" s="248">
        <f t="shared" si="13"/>
        <v>0</v>
      </c>
      <c r="AB8" s="248">
        <f t="shared" si="14"/>
        <v>0</v>
      </c>
      <c r="AC8" s="248">
        <f t="shared" si="14"/>
        <v>0</v>
      </c>
      <c r="AD8" s="248">
        <f t="shared" si="14"/>
        <v>0</v>
      </c>
      <c r="AE8" s="248">
        <f t="shared" si="15"/>
        <v>0</v>
      </c>
      <c r="AF8" s="248">
        <f t="shared" si="15"/>
        <v>0</v>
      </c>
      <c r="AG8" s="248">
        <f t="shared" si="15"/>
        <v>0</v>
      </c>
      <c r="AH8" s="248">
        <f t="shared" si="16"/>
        <v>0</v>
      </c>
      <c r="AI8" s="248">
        <f t="shared" si="16"/>
        <v>0</v>
      </c>
      <c r="AJ8" s="248">
        <f t="shared" si="16"/>
        <v>0</v>
      </c>
      <c r="AK8" s="248">
        <f t="shared" si="16"/>
        <v>0</v>
      </c>
      <c r="AL8" s="901">
        <f t="shared" si="17"/>
        <v>0</v>
      </c>
      <c r="AM8" s="902"/>
      <c r="AN8" s="260"/>
      <c r="AO8" s="260"/>
      <c r="AP8" s="260"/>
      <c r="AQ8" s="260"/>
      <c r="AR8" s="260"/>
      <c r="AS8" s="260"/>
      <c r="AT8" s="260"/>
      <c r="AU8" s="260"/>
      <c r="AV8" s="260"/>
      <c r="AW8" s="260"/>
      <c r="AX8" s="260"/>
      <c r="AY8" s="900">
        <f t="shared" si="18"/>
        <v>0</v>
      </c>
      <c r="AZ8" s="877">
        <f t="shared" si="19"/>
        <v>0</v>
      </c>
      <c r="BA8" s="248">
        <f t="shared" si="19"/>
        <v>0</v>
      </c>
      <c r="BB8" s="248">
        <f t="shared" si="19"/>
        <v>0</v>
      </c>
      <c r="BC8" s="248">
        <f t="shared" si="19"/>
        <v>0</v>
      </c>
      <c r="BD8" s="248">
        <f t="shared" si="19"/>
        <v>0</v>
      </c>
      <c r="BE8" s="248">
        <f t="shared" si="19"/>
        <v>0</v>
      </c>
      <c r="BF8" s="248">
        <f t="shared" si="19"/>
        <v>0</v>
      </c>
      <c r="BG8" s="248">
        <f t="shared" si="19"/>
        <v>0</v>
      </c>
      <c r="BH8" s="248">
        <f t="shared" si="19"/>
        <v>0</v>
      </c>
      <c r="BI8" s="248">
        <f t="shared" si="19"/>
        <v>0</v>
      </c>
      <c r="BJ8" s="248">
        <f t="shared" si="19"/>
        <v>0</v>
      </c>
      <c r="BK8" s="248">
        <f t="shared" si="19"/>
        <v>0</v>
      </c>
      <c r="BL8" s="901">
        <f t="shared" si="2"/>
        <v>0</v>
      </c>
      <c r="BM8" s="902"/>
      <c r="BN8" s="260"/>
      <c r="BO8" s="260"/>
      <c r="BP8" s="260"/>
      <c r="BQ8" s="260"/>
      <c r="BR8" s="260"/>
      <c r="BS8" s="260"/>
      <c r="BT8" s="260"/>
      <c r="BU8" s="260"/>
      <c r="BV8" s="260"/>
      <c r="BW8" s="260"/>
      <c r="BX8" s="260"/>
      <c r="BY8" s="900">
        <f t="shared" si="20"/>
        <v>0</v>
      </c>
      <c r="BZ8" s="882">
        <f t="shared" si="21"/>
        <v>0</v>
      </c>
      <c r="CA8" s="248">
        <f t="shared" si="21"/>
        <v>0</v>
      </c>
      <c r="CB8" s="248">
        <f t="shared" si="21"/>
        <v>0</v>
      </c>
      <c r="CC8" s="248">
        <f t="shared" si="21"/>
        <v>0</v>
      </c>
      <c r="CD8" s="248">
        <f t="shared" si="21"/>
        <v>0</v>
      </c>
      <c r="CE8" s="248">
        <f t="shared" si="21"/>
        <v>0</v>
      </c>
      <c r="CF8" s="248">
        <f t="shared" si="21"/>
        <v>0</v>
      </c>
      <c r="CG8" s="248">
        <f t="shared" si="21"/>
        <v>0</v>
      </c>
      <c r="CH8" s="248">
        <f t="shared" si="21"/>
        <v>0</v>
      </c>
      <c r="CI8" s="248">
        <f t="shared" si="21"/>
        <v>0</v>
      </c>
      <c r="CJ8" s="248">
        <f t="shared" si="21"/>
        <v>0</v>
      </c>
      <c r="CK8" s="248">
        <f t="shared" si="21"/>
        <v>0</v>
      </c>
      <c r="CL8" s="903">
        <f t="shared" si="4"/>
        <v>0</v>
      </c>
      <c r="CM8" s="902"/>
      <c r="CN8" s="260"/>
      <c r="CO8" s="260"/>
      <c r="CP8" s="260"/>
      <c r="CQ8" s="260"/>
      <c r="CR8" s="260"/>
      <c r="CS8" s="260"/>
      <c r="CT8" s="260"/>
      <c r="CU8" s="260"/>
      <c r="CV8" s="260"/>
      <c r="CW8" s="260"/>
      <c r="CX8" s="260"/>
      <c r="CY8" s="900">
        <f t="shared" si="22"/>
        <v>0</v>
      </c>
      <c r="CZ8" s="877">
        <f t="shared" si="23"/>
        <v>0</v>
      </c>
      <c r="DA8" s="248">
        <f t="shared" si="23"/>
        <v>0</v>
      </c>
      <c r="DB8" s="248">
        <f t="shared" si="23"/>
        <v>0</v>
      </c>
      <c r="DC8" s="248">
        <f t="shared" si="23"/>
        <v>0</v>
      </c>
      <c r="DD8" s="248">
        <f t="shared" si="23"/>
        <v>0</v>
      </c>
      <c r="DE8" s="248">
        <f t="shared" si="23"/>
        <v>0</v>
      </c>
      <c r="DF8" s="248">
        <f t="shared" si="23"/>
        <v>0</v>
      </c>
      <c r="DG8" s="248">
        <f t="shared" si="23"/>
        <v>0</v>
      </c>
      <c r="DH8" s="248">
        <f t="shared" si="23"/>
        <v>0</v>
      </c>
      <c r="DI8" s="248">
        <f t="shared" si="23"/>
        <v>0</v>
      </c>
      <c r="DJ8" s="248">
        <f t="shared" si="23"/>
        <v>0</v>
      </c>
      <c r="DK8" s="248">
        <f t="shared" si="23"/>
        <v>0</v>
      </c>
      <c r="DL8" s="901">
        <f t="shared" si="6"/>
        <v>0</v>
      </c>
      <c r="DM8" s="899"/>
      <c r="DN8" s="260"/>
      <c r="DO8" s="260"/>
      <c r="DP8" s="260"/>
      <c r="DQ8" s="260"/>
      <c r="DR8" s="260"/>
      <c r="DS8" s="260"/>
      <c r="DT8" s="260"/>
      <c r="DU8" s="260"/>
      <c r="DV8" s="260"/>
      <c r="DW8" s="260"/>
      <c r="DX8" s="260"/>
      <c r="DY8" s="900">
        <f t="shared" si="24"/>
        <v>0</v>
      </c>
      <c r="DZ8" s="248">
        <f t="shared" si="25"/>
        <v>0</v>
      </c>
      <c r="EA8" s="248">
        <f t="shared" si="25"/>
        <v>0</v>
      </c>
      <c r="EB8" s="248">
        <f t="shared" si="25"/>
        <v>0</v>
      </c>
      <c r="EC8" s="248">
        <f t="shared" si="25"/>
        <v>0</v>
      </c>
      <c r="ED8" s="248">
        <f t="shared" si="25"/>
        <v>0</v>
      </c>
      <c r="EE8" s="248">
        <f t="shared" si="25"/>
        <v>0</v>
      </c>
      <c r="EF8" s="248">
        <f t="shared" si="25"/>
        <v>0</v>
      </c>
      <c r="EG8" s="248">
        <f t="shared" si="25"/>
        <v>0</v>
      </c>
      <c r="EH8" s="248">
        <f t="shared" si="25"/>
        <v>0</v>
      </c>
      <c r="EI8" s="248">
        <f t="shared" si="25"/>
        <v>0</v>
      </c>
      <c r="EJ8" s="248">
        <f t="shared" si="25"/>
        <v>0</v>
      </c>
      <c r="EK8" s="248">
        <f t="shared" si="25"/>
        <v>0</v>
      </c>
      <c r="EL8" s="901">
        <f t="shared" si="8"/>
        <v>0</v>
      </c>
    </row>
    <row r="9" spans="1:142">
      <c r="A9" s="895" t="s">
        <v>622</v>
      </c>
      <c r="B9" s="896" t="s">
        <v>252</v>
      </c>
      <c r="C9" s="897" t="s">
        <v>253</v>
      </c>
      <c r="D9" s="527">
        <v>0.77791583333333336</v>
      </c>
      <c r="E9" s="898">
        <f>D9*0.98</f>
        <v>0.76235751666666673</v>
      </c>
      <c r="F9" s="528">
        <f>E9*0.98</f>
        <v>0.74711036633333339</v>
      </c>
      <c r="G9" s="529">
        <f>F9</f>
        <v>0.74711036633333339</v>
      </c>
      <c r="H9" s="527">
        <f t="shared" si="11"/>
        <v>0.74711036633333339</v>
      </c>
      <c r="I9" s="898"/>
      <c r="J9" s="528"/>
      <c r="K9" s="874"/>
      <c r="L9" s="875"/>
      <c r="M9" s="556">
        <v>0</v>
      </c>
      <c r="N9" s="260"/>
      <c r="O9" s="260"/>
      <c r="P9" s="260"/>
      <c r="Q9" s="260"/>
      <c r="R9" s="539"/>
      <c r="S9" s="539"/>
      <c r="T9" s="260"/>
      <c r="U9" s="260"/>
      <c r="V9" s="260"/>
      <c r="W9" s="260"/>
      <c r="X9" s="260"/>
      <c r="Y9" s="876">
        <f t="shared" si="12"/>
        <v>0</v>
      </c>
      <c r="Z9" s="877">
        <f t="shared" si="13"/>
        <v>0</v>
      </c>
      <c r="AA9" s="248">
        <f t="shared" si="13"/>
        <v>0</v>
      </c>
      <c r="AB9" s="248">
        <f t="shared" si="14"/>
        <v>0</v>
      </c>
      <c r="AC9" s="248">
        <f t="shared" si="14"/>
        <v>0</v>
      </c>
      <c r="AD9" s="248">
        <f t="shared" si="14"/>
        <v>0</v>
      </c>
      <c r="AE9" s="248">
        <f t="shared" si="15"/>
        <v>0</v>
      </c>
      <c r="AF9" s="248">
        <f t="shared" si="15"/>
        <v>0</v>
      </c>
      <c r="AG9" s="248">
        <f t="shared" si="15"/>
        <v>0</v>
      </c>
      <c r="AH9" s="248">
        <f t="shared" si="16"/>
        <v>0</v>
      </c>
      <c r="AI9" s="248">
        <f t="shared" si="16"/>
        <v>0</v>
      </c>
      <c r="AJ9" s="248">
        <f t="shared" si="16"/>
        <v>0</v>
      </c>
      <c r="AK9" s="248">
        <f t="shared" si="16"/>
        <v>0</v>
      </c>
      <c r="AL9" s="901">
        <f t="shared" si="17"/>
        <v>0</v>
      </c>
      <c r="AM9" s="902"/>
      <c r="AN9" s="260"/>
      <c r="AO9" s="260"/>
      <c r="AP9" s="260"/>
      <c r="AQ9" s="260"/>
      <c r="AR9" s="260"/>
      <c r="AS9" s="260"/>
      <c r="AT9" s="260"/>
      <c r="AU9" s="260"/>
      <c r="AV9" s="260"/>
      <c r="AW9" s="260"/>
      <c r="AX9" s="260"/>
      <c r="AY9" s="876">
        <f t="shared" si="18"/>
        <v>0</v>
      </c>
      <c r="AZ9" s="877">
        <f t="shared" si="19"/>
        <v>0</v>
      </c>
      <c r="BA9" s="248">
        <f t="shared" si="19"/>
        <v>0</v>
      </c>
      <c r="BB9" s="248">
        <f t="shared" si="19"/>
        <v>0</v>
      </c>
      <c r="BC9" s="248">
        <f t="shared" si="19"/>
        <v>0</v>
      </c>
      <c r="BD9" s="248">
        <f t="shared" si="19"/>
        <v>0</v>
      </c>
      <c r="BE9" s="248">
        <f t="shared" si="19"/>
        <v>0</v>
      </c>
      <c r="BF9" s="248">
        <f t="shared" si="19"/>
        <v>0</v>
      </c>
      <c r="BG9" s="248">
        <f t="shared" si="19"/>
        <v>0</v>
      </c>
      <c r="BH9" s="248">
        <f t="shared" si="19"/>
        <v>0</v>
      </c>
      <c r="BI9" s="248">
        <f t="shared" si="19"/>
        <v>0</v>
      </c>
      <c r="BJ9" s="248">
        <f t="shared" si="19"/>
        <v>0</v>
      </c>
      <c r="BK9" s="248">
        <f t="shared" si="19"/>
        <v>0</v>
      </c>
      <c r="BL9" s="901">
        <f t="shared" si="2"/>
        <v>0</v>
      </c>
      <c r="BM9" s="902"/>
      <c r="BN9" s="260"/>
      <c r="BO9" s="260"/>
      <c r="BP9" s="260"/>
      <c r="BQ9" s="260"/>
      <c r="BR9" s="260"/>
      <c r="BS9" s="260"/>
      <c r="BT9" s="260"/>
      <c r="BU9" s="260"/>
      <c r="BV9" s="260"/>
      <c r="BW9" s="260"/>
      <c r="BX9" s="260"/>
      <c r="BY9" s="876">
        <f t="shared" si="20"/>
        <v>0</v>
      </c>
      <c r="BZ9" s="882">
        <f t="shared" si="21"/>
        <v>0</v>
      </c>
      <c r="CA9" s="248">
        <f t="shared" si="21"/>
        <v>0</v>
      </c>
      <c r="CB9" s="248">
        <f t="shared" si="21"/>
        <v>0</v>
      </c>
      <c r="CC9" s="248">
        <f t="shared" si="21"/>
        <v>0</v>
      </c>
      <c r="CD9" s="248">
        <f t="shared" si="21"/>
        <v>0</v>
      </c>
      <c r="CE9" s="248">
        <f t="shared" si="21"/>
        <v>0</v>
      </c>
      <c r="CF9" s="248">
        <f t="shared" si="21"/>
        <v>0</v>
      </c>
      <c r="CG9" s="248">
        <f t="shared" si="21"/>
        <v>0</v>
      </c>
      <c r="CH9" s="248">
        <f t="shared" si="21"/>
        <v>0</v>
      </c>
      <c r="CI9" s="248">
        <f t="shared" si="21"/>
        <v>0</v>
      </c>
      <c r="CJ9" s="248">
        <f t="shared" si="21"/>
        <v>0</v>
      </c>
      <c r="CK9" s="248">
        <f t="shared" si="21"/>
        <v>0</v>
      </c>
      <c r="CL9" s="903">
        <f t="shared" si="4"/>
        <v>0</v>
      </c>
      <c r="CM9" s="902"/>
      <c r="CN9" s="260"/>
      <c r="CO9" s="260"/>
      <c r="CP9" s="260"/>
      <c r="CQ9" s="260"/>
      <c r="CR9" s="260"/>
      <c r="CS9" s="260"/>
      <c r="CT9" s="260"/>
      <c r="CU9" s="260"/>
      <c r="CV9" s="260"/>
      <c r="CW9" s="260"/>
      <c r="CX9" s="260"/>
      <c r="CY9" s="876">
        <f t="shared" si="22"/>
        <v>0</v>
      </c>
      <c r="CZ9" s="877">
        <f t="shared" si="23"/>
        <v>0</v>
      </c>
      <c r="DA9" s="248">
        <f t="shared" si="23"/>
        <v>0</v>
      </c>
      <c r="DB9" s="248">
        <f t="shared" si="23"/>
        <v>0</v>
      </c>
      <c r="DC9" s="248">
        <f t="shared" si="23"/>
        <v>0</v>
      </c>
      <c r="DD9" s="248">
        <f t="shared" si="23"/>
        <v>0</v>
      </c>
      <c r="DE9" s="248">
        <f t="shared" si="23"/>
        <v>0</v>
      </c>
      <c r="DF9" s="248">
        <f t="shared" si="23"/>
        <v>0</v>
      </c>
      <c r="DG9" s="248">
        <f t="shared" si="23"/>
        <v>0</v>
      </c>
      <c r="DH9" s="248">
        <f t="shared" si="23"/>
        <v>0</v>
      </c>
      <c r="DI9" s="248">
        <f t="shared" si="23"/>
        <v>0</v>
      </c>
      <c r="DJ9" s="248">
        <f t="shared" si="23"/>
        <v>0</v>
      </c>
      <c r="DK9" s="248">
        <f t="shared" si="23"/>
        <v>0</v>
      </c>
      <c r="DL9" s="901">
        <f t="shared" si="6"/>
        <v>0</v>
      </c>
      <c r="DM9" s="899"/>
      <c r="DN9" s="260"/>
      <c r="DO9" s="260"/>
      <c r="DP9" s="260"/>
      <c r="DQ9" s="260"/>
      <c r="DR9" s="260"/>
      <c r="DS9" s="260"/>
      <c r="DT9" s="260"/>
      <c r="DU9" s="260"/>
      <c r="DV9" s="260"/>
      <c r="DW9" s="260"/>
      <c r="DX9" s="260"/>
      <c r="DY9" s="876">
        <f t="shared" si="24"/>
        <v>0</v>
      </c>
      <c r="DZ9" s="248">
        <f t="shared" si="25"/>
        <v>0</v>
      </c>
      <c r="EA9" s="248">
        <f t="shared" si="25"/>
        <v>0</v>
      </c>
      <c r="EB9" s="248">
        <f t="shared" si="25"/>
        <v>0</v>
      </c>
      <c r="EC9" s="248">
        <f t="shared" si="25"/>
        <v>0</v>
      </c>
      <c r="ED9" s="248">
        <f t="shared" si="25"/>
        <v>0</v>
      </c>
      <c r="EE9" s="248">
        <f t="shared" si="25"/>
        <v>0</v>
      </c>
      <c r="EF9" s="248">
        <f t="shared" si="25"/>
        <v>0</v>
      </c>
      <c r="EG9" s="248">
        <f t="shared" si="25"/>
        <v>0</v>
      </c>
      <c r="EH9" s="248">
        <f t="shared" si="25"/>
        <v>0</v>
      </c>
      <c r="EI9" s="248">
        <f t="shared" si="25"/>
        <v>0</v>
      </c>
      <c r="EJ9" s="248">
        <f t="shared" si="25"/>
        <v>0</v>
      </c>
      <c r="EK9" s="248">
        <f t="shared" si="25"/>
        <v>0</v>
      </c>
      <c r="EL9" s="901">
        <f t="shared" si="8"/>
        <v>0</v>
      </c>
    </row>
    <row r="10" spans="1:142">
      <c r="A10" s="895" t="s">
        <v>622</v>
      </c>
      <c r="B10" s="896" t="s">
        <v>624</v>
      </c>
      <c r="C10" s="897" t="s">
        <v>625</v>
      </c>
      <c r="D10" s="540">
        <v>0.78169999999999995</v>
      </c>
      <c r="E10" s="905">
        <v>0.75428571428571434</v>
      </c>
      <c r="F10" s="544">
        <v>0.71799999999999997</v>
      </c>
      <c r="G10" s="545">
        <f>F10*0.98</f>
        <v>0.70363999999999993</v>
      </c>
      <c r="H10" s="540">
        <f t="shared" si="11"/>
        <v>0.70363999999999993</v>
      </c>
      <c r="I10" s="905"/>
      <c r="J10" s="544"/>
      <c r="K10" s="906"/>
      <c r="L10" s="875"/>
      <c r="M10" s="556">
        <v>821300</v>
      </c>
      <c r="N10" s="247">
        <v>610000</v>
      </c>
      <c r="O10" s="247">
        <v>785200</v>
      </c>
      <c r="P10" s="247">
        <v>800400</v>
      </c>
      <c r="Q10" s="247">
        <v>753500</v>
      </c>
      <c r="R10" s="247">
        <v>767650</v>
      </c>
      <c r="S10" s="247">
        <v>800000</v>
      </c>
      <c r="T10" s="247">
        <v>800000</v>
      </c>
      <c r="U10" s="247">
        <v>800000</v>
      </c>
      <c r="V10" s="247">
        <v>600000</v>
      </c>
      <c r="W10" s="247">
        <v>400000</v>
      </c>
      <c r="X10" s="247">
        <v>300000</v>
      </c>
      <c r="Y10" s="876">
        <f t="shared" si="12"/>
        <v>8238050</v>
      </c>
      <c r="Z10" s="877">
        <v>642010.21</v>
      </c>
      <c r="AA10" s="248">
        <v>476836.99999999994</v>
      </c>
      <c r="AB10" s="248">
        <v>592265.14285714284</v>
      </c>
      <c r="AC10" s="248">
        <v>603730.2857142858</v>
      </c>
      <c r="AD10" s="248">
        <f>556987.2+528</f>
        <v>557515.19999999995</v>
      </c>
      <c r="AE10" s="248">
        <f>R10*$F10+400-30-17385</f>
        <v>534157.69999999995</v>
      </c>
      <c r="AF10" s="248">
        <f>S10*$F10</f>
        <v>574400</v>
      </c>
      <c r="AG10" s="248">
        <f>T10*$F10</f>
        <v>574400</v>
      </c>
      <c r="AH10" s="248">
        <f t="shared" si="16"/>
        <v>562912</v>
      </c>
      <c r="AI10" s="248">
        <f>V10*$G10</f>
        <v>422183.99999999994</v>
      </c>
      <c r="AJ10" s="248">
        <f t="shared" si="16"/>
        <v>281456</v>
      </c>
      <c r="AK10" s="248">
        <f>X10*$H10</f>
        <v>211091.99999999997</v>
      </c>
      <c r="AL10" s="901">
        <f t="shared" si="17"/>
        <v>6032959.5385714285</v>
      </c>
      <c r="AM10" s="902">
        <v>100000</v>
      </c>
      <c r="AN10" s="260">
        <v>50000</v>
      </c>
      <c r="AO10" s="260"/>
      <c r="AP10" s="260"/>
      <c r="AQ10" s="260"/>
      <c r="AR10" s="260"/>
      <c r="AS10" s="260"/>
      <c r="AT10" s="260"/>
      <c r="AU10" s="260"/>
      <c r="AV10" s="260"/>
      <c r="AW10" s="260"/>
      <c r="AX10" s="260"/>
      <c r="AY10" s="876">
        <f>SUM(AM10:AX10)</f>
        <v>150000</v>
      </c>
      <c r="AZ10" s="877">
        <f t="shared" si="19"/>
        <v>70364</v>
      </c>
      <c r="BA10" s="248">
        <f t="shared" si="19"/>
        <v>35182</v>
      </c>
      <c r="BB10" s="248">
        <f t="shared" si="19"/>
        <v>0</v>
      </c>
      <c r="BC10" s="248">
        <f t="shared" si="19"/>
        <v>0</v>
      </c>
      <c r="BD10" s="248">
        <f t="shared" si="19"/>
        <v>0</v>
      </c>
      <c r="BE10" s="248">
        <f t="shared" si="19"/>
        <v>0</v>
      </c>
      <c r="BF10" s="248">
        <f t="shared" si="19"/>
        <v>0</v>
      </c>
      <c r="BG10" s="248">
        <f t="shared" si="19"/>
        <v>0</v>
      </c>
      <c r="BH10" s="248">
        <f t="shared" si="19"/>
        <v>0</v>
      </c>
      <c r="BI10" s="248">
        <f t="shared" si="19"/>
        <v>0</v>
      </c>
      <c r="BJ10" s="248">
        <f t="shared" si="19"/>
        <v>0</v>
      </c>
      <c r="BK10" s="248">
        <f t="shared" si="19"/>
        <v>0</v>
      </c>
      <c r="BL10" s="901">
        <f>SUM(AZ10:BK10)</f>
        <v>105546</v>
      </c>
      <c r="BM10" s="902"/>
      <c r="BN10" s="260"/>
      <c r="BO10" s="260"/>
      <c r="BP10" s="260"/>
      <c r="BQ10" s="260"/>
      <c r="BR10" s="260"/>
      <c r="BS10" s="260"/>
      <c r="BT10" s="260"/>
      <c r="BU10" s="260"/>
      <c r="BV10" s="260"/>
      <c r="BW10" s="260"/>
      <c r="BX10" s="260"/>
      <c r="BY10" s="876">
        <f>SUM(BM10:BX10)</f>
        <v>0</v>
      </c>
      <c r="BZ10" s="882">
        <f t="shared" si="21"/>
        <v>0</v>
      </c>
      <c r="CA10" s="248">
        <f t="shared" si="21"/>
        <v>0</v>
      </c>
      <c r="CB10" s="248">
        <f t="shared" si="21"/>
        <v>0</v>
      </c>
      <c r="CC10" s="248">
        <f t="shared" si="21"/>
        <v>0</v>
      </c>
      <c r="CD10" s="248">
        <f t="shared" si="21"/>
        <v>0</v>
      </c>
      <c r="CE10" s="248">
        <f t="shared" si="21"/>
        <v>0</v>
      </c>
      <c r="CF10" s="248">
        <f t="shared" si="21"/>
        <v>0</v>
      </c>
      <c r="CG10" s="248">
        <f t="shared" si="21"/>
        <v>0</v>
      </c>
      <c r="CH10" s="248">
        <f t="shared" si="21"/>
        <v>0</v>
      </c>
      <c r="CI10" s="248">
        <f t="shared" si="21"/>
        <v>0</v>
      </c>
      <c r="CJ10" s="248">
        <f t="shared" si="21"/>
        <v>0</v>
      </c>
      <c r="CK10" s="248">
        <f t="shared" si="21"/>
        <v>0</v>
      </c>
      <c r="CL10" s="903">
        <f>SUM(BZ10:CK10)</f>
        <v>0</v>
      </c>
      <c r="CM10" s="902"/>
      <c r="CN10" s="260"/>
      <c r="CO10" s="260"/>
      <c r="CP10" s="260"/>
      <c r="CQ10" s="260"/>
      <c r="CR10" s="260"/>
      <c r="CS10" s="260"/>
      <c r="CT10" s="260"/>
      <c r="CU10" s="260"/>
      <c r="CV10" s="260"/>
      <c r="CW10" s="260"/>
      <c r="CX10" s="260"/>
      <c r="CY10" s="876">
        <f>SUM(CM10:CX10)</f>
        <v>0</v>
      </c>
      <c r="CZ10" s="877">
        <f t="shared" si="23"/>
        <v>0</v>
      </c>
      <c r="DA10" s="248">
        <f t="shared" si="23"/>
        <v>0</v>
      </c>
      <c r="DB10" s="248">
        <f t="shared" si="23"/>
        <v>0</v>
      </c>
      <c r="DC10" s="248">
        <f t="shared" si="23"/>
        <v>0</v>
      </c>
      <c r="DD10" s="248">
        <f t="shared" si="23"/>
        <v>0</v>
      </c>
      <c r="DE10" s="248">
        <f t="shared" si="23"/>
        <v>0</v>
      </c>
      <c r="DF10" s="248">
        <f t="shared" si="23"/>
        <v>0</v>
      </c>
      <c r="DG10" s="248">
        <f t="shared" si="23"/>
        <v>0</v>
      </c>
      <c r="DH10" s="248">
        <f t="shared" si="23"/>
        <v>0</v>
      </c>
      <c r="DI10" s="248">
        <f t="shared" si="23"/>
        <v>0</v>
      </c>
      <c r="DJ10" s="248">
        <f t="shared" si="23"/>
        <v>0</v>
      </c>
      <c r="DK10" s="248">
        <f t="shared" si="23"/>
        <v>0</v>
      </c>
      <c r="DL10" s="901">
        <f>SUM(CZ10:DK10)</f>
        <v>0</v>
      </c>
      <c r="DM10" s="899"/>
      <c r="DN10" s="260"/>
      <c r="DO10" s="260"/>
      <c r="DP10" s="260"/>
      <c r="DQ10" s="260"/>
      <c r="DR10" s="260"/>
      <c r="DS10" s="260"/>
      <c r="DT10" s="260"/>
      <c r="DU10" s="260"/>
      <c r="DV10" s="260"/>
      <c r="DW10" s="260"/>
      <c r="DX10" s="260"/>
      <c r="DY10" s="876">
        <f>SUM(DM10:DX10)</f>
        <v>0</v>
      </c>
      <c r="DZ10" s="248">
        <f t="shared" si="25"/>
        <v>0</v>
      </c>
      <c r="EA10" s="248">
        <f t="shared" si="25"/>
        <v>0</v>
      </c>
      <c r="EB10" s="248">
        <f t="shared" si="25"/>
        <v>0</v>
      </c>
      <c r="EC10" s="248">
        <f t="shared" si="25"/>
        <v>0</v>
      </c>
      <c r="ED10" s="248">
        <f t="shared" si="25"/>
        <v>0</v>
      </c>
      <c r="EE10" s="248">
        <f t="shared" si="25"/>
        <v>0</v>
      </c>
      <c r="EF10" s="248">
        <f t="shared" si="25"/>
        <v>0</v>
      </c>
      <c r="EG10" s="248">
        <f t="shared" si="25"/>
        <v>0</v>
      </c>
      <c r="EH10" s="248">
        <f t="shared" si="25"/>
        <v>0</v>
      </c>
      <c r="EI10" s="248">
        <f t="shared" si="25"/>
        <v>0</v>
      </c>
      <c r="EJ10" s="248">
        <f t="shared" si="25"/>
        <v>0</v>
      </c>
      <c r="EK10" s="248">
        <f t="shared" si="25"/>
        <v>0</v>
      </c>
      <c r="EL10" s="901">
        <f>SUM(DZ10:EK10)</f>
        <v>0</v>
      </c>
    </row>
    <row r="11" spans="1:142">
      <c r="A11" s="907" t="s">
        <v>622</v>
      </c>
      <c r="B11" s="896" t="s">
        <v>626</v>
      </c>
      <c r="C11" s="908" t="s">
        <v>627</v>
      </c>
      <c r="D11" s="540">
        <v>0.83</v>
      </c>
      <c r="E11" s="905">
        <v>0.8133061224489796</v>
      </c>
      <c r="F11" s="544">
        <f>E11*0.97</f>
        <v>0.78890693877551021</v>
      </c>
      <c r="G11" s="545">
        <f>F11*0.97</f>
        <v>0.76523973061224493</v>
      </c>
      <c r="H11" s="540">
        <f t="shared" si="11"/>
        <v>0.76523973061224493</v>
      </c>
      <c r="I11" s="905"/>
      <c r="J11" s="544"/>
      <c r="K11" s="906"/>
      <c r="L11" s="909"/>
      <c r="M11" s="556">
        <v>92149</v>
      </c>
      <c r="N11" s="247">
        <v>312000</v>
      </c>
      <c r="O11" s="247">
        <v>453100</v>
      </c>
      <c r="P11" s="247">
        <v>116300</v>
      </c>
      <c r="Q11" s="247"/>
      <c r="R11" s="247"/>
      <c r="S11" s="247"/>
      <c r="T11" s="247"/>
      <c r="U11" s="247"/>
      <c r="V11" s="247"/>
      <c r="W11" s="247"/>
      <c r="X11" s="247"/>
      <c r="Y11" s="900">
        <f t="shared" si="12"/>
        <v>973549</v>
      </c>
      <c r="Z11" s="877">
        <f>M11*$D11+2000-400</f>
        <v>78083.67</v>
      </c>
      <c r="AA11" s="248">
        <f>N11*$D11</f>
        <v>258960</v>
      </c>
      <c r="AB11" s="248">
        <f t="shared" si="14"/>
        <v>368509.00408163265</v>
      </c>
      <c r="AC11" s="248">
        <f>P11*$E11</f>
        <v>94587.502040816325</v>
      </c>
      <c r="AD11" s="248">
        <f>Q11*$E11</f>
        <v>0</v>
      </c>
      <c r="AE11" s="248">
        <f t="shared" si="15"/>
        <v>0</v>
      </c>
      <c r="AF11" s="248">
        <f t="shared" si="15"/>
        <v>0</v>
      </c>
      <c r="AG11" s="248">
        <f t="shared" si="15"/>
        <v>0</v>
      </c>
      <c r="AH11" s="248">
        <f t="shared" si="16"/>
        <v>0</v>
      </c>
      <c r="AI11" s="248">
        <f t="shared" si="16"/>
        <v>0</v>
      </c>
      <c r="AJ11" s="248">
        <f t="shared" si="16"/>
        <v>0</v>
      </c>
      <c r="AK11" s="248">
        <f t="shared" si="16"/>
        <v>0</v>
      </c>
      <c r="AL11" s="901">
        <f t="shared" si="17"/>
        <v>800140.17612244899</v>
      </c>
      <c r="AM11" s="902"/>
      <c r="AN11" s="260"/>
      <c r="AO11" s="260"/>
      <c r="AP11" s="260"/>
      <c r="AQ11" s="260"/>
      <c r="AR11" s="260"/>
      <c r="AS11" s="260"/>
      <c r="AT11" s="260"/>
      <c r="AU11" s="260"/>
      <c r="AV11" s="260"/>
      <c r="AW11" s="260"/>
      <c r="AX11" s="260"/>
      <c r="AY11" s="900">
        <f>SUM(AM11:AX11)</f>
        <v>0</v>
      </c>
      <c r="AZ11" s="877">
        <f t="shared" si="19"/>
        <v>0</v>
      </c>
      <c r="BA11" s="248">
        <f t="shared" si="19"/>
        <v>0</v>
      </c>
      <c r="BB11" s="248">
        <f t="shared" si="19"/>
        <v>0</v>
      </c>
      <c r="BC11" s="248">
        <f t="shared" si="19"/>
        <v>0</v>
      </c>
      <c r="BD11" s="248">
        <f t="shared" si="19"/>
        <v>0</v>
      </c>
      <c r="BE11" s="248">
        <f t="shared" si="19"/>
        <v>0</v>
      </c>
      <c r="BF11" s="248">
        <f t="shared" si="19"/>
        <v>0</v>
      </c>
      <c r="BG11" s="248">
        <f t="shared" si="19"/>
        <v>0</v>
      </c>
      <c r="BH11" s="248">
        <f t="shared" si="19"/>
        <v>0</v>
      </c>
      <c r="BI11" s="248">
        <f t="shared" si="19"/>
        <v>0</v>
      </c>
      <c r="BJ11" s="248">
        <f t="shared" si="19"/>
        <v>0</v>
      </c>
      <c r="BK11" s="248">
        <f t="shared" si="19"/>
        <v>0</v>
      </c>
      <c r="BL11" s="901">
        <f>SUM(AZ11:BK11)</f>
        <v>0</v>
      </c>
      <c r="BM11" s="902"/>
      <c r="BN11" s="260"/>
      <c r="BO11" s="260"/>
      <c r="BP11" s="260"/>
      <c r="BQ11" s="260"/>
      <c r="BR11" s="260"/>
      <c r="BS11" s="260"/>
      <c r="BT11" s="260"/>
      <c r="BU11" s="260"/>
      <c r="BV11" s="260"/>
      <c r="BW11" s="260"/>
      <c r="BX11" s="260"/>
      <c r="BY11" s="900">
        <f>SUM(BM11:BX11)</f>
        <v>0</v>
      </c>
      <c r="BZ11" s="882">
        <f t="shared" si="21"/>
        <v>0</v>
      </c>
      <c r="CA11" s="248">
        <f t="shared" si="21"/>
        <v>0</v>
      </c>
      <c r="CB11" s="248">
        <f t="shared" si="21"/>
        <v>0</v>
      </c>
      <c r="CC11" s="248">
        <f t="shared" si="21"/>
        <v>0</v>
      </c>
      <c r="CD11" s="248">
        <f t="shared" si="21"/>
        <v>0</v>
      </c>
      <c r="CE11" s="248">
        <f t="shared" si="21"/>
        <v>0</v>
      </c>
      <c r="CF11" s="248">
        <f t="shared" si="21"/>
        <v>0</v>
      </c>
      <c r="CG11" s="248">
        <f t="shared" si="21"/>
        <v>0</v>
      </c>
      <c r="CH11" s="248">
        <f t="shared" si="21"/>
        <v>0</v>
      </c>
      <c r="CI11" s="248">
        <f t="shared" si="21"/>
        <v>0</v>
      </c>
      <c r="CJ11" s="248">
        <f t="shared" si="21"/>
        <v>0</v>
      </c>
      <c r="CK11" s="248">
        <f t="shared" si="21"/>
        <v>0</v>
      </c>
      <c r="CL11" s="903">
        <f>SUM(BZ11:CK11)</f>
        <v>0</v>
      </c>
      <c r="CM11" s="902"/>
      <c r="CN11" s="260"/>
      <c r="CO11" s="260"/>
      <c r="CP11" s="260"/>
      <c r="CQ11" s="260"/>
      <c r="CR11" s="260"/>
      <c r="CS11" s="260"/>
      <c r="CT11" s="260"/>
      <c r="CU11" s="260"/>
      <c r="CV11" s="260"/>
      <c r="CW11" s="260"/>
      <c r="CX11" s="260"/>
      <c r="CY11" s="900">
        <f>SUM(CM11:CX11)</f>
        <v>0</v>
      </c>
      <c r="CZ11" s="877">
        <f t="shared" si="23"/>
        <v>0</v>
      </c>
      <c r="DA11" s="248">
        <f t="shared" si="23"/>
        <v>0</v>
      </c>
      <c r="DB11" s="248">
        <f t="shared" si="23"/>
        <v>0</v>
      </c>
      <c r="DC11" s="248">
        <f t="shared" si="23"/>
        <v>0</v>
      </c>
      <c r="DD11" s="248">
        <f t="shared" si="23"/>
        <v>0</v>
      </c>
      <c r="DE11" s="248">
        <f t="shared" si="23"/>
        <v>0</v>
      </c>
      <c r="DF11" s="248">
        <f t="shared" si="23"/>
        <v>0</v>
      </c>
      <c r="DG11" s="248">
        <f t="shared" si="23"/>
        <v>0</v>
      </c>
      <c r="DH11" s="248">
        <f t="shared" si="23"/>
        <v>0</v>
      </c>
      <c r="DI11" s="248">
        <f t="shared" si="23"/>
        <v>0</v>
      </c>
      <c r="DJ11" s="248">
        <f t="shared" si="23"/>
        <v>0</v>
      </c>
      <c r="DK11" s="248">
        <f t="shared" si="23"/>
        <v>0</v>
      </c>
      <c r="DL11" s="901">
        <f>SUM(CZ11:DK11)</f>
        <v>0</v>
      </c>
      <c r="DM11" s="899"/>
      <c r="DN11" s="260"/>
      <c r="DO11" s="260"/>
      <c r="DP11" s="260"/>
      <c r="DQ11" s="260"/>
      <c r="DR11" s="260"/>
      <c r="DS11" s="260"/>
      <c r="DT11" s="260"/>
      <c r="DU11" s="260"/>
      <c r="DV11" s="260"/>
      <c r="DW11" s="260"/>
      <c r="DX11" s="260"/>
      <c r="DY11" s="900">
        <f>SUM(DM11:DX11)</f>
        <v>0</v>
      </c>
      <c r="DZ11" s="248">
        <f t="shared" si="25"/>
        <v>0</v>
      </c>
      <c r="EA11" s="248">
        <f t="shared" si="25"/>
        <v>0</v>
      </c>
      <c r="EB11" s="248">
        <f t="shared" si="25"/>
        <v>0</v>
      </c>
      <c r="EC11" s="248">
        <f t="shared" si="25"/>
        <v>0</v>
      </c>
      <c r="ED11" s="248">
        <f t="shared" si="25"/>
        <v>0</v>
      </c>
      <c r="EE11" s="248">
        <f t="shared" si="25"/>
        <v>0</v>
      </c>
      <c r="EF11" s="248">
        <f t="shared" si="25"/>
        <v>0</v>
      </c>
      <c r="EG11" s="248">
        <f t="shared" si="25"/>
        <v>0</v>
      </c>
      <c r="EH11" s="248">
        <f t="shared" si="25"/>
        <v>0</v>
      </c>
      <c r="EI11" s="248">
        <f t="shared" si="25"/>
        <v>0</v>
      </c>
      <c r="EJ11" s="248">
        <f t="shared" si="25"/>
        <v>0</v>
      </c>
      <c r="EK11" s="248">
        <f t="shared" si="25"/>
        <v>0</v>
      </c>
      <c r="EL11" s="901">
        <f>SUM(DZ11:EK11)</f>
        <v>0</v>
      </c>
    </row>
    <row r="12" spans="1:142" s="927" customFormat="1">
      <c r="A12" s="910" t="s">
        <v>622</v>
      </c>
      <c r="B12" s="911" t="s">
        <v>628</v>
      </c>
      <c r="C12" s="912"/>
      <c r="D12" s="913"/>
      <c r="E12" s="914">
        <v>0.69</v>
      </c>
      <c r="F12" s="914">
        <v>0.69</v>
      </c>
      <c r="G12" s="915">
        <v>0.69</v>
      </c>
      <c r="H12" s="913">
        <f t="shared" ref="H12:K13" si="26">G12*0.98</f>
        <v>0.67619999999999991</v>
      </c>
      <c r="I12" s="914">
        <f t="shared" si="26"/>
        <v>0.66267599999999993</v>
      </c>
      <c r="J12" s="914">
        <f t="shared" si="26"/>
        <v>0.64942247999999991</v>
      </c>
      <c r="K12" s="916">
        <f t="shared" si="26"/>
        <v>0.63643403039999991</v>
      </c>
      <c r="L12" s="917"/>
      <c r="M12" s="918"/>
      <c r="N12" s="919"/>
      <c r="O12" s="919"/>
      <c r="P12" s="919"/>
      <c r="Q12" s="919"/>
      <c r="R12" s="919"/>
      <c r="S12" s="919"/>
      <c r="T12" s="919"/>
      <c r="U12" s="919"/>
      <c r="V12" s="919"/>
      <c r="W12" s="919"/>
      <c r="X12" s="919"/>
      <c r="Y12" s="920">
        <f t="shared" si="12"/>
        <v>0</v>
      </c>
      <c r="Z12" s="921">
        <f>M12*$D12</f>
        <v>0</v>
      </c>
      <c r="AA12" s="922">
        <f>N12*$D12</f>
        <v>0</v>
      </c>
      <c r="AB12" s="922">
        <f t="shared" ref="AB12:AG13" si="27">O12*$D12</f>
        <v>0</v>
      </c>
      <c r="AC12" s="922">
        <f t="shared" si="27"/>
        <v>0</v>
      </c>
      <c r="AD12" s="922">
        <f t="shared" si="27"/>
        <v>0</v>
      </c>
      <c r="AE12" s="922">
        <f t="shared" si="27"/>
        <v>0</v>
      </c>
      <c r="AF12" s="922">
        <f t="shared" si="27"/>
        <v>0</v>
      </c>
      <c r="AG12" s="922">
        <f t="shared" si="27"/>
        <v>0</v>
      </c>
      <c r="AH12" s="922">
        <f t="shared" si="16"/>
        <v>0</v>
      </c>
      <c r="AI12" s="922">
        <f t="shared" si="16"/>
        <v>0</v>
      </c>
      <c r="AJ12" s="922">
        <f t="shared" si="16"/>
        <v>0</v>
      </c>
      <c r="AK12" s="922">
        <f>X12*$H12</f>
        <v>0</v>
      </c>
      <c r="AL12" s="923">
        <f t="shared" si="17"/>
        <v>0</v>
      </c>
      <c r="AM12" s="924"/>
      <c r="AN12" s="919"/>
      <c r="AO12" s="919"/>
      <c r="AP12" s="919"/>
      <c r="AQ12" s="919"/>
      <c r="AR12" s="919"/>
      <c r="AS12" s="919"/>
      <c r="AT12" s="919"/>
      <c r="AU12" s="919"/>
      <c r="AV12" s="919"/>
      <c r="AW12" s="919"/>
      <c r="AX12" s="919"/>
      <c r="AY12" s="920">
        <f t="shared" si="18"/>
        <v>0</v>
      </c>
      <c r="AZ12" s="921">
        <f t="shared" si="19"/>
        <v>0</v>
      </c>
      <c r="BA12" s="922">
        <f t="shared" si="19"/>
        <v>0</v>
      </c>
      <c r="BB12" s="922">
        <f t="shared" si="19"/>
        <v>0</v>
      </c>
      <c r="BC12" s="922">
        <f t="shared" si="19"/>
        <v>0</v>
      </c>
      <c r="BD12" s="922">
        <f t="shared" si="19"/>
        <v>0</v>
      </c>
      <c r="BE12" s="922">
        <f t="shared" si="19"/>
        <v>0</v>
      </c>
      <c r="BF12" s="922">
        <f t="shared" si="19"/>
        <v>0</v>
      </c>
      <c r="BG12" s="922">
        <f t="shared" si="19"/>
        <v>0</v>
      </c>
      <c r="BH12" s="922">
        <f t="shared" si="19"/>
        <v>0</v>
      </c>
      <c r="BI12" s="922">
        <f t="shared" si="19"/>
        <v>0</v>
      </c>
      <c r="BJ12" s="922">
        <f t="shared" si="19"/>
        <v>0</v>
      </c>
      <c r="BK12" s="922">
        <f t="shared" si="19"/>
        <v>0</v>
      </c>
      <c r="BL12" s="923">
        <f t="shared" si="2"/>
        <v>0</v>
      </c>
      <c r="BM12" s="924">
        <v>500000</v>
      </c>
      <c r="BN12" s="919">
        <v>300000</v>
      </c>
      <c r="BO12" s="919">
        <v>300000</v>
      </c>
      <c r="BP12" s="919">
        <v>400000</v>
      </c>
      <c r="BQ12" s="919">
        <f>25000*24</f>
        <v>600000</v>
      </c>
      <c r="BR12" s="919">
        <f>25000*24</f>
        <v>600000</v>
      </c>
      <c r="BS12" s="919">
        <f t="shared" ref="BS12:BX12" si="28">30000*26</f>
        <v>780000</v>
      </c>
      <c r="BT12" s="919">
        <f t="shared" si="28"/>
        <v>780000</v>
      </c>
      <c r="BU12" s="919">
        <f t="shared" si="28"/>
        <v>780000</v>
      </c>
      <c r="BV12" s="919">
        <f t="shared" si="28"/>
        <v>780000</v>
      </c>
      <c r="BW12" s="919">
        <f t="shared" si="28"/>
        <v>780000</v>
      </c>
      <c r="BX12" s="919">
        <f t="shared" si="28"/>
        <v>780000</v>
      </c>
      <c r="BY12" s="920">
        <f t="shared" si="20"/>
        <v>7380000</v>
      </c>
      <c r="BZ12" s="925">
        <f t="shared" si="21"/>
        <v>331337.99999999994</v>
      </c>
      <c r="CA12" s="922">
        <f t="shared" si="21"/>
        <v>198802.8</v>
      </c>
      <c r="CB12" s="922">
        <f t="shared" si="21"/>
        <v>198802.8</v>
      </c>
      <c r="CC12" s="922">
        <f t="shared" si="21"/>
        <v>265070.39999999997</v>
      </c>
      <c r="CD12" s="922">
        <f t="shared" si="21"/>
        <v>397605.6</v>
      </c>
      <c r="CE12" s="922">
        <f t="shared" si="21"/>
        <v>397605.6</v>
      </c>
      <c r="CF12" s="922">
        <f t="shared" si="21"/>
        <v>516887.27999999997</v>
      </c>
      <c r="CG12" s="922">
        <f t="shared" si="21"/>
        <v>516887.27999999997</v>
      </c>
      <c r="CH12" s="922">
        <f t="shared" si="21"/>
        <v>516887.27999999997</v>
      </c>
      <c r="CI12" s="922">
        <f t="shared" si="21"/>
        <v>516887.27999999997</v>
      </c>
      <c r="CJ12" s="922">
        <f t="shared" si="21"/>
        <v>516887.27999999997</v>
      </c>
      <c r="CK12" s="922">
        <f t="shared" si="21"/>
        <v>516887.27999999997</v>
      </c>
      <c r="CL12" s="926">
        <f t="shared" si="4"/>
        <v>4890548.879999999</v>
      </c>
      <c r="CM12" s="924">
        <v>500000</v>
      </c>
      <c r="CN12" s="919">
        <v>300000</v>
      </c>
      <c r="CO12" s="919">
        <v>300000</v>
      </c>
      <c r="CP12" s="919">
        <v>400000</v>
      </c>
      <c r="CQ12" s="919">
        <f>25000*24</f>
        <v>600000</v>
      </c>
      <c r="CR12" s="919">
        <f>25000*24</f>
        <v>600000</v>
      </c>
      <c r="CS12" s="919">
        <f t="shared" ref="CS12:CX12" si="29">30000*26</f>
        <v>780000</v>
      </c>
      <c r="CT12" s="919">
        <f t="shared" si="29"/>
        <v>780000</v>
      </c>
      <c r="CU12" s="919">
        <f t="shared" si="29"/>
        <v>780000</v>
      </c>
      <c r="CV12" s="919">
        <f t="shared" si="29"/>
        <v>780000</v>
      </c>
      <c r="CW12" s="919">
        <f t="shared" si="29"/>
        <v>780000</v>
      </c>
      <c r="CX12" s="919">
        <f t="shared" si="29"/>
        <v>780000</v>
      </c>
      <c r="CY12" s="920">
        <f t="shared" si="22"/>
        <v>7380000</v>
      </c>
      <c r="CZ12" s="921">
        <f t="shared" si="23"/>
        <v>324711.23999999993</v>
      </c>
      <c r="DA12" s="922">
        <f t="shared" si="23"/>
        <v>194826.74399999998</v>
      </c>
      <c r="DB12" s="922">
        <f t="shared" si="23"/>
        <v>194826.74399999998</v>
      </c>
      <c r="DC12" s="922">
        <f t="shared" si="23"/>
        <v>259768.99199999997</v>
      </c>
      <c r="DD12" s="922">
        <f t="shared" si="23"/>
        <v>389653.48799999995</v>
      </c>
      <c r="DE12" s="922">
        <f t="shared" si="23"/>
        <v>389653.48799999995</v>
      </c>
      <c r="DF12" s="922">
        <f t="shared" si="23"/>
        <v>506549.53439999995</v>
      </c>
      <c r="DG12" s="922">
        <f t="shared" si="23"/>
        <v>506549.53439999995</v>
      </c>
      <c r="DH12" s="922">
        <f t="shared" si="23"/>
        <v>506549.53439999995</v>
      </c>
      <c r="DI12" s="922">
        <f t="shared" si="23"/>
        <v>506549.53439999995</v>
      </c>
      <c r="DJ12" s="922">
        <f t="shared" si="23"/>
        <v>506549.53439999995</v>
      </c>
      <c r="DK12" s="922">
        <f t="shared" si="23"/>
        <v>506549.53439999995</v>
      </c>
      <c r="DL12" s="923">
        <f t="shared" si="6"/>
        <v>4792737.9023999991</v>
      </c>
      <c r="DM12" s="918">
        <v>500000</v>
      </c>
      <c r="DN12" s="919">
        <v>300000</v>
      </c>
      <c r="DO12" s="919">
        <v>300000</v>
      </c>
      <c r="DP12" s="919">
        <v>400000</v>
      </c>
      <c r="DQ12" s="919">
        <f>25000*24</f>
        <v>600000</v>
      </c>
      <c r="DR12" s="919">
        <f>25000*24</f>
        <v>600000</v>
      </c>
      <c r="DS12" s="919">
        <f t="shared" ref="DS12:DX12" si="30">30000*26</f>
        <v>780000</v>
      </c>
      <c r="DT12" s="919">
        <f t="shared" si="30"/>
        <v>780000</v>
      </c>
      <c r="DU12" s="919">
        <f t="shared" si="30"/>
        <v>780000</v>
      </c>
      <c r="DV12" s="919">
        <f t="shared" si="30"/>
        <v>780000</v>
      </c>
      <c r="DW12" s="919">
        <f t="shared" si="30"/>
        <v>780000</v>
      </c>
      <c r="DX12" s="919">
        <f t="shared" si="30"/>
        <v>780000</v>
      </c>
      <c r="DY12" s="920">
        <f t="shared" si="24"/>
        <v>7380000</v>
      </c>
      <c r="DZ12" s="922">
        <f t="shared" si="25"/>
        <v>318217.01519999997</v>
      </c>
      <c r="EA12" s="922">
        <f t="shared" si="25"/>
        <v>190930.20911999998</v>
      </c>
      <c r="EB12" s="922">
        <f t="shared" si="25"/>
        <v>190930.20911999998</v>
      </c>
      <c r="EC12" s="922">
        <f t="shared" si="25"/>
        <v>254573.61215999996</v>
      </c>
      <c r="ED12" s="922">
        <f t="shared" si="25"/>
        <v>381860.41823999997</v>
      </c>
      <c r="EE12" s="922">
        <f t="shared" si="25"/>
        <v>381860.41823999997</v>
      </c>
      <c r="EF12" s="922">
        <f t="shared" si="25"/>
        <v>496418.54371199996</v>
      </c>
      <c r="EG12" s="922">
        <f t="shared" si="25"/>
        <v>496418.54371199996</v>
      </c>
      <c r="EH12" s="922">
        <f t="shared" si="25"/>
        <v>496418.54371199996</v>
      </c>
      <c r="EI12" s="922">
        <f t="shared" si="25"/>
        <v>496418.54371199996</v>
      </c>
      <c r="EJ12" s="922">
        <f t="shared" si="25"/>
        <v>496418.54371199996</v>
      </c>
      <c r="EK12" s="922">
        <f t="shared" si="25"/>
        <v>496418.54371199996</v>
      </c>
      <c r="EL12" s="923">
        <f t="shared" si="8"/>
        <v>4696883.1443520002</v>
      </c>
    </row>
    <row r="13" spans="1:142" s="927" customFormat="1" ht="19.8" thickBot="1">
      <c r="A13" s="928" t="s">
        <v>622</v>
      </c>
      <c r="B13" s="911" t="s">
        <v>629</v>
      </c>
      <c r="C13" s="929"/>
      <c r="D13" s="913"/>
      <c r="E13" s="930"/>
      <c r="F13" s="930">
        <v>0.8</v>
      </c>
      <c r="G13" s="931">
        <v>0.8</v>
      </c>
      <c r="H13" s="913">
        <f t="shared" si="26"/>
        <v>0.78400000000000003</v>
      </c>
      <c r="I13" s="930">
        <f t="shared" si="26"/>
        <v>0.76832</v>
      </c>
      <c r="J13" s="930">
        <f t="shared" si="26"/>
        <v>0.7529536</v>
      </c>
      <c r="K13" s="932">
        <f t="shared" si="26"/>
        <v>0.73789452799999999</v>
      </c>
      <c r="L13" s="933"/>
      <c r="M13" s="934"/>
      <c r="N13" s="935"/>
      <c r="O13" s="935"/>
      <c r="P13" s="935"/>
      <c r="Q13" s="935"/>
      <c r="R13" s="935"/>
      <c r="S13" s="935"/>
      <c r="T13" s="935"/>
      <c r="U13" s="935"/>
      <c r="V13" s="935"/>
      <c r="W13" s="935"/>
      <c r="X13" s="935"/>
      <c r="Y13" s="936">
        <f t="shared" si="12"/>
        <v>0</v>
      </c>
      <c r="Z13" s="921">
        <f>M13*$D13</f>
        <v>0</v>
      </c>
      <c r="AA13" s="922">
        <f>N13*$D13</f>
        <v>0</v>
      </c>
      <c r="AB13" s="922">
        <f t="shared" si="27"/>
        <v>0</v>
      </c>
      <c r="AC13" s="922">
        <f t="shared" si="27"/>
        <v>0</v>
      </c>
      <c r="AD13" s="922">
        <f t="shared" si="27"/>
        <v>0</v>
      </c>
      <c r="AE13" s="922">
        <f t="shared" si="27"/>
        <v>0</v>
      </c>
      <c r="AF13" s="922">
        <f t="shared" si="27"/>
        <v>0</v>
      </c>
      <c r="AG13" s="922">
        <f>T13*$D13</f>
        <v>0</v>
      </c>
      <c r="AH13" s="922">
        <f t="shared" si="16"/>
        <v>0</v>
      </c>
      <c r="AI13" s="922">
        <f t="shared" si="16"/>
        <v>0</v>
      </c>
      <c r="AJ13" s="922">
        <f t="shared" si="16"/>
        <v>0</v>
      </c>
      <c r="AK13" s="922">
        <f>X13*$H13</f>
        <v>0</v>
      </c>
      <c r="AL13" s="923">
        <f t="shared" si="17"/>
        <v>0</v>
      </c>
      <c r="AM13" s="924"/>
      <c r="AN13" s="919"/>
      <c r="AO13" s="919"/>
      <c r="AP13" s="919"/>
      <c r="AQ13" s="919"/>
      <c r="AR13" s="919"/>
      <c r="AS13" s="919"/>
      <c r="AT13" s="919"/>
      <c r="AU13" s="919"/>
      <c r="AV13" s="919"/>
      <c r="AW13" s="919"/>
      <c r="AX13" s="919"/>
      <c r="AY13" s="936">
        <f t="shared" si="18"/>
        <v>0</v>
      </c>
      <c r="AZ13" s="921">
        <f t="shared" si="19"/>
        <v>0</v>
      </c>
      <c r="BA13" s="922">
        <f t="shared" si="19"/>
        <v>0</v>
      </c>
      <c r="BB13" s="922">
        <f t="shared" si="19"/>
        <v>0</v>
      </c>
      <c r="BC13" s="922">
        <f t="shared" si="19"/>
        <v>0</v>
      </c>
      <c r="BD13" s="922">
        <f t="shared" si="19"/>
        <v>0</v>
      </c>
      <c r="BE13" s="922">
        <f t="shared" si="19"/>
        <v>0</v>
      </c>
      <c r="BF13" s="922">
        <f t="shared" si="19"/>
        <v>0</v>
      </c>
      <c r="BG13" s="922">
        <f t="shared" si="19"/>
        <v>0</v>
      </c>
      <c r="BH13" s="922">
        <f t="shared" si="19"/>
        <v>0</v>
      </c>
      <c r="BI13" s="922">
        <f t="shared" si="19"/>
        <v>0</v>
      </c>
      <c r="BJ13" s="922">
        <f t="shared" si="19"/>
        <v>0</v>
      </c>
      <c r="BK13" s="922">
        <f t="shared" si="19"/>
        <v>0</v>
      </c>
      <c r="BL13" s="923">
        <f t="shared" si="2"/>
        <v>0</v>
      </c>
      <c r="BM13" s="924">
        <v>300000</v>
      </c>
      <c r="BN13" s="919">
        <v>300000</v>
      </c>
      <c r="BO13" s="919">
        <v>400000</v>
      </c>
      <c r="BP13" s="919">
        <v>500000</v>
      </c>
      <c r="BQ13" s="919">
        <v>400000</v>
      </c>
      <c r="BR13" s="919">
        <v>500000</v>
      </c>
      <c r="BS13" s="919">
        <v>400000</v>
      </c>
      <c r="BT13" s="919">
        <v>200000</v>
      </c>
      <c r="BU13" s="919">
        <v>100000</v>
      </c>
      <c r="BV13" s="919">
        <v>50000</v>
      </c>
      <c r="BW13" s="919"/>
      <c r="BX13" s="919"/>
      <c r="BY13" s="936">
        <f t="shared" si="20"/>
        <v>3150000</v>
      </c>
      <c r="BZ13" s="925">
        <f t="shared" si="21"/>
        <v>230496</v>
      </c>
      <c r="CA13" s="922">
        <f t="shared" si="21"/>
        <v>230496</v>
      </c>
      <c r="CB13" s="922">
        <f t="shared" si="21"/>
        <v>307328</v>
      </c>
      <c r="CC13" s="922">
        <f t="shared" si="21"/>
        <v>384160</v>
      </c>
      <c r="CD13" s="922">
        <f t="shared" si="21"/>
        <v>307328</v>
      </c>
      <c r="CE13" s="922">
        <f t="shared" si="21"/>
        <v>384160</v>
      </c>
      <c r="CF13" s="922">
        <f t="shared" si="21"/>
        <v>307328</v>
      </c>
      <c r="CG13" s="922">
        <f t="shared" si="21"/>
        <v>153664</v>
      </c>
      <c r="CH13" s="922">
        <f t="shared" si="21"/>
        <v>76832</v>
      </c>
      <c r="CI13" s="922">
        <f t="shared" si="21"/>
        <v>38416</v>
      </c>
      <c r="CJ13" s="922">
        <f t="shared" si="21"/>
        <v>0</v>
      </c>
      <c r="CK13" s="922">
        <f t="shared" si="21"/>
        <v>0</v>
      </c>
      <c r="CL13" s="926">
        <f t="shared" si="4"/>
        <v>2420208</v>
      </c>
      <c r="CM13" s="924">
        <v>300000</v>
      </c>
      <c r="CN13" s="919">
        <v>300000</v>
      </c>
      <c r="CO13" s="919">
        <v>400000</v>
      </c>
      <c r="CP13" s="919">
        <v>500000</v>
      </c>
      <c r="CQ13" s="919">
        <v>400000</v>
      </c>
      <c r="CR13" s="919">
        <v>500000</v>
      </c>
      <c r="CS13" s="919">
        <v>400000</v>
      </c>
      <c r="CT13" s="919">
        <v>200000</v>
      </c>
      <c r="CU13" s="919">
        <v>100000</v>
      </c>
      <c r="CV13" s="919">
        <v>50000</v>
      </c>
      <c r="CW13" s="919"/>
      <c r="CX13" s="919"/>
      <c r="CY13" s="936">
        <f t="shared" si="22"/>
        <v>3150000</v>
      </c>
      <c r="CZ13" s="921">
        <f t="shared" si="23"/>
        <v>225886.07999999999</v>
      </c>
      <c r="DA13" s="922">
        <f t="shared" si="23"/>
        <v>225886.07999999999</v>
      </c>
      <c r="DB13" s="922">
        <f t="shared" si="23"/>
        <v>301181.44</v>
      </c>
      <c r="DC13" s="922">
        <f t="shared" si="23"/>
        <v>376476.8</v>
      </c>
      <c r="DD13" s="922">
        <f t="shared" si="23"/>
        <v>301181.44</v>
      </c>
      <c r="DE13" s="922">
        <f t="shared" si="23"/>
        <v>376476.8</v>
      </c>
      <c r="DF13" s="922">
        <f t="shared" si="23"/>
        <v>301181.44</v>
      </c>
      <c r="DG13" s="922">
        <f t="shared" si="23"/>
        <v>150590.72</v>
      </c>
      <c r="DH13" s="922">
        <f t="shared" si="23"/>
        <v>75295.360000000001</v>
      </c>
      <c r="DI13" s="922">
        <f t="shared" si="23"/>
        <v>37647.68</v>
      </c>
      <c r="DJ13" s="922">
        <f t="shared" si="23"/>
        <v>0</v>
      </c>
      <c r="DK13" s="922">
        <f t="shared" si="23"/>
        <v>0</v>
      </c>
      <c r="DL13" s="923">
        <f t="shared" si="6"/>
        <v>2371803.8400000003</v>
      </c>
      <c r="DM13" s="918">
        <v>300000</v>
      </c>
      <c r="DN13" s="919">
        <v>300000</v>
      </c>
      <c r="DO13" s="919">
        <v>400000</v>
      </c>
      <c r="DP13" s="919">
        <v>500000</v>
      </c>
      <c r="DQ13" s="919">
        <v>400000</v>
      </c>
      <c r="DR13" s="919">
        <v>500000</v>
      </c>
      <c r="DS13" s="919">
        <v>400000</v>
      </c>
      <c r="DT13" s="919">
        <v>200000</v>
      </c>
      <c r="DU13" s="919">
        <v>100000</v>
      </c>
      <c r="DV13" s="919">
        <v>50000</v>
      </c>
      <c r="DW13" s="919"/>
      <c r="DX13" s="919"/>
      <c r="DY13" s="936">
        <f t="shared" si="24"/>
        <v>3150000</v>
      </c>
      <c r="DZ13" s="922">
        <f t="shared" si="25"/>
        <v>221368.3584</v>
      </c>
      <c r="EA13" s="922">
        <f t="shared" si="25"/>
        <v>221368.3584</v>
      </c>
      <c r="EB13" s="922">
        <f t="shared" si="25"/>
        <v>295157.8112</v>
      </c>
      <c r="EC13" s="922">
        <f t="shared" si="25"/>
        <v>368947.26400000002</v>
      </c>
      <c r="ED13" s="922">
        <f t="shared" si="25"/>
        <v>295157.8112</v>
      </c>
      <c r="EE13" s="922">
        <f t="shared" si="25"/>
        <v>368947.26400000002</v>
      </c>
      <c r="EF13" s="922">
        <f t="shared" si="25"/>
        <v>295157.8112</v>
      </c>
      <c r="EG13" s="922">
        <f t="shared" si="25"/>
        <v>147578.9056</v>
      </c>
      <c r="EH13" s="922">
        <f t="shared" si="25"/>
        <v>73789.452799999999</v>
      </c>
      <c r="EI13" s="922">
        <f t="shared" si="25"/>
        <v>36894.7264</v>
      </c>
      <c r="EJ13" s="922">
        <f t="shared" si="25"/>
        <v>0</v>
      </c>
      <c r="EK13" s="922">
        <f t="shared" si="25"/>
        <v>0</v>
      </c>
      <c r="EL13" s="923">
        <f t="shared" si="8"/>
        <v>2324367.7631999999</v>
      </c>
    </row>
    <row r="14" spans="1:142" ht="20.399999999999999" thickTop="1" thickBot="1">
      <c r="A14" s="7261" t="s">
        <v>47</v>
      </c>
      <c r="B14" s="7262"/>
      <c r="C14" s="7263"/>
      <c r="D14" s="889"/>
      <c r="E14" s="889"/>
      <c r="F14" s="889"/>
      <c r="G14" s="889"/>
      <c r="H14" s="889"/>
      <c r="I14" s="889"/>
      <c r="J14" s="889"/>
      <c r="K14" s="890"/>
      <c r="L14" s="891"/>
      <c r="M14" s="892">
        <f t="shared" ref="M14:BX14" si="31">SUM(M6:M13)</f>
        <v>1071049</v>
      </c>
      <c r="N14" s="535">
        <f t="shared" si="31"/>
        <v>988800</v>
      </c>
      <c r="O14" s="535">
        <f t="shared" si="31"/>
        <v>1312100</v>
      </c>
      <c r="P14" s="535">
        <f t="shared" si="31"/>
        <v>916700</v>
      </c>
      <c r="Q14" s="535">
        <f t="shared" si="31"/>
        <v>753500</v>
      </c>
      <c r="R14" s="535">
        <f t="shared" si="31"/>
        <v>767650</v>
      </c>
      <c r="S14" s="535">
        <f t="shared" si="31"/>
        <v>800000</v>
      </c>
      <c r="T14" s="535">
        <f t="shared" si="31"/>
        <v>800000</v>
      </c>
      <c r="U14" s="535">
        <f t="shared" si="31"/>
        <v>800000</v>
      </c>
      <c r="V14" s="535">
        <f t="shared" si="31"/>
        <v>600000</v>
      </c>
      <c r="W14" s="535">
        <f t="shared" si="31"/>
        <v>400000</v>
      </c>
      <c r="X14" s="535">
        <f t="shared" si="31"/>
        <v>300000</v>
      </c>
      <c r="Y14" s="536">
        <f t="shared" si="31"/>
        <v>9509799</v>
      </c>
      <c r="Z14" s="541">
        <f t="shared" si="31"/>
        <v>839090.18400000001</v>
      </c>
      <c r="AA14" s="541">
        <f t="shared" si="31"/>
        <v>786798.91133333324</v>
      </c>
      <c r="AB14" s="541">
        <f t="shared" si="31"/>
        <v>1015142.1551020409</v>
      </c>
      <c r="AC14" s="541">
        <f t="shared" si="31"/>
        <v>698317.78775510215</v>
      </c>
      <c r="AD14" s="541">
        <f t="shared" si="31"/>
        <v>557515.19999999995</v>
      </c>
      <c r="AE14" s="541">
        <f>SUM(AE6:AE13)</f>
        <v>534157.69999999995</v>
      </c>
      <c r="AF14" s="541">
        <f t="shared" si="31"/>
        <v>574400</v>
      </c>
      <c r="AG14" s="541">
        <f t="shared" si="31"/>
        <v>574400</v>
      </c>
      <c r="AH14" s="541">
        <f t="shared" si="31"/>
        <v>562912</v>
      </c>
      <c r="AI14" s="541">
        <f t="shared" si="31"/>
        <v>422183.99999999994</v>
      </c>
      <c r="AJ14" s="541">
        <f t="shared" si="31"/>
        <v>281456</v>
      </c>
      <c r="AK14" s="541">
        <f t="shared" si="31"/>
        <v>211091.99999999997</v>
      </c>
      <c r="AL14" s="538">
        <f t="shared" si="31"/>
        <v>7057465.938190476</v>
      </c>
      <c r="AM14" s="535">
        <f t="shared" si="31"/>
        <v>100000</v>
      </c>
      <c r="AN14" s="535">
        <f t="shared" si="31"/>
        <v>50000</v>
      </c>
      <c r="AO14" s="535">
        <f t="shared" si="31"/>
        <v>0</v>
      </c>
      <c r="AP14" s="535">
        <f t="shared" si="31"/>
        <v>0</v>
      </c>
      <c r="AQ14" s="535">
        <f t="shared" si="31"/>
        <v>0</v>
      </c>
      <c r="AR14" s="535">
        <f t="shared" si="31"/>
        <v>0</v>
      </c>
      <c r="AS14" s="535">
        <f t="shared" si="31"/>
        <v>0</v>
      </c>
      <c r="AT14" s="535">
        <f t="shared" si="31"/>
        <v>0</v>
      </c>
      <c r="AU14" s="535">
        <f t="shared" si="31"/>
        <v>0</v>
      </c>
      <c r="AV14" s="535">
        <f t="shared" si="31"/>
        <v>0</v>
      </c>
      <c r="AW14" s="535">
        <f t="shared" si="31"/>
        <v>0</v>
      </c>
      <c r="AX14" s="535">
        <f t="shared" si="31"/>
        <v>0</v>
      </c>
      <c r="AY14" s="536">
        <f t="shared" si="31"/>
        <v>150000</v>
      </c>
      <c r="AZ14" s="541">
        <f t="shared" si="31"/>
        <v>70364</v>
      </c>
      <c r="BA14" s="541">
        <f t="shared" si="31"/>
        <v>35182</v>
      </c>
      <c r="BB14" s="541">
        <f t="shared" si="31"/>
        <v>0</v>
      </c>
      <c r="BC14" s="541">
        <f t="shared" si="31"/>
        <v>0</v>
      </c>
      <c r="BD14" s="541">
        <f t="shared" si="31"/>
        <v>0</v>
      </c>
      <c r="BE14" s="541">
        <f t="shared" si="31"/>
        <v>0</v>
      </c>
      <c r="BF14" s="541">
        <f t="shared" si="31"/>
        <v>0</v>
      </c>
      <c r="BG14" s="541">
        <f t="shared" si="31"/>
        <v>0</v>
      </c>
      <c r="BH14" s="541">
        <f t="shared" si="31"/>
        <v>0</v>
      </c>
      <c r="BI14" s="541">
        <f t="shared" si="31"/>
        <v>0</v>
      </c>
      <c r="BJ14" s="541">
        <f t="shared" si="31"/>
        <v>0</v>
      </c>
      <c r="BK14" s="541">
        <f t="shared" si="31"/>
        <v>0</v>
      </c>
      <c r="BL14" s="538">
        <f t="shared" si="31"/>
        <v>105546</v>
      </c>
      <c r="BM14" s="535">
        <f t="shared" si="31"/>
        <v>800000</v>
      </c>
      <c r="BN14" s="535">
        <f t="shared" si="31"/>
        <v>600000</v>
      </c>
      <c r="BO14" s="535">
        <f t="shared" si="31"/>
        <v>700000</v>
      </c>
      <c r="BP14" s="535">
        <f t="shared" si="31"/>
        <v>900000</v>
      </c>
      <c r="BQ14" s="535">
        <f t="shared" si="31"/>
        <v>1000000</v>
      </c>
      <c r="BR14" s="535">
        <f t="shared" si="31"/>
        <v>1100000</v>
      </c>
      <c r="BS14" s="535">
        <f t="shared" si="31"/>
        <v>1180000</v>
      </c>
      <c r="BT14" s="535">
        <f t="shared" si="31"/>
        <v>980000</v>
      </c>
      <c r="BU14" s="535">
        <f t="shared" si="31"/>
        <v>880000</v>
      </c>
      <c r="BV14" s="535">
        <f t="shared" si="31"/>
        <v>830000</v>
      </c>
      <c r="BW14" s="535">
        <f t="shared" si="31"/>
        <v>780000</v>
      </c>
      <c r="BX14" s="535">
        <f t="shared" si="31"/>
        <v>780000</v>
      </c>
      <c r="BY14" s="536">
        <f t="shared" ref="BY14:EJ14" si="32">SUM(BY6:BY13)</f>
        <v>10530000</v>
      </c>
      <c r="BZ14" s="937">
        <f t="shared" si="32"/>
        <v>561834</v>
      </c>
      <c r="CA14" s="541">
        <f t="shared" si="32"/>
        <v>429298.8</v>
      </c>
      <c r="CB14" s="541">
        <f t="shared" si="32"/>
        <v>506130.8</v>
      </c>
      <c r="CC14" s="541">
        <f t="shared" si="32"/>
        <v>649230.39999999991</v>
      </c>
      <c r="CD14" s="541">
        <f t="shared" si="32"/>
        <v>704933.6</v>
      </c>
      <c r="CE14" s="541">
        <f t="shared" si="32"/>
        <v>781765.6</v>
      </c>
      <c r="CF14" s="541">
        <f t="shared" si="32"/>
        <v>824215.28</v>
      </c>
      <c r="CG14" s="541">
        <f t="shared" si="32"/>
        <v>670551.28</v>
      </c>
      <c r="CH14" s="541">
        <f t="shared" si="32"/>
        <v>593719.28</v>
      </c>
      <c r="CI14" s="541">
        <f t="shared" si="32"/>
        <v>555303.28</v>
      </c>
      <c r="CJ14" s="541">
        <f t="shared" si="32"/>
        <v>516887.27999999997</v>
      </c>
      <c r="CK14" s="541">
        <f t="shared" si="32"/>
        <v>516887.27999999997</v>
      </c>
      <c r="CL14" s="894">
        <f t="shared" si="32"/>
        <v>7310756.879999999</v>
      </c>
      <c r="CM14" s="535">
        <f t="shared" si="32"/>
        <v>800000</v>
      </c>
      <c r="CN14" s="535">
        <f t="shared" si="32"/>
        <v>600000</v>
      </c>
      <c r="CO14" s="535">
        <f t="shared" si="32"/>
        <v>700000</v>
      </c>
      <c r="CP14" s="535">
        <f t="shared" si="32"/>
        <v>900000</v>
      </c>
      <c r="CQ14" s="535">
        <f t="shared" si="32"/>
        <v>1000000</v>
      </c>
      <c r="CR14" s="535">
        <f t="shared" si="32"/>
        <v>1100000</v>
      </c>
      <c r="CS14" s="535">
        <f t="shared" si="32"/>
        <v>1180000</v>
      </c>
      <c r="CT14" s="535">
        <f t="shared" si="32"/>
        <v>980000</v>
      </c>
      <c r="CU14" s="535">
        <f t="shared" si="32"/>
        <v>880000</v>
      </c>
      <c r="CV14" s="535">
        <f t="shared" si="32"/>
        <v>830000</v>
      </c>
      <c r="CW14" s="535">
        <f t="shared" si="32"/>
        <v>780000</v>
      </c>
      <c r="CX14" s="535">
        <f t="shared" si="32"/>
        <v>780000</v>
      </c>
      <c r="CY14" s="536">
        <f t="shared" si="32"/>
        <v>10530000</v>
      </c>
      <c r="CZ14" s="541">
        <f t="shared" si="32"/>
        <v>550597.31999999995</v>
      </c>
      <c r="DA14" s="541">
        <f t="shared" si="32"/>
        <v>420712.82399999996</v>
      </c>
      <c r="DB14" s="541">
        <f t="shared" si="32"/>
        <v>496008.18400000001</v>
      </c>
      <c r="DC14" s="541">
        <f t="shared" si="32"/>
        <v>636245.7919999999</v>
      </c>
      <c r="DD14" s="541">
        <f t="shared" si="32"/>
        <v>690834.92799999996</v>
      </c>
      <c r="DE14" s="541">
        <f t="shared" si="32"/>
        <v>766130.28799999994</v>
      </c>
      <c r="DF14" s="541">
        <f t="shared" si="32"/>
        <v>807730.97439999995</v>
      </c>
      <c r="DG14" s="541">
        <f t="shared" si="32"/>
        <v>657140.25439999998</v>
      </c>
      <c r="DH14" s="541">
        <f t="shared" si="32"/>
        <v>581844.89439999999</v>
      </c>
      <c r="DI14" s="541">
        <f t="shared" si="32"/>
        <v>544197.21439999994</v>
      </c>
      <c r="DJ14" s="541">
        <f t="shared" si="32"/>
        <v>506549.53439999995</v>
      </c>
      <c r="DK14" s="541">
        <f t="shared" si="32"/>
        <v>506549.53439999995</v>
      </c>
      <c r="DL14" s="538">
        <f t="shared" si="32"/>
        <v>7164541.7423999999</v>
      </c>
      <c r="DM14" s="892">
        <f t="shared" si="32"/>
        <v>800000</v>
      </c>
      <c r="DN14" s="535">
        <f t="shared" si="32"/>
        <v>600000</v>
      </c>
      <c r="DO14" s="535">
        <f t="shared" si="32"/>
        <v>700000</v>
      </c>
      <c r="DP14" s="535">
        <f t="shared" si="32"/>
        <v>900000</v>
      </c>
      <c r="DQ14" s="535">
        <f t="shared" si="32"/>
        <v>1000000</v>
      </c>
      <c r="DR14" s="535">
        <f t="shared" si="32"/>
        <v>1100000</v>
      </c>
      <c r="DS14" s="535">
        <f t="shared" si="32"/>
        <v>1180000</v>
      </c>
      <c r="DT14" s="535">
        <f t="shared" si="32"/>
        <v>980000</v>
      </c>
      <c r="DU14" s="535">
        <f t="shared" si="32"/>
        <v>880000</v>
      </c>
      <c r="DV14" s="535">
        <f t="shared" si="32"/>
        <v>830000</v>
      </c>
      <c r="DW14" s="535">
        <f t="shared" si="32"/>
        <v>780000</v>
      </c>
      <c r="DX14" s="535">
        <f t="shared" si="32"/>
        <v>780000</v>
      </c>
      <c r="DY14" s="536">
        <f t="shared" si="32"/>
        <v>10530000</v>
      </c>
      <c r="DZ14" s="541">
        <f t="shared" si="32"/>
        <v>539585.37359999993</v>
      </c>
      <c r="EA14" s="541">
        <f t="shared" si="32"/>
        <v>412298.56751999998</v>
      </c>
      <c r="EB14" s="541">
        <f t="shared" si="32"/>
        <v>486088.02032000001</v>
      </c>
      <c r="EC14" s="541">
        <f t="shared" si="32"/>
        <v>623520.87615999999</v>
      </c>
      <c r="ED14" s="541">
        <f t="shared" si="32"/>
        <v>677018.22943999991</v>
      </c>
      <c r="EE14" s="541">
        <f t="shared" si="32"/>
        <v>750807.68223999999</v>
      </c>
      <c r="EF14" s="541">
        <f t="shared" si="32"/>
        <v>791576.35491200001</v>
      </c>
      <c r="EG14" s="541">
        <f t="shared" si="32"/>
        <v>643997.44931199995</v>
      </c>
      <c r="EH14" s="541">
        <f t="shared" si="32"/>
        <v>570207.99651199998</v>
      </c>
      <c r="EI14" s="541">
        <f t="shared" si="32"/>
        <v>533313.27011199994</v>
      </c>
      <c r="EJ14" s="541">
        <f t="shared" si="32"/>
        <v>496418.54371199996</v>
      </c>
      <c r="EK14" s="541">
        <f>SUM(EK6:EK13)</f>
        <v>496418.54371199996</v>
      </c>
      <c r="EL14" s="538">
        <f>SUM(EL6:EL13)</f>
        <v>7021250.9075520001</v>
      </c>
    </row>
    <row r="15" spans="1:142" ht="19.8" thickTop="1">
      <c r="A15" s="895" t="s">
        <v>630</v>
      </c>
      <c r="B15" s="896" t="s">
        <v>631</v>
      </c>
      <c r="C15" s="938" t="s">
        <v>632</v>
      </c>
      <c r="D15" s="542">
        <v>1.3049999999999999</v>
      </c>
      <c r="E15" s="542">
        <v>1.3049999999999999</v>
      </c>
      <c r="F15" s="542">
        <v>1.3049999999999999</v>
      </c>
      <c r="G15" s="562">
        <v>1.34</v>
      </c>
      <c r="H15" s="540">
        <v>1.34</v>
      </c>
      <c r="I15" s="542">
        <v>1.34</v>
      </c>
      <c r="J15" s="542">
        <v>1.34</v>
      </c>
      <c r="K15" s="939">
        <v>1.34</v>
      </c>
      <c r="L15" s="875"/>
      <c r="M15" s="940">
        <v>80500</v>
      </c>
      <c r="N15" s="566">
        <v>66800</v>
      </c>
      <c r="O15" s="262">
        <v>89800</v>
      </c>
      <c r="P15" s="262">
        <v>78900</v>
      </c>
      <c r="Q15" s="262">
        <v>44204</v>
      </c>
      <c r="R15" s="262">
        <v>20900</v>
      </c>
      <c r="S15" s="262">
        <v>115000</v>
      </c>
      <c r="T15" s="262">
        <v>80000</v>
      </c>
      <c r="U15" s="262">
        <v>70000</v>
      </c>
      <c r="V15" s="262">
        <v>80000</v>
      </c>
      <c r="W15" s="262">
        <v>80000</v>
      </c>
      <c r="X15" s="262">
        <v>60000</v>
      </c>
      <c r="Y15" s="941">
        <f t="shared" ref="Y15:Y23" si="33">SUM(M15:X15)</f>
        <v>866104</v>
      </c>
      <c r="Z15" s="877">
        <v>107870</v>
      </c>
      <c r="AA15" s="248">
        <v>89512</v>
      </c>
      <c r="AB15" s="248">
        <v>120332</v>
      </c>
      <c r="AC15" s="248">
        <v>104263.9346938774</v>
      </c>
      <c r="AD15" s="248">
        <v>58349.280000000006</v>
      </c>
      <c r="AE15" s="248">
        <v>27588</v>
      </c>
      <c r="AF15" s="248">
        <f>S15*$E15</f>
        <v>150075</v>
      </c>
      <c r="AG15" s="248">
        <f>T15*$E15</f>
        <v>104400</v>
      </c>
      <c r="AH15" s="248">
        <f t="shared" ref="AH15:AK23" si="34">U15*$E15</f>
        <v>91350</v>
      </c>
      <c r="AI15" s="248">
        <f t="shared" si="34"/>
        <v>104400</v>
      </c>
      <c r="AJ15" s="248">
        <f t="shared" si="34"/>
        <v>104400</v>
      </c>
      <c r="AK15" s="248">
        <f t="shared" si="34"/>
        <v>78300</v>
      </c>
      <c r="AL15" s="901">
        <f t="shared" ref="AL15:AL23" si="35">SUM(Z15:AK15)</f>
        <v>1140840.2146938774</v>
      </c>
      <c r="AM15" s="942">
        <v>80500</v>
      </c>
      <c r="AN15" s="566">
        <v>66800</v>
      </c>
      <c r="AO15" s="262">
        <v>50000</v>
      </c>
      <c r="AP15" s="262">
        <v>40000</v>
      </c>
      <c r="AQ15" s="262"/>
      <c r="AR15" s="262"/>
      <c r="AS15" s="262"/>
      <c r="AT15" s="262"/>
      <c r="AU15" s="262"/>
      <c r="AV15" s="262"/>
      <c r="AW15" s="262"/>
      <c r="AX15" s="262"/>
      <c r="AY15" s="900">
        <f t="shared" si="18"/>
        <v>237300</v>
      </c>
      <c r="AZ15" s="877">
        <f t="shared" ref="AZ15:BK20" si="36">AM15*$H15</f>
        <v>107870</v>
      </c>
      <c r="BA15" s="248">
        <f t="shared" si="36"/>
        <v>89512</v>
      </c>
      <c r="BB15" s="248">
        <f t="shared" si="36"/>
        <v>67000</v>
      </c>
      <c r="BC15" s="248">
        <f t="shared" si="36"/>
        <v>53600</v>
      </c>
      <c r="BD15" s="248">
        <f t="shared" si="36"/>
        <v>0</v>
      </c>
      <c r="BE15" s="248">
        <f t="shared" si="36"/>
        <v>0</v>
      </c>
      <c r="BF15" s="248">
        <f t="shared" si="36"/>
        <v>0</v>
      </c>
      <c r="BG15" s="248">
        <f t="shared" si="36"/>
        <v>0</v>
      </c>
      <c r="BH15" s="248">
        <f t="shared" si="36"/>
        <v>0</v>
      </c>
      <c r="BI15" s="248">
        <f t="shared" si="36"/>
        <v>0</v>
      </c>
      <c r="BJ15" s="248">
        <f t="shared" si="36"/>
        <v>0</v>
      </c>
      <c r="BK15" s="248">
        <f t="shared" si="36"/>
        <v>0</v>
      </c>
      <c r="BL15" s="901">
        <f t="shared" si="2"/>
        <v>317982</v>
      </c>
      <c r="BM15" s="942"/>
      <c r="BN15" s="566"/>
      <c r="BO15" s="262"/>
      <c r="BP15" s="262"/>
      <c r="BQ15" s="262"/>
      <c r="BR15" s="262"/>
      <c r="BS15" s="262"/>
      <c r="BT15" s="262"/>
      <c r="BU15" s="262"/>
      <c r="BV15" s="262"/>
      <c r="BW15" s="262"/>
      <c r="BX15" s="262"/>
      <c r="BY15" s="900">
        <f t="shared" si="20"/>
        <v>0</v>
      </c>
      <c r="BZ15" s="882">
        <f t="shared" ref="BZ15:CK20" si="37">BM15*$I15</f>
        <v>0</v>
      </c>
      <c r="CA15" s="248">
        <f t="shared" si="37"/>
        <v>0</v>
      </c>
      <c r="CB15" s="248">
        <f t="shared" si="37"/>
        <v>0</v>
      </c>
      <c r="CC15" s="248">
        <f t="shared" si="37"/>
        <v>0</v>
      </c>
      <c r="CD15" s="248">
        <f t="shared" si="37"/>
        <v>0</v>
      </c>
      <c r="CE15" s="248">
        <f t="shared" si="37"/>
        <v>0</v>
      </c>
      <c r="CF15" s="248">
        <f t="shared" si="37"/>
        <v>0</v>
      </c>
      <c r="CG15" s="248">
        <f t="shared" si="37"/>
        <v>0</v>
      </c>
      <c r="CH15" s="248">
        <f t="shared" si="37"/>
        <v>0</v>
      </c>
      <c r="CI15" s="248">
        <f t="shared" si="37"/>
        <v>0</v>
      </c>
      <c r="CJ15" s="248">
        <f t="shared" si="37"/>
        <v>0</v>
      </c>
      <c r="CK15" s="248">
        <f t="shared" si="37"/>
        <v>0</v>
      </c>
      <c r="CL15" s="903">
        <f t="shared" si="4"/>
        <v>0</v>
      </c>
      <c r="CM15" s="942"/>
      <c r="CN15" s="566"/>
      <c r="CO15" s="262"/>
      <c r="CP15" s="262"/>
      <c r="CQ15" s="262"/>
      <c r="CR15" s="262"/>
      <c r="CS15" s="262"/>
      <c r="CT15" s="262"/>
      <c r="CU15" s="262"/>
      <c r="CV15" s="262"/>
      <c r="CW15" s="262"/>
      <c r="CX15" s="262"/>
      <c r="CY15" s="900">
        <f t="shared" si="22"/>
        <v>0</v>
      </c>
      <c r="CZ15" s="877">
        <f t="shared" ref="CZ15:DK20" si="38">CM15*$J15</f>
        <v>0</v>
      </c>
      <c r="DA15" s="248">
        <f t="shared" si="38"/>
        <v>0</v>
      </c>
      <c r="DB15" s="248">
        <f t="shared" si="38"/>
        <v>0</v>
      </c>
      <c r="DC15" s="248">
        <f t="shared" si="38"/>
        <v>0</v>
      </c>
      <c r="DD15" s="248">
        <f t="shared" si="38"/>
        <v>0</v>
      </c>
      <c r="DE15" s="248">
        <f t="shared" si="38"/>
        <v>0</v>
      </c>
      <c r="DF15" s="248">
        <f t="shared" si="38"/>
        <v>0</v>
      </c>
      <c r="DG15" s="248">
        <f t="shared" si="38"/>
        <v>0</v>
      </c>
      <c r="DH15" s="248">
        <f t="shared" si="38"/>
        <v>0</v>
      </c>
      <c r="DI15" s="248">
        <f t="shared" si="38"/>
        <v>0</v>
      </c>
      <c r="DJ15" s="248">
        <f t="shared" si="38"/>
        <v>0</v>
      </c>
      <c r="DK15" s="248">
        <f t="shared" si="38"/>
        <v>0</v>
      </c>
      <c r="DL15" s="901">
        <f t="shared" si="6"/>
        <v>0</v>
      </c>
      <c r="DM15" s="940"/>
      <c r="DN15" s="566"/>
      <c r="DO15" s="262"/>
      <c r="DP15" s="262"/>
      <c r="DQ15" s="262"/>
      <c r="DR15" s="262"/>
      <c r="DS15" s="262"/>
      <c r="DT15" s="262"/>
      <c r="DU15" s="262"/>
      <c r="DV15" s="262"/>
      <c r="DW15" s="262"/>
      <c r="DX15" s="262"/>
      <c r="DY15" s="900">
        <f t="shared" si="24"/>
        <v>0</v>
      </c>
      <c r="DZ15" s="248">
        <f t="shared" ref="DZ15:EK20" si="39">DM15*$K15</f>
        <v>0</v>
      </c>
      <c r="EA15" s="248">
        <f t="shared" si="39"/>
        <v>0</v>
      </c>
      <c r="EB15" s="248">
        <f t="shared" si="39"/>
        <v>0</v>
      </c>
      <c r="EC15" s="248">
        <f t="shared" si="39"/>
        <v>0</v>
      </c>
      <c r="ED15" s="248">
        <f t="shared" si="39"/>
        <v>0</v>
      </c>
      <c r="EE15" s="248">
        <f t="shared" si="39"/>
        <v>0</v>
      </c>
      <c r="EF15" s="248">
        <f t="shared" si="39"/>
        <v>0</v>
      </c>
      <c r="EG15" s="248">
        <f t="shared" si="39"/>
        <v>0</v>
      </c>
      <c r="EH15" s="248">
        <f t="shared" si="39"/>
        <v>0</v>
      </c>
      <c r="EI15" s="248">
        <f t="shared" si="39"/>
        <v>0</v>
      </c>
      <c r="EJ15" s="248">
        <f t="shared" si="39"/>
        <v>0</v>
      </c>
      <c r="EK15" s="248">
        <f t="shared" si="39"/>
        <v>0</v>
      </c>
      <c r="EL15" s="901">
        <f t="shared" si="8"/>
        <v>0</v>
      </c>
    </row>
    <row r="16" spans="1:142">
      <c r="A16" s="895" t="s">
        <v>630</v>
      </c>
      <c r="B16" s="896" t="s">
        <v>633</v>
      </c>
      <c r="C16" s="908" t="s">
        <v>634</v>
      </c>
      <c r="D16" s="943">
        <v>0.8</v>
      </c>
      <c r="E16" s="943">
        <v>0.8</v>
      </c>
      <c r="F16" s="943">
        <v>0.8</v>
      </c>
      <c r="G16" s="944">
        <v>0.79</v>
      </c>
      <c r="H16" s="944">
        <v>0.79</v>
      </c>
      <c r="I16" s="944">
        <v>0.79</v>
      </c>
      <c r="J16" s="944">
        <v>0.79</v>
      </c>
      <c r="K16" s="945">
        <f t="shared" ref="K16:K21" si="40">J16*0.98</f>
        <v>0.7742</v>
      </c>
      <c r="L16" s="946"/>
      <c r="M16" s="940">
        <v>157900</v>
      </c>
      <c r="N16" s="566">
        <v>93500</v>
      </c>
      <c r="O16" s="566">
        <v>129000</v>
      </c>
      <c r="P16" s="566">
        <v>94640</v>
      </c>
      <c r="Q16" s="566">
        <v>75282</v>
      </c>
      <c r="R16" s="566">
        <v>71000</v>
      </c>
      <c r="S16" s="566"/>
      <c r="T16" s="566">
        <v>10000</v>
      </c>
      <c r="U16" s="566">
        <v>20000</v>
      </c>
      <c r="V16" s="566">
        <v>20000</v>
      </c>
      <c r="W16" s="566">
        <v>20000</v>
      </c>
      <c r="X16" s="566">
        <v>20000</v>
      </c>
      <c r="Y16" s="900">
        <f t="shared" si="33"/>
        <v>711322</v>
      </c>
      <c r="Z16" s="877">
        <v>126320</v>
      </c>
      <c r="AA16" s="248">
        <v>74800</v>
      </c>
      <c r="AB16" s="248">
        <v>103200</v>
      </c>
      <c r="AC16" s="248">
        <v>75712</v>
      </c>
      <c r="AD16" s="248">
        <v>61454.693877551021</v>
      </c>
      <c r="AE16" s="248">
        <v>56800</v>
      </c>
      <c r="AF16" s="248">
        <f t="shared" ref="AF16:AG23" si="41">S16*$E16</f>
        <v>0</v>
      </c>
      <c r="AG16" s="248">
        <f t="shared" si="41"/>
        <v>8000</v>
      </c>
      <c r="AH16" s="248">
        <f t="shared" si="34"/>
        <v>16000</v>
      </c>
      <c r="AI16" s="248">
        <f t="shared" si="34"/>
        <v>16000</v>
      </c>
      <c r="AJ16" s="248">
        <f t="shared" si="34"/>
        <v>16000</v>
      </c>
      <c r="AK16" s="248">
        <f t="shared" si="34"/>
        <v>16000</v>
      </c>
      <c r="AL16" s="901">
        <f t="shared" si="35"/>
        <v>570286.69387755101</v>
      </c>
      <c r="AM16" s="942">
        <v>157900</v>
      </c>
      <c r="AN16" s="566">
        <v>93500</v>
      </c>
      <c r="AO16" s="566">
        <v>150000</v>
      </c>
      <c r="AP16" s="566">
        <v>120000</v>
      </c>
      <c r="AQ16" s="566">
        <v>100000</v>
      </c>
      <c r="AR16" s="566">
        <v>110000</v>
      </c>
      <c r="AS16" s="566">
        <v>100000</v>
      </c>
      <c r="AT16" s="566">
        <v>100000</v>
      </c>
      <c r="AU16" s="566">
        <v>100000</v>
      </c>
      <c r="AV16" s="566">
        <v>100000</v>
      </c>
      <c r="AW16" s="566">
        <v>100000</v>
      </c>
      <c r="AX16" s="566">
        <v>100000</v>
      </c>
      <c r="AY16" s="900">
        <f t="shared" si="18"/>
        <v>1331400</v>
      </c>
      <c r="AZ16" s="877">
        <f t="shared" si="36"/>
        <v>124741</v>
      </c>
      <c r="BA16" s="248">
        <f t="shared" si="36"/>
        <v>73865</v>
      </c>
      <c r="BB16" s="248">
        <f t="shared" si="36"/>
        <v>118500</v>
      </c>
      <c r="BC16" s="248">
        <f t="shared" si="36"/>
        <v>94800</v>
      </c>
      <c r="BD16" s="248">
        <f t="shared" si="36"/>
        <v>79000</v>
      </c>
      <c r="BE16" s="248">
        <f t="shared" si="36"/>
        <v>86900</v>
      </c>
      <c r="BF16" s="248">
        <f t="shared" si="36"/>
        <v>79000</v>
      </c>
      <c r="BG16" s="248">
        <f t="shared" si="36"/>
        <v>79000</v>
      </c>
      <c r="BH16" s="248">
        <f t="shared" si="36"/>
        <v>79000</v>
      </c>
      <c r="BI16" s="248">
        <f t="shared" si="36"/>
        <v>79000</v>
      </c>
      <c r="BJ16" s="248">
        <f t="shared" si="36"/>
        <v>79000</v>
      </c>
      <c r="BK16" s="248">
        <f t="shared" si="36"/>
        <v>79000</v>
      </c>
      <c r="BL16" s="901">
        <f t="shared" si="2"/>
        <v>1051806</v>
      </c>
      <c r="BM16" s="942"/>
      <c r="BN16" s="566"/>
      <c r="BO16" s="566"/>
      <c r="BP16" s="566"/>
      <c r="BQ16" s="566"/>
      <c r="BR16" s="566"/>
      <c r="BS16" s="566"/>
      <c r="BT16" s="566"/>
      <c r="BU16" s="566"/>
      <c r="BV16" s="566"/>
      <c r="BW16" s="566"/>
      <c r="BX16" s="566"/>
      <c r="BY16" s="900">
        <f t="shared" si="20"/>
        <v>0</v>
      </c>
      <c r="BZ16" s="882">
        <f t="shared" si="37"/>
        <v>0</v>
      </c>
      <c r="CA16" s="248">
        <f t="shared" si="37"/>
        <v>0</v>
      </c>
      <c r="CB16" s="248">
        <f t="shared" si="37"/>
        <v>0</v>
      </c>
      <c r="CC16" s="248">
        <f t="shared" si="37"/>
        <v>0</v>
      </c>
      <c r="CD16" s="248">
        <f t="shared" si="37"/>
        <v>0</v>
      </c>
      <c r="CE16" s="248">
        <f t="shared" si="37"/>
        <v>0</v>
      </c>
      <c r="CF16" s="248">
        <f t="shared" si="37"/>
        <v>0</v>
      </c>
      <c r="CG16" s="248">
        <f t="shared" si="37"/>
        <v>0</v>
      </c>
      <c r="CH16" s="248">
        <f t="shared" si="37"/>
        <v>0</v>
      </c>
      <c r="CI16" s="248">
        <f t="shared" si="37"/>
        <v>0</v>
      </c>
      <c r="CJ16" s="248">
        <f t="shared" si="37"/>
        <v>0</v>
      </c>
      <c r="CK16" s="248">
        <f t="shared" si="37"/>
        <v>0</v>
      </c>
      <c r="CL16" s="903">
        <f t="shared" si="4"/>
        <v>0</v>
      </c>
      <c r="CM16" s="942"/>
      <c r="CN16" s="566"/>
      <c r="CO16" s="566"/>
      <c r="CP16" s="566"/>
      <c r="CQ16" s="566"/>
      <c r="CR16" s="566"/>
      <c r="CS16" s="566"/>
      <c r="CT16" s="566"/>
      <c r="CU16" s="566"/>
      <c r="CV16" s="566"/>
      <c r="CW16" s="566"/>
      <c r="CX16" s="566"/>
      <c r="CY16" s="900">
        <f t="shared" si="22"/>
        <v>0</v>
      </c>
      <c r="CZ16" s="877">
        <f t="shared" si="38"/>
        <v>0</v>
      </c>
      <c r="DA16" s="248">
        <f t="shared" si="38"/>
        <v>0</v>
      </c>
      <c r="DB16" s="248">
        <f t="shared" si="38"/>
        <v>0</v>
      </c>
      <c r="DC16" s="248">
        <f t="shared" si="38"/>
        <v>0</v>
      </c>
      <c r="DD16" s="248">
        <f t="shared" si="38"/>
        <v>0</v>
      </c>
      <c r="DE16" s="248">
        <f t="shared" si="38"/>
        <v>0</v>
      </c>
      <c r="DF16" s="248">
        <f t="shared" si="38"/>
        <v>0</v>
      </c>
      <c r="DG16" s="248">
        <f t="shared" si="38"/>
        <v>0</v>
      </c>
      <c r="DH16" s="248">
        <f t="shared" si="38"/>
        <v>0</v>
      </c>
      <c r="DI16" s="248">
        <f t="shared" si="38"/>
        <v>0</v>
      </c>
      <c r="DJ16" s="248">
        <f t="shared" si="38"/>
        <v>0</v>
      </c>
      <c r="DK16" s="248">
        <f t="shared" si="38"/>
        <v>0</v>
      </c>
      <c r="DL16" s="901">
        <f t="shared" si="6"/>
        <v>0</v>
      </c>
      <c r="DM16" s="940"/>
      <c r="DN16" s="566"/>
      <c r="DO16" s="566"/>
      <c r="DP16" s="566"/>
      <c r="DQ16" s="566"/>
      <c r="DR16" s="566"/>
      <c r="DS16" s="566"/>
      <c r="DT16" s="566"/>
      <c r="DU16" s="566"/>
      <c r="DV16" s="566"/>
      <c r="DW16" s="566"/>
      <c r="DX16" s="566"/>
      <c r="DY16" s="900">
        <f t="shared" si="24"/>
        <v>0</v>
      </c>
      <c r="DZ16" s="248">
        <f t="shared" si="39"/>
        <v>0</v>
      </c>
      <c r="EA16" s="248">
        <f t="shared" si="39"/>
        <v>0</v>
      </c>
      <c r="EB16" s="248">
        <f t="shared" si="39"/>
        <v>0</v>
      </c>
      <c r="EC16" s="248">
        <f t="shared" si="39"/>
        <v>0</v>
      </c>
      <c r="ED16" s="248">
        <f t="shared" si="39"/>
        <v>0</v>
      </c>
      <c r="EE16" s="248">
        <f t="shared" si="39"/>
        <v>0</v>
      </c>
      <c r="EF16" s="248">
        <f t="shared" si="39"/>
        <v>0</v>
      </c>
      <c r="EG16" s="248">
        <f t="shared" si="39"/>
        <v>0</v>
      </c>
      <c r="EH16" s="248">
        <f t="shared" si="39"/>
        <v>0</v>
      </c>
      <c r="EI16" s="248">
        <f t="shared" si="39"/>
        <v>0</v>
      </c>
      <c r="EJ16" s="248">
        <f t="shared" si="39"/>
        <v>0</v>
      </c>
      <c r="EK16" s="248">
        <f t="shared" si="39"/>
        <v>0</v>
      </c>
      <c r="EL16" s="901">
        <f t="shared" si="8"/>
        <v>0</v>
      </c>
    </row>
    <row r="17" spans="1:142">
      <c r="A17" s="895" t="s">
        <v>630</v>
      </c>
      <c r="B17" s="947" t="s">
        <v>635</v>
      </c>
      <c r="C17" s="908" t="s">
        <v>636</v>
      </c>
      <c r="D17" s="943">
        <v>0.92</v>
      </c>
      <c r="E17" s="943">
        <v>0.92</v>
      </c>
      <c r="F17" s="943">
        <v>0.92</v>
      </c>
      <c r="G17" s="944">
        <v>0.94293877551020411</v>
      </c>
      <c r="H17" s="944">
        <v>0.94293877551020411</v>
      </c>
      <c r="I17" s="944">
        <v>0.94293877551020411</v>
      </c>
      <c r="J17" s="944">
        <v>0.94293877551020411</v>
      </c>
      <c r="K17" s="945">
        <f t="shared" si="40"/>
        <v>0.92408000000000001</v>
      </c>
      <c r="L17" s="946"/>
      <c r="M17" s="940">
        <v>7000</v>
      </c>
      <c r="N17" s="566"/>
      <c r="O17" s="566"/>
      <c r="P17" s="566"/>
      <c r="Q17" s="566">
        <v>37400</v>
      </c>
      <c r="R17" s="566">
        <v>4400</v>
      </c>
      <c r="S17" s="566">
        <v>1700</v>
      </c>
      <c r="T17" s="566"/>
      <c r="U17" s="566"/>
      <c r="V17" s="566"/>
      <c r="W17" s="566"/>
      <c r="X17" s="566"/>
      <c r="Y17" s="900">
        <f t="shared" si="33"/>
        <v>50500</v>
      </c>
      <c r="Z17" s="877">
        <v>6300</v>
      </c>
      <c r="AA17" s="248">
        <v>0</v>
      </c>
      <c r="AB17" s="248">
        <v>0</v>
      </c>
      <c r="AC17" s="248">
        <v>0</v>
      </c>
      <c r="AD17" s="248">
        <v>35265.910204081636</v>
      </c>
      <c r="AE17" s="248">
        <v>4048</v>
      </c>
      <c r="AF17" s="248">
        <f t="shared" si="41"/>
        <v>1564</v>
      </c>
      <c r="AG17" s="248">
        <f t="shared" si="41"/>
        <v>0</v>
      </c>
      <c r="AH17" s="248">
        <f t="shared" si="34"/>
        <v>0</v>
      </c>
      <c r="AI17" s="248">
        <f t="shared" si="34"/>
        <v>0</v>
      </c>
      <c r="AJ17" s="248">
        <f t="shared" si="34"/>
        <v>0</v>
      </c>
      <c r="AK17" s="248">
        <f t="shared" si="34"/>
        <v>0</v>
      </c>
      <c r="AL17" s="901">
        <f t="shared" si="35"/>
        <v>47177.910204081636</v>
      </c>
      <c r="AM17" s="942">
        <v>7000</v>
      </c>
      <c r="AN17" s="566"/>
      <c r="AO17" s="566"/>
      <c r="AP17" s="566"/>
      <c r="AQ17" s="566"/>
      <c r="AR17" s="566"/>
      <c r="AS17" s="566"/>
      <c r="AT17" s="566"/>
      <c r="AU17" s="566"/>
      <c r="AV17" s="566"/>
      <c r="AW17" s="566"/>
      <c r="AX17" s="566"/>
      <c r="AY17" s="900">
        <f t="shared" si="18"/>
        <v>7000</v>
      </c>
      <c r="AZ17" s="877">
        <f t="shared" si="36"/>
        <v>6600.5714285714284</v>
      </c>
      <c r="BA17" s="248">
        <f t="shared" si="36"/>
        <v>0</v>
      </c>
      <c r="BB17" s="248">
        <f t="shared" si="36"/>
        <v>0</v>
      </c>
      <c r="BC17" s="248">
        <f t="shared" si="36"/>
        <v>0</v>
      </c>
      <c r="BD17" s="248">
        <f t="shared" si="36"/>
        <v>0</v>
      </c>
      <c r="BE17" s="248">
        <f t="shared" si="36"/>
        <v>0</v>
      </c>
      <c r="BF17" s="248">
        <f t="shared" si="36"/>
        <v>0</v>
      </c>
      <c r="BG17" s="248">
        <f t="shared" si="36"/>
        <v>0</v>
      </c>
      <c r="BH17" s="248">
        <f t="shared" si="36"/>
        <v>0</v>
      </c>
      <c r="BI17" s="248">
        <f t="shared" si="36"/>
        <v>0</v>
      </c>
      <c r="BJ17" s="248">
        <f t="shared" si="36"/>
        <v>0</v>
      </c>
      <c r="BK17" s="248">
        <f t="shared" si="36"/>
        <v>0</v>
      </c>
      <c r="BL17" s="901">
        <f t="shared" si="2"/>
        <v>6600.5714285714284</v>
      </c>
      <c r="BM17" s="942"/>
      <c r="BN17" s="566"/>
      <c r="BO17" s="566"/>
      <c r="BP17" s="566"/>
      <c r="BQ17" s="566"/>
      <c r="BR17" s="566"/>
      <c r="BS17" s="566"/>
      <c r="BT17" s="566"/>
      <c r="BU17" s="566"/>
      <c r="BV17" s="566"/>
      <c r="BW17" s="566"/>
      <c r="BX17" s="566"/>
      <c r="BY17" s="900">
        <f t="shared" si="20"/>
        <v>0</v>
      </c>
      <c r="BZ17" s="882">
        <f t="shared" si="37"/>
        <v>0</v>
      </c>
      <c r="CA17" s="248">
        <f t="shared" si="37"/>
        <v>0</v>
      </c>
      <c r="CB17" s="248">
        <f t="shared" si="37"/>
        <v>0</v>
      </c>
      <c r="CC17" s="248">
        <f t="shared" si="37"/>
        <v>0</v>
      </c>
      <c r="CD17" s="248">
        <f t="shared" si="37"/>
        <v>0</v>
      </c>
      <c r="CE17" s="248">
        <f t="shared" si="37"/>
        <v>0</v>
      </c>
      <c r="CF17" s="248">
        <f t="shared" si="37"/>
        <v>0</v>
      </c>
      <c r="CG17" s="248">
        <f t="shared" si="37"/>
        <v>0</v>
      </c>
      <c r="CH17" s="248">
        <f t="shared" si="37"/>
        <v>0</v>
      </c>
      <c r="CI17" s="248">
        <f t="shared" si="37"/>
        <v>0</v>
      </c>
      <c r="CJ17" s="248">
        <f t="shared" si="37"/>
        <v>0</v>
      </c>
      <c r="CK17" s="248">
        <f t="shared" si="37"/>
        <v>0</v>
      </c>
      <c r="CL17" s="903">
        <f t="shared" si="4"/>
        <v>0</v>
      </c>
      <c r="CM17" s="942"/>
      <c r="CN17" s="566"/>
      <c r="CO17" s="566"/>
      <c r="CP17" s="566"/>
      <c r="CQ17" s="566"/>
      <c r="CR17" s="566"/>
      <c r="CS17" s="566"/>
      <c r="CT17" s="566"/>
      <c r="CU17" s="566"/>
      <c r="CV17" s="566"/>
      <c r="CW17" s="566"/>
      <c r="CX17" s="566"/>
      <c r="CY17" s="900">
        <f t="shared" si="22"/>
        <v>0</v>
      </c>
      <c r="CZ17" s="877">
        <f t="shared" si="38"/>
        <v>0</v>
      </c>
      <c r="DA17" s="248">
        <f t="shared" si="38"/>
        <v>0</v>
      </c>
      <c r="DB17" s="248">
        <f t="shared" si="38"/>
        <v>0</v>
      </c>
      <c r="DC17" s="248">
        <f t="shared" si="38"/>
        <v>0</v>
      </c>
      <c r="DD17" s="248">
        <f t="shared" si="38"/>
        <v>0</v>
      </c>
      <c r="DE17" s="248">
        <f t="shared" si="38"/>
        <v>0</v>
      </c>
      <c r="DF17" s="248">
        <f t="shared" si="38"/>
        <v>0</v>
      </c>
      <c r="DG17" s="248">
        <f t="shared" si="38"/>
        <v>0</v>
      </c>
      <c r="DH17" s="248">
        <f t="shared" si="38"/>
        <v>0</v>
      </c>
      <c r="DI17" s="248">
        <f t="shared" si="38"/>
        <v>0</v>
      </c>
      <c r="DJ17" s="248">
        <f t="shared" si="38"/>
        <v>0</v>
      </c>
      <c r="DK17" s="248">
        <f t="shared" si="38"/>
        <v>0</v>
      </c>
      <c r="DL17" s="901">
        <f t="shared" si="6"/>
        <v>0</v>
      </c>
      <c r="DM17" s="940"/>
      <c r="DN17" s="566"/>
      <c r="DO17" s="566"/>
      <c r="DP17" s="566"/>
      <c r="DQ17" s="566"/>
      <c r="DR17" s="566"/>
      <c r="DS17" s="566"/>
      <c r="DT17" s="566"/>
      <c r="DU17" s="566"/>
      <c r="DV17" s="566"/>
      <c r="DW17" s="566"/>
      <c r="DX17" s="566"/>
      <c r="DY17" s="900">
        <f t="shared" si="24"/>
        <v>0</v>
      </c>
      <c r="DZ17" s="248">
        <f t="shared" si="39"/>
        <v>0</v>
      </c>
      <c r="EA17" s="248">
        <f t="shared" si="39"/>
        <v>0</v>
      </c>
      <c r="EB17" s="248">
        <f t="shared" si="39"/>
        <v>0</v>
      </c>
      <c r="EC17" s="248">
        <f t="shared" si="39"/>
        <v>0</v>
      </c>
      <c r="ED17" s="248">
        <f t="shared" si="39"/>
        <v>0</v>
      </c>
      <c r="EE17" s="248">
        <f t="shared" si="39"/>
        <v>0</v>
      </c>
      <c r="EF17" s="248">
        <f t="shared" si="39"/>
        <v>0</v>
      </c>
      <c r="EG17" s="248">
        <f t="shared" si="39"/>
        <v>0</v>
      </c>
      <c r="EH17" s="248">
        <f t="shared" si="39"/>
        <v>0</v>
      </c>
      <c r="EI17" s="248">
        <f t="shared" si="39"/>
        <v>0</v>
      </c>
      <c r="EJ17" s="248">
        <f t="shared" si="39"/>
        <v>0</v>
      </c>
      <c r="EK17" s="248">
        <f t="shared" si="39"/>
        <v>0</v>
      </c>
      <c r="EL17" s="901">
        <f t="shared" si="8"/>
        <v>0</v>
      </c>
    </row>
    <row r="18" spans="1:142" hidden="1">
      <c r="A18" s="895" t="s">
        <v>630</v>
      </c>
      <c r="B18" s="947" t="s">
        <v>637</v>
      </c>
      <c r="C18" s="908" t="s">
        <v>638</v>
      </c>
      <c r="D18" s="943">
        <v>1.1000000000000001</v>
      </c>
      <c r="E18" s="944">
        <v>1.1000000000000001</v>
      </c>
      <c r="F18" s="944">
        <v>1.1000000000000001</v>
      </c>
      <c r="G18" s="944">
        <v>1.1000000000000001</v>
      </c>
      <c r="H18" s="944">
        <v>1.1000000000000001</v>
      </c>
      <c r="I18" s="944">
        <v>1.1000000000000001</v>
      </c>
      <c r="J18" s="944">
        <v>1.1000000000000001</v>
      </c>
      <c r="K18" s="945">
        <f t="shared" si="40"/>
        <v>1.0780000000000001</v>
      </c>
      <c r="L18" s="946"/>
      <c r="M18" s="940">
        <v>17353</v>
      </c>
      <c r="N18" s="566"/>
      <c r="O18" s="566"/>
      <c r="P18" s="566"/>
      <c r="Q18" s="566"/>
      <c r="R18" s="566"/>
      <c r="S18" s="566"/>
      <c r="T18" s="566"/>
      <c r="U18" s="566"/>
      <c r="V18" s="566"/>
      <c r="W18" s="566"/>
      <c r="X18" s="566"/>
      <c r="Y18" s="900">
        <f t="shared" si="33"/>
        <v>17353</v>
      </c>
      <c r="Z18" s="877">
        <v>19088.300000000003</v>
      </c>
      <c r="AA18" s="248">
        <v>0</v>
      </c>
      <c r="AB18" s="248">
        <v>0</v>
      </c>
      <c r="AC18" s="248">
        <v>0</v>
      </c>
      <c r="AD18" s="248">
        <v>0</v>
      </c>
      <c r="AE18" s="248">
        <v>0</v>
      </c>
      <c r="AF18" s="248">
        <f t="shared" si="41"/>
        <v>0</v>
      </c>
      <c r="AG18" s="248">
        <f t="shared" si="41"/>
        <v>0</v>
      </c>
      <c r="AH18" s="248">
        <f t="shared" si="34"/>
        <v>0</v>
      </c>
      <c r="AI18" s="248">
        <f t="shared" si="34"/>
        <v>0</v>
      </c>
      <c r="AJ18" s="248">
        <f t="shared" si="34"/>
        <v>0</v>
      </c>
      <c r="AK18" s="248">
        <f t="shared" si="34"/>
        <v>0</v>
      </c>
      <c r="AL18" s="901">
        <f t="shared" si="35"/>
        <v>19088.300000000003</v>
      </c>
      <c r="AM18" s="942">
        <v>17353</v>
      </c>
      <c r="AN18" s="566"/>
      <c r="AO18" s="566"/>
      <c r="AP18" s="566"/>
      <c r="AQ18" s="566"/>
      <c r="AR18" s="566"/>
      <c r="AS18" s="566"/>
      <c r="AT18" s="566"/>
      <c r="AU18" s="566"/>
      <c r="AV18" s="566"/>
      <c r="AW18" s="566"/>
      <c r="AX18" s="566"/>
      <c r="AY18" s="900">
        <f t="shared" si="18"/>
        <v>17353</v>
      </c>
      <c r="AZ18" s="877">
        <f t="shared" si="36"/>
        <v>19088.300000000003</v>
      </c>
      <c r="BA18" s="248">
        <f t="shared" si="36"/>
        <v>0</v>
      </c>
      <c r="BB18" s="248">
        <f t="shared" si="36"/>
        <v>0</v>
      </c>
      <c r="BC18" s="248">
        <f t="shared" si="36"/>
        <v>0</v>
      </c>
      <c r="BD18" s="248">
        <f t="shared" si="36"/>
        <v>0</v>
      </c>
      <c r="BE18" s="248">
        <f t="shared" si="36"/>
        <v>0</v>
      </c>
      <c r="BF18" s="248">
        <f t="shared" si="36"/>
        <v>0</v>
      </c>
      <c r="BG18" s="248">
        <f t="shared" si="36"/>
        <v>0</v>
      </c>
      <c r="BH18" s="248">
        <f t="shared" si="36"/>
        <v>0</v>
      </c>
      <c r="BI18" s="248">
        <f t="shared" si="36"/>
        <v>0</v>
      </c>
      <c r="BJ18" s="248">
        <f t="shared" si="36"/>
        <v>0</v>
      </c>
      <c r="BK18" s="248">
        <f t="shared" si="36"/>
        <v>0</v>
      </c>
      <c r="BL18" s="901">
        <f t="shared" si="2"/>
        <v>19088.300000000003</v>
      </c>
      <c r="BM18" s="942"/>
      <c r="BN18" s="566"/>
      <c r="BO18" s="566"/>
      <c r="BP18" s="566"/>
      <c r="BQ18" s="566"/>
      <c r="BR18" s="566"/>
      <c r="BS18" s="566"/>
      <c r="BT18" s="566"/>
      <c r="BU18" s="566"/>
      <c r="BV18" s="566"/>
      <c r="BW18" s="566"/>
      <c r="BX18" s="566"/>
      <c r="BY18" s="900">
        <f t="shared" si="20"/>
        <v>0</v>
      </c>
      <c r="BZ18" s="882">
        <f t="shared" si="37"/>
        <v>0</v>
      </c>
      <c r="CA18" s="248">
        <f t="shared" si="37"/>
        <v>0</v>
      </c>
      <c r="CB18" s="248">
        <f t="shared" si="37"/>
        <v>0</v>
      </c>
      <c r="CC18" s="248">
        <f t="shared" si="37"/>
        <v>0</v>
      </c>
      <c r="CD18" s="248">
        <f t="shared" si="37"/>
        <v>0</v>
      </c>
      <c r="CE18" s="248">
        <f t="shared" si="37"/>
        <v>0</v>
      </c>
      <c r="CF18" s="248">
        <f t="shared" si="37"/>
        <v>0</v>
      </c>
      <c r="CG18" s="248">
        <f t="shared" si="37"/>
        <v>0</v>
      </c>
      <c r="CH18" s="248">
        <f t="shared" si="37"/>
        <v>0</v>
      </c>
      <c r="CI18" s="248">
        <f t="shared" si="37"/>
        <v>0</v>
      </c>
      <c r="CJ18" s="248">
        <f t="shared" si="37"/>
        <v>0</v>
      </c>
      <c r="CK18" s="248">
        <f t="shared" si="37"/>
        <v>0</v>
      </c>
      <c r="CL18" s="903">
        <f t="shared" si="4"/>
        <v>0</v>
      </c>
      <c r="CM18" s="942"/>
      <c r="CN18" s="566"/>
      <c r="CO18" s="566"/>
      <c r="CP18" s="566"/>
      <c r="CQ18" s="566"/>
      <c r="CR18" s="566"/>
      <c r="CS18" s="566"/>
      <c r="CT18" s="566"/>
      <c r="CU18" s="566"/>
      <c r="CV18" s="566"/>
      <c r="CW18" s="566"/>
      <c r="CX18" s="566"/>
      <c r="CY18" s="900">
        <f t="shared" si="22"/>
        <v>0</v>
      </c>
      <c r="CZ18" s="877">
        <f t="shared" si="38"/>
        <v>0</v>
      </c>
      <c r="DA18" s="248">
        <f t="shared" si="38"/>
        <v>0</v>
      </c>
      <c r="DB18" s="248">
        <f t="shared" si="38"/>
        <v>0</v>
      </c>
      <c r="DC18" s="248">
        <f t="shared" si="38"/>
        <v>0</v>
      </c>
      <c r="DD18" s="248">
        <f t="shared" si="38"/>
        <v>0</v>
      </c>
      <c r="DE18" s="248">
        <f t="shared" si="38"/>
        <v>0</v>
      </c>
      <c r="DF18" s="248">
        <f t="shared" si="38"/>
        <v>0</v>
      </c>
      <c r="DG18" s="248">
        <f t="shared" si="38"/>
        <v>0</v>
      </c>
      <c r="DH18" s="248">
        <f t="shared" si="38"/>
        <v>0</v>
      </c>
      <c r="DI18" s="248">
        <f t="shared" si="38"/>
        <v>0</v>
      </c>
      <c r="DJ18" s="248">
        <f t="shared" si="38"/>
        <v>0</v>
      </c>
      <c r="DK18" s="248">
        <f t="shared" si="38"/>
        <v>0</v>
      </c>
      <c r="DL18" s="901">
        <f t="shared" si="6"/>
        <v>0</v>
      </c>
      <c r="DM18" s="940"/>
      <c r="DN18" s="566"/>
      <c r="DO18" s="566"/>
      <c r="DP18" s="566"/>
      <c r="DQ18" s="566"/>
      <c r="DR18" s="566"/>
      <c r="DS18" s="566"/>
      <c r="DT18" s="566"/>
      <c r="DU18" s="566"/>
      <c r="DV18" s="566"/>
      <c r="DW18" s="566"/>
      <c r="DX18" s="566"/>
      <c r="DY18" s="900">
        <f t="shared" si="24"/>
        <v>0</v>
      </c>
      <c r="DZ18" s="248">
        <f t="shared" si="39"/>
        <v>0</v>
      </c>
      <c r="EA18" s="248">
        <f t="shared" si="39"/>
        <v>0</v>
      </c>
      <c r="EB18" s="248">
        <f t="shared" si="39"/>
        <v>0</v>
      </c>
      <c r="EC18" s="248">
        <f t="shared" si="39"/>
        <v>0</v>
      </c>
      <c r="ED18" s="248">
        <f t="shared" si="39"/>
        <v>0</v>
      </c>
      <c r="EE18" s="248">
        <f t="shared" si="39"/>
        <v>0</v>
      </c>
      <c r="EF18" s="248">
        <f t="shared" si="39"/>
        <v>0</v>
      </c>
      <c r="EG18" s="248">
        <f t="shared" si="39"/>
        <v>0</v>
      </c>
      <c r="EH18" s="248">
        <f t="shared" si="39"/>
        <v>0</v>
      </c>
      <c r="EI18" s="248">
        <f t="shared" si="39"/>
        <v>0</v>
      </c>
      <c r="EJ18" s="248">
        <f t="shared" si="39"/>
        <v>0</v>
      </c>
      <c r="EK18" s="248">
        <f t="shared" si="39"/>
        <v>0</v>
      </c>
      <c r="EL18" s="901">
        <f t="shared" si="8"/>
        <v>0</v>
      </c>
    </row>
    <row r="19" spans="1:142">
      <c r="A19" s="895" t="s">
        <v>630</v>
      </c>
      <c r="B19" s="947" t="s">
        <v>639</v>
      </c>
      <c r="C19" s="948" t="s">
        <v>640</v>
      </c>
      <c r="D19" s="949">
        <v>1.19</v>
      </c>
      <c r="E19" s="949">
        <v>1.19</v>
      </c>
      <c r="F19" s="949">
        <v>1.19</v>
      </c>
      <c r="G19" s="949">
        <v>1.2030000000000001</v>
      </c>
      <c r="H19" s="949">
        <v>1.2030000000000001</v>
      </c>
      <c r="I19" s="949">
        <v>1.2030000000000001</v>
      </c>
      <c r="J19" s="949">
        <v>1.2030000000000001</v>
      </c>
      <c r="K19" s="945">
        <f t="shared" si="40"/>
        <v>1.1789400000000001</v>
      </c>
      <c r="L19" s="946"/>
      <c r="M19" s="940">
        <v>59600</v>
      </c>
      <c r="N19" s="566">
        <v>34200</v>
      </c>
      <c r="O19" s="566">
        <v>56805</v>
      </c>
      <c r="P19" s="566">
        <v>37207</v>
      </c>
      <c r="Q19" s="566">
        <v>28440</v>
      </c>
      <c r="R19" s="566">
        <v>72400</v>
      </c>
      <c r="S19" s="566">
        <v>100000</v>
      </c>
      <c r="T19" s="566">
        <v>75000</v>
      </c>
      <c r="U19" s="566">
        <v>75000</v>
      </c>
      <c r="V19" s="566">
        <v>80000</v>
      </c>
      <c r="W19" s="566">
        <v>80000</v>
      </c>
      <c r="X19" s="566">
        <v>80000</v>
      </c>
      <c r="Y19" s="900">
        <f t="shared" si="33"/>
        <v>778652</v>
      </c>
      <c r="Z19" s="877">
        <v>73308</v>
      </c>
      <c r="AA19" s="248">
        <v>42066</v>
      </c>
      <c r="AB19" s="248">
        <v>69870.149999999994</v>
      </c>
      <c r="AC19" s="248">
        <v>44980.985020408167</v>
      </c>
      <c r="AD19" s="248">
        <v>35172.734693877552</v>
      </c>
      <c r="AE19" s="248">
        <v>87604</v>
      </c>
      <c r="AF19" s="248">
        <f>S19*$E19</f>
        <v>119000</v>
      </c>
      <c r="AG19" s="248">
        <f t="shared" si="41"/>
        <v>89250</v>
      </c>
      <c r="AH19" s="248">
        <f t="shared" si="34"/>
        <v>89250</v>
      </c>
      <c r="AI19" s="248">
        <f t="shared" si="34"/>
        <v>95200</v>
      </c>
      <c r="AJ19" s="248">
        <f t="shared" si="34"/>
        <v>95200</v>
      </c>
      <c r="AK19" s="248">
        <f t="shared" si="34"/>
        <v>95200</v>
      </c>
      <c r="AL19" s="901">
        <f t="shared" si="35"/>
        <v>936101.86971428571</v>
      </c>
      <c r="AM19" s="942">
        <v>59600</v>
      </c>
      <c r="AN19" s="566">
        <v>34200</v>
      </c>
      <c r="AO19" s="566">
        <v>40000</v>
      </c>
      <c r="AP19" s="566">
        <v>70000</v>
      </c>
      <c r="AQ19" s="566">
        <v>100000</v>
      </c>
      <c r="AR19" s="566">
        <v>120000</v>
      </c>
      <c r="AS19" s="566">
        <v>120000</v>
      </c>
      <c r="AT19" s="566">
        <v>120000</v>
      </c>
      <c r="AU19" s="566">
        <v>100000</v>
      </c>
      <c r="AV19" s="566">
        <v>100000</v>
      </c>
      <c r="AW19" s="566">
        <v>100000</v>
      </c>
      <c r="AX19" s="566">
        <v>100000</v>
      </c>
      <c r="AY19" s="900">
        <f t="shared" si="18"/>
        <v>1063800</v>
      </c>
      <c r="AZ19" s="877">
        <f t="shared" si="36"/>
        <v>71698.8</v>
      </c>
      <c r="BA19" s="248">
        <f t="shared" si="36"/>
        <v>41142.600000000006</v>
      </c>
      <c r="BB19" s="248">
        <f t="shared" si="36"/>
        <v>48120</v>
      </c>
      <c r="BC19" s="248">
        <f t="shared" si="36"/>
        <v>84210</v>
      </c>
      <c r="BD19" s="248">
        <f t="shared" si="36"/>
        <v>120300</v>
      </c>
      <c r="BE19" s="248">
        <f t="shared" si="36"/>
        <v>144360</v>
      </c>
      <c r="BF19" s="248">
        <f t="shared" si="36"/>
        <v>144360</v>
      </c>
      <c r="BG19" s="248">
        <f t="shared" si="36"/>
        <v>144360</v>
      </c>
      <c r="BH19" s="248">
        <f t="shared" si="36"/>
        <v>120300</v>
      </c>
      <c r="BI19" s="248">
        <f t="shared" si="36"/>
        <v>120300</v>
      </c>
      <c r="BJ19" s="248">
        <f t="shared" si="36"/>
        <v>120300</v>
      </c>
      <c r="BK19" s="248">
        <f t="shared" si="36"/>
        <v>120300</v>
      </c>
      <c r="BL19" s="901">
        <f t="shared" si="2"/>
        <v>1279751.3999999999</v>
      </c>
      <c r="BM19" s="942">
        <v>150000</v>
      </c>
      <c r="BN19" s="566">
        <v>100000</v>
      </c>
      <c r="BO19" s="566">
        <v>150000</v>
      </c>
      <c r="BP19" s="566">
        <v>150000</v>
      </c>
      <c r="BQ19" s="566">
        <v>150000</v>
      </c>
      <c r="BR19" s="566">
        <v>150000</v>
      </c>
      <c r="BS19" s="566">
        <v>150000</v>
      </c>
      <c r="BT19" s="566">
        <v>150000</v>
      </c>
      <c r="BU19" s="566">
        <v>150000</v>
      </c>
      <c r="BV19" s="566">
        <v>150000</v>
      </c>
      <c r="BW19" s="566">
        <v>150000</v>
      </c>
      <c r="BX19" s="566">
        <v>150000</v>
      </c>
      <c r="BY19" s="900">
        <f t="shared" si="20"/>
        <v>1750000</v>
      </c>
      <c r="BZ19" s="882">
        <f t="shared" si="37"/>
        <v>180450</v>
      </c>
      <c r="CA19" s="248">
        <f t="shared" si="37"/>
        <v>120300</v>
      </c>
      <c r="CB19" s="248">
        <f t="shared" si="37"/>
        <v>180450</v>
      </c>
      <c r="CC19" s="248">
        <f t="shared" si="37"/>
        <v>180450</v>
      </c>
      <c r="CD19" s="248">
        <f t="shared" si="37"/>
        <v>180450</v>
      </c>
      <c r="CE19" s="248">
        <f t="shared" si="37"/>
        <v>180450</v>
      </c>
      <c r="CF19" s="248">
        <f t="shared" si="37"/>
        <v>180450</v>
      </c>
      <c r="CG19" s="248">
        <f t="shared" si="37"/>
        <v>180450</v>
      </c>
      <c r="CH19" s="248">
        <f t="shared" si="37"/>
        <v>180450</v>
      </c>
      <c r="CI19" s="248">
        <f t="shared" si="37"/>
        <v>180450</v>
      </c>
      <c r="CJ19" s="248">
        <f t="shared" si="37"/>
        <v>180450</v>
      </c>
      <c r="CK19" s="248">
        <f t="shared" si="37"/>
        <v>180450</v>
      </c>
      <c r="CL19" s="903">
        <f t="shared" si="4"/>
        <v>2105250</v>
      </c>
      <c r="CM19" s="942">
        <v>150000</v>
      </c>
      <c r="CN19" s="566">
        <v>100000</v>
      </c>
      <c r="CO19" s="566">
        <v>150000</v>
      </c>
      <c r="CP19" s="566">
        <v>150000</v>
      </c>
      <c r="CQ19" s="566">
        <v>150000</v>
      </c>
      <c r="CR19" s="566">
        <v>150000</v>
      </c>
      <c r="CS19" s="566">
        <v>150000</v>
      </c>
      <c r="CT19" s="566">
        <v>150000</v>
      </c>
      <c r="CU19" s="566">
        <v>150000</v>
      </c>
      <c r="CV19" s="566">
        <v>150000</v>
      </c>
      <c r="CW19" s="566">
        <v>150000</v>
      </c>
      <c r="CX19" s="566">
        <v>150000</v>
      </c>
      <c r="CY19" s="900">
        <f t="shared" si="22"/>
        <v>1750000</v>
      </c>
      <c r="CZ19" s="877">
        <f t="shared" si="38"/>
        <v>180450</v>
      </c>
      <c r="DA19" s="248">
        <f t="shared" si="38"/>
        <v>120300</v>
      </c>
      <c r="DB19" s="248">
        <f t="shared" si="38"/>
        <v>180450</v>
      </c>
      <c r="DC19" s="248">
        <f t="shared" si="38"/>
        <v>180450</v>
      </c>
      <c r="DD19" s="248">
        <f t="shared" si="38"/>
        <v>180450</v>
      </c>
      <c r="DE19" s="248">
        <f t="shared" si="38"/>
        <v>180450</v>
      </c>
      <c r="DF19" s="248">
        <f t="shared" si="38"/>
        <v>180450</v>
      </c>
      <c r="DG19" s="248">
        <f t="shared" si="38"/>
        <v>180450</v>
      </c>
      <c r="DH19" s="248">
        <f t="shared" si="38"/>
        <v>180450</v>
      </c>
      <c r="DI19" s="248">
        <f t="shared" si="38"/>
        <v>180450</v>
      </c>
      <c r="DJ19" s="248">
        <f t="shared" si="38"/>
        <v>180450</v>
      </c>
      <c r="DK19" s="248">
        <f t="shared" si="38"/>
        <v>180450</v>
      </c>
      <c r="DL19" s="901">
        <f t="shared" si="6"/>
        <v>2105250</v>
      </c>
      <c r="DM19" s="940">
        <v>150000</v>
      </c>
      <c r="DN19" s="566">
        <v>100000</v>
      </c>
      <c r="DO19" s="566">
        <v>150000</v>
      </c>
      <c r="DP19" s="566">
        <v>150000</v>
      </c>
      <c r="DQ19" s="566">
        <v>150000</v>
      </c>
      <c r="DR19" s="566">
        <v>150000</v>
      </c>
      <c r="DS19" s="566">
        <v>150000</v>
      </c>
      <c r="DT19" s="566">
        <v>150000</v>
      </c>
      <c r="DU19" s="566">
        <v>150000</v>
      </c>
      <c r="DV19" s="566">
        <v>150000</v>
      </c>
      <c r="DW19" s="566">
        <v>150000</v>
      </c>
      <c r="DX19" s="566">
        <v>150000</v>
      </c>
      <c r="DY19" s="900">
        <f t="shared" si="24"/>
        <v>1750000</v>
      </c>
      <c r="DZ19" s="248">
        <f t="shared" si="39"/>
        <v>176841.00000000003</v>
      </c>
      <c r="EA19" s="248">
        <f t="shared" si="39"/>
        <v>117894.00000000001</v>
      </c>
      <c r="EB19" s="248">
        <f t="shared" si="39"/>
        <v>176841.00000000003</v>
      </c>
      <c r="EC19" s="248">
        <f t="shared" si="39"/>
        <v>176841.00000000003</v>
      </c>
      <c r="ED19" s="248">
        <f t="shared" si="39"/>
        <v>176841.00000000003</v>
      </c>
      <c r="EE19" s="248">
        <f t="shared" si="39"/>
        <v>176841.00000000003</v>
      </c>
      <c r="EF19" s="248">
        <f t="shared" si="39"/>
        <v>176841.00000000003</v>
      </c>
      <c r="EG19" s="248">
        <f t="shared" si="39"/>
        <v>176841.00000000003</v>
      </c>
      <c r="EH19" s="248">
        <f t="shared" si="39"/>
        <v>176841.00000000003</v>
      </c>
      <c r="EI19" s="248">
        <f t="shared" si="39"/>
        <v>176841.00000000003</v>
      </c>
      <c r="EJ19" s="248">
        <f t="shared" si="39"/>
        <v>176841.00000000003</v>
      </c>
      <c r="EK19" s="248">
        <f t="shared" si="39"/>
        <v>176841.00000000003</v>
      </c>
      <c r="EL19" s="901">
        <f t="shared" si="8"/>
        <v>2063145.0000000002</v>
      </c>
    </row>
    <row r="20" spans="1:142">
      <c r="A20" s="895" t="s">
        <v>630</v>
      </c>
      <c r="B20" s="947" t="s">
        <v>641</v>
      </c>
      <c r="C20" s="948" t="s">
        <v>642</v>
      </c>
      <c r="D20" s="905">
        <v>1.18</v>
      </c>
      <c r="E20" s="905">
        <v>1.18</v>
      </c>
      <c r="F20" s="905">
        <v>1.18</v>
      </c>
      <c r="G20" s="905">
        <v>1.2040816326530612</v>
      </c>
      <c r="H20" s="905">
        <v>1.2040816326530612</v>
      </c>
      <c r="I20" s="905">
        <v>1.2040816326530612</v>
      </c>
      <c r="J20" s="905">
        <v>1.2040816326530599</v>
      </c>
      <c r="K20" s="906">
        <f t="shared" si="40"/>
        <v>1.1799999999999986</v>
      </c>
      <c r="L20" s="946"/>
      <c r="M20" s="940">
        <v>156400</v>
      </c>
      <c r="N20" s="566">
        <v>129500</v>
      </c>
      <c r="O20" s="566">
        <v>181500</v>
      </c>
      <c r="P20" s="566">
        <v>127500</v>
      </c>
      <c r="Q20" s="566">
        <v>111260</v>
      </c>
      <c r="R20" s="566">
        <v>13000</v>
      </c>
      <c r="S20" s="566">
        <v>80000</v>
      </c>
      <c r="T20" s="566">
        <v>80000</v>
      </c>
      <c r="U20" s="566">
        <v>75000</v>
      </c>
      <c r="V20" s="566">
        <v>80000</v>
      </c>
      <c r="W20" s="566">
        <v>80000</v>
      </c>
      <c r="X20" s="566">
        <v>80000</v>
      </c>
      <c r="Y20" s="900">
        <f t="shared" si="33"/>
        <v>1194160</v>
      </c>
      <c r="Z20" s="877">
        <v>189244</v>
      </c>
      <c r="AA20" s="248">
        <v>156695</v>
      </c>
      <c r="AB20" s="248">
        <v>223604</v>
      </c>
      <c r="AC20" s="248">
        <v>151136.53061224491</v>
      </c>
      <c r="AD20" s="248">
        <v>133966.12244897959</v>
      </c>
      <c r="AE20" s="248">
        <v>15340</v>
      </c>
      <c r="AF20" s="248">
        <f t="shared" si="41"/>
        <v>94400</v>
      </c>
      <c r="AG20" s="248">
        <f t="shared" si="41"/>
        <v>94400</v>
      </c>
      <c r="AH20" s="248">
        <f t="shared" si="34"/>
        <v>88500</v>
      </c>
      <c r="AI20" s="248">
        <f t="shared" si="34"/>
        <v>94400</v>
      </c>
      <c r="AJ20" s="248">
        <f t="shared" si="34"/>
        <v>94400</v>
      </c>
      <c r="AK20" s="248">
        <f t="shared" si="34"/>
        <v>94400</v>
      </c>
      <c r="AL20" s="901">
        <f t="shared" si="35"/>
        <v>1430485.6530612246</v>
      </c>
      <c r="AM20" s="942">
        <v>156400</v>
      </c>
      <c r="AN20" s="566">
        <v>129500</v>
      </c>
      <c r="AO20" s="566">
        <v>200000</v>
      </c>
      <c r="AP20" s="566">
        <v>180000</v>
      </c>
      <c r="AQ20" s="566">
        <v>180000</v>
      </c>
      <c r="AR20" s="566">
        <v>220000</v>
      </c>
      <c r="AS20" s="566">
        <v>220000</v>
      </c>
      <c r="AT20" s="566">
        <v>220000</v>
      </c>
      <c r="AU20" s="566">
        <v>200000</v>
      </c>
      <c r="AV20" s="566">
        <v>200000</v>
      </c>
      <c r="AW20" s="566">
        <v>200000</v>
      </c>
      <c r="AX20" s="566">
        <v>200000</v>
      </c>
      <c r="AY20" s="900">
        <f t="shared" si="18"/>
        <v>2305900</v>
      </c>
      <c r="AZ20" s="877">
        <f t="shared" si="36"/>
        <v>188318.36734693879</v>
      </c>
      <c r="BA20" s="248">
        <f t="shared" si="36"/>
        <v>155928.57142857142</v>
      </c>
      <c r="BB20" s="248">
        <f t="shared" si="36"/>
        <v>240816.32653061225</v>
      </c>
      <c r="BC20" s="248">
        <f t="shared" si="36"/>
        <v>216734.69387755104</v>
      </c>
      <c r="BD20" s="248">
        <f t="shared" si="36"/>
        <v>216734.69387755104</v>
      </c>
      <c r="BE20" s="248">
        <f t="shared" si="36"/>
        <v>264897.95918367349</v>
      </c>
      <c r="BF20" s="248">
        <f t="shared" si="36"/>
        <v>264897.95918367349</v>
      </c>
      <c r="BG20" s="248">
        <f t="shared" si="36"/>
        <v>264897.95918367349</v>
      </c>
      <c r="BH20" s="248">
        <f t="shared" si="36"/>
        <v>240816.32653061225</v>
      </c>
      <c r="BI20" s="248">
        <f t="shared" si="36"/>
        <v>240816.32653061225</v>
      </c>
      <c r="BJ20" s="248">
        <f t="shared" si="36"/>
        <v>240816.32653061225</v>
      </c>
      <c r="BK20" s="248">
        <f t="shared" si="36"/>
        <v>240816.32653061225</v>
      </c>
      <c r="BL20" s="901">
        <f>SUM(AZ20:BK20)</f>
        <v>2776491.8367346935</v>
      </c>
      <c r="BM20" s="942">
        <v>250000</v>
      </c>
      <c r="BN20" s="566">
        <v>129500</v>
      </c>
      <c r="BO20" s="566">
        <v>250000</v>
      </c>
      <c r="BP20" s="566">
        <v>250000</v>
      </c>
      <c r="BQ20" s="566">
        <v>250000</v>
      </c>
      <c r="BR20" s="566">
        <v>250000</v>
      </c>
      <c r="BS20" s="566">
        <v>250000</v>
      </c>
      <c r="BT20" s="566">
        <v>250000</v>
      </c>
      <c r="BU20" s="566">
        <v>250000</v>
      </c>
      <c r="BV20" s="566">
        <v>250000</v>
      </c>
      <c r="BW20" s="566">
        <v>250000</v>
      </c>
      <c r="BX20" s="566">
        <v>250000</v>
      </c>
      <c r="BY20" s="900">
        <f t="shared" si="20"/>
        <v>2879500</v>
      </c>
      <c r="BZ20" s="882">
        <f t="shared" si="37"/>
        <v>301020.40816326533</v>
      </c>
      <c r="CA20" s="248">
        <f t="shared" si="37"/>
        <v>155928.57142857142</v>
      </c>
      <c r="CB20" s="248">
        <f t="shared" si="37"/>
        <v>301020.40816326533</v>
      </c>
      <c r="CC20" s="248">
        <f t="shared" si="37"/>
        <v>301020.40816326533</v>
      </c>
      <c r="CD20" s="248">
        <f t="shared" si="37"/>
        <v>301020.40816326533</v>
      </c>
      <c r="CE20" s="248">
        <f t="shared" si="37"/>
        <v>301020.40816326533</v>
      </c>
      <c r="CF20" s="248">
        <f t="shared" si="37"/>
        <v>301020.40816326533</v>
      </c>
      <c r="CG20" s="248">
        <f t="shared" si="37"/>
        <v>301020.40816326533</v>
      </c>
      <c r="CH20" s="248">
        <f t="shared" si="37"/>
        <v>301020.40816326533</v>
      </c>
      <c r="CI20" s="248">
        <f t="shared" si="37"/>
        <v>301020.40816326533</v>
      </c>
      <c r="CJ20" s="248">
        <f t="shared" si="37"/>
        <v>301020.40816326533</v>
      </c>
      <c r="CK20" s="248">
        <f t="shared" si="37"/>
        <v>301020.40816326533</v>
      </c>
      <c r="CL20" s="903">
        <f t="shared" si="4"/>
        <v>3467153.0612244899</v>
      </c>
      <c r="CM20" s="942">
        <v>250000</v>
      </c>
      <c r="CN20" s="566">
        <v>129500</v>
      </c>
      <c r="CO20" s="566">
        <v>250000</v>
      </c>
      <c r="CP20" s="566">
        <v>250000</v>
      </c>
      <c r="CQ20" s="566">
        <v>250000</v>
      </c>
      <c r="CR20" s="566">
        <v>250000</v>
      </c>
      <c r="CS20" s="566">
        <v>250000</v>
      </c>
      <c r="CT20" s="566">
        <v>250000</v>
      </c>
      <c r="CU20" s="566">
        <v>250000</v>
      </c>
      <c r="CV20" s="566">
        <v>250000</v>
      </c>
      <c r="CW20" s="566">
        <v>250000</v>
      </c>
      <c r="CX20" s="566">
        <v>250000</v>
      </c>
      <c r="CY20" s="900">
        <f t="shared" si="22"/>
        <v>2879500</v>
      </c>
      <c r="CZ20" s="877">
        <f t="shared" si="38"/>
        <v>301020.40816326498</v>
      </c>
      <c r="DA20" s="248">
        <f t="shared" si="38"/>
        <v>155928.57142857125</v>
      </c>
      <c r="DB20" s="248">
        <f t="shared" si="38"/>
        <v>301020.40816326498</v>
      </c>
      <c r="DC20" s="248">
        <f t="shared" si="38"/>
        <v>301020.40816326498</v>
      </c>
      <c r="DD20" s="248">
        <f t="shared" si="38"/>
        <v>301020.40816326498</v>
      </c>
      <c r="DE20" s="248">
        <f t="shared" si="38"/>
        <v>301020.40816326498</v>
      </c>
      <c r="DF20" s="248">
        <f t="shared" si="38"/>
        <v>301020.40816326498</v>
      </c>
      <c r="DG20" s="248">
        <f t="shared" si="38"/>
        <v>301020.40816326498</v>
      </c>
      <c r="DH20" s="248">
        <f t="shared" si="38"/>
        <v>301020.40816326498</v>
      </c>
      <c r="DI20" s="248">
        <f t="shared" si="38"/>
        <v>301020.40816326498</v>
      </c>
      <c r="DJ20" s="248">
        <f t="shared" si="38"/>
        <v>301020.40816326498</v>
      </c>
      <c r="DK20" s="248">
        <f t="shared" si="38"/>
        <v>301020.40816326498</v>
      </c>
      <c r="DL20" s="901">
        <f t="shared" si="6"/>
        <v>3467153.0612244853</v>
      </c>
      <c r="DM20" s="940">
        <v>250000</v>
      </c>
      <c r="DN20" s="566">
        <v>129500</v>
      </c>
      <c r="DO20" s="566">
        <v>250000</v>
      </c>
      <c r="DP20" s="566">
        <v>250000</v>
      </c>
      <c r="DQ20" s="566">
        <v>250000</v>
      </c>
      <c r="DR20" s="566">
        <v>250000</v>
      </c>
      <c r="DS20" s="566">
        <v>250000</v>
      </c>
      <c r="DT20" s="566">
        <v>250000</v>
      </c>
      <c r="DU20" s="566">
        <v>250000</v>
      </c>
      <c r="DV20" s="566">
        <v>250000</v>
      </c>
      <c r="DW20" s="566">
        <v>250000</v>
      </c>
      <c r="DX20" s="566">
        <v>250000</v>
      </c>
      <c r="DY20" s="900">
        <f t="shared" si="24"/>
        <v>2879500</v>
      </c>
      <c r="DZ20" s="248">
        <f t="shared" si="39"/>
        <v>294999.99999999965</v>
      </c>
      <c r="EA20" s="248">
        <f t="shared" si="39"/>
        <v>152809.99999999983</v>
      </c>
      <c r="EB20" s="248">
        <f t="shared" si="39"/>
        <v>294999.99999999965</v>
      </c>
      <c r="EC20" s="248">
        <f t="shared" si="39"/>
        <v>294999.99999999965</v>
      </c>
      <c r="ED20" s="248">
        <f t="shared" si="39"/>
        <v>294999.99999999965</v>
      </c>
      <c r="EE20" s="248">
        <f t="shared" si="39"/>
        <v>294999.99999999965</v>
      </c>
      <c r="EF20" s="248">
        <f t="shared" si="39"/>
        <v>294999.99999999965</v>
      </c>
      <c r="EG20" s="248">
        <f t="shared" si="39"/>
        <v>294999.99999999965</v>
      </c>
      <c r="EH20" s="248">
        <f t="shared" si="39"/>
        <v>294999.99999999965</v>
      </c>
      <c r="EI20" s="248">
        <f t="shared" si="39"/>
        <v>294999.99999999965</v>
      </c>
      <c r="EJ20" s="248">
        <f t="shared" si="39"/>
        <v>294999.99999999965</v>
      </c>
      <c r="EK20" s="248">
        <f t="shared" si="39"/>
        <v>294999.99999999965</v>
      </c>
      <c r="EL20" s="901">
        <f t="shared" si="8"/>
        <v>3397809.9999999953</v>
      </c>
    </row>
    <row r="21" spans="1:142">
      <c r="A21" s="895" t="s">
        <v>630</v>
      </c>
      <c r="B21" s="98" t="s">
        <v>643</v>
      </c>
      <c r="C21" s="948" t="s">
        <v>644</v>
      </c>
      <c r="D21" s="898">
        <v>0.63</v>
      </c>
      <c r="E21" s="898">
        <v>0.63</v>
      </c>
      <c r="F21" s="898">
        <v>0.63</v>
      </c>
      <c r="G21" s="898">
        <v>0.6</v>
      </c>
      <c r="H21" s="898">
        <v>0.6</v>
      </c>
      <c r="I21" s="898">
        <v>0.6</v>
      </c>
      <c r="J21" s="898">
        <v>0.6</v>
      </c>
      <c r="K21" s="906">
        <f t="shared" si="40"/>
        <v>0.58799999999999997</v>
      </c>
      <c r="L21" s="946"/>
      <c r="M21" s="940"/>
      <c r="N21" s="566"/>
      <c r="O21" s="566"/>
      <c r="P21" s="566"/>
      <c r="Q21" s="566">
        <v>29000</v>
      </c>
      <c r="R21" s="566">
        <v>185544</v>
      </c>
      <c r="S21" s="566">
        <v>75000</v>
      </c>
      <c r="T21" s="566">
        <v>80000</v>
      </c>
      <c r="U21" s="566">
        <v>110000</v>
      </c>
      <c r="V21" s="566">
        <v>140000</v>
      </c>
      <c r="W21" s="566">
        <v>150000</v>
      </c>
      <c r="X21" s="566">
        <v>150000</v>
      </c>
      <c r="Y21" s="900">
        <f t="shared" si="33"/>
        <v>919544</v>
      </c>
      <c r="Z21" s="950"/>
      <c r="AA21" s="951"/>
      <c r="AB21" s="248"/>
      <c r="AC21" s="248"/>
      <c r="AD21" s="248">
        <v>11278.857142857101</v>
      </c>
      <c r="AE21" s="248">
        <v>113181.84</v>
      </c>
      <c r="AF21" s="248">
        <f>S21*$E21</f>
        <v>47250</v>
      </c>
      <c r="AG21" s="248">
        <f t="shared" si="41"/>
        <v>50400</v>
      </c>
      <c r="AH21" s="248">
        <f t="shared" si="34"/>
        <v>69300</v>
      </c>
      <c r="AI21" s="248">
        <f t="shared" si="34"/>
        <v>88200</v>
      </c>
      <c r="AJ21" s="248">
        <f t="shared" si="34"/>
        <v>94500</v>
      </c>
      <c r="AK21" s="248">
        <f t="shared" si="34"/>
        <v>94500</v>
      </c>
      <c r="AL21" s="901">
        <f t="shared" si="35"/>
        <v>568610.69714285713</v>
      </c>
      <c r="AM21" s="952"/>
      <c r="AN21" s="953"/>
      <c r="AO21" s="953"/>
      <c r="AP21" s="953"/>
      <c r="AQ21" s="953"/>
      <c r="AR21" s="953"/>
      <c r="AS21" s="953"/>
      <c r="AT21" s="953"/>
      <c r="AU21" s="953"/>
      <c r="AV21" s="953"/>
      <c r="AW21" s="953"/>
      <c r="AX21" s="953"/>
      <c r="AY21" s="900">
        <f t="shared" si="18"/>
        <v>0</v>
      </c>
      <c r="AZ21" s="950"/>
      <c r="BA21" s="951"/>
      <c r="BB21" s="951"/>
      <c r="BC21" s="951"/>
      <c r="BD21" s="951"/>
      <c r="BE21" s="951"/>
      <c r="BF21" s="951"/>
      <c r="BG21" s="951"/>
      <c r="BH21" s="951"/>
      <c r="BI21" s="951"/>
      <c r="BJ21" s="951"/>
      <c r="BK21" s="951"/>
      <c r="BL21" s="901">
        <f>SUM(AZ21:BK21)</f>
        <v>0</v>
      </c>
      <c r="BM21" s="952"/>
      <c r="BN21" s="953"/>
      <c r="BO21" s="953"/>
      <c r="BP21" s="953"/>
      <c r="BQ21" s="953"/>
      <c r="BR21" s="953"/>
      <c r="BS21" s="953"/>
      <c r="BT21" s="953"/>
      <c r="BU21" s="953"/>
      <c r="BV21" s="953"/>
      <c r="BW21" s="953"/>
      <c r="BX21" s="953"/>
      <c r="BY21" s="900">
        <f t="shared" si="20"/>
        <v>0</v>
      </c>
      <c r="BZ21" s="951"/>
      <c r="CA21" s="951"/>
      <c r="CB21" s="951"/>
      <c r="CC21" s="951"/>
      <c r="CD21" s="951"/>
      <c r="CE21" s="951"/>
      <c r="CF21" s="951"/>
      <c r="CG21" s="951"/>
      <c r="CH21" s="951"/>
      <c r="CI21" s="951"/>
      <c r="CJ21" s="951"/>
      <c r="CK21" s="951"/>
      <c r="CL21" s="903">
        <f t="shared" si="4"/>
        <v>0</v>
      </c>
      <c r="CM21" s="952"/>
      <c r="CN21" s="953"/>
      <c r="CO21" s="953"/>
      <c r="CP21" s="953"/>
      <c r="CQ21" s="953"/>
      <c r="CR21" s="953"/>
      <c r="CS21" s="953"/>
      <c r="CT21" s="953"/>
      <c r="CU21" s="953"/>
      <c r="CV21" s="953"/>
      <c r="CW21" s="953"/>
      <c r="CX21" s="953"/>
      <c r="CY21" s="900">
        <f t="shared" si="22"/>
        <v>0</v>
      </c>
      <c r="CZ21" s="950"/>
      <c r="DA21" s="951"/>
      <c r="DB21" s="951"/>
      <c r="DC21" s="951"/>
      <c r="DD21" s="951"/>
      <c r="DE21" s="951"/>
      <c r="DF21" s="951"/>
      <c r="DG21" s="951"/>
      <c r="DH21" s="951"/>
      <c r="DI21" s="951"/>
      <c r="DJ21" s="951"/>
      <c r="DK21" s="951"/>
      <c r="DL21" s="901">
        <f t="shared" si="6"/>
        <v>0</v>
      </c>
      <c r="DM21" s="954"/>
      <c r="DN21" s="953"/>
      <c r="DO21" s="953"/>
      <c r="DP21" s="953"/>
      <c r="DQ21" s="953"/>
      <c r="DR21" s="953"/>
      <c r="DS21" s="953"/>
      <c r="DT21" s="953"/>
      <c r="DU21" s="953"/>
      <c r="DV21" s="953"/>
      <c r="DW21" s="953"/>
      <c r="DX21" s="953"/>
      <c r="DY21" s="900">
        <f t="shared" si="24"/>
        <v>0</v>
      </c>
      <c r="DZ21" s="951"/>
      <c r="EA21" s="951"/>
      <c r="EB21" s="951"/>
      <c r="EC21" s="951"/>
      <c r="ED21" s="951"/>
      <c r="EE21" s="951"/>
      <c r="EF21" s="951"/>
      <c r="EG21" s="951"/>
      <c r="EH21" s="951"/>
      <c r="EI21" s="951"/>
      <c r="EJ21" s="951"/>
      <c r="EK21" s="951"/>
      <c r="EL21" s="901">
        <f t="shared" si="8"/>
        <v>0</v>
      </c>
    </row>
    <row r="22" spans="1:142" ht="19.8" thickBot="1">
      <c r="A22" s="895" t="s">
        <v>630</v>
      </c>
      <c r="B22" s="98" t="s">
        <v>645</v>
      </c>
      <c r="C22" s="948" t="s">
        <v>646</v>
      </c>
      <c r="D22" s="898">
        <v>0.7</v>
      </c>
      <c r="E22" s="898">
        <v>0.7</v>
      </c>
      <c r="F22" s="898">
        <v>0.7</v>
      </c>
      <c r="G22" s="898">
        <v>0.74</v>
      </c>
      <c r="H22" s="898">
        <v>0.74</v>
      </c>
      <c r="I22" s="898">
        <v>0.74</v>
      </c>
      <c r="J22" s="898">
        <v>0.74</v>
      </c>
      <c r="K22" s="874">
        <v>0.69477551020408168</v>
      </c>
      <c r="L22" s="946"/>
      <c r="M22" s="940"/>
      <c r="N22" s="566"/>
      <c r="O22" s="566"/>
      <c r="P22" s="566"/>
      <c r="Q22" s="566">
        <v>3000</v>
      </c>
      <c r="R22" s="566">
        <f>65398+13676</f>
        <v>79074</v>
      </c>
      <c r="S22" s="566">
        <v>42000</v>
      </c>
      <c r="T22" s="566">
        <v>35000</v>
      </c>
      <c r="U22" s="566">
        <v>80000</v>
      </c>
      <c r="V22" s="566">
        <v>160000</v>
      </c>
      <c r="W22" s="566">
        <v>160000</v>
      </c>
      <c r="X22" s="566">
        <v>160000</v>
      </c>
      <c r="Y22" s="900">
        <f t="shared" si="33"/>
        <v>719074</v>
      </c>
      <c r="Z22" s="950"/>
      <c r="AA22" s="951"/>
      <c r="AB22" s="248"/>
      <c r="AC22" s="248"/>
      <c r="AD22" s="248">
        <v>3904.3265306122448</v>
      </c>
      <c r="AE22" s="248">
        <v>53770.320000000007</v>
      </c>
      <c r="AF22" s="248">
        <f t="shared" si="41"/>
        <v>29399.999999999996</v>
      </c>
      <c r="AG22" s="248">
        <f t="shared" si="41"/>
        <v>24500</v>
      </c>
      <c r="AH22" s="248">
        <f t="shared" si="34"/>
        <v>56000</v>
      </c>
      <c r="AI22" s="248">
        <f t="shared" si="34"/>
        <v>112000</v>
      </c>
      <c r="AJ22" s="248">
        <f t="shared" si="34"/>
        <v>112000</v>
      </c>
      <c r="AK22" s="248">
        <f t="shared" si="34"/>
        <v>112000</v>
      </c>
      <c r="AL22" s="901">
        <f t="shared" si="35"/>
        <v>503574.64653061226</v>
      </c>
      <c r="AM22" s="952"/>
      <c r="AN22" s="953"/>
      <c r="AO22" s="953"/>
      <c r="AP22" s="953"/>
      <c r="AQ22" s="953"/>
      <c r="AR22" s="953"/>
      <c r="AS22" s="953"/>
      <c r="AT22" s="953"/>
      <c r="AU22" s="953"/>
      <c r="AV22" s="953"/>
      <c r="AW22" s="953"/>
      <c r="AX22" s="953"/>
      <c r="AY22" s="900">
        <f t="shared" si="18"/>
        <v>0</v>
      </c>
      <c r="AZ22" s="950"/>
      <c r="BA22" s="951"/>
      <c r="BB22" s="951"/>
      <c r="BC22" s="951"/>
      <c r="BD22" s="951"/>
      <c r="BE22" s="951"/>
      <c r="BF22" s="951"/>
      <c r="BG22" s="951"/>
      <c r="BH22" s="951"/>
      <c r="BI22" s="951"/>
      <c r="BJ22" s="951"/>
      <c r="BK22" s="951"/>
      <c r="BL22" s="901">
        <f>SUM(AZ22:BK22)</f>
        <v>0</v>
      </c>
      <c r="BM22" s="952"/>
      <c r="BN22" s="953"/>
      <c r="BO22" s="953"/>
      <c r="BP22" s="953"/>
      <c r="BQ22" s="953"/>
      <c r="BR22" s="953"/>
      <c r="BS22" s="953"/>
      <c r="BT22" s="953"/>
      <c r="BU22" s="953"/>
      <c r="BV22" s="953"/>
      <c r="BW22" s="953"/>
      <c r="BX22" s="953"/>
      <c r="BY22" s="900">
        <f t="shared" si="20"/>
        <v>0</v>
      </c>
      <c r="BZ22" s="951"/>
      <c r="CA22" s="951"/>
      <c r="CB22" s="951"/>
      <c r="CC22" s="951"/>
      <c r="CD22" s="951"/>
      <c r="CE22" s="951"/>
      <c r="CF22" s="951"/>
      <c r="CG22" s="951"/>
      <c r="CH22" s="951"/>
      <c r="CI22" s="951"/>
      <c r="CJ22" s="951"/>
      <c r="CK22" s="951"/>
      <c r="CL22" s="903">
        <f t="shared" si="4"/>
        <v>0</v>
      </c>
      <c r="CM22" s="952"/>
      <c r="CN22" s="953"/>
      <c r="CO22" s="953"/>
      <c r="CP22" s="953"/>
      <c r="CQ22" s="953"/>
      <c r="CR22" s="953"/>
      <c r="CS22" s="953"/>
      <c r="CT22" s="953"/>
      <c r="CU22" s="953"/>
      <c r="CV22" s="953"/>
      <c r="CW22" s="953"/>
      <c r="CX22" s="953"/>
      <c r="CY22" s="900">
        <f t="shared" si="22"/>
        <v>0</v>
      </c>
      <c r="CZ22" s="950"/>
      <c r="DA22" s="951"/>
      <c r="DB22" s="951"/>
      <c r="DC22" s="951"/>
      <c r="DD22" s="951"/>
      <c r="DE22" s="951"/>
      <c r="DF22" s="951"/>
      <c r="DG22" s="951"/>
      <c r="DH22" s="951"/>
      <c r="DI22" s="951"/>
      <c r="DJ22" s="951"/>
      <c r="DK22" s="951"/>
      <c r="DL22" s="901">
        <f t="shared" si="6"/>
        <v>0</v>
      </c>
      <c r="DM22" s="954"/>
      <c r="DN22" s="953"/>
      <c r="DO22" s="953"/>
      <c r="DP22" s="953"/>
      <c r="DQ22" s="953"/>
      <c r="DR22" s="953"/>
      <c r="DS22" s="953"/>
      <c r="DT22" s="953"/>
      <c r="DU22" s="953"/>
      <c r="DV22" s="953"/>
      <c r="DW22" s="953"/>
      <c r="DX22" s="953"/>
      <c r="DY22" s="900">
        <f t="shared" si="24"/>
        <v>0</v>
      </c>
      <c r="DZ22" s="951"/>
      <c r="EA22" s="951"/>
      <c r="EB22" s="951"/>
      <c r="EC22" s="951"/>
      <c r="ED22" s="951"/>
      <c r="EE22" s="951"/>
      <c r="EF22" s="951"/>
      <c r="EG22" s="951"/>
      <c r="EH22" s="951"/>
      <c r="EI22" s="951"/>
      <c r="EJ22" s="951"/>
      <c r="EK22" s="951"/>
      <c r="EL22" s="901">
        <f t="shared" si="8"/>
        <v>0</v>
      </c>
    </row>
    <row r="23" spans="1:142" ht="19.8" hidden="1" thickBot="1">
      <c r="A23" s="895" t="s">
        <v>630</v>
      </c>
      <c r="B23" s="98" t="s">
        <v>647</v>
      </c>
      <c r="C23" s="948" t="s">
        <v>648</v>
      </c>
      <c r="D23" s="540">
        <v>1.3</v>
      </c>
      <c r="E23" s="542">
        <v>1.346938775510204</v>
      </c>
      <c r="F23" s="542">
        <v>1.3</v>
      </c>
      <c r="G23" s="562">
        <v>1.3</v>
      </c>
      <c r="H23" s="540">
        <v>1.3</v>
      </c>
      <c r="I23" s="542">
        <v>1.3</v>
      </c>
      <c r="J23" s="542">
        <v>1.3</v>
      </c>
      <c r="K23" s="939">
        <v>1.3</v>
      </c>
      <c r="L23" s="946"/>
      <c r="M23" s="955"/>
      <c r="N23" s="956"/>
      <c r="O23" s="957">
        <v>4750</v>
      </c>
      <c r="P23" s="261">
        <v>17548</v>
      </c>
      <c r="Q23" s="261"/>
      <c r="R23" s="261"/>
      <c r="S23" s="261"/>
      <c r="T23" s="261"/>
      <c r="U23" s="261"/>
      <c r="V23" s="261"/>
      <c r="W23" s="261"/>
      <c r="X23" s="261"/>
      <c r="Y23" s="876">
        <f t="shared" si="33"/>
        <v>22298</v>
      </c>
      <c r="Z23" s="950">
        <f>M23*$D23</f>
        <v>0</v>
      </c>
      <c r="AA23" s="951">
        <f>N23*$D23</f>
        <v>0</v>
      </c>
      <c r="AB23" s="248">
        <f>O23*$D23</f>
        <v>6175</v>
      </c>
      <c r="AC23" s="248">
        <f>P23*$E23+2000+8000-300</f>
        <v>33336.081632653062</v>
      </c>
      <c r="AD23" s="248">
        <f>Q23*$E23</f>
        <v>0</v>
      </c>
      <c r="AE23" s="248">
        <f>R23*$E23</f>
        <v>0</v>
      </c>
      <c r="AF23" s="248">
        <f t="shared" si="41"/>
        <v>0</v>
      </c>
      <c r="AG23" s="248">
        <f t="shared" si="41"/>
        <v>0</v>
      </c>
      <c r="AH23" s="248">
        <f t="shared" si="34"/>
        <v>0</v>
      </c>
      <c r="AI23" s="248">
        <f t="shared" si="34"/>
        <v>0</v>
      </c>
      <c r="AJ23" s="248">
        <f t="shared" si="34"/>
        <v>0</v>
      </c>
      <c r="AK23" s="248">
        <f t="shared" si="34"/>
        <v>0</v>
      </c>
      <c r="AL23" s="901">
        <f t="shared" si="35"/>
        <v>39511.081632653062</v>
      </c>
      <c r="AM23" s="958"/>
      <c r="AN23" s="959"/>
      <c r="AO23" s="959"/>
      <c r="AP23" s="959"/>
      <c r="AQ23" s="959"/>
      <c r="AR23" s="959"/>
      <c r="AS23" s="959"/>
      <c r="AT23" s="959"/>
      <c r="AU23" s="959"/>
      <c r="AV23" s="959"/>
      <c r="AW23" s="959"/>
      <c r="AX23" s="959"/>
      <c r="AY23" s="900">
        <f t="shared" si="18"/>
        <v>0</v>
      </c>
      <c r="AZ23" s="950"/>
      <c r="BA23" s="951"/>
      <c r="BB23" s="951"/>
      <c r="BC23" s="951"/>
      <c r="BD23" s="951"/>
      <c r="BE23" s="951"/>
      <c r="BF23" s="951"/>
      <c r="BG23" s="951"/>
      <c r="BH23" s="951"/>
      <c r="BI23" s="951"/>
      <c r="BJ23" s="951"/>
      <c r="BK23" s="951"/>
      <c r="BL23" s="901">
        <f>SUM(AZ23:BK23)</f>
        <v>0</v>
      </c>
      <c r="BM23" s="958"/>
      <c r="BN23" s="959"/>
      <c r="BO23" s="959"/>
      <c r="BP23" s="959"/>
      <c r="BQ23" s="959"/>
      <c r="BR23" s="959"/>
      <c r="BS23" s="959"/>
      <c r="BT23" s="959"/>
      <c r="BU23" s="959"/>
      <c r="BV23" s="959"/>
      <c r="BW23" s="959"/>
      <c r="BX23" s="959"/>
      <c r="BY23" s="900">
        <f t="shared" si="20"/>
        <v>0</v>
      </c>
      <c r="BZ23" s="951"/>
      <c r="CA23" s="951"/>
      <c r="CB23" s="951"/>
      <c r="CC23" s="951"/>
      <c r="CD23" s="951"/>
      <c r="CE23" s="951"/>
      <c r="CF23" s="951"/>
      <c r="CG23" s="951"/>
      <c r="CH23" s="951"/>
      <c r="CI23" s="951"/>
      <c r="CJ23" s="951"/>
      <c r="CK23" s="951"/>
      <c r="CL23" s="903">
        <f t="shared" si="4"/>
        <v>0</v>
      </c>
      <c r="CM23" s="958"/>
      <c r="CN23" s="959"/>
      <c r="CO23" s="959"/>
      <c r="CP23" s="959"/>
      <c r="CQ23" s="959"/>
      <c r="CR23" s="959"/>
      <c r="CS23" s="959"/>
      <c r="CT23" s="959"/>
      <c r="CU23" s="959"/>
      <c r="CV23" s="959"/>
      <c r="CW23" s="959"/>
      <c r="CX23" s="959"/>
      <c r="CY23" s="900">
        <f t="shared" si="22"/>
        <v>0</v>
      </c>
      <c r="CZ23" s="950"/>
      <c r="DA23" s="951"/>
      <c r="DB23" s="951"/>
      <c r="DC23" s="951"/>
      <c r="DD23" s="951"/>
      <c r="DE23" s="951"/>
      <c r="DF23" s="951"/>
      <c r="DG23" s="951"/>
      <c r="DH23" s="951"/>
      <c r="DI23" s="951"/>
      <c r="DJ23" s="951"/>
      <c r="DK23" s="951"/>
      <c r="DL23" s="901">
        <f t="shared" si="6"/>
        <v>0</v>
      </c>
      <c r="DM23" s="960"/>
      <c r="DN23" s="959"/>
      <c r="DO23" s="959"/>
      <c r="DP23" s="959"/>
      <c r="DQ23" s="959"/>
      <c r="DR23" s="959"/>
      <c r="DS23" s="959"/>
      <c r="DT23" s="959"/>
      <c r="DU23" s="959"/>
      <c r="DV23" s="959"/>
      <c r="DW23" s="959"/>
      <c r="DX23" s="959"/>
      <c r="DY23" s="900">
        <f t="shared" si="24"/>
        <v>0</v>
      </c>
      <c r="DZ23" s="951"/>
      <c r="EA23" s="951"/>
      <c r="EB23" s="951"/>
      <c r="EC23" s="951"/>
      <c r="ED23" s="951"/>
      <c r="EE23" s="951"/>
      <c r="EF23" s="951"/>
      <c r="EG23" s="951"/>
      <c r="EH23" s="951"/>
      <c r="EI23" s="951"/>
      <c r="EJ23" s="951"/>
      <c r="EK23" s="951"/>
      <c r="EL23" s="901">
        <f t="shared" si="8"/>
        <v>0</v>
      </c>
    </row>
    <row r="24" spans="1:142" ht="20.399999999999999" thickTop="1" thickBot="1">
      <c r="A24" s="7261" t="s">
        <v>48</v>
      </c>
      <c r="B24" s="7262"/>
      <c r="C24" s="7263"/>
      <c r="D24" s="889"/>
      <c r="E24" s="889"/>
      <c r="F24" s="889"/>
      <c r="G24" s="889"/>
      <c r="H24" s="889"/>
      <c r="I24" s="889"/>
      <c r="J24" s="889"/>
      <c r="K24" s="890"/>
      <c r="L24" s="891"/>
      <c r="M24" s="892">
        <f t="shared" ref="M24:AR24" si="42">SUM(M15:M23)</f>
        <v>478753</v>
      </c>
      <c r="N24" s="535">
        <f t="shared" si="42"/>
        <v>324000</v>
      </c>
      <c r="O24" s="535">
        <f t="shared" si="42"/>
        <v>461855</v>
      </c>
      <c r="P24" s="535">
        <f t="shared" si="42"/>
        <v>355795</v>
      </c>
      <c r="Q24" s="535">
        <f>SUM(Q15:Q23)</f>
        <v>328586</v>
      </c>
      <c r="R24" s="535">
        <f>SUM(R15:R23)</f>
        <v>446318</v>
      </c>
      <c r="S24" s="535">
        <f t="shared" si="42"/>
        <v>413700</v>
      </c>
      <c r="T24" s="535">
        <f t="shared" si="42"/>
        <v>360000</v>
      </c>
      <c r="U24" s="535">
        <f t="shared" si="42"/>
        <v>430000</v>
      </c>
      <c r="V24" s="535">
        <f t="shared" si="42"/>
        <v>560000</v>
      </c>
      <c r="W24" s="535">
        <f t="shared" si="42"/>
        <v>570000</v>
      </c>
      <c r="X24" s="535">
        <f t="shared" si="42"/>
        <v>550000</v>
      </c>
      <c r="Y24" s="536">
        <f t="shared" si="42"/>
        <v>5279007</v>
      </c>
      <c r="Z24" s="541">
        <f t="shared" si="42"/>
        <v>522130.3</v>
      </c>
      <c r="AA24" s="541">
        <f t="shared" si="42"/>
        <v>363073</v>
      </c>
      <c r="AB24" s="541">
        <f t="shared" si="42"/>
        <v>523181.15</v>
      </c>
      <c r="AC24" s="541">
        <f t="shared" si="42"/>
        <v>409429.53195918357</v>
      </c>
      <c r="AD24" s="541">
        <f>SUM(AD15:AD23)</f>
        <v>339391.92489795911</v>
      </c>
      <c r="AE24" s="541">
        <f>SUM(AE15:AE23)-300+16000+700</f>
        <v>374732.16</v>
      </c>
      <c r="AF24" s="541">
        <f t="shared" si="42"/>
        <v>441689</v>
      </c>
      <c r="AG24" s="541">
        <f t="shared" si="42"/>
        <v>370950</v>
      </c>
      <c r="AH24" s="541">
        <f t="shared" si="42"/>
        <v>410400</v>
      </c>
      <c r="AI24" s="541">
        <f t="shared" si="42"/>
        <v>510200</v>
      </c>
      <c r="AJ24" s="541">
        <f t="shared" si="42"/>
        <v>516500</v>
      </c>
      <c r="AK24" s="541">
        <f t="shared" si="42"/>
        <v>490400</v>
      </c>
      <c r="AL24" s="538">
        <f t="shared" si="42"/>
        <v>5255677.0668571433</v>
      </c>
      <c r="AM24" s="535">
        <f t="shared" si="42"/>
        <v>478753</v>
      </c>
      <c r="AN24" s="535">
        <f t="shared" si="42"/>
        <v>324000</v>
      </c>
      <c r="AO24" s="535">
        <f t="shared" si="42"/>
        <v>440000</v>
      </c>
      <c r="AP24" s="535">
        <f t="shared" si="42"/>
        <v>410000</v>
      </c>
      <c r="AQ24" s="535">
        <f t="shared" si="42"/>
        <v>380000</v>
      </c>
      <c r="AR24" s="535">
        <f t="shared" si="42"/>
        <v>450000</v>
      </c>
      <c r="AS24" s="535">
        <f t="shared" ref="AS24:BX24" si="43">SUM(AS15:AS23)</f>
        <v>440000</v>
      </c>
      <c r="AT24" s="535">
        <f t="shared" si="43"/>
        <v>440000</v>
      </c>
      <c r="AU24" s="535">
        <f t="shared" si="43"/>
        <v>400000</v>
      </c>
      <c r="AV24" s="535">
        <f t="shared" si="43"/>
        <v>400000</v>
      </c>
      <c r="AW24" s="535">
        <f t="shared" si="43"/>
        <v>400000</v>
      </c>
      <c r="AX24" s="535">
        <f t="shared" si="43"/>
        <v>400000</v>
      </c>
      <c r="AY24" s="536">
        <f t="shared" si="43"/>
        <v>4962753</v>
      </c>
      <c r="AZ24" s="541">
        <f t="shared" si="43"/>
        <v>518317.03877551015</v>
      </c>
      <c r="BA24" s="541">
        <f t="shared" si="43"/>
        <v>360448.17142857146</v>
      </c>
      <c r="BB24" s="541">
        <f t="shared" si="43"/>
        <v>474436.32653061225</v>
      </c>
      <c r="BC24" s="541">
        <f t="shared" si="43"/>
        <v>449344.69387755101</v>
      </c>
      <c r="BD24" s="541">
        <f t="shared" si="43"/>
        <v>416034.69387755101</v>
      </c>
      <c r="BE24" s="541">
        <f t="shared" si="43"/>
        <v>496157.95918367349</v>
      </c>
      <c r="BF24" s="541">
        <f t="shared" si="43"/>
        <v>488257.95918367349</v>
      </c>
      <c r="BG24" s="541">
        <f t="shared" si="43"/>
        <v>488257.95918367349</v>
      </c>
      <c r="BH24" s="541">
        <f t="shared" si="43"/>
        <v>440116.32653061225</v>
      </c>
      <c r="BI24" s="541">
        <f t="shared" si="43"/>
        <v>440116.32653061225</v>
      </c>
      <c r="BJ24" s="541">
        <f t="shared" si="43"/>
        <v>440116.32653061225</v>
      </c>
      <c r="BK24" s="541">
        <f t="shared" si="43"/>
        <v>440116.32653061225</v>
      </c>
      <c r="BL24" s="538">
        <f t="shared" si="43"/>
        <v>5451720.1081632646</v>
      </c>
      <c r="BM24" s="535">
        <f t="shared" si="43"/>
        <v>400000</v>
      </c>
      <c r="BN24" s="535">
        <f t="shared" si="43"/>
        <v>229500</v>
      </c>
      <c r="BO24" s="535">
        <f t="shared" si="43"/>
        <v>400000</v>
      </c>
      <c r="BP24" s="535">
        <f t="shared" si="43"/>
        <v>400000</v>
      </c>
      <c r="BQ24" s="535">
        <f t="shared" si="43"/>
        <v>400000</v>
      </c>
      <c r="BR24" s="535">
        <f t="shared" si="43"/>
        <v>400000</v>
      </c>
      <c r="BS24" s="535">
        <f t="shared" si="43"/>
        <v>400000</v>
      </c>
      <c r="BT24" s="535">
        <f t="shared" si="43"/>
        <v>400000</v>
      </c>
      <c r="BU24" s="535">
        <f t="shared" si="43"/>
        <v>400000</v>
      </c>
      <c r="BV24" s="535">
        <f t="shared" si="43"/>
        <v>400000</v>
      </c>
      <c r="BW24" s="535">
        <f t="shared" si="43"/>
        <v>400000</v>
      </c>
      <c r="BX24" s="535">
        <f t="shared" si="43"/>
        <v>400000</v>
      </c>
      <c r="BY24" s="536">
        <f t="shared" ref="BY24:EJ24" si="44">SUM(BY15:BY23)</f>
        <v>4629500</v>
      </c>
      <c r="BZ24" s="937">
        <f t="shared" si="44"/>
        <v>481470.40816326533</v>
      </c>
      <c r="CA24" s="541">
        <f t="shared" si="44"/>
        <v>276228.57142857142</v>
      </c>
      <c r="CB24" s="541">
        <f t="shared" si="44"/>
        <v>481470.40816326533</v>
      </c>
      <c r="CC24" s="541">
        <f t="shared" si="44"/>
        <v>481470.40816326533</v>
      </c>
      <c r="CD24" s="541">
        <f t="shared" si="44"/>
        <v>481470.40816326533</v>
      </c>
      <c r="CE24" s="541">
        <f t="shared" si="44"/>
        <v>481470.40816326533</v>
      </c>
      <c r="CF24" s="541">
        <f t="shared" si="44"/>
        <v>481470.40816326533</v>
      </c>
      <c r="CG24" s="541">
        <f t="shared" si="44"/>
        <v>481470.40816326533</v>
      </c>
      <c r="CH24" s="541">
        <f t="shared" si="44"/>
        <v>481470.40816326533</v>
      </c>
      <c r="CI24" s="541">
        <f t="shared" si="44"/>
        <v>481470.40816326533</v>
      </c>
      <c r="CJ24" s="541">
        <f t="shared" si="44"/>
        <v>481470.40816326533</v>
      </c>
      <c r="CK24" s="541">
        <f t="shared" si="44"/>
        <v>481470.40816326533</v>
      </c>
      <c r="CL24" s="894">
        <f t="shared" si="44"/>
        <v>5572403.0612244904</v>
      </c>
      <c r="CM24" s="535">
        <f t="shared" si="44"/>
        <v>400000</v>
      </c>
      <c r="CN24" s="535">
        <f t="shared" si="44"/>
        <v>229500</v>
      </c>
      <c r="CO24" s="535">
        <f t="shared" si="44"/>
        <v>400000</v>
      </c>
      <c r="CP24" s="535">
        <f t="shared" si="44"/>
        <v>400000</v>
      </c>
      <c r="CQ24" s="535">
        <f t="shared" si="44"/>
        <v>400000</v>
      </c>
      <c r="CR24" s="535">
        <f t="shared" si="44"/>
        <v>400000</v>
      </c>
      <c r="CS24" s="535">
        <f t="shared" si="44"/>
        <v>400000</v>
      </c>
      <c r="CT24" s="535">
        <f t="shared" si="44"/>
        <v>400000</v>
      </c>
      <c r="CU24" s="535">
        <f t="shared" si="44"/>
        <v>400000</v>
      </c>
      <c r="CV24" s="535">
        <f t="shared" si="44"/>
        <v>400000</v>
      </c>
      <c r="CW24" s="535">
        <f t="shared" si="44"/>
        <v>400000</v>
      </c>
      <c r="CX24" s="535">
        <f t="shared" si="44"/>
        <v>400000</v>
      </c>
      <c r="CY24" s="536">
        <f t="shared" si="44"/>
        <v>4629500</v>
      </c>
      <c r="CZ24" s="541">
        <f t="shared" si="44"/>
        <v>481470.40816326498</v>
      </c>
      <c r="DA24" s="541">
        <f t="shared" si="44"/>
        <v>276228.57142857125</v>
      </c>
      <c r="DB24" s="541">
        <f t="shared" si="44"/>
        <v>481470.40816326498</v>
      </c>
      <c r="DC24" s="541">
        <f t="shared" si="44"/>
        <v>481470.40816326498</v>
      </c>
      <c r="DD24" s="541">
        <f t="shared" si="44"/>
        <v>481470.40816326498</v>
      </c>
      <c r="DE24" s="541">
        <f t="shared" si="44"/>
        <v>481470.40816326498</v>
      </c>
      <c r="DF24" s="541">
        <f t="shared" si="44"/>
        <v>481470.40816326498</v>
      </c>
      <c r="DG24" s="541">
        <f t="shared" si="44"/>
        <v>481470.40816326498</v>
      </c>
      <c r="DH24" s="541">
        <f t="shared" si="44"/>
        <v>481470.40816326498</v>
      </c>
      <c r="DI24" s="541">
        <f t="shared" si="44"/>
        <v>481470.40816326498</v>
      </c>
      <c r="DJ24" s="541">
        <f t="shared" si="44"/>
        <v>481470.40816326498</v>
      </c>
      <c r="DK24" s="541">
        <f t="shared" si="44"/>
        <v>481470.40816326498</v>
      </c>
      <c r="DL24" s="538">
        <f t="shared" si="44"/>
        <v>5572403.0612244848</v>
      </c>
      <c r="DM24" s="892">
        <f t="shared" si="44"/>
        <v>400000</v>
      </c>
      <c r="DN24" s="535">
        <f t="shared" si="44"/>
        <v>229500</v>
      </c>
      <c r="DO24" s="535">
        <f t="shared" si="44"/>
        <v>400000</v>
      </c>
      <c r="DP24" s="535">
        <f t="shared" si="44"/>
        <v>400000</v>
      </c>
      <c r="DQ24" s="535">
        <f t="shared" si="44"/>
        <v>400000</v>
      </c>
      <c r="DR24" s="535">
        <f t="shared" si="44"/>
        <v>400000</v>
      </c>
      <c r="DS24" s="535">
        <f t="shared" si="44"/>
        <v>400000</v>
      </c>
      <c r="DT24" s="535">
        <f t="shared" si="44"/>
        <v>400000</v>
      </c>
      <c r="DU24" s="535">
        <f t="shared" si="44"/>
        <v>400000</v>
      </c>
      <c r="DV24" s="535">
        <f t="shared" si="44"/>
        <v>400000</v>
      </c>
      <c r="DW24" s="535">
        <f t="shared" si="44"/>
        <v>400000</v>
      </c>
      <c r="DX24" s="535">
        <f t="shared" si="44"/>
        <v>400000</v>
      </c>
      <c r="DY24" s="536">
        <f t="shared" si="44"/>
        <v>4629500</v>
      </c>
      <c r="DZ24" s="541">
        <f t="shared" si="44"/>
        <v>471840.99999999965</v>
      </c>
      <c r="EA24" s="541">
        <f t="shared" si="44"/>
        <v>270703.99999999983</v>
      </c>
      <c r="EB24" s="541">
        <f t="shared" si="44"/>
        <v>471840.99999999965</v>
      </c>
      <c r="EC24" s="541">
        <f t="shared" si="44"/>
        <v>471840.99999999965</v>
      </c>
      <c r="ED24" s="541">
        <f t="shared" si="44"/>
        <v>471840.99999999965</v>
      </c>
      <c r="EE24" s="541">
        <f t="shared" si="44"/>
        <v>471840.99999999965</v>
      </c>
      <c r="EF24" s="541">
        <f t="shared" si="44"/>
        <v>471840.99999999965</v>
      </c>
      <c r="EG24" s="541">
        <f t="shared" si="44"/>
        <v>471840.99999999965</v>
      </c>
      <c r="EH24" s="541">
        <f t="shared" si="44"/>
        <v>471840.99999999965</v>
      </c>
      <c r="EI24" s="541">
        <f t="shared" si="44"/>
        <v>471840.99999999965</v>
      </c>
      <c r="EJ24" s="541">
        <f t="shared" si="44"/>
        <v>471840.99999999965</v>
      </c>
      <c r="EK24" s="541">
        <f>SUM(EK15:EK23)</f>
        <v>471840.99999999965</v>
      </c>
      <c r="EL24" s="538">
        <f>SUM(EL15:EL23)</f>
        <v>5460954.9999999953</v>
      </c>
    </row>
    <row r="25" spans="1:142" ht="19.8" thickTop="1">
      <c r="A25" s="961" t="s">
        <v>649</v>
      </c>
      <c r="B25" s="904" t="s">
        <v>650</v>
      </c>
      <c r="C25" s="908" t="s">
        <v>651</v>
      </c>
      <c r="D25" s="540">
        <v>5</v>
      </c>
      <c r="E25" s="542">
        <v>5</v>
      </c>
      <c r="F25" s="542">
        <v>5</v>
      </c>
      <c r="G25" s="562">
        <v>5</v>
      </c>
      <c r="H25" s="540">
        <v>5</v>
      </c>
      <c r="I25" s="542">
        <v>5</v>
      </c>
      <c r="J25" s="542">
        <v>5</v>
      </c>
      <c r="K25" s="939">
        <v>5</v>
      </c>
      <c r="L25" s="875"/>
      <c r="M25" s="899">
        <v>18000</v>
      </c>
      <c r="N25" s="260">
        <v>15000</v>
      </c>
      <c r="O25" s="260">
        <v>25500</v>
      </c>
      <c r="P25" s="260">
        <v>5819</v>
      </c>
      <c r="Q25" s="260">
        <v>40476</v>
      </c>
      <c r="R25" s="260">
        <v>6750</v>
      </c>
      <c r="S25" s="260">
        <v>10050</v>
      </c>
      <c r="T25" s="260">
        <v>17000</v>
      </c>
      <c r="U25" s="260">
        <v>20000</v>
      </c>
      <c r="V25" s="260">
        <v>13000</v>
      </c>
      <c r="W25" s="260">
        <v>30000</v>
      </c>
      <c r="X25" s="260">
        <v>20000</v>
      </c>
      <c r="Y25" s="876">
        <f>SUM(M25:X25)</f>
        <v>221595</v>
      </c>
      <c r="Z25" s="962">
        <v>9324</v>
      </c>
      <c r="AA25" s="259">
        <v>20895</v>
      </c>
      <c r="AB25" s="259">
        <v>33589.5</v>
      </c>
      <c r="AC25" s="259">
        <v>43319.29</v>
      </c>
      <c r="AD25" s="259">
        <v>141093.84799999997</v>
      </c>
      <c r="AE25" s="259">
        <v>28959.200000000001</v>
      </c>
      <c r="AF25" s="259">
        <v>7037.45</v>
      </c>
      <c r="AG25" s="259">
        <f t="shared" ref="AG25:AK27" si="45">+T25*$G$25</f>
        <v>85000</v>
      </c>
      <c r="AH25" s="259">
        <f t="shared" si="45"/>
        <v>100000</v>
      </c>
      <c r="AI25" s="259">
        <f t="shared" si="45"/>
        <v>65000</v>
      </c>
      <c r="AJ25" s="259">
        <f t="shared" si="45"/>
        <v>150000</v>
      </c>
      <c r="AK25" s="259">
        <f t="shared" si="45"/>
        <v>100000</v>
      </c>
      <c r="AL25" s="878">
        <f>SUM(Z25:AK25)</f>
        <v>784218.28799999994</v>
      </c>
      <c r="AM25" s="902">
        <v>16000</v>
      </c>
      <c r="AN25" s="260">
        <f>N25*90%</f>
        <v>13500</v>
      </c>
      <c r="AO25" s="260">
        <v>20000</v>
      </c>
      <c r="AP25" s="260">
        <v>12000</v>
      </c>
      <c r="AQ25" s="260">
        <f>Q25*90%</f>
        <v>36428.400000000001</v>
      </c>
      <c r="AR25" s="260">
        <f>R25*90%</f>
        <v>6075</v>
      </c>
      <c r="AS25" s="260">
        <f>S25*90%</f>
        <v>9045</v>
      </c>
      <c r="AT25" s="260">
        <f>T25*90%</f>
        <v>15300</v>
      </c>
      <c r="AU25" s="260">
        <v>14000</v>
      </c>
      <c r="AV25" s="260">
        <v>10000</v>
      </c>
      <c r="AW25" s="260">
        <v>12000</v>
      </c>
      <c r="AX25" s="260">
        <f>X25*90%</f>
        <v>18000</v>
      </c>
      <c r="AY25" s="876">
        <f>SUM(AM25:AX25)</f>
        <v>182348.4</v>
      </c>
      <c r="AZ25" s="877">
        <f t="shared" ref="AZ25:BK28" si="46">AM25*$H25</f>
        <v>80000</v>
      </c>
      <c r="BA25" s="248">
        <f t="shared" si="46"/>
        <v>67500</v>
      </c>
      <c r="BB25" s="248">
        <f t="shared" si="46"/>
        <v>100000</v>
      </c>
      <c r="BC25" s="248">
        <f t="shared" si="46"/>
        <v>60000</v>
      </c>
      <c r="BD25" s="248">
        <f t="shared" si="46"/>
        <v>182142</v>
      </c>
      <c r="BE25" s="248">
        <f t="shared" si="46"/>
        <v>30375</v>
      </c>
      <c r="BF25" s="248">
        <f t="shared" si="46"/>
        <v>45225</v>
      </c>
      <c r="BG25" s="248">
        <f t="shared" si="46"/>
        <v>76500</v>
      </c>
      <c r="BH25" s="248">
        <f t="shared" si="46"/>
        <v>70000</v>
      </c>
      <c r="BI25" s="248">
        <f t="shared" si="46"/>
        <v>50000</v>
      </c>
      <c r="BJ25" s="248">
        <f t="shared" si="46"/>
        <v>60000</v>
      </c>
      <c r="BK25" s="248">
        <f t="shared" si="46"/>
        <v>90000</v>
      </c>
      <c r="BL25" s="878">
        <f t="shared" ref="BL25:BL72" si="47">SUM(AZ25:BK25)</f>
        <v>911742</v>
      </c>
      <c r="BM25" s="902">
        <v>25000</v>
      </c>
      <c r="BN25" s="260">
        <v>15000</v>
      </c>
      <c r="BO25" s="260">
        <f>AO25*90%</f>
        <v>18000</v>
      </c>
      <c r="BP25" s="260">
        <v>12000</v>
      </c>
      <c r="BQ25" s="260">
        <v>9000</v>
      </c>
      <c r="BR25" s="260">
        <v>9000</v>
      </c>
      <c r="BS25" s="260">
        <v>10000</v>
      </c>
      <c r="BT25" s="260">
        <v>14000</v>
      </c>
      <c r="BU25" s="260">
        <v>14000</v>
      </c>
      <c r="BV25" s="260">
        <v>10000</v>
      </c>
      <c r="BW25" s="260">
        <v>20000</v>
      </c>
      <c r="BX25" s="260">
        <v>10000</v>
      </c>
      <c r="BY25" s="876">
        <f>SUM(BM25:BX25)</f>
        <v>166000</v>
      </c>
      <c r="BZ25" s="963">
        <f t="shared" ref="BZ25:CK27" si="48">+BM25*$G$25</f>
        <v>125000</v>
      </c>
      <c r="CA25" s="259">
        <f t="shared" si="48"/>
        <v>75000</v>
      </c>
      <c r="CB25" s="259">
        <f t="shared" si="48"/>
        <v>90000</v>
      </c>
      <c r="CC25" s="259">
        <f t="shared" si="48"/>
        <v>60000</v>
      </c>
      <c r="CD25" s="259">
        <f t="shared" si="48"/>
        <v>45000</v>
      </c>
      <c r="CE25" s="259">
        <f t="shared" si="48"/>
        <v>45000</v>
      </c>
      <c r="CF25" s="259">
        <f t="shared" si="48"/>
        <v>50000</v>
      </c>
      <c r="CG25" s="259">
        <f t="shared" si="48"/>
        <v>70000</v>
      </c>
      <c r="CH25" s="259">
        <f t="shared" si="48"/>
        <v>70000</v>
      </c>
      <c r="CI25" s="259">
        <f t="shared" si="48"/>
        <v>50000</v>
      </c>
      <c r="CJ25" s="259">
        <f t="shared" si="48"/>
        <v>100000</v>
      </c>
      <c r="CK25" s="259">
        <f t="shared" si="48"/>
        <v>50000</v>
      </c>
      <c r="CL25" s="883">
        <f>SUM(BZ25:CK25)</f>
        <v>830000</v>
      </c>
      <c r="CM25" s="902">
        <v>18000</v>
      </c>
      <c r="CN25" s="260">
        <f>BN25*90%</f>
        <v>13500</v>
      </c>
      <c r="CO25" s="260">
        <f>BO25*90%</f>
        <v>16200</v>
      </c>
      <c r="CP25" s="260">
        <v>12000</v>
      </c>
      <c r="CQ25" s="260">
        <f>BQ25*90%</f>
        <v>8100</v>
      </c>
      <c r="CR25" s="260">
        <v>12000</v>
      </c>
      <c r="CS25" s="260">
        <v>12000</v>
      </c>
      <c r="CT25" s="260">
        <v>15000</v>
      </c>
      <c r="CU25" s="260">
        <v>14000</v>
      </c>
      <c r="CV25" s="260">
        <v>15000</v>
      </c>
      <c r="CW25" s="260">
        <v>12000</v>
      </c>
      <c r="CX25" s="260">
        <f>BX25*90%</f>
        <v>9000</v>
      </c>
      <c r="CY25" s="876">
        <f>SUM(CM25:CX25)</f>
        <v>156800</v>
      </c>
      <c r="CZ25" s="962">
        <f t="shared" ref="CZ25:DK27" si="49">+CM25*$G$25</f>
        <v>90000</v>
      </c>
      <c r="DA25" s="259">
        <f t="shared" si="49"/>
        <v>67500</v>
      </c>
      <c r="DB25" s="259">
        <f t="shared" si="49"/>
        <v>81000</v>
      </c>
      <c r="DC25" s="259">
        <f t="shared" si="49"/>
        <v>60000</v>
      </c>
      <c r="DD25" s="259">
        <f t="shared" si="49"/>
        <v>40500</v>
      </c>
      <c r="DE25" s="259">
        <f t="shared" si="49"/>
        <v>60000</v>
      </c>
      <c r="DF25" s="259">
        <f t="shared" si="49"/>
        <v>60000</v>
      </c>
      <c r="DG25" s="259">
        <f t="shared" si="49"/>
        <v>75000</v>
      </c>
      <c r="DH25" s="259">
        <f t="shared" si="49"/>
        <v>70000</v>
      </c>
      <c r="DI25" s="259">
        <f t="shared" si="49"/>
        <v>75000</v>
      </c>
      <c r="DJ25" s="259">
        <f t="shared" si="49"/>
        <v>60000</v>
      </c>
      <c r="DK25" s="259">
        <f t="shared" si="49"/>
        <v>45000</v>
      </c>
      <c r="DL25" s="878">
        <f t="shared" ref="DL25:DL72" si="50">SUM(CZ25:DK25)</f>
        <v>784000</v>
      </c>
      <c r="DM25" s="902">
        <v>16000</v>
      </c>
      <c r="DN25" s="260">
        <f>CN25*90%</f>
        <v>12150</v>
      </c>
      <c r="DO25" s="260">
        <f>CO25*90%</f>
        <v>14580</v>
      </c>
      <c r="DP25" s="260">
        <v>12000</v>
      </c>
      <c r="DQ25" s="260">
        <f>CQ25*90%</f>
        <v>7290</v>
      </c>
      <c r="DR25" s="260">
        <f>CR25*90%</f>
        <v>10800</v>
      </c>
      <c r="DS25" s="260">
        <f>CS25*90%</f>
        <v>10800</v>
      </c>
      <c r="DT25" s="260">
        <f>CT25*90%</f>
        <v>13500</v>
      </c>
      <c r="DU25" s="260">
        <v>14000</v>
      </c>
      <c r="DV25" s="260">
        <v>10000</v>
      </c>
      <c r="DW25" s="260">
        <v>12000</v>
      </c>
      <c r="DX25" s="260">
        <f>CX25*90%</f>
        <v>8100</v>
      </c>
      <c r="DY25" s="531">
        <f>SUM(DM25:DX25)</f>
        <v>141220</v>
      </c>
      <c r="DZ25" s="259">
        <v>71809</v>
      </c>
      <c r="EA25" s="259">
        <v>100856</v>
      </c>
      <c r="EB25" s="259">
        <f t="shared" ref="EB25:EK27" si="51">+DO25*$G$25</f>
        <v>72900</v>
      </c>
      <c r="EC25" s="259">
        <f t="shared" si="51"/>
        <v>60000</v>
      </c>
      <c r="ED25" s="259">
        <f t="shared" si="51"/>
        <v>36450</v>
      </c>
      <c r="EE25" s="259">
        <f t="shared" si="51"/>
        <v>54000</v>
      </c>
      <c r="EF25" s="259">
        <f t="shared" si="51"/>
        <v>54000</v>
      </c>
      <c r="EG25" s="259">
        <f t="shared" si="51"/>
        <v>67500</v>
      </c>
      <c r="EH25" s="259">
        <f t="shared" si="51"/>
        <v>70000</v>
      </c>
      <c r="EI25" s="259">
        <f t="shared" si="51"/>
        <v>50000</v>
      </c>
      <c r="EJ25" s="259">
        <f t="shared" si="51"/>
        <v>60000</v>
      </c>
      <c r="EK25" s="259">
        <f t="shared" si="51"/>
        <v>40500</v>
      </c>
      <c r="EL25" s="878">
        <f t="shared" ref="EL25:EL72" si="52">SUM(DZ25:EK25)</f>
        <v>738015</v>
      </c>
    </row>
    <row r="26" spans="1:142">
      <c r="A26" s="964" t="s">
        <v>649</v>
      </c>
      <c r="B26" s="904" t="s">
        <v>652</v>
      </c>
      <c r="C26" s="908" t="s">
        <v>651</v>
      </c>
      <c r="D26" s="540">
        <v>5</v>
      </c>
      <c r="E26" s="542">
        <v>5</v>
      </c>
      <c r="F26" s="542">
        <v>5</v>
      </c>
      <c r="G26" s="562">
        <v>5</v>
      </c>
      <c r="H26" s="540">
        <v>5</v>
      </c>
      <c r="I26" s="542">
        <v>5</v>
      </c>
      <c r="J26" s="542">
        <v>5</v>
      </c>
      <c r="K26" s="939">
        <v>5</v>
      </c>
      <c r="L26" s="875"/>
      <c r="M26" s="899">
        <v>4030</v>
      </c>
      <c r="N26" s="260">
        <v>17154</v>
      </c>
      <c r="O26" s="260">
        <v>16482</v>
      </c>
      <c r="P26" s="260">
        <v>3700</v>
      </c>
      <c r="Q26" s="260">
        <v>3100</v>
      </c>
      <c r="R26" s="260">
        <v>2459</v>
      </c>
      <c r="S26" s="260">
        <f>2460+3164</f>
        <v>5624</v>
      </c>
      <c r="T26" s="260">
        <v>25000</v>
      </c>
      <c r="U26" s="260">
        <v>30000</v>
      </c>
      <c r="V26" s="260">
        <v>29000</v>
      </c>
      <c r="W26" s="260">
        <v>26500</v>
      </c>
      <c r="X26" s="260">
        <v>20000</v>
      </c>
      <c r="Y26" s="876">
        <f>SUM(M26:X26)</f>
        <v>183049</v>
      </c>
      <c r="Z26" s="962">
        <f>37810.08-12651</f>
        <v>25159.08</v>
      </c>
      <c r="AA26" s="259">
        <f>35512.008+29047-6856</f>
        <v>57703.008000000002</v>
      </c>
      <c r="AB26" s="259">
        <v>70867.096000000005</v>
      </c>
      <c r="AC26" s="259">
        <v>30306.5</v>
      </c>
      <c r="AD26" s="259">
        <f>33535.6+2322</f>
        <v>35857.599999999999</v>
      </c>
      <c r="AE26" s="259">
        <v>43003.97</v>
      </c>
      <c r="AF26" s="259">
        <v>64432.619999999995</v>
      </c>
      <c r="AG26" s="259">
        <f>+T26*$G$25-39000</f>
        <v>86000</v>
      </c>
      <c r="AH26" s="259">
        <f t="shared" si="45"/>
        <v>150000</v>
      </c>
      <c r="AI26" s="259">
        <f t="shared" si="45"/>
        <v>145000</v>
      </c>
      <c r="AJ26" s="259">
        <f t="shared" si="45"/>
        <v>132500</v>
      </c>
      <c r="AK26" s="259">
        <f t="shared" si="45"/>
        <v>100000</v>
      </c>
      <c r="AL26" s="878">
        <f>SUM(Z26:AK26)</f>
        <v>940829.87400000007</v>
      </c>
      <c r="AM26" s="902">
        <v>15000</v>
      </c>
      <c r="AN26" s="260">
        <f>N26*90%</f>
        <v>15438.6</v>
      </c>
      <c r="AO26" s="260">
        <v>15000</v>
      </c>
      <c r="AP26" s="260">
        <v>12000</v>
      </c>
      <c r="AQ26" s="260">
        <f>Q26*90%</f>
        <v>2790</v>
      </c>
      <c r="AR26" s="260">
        <f>R26*90%</f>
        <v>2213.1</v>
      </c>
      <c r="AS26" s="260">
        <f>S26*90%</f>
        <v>5061.6000000000004</v>
      </c>
      <c r="AT26" s="260">
        <v>25000</v>
      </c>
      <c r="AU26" s="260">
        <v>30000</v>
      </c>
      <c r="AV26" s="260">
        <v>20000</v>
      </c>
      <c r="AW26" s="260">
        <v>20000</v>
      </c>
      <c r="AX26" s="260">
        <f>X26*90%</f>
        <v>18000</v>
      </c>
      <c r="AY26" s="876">
        <f>SUM(AM26:AX26)</f>
        <v>180503.3</v>
      </c>
      <c r="AZ26" s="877">
        <f t="shared" si="46"/>
        <v>75000</v>
      </c>
      <c r="BA26" s="248">
        <f t="shared" si="46"/>
        <v>77193</v>
      </c>
      <c r="BB26" s="248">
        <f t="shared" si="46"/>
        <v>75000</v>
      </c>
      <c r="BC26" s="248">
        <f t="shared" si="46"/>
        <v>60000</v>
      </c>
      <c r="BD26" s="248">
        <f t="shared" si="46"/>
        <v>13950</v>
      </c>
      <c r="BE26" s="248">
        <f t="shared" si="46"/>
        <v>11065.5</v>
      </c>
      <c r="BF26" s="248">
        <f t="shared" si="46"/>
        <v>25308</v>
      </c>
      <c r="BG26" s="248">
        <f t="shared" si="46"/>
        <v>125000</v>
      </c>
      <c r="BH26" s="248">
        <f t="shared" si="46"/>
        <v>150000</v>
      </c>
      <c r="BI26" s="248">
        <f t="shared" si="46"/>
        <v>100000</v>
      </c>
      <c r="BJ26" s="248">
        <f t="shared" si="46"/>
        <v>100000</v>
      </c>
      <c r="BK26" s="248">
        <f t="shared" si="46"/>
        <v>90000</v>
      </c>
      <c r="BL26" s="878">
        <f>SUM(AZ26:BK26)</f>
        <v>902516.5</v>
      </c>
      <c r="BM26" s="902">
        <v>15000</v>
      </c>
      <c r="BN26" s="260">
        <v>15000</v>
      </c>
      <c r="BO26" s="260">
        <v>15000</v>
      </c>
      <c r="BP26" s="260">
        <f>AP26*90%</f>
        <v>10800</v>
      </c>
      <c r="BQ26" s="260">
        <v>16000</v>
      </c>
      <c r="BR26" s="260">
        <v>16000</v>
      </c>
      <c r="BS26" s="260">
        <v>16000</v>
      </c>
      <c r="BT26" s="260">
        <v>25000</v>
      </c>
      <c r="BU26" s="260">
        <v>30000</v>
      </c>
      <c r="BV26" s="260">
        <v>20000</v>
      </c>
      <c r="BW26" s="260">
        <v>20000</v>
      </c>
      <c r="BX26" s="260">
        <v>15000</v>
      </c>
      <c r="BY26" s="876">
        <f>SUM(BM26:BX26)</f>
        <v>213800</v>
      </c>
      <c r="BZ26" s="963">
        <f t="shared" si="48"/>
        <v>75000</v>
      </c>
      <c r="CA26" s="259">
        <f t="shared" si="48"/>
        <v>75000</v>
      </c>
      <c r="CB26" s="259">
        <f t="shared" si="48"/>
        <v>75000</v>
      </c>
      <c r="CC26" s="259">
        <f t="shared" si="48"/>
        <v>54000</v>
      </c>
      <c r="CD26" s="259">
        <f t="shared" si="48"/>
        <v>80000</v>
      </c>
      <c r="CE26" s="259">
        <f t="shared" si="48"/>
        <v>80000</v>
      </c>
      <c r="CF26" s="259">
        <f t="shared" si="48"/>
        <v>80000</v>
      </c>
      <c r="CG26" s="259">
        <f t="shared" si="48"/>
        <v>125000</v>
      </c>
      <c r="CH26" s="259">
        <f t="shared" si="48"/>
        <v>150000</v>
      </c>
      <c r="CI26" s="259">
        <f t="shared" si="48"/>
        <v>100000</v>
      </c>
      <c r="CJ26" s="259">
        <f t="shared" si="48"/>
        <v>100000</v>
      </c>
      <c r="CK26" s="259">
        <f t="shared" si="48"/>
        <v>75000</v>
      </c>
      <c r="CL26" s="883">
        <f>SUM(BZ26:CK26)</f>
        <v>1069000</v>
      </c>
      <c r="CM26" s="902">
        <v>15000</v>
      </c>
      <c r="CN26" s="260">
        <f>BN26*90%</f>
        <v>13500</v>
      </c>
      <c r="CO26" s="260">
        <v>20000</v>
      </c>
      <c r="CP26" s="260">
        <v>15000</v>
      </c>
      <c r="CQ26" s="260">
        <f>BQ26*90%</f>
        <v>14400</v>
      </c>
      <c r="CR26" s="260">
        <f>BR26*90%</f>
        <v>14400</v>
      </c>
      <c r="CS26" s="260">
        <f>BS26*90%</f>
        <v>14400</v>
      </c>
      <c r="CT26" s="260">
        <v>25000</v>
      </c>
      <c r="CU26" s="260">
        <v>30000</v>
      </c>
      <c r="CV26" s="260">
        <v>22000</v>
      </c>
      <c r="CW26" s="260">
        <v>20000</v>
      </c>
      <c r="CX26" s="260">
        <f>BX26*90%</f>
        <v>13500</v>
      </c>
      <c r="CY26" s="876">
        <f>SUM(CM26:CX26)</f>
        <v>217200</v>
      </c>
      <c r="CZ26" s="962">
        <f t="shared" si="49"/>
        <v>75000</v>
      </c>
      <c r="DA26" s="259">
        <f t="shared" si="49"/>
        <v>67500</v>
      </c>
      <c r="DB26" s="259">
        <f t="shared" si="49"/>
        <v>100000</v>
      </c>
      <c r="DC26" s="259">
        <f t="shared" si="49"/>
        <v>75000</v>
      </c>
      <c r="DD26" s="259">
        <f t="shared" si="49"/>
        <v>72000</v>
      </c>
      <c r="DE26" s="259">
        <f t="shared" si="49"/>
        <v>72000</v>
      </c>
      <c r="DF26" s="259">
        <f t="shared" si="49"/>
        <v>72000</v>
      </c>
      <c r="DG26" s="259">
        <f t="shared" si="49"/>
        <v>125000</v>
      </c>
      <c r="DH26" s="259">
        <f t="shared" si="49"/>
        <v>150000</v>
      </c>
      <c r="DI26" s="259">
        <f t="shared" si="49"/>
        <v>110000</v>
      </c>
      <c r="DJ26" s="259">
        <f t="shared" si="49"/>
        <v>100000</v>
      </c>
      <c r="DK26" s="259">
        <f t="shared" si="49"/>
        <v>67500</v>
      </c>
      <c r="DL26" s="878">
        <f>SUM(CZ26:DK26)</f>
        <v>1086000</v>
      </c>
      <c r="DM26" s="902">
        <v>3000</v>
      </c>
      <c r="DN26" s="260">
        <f>CN26*90%</f>
        <v>12150</v>
      </c>
      <c r="DO26" s="260">
        <f>CO26*90%</f>
        <v>18000</v>
      </c>
      <c r="DP26" s="260">
        <f>CP26*90%</f>
        <v>13500</v>
      </c>
      <c r="DQ26" s="260">
        <f>CQ26*90%</f>
        <v>12960</v>
      </c>
      <c r="DR26" s="260">
        <f>CR26*90%</f>
        <v>12960</v>
      </c>
      <c r="DS26" s="260">
        <f>CS26*90%</f>
        <v>12960</v>
      </c>
      <c r="DT26" s="260">
        <v>25000</v>
      </c>
      <c r="DU26" s="260">
        <v>30000</v>
      </c>
      <c r="DV26" s="260">
        <v>20000</v>
      </c>
      <c r="DW26" s="260">
        <v>20000</v>
      </c>
      <c r="DX26" s="260">
        <f>CX26*90%</f>
        <v>12150</v>
      </c>
      <c r="DY26" s="531">
        <f>SUM(DM26:DX26)</f>
        <v>192680</v>
      </c>
      <c r="DZ26" s="259">
        <v>71809</v>
      </c>
      <c r="EA26" s="259">
        <v>100856</v>
      </c>
      <c r="EB26" s="259">
        <f t="shared" si="51"/>
        <v>90000</v>
      </c>
      <c r="EC26" s="259">
        <f t="shared" si="51"/>
        <v>67500</v>
      </c>
      <c r="ED26" s="259">
        <f t="shared" si="51"/>
        <v>64800</v>
      </c>
      <c r="EE26" s="259">
        <f t="shared" si="51"/>
        <v>64800</v>
      </c>
      <c r="EF26" s="259">
        <f t="shared" si="51"/>
        <v>64800</v>
      </c>
      <c r="EG26" s="259">
        <f t="shared" si="51"/>
        <v>125000</v>
      </c>
      <c r="EH26" s="259">
        <f t="shared" si="51"/>
        <v>150000</v>
      </c>
      <c r="EI26" s="259">
        <f t="shared" si="51"/>
        <v>100000</v>
      </c>
      <c r="EJ26" s="259">
        <f t="shared" si="51"/>
        <v>100000</v>
      </c>
      <c r="EK26" s="259">
        <f t="shared" si="51"/>
        <v>60750</v>
      </c>
      <c r="EL26" s="878">
        <f>SUM(DZ26:EK26)</f>
        <v>1060315</v>
      </c>
    </row>
    <row r="27" spans="1:142">
      <c r="A27" s="964" t="s">
        <v>649</v>
      </c>
      <c r="B27" s="904" t="s">
        <v>653</v>
      </c>
      <c r="C27" s="908" t="s">
        <v>654</v>
      </c>
      <c r="D27" s="540">
        <v>9.3800000000000008</v>
      </c>
      <c r="E27" s="542">
        <v>9.3800000000000008</v>
      </c>
      <c r="F27" s="542">
        <v>9.3800000000000008</v>
      </c>
      <c r="G27" s="562">
        <v>9.3800000000000008</v>
      </c>
      <c r="H27" s="540">
        <v>9.3800000000000008</v>
      </c>
      <c r="I27" s="542">
        <v>9.3800000000000008</v>
      </c>
      <c r="J27" s="542">
        <v>9.3800000000000008</v>
      </c>
      <c r="K27" s="939">
        <v>9.3800000000000008</v>
      </c>
      <c r="L27" s="875"/>
      <c r="M27" s="899">
        <v>3980</v>
      </c>
      <c r="N27" s="260">
        <v>6109</v>
      </c>
      <c r="O27" s="260">
        <v>10411</v>
      </c>
      <c r="P27" s="260">
        <v>2302</v>
      </c>
      <c r="Q27" s="260">
        <v>5570</v>
      </c>
      <c r="R27" s="260">
        <v>1728</v>
      </c>
      <c r="S27" s="260">
        <f>850+500</f>
        <v>1350</v>
      </c>
      <c r="T27" s="260">
        <v>2000</v>
      </c>
      <c r="U27" s="260">
        <v>5000</v>
      </c>
      <c r="V27" s="260">
        <v>7000</v>
      </c>
      <c r="W27" s="260">
        <v>9000</v>
      </c>
      <c r="X27" s="260">
        <v>2000</v>
      </c>
      <c r="Y27" s="876">
        <f>SUM(M27:X27)</f>
        <v>56450</v>
      </c>
      <c r="Z27" s="962">
        <v>37326</v>
      </c>
      <c r="AA27" s="259">
        <v>22258</v>
      </c>
      <c r="AB27" s="259">
        <v>83632.506999999998</v>
      </c>
      <c r="AC27" s="259">
        <v>14608.99</v>
      </c>
      <c r="AD27" s="259">
        <v>57085.126000000004</v>
      </c>
      <c r="AE27" s="259">
        <v>15921</v>
      </c>
      <c r="AF27" s="259">
        <v>17686.2</v>
      </c>
      <c r="AG27" s="259">
        <f t="shared" si="45"/>
        <v>10000</v>
      </c>
      <c r="AH27" s="259">
        <f t="shared" si="45"/>
        <v>25000</v>
      </c>
      <c r="AI27" s="259">
        <f t="shared" si="45"/>
        <v>35000</v>
      </c>
      <c r="AJ27" s="259">
        <f t="shared" si="45"/>
        <v>45000</v>
      </c>
      <c r="AK27" s="259">
        <f t="shared" si="45"/>
        <v>10000</v>
      </c>
      <c r="AL27" s="878">
        <f>SUM(Z27:AK27)</f>
        <v>373517.82299999997</v>
      </c>
      <c r="AM27" s="902">
        <v>10000</v>
      </c>
      <c r="AN27" s="260">
        <v>5500</v>
      </c>
      <c r="AO27" s="260">
        <v>5600</v>
      </c>
      <c r="AP27" s="260">
        <v>4500</v>
      </c>
      <c r="AQ27" s="260">
        <v>1500</v>
      </c>
      <c r="AR27" s="260">
        <v>1500</v>
      </c>
      <c r="AS27" s="260">
        <v>2000</v>
      </c>
      <c r="AT27" s="260">
        <v>2500</v>
      </c>
      <c r="AU27" s="260">
        <f>U27*90%</f>
        <v>4500</v>
      </c>
      <c r="AV27" s="260">
        <v>6000</v>
      </c>
      <c r="AW27" s="260">
        <f>W27*90%</f>
        <v>8100</v>
      </c>
      <c r="AX27" s="260">
        <v>4000</v>
      </c>
      <c r="AY27" s="876">
        <f>SUM(AM27:AX27)</f>
        <v>55700</v>
      </c>
      <c r="AZ27" s="877">
        <f t="shared" si="46"/>
        <v>93800.000000000015</v>
      </c>
      <c r="BA27" s="248">
        <f t="shared" si="46"/>
        <v>51590.000000000007</v>
      </c>
      <c r="BB27" s="248">
        <f t="shared" si="46"/>
        <v>52528.000000000007</v>
      </c>
      <c r="BC27" s="248">
        <f t="shared" si="46"/>
        <v>42210</v>
      </c>
      <c r="BD27" s="248">
        <f t="shared" si="46"/>
        <v>14070.000000000002</v>
      </c>
      <c r="BE27" s="248">
        <f t="shared" si="46"/>
        <v>14070.000000000002</v>
      </c>
      <c r="BF27" s="248">
        <f t="shared" si="46"/>
        <v>18760</v>
      </c>
      <c r="BG27" s="248">
        <f t="shared" si="46"/>
        <v>23450.000000000004</v>
      </c>
      <c r="BH27" s="248">
        <f t="shared" si="46"/>
        <v>42210</v>
      </c>
      <c r="BI27" s="248">
        <f t="shared" si="46"/>
        <v>56280.000000000007</v>
      </c>
      <c r="BJ27" s="248">
        <f t="shared" si="46"/>
        <v>75978</v>
      </c>
      <c r="BK27" s="248">
        <f t="shared" si="46"/>
        <v>37520</v>
      </c>
      <c r="BL27" s="878">
        <f>SUM(AZ27:BK27)</f>
        <v>522466.00000000006</v>
      </c>
      <c r="BM27" s="902">
        <v>3500</v>
      </c>
      <c r="BN27" s="260">
        <v>5500</v>
      </c>
      <c r="BO27" s="260">
        <v>5600</v>
      </c>
      <c r="BP27" s="260">
        <v>4500</v>
      </c>
      <c r="BQ27" s="260">
        <v>1500</v>
      </c>
      <c r="BR27" s="260">
        <v>1500</v>
      </c>
      <c r="BS27" s="260">
        <v>2000</v>
      </c>
      <c r="BT27" s="260">
        <v>2500</v>
      </c>
      <c r="BU27" s="260">
        <f>AU27*90%</f>
        <v>4050</v>
      </c>
      <c r="BV27" s="260">
        <v>6000</v>
      </c>
      <c r="BW27" s="260">
        <f>AW27*90%</f>
        <v>7290</v>
      </c>
      <c r="BX27" s="260">
        <v>4000</v>
      </c>
      <c r="BY27" s="876">
        <f>SUM(BM27:BX27)</f>
        <v>47940</v>
      </c>
      <c r="BZ27" s="963">
        <f t="shared" si="48"/>
        <v>17500</v>
      </c>
      <c r="CA27" s="259">
        <f t="shared" si="48"/>
        <v>27500</v>
      </c>
      <c r="CB27" s="259">
        <f t="shared" si="48"/>
        <v>28000</v>
      </c>
      <c r="CC27" s="259">
        <f t="shared" si="48"/>
        <v>22500</v>
      </c>
      <c r="CD27" s="259">
        <f t="shared" si="48"/>
        <v>7500</v>
      </c>
      <c r="CE27" s="259">
        <f t="shared" si="48"/>
        <v>7500</v>
      </c>
      <c r="CF27" s="259">
        <f t="shared" si="48"/>
        <v>10000</v>
      </c>
      <c r="CG27" s="259">
        <f t="shared" si="48"/>
        <v>12500</v>
      </c>
      <c r="CH27" s="259">
        <f t="shared" si="48"/>
        <v>20250</v>
      </c>
      <c r="CI27" s="259">
        <f t="shared" si="48"/>
        <v>30000</v>
      </c>
      <c r="CJ27" s="259">
        <f t="shared" si="48"/>
        <v>36450</v>
      </c>
      <c r="CK27" s="259">
        <f t="shared" si="48"/>
        <v>20000</v>
      </c>
      <c r="CL27" s="883">
        <f>SUM(BZ27:CK27)</f>
        <v>239700</v>
      </c>
      <c r="CM27" s="902">
        <v>5000</v>
      </c>
      <c r="CN27" s="260">
        <v>5500</v>
      </c>
      <c r="CO27" s="260">
        <v>5600</v>
      </c>
      <c r="CP27" s="260">
        <v>4500</v>
      </c>
      <c r="CQ27" s="260">
        <v>1500</v>
      </c>
      <c r="CR27" s="260">
        <v>1500</v>
      </c>
      <c r="CS27" s="260">
        <v>2000</v>
      </c>
      <c r="CT27" s="260">
        <v>2500</v>
      </c>
      <c r="CU27" s="260">
        <f>BU27*90%</f>
        <v>3645</v>
      </c>
      <c r="CV27" s="260">
        <v>6000</v>
      </c>
      <c r="CW27" s="260">
        <f>BW27*90%</f>
        <v>6561</v>
      </c>
      <c r="CX27" s="260">
        <v>4000</v>
      </c>
      <c r="CY27" s="876">
        <f>SUM(CM27:CX27)</f>
        <v>48306</v>
      </c>
      <c r="CZ27" s="962">
        <f t="shared" si="49"/>
        <v>25000</v>
      </c>
      <c r="DA27" s="259">
        <f t="shared" si="49"/>
        <v>27500</v>
      </c>
      <c r="DB27" s="259">
        <f t="shared" si="49"/>
        <v>28000</v>
      </c>
      <c r="DC27" s="259">
        <f t="shared" si="49"/>
        <v>22500</v>
      </c>
      <c r="DD27" s="259">
        <f t="shared" si="49"/>
        <v>7500</v>
      </c>
      <c r="DE27" s="259">
        <f t="shared" si="49"/>
        <v>7500</v>
      </c>
      <c r="DF27" s="259">
        <f t="shared" si="49"/>
        <v>10000</v>
      </c>
      <c r="DG27" s="259">
        <f t="shared" si="49"/>
        <v>12500</v>
      </c>
      <c r="DH27" s="259">
        <f t="shared" si="49"/>
        <v>18225</v>
      </c>
      <c r="DI27" s="259">
        <f t="shared" si="49"/>
        <v>30000</v>
      </c>
      <c r="DJ27" s="259">
        <f t="shared" si="49"/>
        <v>32805</v>
      </c>
      <c r="DK27" s="259">
        <f t="shared" si="49"/>
        <v>20000</v>
      </c>
      <c r="DL27" s="878">
        <f>SUM(CZ27:DK27)</f>
        <v>241530</v>
      </c>
      <c r="DM27" s="902">
        <v>3500</v>
      </c>
      <c r="DN27" s="260">
        <v>5500</v>
      </c>
      <c r="DO27" s="260">
        <v>5600</v>
      </c>
      <c r="DP27" s="260">
        <v>4500</v>
      </c>
      <c r="DQ27" s="260">
        <v>1500</v>
      </c>
      <c r="DR27" s="260">
        <v>1500</v>
      </c>
      <c r="DS27" s="260">
        <v>2000</v>
      </c>
      <c r="DT27" s="260">
        <v>2500</v>
      </c>
      <c r="DU27" s="260">
        <f>CU27*90%</f>
        <v>3280.5</v>
      </c>
      <c r="DV27" s="260">
        <v>6000</v>
      </c>
      <c r="DW27" s="260">
        <f>CW27*90%</f>
        <v>5904.9000000000005</v>
      </c>
      <c r="DX27" s="260">
        <v>4000</v>
      </c>
      <c r="DY27" s="531">
        <f>SUM(DM27:DX27)</f>
        <v>45785.4</v>
      </c>
      <c r="DZ27" s="259">
        <v>71809</v>
      </c>
      <c r="EA27" s="259">
        <v>100856</v>
      </c>
      <c r="EB27" s="259">
        <f t="shared" si="51"/>
        <v>28000</v>
      </c>
      <c r="EC27" s="259">
        <f t="shared" si="51"/>
        <v>22500</v>
      </c>
      <c r="ED27" s="259">
        <f t="shared" si="51"/>
        <v>7500</v>
      </c>
      <c r="EE27" s="259">
        <f t="shared" si="51"/>
        <v>7500</v>
      </c>
      <c r="EF27" s="259">
        <f t="shared" si="51"/>
        <v>10000</v>
      </c>
      <c r="EG27" s="259">
        <f t="shared" si="51"/>
        <v>12500</v>
      </c>
      <c r="EH27" s="259">
        <f t="shared" si="51"/>
        <v>16402.5</v>
      </c>
      <c r="EI27" s="259">
        <f t="shared" si="51"/>
        <v>30000</v>
      </c>
      <c r="EJ27" s="259">
        <f t="shared" si="51"/>
        <v>29524.500000000004</v>
      </c>
      <c r="EK27" s="259">
        <f t="shared" si="51"/>
        <v>20000</v>
      </c>
      <c r="EL27" s="878">
        <f>SUM(DZ27:EK27)</f>
        <v>356592</v>
      </c>
    </row>
    <row r="28" spans="1:142" ht="19.8" thickBot="1">
      <c r="A28" s="965" t="s">
        <v>649</v>
      </c>
      <c r="B28" s="966" t="s">
        <v>49</v>
      </c>
      <c r="C28" s="967" t="s">
        <v>50</v>
      </c>
      <c r="D28" s="546">
        <v>10000</v>
      </c>
      <c r="E28" s="547">
        <v>10000</v>
      </c>
      <c r="F28" s="547">
        <v>10000</v>
      </c>
      <c r="G28" s="548">
        <v>10000</v>
      </c>
      <c r="H28" s="546">
        <v>10000</v>
      </c>
      <c r="I28" s="547">
        <v>10000</v>
      </c>
      <c r="J28" s="547">
        <v>10000</v>
      </c>
      <c r="K28" s="968">
        <v>10000</v>
      </c>
      <c r="L28" s="969"/>
      <c r="M28" s="970"/>
      <c r="N28" s="261"/>
      <c r="O28" s="261"/>
      <c r="P28" s="261">
        <v>18</v>
      </c>
      <c r="Q28" s="261">
        <v>4</v>
      </c>
      <c r="R28" s="261">
        <v>5</v>
      </c>
      <c r="S28" s="261"/>
      <c r="T28" s="261">
        <v>7</v>
      </c>
      <c r="U28" s="261"/>
      <c r="V28" s="261">
        <v>5</v>
      </c>
      <c r="W28" s="261"/>
      <c r="X28" s="261">
        <v>5</v>
      </c>
      <c r="Y28" s="876">
        <f>SUM(M28:X28)</f>
        <v>44</v>
      </c>
      <c r="Z28" s="962">
        <v>0</v>
      </c>
      <c r="AA28" s="259"/>
      <c r="AB28" s="259">
        <f>O28*$D$25</f>
        <v>0</v>
      </c>
      <c r="AC28" s="259">
        <v>14233.85</v>
      </c>
      <c r="AD28" s="259">
        <f>8841.91-1403.36</f>
        <v>7438.55</v>
      </c>
      <c r="AE28" s="259">
        <v>10497.5</v>
      </c>
      <c r="AF28" s="259"/>
      <c r="AG28" s="259">
        <v>39000</v>
      </c>
      <c r="AH28" s="259">
        <f>U28*$D$28</f>
        <v>0</v>
      </c>
      <c r="AI28" s="259">
        <f>V28*$D$28</f>
        <v>50000</v>
      </c>
      <c r="AJ28" s="259">
        <f>W28*$D$28</f>
        <v>0</v>
      </c>
      <c r="AK28" s="259">
        <f>X28*$D$28</f>
        <v>50000</v>
      </c>
      <c r="AL28" s="878">
        <f>SUM(Z28:AK28)</f>
        <v>171169.9</v>
      </c>
      <c r="AM28" s="971">
        <f>M28*90%</f>
        <v>0</v>
      </c>
      <c r="AN28" s="261">
        <f>N28*90%</f>
        <v>0</v>
      </c>
      <c r="AO28" s="261">
        <f>O28*90%</f>
        <v>0</v>
      </c>
      <c r="AP28" s="261">
        <f>P28*90%</f>
        <v>16.2</v>
      </c>
      <c r="AQ28" s="261">
        <v>4</v>
      </c>
      <c r="AR28" s="261">
        <f>R28*90%</f>
        <v>4.5</v>
      </c>
      <c r="AS28" s="261">
        <v>4</v>
      </c>
      <c r="AT28" s="261">
        <f>T28*90%</f>
        <v>6.3</v>
      </c>
      <c r="AU28" s="261">
        <f>U28*90%</f>
        <v>0</v>
      </c>
      <c r="AV28" s="261">
        <v>4</v>
      </c>
      <c r="AW28" s="261">
        <f>W28*90%</f>
        <v>0</v>
      </c>
      <c r="AX28" s="261">
        <v>4</v>
      </c>
      <c r="AY28" s="876">
        <f>SUM(AM28:AX28)</f>
        <v>43</v>
      </c>
      <c r="AZ28" s="877">
        <f t="shared" si="46"/>
        <v>0</v>
      </c>
      <c r="BA28" s="248">
        <f t="shared" si="46"/>
        <v>0</v>
      </c>
      <c r="BB28" s="248">
        <f t="shared" si="46"/>
        <v>0</v>
      </c>
      <c r="BC28" s="248">
        <f t="shared" si="46"/>
        <v>162000</v>
      </c>
      <c r="BD28" s="248">
        <f t="shared" si="46"/>
        <v>40000</v>
      </c>
      <c r="BE28" s="248">
        <f t="shared" si="46"/>
        <v>45000</v>
      </c>
      <c r="BF28" s="248">
        <f t="shared" si="46"/>
        <v>40000</v>
      </c>
      <c r="BG28" s="248">
        <f t="shared" si="46"/>
        <v>63000</v>
      </c>
      <c r="BH28" s="248">
        <f t="shared" si="46"/>
        <v>0</v>
      </c>
      <c r="BI28" s="248">
        <f t="shared" si="46"/>
        <v>40000</v>
      </c>
      <c r="BJ28" s="248">
        <f t="shared" si="46"/>
        <v>0</v>
      </c>
      <c r="BK28" s="248">
        <f t="shared" si="46"/>
        <v>40000</v>
      </c>
      <c r="BL28" s="878">
        <f t="shared" si="47"/>
        <v>430000</v>
      </c>
      <c r="BM28" s="971">
        <f>AM28*90%</f>
        <v>0</v>
      </c>
      <c r="BN28" s="261">
        <f>AN28*90%</f>
        <v>0</v>
      </c>
      <c r="BO28" s="261">
        <f>AO28*90%</f>
        <v>0</v>
      </c>
      <c r="BP28" s="261">
        <f>AP28*90%</f>
        <v>14.58</v>
      </c>
      <c r="BQ28" s="261">
        <v>4</v>
      </c>
      <c r="BR28" s="261">
        <f>AR28*90%</f>
        <v>4.05</v>
      </c>
      <c r="BS28" s="261">
        <v>4</v>
      </c>
      <c r="BT28" s="261">
        <f>AT28*90%</f>
        <v>5.67</v>
      </c>
      <c r="BU28" s="261">
        <f>AU28*90%</f>
        <v>0</v>
      </c>
      <c r="BV28" s="261">
        <v>4</v>
      </c>
      <c r="BW28" s="261">
        <f>AW28*90%</f>
        <v>0</v>
      </c>
      <c r="BX28" s="261">
        <v>4</v>
      </c>
      <c r="BY28" s="876">
        <f>SUM(BM28:BX28)</f>
        <v>40.299999999999997</v>
      </c>
      <c r="BZ28" s="963">
        <v>0</v>
      </c>
      <c r="CA28" s="259"/>
      <c r="CB28" s="259">
        <f>BO28*$D$25</f>
        <v>0</v>
      </c>
      <c r="CC28" s="259">
        <f>BP28*$D$25</f>
        <v>72.900000000000006</v>
      </c>
      <c r="CD28" s="259">
        <f t="shared" ref="CD28:CK28" si="53">BQ28*$D$28</f>
        <v>40000</v>
      </c>
      <c r="CE28" s="259">
        <f t="shared" si="53"/>
        <v>40500</v>
      </c>
      <c r="CF28" s="259">
        <f t="shared" si="53"/>
        <v>40000</v>
      </c>
      <c r="CG28" s="259">
        <f t="shared" si="53"/>
        <v>56700</v>
      </c>
      <c r="CH28" s="259">
        <f t="shared" si="53"/>
        <v>0</v>
      </c>
      <c r="CI28" s="259">
        <f t="shared" si="53"/>
        <v>40000</v>
      </c>
      <c r="CJ28" s="259">
        <f t="shared" si="53"/>
        <v>0</v>
      </c>
      <c r="CK28" s="259">
        <f t="shared" si="53"/>
        <v>40000</v>
      </c>
      <c r="CL28" s="883">
        <f>SUM(BZ28:CK28)</f>
        <v>257272.9</v>
      </c>
      <c r="CM28" s="971">
        <f>BM28*90%</f>
        <v>0</v>
      </c>
      <c r="CN28" s="261">
        <f>BN28*90%</f>
        <v>0</v>
      </c>
      <c r="CO28" s="261">
        <f>BO28*90%</f>
        <v>0</v>
      </c>
      <c r="CP28" s="261">
        <f>BP28*90%</f>
        <v>13.122</v>
      </c>
      <c r="CQ28" s="261">
        <v>4</v>
      </c>
      <c r="CR28" s="261">
        <f>BR28*90%</f>
        <v>3.645</v>
      </c>
      <c r="CS28" s="261">
        <v>4</v>
      </c>
      <c r="CT28" s="261">
        <f>BT28*90%</f>
        <v>5.1029999999999998</v>
      </c>
      <c r="CU28" s="261">
        <f>BU28*90%</f>
        <v>0</v>
      </c>
      <c r="CV28" s="261">
        <v>4</v>
      </c>
      <c r="CW28" s="261">
        <f>BW28*90%</f>
        <v>0</v>
      </c>
      <c r="CX28" s="261">
        <v>4</v>
      </c>
      <c r="CY28" s="876">
        <f>SUM(CM28:CX28)</f>
        <v>37.869999999999997</v>
      </c>
      <c r="CZ28" s="962">
        <v>0</v>
      </c>
      <c r="DA28" s="259"/>
      <c r="DB28" s="259">
        <f>CO28*$D$25</f>
        <v>0</v>
      </c>
      <c r="DC28" s="259">
        <f>CP28*$D$25</f>
        <v>65.61</v>
      </c>
      <c r="DD28" s="259">
        <f t="shared" ref="DD28:DK28" si="54">CQ28*$D$28</f>
        <v>40000</v>
      </c>
      <c r="DE28" s="259">
        <f t="shared" si="54"/>
        <v>36450</v>
      </c>
      <c r="DF28" s="259">
        <f t="shared" si="54"/>
        <v>40000</v>
      </c>
      <c r="DG28" s="259">
        <f t="shared" si="54"/>
        <v>51030</v>
      </c>
      <c r="DH28" s="259">
        <f t="shared" si="54"/>
        <v>0</v>
      </c>
      <c r="DI28" s="259">
        <f t="shared" si="54"/>
        <v>40000</v>
      </c>
      <c r="DJ28" s="259">
        <f t="shared" si="54"/>
        <v>0</v>
      </c>
      <c r="DK28" s="259">
        <f t="shared" si="54"/>
        <v>40000</v>
      </c>
      <c r="DL28" s="878">
        <f t="shared" si="50"/>
        <v>247545.61</v>
      </c>
      <c r="DM28" s="971">
        <f>CM28*90%</f>
        <v>0</v>
      </c>
      <c r="DN28" s="261">
        <f>CN28*90%</f>
        <v>0</v>
      </c>
      <c r="DO28" s="261">
        <f>CO28*90%</f>
        <v>0</v>
      </c>
      <c r="DP28" s="261">
        <f>CP28*90%</f>
        <v>11.809800000000001</v>
      </c>
      <c r="DQ28" s="261">
        <v>4</v>
      </c>
      <c r="DR28" s="261">
        <f>CR28*90%</f>
        <v>3.2805</v>
      </c>
      <c r="DS28" s="261">
        <v>4</v>
      </c>
      <c r="DT28" s="261">
        <f>CT28*90%</f>
        <v>4.5926999999999998</v>
      </c>
      <c r="DU28" s="261">
        <f>CU28*90%</f>
        <v>0</v>
      </c>
      <c r="DV28" s="261">
        <v>4</v>
      </c>
      <c r="DW28" s="261">
        <f>CW28*90%</f>
        <v>0</v>
      </c>
      <c r="DX28" s="261">
        <v>4</v>
      </c>
      <c r="DY28" s="531">
        <f>SUM(DM28:DX28)</f>
        <v>35.683</v>
      </c>
      <c r="DZ28" s="259">
        <v>0</v>
      </c>
      <c r="EA28" s="259"/>
      <c r="EB28" s="259">
        <f>DO28*$D$25</f>
        <v>0</v>
      </c>
      <c r="EC28" s="259">
        <f>DP28*$D$25</f>
        <v>59.049000000000007</v>
      </c>
      <c r="ED28" s="259">
        <f t="shared" ref="ED28:EK28" si="55">DQ28*$D$28</f>
        <v>40000</v>
      </c>
      <c r="EE28" s="259">
        <f t="shared" si="55"/>
        <v>32805</v>
      </c>
      <c r="EF28" s="259">
        <f t="shared" si="55"/>
        <v>40000</v>
      </c>
      <c r="EG28" s="259">
        <f t="shared" si="55"/>
        <v>45927</v>
      </c>
      <c r="EH28" s="259">
        <f t="shared" si="55"/>
        <v>0</v>
      </c>
      <c r="EI28" s="259">
        <f t="shared" si="55"/>
        <v>40000</v>
      </c>
      <c r="EJ28" s="259">
        <f t="shared" si="55"/>
        <v>0</v>
      </c>
      <c r="EK28" s="259">
        <f t="shared" si="55"/>
        <v>40000</v>
      </c>
      <c r="EL28" s="878">
        <f t="shared" si="52"/>
        <v>238791.049</v>
      </c>
    </row>
    <row r="29" spans="1:142" ht="20.399999999999999" thickTop="1" thickBot="1">
      <c r="A29" s="7261" t="s">
        <v>51</v>
      </c>
      <c r="B29" s="7262"/>
      <c r="C29" s="7263"/>
      <c r="D29" s="889"/>
      <c r="E29" s="889"/>
      <c r="F29" s="889"/>
      <c r="G29" s="889"/>
      <c r="H29" s="889"/>
      <c r="I29" s="889"/>
      <c r="J29" s="889"/>
      <c r="K29" s="890"/>
      <c r="L29" s="891"/>
      <c r="M29" s="892">
        <f t="shared" ref="M29:BX29" si="56">SUM(M25:M28)</f>
        <v>26010</v>
      </c>
      <c r="N29" s="892">
        <f t="shared" si="56"/>
        <v>38263</v>
      </c>
      <c r="O29" s="892">
        <f t="shared" si="56"/>
        <v>52393</v>
      </c>
      <c r="P29" s="892">
        <f t="shared" si="56"/>
        <v>11839</v>
      </c>
      <c r="Q29" s="892">
        <f t="shared" si="56"/>
        <v>49150</v>
      </c>
      <c r="R29" s="892">
        <f t="shared" si="56"/>
        <v>10942</v>
      </c>
      <c r="S29" s="892">
        <f t="shared" si="56"/>
        <v>17024</v>
      </c>
      <c r="T29" s="892">
        <f t="shared" si="56"/>
        <v>44007</v>
      </c>
      <c r="U29" s="892">
        <f t="shared" si="56"/>
        <v>55000</v>
      </c>
      <c r="V29" s="892">
        <f t="shared" si="56"/>
        <v>49005</v>
      </c>
      <c r="W29" s="892">
        <f t="shared" si="56"/>
        <v>65500</v>
      </c>
      <c r="X29" s="892">
        <f t="shared" si="56"/>
        <v>42005</v>
      </c>
      <c r="Y29" s="536">
        <f t="shared" si="56"/>
        <v>461138</v>
      </c>
      <c r="Z29" s="541">
        <f t="shared" si="56"/>
        <v>71809.08</v>
      </c>
      <c r="AA29" s="541">
        <f t="shared" si="56"/>
        <v>100856.008</v>
      </c>
      <c r="AB29" s="541">
        <f>SUM(AB25:AB28)</f>
        <v>188089.103</v>
      </c>
      <c r="AC29" s="541">
        <f>SUM(AC25:AC28)</f>
        <v>102468.63000000002</v>
      </c>
      <c r="AD29" s="541">
        <f>SUM(AD25:AD28)</f>
        <v>241475.12399999995</v>
      </c>
      <c r="AE29" s="541">
        <f>SUM(AE25:AE28)</f>
        <v>98381.67</v>
      </c>
      <c r="AF29" s="541">
        <f t="shared" si="56"/>
        <v>89156.26999999999</v>
      </c>
      <c r="AG29" s="541">
        <f t="shared" si="56"/>
        <v>220000</v>
      </c>
      <c r="AH29" s="541">
        <f t="shared" si="56"/>
        <v>275000</v>
      </c>
      <c r="AI29" s="541">
        <f t="shared" si="56"/>
        <v>295000</v>
      </c>
      <c r="AJ29" s="541">
        <f t="shared" si="56"/>
        <v>327500</v>
      </c>
      <c r="AK29" s="541">
        <f t="shared" si="56"/>
        <v>260000</v>
      </c>
      <c r="AL29" s="538">
        <f t="shared" si="56"/>
        <v>2269735.8849999998</v>
      </c>
      <c r="AM29" s="535">
        <f t="shared" si="56"/>
        <v>41000</v>
      </c>
      <c r="AN29" s="535">
        <f t="shared" si="56"/>
        <v>34438.6</v>
      </c>
      <c r="AO29" s="535">
        <f t="shared" si="56"/>
        <v>40600</v>
      </c>
      <c r="AP29" s="535">
        <f t="shared" si="56"/>
        <v>28516.2</v>
      </c>
      <c r="AQ29" s="535">
        <f t="shared" si="56"/>
        <v>40722.400000000001</v>
      </c>
      <c r="AR29" s="535">
        <f t="shared" si="56"/>
        <v>9792.6</v>
      </c>
      <c r="AS29" s="535">
        <f t="shared" si="56"/>
        <v>16110.6</v>
      </c>
      <c r="AT29" s="535">
        <f t="shared" si="56"/>
        <v>42806.3</v>
      </c>
      <c r="AU29" s="535">
        <f t="shared" si="56"/>
        <v>48500</v>
      </c>
      <c r="AV29" s="535">
        <f t="shared" si="56"/>
        <v>36004</v>
      </c>
      <c r="AW29" s="535">
        <f t="shared" si="56"/>
        <v>40100</v>
      </c>
      <c r="AX29" s="535">
        <f t="shared" si="56"/>
        <v>40004</v>
      </c>
      <c r="AY29" s="536">
        <f t="shared" si="56"/>
        <v>418594.69999999995</v>
      </c>
      <c r="AZ29" s="541">
        <f t="shared" si="56"/>
        <v>248800</v>
      </c>
      <c r="BA29" s="541">
        <f t="shared" si="56"/>
        <v>196283</v>
      </c>
      <c r="BB29" s="541">
        <f t="shared" si="56"/>
        <v>227528</v>
      </c>
      <c r="BC29" s="541">
        <f t="shared" si="56"/>
        <v>324210</v>
      </c>
      <c r="BD29" s="541">
        <f t="shared" si="56"/>
        <v>250162</v>
      </c>
      <c r="BE29" s="541">
        <f t="shared" si="56"/>
        <v>100510.5</v>
      </c>
      <c r="BF29" s="541">
        <f t="shared" si="56"/>
        <v>129293</v>
      </c>
      <c r="BG29" s="541">
        <f t="shared" si="56"/>
        <v>287950</v>
      </c>
      <c r="BH29" s="541">
        <f t="shared" si="56"/>
        <v>262210</v>
      </c>
      <c r="BI29" s="541">
        <f t="shared" si="56"/>
        <v>246280</v>
      </c>
      <c r="BJ29" s="541">
        <f t="shared" si="56"/>
        <v>235978</v>
      </c>
      <c r="BK29" s="541">
        <f t="shared" si="56"/>
        <v>257520</v>
      </c>
      <c r="BL29" s="538">
        <f t="shared" si="56"/>
        <v>2766724.5</v>
      </c>
      <c r="BM29" s="535">
        <f t="shared" si="56"/>
        <v>43500</v>
      </c>
      <c r="BN29" s="535">
        <f t="shared" si="56"/>
        <v>35500</v>
      </c>
      <c r="BO29" s="535">
        <f t="shared" si="56"/>
        <v>38600</v>
      </c>
      <c r="BP29" s="535">
        <f t="shared" si="56"/>
        <v>27314.58</v>
      </c>
      <c r="BQ29" s="535">
        <f t="shared" si="56"/>
        <v>26504</v>
      </c>
      <c r="BR29" s="535">
        <f t="shared" si="56"/>
        <v>26504.05</v>
      </c>
      <c r="BS29" s="535">
        <f t="shared" si="56"/>
        <v>28004</v>
      </c>
      <c r="BT29" s="535">
        <f t="shared" si="56"/>
        <v>41505.67</v>
      </c>
      <c r="BU29" s="535">
        <f t="shared" si="56"/>
        <v>48050</v>
      </c>
      <c r="BV29" s="535">
        <f t="shared" si="56"/>
        <v>36004</v>
      </c>
      <c r="BW29" s="535">
        <f t="shared" si="56"/>
        <v>47290</v>
      </c>
      <c r="BX29" s="535">
        <f t="shared" si="56"/>
        <v>29004</v>
      </c>
      <c r="BY29" s="536">
        <f t="shared" ref="BY29:EJ29" si="57">SUM(BY25:BY28)</f>
        <v>427780.3</v>
      </c>
      <c r="BZ29" s="937">
        <f t="shared" si="57"/>
        <v>217500</v>
      </c>
      <c r="CA29" s="541">
        <f t="shared" si="57"/>
        <v>177500</v>
      </c>
      <c r="CB29" s="541">
        <f t="shared" si="57"/>
        <v>193000</v>
      </c>
      <c r="CC29" s="541">
        <f t="shared" si="57"/>
        <v>136572.9</v>
      </c>
      <c r="CD29" s="541">
        <f t="shared" si="57"/>
        <v>172500</v>
      </c>
      <c r="CE29" s="541">
        <f t="shared" si="57"/>
        <v>173000</v>
      </c>
      <c r="CF29" s="541">
        <f t="shared" si="57"/>
        <v>180000</v>
      </c>
      <c r="CG29" s="541">
        <f t="shared" si="57"/>
        <v>264200</v>
      </c>
      <c r="CH29" s="541">
        <f t="shared" si="57"/>
        <v>240250</v>
      </c>
      <c r="CI29" s="541">
        <f t="shared" si="57"/>
        <v>220000</v>
      </c>
      <c r="CJ29" s="541">
        <f t="shared" si="57"/>
        <v>236450</v>
      </c>
      <c r="CK29" s="541">
        <f t="shared" si="57"/>
        <v>185000</v>
      </c>
      <c r="CL29" s="894">
        <f t="shared" si="57"/>
        <v>2395972.9</v>
      </c>
      <c r="CM29" s="535">
        <f t="shared" si="57"/>
        <v>38000</v>
      </c>
      <c r="CN29" s="535">
        <f t="shared" si="57"/>
        <v>32500</v>
      </c>
      <c r="CO29" s="535">
        <f t="shared" si="57"/>
        <v>41800</v>
      </c>
      <c r="CP29" s="535">
        <f t="shared" si="57"/>
        <v>31513.121999999999</v>
      </c>
      <c r="CQ29" s="535">
        <f t="shared" si="57"/>
        <v>24004</v>
      </c>
      <c r="CR29" s="535">
        <f t="shared" si="57"/>
        <v>27903.645</v>
      </c>
      <c r="CS29" s="535">
        <f t="shared" si="57"/>
        <v>28404</v>
      </c>
      <c r="CT29" s="535">
        <f t="shared" si="57"/>
        <v>42505.103000000003</v>
      </c>
      <c r="CU29" s="535">
        <f t="shared" si="57"/>
        <v>47645</v>
      </c>
      <c r="CV29" s="535">
        <f t="shared" si="57"/>
        <v>43004</v>
      </c>
      <c r="CW29" s="535">
        <f t="shared" si="57"/>
        <v>38561</v>
      </c>
      <c r="CX29" s="535">
        <f t="shared" si="57"/>
        <v>26504</v>
      </c>
      <c r="CY29" s="536">
        <f t="shared" si="57"/>
        <v>422343.87</v>
      </c>
      <c r="CZ29" s="541">
        <f t="shared" si="57"/>
        <v>190000</v>
      </c>
      <c r="DA29" s="541">
        <f t="shared" si="57"/>
        <v>162500</v>
      </c>
      <c r="DB29" s="541">
        <f t="shared" si="57"/>
        <v>209000</v>
      </c>
      <c r="DC29" s="541">
        <f t="shared" si="57"/>
        <v>157565.60999999999</v>
      </c>
      <c r="DD29" s="541">
        <f t="shared" si="57"/>
        <v>160000</v>
      </c>
      <c r="DE29" s="541">
        <f t="shared" si="57"/>
        <v>175950</v>
      </c>
      <c r="DF29" s="541">
        <f t="shared" si="57"/>
        <v>182000</v>
      </c>
      <c r="DG29" s="541">
        <f t="shared" si="57"/>
        <v>263530</v>
      </c>
      <c r="DH29" s="541">
        <f t="shared" si="57"/>
        <v>238225</v>
      </c>
      <c r="DI29" s="541">
        <f t="shared" si="57"/>
        <v>255000</v>
      </c>
      <c r="DJ29" s="541">
        <f t="shared" si="57"/>
        <v>192805</v>
      </c>
      <c r="DK29" s="541">
        <f t="shared" si="57"/>
        <v>172500</v>
      </c>
      <c r="DL29" s="538">
        <f t="shared" si="57"/>
        <v>2359075.61</v>
      </c>
      <c r="DM29" s="892">
        <f t="shared" si="57"/>
        <v>22500</v>
      </c>
      <c r="DN29" s="535">
        <f t="shared" si="57"/>
        <v>29800</v>
      </c>
      <c r="DO29" s="535">
        <f t="shared" si="57"/>
        <v>38180</v>
      </c>
      <c r="DP29" s="535">
        <f t="shared" si="57"/>
        <v>30011.809799999999</v>
      </c>
      <c r="DQ29" s="535">
        <f t="shared" si="57"/>
        <v>21754</v>
      </c>
      <c r="DR29" s="535">
        <f t="shared" si="57"/>
        <v>25263.280500000001</v>
      </c>
      <c r="DS29" s="535">
        <f t="shared" si="57"/>
        <v>25764</v>
      </c>
      <c r="DT29" s="535">
        <f t="shared" si="57"/>
        <v>41004.592700000001</v>
      </c>
      <c r="DU29" s="535">
        <f t="shared" si="57"/>
        <v>47280.5</v>
      </c>
      <c r="DV29" s="535">
        <f t="shared" si="57"/>
        <v>36004</v>
      </c>
      <c r="DW29" s="535">
        <f t="shared" si="57"/>
        <v>37904.9</v>
      </c>
      <c r="DX29" s="535">
        <f t="shared" si="57"/>
        <v>24254</v>
      </c>
      <c r="DY29" s="536">
        <f t="shared" si="57"/>
        <v>379721.08300000004</v>
      </c>
      <c r="DZ29" s="541">
        <f t="shared" si="57"/>
        <v>215427</v>
      </c>
      <c r="EA29" s="541">
        <f t="shared" si="57"/>
        <v>302568</v>
      </c>
      <c r="EB29" s="541">
        <f t="shared" si="57"/>
        <v>190900</v>
      </c>
      <c r="EC29" s="541">
        <f t="shared" si="57"/>
        <v>150059.049</v>
      </c>
      <c r="ED29" s="541">
        <f t="shared" si="57"/>
        <v>148750</v>
      </c>
      <c r="EE29" s="541">
        <f t="shared" si="57"/>
        <v>159105</v>
      </c>
      <c r="EF29" s="541">
        <f t="shared" si="57"/>
        <v>168800</v>
      </c>
      <c r="EG29" s="541">
        <f t="shared" si="57"/>
        <v>250927</v>
      </c>
      <c r="EH29" s="541">
        <f t="shared" si="57"/>
        <v>236402.5</v>
      </c>
      <c r="EI29" s="541">
        <f t="shared" si="57"/>
        <v>220000</v>
      </c>
      <c r="EJ29" s="541">
        <f t="shared" si="57"/>
        <v>189524.5</v>
      </c>
      <c r="EK29" s="541">
        <f>SUM(EK25:EK28)</f>
        <v>161250</v>
      </c>
      <c r="EL29" s="538">
        <f>SUM(EL25:EL28)</f>
        <v>2393713.0490000001</v>
      </c>
    </row>
    <row r="30" spans="1:142" ht="19.8" thickTop="1">
      <c r="A30" s="961" t="s">
        <v>655</v>
      </c>
      <c r="B30" s="904" t="s">
        <v>656</v>
      </c>
      <c r="C30" s="972" t="s">
        <v>52</v>
      </c>
      <c r="D30" s="549">
        <v>2.1800000000000002</v>
      </c>
      <c r="E30" s="550">
        <v>2.1925240205091026</v>
      </c>
      <c r="F30" s="550">
        <v>2.2047276812941963</v>
      </c>
      <c r="G30" s="551">
        <v>2.2400000000000002</v>
      </c>
      <c r="H30" s="549">
        <f>G30</f>
        <v>2.2400000000000002</v>
      </c>
      <c r="I30" s="550">
        <f>H30</f>
        <v>2.2400000000000002</v>
      </c>
      <c r="J30" s="550">
        <f>I30</f>
        <v>2.2400000000000002</v>
      </c>
      <c r="K30" s="973">
        <f>J30</f>
        <v>2.2400000000000002</v>
      </c>
      <c r="L30" s="974"/>
      <c r="M30" s="555">
        <v>30240</v>
      </c>
      <c r="N30" s="530">
        <v>31968</v>
      </c>
      <c r="O30" s="530">
        <v>44664</v>
      </c>
      <c r="P30" s="530"/>
      <c r="Q30" s="530">
        <v>22140</v>
      </c>
      <c r="R30" s="530">
        <v>36288</v>
      </c>
      <c r="S30" s="530">
        <v>12612</v>
      </c>
      <c r="T30" s="530">
        <v>15000</v>
      </c>
      <c r="U30" s="530">
        <v>20000</v>
      </c>
      <c r="V30" s="530">
        <v>25000</v>
      </c>
      <c r="W30" s="530">
        <v>25000</v>
      </c>
      <c r="X30" s="530">
        <v>25000</v>
      </c>
      <c r="Y30" s="876">
        <f t="shared" ref="Y30:Y73" si="58">SUM(M30:X30)</f>
        <v>287912</v>
      </c>
      <c r="Z30" s="877">
        <v>65923.200000000012</v>
      </c>
      <c r="AA30" s="248">
        <v>69690.240000000005</v>
      </c>
      <c r="AB30" s="248">
        <v>97367.52</v>
      </c>
      <c r="AC30" s="248">
        <f t="shared" ref="AC30:AC37" si="59">P30*$E30</f>
        <v>0</v>
      </c>
      <c r="AD30" s="248">
        <f>48265.2</f>
        <v>48265.2</v>
      </c>
      <c r="AE30" s="248">
        <v>79447.92</v>
      </c>
      <c r="AF30" s="248">
        <f>S30*2.19</f>
        <v>27620.28</v>
      </c>
      <c r="AG30" s="248">
        <f t="shared" ref="AG30:AH42" si="60">T30*$F30</f>
        <v>33070.915219412942</v>
      </c>
      <c r="AH30" s="248">
        <f t="shared" si="60"/>
        <v>44094.553625883927</v>
      </c>
      <c r="AI30" s="248">
        <f t="shared" ref="AI30:AK59" si="61">V30*$G30</f>
        <v>56000.000000000007</v>
      </c>
      <c r="AJ30" s="248">
        <f t="shared" si="61"/>
        <v>56000.000000000007</v>
      </c>
      <c r="AK30" s="248">
        <f t="shared" si="61"/>
        <v>56000.000000000007</v>
      </c>
      <c r="AL30" s="878">
        <f t="shared" ref="AL30:AL73" si="62">SUM(Z30:AK30)</f>
        <v>633479.82884529687</v>
      </c>
      <c r="AM30" s="975">
        <f>291388/12</f>
        <v>24282.333333333332</v>
      </c>
      <c r="AN30" s="976">
        <f t="shared" ref="AN30:AX30" si="63">291388/12</f>
        <v>24282.333333333332</v>
      </c>
      <c r="AO30" s="976">
        <f t="shared" si="63"/>
        <v>24282.333333333332</v>
      </c>
      <c r="AP30" s="976">
        <f t="shared" si="63"/>
        <v>24282.333333333332</v>
      </c>
      <c r="AQ30" s="976">
        <f t="shared" si="63"/>
        <v>24282.333333333332</v>
      </c>
      <c r="AR30" s="976">
        <f t="shared" si="63"/>
        <v>24282.333333333332</v>
      </c>
      <c r="AS30" s="976">
        <f t="shared" si="63"/>
        <v>24282.333333333332</v>
      </c>
      <c r="AT30" s="976">
        <f t="shared" si="63"/>
        <v>24282.333333333332</v>
      </c>
      <c r="AU30" s="976">
        <f t="shared" si="63"/>
        <v>24282.333333333332</v>
      </c>
      <c r="AV30" s="976">
        <f t="shared" si="63"/>
        <v>24282.333333333332</v>
      </c>
      <c r="AW30" s="976">
        <f t="shared" si="63"/>
        <v>24282.333333333332</v>
      </c>
      <c r="AX30" s="976">
        <f t="shared" si="63"/>
        <v>24282.333333333332</v>
      </c>
      <c r="AY30" s="977">
        <f t="shared" ref="AY30:AY72" si="64">SUM(AM30:AX30)</f>
        <v>291388</v>
      </c>
      <c r="AZ30" s="877">
        <f t="shared" ref="AZ30:BK51" si="65">AM30*$H30</f>
        <v>54392.426666666666</v>
      </c>
      <c r="BA30" s="248">
        <f t="shared" si="65"/>
        <v>54392.426666666666</v>
      </c>
      <c r="BB30" s="248">
        <f t="shared" si="65"/>
        <v>54392.426666666666</v>
      </c>
      <c r="BC30" s="248">
        <f t="shared" si="65"/>
        <v>54392.426666666666</v>
      </c>
      <c r="BD30" s="248">
        <f t="shared" si="65"/>
        <v>54392.426666666666</v>
      </c>
      <c r="BE30" s="248">
        <f t="shared" si="65"/>
        <v>54392.426666666666</v>
      </c>
      <c r="BF30" s="248">
        <f t="shared" si="65"/>
        <v>54392.426666666666</v>
      </c>
      <c r="BG30" s="248">
        <f t="shared" si="65"/>
        <v>54392.426666666666</v>
      </c>
      <c r="BH30" s="248">
        <f t="shared" si="65"/>
        <v>54392.426666666666</v>
      </c>
      <c r="BI30" s="248">
        <f t="shared" si="65"/>
        <v>54392.426666666666</v>
      </c>
      <c r="BJ30" s="248">
        <f t="shared" si="65"/>
        <v>54392.426666666666</v>
      </c>
      <c r="BK30" s="248">
        <f t="shared" si="65"/>
        <v>54392.426666666666</v>
      </c>
      <c r="BL30" s="878">
        <f t="shared" si="47"/>
        <v>652709.11999999976</v>
      </c>
      <c r="BM30" s="975"/>
      <c r="BN30" s="976"/>
      <c r="BO30" s="976"/>
      <c r="BP30" s="976"/>
      <c r="BQ30" s="976"/>
      <c r="BR30" s="976"/>
      <c r="BS30" s="976"/>
      <c r="BT30" s="976"/>
      <c r="BU30" s="976"/>
      <c r="BV30" s="976"/>
      <c r="BW30" s="976"/>
      <c r="BX30" s="976"/>
      <c r="BY30" s="977">
        <f t="shared" ref="BY30:BY72" si="66">SUM(BM30:BX30)</f>
        <v>0</v>
      </c>
      <c r="BZ30" s="877">
        <f t="shared" ref="BZ30:CK51" si="67">BM30*$I30</f>
        <v>0</v>
      </c>
      <c r="CA30" s="248">
        <f t="shared" si="67"/>
        <v>0</v>
      </c>
      <c r="CB30" s="248">
        <f t="shared" si="67"/>
        <v>0</v>
      </c>
      <c r="CC30" s="248">
        <f t="shared" si="67"/>
        <v>0</v>
      </c>
      <c r="CD30" s="248">
        <f t="shared" si="67"/>
        <v>0</v>
      </c>
      <c r="CE30" s="248">
        <f t="shared" si="67"/>
        <v>0</v>
      </c>
      <c r="CF30" s="248">
        <f t="shared" si="67"/>
        <v>0</v>
      </c>
      <c r="CG30" s="248">
        <f t="shared" si="67"/>
        <v>0</v>
      </c>
      <c r="CH30" s="248">
        <f t="shared" si="67"/>
        <v>0</v>
      </c>
      <c r="CI30" s="248">
        <f t="shared" si="67"/>
        <v>0</v>
      </c>
      <c r="CJ30" s="248">
        <f t="shared" si="67"/>
        <v>0</v>
      </c>
      <c r="CK30" s="248">
        <f t="shared" si="67"/>
        <v>0</v>
      </c>
      <c r="CL30" s="878">
        <f t="shared" ref="CL30:CL72" si="68">SUM(BZ30:CK30)</f>
        <v>0</v>
      </c>
      <c r="CM30" s="975"/>
      <c r="CN30" s="976"/>
      <c r="CO30" s="976"/>
      <c r="CP30" s="976"/>
      <c r="CQ30" s="976"/>
      <c r="CR30" s="976"/>
      <c r="CS30" s="976"/>
      <c r="CT30" s="976"/>
      <c r="CU30" s="976"/>
      <c r="CV30" s="976"/>
      <c r="CW30" s="976"/>
      <c r="CX30" s="976"/>
      <c r="CY30" s="977">
        <f t="shared" ref="CY30:CY72" si="69">SUM(CM30:CX30)</f>
        <v>0</v>
      </c>
      <c r="CZ30" s="877">
        <f t="shared" ref="CZ30:DK51" si="70">CM30*$J30</f>
        <v>0</v>
      </c>
      <c r="DA30" s="248">
        <f t="shared" si="70"/>
        <v>0</v>
      </c>
      <c r="DB30" s="248">
        <f t="shared" si="70"/>
        <v>0</v>
      </c>
      <c r="DC30" s="248">
        <f t="shared" si="70"/>
        <v>0</v>
      </c>
      <c r="DD30" s="248">
        <f t="shared" si="70"/>
        <v>0</v>
      </c>
      <c r="DE30" s="248">
        <f t="shared" si="70"/>
        <v>0</v>
      </c>
      <c r="DF30" s="248">
        <f t="shared" si="70"/>
        <v>0</v>
      </c>
      <c r="DG30" s="248">
        <f t="shared" si="70"/>
        <v>0</v>
      </c>
      <c r="DH30" s="248">
        <f t="shared" si="70"/>
        <v>0</v>
      </c>
      <c r="DI30" s="248">
        <f t="shared" si="70"/>
        <v>0</v>
      </c>
      <c r="DJ30" s="248">
        <f t="shared" si="70"/>
        <v>0</v>
      </c>
      <c r="DK30" s="248">
        <f t="shared" si="70"/>
        <v>0</v>
      </c>
      <c r="DL30" s="878">
        <f t="shared" si="50"/>
        <v>0</v>
      </c>
      <c r="DM30" s="975"/>
      <c r="DN30" s="976"/>
      <c r="DO30" s="976"/>
      <c r="DP30" s="976"/>
      <c r="DQ30" s="976"/>
      <c r="DR30" s="976"/>
      <c r="DS30" s="976"/>
      <c r="DT30" s="976"/>
      <c r="DU30" s="976"/>
      <c r="DV30" s="976"/>
      <c r="DW30" s="976"/>
      <c r="DX30" s="976"/>
      <c r="DY30" s="977">
        <f t="shared" ref="DY30:DY72" si="71">SUM(DM30:DX30)</f>
        <v>0</v>
      </c>
      <c r="DZ30" s="877">
        <f t="shared" ref="DZ30:EK51" si="72">DM30*$K30</f>
        <v>0</v>
      </c>
      <c r="EA30" s="248">
        <f t="shared" si="72"/>
        <v>0</v>
      </c>
      <c r="EB30" s="248">
        <f t="shared" si="72"/>
        <v>0</v>
      </c>
      <c r="EC30" s="248">
        <f t="shared" si="72"/>
        <v>0</v>
      </c>
      <c r="ED30" s="248">
        <f t="shared" si="72"/>
        <v>0</v>
      </c>
      <c r="EE30" s="248">
        <f t="shared" si="72"/>
        <v>0</v>
      </c>
      <c r="EF30" s="248">
        <f t="shared" si="72"/>
        <v>0</v>
      </c>
      <c r="EG30" s="248">
        <f t="shared" si="72"/>
        <v>0</v>
      </c>
      <c r="EH30" s="248">
        <f t="shared" si="72"/>
        <v>0</v>
      </c>
      <c r="EI30" s="248">
        <f t="shared" si="72"/>
        <v>0</v>
      </c>
      <c r="EJ30" s="248">
        <f t="shared" si="72"/>
        <v>0</v>
      </c>
      <c r="EK30" s="248">
        <f t="shared" si="72"/>
        <v>0</v>
      </c>
      <c r="EL30" s="878">
        <f t="shared" si="52"/>
        <v>0</v>
      </c>
    </row>
    <row r="31" spans="1:142">
      <c r="A31" s="964" t="s">
        <v>655</v>
      </c>
      <c r="B31" s="904" t="s">
        <v>657</v>
      </c>
      <c r="C31" s="972" t="s">
        <v>53</v>
      </c>
      <c r="D31" s="549">
        <v>2.2200000000000002</v>
      </c>
      <c r="E31" s="550">
        <v>2.0829703505343731</v>
      </c>
      <c r="F31" s="550">
        <v>2.2452525452034688</v>
      </c>
      <c r="G31" s="551">
        <v>2.2799999999999998</v>
      </c>
      <c r="H31" s="549">
        <f t="shared" ref="H31:K72" si="73">G31</f>
        <v>2.2799999999999998</v>
      </c>
      <c r="I31" s="550">
        <f t="shared" si="73"/>
        <v>2.2799999999999998</v>
      </c>
      <c r="J31" s="550">
        <f t="shared" si="73"/>
        <v>2.2799999999999998</v>
      </c>
      <c r="K31" s="973">
        <f t="shared" si="73"/>
        <v>2.2799999999999998</v>
      </c>
      <c r="L31" s="974"/>
      <c r="M31" s="555">
        <v>1512</v>
      </c>
      <c r="N31" s="530">
        <v>1728</v>
      </c>
      <c r="O31" s="530">
        <v>1728</v>
      </c>
      <c r="P31" s="530">
        <v>1728</v>
      </c>
      <c r="Q31" s="530">
        <v>0</v>
      </c>
      <c r="R31" s="530">
        <v>0</v>
      </c>
      <c r="S31" s="530">
        <v>0</v>
      </c>
      <c r="T31" s="530">
        <v>0</v>
      </c>
      <c r="U31" s="530">
        <v>0</v>
      </c>
      <c r="V31" s="530">
        <v>2000</v>
      </c>
      <c r="W31" s="530">
        <v>2000</v>
      </c>
      <c r="X31" s="530">
        <v>2000</v>
      </c>
      <c r="Y31" s="876">
        <f t="shared" si="58"/>
        <v>12696</v>
      </c>
      <c r="Z31" s="877">
        <v>3356.6400000000003</v>
      </c>
      <c r="AA31" s="248">
        <v>3629</v>
      </c>
      <c r="AB31" s="248">
        <v>3836.1600000000003</v>
      </c>
      <c r="AC31" s="248">
        <v>3836.16</v>
      </c>
      <c r="AD31" s="248">
        <v>0</v>
      </c>
      <c r="AE31" s="248">
        <v>0</v>
      </c>
      <c r="AF31" s="248">
        <f t="shared" ref="AF31:AF41" si="74">S31*$F31</f>
        <v>0</v>
      </c>
      <c r="AG31" s="248">
        <f t="shared" si="60"/>
        <v>0</v>
      </c>
      <c r="AH31" s="248">
        <f t="shared" si="60"/>
        <v>0</v>
      </c>
      <c r="AI31" s="248">
        <f t="shared" si="61"/>
        <v>4560</v>
      </c>
      <c r="AJ31" s="248">
        <f t="shared" si="61"/>
        <v>4560</v>
      </c>
      <c r="AK31" s="248">
        <f t="shared" si="61"/>
        <v>4560</v>
      </c>
      <c r="AL31" s="878">
        <f t="shared" si="62"/>
        <v>28337.96</v>
      </c>
      <c r="AM31" s="975">
        <f>41547/12</f>
        <v>3462.25</v>
      </c>
      <c r="AN31" s="976">
        <f t="shared" ref="AN31:AX31" si="75">41547/12</f>
        <v>3462.25</v>
      </c>
      <c r="AO31" s="976">
        <f t="shared" si="75"/>
        <v>3462.25</v>
      </c>
      <c r="AP31" s="976">
        <f t="shared" si="75"/>
        <v>3462.25</v>
      </c>
      <c r="AQ31" s="976">
        <f t="shared" si="75"/>
        <v>3462.25</v>
      </c>
      <c r="AR31" s="976">
        <f t="shared" si="75"/>
        <v>3462.25</v>
      </c>
      <c r="AS31" s="976">
        <f t="shared" si="75"/>
        <v>3462.25</v>
      </c>
      <c r="AT31" s="976">
        <f t="shared" si="75"/>
        <v>3462.25</v>
      </c>
      <c r="AU31" s="976">
        <f t="shared" si="75"/>
        <v>3462.25</v>
      </c>
      <c r="AV31" s="976">
        <f t="shared" si="75"/>
        <v>3462.25</v>
      </c>
      <c r="AW31" s="976">
        <f t="shared" si="75"/>
        <v>3462.25</v>
      </c>
      <c r="AX31" s="976">
        <f t="shared" si="75"/>
        <v>3462.25</v>
      </c>
      <c r="AY31" s="977">
        <f t="shared" si="64"/>
        <v>41547</v>
      </c>
      <c r="AZ31" s="877">
        <f t="shared" si="65"/>
        <v>7893.9299999999994</v>
      </c>
      <c r="BA31" s="248">
        <f t="shared" si="65"/>
        <v>7893.9299999999994</v>
      </c>
      <c r="BB31" s="248">
        <f t="shared" si="65"/>
        <v>7893.9299999999994</v>
      </c>
      <c r="BC31" s="248">
        <f t="shared" si="65"/>
        <v>7893.9299999999994</v>
      </c>
      <c r="BD31" s="248">
        <f t="shared" si="65"/>
        <v>7893.9299999999994</v>
      </c>
      <c r="BE31" s="248">
        <f t="shared" si="65"/>
        <v>7893.9299999999994</v>
      </c>
      <c r="BF31" s="248">
        <f t="shared" si="65"/>
        <v>7893.9299999999994</v>
      </c>
      <c r="BG31" s="248">
        <f t="shared" si="65"/>
        <v>7893.9299999999994</v>
      </c>
      <c r="BH31" s="248">
        <f t="shared" si="65"/>
        <v>7893.9299999999994</v>
      </c>
      <c r="BI31" s="248">
        <f t="shared" si="65"/>
        <v>7893.9299999999994</v>
      </c>
      <c r="BJ31" s="248">
        <f t="shared" si="65"/>
        <v>7893.9299999999994</v>
      </c>
      <c r="BK31" s="248">
        <f t="shared" si="65"/>
        <v>7893.9299999999994</v>
      </c>
      <c r="BL31" s="878">
        <f t="shared" si="47"/>
        <v>94727.159999999974</v>
      </c>
      <c r="BM31" s="975"/>
      <c r="BN31" s="976"/>
      <c r="BO31" s="976"/>
      <c r="BP31" s="976"/>
      <c r="BQ31" s="976"/>
      <c r="BR31" s="976"/>
      <c r="BS31" s="976"/>
      <c r="BT31" s="976"/>
      <c r="BU31" s="976"/>
      <c r="BV31" s="976"/>
      <c r="BW31" s="976"/>
      <c r="BX31" s="976"/>
      <c r="BY31" s="977">
        <f t="shared" si="66"/>
        <v>0</v>
      </c>
      <c r="BZ31" s="877">
        <f t="shared" si="67"/>
        <v>0</v>
      </c>
      <c r="CA31" s="248">
        <f t="shared" si="67"/>
        <v>0</v>
      </c>
      <c r="CB31" s="248">
        <f t="shared" si="67"/>
        <v>0</v>
      </c>
      <c r="CC31" s="248">
        <f t="shared" si="67"/>
        <v>0</v>
      </c>
      <c r="CD31" s="248">
        <f t="shared" si="67"/>
        <v>0</v>
      </c>
      <c r="CE31" s="248">
        <f t="shared" si="67"/>
        <v>0</v>
      </c>
      <c r="CF31" s="248">
        <f t="shared" si="67"/>
        <v>0</v>
      </c>
      <c r="CG31" s="248">
        <f t="shared" si="67"/>
        <v>0</v>
      </c>
      <c r="CH31" s="248">
        <f t="shared" si="67"/>
        <v>0</v>
      </c>
      <c r="CI31" s="248">
        <f t="shared" si="67"/>
        <v>0</v>
      </c>
      <c r="CJ31" s="248">
        <f t="shared" si="67"/>
        <v>0</v>
      </c>
      <c r="CK31" s="248">
        <f t="shared" si="67"/>
        <v>0</v>
      </c>
      <c r="CL31" s="878">
        <f t="shared" si="68"/>
        <v>0</v>
      </c>
      <c r="CM31" s="975"/>
      <c r="CN31" s="976"/>
      <c r="CO31" s="976"/>
      <c r="CP31" s="976"/>
      <c r="CQ31" s="976"/>
      <c r="CR31" s="976"/>
      <c r="CS31" s="976"/>
      <c r="CT31" s="976"/>
      <c r="CU31" s="976"/>
      <c r="CV31" s="976"/>
      <c r="CW31" s="976"/>
      <c r="CX31" s="976"/>
      <c r="CY31" s="977">
        <f t="shared" si="69"/>
        <v>0</v>
      </c>
      <c r="CZ31" s="877">
        <f t="shared" si="70"/>
        <v>0</v>
      </c>
      <c r="DA31" s="248">
        <f t="shared" si="70"/>
        <v>0</v>
      </c>
      <c r="DB31" s="248">
        <f t="shared" si="70"/>
        <v>0</v>
      </c>
      <c r="DC31" s="248">
        <f t="shared" si="70"/>
        <v>0</v>
      </c>
      <c r="DD31" s="248">
        <f t="shared" si="70"/>
        <v>0</v>
      </c>
      <c r="DE31" s="248">
        <f t="shared" si="70"/>
        <v>0</v>
      </c>
      <c r="DF31" s="248">
        <f t="shared" si="70"/>
        <v>0</v>
      </c>
      <c r="DG31" s="248">
        <f t="shared" si="70"/>
        <v>0</v>
      </c>
      <c r="DH31" s="248">
        <f t="shared" si="70"/>
        <v>0</v>
      </c>
      <c r="DI31" s="248">
        <f t="shared" si="70"/>
        <v>0</v>
      </c>
      <c r="DJ31" s="248">
        <f t="shared" si="70"/>
        <v>0</v>
      </c>
      <c r="DK31" s="248">
        <f t="shared" si="70"/>
        <v>0</v>
      </c>
      <c r="DL31" s="878">
        <f t="shared" si="50"/>
        <v>0</v>
      </c>
      <c r="DM31" s="975"/>
      <c r="DN31" s="976"/>
      <c r="DO31" s="976"/>
      <c r="DP31" s="976"/>
      <c r="DQ31" s="976"/>
      <c r="DR31" s="976"/>
      <c r="DS31" s="976"/>
      <c r="DT31" s="976"/>
      <c r="DU31" s="976"/>
      <c r="DV31" s="976"/>
      <c r="DW31" s="976"/>
      <c r="DX31" s="976"/>
      <c r="DY31" s="977">
        <f t="shared" si="71"/>
        <v>0</v>
      </c>
      <c r="DZ31" s="877">
        <f t="shared" si="72"/>
        <v>0</v>
      </c>
      <c r="EA31" s="248">
        <f t="shared" si="72"/>
        <v>0</v>
      </c>
      <c r="EB31" s="248">
        <f t="shared" si="72"/>
        <v>0</v>
      </c>
      <c r="EC31" s="248">
        <f t="shared" si="72"/>
        <v>0</v>
      </c>
      <c r="ED31" s="248">
        <f t="shared" si="72"/>
        <v>0</v>
      </c>
      <c r="EE31" s="248">
        <f t="shared" si="72"/>
        <v>0</v>
      </c>
      <c r="EF31" s="248">
        <f t="shared" si="72"/>
        <v>0</v>
      </c>
      <c r="EG31" s="248">
        <f t="shared" si="72"/>
        <v>0</v>
      </c>
      <c r="EH31" s="248">
        <f t="shared" si="72"/>
        <v>0</v>
      </c>
      <c r="EI31" s="248">
        <f t="shared" si="72"/>
        <v>0</v>
      </c>
      <c r="EJ31" s="248">
        <f t="shared" si="72"/>
        <v>0</v>
      </c>
      <c r="EK31" s="248">
        <f t="shared" si="72"/>
        <v>0</v>
      </c>
      <c r="EL31" s="878">
        <f t="shared" si="52"/>
        <v>0</v>
      </c>
    </row>
    <row r="32" spans="1:142">
      <c r="A32" s="964" t="s">
        <v>655</v>
      </c>
      <c r="B32" s="904" t="s">
        <v>54</v>
      </c>
      <c r="C32" s="972" t="s">
        <v>658</v>
      </c>
      <c r="D32" s="549">
        <v>2.04</v>
      </c>
      <c r="E32" s="550">
        <v>2.0525240205091024</v>
      </c>
      <c r="F32" s="550">
        <v>2.0647276812941961</v>
      </c>
      <c r="G32" s="551">
        <v>2.1</v>
      </c>
      <c r="H32" s="549">
        <f t="shared" si="73"/>
        <v>2.1</v>
      </c>
      <c r="I32" s="550">
        <f t="shared" si="73"/>
        <v>2.1</v>
      </c>
      <c r="J32" s="550">
        <f t="shared" si="73"/>
        <v>2.1</v>
      </c>
      <c r="K32" s="973">
        <f t="shared" si="73"/>
        <v>2.1</v>
      </c>
      <c r="L32" s="974"/>
      <c r="M32" s="555">
        <v>50976</v>
      </c>
      <c r="N32" s="530">
        <v>55296</v>
      </c>
      <c r="O32" s="530">
        <v>62708</v>
      </c>
      <c r="P32" s="530">
        <v>60736</v>
      </c>
      <c r="Q32" s="530">
        <f>79508-250</f>
        <v>79258</v>
      </c>
      <c r="R32" s="530">
        <v>57664</v>
      </c>
      <c r="S32" s="530">
        <f>8640+8640</f>
        <v>17280</v>
      </c>
      <c r="T32" s="530"/>
      <c r="U32" s="530"/>
      <c r="V32" s="530">
        <v>12960</v>
      </c>
      <c r="W32" s="530">
        <v>12960</v>
      </c>
      <c r="X32" s="530">
        <v>12960</v>
      </c>
      <c r="Y32" s="876">
        <f t="shared" si="58"/>
        <v>422798</v>
      </c>
      <c r="Z32" s="877">
        <v>106600.32000000001</v>
      </c>
      <c r="AA32" s="248">
        <v>114612.90999999999</v>
      </c>
      <c r="AB32" s="248">
        <v>134262.48000000001</v>
      </c>
      <c r="AC32" s="248">
        <v>123901.44</v>
      </c>
      <c r="AD32" s="248">
        <f>166766.32-2625</f>
        <v>164141.32</v>
      </c>
      <c r="AE32" s="248">
        <v>117824.64</v>
      </c>
      <c r="AF32" s="248">
        <f>17280*2.05</f>
        <v>35424</v>
      </c>
      <c r="AG32" s="248">
        <f t="shared" si="60"/>
        <v>0</v>
      </c>
      <c r="AH32" s="248">
        <f t="shared" si="60"/>
        <v>0</v>
      </c>
      <c r="AI32" s="248">
        <f t="shared" si="61"/>
        <v>27216</v>
      </c>
      <c r="AJ32" s="248">
        <f t="shared" si="61"/>
        <v>27216</v>
      </c>
      <c r="AK32" s="248">
        <f t="shared" si="61"/>
        <v>27216</v>
      </c>
      <c r="AL32" s="878">
        <f t="shared" si="62"/>
        <v>878415.11</v>
      </c>
      <c r="AM32" s="975">
        <f>317402/12</f>
        <v>26450.166666666668</v>
      </c>
      <c r="AN32" s="976">
        <f t="shared" ref="AN32:AX32" si="76">317402/12</f>
        <v>26450.166666666668</v>
      </c>
      <c r="AO32" s="976">
        <f t="shared" si="76"/>
        <v>26450.166666666668</v>
      </c>
      <c r="AP32" s="976">
        <f t="shared" si="76"/>
        <v>26450.166666666668</v>
      </c>
      <c r="AQ32" s="976">
        <f t="shared" si="76"/>
        <v>26450.166666666668</v>
      </c>
      <c r="AR32" s="976">
        <f t="shared" si="76"/>
        <v>26450.166666666668</v>
      </c>
      <c r="AS32" s="976">
        <f t="shared" si="76"/>
        <v>26450.166666666668</v>
      </c>
      <c r="AT32" s="976">
        <f t="shared" si="76"/>
        <v>26450.166666666668</v>
      </c>
      <c r="AU32" s="976">
        <f t="shared" si="76"/>
        <v>26450.166666666668</v>
      </c>
      <c r="AV32" s="976">
        <f t="shared" si="76"/>
        <v>26450.166666666668</v>
      </c>
      <c r="AW32" s="976">
        <f t="shared" si="76"/>
        <v>26450.166666666668</v>
      </c>
      <c r="AX32" s="976">
        <f t="shared" si="76"/>
        <v>26450.166666666668</v>
      </c>
      <c r="AY32" s="977">
        <f t="shared" si="64"/>
        <v>317402</v>
      </c>
      <c r="AZ32" s="877">
        <f t="shared" si="65"/>
        <v>55545.350000000006</v>
      </c>
      <c r="BA32" s="248">
        <f t="shared" si="65"/>
        <v>55545.350000000006</v>
      </c>
      <c r="BB32" s="248">
        <f t="shared" si="65"/>
        <v>55545.350000000006</v>
      </c>
      <c r="BC32" s="248">
        <f t="shared" si="65"/>
        <v>55545.350000000006</v>
      </c>
      <c r="BD32" s="248">
        <f t="shared" si="65"/>
        <v>55545.350000000006</v>
      </c>
      <c r="BE32" s="248">
        <f t="shared" si="65"/>
        <v>55545.350000000006</v>
      </c>
      <c r="BF32" s="248">
        <f t="shared" si="65"/>
        <v>55545.350000000006</v>
      </c>
      <c r="BG32" s="248">
        <f t="shared" si="65"/>
        <v>55545.350000000006</v>
      </c>
      <c r="BH32" s="248">
        <f t="shared" si="65"/>
        <v>55545.350000000006</v>
      </c>
      <c r="BI32" s="248">
        <f t="shared" si="65"/>
        <v>55545.350000000006</v>
      </c>
      <c r="BJ32" s="248">
        <f t="shared" si="65"/>
        <v>55545.350000000006</v>
      </c>
      <c r="BK32" s="248">
        <f t="shared" si="65"/>
        <v>55545.350000000006</v>
      </c>
      <c r="BL32" s="878">
        <f t="shared" si="47"/>
        <v>666544.19999999984</v>
      </c>
      <c r="BM32" s="975"/>
      <c r="BN32" s="976"/>
      <c r="BO32" s="976"/>
      <c r="BP32" s="976"/>
      <c r="BQ32" s="976"/>
      <c r="BR32" s="976"/>
      <c r="BS32" s="976"/>
      <c r="BT32" s="976"/>
      <c r="BU32" s="976"/>
      <c r="BV32" s="976"/>
      <c r="BW32" s="976"/>
      <c r="BX32" s="976"/>
      <c r="BY32" s="977">
        <f t="shared" si="66"/>
        <v>0</v>
      </c>
      <c r="BZ32" s="877">
        <f t="shared" si="67"/>
        <v>0</v>
      </c>
      <c r="CA32" s="248">
        <f t="shared" si="67"/>
        <v>0</v>
      </c>
      <c r="CB32" s="248">
        <f t="shared" si="67"/>
        <v>0</v>
      </c>
      <c r="CC32" s="248">
        <f t="shared" si="67"/>
        <v>0</v>
      </c>
      <c r="CD32" s="248">
        <f t="shared" si="67"/>
        <v>0</v>
      </c>
      <c r="CE32" s="248">
        <f t="shared" si="67"/>
        <v>0</v>
      </c>
      <c r="CF32" s="248">
        <f t="shared" si="67"/>
        <v>0</v>
      </c>
      <c r="CG32" s="248">
        <f t="shared" si="67"/>
        <v>0</v>
      </c>
      <c r="CH32" s="248">
        <f t="shared" si="67"/>
        <v>0</v>
      </c>
      <c r="CI32" s="248">
        <f t="shared" si="67"/>
        <v>0</v>
      </c>
      <c r="CJ32" s="248">
        <f t="shared" si="67"/>
        <v>0</v>
      </c>
      <c r="CK32" s="248">
        <f t="shared" si="67"/>
        <v>0</v>
      </c>
      <c r="CL32" s="878">
        <f t="shared" si="68"/>
        <v>0</v>
      </c>
      <c r="CM32" s="975"/>
      <c r="CN32" s="976"/>
      <c r="CO32" s="976"/>
      <c r="CP32" s="976"/>
      <c r="CQ32" s="976"/>
      <c r="CR32" s="976"/>
      <c r="CS32" s="976"/>
      <c r="CT32" s="976"/>
      <c r="CU32" s="976"/>
      <c r="CV32" s="976"/>
      <c r="CW32" s="976"/>
      <c r="CX32" s="976"/>
      <c r="CY32" s="977">
        <f t="shared" si="69"/>
        <v>0</v>
      </c>
      <c r="CZ32" s="877">
        <f t="shared" si="70"/>
        <v>0</v>
      </c>
      <c r="DA32" s="248">
        <f t="shared" si="70"/>
        <v>0</v>
      </c>
      <c r="DB32" s="248">
        <f t="shared" si="70"/>
        <v>0</v>
      </c>
      <c r="DC32" s="248">
        <f t="shared" si="70"/>
        <v>0</v>
      </c>
      <c r="DD32" s="248">
        <f t="shared" si="70"/>
        <v>0</v>
      </c>
      <c r="DE32" s="248">
        <f t="shared" si="70"/>
        <v>0</v>
      </c>
      <c r="DF32" s="248">
        <f t="shared" si="70"/>
        <v>0</v>
      </c>
      <c r="DG32" s="248">
        <f t="shared" si="70"/>
        <v>0</v>
      </c>
      <c r="DH32" s="248">
        <f t="shared" si="70"/>
        <v>0</v>
      </c>
      <c r="DI32" s="248">
        <f t="shared" si="70"/>
        <v>0</v>
      </c>
      <c r="DJ32" s="248">
        <f t="shared" si="70"/>
        <v>0</v>
      </c>
      <c r="DK32" s="248">
        <f t="shared" si="70"/>
        <v>0</v>
      </c>
      <c r="DL32" s="878">
        <f t="shared" si="50"/>
        <v>0</v>
      </c>
      <c r="DM32" s="975"/>
      <c r="DN32" s="976"/>
      <c r="DO32" s="976"/>
      <c r="DP32" s="976"/>
      <c r="DQ32" s="976"/>
      <c r="DR32" s="976"/>
      <c r="DS32" s="976"/>
      <c r="DT32" s="976"/>
      <c r="DU32" s="976"/>
      <c r="DV32" s="976"/>
      <c r="DW32" s="976"/>
      <c r="DX32" s="976"/>
      <c r="DY32" s="977">
        <f t="shared" si="71"/>
        <v>0</v>
      </c>
      <c r="DZ32" s="877">
        <f t="shared" si="72"/>
        <v>0</v>
      </c>
      <c r="EA32" s="248">
        <f t="shared" si="72"/>
        <v>0</v>
      </c>
      <c r="EB32" s="248">
        <f t="shared" si="72"/>
        <v>0</v>
      </c>
      <c r="EC32" s="248">
        <f t="shared" si="72"/>
        <v>0</v>
      </c>
      <c r="ED32" s="248">
        <f t="shared" si="72"/>
        <v>0</v>
      </c>
      <c r="EE32" s="248">
        <f t="shared" si="72"/>
        <v>0</v>
      </c>
      <c r="EF32" s="248">
        <f t="shared" si="72"/>
        <v>0</v>
      </c>
      <c r="EG32" s="248">
        <f t="shared" si="72"/>
        <v>0</v>
      </c>
      <c r="EH32" s="248">
        <f t="shared" si="72"/>
        <v>0</v>
      </c>
      <c r="EI32" s="248">
        <f t="shared" si="72"/>
        <v>0</v>
      </c>
      <c r="EJ32" s="248">
        <f t="shared" si="72"/>
        <v>0</v>
      </c>
      <c r="EK32" s="248">
        <f t="shared" si="72"/>
        <v>0</v>
      </c>
      <c r="EL32" s="878">
        <f t="shared" si="52"/>
        <v>0</v>
      </c>
    </row>
    <row r="33" spans="1:142">
      <c r="A33" s="964" t="s">
        <v>655</v>
      </c>
      <c r="B33" s="904" t="s">
        <v>55</v>
      </c>
      <c r="C33" s="972" t="s">
        <v>659</v>
      </c>
      <c r="D33" s="549">
        <v>2.0699999999999998</v>
      </c>
      <c r="E33" s="550">
        <v>2.0829703505343731</v>
      </c>
      <c r="F33" s="550">
        <v>2.0952525452034689</v>
      </c>
      <c r="G33" s="551">
        <v>2.13</v>
      </c>
      <c r="H33" s="549">
        <f t="shared" si="73"/>
        <v>2.13</v>
      </c>
      <c r="I33" s="550">
        <f t="shared" si="73"/>
        <v>2.13</v>
      </c>
      <c r="J33" s="550">
        <f t="shared" si="73"/>
        <v>2.13</v>
      </c>
      <c r="K33" s="973">
        <f t="shared" si="73"/>
        <v>2.13</v>
      </c>
      <c r="L33" s="974"/>
      <c r="M33" s="555">
        <v>2592</v>
      </c>
      <c r="N33" s="530">
        <v>6912</v>
      </c>
      <c r="O33" s="530">
        <v>8928</v>
      </c>
      <c r="P33" s="530">
        <v>0</v>
      </c>
      <c r="Q33" s="530"/>
      <c r="R33" s="530"/>
      <c r="S33" s="530">
        <v>8640</v>
      </c>
      <c r="T33" s="530"/>
      <c r="U33" s="530"/>
      <c r="V33" s="530">
        <v>14688</v>
      </c>
      <c r="W33" s="530">
        <v>11232</v>
      </c>
      <c r="X33" s="530">
        <v>10000</v>
      </c>
      <c r="Y33" s="876">
        <f t="shared" si="58"/>
        <v>62992</v>
      </c>
      <c r="Z33" s="877">
        <v>42347.519999999997</v>
      </c>
      <c r="AA33" s="248">
        <v>14584.32</v>
      </c>
      <c r="AB33" s="248">
        <v>18838.080000000002</v>
      </c>
      <c r="AC33" s="248">
        <f t="shared" si="59"/>
        <v>0</v>
      </c>
      <c r="AD33" s="248">
        <f>Q33*$E33</f>
        <v>0</v>
      </c>
      <c r="AE33" s="248"/>
      <c r="AF33" s="248">
        <f>8640*2.1</f>
        <v>18144</v>
      </c>
      <c r="AG33" s="248">
        <f t="shared" si="60"/>
        <v>0</v>
      </c>
      <c r="AH33" s="248">
        <f t="shared" si="60"/>
        <v>0</v>
      </c>
      <c r="AI33" s="248">
        <f t="shared" si="61"/>
        <v>31285.439999999999</v>
      </c>
      <c r="AJ33" s="248">
        <f t="shared" si="61"/>
        <v>23924.16</v>
      </c>
      <c r="AK33" s="248">
        <f t="shared" si="61"/>
        <v>21300</v>
      </c>
      <c r="AL33" s="878">
        <f t="shared" si="62"/>
        <v>170423.52</v>
      </c>
      <c r="AM33" s="975">
        <f>111436/12</f>
        <v>9286.3333333333339</v>
      </c>
      <c r="AN33" s="976">
        <f t="shared" ref="AN33:AX33" si="77">111436/12</f>
        <v>9286.3333333333339</v>
      </c>
      <c r="AO33" s="976">
        <f t="shared" si="77"/>
        <v>9286.3333333333339</v>
      </c>
      <c r="AP33" s="976">
        <f t="shared" si="77"/>
        <v>9286.3333333333339</v>
      </c>
      <c r="AQ33" s="976">
        <f t="shared" si="77"/>
        <v>9286.3333333333339</v>
      </c>
      <c r="AR33" s="976">
        <f t="shared" si="77"/>
        <v>9286.3333333333339</v>
      </c>
      <c r="AS33" s="976">
        <f t="shared" si="77"/>
        <v>9286.3333333333339</v>
      </c>
      <c r="AT33" s="976">
        <f t="shared" si="77"/>
        <v>9286.3333333333339</v>
      </c>
      <c r="AU33" s="976">
        <f t="shared" si="77"/>
        <v>9286.3333333333339</v>
      </c>
      <c r="AV33" s="976">
        <f t="shared" si="77"/>
        <v>9286.3333333333339</v>
      </c>
      <c r="AW33" s="976">
        <f t="shared" si="77"/>
        <v>9286.3333333333339</v>
      </c>
      <c r="AX33" s="976">
        <f t="shared" si="77"/>
        <v>9286.3333333333339</v>
      </c>
      <c r="AY33" s="977">
        <f t="shared" si="64"/>
        <v>111435.99999999999</v>
      </c>
      <c r="AZ33" s="877">
        <f t="shared" si="65"/>
        <v>19779.89</v>
      </c>
      <c r="BA33" s="248">
        <f t="shared" si="65"/>
        <v>19779.89</v>
      </c>
      <c r="BB33" s="248">
        <f t="shared" si="65"/>
        <v>19779.89</v>
      </c>
      <c r="BC33" s="248">
        <f t="shared" si="65"/>
        <v>19779.89</v>
      </c>
      <c r="BD33" s="248">
        <f t="shared" si="65"/>
        <v>19779.89</v>
      </c>
      <c r="BE33" s="248">
        <f t="shared" si="65"/>
        <v>19779.89</v>
      </c>
      <c r="BF33" s="248">
        <f t="shared" si="65"/>
        <v>19779.89</v>
      </c>
      <c r="BG33" s="248">
        <f t="shared" si="65"/>
        <v>19779.89</v>
      </c>
      <c r="BH33" s="248">
        <f t="shared" si="65"/>
        <v>19779.89</v>
      </c>
      <c r="BI33" s="248">
        <f t="shared" si="65"/>
        <v>19779.89</v>
      </c>
      <c r="BJ33" s="248">
        <f t="shared" si="65"/>
        <v>19779.89</v>
      </c>
      <c r="BK33" s="248">
        <f t="shared" si="65"/>
        <v>19779.89</v>
      </c>
      <c r="BL33" s="878">
        <f t="shared" si="47"/>
        <v>237358.68000000005</v>
      </c>
      <c r="BM33" s="975"/>
      <c r="BN33" s="976"/>
      <c r="BO33" s="976"/>
      <c r="BP33" s="976"/>
      <c r="BQ33" s="976"/>
      <c r="BR33" s="976"/>
      <c r="BS33" s="976"/>
      <c r="BT33" s="976"/>
      <c r="BU33" s="976"/>
      <c r="BV33" s="976"/>
      <c r="BW33" s="976"/>
      <c r="BX33" s="976"/>
      <c r="BY33" s="977">
        <f t="shared" si="66"/>
        <v>0</v>
      </c>
      <c r="BZ33" s="877">
        <f t="shared" si="67"/>
        <v>0</v>
      </c>
      <c r="CA33" s="248">
        <f t="shared" si="67"/>
        <v>0</v>
      </c>
      <c r="CB33" s="248">
        <f t="shared" si="67"/>
        <v>0</v>
      </c>
      <c r="CC33" s="248">
        <f t="shared" si="67"/>
        <v>0</v>
      </c>
      <c r="CD33" s="248">
        <f t="shared" si="67"/>
        <v>0</v>
      </c>
      <c r="CE33" s="248">
        <f t="shared" si="67"/>
        <v>0</v>
      </c>
      <c r="CF33" s="248">
        <f t="shared" si="67"/>
        <v>0</v>
      </c>
      <c r="CG33" s="248">
        <f t="shared" si="67"/>
        <v>0</v>
      </c>
      <c r="CH33" s="248">
        <f t="shared" si="67"/>
        <v>0</v>
      </c>
      <c r="CI33" s="248">
        <f t="shared" si="67"/>
        <v>0</v>
      </c>
      <c r="CJ33" s="248">
        <f t="shared" si="67"/>
        <v>0</v>
      </c>
      <c r="CK33" s="248">
        <f t="shared" si="67"/>
        <v>0</v>
      </c>
      <c r="CL33" s="878">
        <f t="shared" si="68"/>
        <v>0</v>
      </c>
      <c r="CM33" s="975"/>
      <c r="CN33" s="976"/>
      <c r="CO33" s="976"/>
      <c r="CP33" s="976"/>
      <c r="CQ33" s="976"/>
      <c r="CR33" s="976"/>
      <c r="CS33" s="976"/>
      <c r="CT33" s="976"/>
      <c r="CU33" s="976"/>
      <c r="CV33" s="976"/>
      <c r="CW33" s="976"/>
      <c r="CX33" s="976"/>
      <c r="CY33" s="977">
        <f t="shared" si="69"/>
        <v>0</v>
      </c>
      <c r="CZ33" s="877">
        <f t="shared" si="70"/>
        <v>0</v>
      </c>
      <c r="DA33" s="248">
        <f t="shared" si="70"/>
        <v>0</v>
      </c>
      <c r="DB33" s="248">
        <f t="shared" si="70"/>
        <v>0</v>
      </c>
      <c r="DC33" s="248">
        <f t="shared" si="70"/>
        <v>0</v>
      </c>
      <c r="DD33" s="248">
        <f t="shared" si="70"/>
        <v>0</v>
      </c>
      <c r="DE33" s="248">
        <f t="shared" si="70"/>
        <v>0</v>
      </c>
      <c r="DF33" s="248">
        <f t="shared" si="70"/>
        <v>0</v>
      </c>
      <c r="DG33" s="248">
        <f t="shared" si="70"/>
        <v>0</v>
      </c>
      <c r="DH33" s="248">
        <f t="shared" si="70"/>
        <v>0</v>
      </c>
      <c r="DI33" s="248">
        <f t="shared" si="70"/>
        <v>0</v>
      </c>
      <c r="DJ33" s="248">
        <f t="shared" si="70"/>
        <v>0</v>
      </c>
      <c r="DK33" s="248">
        <f t="shared" si="70"/>
        <v>0</v>
      </c>
      <c r="DL33" s="878">
        <f t="shared" si="50"/>
        <v>0</v>
      </c>
      <c r="DM33" s="975"/>
      <c r="DN33" s="976"/>
      <c r="DO33" s="976"/>
      <c r="DP33" s="976"/>
      <c r="DQ33" s="976"/>
      <c r="DR33" s="976"/>
      <c r="DS33" s="976"/>
      <c r="DT33" s="976"/>
      <c r="DU33" s="976"/>
      <c r="DV33" s="976"/>
      <c r="DW33" s="976"/>
      <c r="DX33" s="976"/>
      <c r="DY33" s="977">
        <f t="shared" si="71"/>
        <v>0</v>
      </c>
      <c r="DZ33" s="877">
        <f t="shared" si="72"/>
        <v>0</v>
      </c>
      <c r="EA33" s="248">
        <f t="shared" si="72"/>
        <v>0</v>
      </c>
      <c r="EB33" s="248">
        <f t="shared" si="72"/>
        <v>0</v>
      </c>
      <c r="EC33" s="248">
        <f t="shared" si="72"/>
        <v>0</v>
      </c>
      <c r="ED33" s="248">
        <f t="shared" si="72"/>
        <v>0</v>
      </c>
      <c r="EE33" s="248">
        <f t="shared" si="72"/>
        <v>0</v>
      </c>
      <c r="EF33" s="248">
        <f t="shared" si="72"/>
        <v>0</v>
      </c>
      <c r="EG33" s="248">
        <f t="shared" si="72"/>
        <v>0</v>
      </c>
      <c r="EH33" s="248">
        <f t="shared" si="72"/>
        <v>0</v>
      </c>
      <c r="EI33" s="248">
        <f t="shared" si="72"/>
        <v>0</v>
      </c>
      <c r="EJ33" s="248">
        <f t="shared" si="72"/>
        <v>0</v>
      </c>
      <c r="EK33" s="248">
        <f t="shared" si="72"/>
        <v>0</v>
      </c>
      <c r="EL33" s="878">
        <f t="shared" si="52"/>
        <v>0</v>
      </c>
    </row>
    <row r="34" spans="1:142" s="927" customFormat="1">
      <c r="A34" s="978" t="s">
        <v>655</v>
      </c>
      <c r="B34" s="904" t="s">
        <v>660</v>
      </c>
      <c r="C34" s="979" t="s">
        <v>52</v>
      </c>
      <c r="D34" s="980"/>
      <c r="E34" s="981"/>
      <c r="F34" s="981"/>
      <c r="G34" s="982"/>
      <c r="H34" s="980">
        <v>2.44</v>
      </c>
      <c r="I34" s="981">
        <f t="shared" si="73"/>
        <v>2.44</v>
      </c>
      <c r="J34" s="981">
        <f t="shared" si="73"/>
        <v>2.44</v>
      </c>
      <c r="K34" s="983">
        <f t="shared" si="73"/>
        <v>2.44</v>
      </c>
      <c r="L34" s="984"/>
      <c r="M34" s="985"/>
      <c r="N34" s="986"/>
      <c r="O34" s="986"/>
      <c r="P34" s="986"/>
      <c r="Q34" s="986"/>
      <c r="R34" s="986"/>
      <c r="S34" s="986"/>
      <c r="T34" s="986"/>
      <c r="U34" s="986"/>
      <c r="V34" s="986"/>
      <c r="W34" s="986"/>
      <c r="X34" s="986"/>
      <c r="Y34" s="936">
        <f t="shared" si="58"/>
        <v>0</v>
      </c>
      <c r="Z34" s="921">
        <f t="shared" ref="Z34:AA37" si="78">M34*$D34</f>
        <v>0</v>
      </c>
      <c r="AA34" s="922">
        <f t="shared" si="78"/>
        <v>0</v>
      </c>
      <c r="AB34" s="922">
        <v>0</v>
      </c>
      <c r="AC34" s="922">
        <f t="shared" si="59"/>
        <v>0</v>
      </c>
      <c r="AD34" s="248">
        <f>Q34*$E34</f>
        <v>0</v>
      </c>
      <c r="AE34" s="922">
        <v>0</v>
      </c>
      <c r="AF34" s="922">
        <f t="shared" si="74"/>
        <v>0</v>
      </c>
      <c r="AG34" s="922">
        <f t="shared" si="60"/>
        <v>0</v>
      </c>
      <c r="AH34" s="922">
        <f t="shared" si="60"/>
        <v>0</v>
      </c>
      <c r="AI34" s="922">
        <f t="shared" si="61"/>
        <v>0</v>
      </c>
      <c r="AJ34" s="922">
        <f t="shared" si="61"/>
        <v>0</v>
      </c>
      <c r="AK34" s="922">
        <f t="shared" si="61"/>
        <v>0</v>
      </c>
      <c r="AL34" s="987">
        <f t="shared" si="62"/>
        <v>0</v>
      </c>
      <c r="AM34" s="988"/>
      <c r="AN34" s="989"/>
      <c r="AO34" s="989"/>
      <c r="AP34" s="989"/>
      <c r="AQ34" s="989"/>
      <c r="AR34" s="989"/>
      <c r="AS34" s="989"/>
      <c r="AT34" s="989"/>
      <c r="AU34" s="989"/>
      <c r="AV34" s="989"/>
      <c r="AW34" s="989"/>
      <c r="AX34" s="989"/>
      <c r="AY34" s="990">
        <f t="shared" si="64"/>
        <v>0</v>
      </c>
      <c r="AZ34" s="991">
        <f t="shared" si="65"/>
        <v>0</v>
      </c>
      <c r="BA34" s="992">
        <f t="shared" si="65"/>
        <v>0</v>
      </c>
      <c r="BB34" s="992">
        <f t="shared" si="65"/>
        <v>0</v>
      </c>
      <c r="BC34" s="992">
        <f t="shared" si="65"/>
        <v>0</v>
      </c>
      <c r="BD34" s="992">
        <f t="shared" si="65"/>
        <v>0</v>
      </c>
      <c r="BE34" s="992">
        <f t="shared" si="65"/>
        <v>0</v>
      </c>
      <c r="BF34" s="992">
        <f t="shared" si="65"/>
        <v>0</v>
      </c>
      <c r="BG34" s="992">
        <f t="shared" si="65"/>
        <v>0</v>
      </c>
      <c r="BH34" s="992">
        <f t="shared" si="65"/>
        <v>0</v>
      </c>
      <c r="BI34" s="992">
        <f t="shared" si="65"/>
        <v>0</v>
      </c>
      <c r="BJ34" s="992">
        <f t="shared" si="65"/>
        <v>0</v>
      </c>
      <c r="BK34" s="992">
        <f t="shared" si="65"/>
        <v>0</v>
      </c>
      <c r="BL34" s="993">
        <f t="shared" si="47"/>
        <v>0</v>
      </c>
      <c r="BM34" s="988">
        <f>522815/12</f>
        <v>43567.916666666664</v>
      </c>
      <c r="BN34" s="989">
        <f t="shared" ref="BN34:BX34" si="79">522815/12</f>
        <v>43567.916666666664</v>
      </c>
      <c r="BO34" s="989">
        <f t="shared" si="79"/>
        <v>43567.916666666664</v>
      </c>
      <c r="BP34" s="989">
        <f t="shared" si="79"/>
        <v>43567.916666666664</v>
      </c>
      <c r="BQ34" s="989">
        <f t="shared" si="79"/>
        <v>43567.916666666664</v>
      </c>
      <c r="BR34" s="989">
        <f t="shared" si="79"/>
        <v>43567.916666666664</v>
      </c>
      <c r="BS34" s="989">
        <f t="shared" si="79"/>
        <v>43567.916666666664</v>
      </c>
      <c r="BT34" s="989">
        <f t="shared" si="79"/>
        <v>43567.916666666664</v>
      </c>
      <c r="BU34" s="989">
        <f t="shared" si="79"/>
        <v>43567.916666666664</v>
      </c>
      <c r="BV34" s="989">
        <f t="shared" si="79"/>
        <v>43567.916666666664</v>
      </c>
      <c r="BW34" s="989">
        <f t="shared" si="79"/>
        <v>43567.916666666664</v>
      </c>
      <c r="BX34" s="989">
        <f t="shared" si="79"/>
        <v>43567.916666666664</v>
      </c>
      <c r="BY34" s="990">
        <f t="shared" si="66"/>
        <v>522815.00000000006</v>
      </c>
      <c r="BZ34" s="991">
        <f t="shared" si="67"/>
        <v>106305.71666666666</v>
      </c>
      <c r="CA34" s="992">
        <f t="shared" si="67"/>
        <v>106305.71666666666</v>
      </c>
      <c r="CB34" s="992">
        <f t="shared" si="67"/>
        <v>106305.71666666666</v>
      </c>
      <c r="CC34" s="992">
        <f t="shared" si="67"/>
        <v>106305.71666666666</v>
      </c>
      <c r="CD34" s="992">
        <f t="shared" si="67"/>
        <v>106305.71666666666</v>
      </c>
      <c r="CE34" s="992">
        <f t="shared" si="67"/>
        <v>106305.71666666666</v>
      </c>
      <c r="CF34" s="992">
        <f t="shared" si="67"/>
        <v>106305.71666666666</v>
      </c>
      <c r="CG34" s="992">
        <f t="shared" si="67"/>
        <v>106305.71666666666</v>
      </c>
      <c r="CH34" s="992">
        <f t="shared" si="67"/>
        <v>106305.71666666666</v>
      </c>
      <c r="CI34" s="992">
        <f t="shared" si="67"/>
        <v>106305.71666666666</v>
      </c>
      <c r="CJ34" s="992">
        <f t="shared" si="67"/>
        <v>106305.71666666666</v>
      </c>
      <c r="CK34" s="992">
        <f t="shared" si="67"/>
        <v>106305.71666666666</v>
      </c>
      <c r="CL34" s="993">
        <f t="shared" si="68"/>
        <v>1275668.5999999996</v>
      </c>
      <c r="CM34" s="988">
        <f>351187/12</f>
        <v>29265.583333333332</v>
      </c>
      <c r="CN34" s="989">
        <f t="shared" ref="CN34:CX34" si="80">351187/12</f>
        <v>29265.583333333332</v>
      </c>
      <c r="CO34" s="989">
        <f t="shared" si="80"/>
        <v>29265.583333333332</v>
      </c>
      <c r="CP34" s="989">
        <f t="shared" si="80"/>
        <v>29265.583333333332</v>
      </c>
      <c r="CQ34" s="989">
        <f t="shared" si="80"/>
        <v>29265.583333333332</v>
      </c>
      <c r="CR34" s="989">
        <f t="shared" si="80"/>
        <v>29265.583333333332</v>
      </c>
      <c r="CS34" s="989">
        <f t="shared" si="80"/>
        <v>29265.583333333332</v>
      </c>
      <c r="CT34" s="989">
        <f t="shared" si="80"/>
        <v>29265.583333333332</v>
      </c>
      <c r="CU34" s="989">
        <f t="shared" si="80"/>
        <v>29265.583333333332</v>
      </c>
      <c r="CV34" s="989">
        <f t="shared" si="80"/>
        <v>29265.583333333332</v>
      </c>
      <c r="CW34" s="989">
        <f t="shared" si="80"/>
        <v>29265.583333333332</v>
      </c>
      <c r="CX34" s="989">
        <f t="shared" si="80"/>
        <v>29265.583333333332</v>
      </c>
      <c r="CY34" s="990">
        <f t="shared" si="69"/>
        <v>351186.99999999994</v>
      </c>
      <c r="CZ34" s="991">
        <f t="shared" si="70"/>
        <v>71408.023333333331</v>
      </c>
      <c r="DA34" s="992">
        <f t="shared" si="70"/>
        <v>71408.023333333331</v>
      </c>
      <c r="DB34" s="992">
        <f t="shared" si="70"/>
        <v>71408.023333333331</v>
      </c>
      <c r="DC34" s="992">
        <f t="shared" si="70"/>
        <v>71408.023333333331</v>
      </c>
      <c r="DD34" s="992">
        <f t="shared" si="70"/>
        <v>71408.023333333331</v>
      </c>
      <c r="DE34" s="992">
        <f t="shared" si="70"/>
        <v>71408.023333333331</v>
      </c>
      <c r="DF34" s="992">
        <f t="shared" si="70"/>
        <v>71408.023333333331</v>
      </c>
      <c r="DG34" s="992">
        <f t="shared" si="70"/>
        <v>71408.023333333331</v>
      </c>
      <c r="DH34" s="992">
        <f t="shared" si="70"/>
        <v>71408.023333333331</v>
      </c>
      <c r="DI34" s="992">
        <f t="shared" si="70"/>
        <v>71408.023333333331</v>
      </c>
      <c r="DJ34" s="992">
        <f t="shared" si="70"/>
        <v>71408.023333333331</v>
      </c>
      <c r="DK34" s="992">
        <f t="shared" si="70"/>
        <v>71408.023333333331</v>
      </c>
      <c r="DL34" s="993">
        <f t="shared" si="50"/>
        <v>856896.27999999991</v>
      </c>
      <c r="DM34" s="988">
        <f>330065/12</f>
        <v>27505.416666666668</v>
      </c>
      <c r="DN34" s="989">
        <f t="shared" ref="DN34:DX34" si="81">330065/12</f>
        <v>27505.416666666668</v>
      </c>
      <c r="DO34" s="989">
        <f t="shared" si="81"/>
        <v>27505.416666666668</v>
      </c>
      <c r="DP34" s="989">
        <f t="shared" si="81"/>
        <v>27505.416666666668</v>
      </c>
      <c r="DQ34" s="989">
        <f t="shared" si="81"/>
        <v>27505.416666666668</v>
      </c>
      <c r="DR34" s="989">
        <f t="shared" si="81"/>
        <v>27505.416666666668</v>
      </c>
      <c r="DS34" s="989">
        <f t="shared" si="81"/>
        <v>27505.416666666668</v>
      </c>
      <c r="DT34" s="989">
        <f t="shared" si="81"/>
        <v>27505.416666666668</v>
      </c>
      <c r="DU34" s="989">
        <f t="shared" si="81"/>
        <v>27505.416666666668</v>
      </c>
      <c r="DV34" s="989">
        <f t="shared" si="81"/>
        <v>27505.416666666668</v>
      </c>
      <c r="DW34" s="989">
        <f t="shared" si="81"/>
        <v>27505.416666666668</v>
      </c>
      <c r="DX34" s="989">
        <f t="shared" si="81"/>
        <v>27505.416666666668</v>
      </c>
      <c r="DY34" s="990">
        <f t="shared" si="71"/>
        <v>330065</v>
      </c>
      <c r="DZ34" s="991">
        <f t="shared" si="72"/>
        <v>67113.216666666674</v>
      </c>
      <c r="EA34" s="992">
        <f t="shared" si="72"/>
        <v>67113.216666666674</v>
      </c>
      <c r="EB34" s="992">
        <f t="shared" si="72"/>
        <v>67113.216666666674</v>
      </c>
      <c r="EC34" s="992">
        <f t="shared" si="72"/>
        <v>67113.216666666674</v>
      </c>
      <c r="ED34" s="992">
        <f t="shared" si="72"/>
        <v>67113.216666666674</v>
      </c>
      <c r="EE34" s="992">
        <f t="shared" si="72"/>
        <v>67113.216666666674</v>
      </c>
      <c r="EF34" s="992">
        <f t="shared" si="72"/>
        <v>67113.216666666674</v>
      </c>
      <c r="EG34" s="992">
        <f t="shared" si="72"/>
        <v>67113.216666666674</v>
      </c>
      <c r="EH34" s="992">
        <f t="shared" si="72"/>
        <v>67113.216666666674</v>
      </c>
      <c r="EI34" s="992">
        <f t="shared" si="72"/>
        <v>67113.216666666674</v>
      </c>
      <c r="EJ34" s="992">
        <f t="shared" si="72"/>
        <v>67113.216666666674</v>
      </c>
      <c r="EK34" s="992">
        <f t="shared" si="72"/>
        <v>67113.216666666674</v>
      </c>
      <c r="EL34" s="993">
        <f t="shared" si="52"/>
        <v>805358.60000000009</v>
      </c>
    </row>
    <row r="35" spans="1:142" s="927" customFormat="1">
      <c r="A35" s="978" t="s">
        <v>655</v>
      </c>
      <c r="B35" s="904" t="s">
        <v>661</v>
      </c>
      <c r="C35" s="979" t="s">
        <v>53</v>
      </c>
      <c r="D35" s="980"/>
      <c r="E35" s="981"/>
      <c r="F35" s="981"/>
      <c r="G35" s="982"/>
      <c r="H35" s="980">
        <v>2.66</v>
      </c>
      <c r="I35" s="981">
        <f>H35</f>
        <v>2.66</v>
      </c>
      <c r="J35" s="981">
        <f t="shared" si="73"/>
        <v>2.66</v>
      </c>
      <c r="K35" s="983">
        <f t="shared" si="73"/>
        <v>2.66</v>
      </c>
      <c r="L35" s="984"/>
      <c r="M35" s="985"/>
      <c r="N35" s="986"/>
      <c r="O35" s="986"/>
      <c r="P35" s="986"/>
      <c r="Q35" s="986"/>
      <c r="R35" s="986"/>
      <c r="S35" s="986"/>
      <c r="T35" s="986"/>
      <c r="U35" s="986"/>
      <c r="V35" s="986"/>
      <c r="W35" s="986"/>
      <c r="X35" s="986"/>
      <c r="Y35" s="936">
        <f t="shared" si="58"/>
        <v>0</v>
      </c>
      <c r="Z35" s="921">
        <f t="shared" si="78"/>
        <v>0</v>
      </c>
      <c r="AA35" s="922">
        <f t="shared" si="78"/>
        <v>0</v>
      </c>
      <c r="AB35" s="922">
        <v>0</v>
      </c>
      <c r="AC35" s="922">
        <f t="shared" si="59"/>
        <v>0</v>
      </c>
      <c r="AD35" s="248">
        <f>Q35*$E35</f>
        <v>0</v>
      </c>
      <c r="AE35" s="922">
        <v>0</v>
      </c>
      <c r="AF35" s="922">
        <f t="shared" si="74"/>
        <v>0</v>
      </c>
      <c r="AG35" s="922">
        <f t="shared" si="60"/>
        <v>0</v>
      </c>
      <c r="AH35" s="922">
        <f t="shared" si="60"/>
        <v>0</v>
      </c>
      <c r="AI35" s="922">
        <f t="shared" si="61"/>
        <v>0</v>
      </c>
      <c r="AJ35" s="922">
        <f t="shared" si="61"/>
        <v>0</v>
      </c>
      <c r="AK35" s="922">
        <f t="shared" si="61"/>
        <v>0</v>
      </c>
      <c r="AL35" s="987">
        <f t="shared" si="62"/>
        <v>0</v>
      </c>
      <c r="AM35" s="988"/>
      <c r="AN35" s="989"/>
      <c r="AO35" s="989"/>
      <c r="AP35" s="989"/>
      <c r="AQ35" s="989"/>
      <c r="AR35" s="989"/>
      <c r="AS35" s="989"/>
      <c r="AT35" s="989"/>
      <c r="AU35" s="989"/>
      <c r="AV35" s="989"/>
      <c r="AW35" s="989"/>
      <c r="AX35" s="989"/>
      <c r="AY35" s="990">
        <f t="shared" si="64"/>
        <v>0</v>
      </c>
      <c r="AZ35" s="991">
        <f t="shared" si="65"/>
        <v>0</v>
      </c>
      <c r="BA35" s="992">
        <f t="shared" si="65"/>
        <v>0</v>
      </c>
      <c r="BB35" s="992">
        <f t="shared" si="65"/>
        <v>0</v>
      </c>
      <c r="BC35" s="992">
        <f t="shared" si="65"/>
        <v>0</v>
      </c>
      <c r="BD35" s="992">
        <f t="shared" si="65"/>
        <v>0</v>
      </c>
      <c r="BE35" s="992">
        <f t="shared" si="65"/>
        <v>0</v>
      </c>
      <c r="BF35" s="992">
        <f t="shared" si="65"/>
        <v>0</v>
      </c>
      <c r="BG35" s="992">
        <f t="shared" si="65"/>
        <v>0</v>
      </c>
      <c r="BH35" s="992">
        <f t="shared" si="65"/>
        <v>0</v>
      </c>
      <c r="BI35" s="992">
        <f t="shared" si="65"/>
        <v>0</v>
      </c>
      <c r="BJ35" s="992">
        <f t="shared" si="65"/>
        <v>0</v>
      </c>
      <c r="BK35" s="992">
        <f t="shared" si="65"/>
        <v>0</v>
      </c>
      <c r="BL35" s="993">
        <f t="shared" si="47"/>
        <v>0</v>
      </c>
      <c r="BM35" s="988">
        <f>(109566+50161)/12</f>
        <v>13310.583333333334</v>
      </c>
      <c r="BN35" s="989">
        <f t="shared" ref="BN35:BX35" si="82">(109566+50161)/12</f>
        <v>13310.583333333334</v>
      </c>
      <c r="BO35" s="989">
        <f t="shared" si="82"/>
        <v>13310.583333333334</v>
      </c>
      <c r="BP35" s="989">
        <f t="shared" si="82"/>
        <v>13310.583333333334</v>
      </c>
      <c r="BQ35" s="989">
        <f t="shared" si="82"/>
        <v>13310.583333333334</v>
      </c>
      <c r="BR35" s="989">
        <f t="shared" si="82"/>
        <v>13310.583333333334</v>
      </c>
      <c r="BS35" s="989">
        <f t="shared" si="82"/>
        <v>13310.583333333334</v>
      </c>
      <c r="BT35" s="989">
        <f t="shared" si="82"/>
        <v>13310.583333333334</v>
      </c>
      <c r="BU35" s="989">
        <f t="shared" si="82"/>
        <v>13310.583333333334</v>
      </c>
      <c r="BV35" s="989">
        <f t="shared" si="82"/>
        <v>13310.583333333334</v>
      </c>
      <c r="BW35" s="989">
        <f t="shared" si="82"/>
        <v>13310.583333333334</v>
      </c>
      <c r="BX35" s="989">
        <f t="shared" si="82"/>
        <v>13310.583333333334</v>
      </c>
      <c r="BY35" s="990">
        <f t="shared" si="66"/>
        <v>159727</v>
      </c>
      <c r="BZ35" s="991">
        <f t="shared" si="67"/>
        <v>35406.151666666672</v>
      </c>
      <c r="CA35" s="992">
        <f t="shared" si="67"/>
        <v>35406.151666666672</v>
      </c>
      <c r="CB35" s="992">
        <f t="shared" si="67"/>
        <v>35406.151666666672</v>
      </c>
      <c r="CC35" s="992">
        <f t="shared" si="67"/>
        <v>35406.151666666672</v>
      </c>
      <c r="CD35" s="992">
        <f t="shared" si="67"/>
        <v>35406.151666666672</v>
      </c>
      <c r="CE35" s="992">
        <f t="shared" si="67"/>
        <v>35406.151666666672</v>
      </c>
      <c r="CF35" s="992">
        <f t="shared" si="67"/>
        <v>35406.151666666672</v>
      </c>
      <c r="CG35" s="992">
        <f t="shared" si="67"/>
        <v>35406.151666666672</v>
      </c>
      <c r="CH35" s="992">
        <f t="shared" si="67"/>
        <v>35406.151666666672</v>
      </c>
      <c r="CI35" s="992">
        <f t="shared" si="67"/>
        <v>35406.151666666672</v>
      </c>
      <c r="CJ35" s="992">
        <f t="shared" si="67"/>
        <v>35406.151666666672</v>
      </c>
      <c r="CK35" s="992">
        <f t="shared" si="67"/>
        <v>35406.151666666672</v>
      </c>
      <c r="CL35" s="993">
        <f t="shared" si="68"/>
        <v>424873.82000000007</v>
      </c>
      <c r="CM35" s="988">
        <f>(80983+60194)/12</f>
        <v>11764.75</v>
      </c>
      <c r="CN35" s="989">
        <f t="shared" ref="CN35:CX35" si="83">(80983+60194)/12</f>
        <v>11764.75</v>
      </c>
      <c r="CO35" s="989">
        <f t="shared" si="83"/>
        <v>11764.75</v>
      </c>
      <c r="CP35" s="989">
        <f t="shared" si="83"/>
        <v>11764.75</v>
      </c>
      <c r="CQ35" s="989">
        <f t="shared" si="83"/>
        <v>11764.75</v>
      </c>
      <c r="CR35" s="989">
        <f t="shared" si="83"/>
        <v>11764.75</v>
      </c>
      <c r="CS35" s="989">
        <f t="shared" si="83"/>
        <v>11764.75</v>
      </c>
      <c r="CT35" s="989">
        <f t="shared" si="83"/>
        <v>11764.75</v>
      </c>
      <c r="CU35" s="989">
        <f t="shared" si="83"/>
        <v>11764.75</v>
      </c>
      <c r="CV35" s="989">
        <f t="shared" si="83"/>
        <v>11764.75</v>
      </c>
      <c r="CW35" s="989">
        <f t="shared" si="83"/>
        <v>11764.75</v>
      </c>
      <c r="CX35" s="989">
        <f t="shared" si="83"/>
        <v>11764.75</v>
      </c>
      <c r="CY35" s="990">
        <f t="shared" si="69"/>
        <v>141177</v>
      </c>
      <c r="CZ35" s="991">
        <f t="shared" si="70"/>
        <v>31294.235000000001</v>
      </c>
      <c r="DA35" s="992">
        <f t="shared" si="70"/>
        <v>31294.235000000001</v>
      </c>
      <c r="DB35" s="992">
        <f t="shared" si="70"/>
        <v>31294.235000000001</v>
      </c>
      <c r="DC35" s="992">
        <f t="shared" si="70"/>
        <v>31294.235000000001</v>
      </c>
      <c r="DD35" s="992">
        <f t="shared" si="70"/>
        <v>31294.235000000001</v>
      </c>
      <c r="DE35" s="992">
        <f t="shared" si="70"/>
        <v>31294.235000000001</v>
      </c>
      <c r="DF35" s="992">
        <f t="shared" si="70"/>
        <v>31294.235000000001</v>
      </c>
      <c r="DG35" s="992">
        <f t="shared" si="70"/>
        <v>31294.235000000001</v>
      </c>
      <c r="DH35" s="992">
        <f t="shared" si="70"/>
        <v>31294.235000000001</v>
      </c>
      <c r="DI35" s="992">
        <f t="shared" si="70"/>
        <v>31294.235000000001</v>
      </c>
      <c r="DJ35" s="992">
        <f t="shared" si="70"/>
        <v>31294.235000000001</v>
      </c>
      <c r="DK35" s="992">
        <f t="shared" si="70"/>
        <v>31294.235000000001</v>
      </c>
      <c r="DL35" s="993">
        <f t="shared" si="50"/>
        <v>375530.81999999989</v>
      </c>
      <c r="DM35" s="988">
        <f>(854+60194)/12</f>
        <v>5087.333333333333</v>
      </c>
      <c r="DN35" s="989">
        <f t="shared" ref="DN35:DX35" si="84">(854+60194)/12</f>
        <v>5087.333333333333</v>
      </c>
      <c r="DO35" s="989">
        <f t="shared" si="84"/>
        <v>5087.333333333333</v>
      </c>
      <c r="DP35" s="989">
        <f t="shared" si="84"/>
        <v>5087.333333333333</v>
      </c>
      <c r="DQ35" s="989">
        <f t="shared" si="84"/>
        <v>5087.333333333333</v>
      </c>
      <c r="DR35" s="989">
        <f t="shared" si="84"/>
        <v>5087.333333333333</v>
      </c>
      <c r="DS35" s="989">
        <f t="shared" si="84"/>
        <v>5087.333333333333</v>
      </c>
      <c r="DT35" s="989">
        <f t="shared" si="84"/>
        <v>5087.333333333333</v>
      </c>
      <c r="DU35" s="989">
        <f t="shared" si="84"/>
        <v>5087.333333333333</v>
      </c>
      <c r="DV35" s="989">
        <f t="shared" si="84"/>
        <v>5087.333333333333</v>
      </c>
      <c r="DW35" s="989">
        <f t="shared" si="84"/>
        <v>5087.333333333333</v>
      </c>
      <c r="DX35" s="989">
        <f t="shared" si="84"/>
        <v>5087.333333333333</v>
      </c>
      <c r="DY35" s="990">
        <f t="shared" si="71"/>
        <v>61048.000000000007</v>
      </c>
      <c r="DZ35" s="991">
        <f t="shared" si="72"/>
        <v>13532.306666666667</v>
      </c>
      <c r="EA35" s="992">
        <f t="shared" si="72"/>
        <v>13532.306666666667</v>
      </c>
      <c r="EB35" s="992">
        <f t="shared" si="72"/>
        <v>13532.306666666667</v>
      </c>
      <c r="EC35" s="992">
        <f t="shared" si="72"/>
        <v>13532.306666666667</v>
      </c>
      <c r="ED35" s="992">
        <f t="shared" si="72"/>
        <v>13532.306666666667</v>
      </c>
      <c r="EE35" s="992">
        <f t="shared" si="72"/>
        <v>13532.306666666667</v>
      </c>
      <c r="EF35" s="992">
        <f t="shared" si="72"/>
        <v>13532.306666666667</v>
      </c>
      <c r="EG35" s="992">
        <f t="shared" si="72"/>
        <v>13532.306666666667</v>
      </c>
      <c r="EH35" s="992">
        <f t="shared" si="72"/>
        <v>13532.306666666667</v>
      </c>
      <c r="EI35" s="992">
        <f t="shared" si="72"/>
        <v>13532.306666666667</v>
      </c>
      <c r="EJ35" s="992">
        <f t="shared" si="72"/>
        <v>13532.306666666667</v>
      </c>
      <c r="EK35" s="992">
        <f t="shared" si="72"/>
        <v>13532.306666666667</v>
      </c>
      <c r="EL35" s="993">
        <f t="shared" si="52"/>
        <v>162387.68000000002</v>
      </c>
    </row>
    <row r="36" spans="1:142" s="927" customFormat="1">
      <c r="A36" s="978" t="s">
        <v>655</v>
      </c>
      <c r="B36" s="904" t="s">
        <v>662</v>
      </c>
      <c r="C36" s="979" t="s">
        <v>658</v>
      </c>
      <c r="D36" s="980"/>
      <c r="E36" s="981"/>
      <c r="F36" s="981"/>
      <c r="G36" s="982"/>
      <c r="H36" s="980">
        <f>H34-0.14</f>
        <v>2.2999999999999998</v>
      </c>
      <c r="I36" s="981">
        <f>H36</f>
        <v>2.2999999999999998</v>
      </c>
      <c r="J36" s="981">
        <f t="shared" si="73"/>
        <v>2.2999999999999998</v>
      </c>
      <c r="K36" s="983">
        <f t="shared" si="73"/>
        <v>2.2999999999999998</v>
      </c>
      <c r="L36" s="984"/>
      <c r="M36" s="985"/>
      <c r="N36" s="986"/>
      <c r="O36" s="986"/>
      <c r="P36" s="986"/>
      <c r="Q36" s="986"/>
      <c r="R36" s="986"/>
      <c r="S36" s="986"/>
      <c r="T36" s="986"/>
      <c r="U36" s="986"/>
      <c r="V36" s="986"/>
      <c r="W36" s="986"/>
      <c r="X36" s="986"/>
      <c r="Y36" s="936">
        <f t="shared" si="58"/>
        <v>0</v>
      </c>
      <c r="Z36" s="921">
        <f t="shared" si="78"/>
        <v>0</v>
      </c>
      <c r="AA36" s="922">
        <f t="shared" si="78"/>
        <v>0</v>
      </c>
      <c r="AB36" s="922">
        <v>0</v>
      </c>
      <c r="AC36" s="922">
        <f t="shared" si="59"/>
        <v>0</v>
      </c>
      <c r="AD36" s="248">
        <f>Q36*$E36</f>
        <v>0</v>
      </c>
      <c r="AE36" s="922">
        <v>0</v>
      </c>
      <c r="AF36" s="922">
        <f t="shared" si="74"/>
        <v>0</v>
      </c>
      <c r="AG36" s="922">
        <f t="shared" si="60"/>
        <v>0</v>
      </c>
      <c r="AH36" s="922">
        <f t="shared" si="60"/>
        <v>0</v>
      </c>
      <c r="AI36" s="922">
        <f t="shared" si="61"/>
        <v>0</v>
      </c>
      <c r="AJ36" s="922">
        <f t="shared" si="61"/>
        <v>0</v>
      </c>
      <c r="AK36" s="922">
        <f t="shared" si="61"/>
        <v>0</v>
      </c>
      <c r="AL36" s="987">
        <f t="shared" si="62"/>
        <v>0</v>
      </c>
      <c r="AM36" s="988"/>
      <c r="AN36" s="989"/>
      <c r="AO36" s="989"/>
      <c r="AP36" s="989"/>
      <c r="AQ36" s="989"/>
      <c r="AR36" s="989"/>
      <c r="AS36" s="989"/>
      <c r="AT36" s="989"/>
      <c r="AU36" s="989"/>
      <c r="AV36" s="989"/>
      <c r="AW36" s="989"/>
      <c r="AX36" s="989"/>
      <c r="AY36" s="990">
        <f t="shared" si="64"/>
        <v>0</v>
      </c>
      <c r="AZ36" s="991">
        <f t="shared" si="65"/>
        <v>0</v>
      </c>
      <c r="BA36" s="992">
        <f t="shared" si="65"/>
        <v>0</v>
      </c>
      <c r="BB36" s="992">
        <f t="shared" si="65"/>
        <v>0</v>
      </c>
      <c r="BC36" s="992">
        <f t="shared" si="65"/>
        <v>0</v>
      </c>
      <c r="BD36" s="992">
        <f t="shared" si="65"/>
        <v>0</v>
      </c>
      <c r="BE36" s="992">
        <f t="shared" si="65"/>
        <v>0</v>
      </c>
      <c r="BF36" s="992">
        <f t="shared" si="65"/>
        <v>0</v>
      </c>
      <c r="BG36" s="992">
        <f t="shared" si="65"/>
        <v>0</v>
      </c>
      <c r="BH36" s="992">
        <f t="shared" si="65"/>
        <v>0</v>
      </c>
      <c r="BI36" s="992">
        <f t="shared" si="65"/>
        <v>0</v>
      </c>
      <c r="BJ36" s="992">
        <f t="shared" si="65"/>
        <v>0</v>
      </c>
      <c r="BK36" s="992">
        <f t="shared" si="65"/>
        <v>0</v>
      </c>
      <c r="BL36" s="993">
        <f t="shared" si="47"/>
        <v>0</v>
      </c>
      <c r="BM36" s="988"/>
      <c r="BN36" s="989"/>
      <c r="BO36" s="989"/>
      <c r="BP36" s="989"/>
      <c r="BQ36" s="989"/>
      <c r="BR36" s="989"/>
      <c r="BS36" s="989"/>
      <c r="BT36" s="989"/>
      <c r="BU36" s="989"/>
      <c r="BV36" s="989"/>
      <c r="BW36" s="989"/>
      <c r="BX36" s="989"/>
      <c r="BY36" s="990">
        <f t="shared" si="66"/>
        <v>0</v>
      </c>
      <c r="BZ36" s="991">
        <f t="shared" si="67"/>
        <v>0</v>
      </c>
      <c r="CA36" s="992">
        <f t="shared" si="67"/>
        <v>0</v>
      </c>
      <c r="CB36" s="992">
        <f t="shared" si="67"/>
        <v>0</v>
      </c>
      <c r="CC36" s="992">
        <f t="shared" si="67"/>
        <v>0</v>
      </c>
      <c r="CD36" s="992">
        <f t="shared" si="67"/>
        <v>0</v>
      </c>
      <c r="CE36" s="992">
        <f t="shared" si="67"/>
        <v>0</v>
      </c>
      <c r="CF36" s="992">
        <f t="shared" si="67"/>
        <v>0</v>
      </c>
      <c r="CG36" s="992">
        <f t="shared" si="67"/>
        <v>0</v>
      </c>
      <c r="CH36" s="992">
        <f t="shared" si="67"/>
        <v>0</v>
      </c>
      <c r="CI36" s="992">
        <f t="shared" si="67"/>
        <v>0</v>
      </c>
      <c r="CJ36" s="992">
        <f t="shared" si="67"/>
        <v>0</v>
      </c>
      <c r="CK36" s="992">
        <f t="shared" si="67"/>
        <v>0</v>
      </c>
      <c r="CL36" s="993">
        <f t="shared" si="68"/>
        <v>0</v>
      </c>
      <c r="CM36" s="988"/>
      <c r="CN36" s="989"/>
      <c r="CO36" s="989"/>
      <c r="CP36" s="989"/>
      <c r="CQ36" s="989"/>
      <c r="CR36" s="989"/>
      <c r="CS36" s="989"/>
      <c r="CT36" s="989"/>
      <c r="CU36" s="989"/>
      <c r="CV36" s="989"/>
      <c r="CW36" s="989"/>
      <c r="CX36" s="989"/>
      <c r="CY36" s="990">
        <f t="shared" si="69"/>
        <v>0</v>
      </c>
      <c r="CZ36" s="991">
        <f t="shared" si="70"/>
        <v>0</v>
      </c>
      <c r="DA36" s="992">
        <f t="shared" si="70"/>
        <v>0</v>
      </c>
      <c r="DB36" s="992">
        <f t="shared" si="70"/>
        <v>0</v>
      </c>
      <c r="DC36" s="992">
        <f t="shared" si="70"/>
        <v>0</v>
      </c>
      <c r="DD36" s="992">
        <f t="shared" si="70"/>
        <v>0</v>
      </c>
      <c r="DE36" s="992">
        <f t="shared" si="70"/>
        <v>0</v>
      </c>
      <c r="DF36" s="992">
        <f t="shared" si="70"/>
        <v>0</v>
      </c>
      <c r="DG36" s="992">
        <f t="shared" si="70"/>
        <v>0</v>
      </c>
      <c r="DH36" s="992">
        <f t="shared" si="70"/>
        <v>0</v>
      </c>
      <c r="DI36" s="992">
        <f t="shared" si="70"/>
        <v>0</v>
      </c>
      <c r="DJ36" s="992">
        <f t="shared" si="70"/>
        <v>0</v>
      </c>
      <c r="DK36" s="992">
        <f t="shared" si="70"/>
        <v>0</v>
      </c>
      <c r="DL36" s="993">
        <f t="shared" si="50"/>
        <v>0</v>
      </c>
      <c r="DM36" s="988"/>
      <c r="DN36" s="989"/>
      <c r="DO36" s="989"/>
      <c r="DP36" s="989"/>
      <c r="DQ36" s="989"/>
      <c r="DR36" s="989"/>
      <c r="DS36" s="989"/>
      <c r="DT36" s="989"/>
      <c r="DU36" s="989"/>
      <c r="DV36" s="989"/>
      <c r="DW36" s="989"/>
      <c r="DX36" s="989"/>
      <c r="DY36" s="990">
        <f t="shared" si="71"/>
        <v>0</v>
      </c>
      <c r="DZ36" s="991">
        <f t="shared" si="72"/>
        <v>0</v>
      </c>
      <c r="EA36" s="992">
        <f t="shared" si="72"/>
        <v>0</v>
      </c>
      <c r="EB36" s="992">
        <f t="shared" si="72"/>
        <v>0</v>
      </c>
      <c r="EC36" s="992">
        <f t="shared" si="72"/>
        <v>0</v>
      </c>
      <c r="ED36" s="992">
        <f t="shared" si="72"/>
        <v>0</v>
      </c>
      <c r="EE36" s="992">
        <f t="shared" si="72"/>
        <v>0</v>
      </c>
      <c r="EF36" s="992">
        <f t="shared" si="72"/>
        <v>0</v>
      </c>
      <c r="EG36" s="992">
        <f t="shared" si="72"/>
        <v>0</v>
      </c>
      <c r="EH36" s="992">
        <f t="shared" si="72"/>
        <v>0</v>
      </c>
      <c r="EI36" s="992">
        <f t="shared" si="72"/>
        <v>0</v>
      </c>
      <c r="EJ36" s="992">
        <f t="shared" si="72"/>
        <v>0</v>
      </c>
      <c r="EK36" s="992">
        <f t="shared" si="72"/>
        <v>0</v>
      </c>
      <c r="EL36" s="993">
        <f t="shared" si="52"/>
        <v>0</v>
      </c>
    </row>
    <row r="37" spans="1:142" s="927" customFormat="1">
      <c r="A37" s="978" t="s">
        <v>655</v>
      </c>
      <c r="B37" s="904" t="s">
        <v>663</v>
      </c>
      <c r="C37" s="979" t="s">
        <v>659</v>
      </c>
      <c r="D37" s="980"/>
      <c r="E37" s="981"/>
      <c r="F37" s="981"/>
      <c r="G37" s="982"/>
      <c r="H37" s="980">
        <f>H35-0.14</f>
        <v>2.52</v>
      </c>
      <c r="I37" s="981">
        <f>H37</f>
        <v>2.52</v>
      </c>
      <c r="J37" s="981">
        <f t="shared" si="73"/>
        <v>2.52</v>
      </c>
      <c r="K37" s="983">
        <f t="shared" si="73"/>
        <v>2.52</v>
      </c>
      <c r="L37" s="984"/>
      <c r="M37" s="985"/>
      <c r="N37" s="986"/>
      <c r="O37" s="986"/>
      <c r="P37" s="986"/>
      <c r="Q37" s="986"/>
      <c r="R37" s="986"/>
      <c r="S37" s="986"/>
      <c r="T37" s="986"/>
      <c r="U37" s="986"/>
      <c r="V37" s="986"/>
      <c r="W37" s="986"/>
      <c r="X37" s="986"/>
      <c r="Y37" s="936">
        <f t="shared" si="58"/>
        <v>0</v>
      </c>
      <c r="Z37" s="921">
        <f t="shared" si="78"/>
        <v>0</v>
      </c>
      <c r="AA37" s="922">
        <f t="shared" si="78"/>
        <v>0</v>
      </c>
      <c r="AB37" s="922">
        <v>0</v>
      </c>
      <c r="AC37" s="922">
        <f t="shared" si="59"/>
        <v>0</v>
      </c>
      <c r="AD37" s="248">
        <f>Q37*$E37</f>
        <v>0</v>
      </c>
      <c r="AE37" s="922">
        <v>0</v>
      </c>
      <c r="AF37" s="922">
        <f t="shared" si="74"/>
        <v>0</v>
      </c>
      <c r="AG37" s="922">
        <f t="shared" si="60"/>
        <v>0</v>
      </c>
      <c r="AH37" s="922">
        <f t="shared" si="60"/>
        <v>0</v>
      </c>
      <c r="AI37" s="922">
        <f t="shared" si="61"/>
        <v>0</v>
      </c>
      <c r="AJ37" s="922">
        <f t="shared" si="61"/>
        <v>0</v>
      </c>
      <c r="AK37" s="922">
        <f t="shared" si="61"/>
        <v>0</v>
      </c>
      <c r="AL37" s="987">
        <f t="shared" si="62"/>
        <v>0</v>
      </c>
      <c r="AM37" s="988"/>
      <c r="AN37" s="989"/>
      <c r="AO37" s="989"/>
      <c r="AP37" s="989"/>
      <c r="AQ37" s="989"/>
      <c r="AR37" s="989"/>
      <c r="AS37" s="989"/>
      <c r="AT37" s="989"/>
      <c r="AU37" s="989"/>
      <c r="AV37" s="989"/>
      <c r="AW37" s="989"/>
      <c r="AX37" s="989"/>
      <c r="AY37" s="990">
        <f t="shared" si="64"/>
        <v>0</v>
      </c>
      <c r="AZ37" s="991">
        <f t="shared" si="65"/>
        <v>0</v>
      </c>
      <c r="BA37" s="992">
        <f t="shared" si="65"/>
        <v>0</v>
      </c>
      <c r="BB37" s="992">
        <f t="shared" si="65"/>
        <v>0</v>
      </c>
      <c r="BC37" s="992">
        <f t="shared" si="65"/>
        <v>0</v>
      </c>
      <c r="BD37" s="992">
        <f t="shared" si="65"/>
        <v>0</v>
      </c>
      <c r="BE37" s="992">
        <f t="shared" si="65"/>
        <v>0</v>
      </c>
      <c r="BF37" s="992">
        <f t="shared" si="65"/>
        <v>0</v>
      </c>
      <c r="BG37" s="992">
        <f t="shared" si="65"/>
        <v>0</v>
      </c>
      <c r="BH37" s="992">
        <f t="shared" si="65"/>
        <v>0</v>
      </c>
      <c r="BI37" s="992">
        <f t="shared" si="65"/>
        <v>0</v>
      </c>
      <c r="BJ37" s="992">
        <f t="shared" si="65"/>
        <v>0</v>
      </c>
      <c r="BK37" s="992">
        <f t="shared" si="65"/>
        <v>0</v>
      </c>
      <c r="BL37" s="993">
        <f t="shared" si="47"/>
        <v>0</v>
      </c>
      <c r="BM37" s="988"/>
      <c r="BN37" s="989"/>
      <c r="BO37" s="989"/>
      <c r="BP37" s="989"/>
      <c r="BQ37" s="989"/>
      <c r="BR37" s="989"/>
      <c r="BS37" s="989"/>
      <c r="BT37" s="989"/>
      <c r="BU37" s="989"/>
      <c r="BV37" s="989"/>
      <c r="BW37" s="989"/>
      <c r="BX37" s="989"/>
      <c r="BY37" s="990">
        <f t="shared" si="66"/>
        <v>0</v>
      </c>
      <c r="BZ37" s="991">
        <f t="shared" si="67"/>
        <v>0</v>
      </c>
      <c r="CA37" s="992">
        <f t="shared" si="67"/>
        <v>0</v>
      </c>
      <c r="CB37" s="992">
        <f t="shared" si="67"/>
        <v>0</v>
      </c>
      <c r="CC37" s="992">
        <f t="shared" si="67"/>
        <v>0</v>
      </c>
      <c r="CD37" s="992">
        <f t="shared" si="67"/>
        <v>0</v>
      </c>
      <c r="CE37" s="992">
        <f t="shared" si="67"/>
        <v>0</v>
      </c>
      <c r="CF37" s="992">
        <f t="shared" si="67"/>
        <v>0</v>
      </c>
      <c r="CG37" s="992">
        <f t="shared" si="67"/>
        <v>0</v>
      </c>
      <c r="CH37" s="992">
        <f t="shared" si="67"/>
        <v>0</v>
      </c>
      <c r="CI37" s="992">
        <f t="shared" si="67"/>
        <v>0</v>
      </c>
      <c r="CJ37" s="992">
        <f t="shared" si="67"/>
        <v>0</v>
      </c>
      <c r="CK37" s="992">
        <f t="shared" si="67"/>
        <v>0</v>
      </c>
      <c r="CL37" s="993">
        <f t="shared" si="68"/>
        <v>0</v>
      </c>
      <c r="CM37" s="988"/>
      <c r="CN37" s="989"/>
      <c r="CO37" s="989"/>
      <c r="CP37" s="989"/>
      <c r="CQ37" s="989"/>
      <c r="CR37" s="989"/>
      <c r="CS37" s="989"/>
      <c r="CT37" s="989"/>
      <c r="CU37" s="989"/>
      <c r="CV37" s="989"/>
      <c r="CW37" s="989"/>
      <c r="CX37" s="989"/>
      <c r="CY37" s="990">
        <f t="shared" si="69"/>
        <v>0</v>
      </c>
      <c r="CZ37" s="991">
        <f t="shared" si="70"/>
        <v>0</v>
      </c>
      <c r="DA37" s="992">
        <f t="shared" si="70"/>
        <v>0</v>
      </c>
      <c r="DB37" s="992">
        <f t="shared" si="70"/>
        <v>0</v>
      </c>
      <c r="DC37" s="992">
        <f t="shared" si="70"/>
        <v>0</v>
      </c>
      <c r="DD37" s="992">
        <f t="shared" si="70"/>
        <v>0</v>
      </c>
      <c r="DE37" s="992">
        <f t="shared" si="70"/>
        <v>0</v>
      </c>
      <c r="DF37" s="992">
        <f t="shared" si="70"/>
        <v>0</v>
      </c>
      <c r="DG37" s="992">
        <f t="shared" si="70"/>
        <v>0</v>
      </c>
      <c r="DH37" s="992">
        <f t="shared" si="70"/>
        <v>0</v>
      </c>
      <c r="DI37" s="992">
        <f t="shared" si="70"/>
        <v>0</v>
      </c>
      <c r="DJ37" s="992">
        <f t="shared" si="70"/>
        <v>0</v>
      </c>
      <c r="DK37" s="992">
        <f t="shared" si="70"/>
        <v>0</v>
      </c>
      <c r="DL37" s="993">
        <f t="shared" si="50"/>
        <v>0</v>
      </c>
      <c r="DM37" s="988"/>
      <c r="DN37" s="989"/>
      <c r="DO37" s="989"/>
      <c r="DP37" s="989"/>
      <c r="DQ37" s="989"/>
      <c r="DR37" s="989"/>
      <c r="DS37" s="989"/>
      <c r="DT37" s="989"/>
      <c r="DU37" s="989"/>
      <c r="DV37" s="989"/>
      <c r="DW37" s="989"/>
      <c r="DX37" s="989"/>
      <c r="DY37" s="990">
        <f t="shared" si="71"/>
        <v>0</v>
      </c>
      <c r="DZ37" s="991">
        <f t="shared" si="72"/>
        <v>0</v>
      </c>
      <c r="EA37" s="992">
        <f t="shared" si="72"/>
        <v>0</v>
      </c>
      <c r="EB37" s="992">
        <f t="shared" si="72"/>
        <v>0</v>
      </c>
      <c r="EC37" s="992">
        <f t="shared" si="72"/>
        <v>0</v>
      </c>
      <c r="ED37" s="992">
        <f t="shared" si="72"/>
        <v>0</v>
      </c>
      <c r="EE37" s="992">
        <f t="shared" si="72"/>
        <v>0</v>
      </c>
      <c r="EF37" s="992">
        <f t="shared" si="72"/>
        <v>0</v>
      </c>
      <c r="EG37" s="992">
        <f t="shared" si="72"/>
        <v>0</v>
      </c>
      <c r="EH37" s="992">
        <f t="shared" si="72"/>
        <v>0</v>
      </c>
      <c r="EI37" s="992">
        <f t="shared" si="72"/>
        <v>0</v>
      </c>
      <c r="EJ37" s="992">
        <f t="shared" si="72"/>
        <v>0</v>
      </c>
      <c r="EK37" s="992">
        <f t="shared" si="72"/>
        <v>0</v>
      </c>
      <c r="EL37" s="993">
        <f t="shared" si="52"/>
        <v>0</v>
      </c>
    </row>
    <row r="38" spans="1:142">
      <c r="A38" s="964" t="s">
        <v>655</v>
      </c>
      <c r="B38" s="904" t="s">
        <v>56</v>
      </c>
      <c r="C38" s="972" t="s">
        <v>664</v>
      </c>
      <c r="D38" s="549">
        <v>2.1</v>
      </c>
      <c r="E38" s="550">
        <v>2.1077661424397145</v>
      </c>
      <c r="F38" s="550">
        <v>2.1191326320213473</v>
      </c>
      <c r="G38" s="551">
        <v>2.17</v>
      </c>
      <c r="H38" s="549">
        <f t="shared" si="73"/>
        <v>2.17</v>
      </c>
      <c r="I38" s="550">
        <f t="shared" si="73"/>
        <v>2.17</v>
      </c>
      <c r="J38" s="550">
        <f t="shared" si="73"/>
        <v>2.17</v>
      </c>
      <c r="K38" s="973">
        <f t="shared" si="73"/>
        <v>2.17</v>
      </c>
      <c r="L38" s="974"/>
      <c r="M38" s="555">
        <v>22840</v>
      </c>
      <c r="N38" s="530">
        <v>14080</v>
      </c>
      <c r="O38" s="530">
        <v>21840</v>
      </c>
      <c r="P38" s="530">
        <v>23620</v>
      </c>
      <c r="Q38" s="530">
        <v>21180</v>
      </c>
      <c r="R38" s="530">
        <v>6713</v>
      </c>
      <c r="S38" s="530">
        <v>15120</v>
      </c>
      <c r="T38" s="530">
        <v>13927</v>
      </c>
      <c r="U38" s="530">
        <v>0</v>
      </c>
      <c r="V38" s="530">
        <v>10000</v>
      </c>
      <c r="W38" s="530"/>
      <c r="X38" s="530"/>
      <c r="Y38" s="876">
        <f t="shared" si="58"/>
        <v>149320</v>
      </c>
      <c r="Z38" s="877">
        <v>47964</v>
      </c>
      <c r="AA38" s="248">
        <v>29568</v>
      </c>
      <c r="AB38" s="248">
        <v>45864</v>
      </c>
      <c r="AC38" s="248">
        <v>49602</v>
      </c>
      <c r="AD38" s="248">
        <v>44478</v>
      </c>
      <c r="AE38" s="248">
        <v>14164.43</v>
      </c>
      <c r="AF38" s="248">
        <f>S38*2.11</f>
        <v>31903.199999999997</v>
      </c>
      <c r="AG38" s="248">
        <f t="shared" si="60"/>
        <v>29513.160166161302</v>
      </c>
      <c r="AH38" s="248">
        <f t="shared" si="60"/>
        <v>0</v>
      </c>
      <c r="AI38" s="248">
        <f t="shared" si="61"/>
        <v>21700</v>
      </c>
      <c r="AJ38" s="248">
        <f t="shared" si="61"/>
        <v>0</v>
      </c>
      <c r="AK38" s="248">
        <f t="shared" si="61"/>
        <v>0</v>
      </c>
      <c r="AL38" s="878">
        <f t="shared" si="62"/>
        <v>314756.79016616131</v>
      </c>
      <c r="AM38" s="975"/>
      <c r="AN38" s="976"/>
      <c r="AO38" s="976"/>
      <c r="AP38" s="976"/>
      <c r="AQ38" s="976"/>
      <c r="AR38" s="976"/>
      <c r="AS38" s="976"/>
      <c r="AT38" s="976"/>
      <c r="AU38" s="976"/>
      <c r="AV38" s="976"/>
      <c r="AW38" s="976"/>
      <c r="AX38" s="976"/>
      <c r="AY38" s="977">
        <f t="shared" si="64"/>
        <v>0</v>
      </c>
      <c r="AZ38" s="877">
        <f t="shared" si="65"/>
        <v>0</v>
      </c>
      <c r="BA38" s="248">
        <f t="shared" si="65"/>
        <v>0</v>
      </c>
      <c r="BB38" s="248">
        <f t="shared" si="65"/>
        <v>0</v>
      </c>
      <c r="BC38" s="248">
        <f t="shared" si="65"/>
        <v>0</v>
      </c>
      <c r="BD38" s="248">
        <f t="shared" si="65"/>
        <v>0</v>
      </c>
      <c r="BE38" s="248">
        <f t="shared" si="65"/>
        <v>0</v>
      </c>
      <c r="BF38" s="248">
        <f t="shared" si="65"/>
        <v>0</v>
      </c>
      <c r="BG38" s="248">
        <f t="shared" si="65"/>
        <v>0</v>
      </c>
      <c r="BH38" s="248">
        <f t="shared" si="65"/>
        <v>0</v>
      </c>
      <c r="BI38" s="248">
        <f t="shared" si="65"/>
        <v>0</v>
      </c>
      <c r="BJ38" s="248">
        <f t="shared" si="65"/>
        <v>0</v>
      </c>
      <c r="BK38" s="248">
        <f t="shared" si="65"/>
        <v>0</v>
      </c>
      <c r="BL38" s="878">
        <f t="shared" si="47"/>
        <v>0</v>
      </c>
      <c r="BM38" s="975"/>
      <c r="BN38" s="976"/>
      <c r="BO38" s="976"/>
      <c r="BP38" s="976"/>
      <c r="BQ38" s="976"/>
      <c r="BR38" s="976"/>
      <c r="BS38" s="976"/>
      <c r="BT38" s="976"/>
      <c r="BU38" s="976"/>
      <c r="BV38" s="976"/>
      <c r="BW38" s="976"/>
      <c r="BX38" s="976"/>
      <c r="BY38" s="977">
        <f t="shared" si="66"/>
        <v>0</v>
      </c>
      <c r="BZ38" s="877">
        <f t="shared" si="67"/>
        <v>0</v>
      </c>
      <c r="CA38" s="248">
        <f t="shared" si="67"/>
        <v>0</v>
      </c>
      <c r="CB38" s="248">
        <f t="shared" si="67"/>
        <v>0</v>
      </c>
      <c r="CC38" s="248">
        <f t="shared" si="67"/>
        <v>0</v>
      </c>
      <c r="CD38" s="248">
        <f t="shared" si="67"/>
        <v>0</v>
      </c>
      <c r="CE38" s="248">
        <f t="shared" si="67"/>
        <v>0</v>
      </c>
      <c r="CF38" s="248">
        <f t="shared" si="67"/>
        <v>0</v>
      </c>
      <c r="CG38" s="248">
        <f t="shared" si="67"/>
        <v>0</v>
      </c>
      <c r="CH38" s="248">
        <f t="shared" si="67"/>
        <v>0</v>
      </c>
      <c r="CI38" s="248">
        <f t="shared" si="67"/>
        <v>0</v>
      </c>
      <c r="CJ38" s="248">
        <f t="shared" si="67"/>
        <v>0</v>
      </c>
      <c r="CK38" s="248">
        <f t="shared" si="67"/>
        <v>0</v>
      </c>
      <c r="CL38" s="878">
        <f t="shared" si="68"/>
        <v>0</v>
      </c>
      <c r="CM38" s="975"/>
      <c r="CN38" s="976"/>
      <c r="CO38" s="976"/>
      <c r="CP38" s="976"/>
      <c r="CQ38" s="976"/>
      <c r="CR38" s="976"/>
      <c r="CS38" s="976"/>
      <c r="CT38" s="976"/>
      <c r="CU38" s="976"/>
      <c r="CV38" s="976"/>
      <c r="CW38" s="976"/>
      <c r="CX38" s="976"/>
      <c r="CY38" s="977">
        <f t="shared" si="69"/>
        <v>0</v>
      </c>
      <c r="CZ38" s="877">
        <f t="shared" si="70"/>
        <v>0</v>
      </c>
      <c r="DA38" s="248">
        <f t="shared" si="70"/>
        <v>0</v>
      </c>
      <c r="DB38" s="248">
        <f t="shared" si="70"/>
        <v>0</v>
      </c>
      <c r="DC38" s="248">
        <f t="shared" si="70"/>
        <v>0</v>
      </c>
      <c r="DD38" s="248">
        <f t="shared" si="70"/>
        <v>0</v>
      </c>
      <c r="DE38" s="248">
        <f t="shared" si="70"/>
        <v>0</v>
      </c>
      <c r="DF38" s="248">
        <f t="shared" si="70"/>
        <v>0</v>
      </c>
      <c r="DG38" s="248">
        <f t="shared" si="70"/>
        <v>0</v>
      </c>
      <c r="DH38" s="248">
        <f t="shared" si="70"/>
        <v>0</v>
      </c>
      <c r="DI38" s="248">
        <f t="shared" si="70"/>
        <v>0</v>
      </c>
      <c r="DJ38" s="248">
        <f t="shared" si="70"/>
        <v>0</v>
      </c>
      <c r="DK38" s="248">
        <f t="shared" si="70"/>
        <v>0</v>
      </c>
      <c r="DL38" s="878">
        <f t="shared" si="50"/>
        <v>0</v>
      </c>
      <c r="DM38" s="975"/>
      <c r="DN38" s="976"/>
      <c r="DO38" s="976"/>
      <c r="DP38" s="976"/>
      <c r="DQ38" s="976"/>
      <c r="DR38" s="976"/>
      <c r="DS38" s="976"/>
      <c r="DT38" s="976"/>
      <c r="DU38" s="976"/>
      <c r="DV38" s="976"/>
      <c r="DW38" s="976"/>
      <c r="DX38" s="976"/>
      <c r="DY38" s="977">
        <f t="shared" si="71"/>
        <v>0</v>
      </c>
      <c r="DZ38" s="877">
        <f t="shared" si="72"/>
        <v>0</v>
      </c>
      <c r="EA38" s="248">
        <f t="shared" si="72"/>
        <v>0</v>
      </c>
      <c r="EB38" s="248">
        <f t="shared" si="72"/>
        <v>0</v>
      </c>
      <c r="EC38" s="248">
        <f t="shared" si="72"/>
        <v>0</v>
      </c>
      <c r="ED38" s="248">
        <f t="shared" si="72"/>
        <v>0</v>
      </c>
      <c r="EE38" s="248">
        <f t="shared" si="72"/>
        <v>0</v>
      </c>
      <c r="EF38" s="248">
        <f t="shared" si="72"/>
        <v>0</v>
      </c>
      <c r="EG38" s="248">
        <f t="shared" si="72"/>
        <v>0</v>
      </c>
      <c r="EH38" s="248">
        <f t="shared" si="72"/>
        <v>0</v>
      </c>
      <c r="EI38" s="248">
        <f t="shared" si="72"/>
        <v>0</v>
      </c>
      <c r="EJ38" s="248">
        <f t="shared" si="72"/>
        <v>0</v>
      </c>
      <c r="EK38" s="248">
        <f t="shared" si="72"/>
        <v>0</v>
      </c>
      <c r="EL38" s="878">
        <f t="shared" si="52"/>
        <v>0</v>
      </c>
    </row>
    <row r="39" spans="1:142">
      <c r="A39" s="964" t="s">
        <v>655</v>
      </c>
      <c r="B39" s="904" t="s">
        <v>57</v>
      </c>
      <c r="C39" s="972" t="s">
        <v>337</v>
      </c>
      <c r="D39" s="549">
        <v>1.93</v>
      </c>
      <c r="E39" s="550">
        <v>1.9369627483942264</v>
      </c>
      <c r="F39" s="550">
        <v>1.9481878769846563</v>
      </c>
      <c r="G39" s="551">
        <v>1.96</v>
      </c>
      <c r="H39" s="549">
        <f t="shared" si="73"/>
        <v>1.96</v>
      </c>
      <c r="I39" s="550">
        <f t="shared" si="73"/>
        <v>1.96</v>
      </c>
      <c r="J39" s="550">
        <f t="shared" si="73"/>
        <v>1.96</v>
      </c>
      <c r="K39" s="973">
        <f t="shared" si="73"/>
        <v>1.96</v>
      </c>
      <c r="L39" s="974"/>
      <c r="M39" s="555">
        <v>8000</v>
      </c>
      <c r="N39" s="552">
        <v>20600</v>
      </c>
      <c r="O39" s="530">
        <v>11400</v>
      </c>
      <c r="P39" s="530">
        <f>18920+1960</f>
        <v>20880</v>
      </c>
      <c r="Q39" s="530">
        <v>31120</v>
      </c>
      <c r="R39" s="530"/>
      <c r="S39" s="530"/>
      <c r="T39" s="530"/>
      <c r="U39" s="530"/>
      <c r="V39" s="530"/>
      <c r="W39" s="530"/>
      <c r="X39" s="530"/>
      <c r="Y39" s="876">
        <f t="shared" si="58"/>
        <v>92000</v>
      </c>
      <c r="Z39" s="877">
        <v>15440</v>
      </c>
      <c r="AA39" s="248">
        <v>39758</v>
      </c>
      <c r="AB39" s="248">
        <v>22002</v>
      </c>
      <c r="AC39" s="248">
        <v>40298.400000000001</v>
      </c>
      <c r="AD39" s="248">
        <v>60061.599999999999</v>
      </c>
      <c r="AE39" s="248"/>
      <c r="AF39" s="248">
        <f t="shared" si="74"/>
        <v>0</v>
      </c>
      <c r="AG39" s="248">
        <f t="shared" si="60"/>
        <v>0</v>
      </c>
      <c r="AH39" s="248">
        <f t="shared" si="60"/>
        <v>0</v>
      </c>
      <c r="AI39" s="248">
        <f t="shared" si="61"/>
        <v>0</v>
      </c>
      <c r="AJ39" s="248">
        <f t="shared" si="61"/>
        <v>0</v>
      </c>
      <c r="AK39" s="248">
        <f t="shared" si="61"/>
        <v>0</v>
      </c>
      <c r="AL39" s="878">
        <f t="shared" si="62"/>
        <v>177560</v>
      </c>
      <c r="AM39" s="975"/>
      <c r="AN39" s="994"/>
      <c r="AO39" s="976"/>
      <c r="AP39" s="976"/>
      <c r="AQ39" s="976"/>
      <c r="AR39" s="976"/>
      <c r="AS39" s="976"/>
      <c r="AT39" s="976"/>
      <c r="AU39" s="976"/>
      <c r="AV39" s="976"/>
      <c r="AW39" s="976"/>
      <c r="AX39" s="976"/>
      <c r="AY39" s="977">
        <f t="shared" si="64"/>
        <v>0</v>
      </c>
      <c r="AZ39" s="877">
        <f t="shared" si="65"/>
        <v>0</v>
      </c>
      <c r="BA39" s="248">
        <f t="shared" si="65"/>
        <v>0</v>
      </c>
      <c r="BB39" s="248">
        <f t="shared" si="65"/>
        <v>0</v>
      </c>
      <c r="BC39" s="248">
        <f t="shared" si="65"/>
        <v>0</v>
      </c>
      <c r="BD39" s="248">
        <f t="shared" si="65"/>
        <v>0</v>
      </c>
      <c r="BE39" s="248">
        <f t="shared" si="65"/>
        <v>0</v>
      </c>
      <c r="BF39" s="248">
        <f t="shared" si="65"/>
        <v>0</v>
      </c>
      <c r="BG39" s="248">
        <f t="shared" si="65"/>
        <v>0</v>
      </c>
      <c r="BH39" s="248">
        <f t="shared" si="65"/>
        <v>0</v>
      </c>
      <c r="BI39" s="248">
        <f t="shared" si="65"/>
        <v>0</v>
      </c>
      <c r="BJ39" s="248">
        <f t="shared" si="65"/>
        <v>0</v>
      </c>
      <c r="BK39" s="248">
        <f t="shared" si="65"/>
        <v>0</v>
      </c>
      <c r="BL39" s="878">
        <f t="shared" si="47"/>
        <v>0</v>
      </c>
      <c r="BM39" s="975"/>
      <c r="BN39" s="994"/>
      <c r="BO39" s="976"/>
      <c r="BP39" s="976"/>
      <c r="BQ39" s="976"/>
      <c r="BR39" s="976"/>
      <c r="BS39" s="976"/>
      <c r="BT39" s="976"/>
      <c r="BU39" s="976"/>
      <c r="BV39" s="976"/>
      <c r="BW39" s="976"/>
      <c r="BX39" s="976"/>
      <c r="BY39" s="977">
        <f t="shared" si="66"/>
        <v>0</v>
      </c>
      <c r="BZ39" s="877">
        <f t="shared" si="67"/>
        <v>0</v>
      </c>
      <c r="CA39" s="248">
        <f t="shared" si="67"/>
        <v>0</v>
      </c>
      <c r="CB39" s="248">
        <f t="shared" si="67"/>
        <v>0</v>
      </c>
      <c r="CC39" s="248">
        <f t="shared" si="67"/>
        <v>0</v>
      </c>
      <c r="CD39" s="248">
        <f t="shared" si="67"/>
        <v>0</v>
      </c>
      <c r="CE39" s="248">
        <f t="shared" si="67"/>
        <v>0</v>
      </c>
      <c r="CF39" s="248">
        <f t="shared" si="67"/>
        <v>0</v>
      </c>
      <c r="CG39" s="248">
        <f t="shared" si="67"/>
        <v>0</v>
      </c>
      <c r="CH39" s="248">
        <f t="shared" si="67"/>
        <v>0</v>
      </c>
      <c r="CI39" s="248">
        <f t="shared" si="67"/>
        <v>0</v>
      </c>
      <c r="CJ39" s="248">
        <f t="shared" si="67"/>
        <v>0</v>
      </c>
      <c r="CK39" s="248">
        <f t="shared" si="67"/>
        <v>0</v>
      </c>
      <c r="CL39" s="878">
        <f t="shared" si="68"/>
        <v>0</v>
      </c>
      <c r="CM39" s="975"/>
      <c r="CN39" s="994"/>
      <c r="CO39" s="976"/>
      <c r="CP39" s="976"/>
      <c r="CQ39" s="976"/>
      <c r="CR39" s="976"/>
      <c r="CS39" s="976"/>
      <c r="CT39" s="976"/>
      <c r="CU39" s="976"/>
      <c r="CV39" s="976"/>
      <c r="CW39" s="976"/>
      <c r="CX39" s="976"/>
      <c r="CY39" s="977">
        <f t="shared" si="69"/>
        <v>0</v>
      </c>
      <c r="CZ39" s="877">
        <f t="shared" si="70"/>
        <v>0</v>
      </c>
      <c r="DA39" s="248">
        <f t="shared" si="70"/>
        <v>0</v>
      </c>
      <c r="DB39" s="248">
        <f t="shared" si="70"/>
        <v>0</v>
      </c>
      <c r="DC39" s="248">
        <f t="shared" si="70"/>
        <v>0</v>
      </c>
      <c r="DD39" s="248">
        <f t="shared" si="70"/>
        <v>0</v>
      </c>
      <c r="DE39" s="248">
        <f t="shared" si="70"/>
        <v>0</v>
      </c>
      <c r="DF39" s="248">
        <f t="shared" si="70"/>
        <v>0</v>
      </c>
      <c r="DG39" s="248">
        <f t="shared" si="70"/>
        <v>0</v>
      </c>
      <c r="DH39" s="248">
        <f t="shared" si="70"/>
        <v>0</v>
      </c>
      <c r="DI39" s="248">
        <f t="shared" si="70"/>
        <v>0</v>
      </c>
      <c r="DJ39" s="248">
        <f t="shared" si="70"/>
        <v>0</v>
      </c>
      <c r="DK39" s="248">
        <f t="shared" si="70"/>
        <v>0</v>
      </c>
      <c r="DL39" s="878">
        <f t="shared" si="50"/>
        <v>0</v>
      </c>
      <c r="DM39" s="975"/>
      <c r="DN39" s="994"/>
      <c r="DO39" s="976"/>
      <c r="DP39" s="976"/>
      <c r="DQ39" s="976"/>
      <c r="DR39" s="976"/>
      <c r="DS39" s="976"/>
      <c r="DT39" s="976"/>
      <c r="DU39" s="976"/>
      <c r="DV39" s="976"/>
      <c r="DW39" s="976"/>
      <c r="DX39" s="976"/>
      <c r="DY39" s="977">
        <f t="shared" si="71"/>
        <v>0</v>
      </c>
      <c r="DZ39" s="877">
        <f t="shared" si="72"/>
        <v>0</v>
      </c>
      <c r="EA39" s="248">
        <f t="shared" si="72"/>
        <v>0</v>
      </c>
      <c r="EB39" s="248">
        <f t="shared" si="72"/>
        <v>0</v>
      </c>
      <c r="EC39" s="248">
        <f t="shared" si="72"/>
        <v>0</v>
      </c>
      <c r="ED39" s="248">
        <f t="shared" si="72"/>
        <v>0</v>
      </c>
      <c r="EE39" s="248">
        <f t="shared" si="72"/>
        <v>0</v>
      </c>
      <c r="EF39" s="248">
        <f t="shared" si="72"/>
        <v>0</v>
      </c>
      <c r="EG39" s="248">
        <f t="shared" si="72"/>
        <v>0</v>
      </c>
      <c r="EH39" s="248">
        <f t="shared" si="72"/>
        <v>0</v>
      </c>
      <c r="EI39" s="248">
        <f t="shared" si="72"/>
        <v>0</v>
      </c>
      <c r="EJ39" s="248">
        <f t="shared" si="72"/>
        <v>0</v>
      </c>
      <c r="EK39" s="248">
        <f t="shared" si="72"/>
        <v>0</v>
      </c>
      <c r="EL39" s="878">
        <f t="shared" si="52"/>
        <v>0</v>
      </c>
    </row>
    <row r="40" spans="1:142">
      <c r="A40" s="964" t="s">
        <v>655</v>
      </c>
      <c r="B40" s="904" t="s">
        <v>665</v>
      </c>
      <c r="C40" s="995" t="s">
        <v>254</v>
      </c>
      <c r="D40" s="549">
        <v>4.22</v>
      </c>
      <c r="E40" s="544">
        <v>4.2391921910866497</v>
      </c>
      <c r="F40" s="544">
        <v>4.2625691480987324</v>
      </c>
      <c r="G40" s="545">
        <v>4.38</v>
      </c>
      <c r="H40" s="549">
        <f t="shared" si="73"/>
        <v>4.38</v>
      </c>
      <c r="I40" s="544">
        <f t="shared" si="73"/>
        <v>4.38</v>
      </c>
      <c r="J40" s="544">
        <f t="shared" si="73"/>
        <v>4.38</v>
      </c>
      <c r="K40" s="906">
        <f t="shared" si="73"/>
        <v>4.38</v>
      </c>
      <c r="L40" s="875"/>
      <c r="M40" s="554">
        <v>27216</v>
      </c>
      <c r="N40" s="552">
        <v>27632</v>
      </c>
      <c r="O40" s="552">
        <v>34776</v>
      </c>
      <c r="P40" s="552">
        <f>26200+6600</f>
        <v>32800</v>
      </c>
      <c r="Q40" s="552">
        <v>13284</v>
      </c>
      <c r="R40" s="552">
        <v>23148</v>
      </c>
      <c r="S40" s="552">
        <v>22177</v>
      </c>
      <c r="T40" s="552">
        <v>25000</v>
      </c>
      <c r="U40" s="552">
        <v>25000</v>
      </c>
      <c r="V40" s="552">
        <v>25000</v>
      </c>
      <c r="W40" s="552">
        <v>25000</v>
      </c>
      <c r="X40" s="552">
        <v>25000</v>
      </c>
      <c r="Y40" s="876">
        <f t="shared" si="58"/>
        <v>306033</v>
      </c>
      <c r="Z40" s="877">
        <v>116484.48000000001</v>
      </c>
      <c r="AA40" s="248">
        <v>118265</v>
      </c>
      <c r="AB40" s="248">
        <v>146754.72</v>
      </c>
      <c r="AC40" s="248">
        <f>138416</f>
        <v>138416</v>
      </c>
      <c r="AD40" s="248">
        <v>57324.479999999996</v>
      </c>
      <c r="AE40" s="248">
        <v>97830.720000000001</v>
      </c>
      <c r="AF40" s="248">
        <f t="shared" si="74"/>
        <v>94530.995997385588</v>
      </c>
      <c r="AG40" s="248">
        <f t="shared" si="60"/>
        <v>106564.22870246832</v>
      </c>
      <c r="AH40" s="248">
        <f t="shared" si="60"/>
        <v>106564.22870246832</v>
      </c>
      <c r="AI40" s="248">
        <f t="shared" si="61"/>
        <v>109500</v>
      </c>
      <c r="AJ40" s="248">
        <f t="shared" si="61"/>
        <v>109500</v>
      </c>
      <c r="AK40" s="248">
        <f t="shared" si="61"/>
        <v>109500</v>
      </c>
      <c r="AL40" s="878">
        <f t="shared" si="62"/>
        <v>1311234.8534023222</v>
      </c>
      <c r="AM40" s="996">
        <f>322100/12</f>
        <v>26841.666666666668</v>
      </c>
      <c r="AN40" s="994">
        <f t="shared" ref="AN40:AX40" si="85">322100/12</f>
        <v>26841.666666666668</v>
      </c>
      <c r="AO40" s="994">
        <f t="shared" si="85"/>
        <v>26841.666666666668</v>
      </c>
      <c r="AP40" s="994">
        <f t="shared" si="85"/>
        <v>26841.666666666668</v>
      </c>
      <c r="AQ40" s="994">
        <f t="shared" si="85"/>
        <v>26841.666666666668</v>
      </c>
      <c r="AR40" s="994">
        <f t="shared" si="85"/>
        <v>26841.666666666668</v>
      </c>
      <c r="AS40" s="994">
        <f t="shared" si="85"/>
        <v>26841.666666666668</v>
      </c>
      <c r="AT40" s="994">
        <f t="shared" si="85"/>
        <v>26841.666666666668</v>
      </c>
      <c r="AU40" s="994">
        <f t="shared" si="85"/>
        <v>26841.666666666668</v>
      </c>
      <c r="AV40" s="994">
        <f t="shared" si="85"/>
        <v>26841.666666666668</v>
      </c>
      <c r="AW40" s="994">
        <f t="shared" si="85"/>
        <v>26841.666666666668</v>
      </c>
      <c r="AX40" s="994">
        <f t="shared" si="85"/>
        <v>26841.666666666668</v>
      </c>
      <c r="AY40" s="977">
        <f t="shared" si="64"/>
        <v>322100</v>
      </c>
      <c r="AZ40" s="877">
        <f t="shared" si="65"/>
        <v>117566.5</v>
      </c>
      <c r="BA40" s="248">
        <f t="shared" si="65"/>
        <v>117566.5</v>
      </c>
      <c r="BB40" s="248">
        <f t="shared" si="65"/>
        <v>117566.5</v>
      </c>
      <c r="BC40" s="248">
        <f t="shared" si="65"/>
        <v>117566.5</v>
      </c>
      <c r="BD40" s="248">
        <f t="shared" si="65"/>
        <v>117566.5</v>
      </c>
      <c r="BE40" s="248">
        <f t="shared" si="65"/>
        <v>117566.5</v>
      </c>
      <c r="BF40" s="248">
        <f t="shared" si="65"/>
        <v>117566.5</v>
      </c>
      <c r="BG40" s="248">
        <f t="shared" si="65"/>
        <v>117566.5</v>
      </c>
      <c r="BH40" s="248">
        <f t="shared" si="65"/>
        <v>117566.5</v>
      </c>
      <c r="BI40" s="248">
        <f t="shared" si="65"/>
        <v>117566.5</v>
      </c>
      <c r="BJ40" s="248">
        <f t="shared" si="65"/>
        <v>117566.5</v>
      </c>
      <c r="BK40" s="248">
        <f t="shared" si="65"/>
        <v>117566.5</v>
      </c>
      <c r="BL40" s="878">
        <f t="shared" si="47"/>
        <v>1410798</v>
      </c>
      <c r="BM40" s="996">
        <f>322100/12</f>
        <v>26841.666666666668</v>
      </c>
      <c r="BN40" s="994">
        <f t="shared" ref="BN40:BX40" si="86">322100/12</f>
        <v>26841.666666666668</v>
      </c>
      <c r="BO40" s="994">
        <f t="shared" si="86"/>
        <v>26841.666666666668</v>
      </c>
      <c r="BP40" s="994">
        <f t="shared" si="86"/>
        <v>26841.666666666668</v>
      </c>
      <c r="BQ40" s="994">
        <f t="shared" si="86"/>
        <v>26841.666666666668</v>
      </c>
      <c r="BR40" s="994">
        <f t="shared" si="86"/>
        <v>26841.666666666668</v>
      </c>
      <c r="BS40" s="994">
        <f t="shared" si="86"/>
        <v>26841.666666666668</v>
      </c>
      <c r="BT40" s="994">
        <f t="shared" si="86"/>
        <v>26841.666666666668</v>
      </c>
      <c r="BU40" s="994">
        <f t="shared" si="86"/>
        <v>26841.666666666668</v>
      </c>
      <c r="BV40" s="994">
        <f t="shared" si="86"/>
        <v>26841.666666666668</v>
      </c>
      <c r="BW40" s="994">
        <f t="shared" si="86"/>
        <v>26841.666666666668</v>
      </c>
      <c r="BX40" s="994">
        <f t="shared" si="86"/>
        <v>26841.666666666668</v>
      </c>
      <c r="BY40" s="977">
        <f t="shared" si="66"/>
        <v>322100</v>
      </c>
      <c r="BZ40" s="877">
        <f t="shared" si="67"/>
        <v>117566.5</v>
      </c>
      <c r="CA40" s="248">
        <f t="shared" si="67"/>
        <v>117566.5</v>
      </c>
      <c r="CB40" s="248">
        <f t="shared" si="67"/>
        <v>117566.5</v>
      </c>
      <c r="CC40" s="248">
        <f t="shared" si="67"/>
        <v>117566.5</v>
      </c>
      <c r="CD40" s="248">
        <f t="shared" si="67"/>
        <v>117566.5</v>
      </c>
      <c r="CE40" s="248">
        <f t="shared" si="67"/>
        <v>117566.5</v>
      </c>
      <c r="CF40" s="248">
        <f t="shared" si="67"/>
        <v>117566.5</v>
      </c>
      <c r="CG40" s="248">
        <f t="shared" si="67"/>
        <v>117566.5</v>
      </c>
      <c r="CH40" s="248">
        <f t="shared" si="67"/>
        <v>117566.5</v>
      </c>
      <c r="CI40" s="248">
        <f t="shared" si="67"/>
        <v>117566.5</v>
      </c>
      <c r="CJ40" s="248">
        <f t="shared" si="67"/>
        <v>117566.5</v>
      </c>
      <c r="CK40" s="248">
        <f t="shared" si="67"/>
        <v>117566.5</v>
      </c>
      <c r="CL40" s="878">
        <f t="shared" si="68"/>
        <v>1410798</v>
      </c>
      <c r="CM40" s="996">
        <f>300000/12</f>
        <v>25000</v>
      </c>
      <c r="CN40" s="994">
        <f t="shared" ref="CN40:CX40" si="87">300000/12</f>
        <v>25000</v>
      </c>
      <c r="CO40" s="994">
        <f t="shared" si="87"/>
        <v>25000</v>
      </c>
      <c r="CP40" s="994">
        <f t="shared" si="87"/>
        <v>25000</v>
      </c>
      <c r="CQ40" s="994">
        <f t="shared" si="87"/>
        <v>25000</v>
      </c>
      <c r="CR40" s="994">
        <f t="shared" si="87"/>
        <v>25000</v>
      </c>
      <c r="CS40" s="994">
        <f t="shared" si="87"/>
        <v>25000</v>
      </c>
      <c r="CT40" s="994">
        <f t="shared" si="87"/>
        <v>25000</v>
      </c>
      <c r="CU40" s="994">
        <f t="shared" si="87"/>
        <v>25000</v>
      </c>
      <c r="CV40" s="994">
        <f t="shared" si="87"/>
        <v>25000</v>
      </c>
      <c r="CW40" s="994">
        <f t="shared" si="87"/>
        <v>25000</v>
      </c>
      <c r="CX40" s="994">
        <f t="shared" si="87"/>
        <v>25000</v>
      </c>
      <c r="CY40" s="977">
        <f t="shared" si="69"/>
        <v>300000</v>
      </c>
      <c r="CZ40" s="877">
        <f t="shared" si="70"/>
        <v>109500</v>
      </c>
      <c r="DA40" s="248">
        <f t="shared" si="70"/>
        <v>109500</v>
      </c>
      <c r="DB40" s="248">
        <f t="shared" si="70"/>
        <v>109500</v>
      </c>
      <c r="DC40" s="248">
        <f t="shared" si="70"/>
        <v>109500</v>
      </c>
      <c r="DD40" s="248">
        <f t="shared" si="70"/>
        <v>109500</v>
      </c>
      <c r="DE40" s="248">
        <f t="shared" si="70"/>
        <v>109500</v>
      </c>
      <c r="DF40" s="248">
        <f t="shared" si="70"/>
        <v>109500</v>
      </c>
      <c r="DG40" s="248">
        <f t="shared" si="70"/>
        <v>109500</v>
      </c>
      <c r="DH40" s="248">
        <f t="shared" si="70"/>
        <v>109500</v>
      </c>
      <c r="DI40" s="248">
        <f t="shared" si="70"/>
        <v>109500</v>
      </c>
      <c r="DJ40" s="248">
        <f t="shared" si="70"/>
        <v>109500</v>
      </c>
      <c r="DK40" s="248">
        <f t="shared" si="70"/>
        <v>109500</v>
      </c>
      <c r="DL40" s="878">
        <f t="shared" si="50"/>
        <v>1314000</v>
      </c>
      <c r="DM40" s="996">
        <f t="shared" ref="DM40:DX40" si="88">300000/12</f>
        <v>25000</v>
      </c>
      <c r="DN40" s="994">
        <f t="shared" si="88"/>
        <v>25000</v>
      </c>
      <c r="DO40" s="994">
        <f t="shared" si="88"/>
        <v>25000</v>
      </c>
      <c r="DP40" s="994">
        <f t="shared" si="88"/>
        <v>25000</v>
      </c>
      <c r="DQ40" s="994">
        <f t="shared" si="88"/>
        <v>25000</v>
      </c>
      <c r="DR40" s="994">
        <f t="shared" si="88"/>
        <v>25000</v>
      </c>
      <c r="DS40" s="994">
        <f t="shared" si="88"/>
        <v>25000</v>
      </c>
      <c r="DT40" s="994">
        <f t="shared" si="88"/>
        <v>25000</v>
      </c>
      <c r="DU40" s="994">
        <f t="shared" si="88"/>
        <v>25000</v>
      </c>
      <c r="DV40" s="994">
        <f t="shared" si="88"/>
        <v>25000</v>
      </c>
      <c r="DW40" s="994">
        <f t="shared" si="88"/>
        <v>25000</v>
      </c>
      <c r="DX40" s="994">
        <f t="shared" si="88"/>
        <v>25000</v>
      </c>
      <c r="DY40" s="977">
        <f t="shared" si="71"/>
        <v>300000</v>
      </c>
      <c r="DZ40" s="877">
        <f t="shared" si="72"/>
        <v>109500</v>
      </c>
      <c r="EA40" s="248">
        <f t="shared" si="72"/>
        <v>109500</v>
      </c>
      <c r="EB40" s="248">
        <f t="shared" si="72"/>
        <v>109500</v>
      </c>
      <c r="EC40" s="248">
        <f t="shared" si="72"/>
        <v>109500</v>
      </c>
      <c r="ED40" s="248">
        <f t="shared" si="72"/>
        <v>109500</v>
      </c>
      <c r="EE40" s="248">
        <f t="shared" si="72"/>
        <v>109500</v>
      </c>
      <c r="EF40" s="248">
        <f t="shared" si="72"/>
        <v>109500</v>
      </c>
      <c r="EG40" s="248">
        <f t="shared" si="72"/>
        <v>109500</v>
      </c>
      <c r="EH40" s="248">
        <f t="shared" si="72"/>
        <v>109500</v>
      </c>
      <c r="EI40" s="248">
        <f t="shared" si="72"/>
        <v>109500</v>
      </c>
      <c r="EJ40" s="248">
        <f t="shared" si="72"/>
        <v>109500</v>
      </c>
      <c r="EK40" s="248">
        <f t="shared" si="72"/>
        <v>109500</v>
      </c>
      <c r="EL40" s="878">
        <f t="shared" si="52"/>
        <v>1314000</v>
      </c>
    </row>
    <row r="41" spans="1:142">
      <c r="A41" s="964" t="s">
        <v>655</v>
      </c>
      <c r="B41" s="904" t="s">
        <v>666</v>
      </c>
      <c r="C41" s="995" t="s">
        <v>255</v>
      </c>
      <c r="D41" s="549">
        <v>4.2300000000000004</v>
      </c>
      <c r="E41" s="544">
        <v>4.2491921910866504</v>
      </c>
      <c r="F41" s="544">
        <v>4.2725691480987322</v>
      </c>
      <c r="G41" s="545">
        <v>4.4000000000000004</v>
      </c>
      <c r="H41" s="549">
        <f t="shared" si="73"/>
        <v>4.4000000000000004</v>
      </c>
      <c r="I41" s="544">
        <f t="shared" si="73"/>
        <v>4.4000000000000004</v>
      </c>
      <c r="J41" s="544">
        <f t="shared" si="73"/>
        <v>4.4000000000000004</v>
      </c>
      <c r="K41" s="906">
        <f t="shared" si="73"/>
        <v>4.4000000000000004</v>
      </c>
      <c r="L41" s="875"/>
      <c r="M41" s="554">
        <v>1841</v>
      </c>
      <c r="N41" s="552">
        <v>0</v>
      </c>
      <c r="O41" s="552">
        <v>300</v>
      </c>
      <c r="P41" s="552">
        <v>6300</v>
      </c>
      <c r="Q41" s="552">
        <v>6600</v>
      </c>
      <c r="R41" s="552">
        <v>6600</v>
      </c>
      <c r="S41" s="552">
        <v>6230</v>
      </c>
      <c r="T41" s="552">
        <v>6600</v>
      </c>
      <c r="U41" s="552">
        <v>6600</v>
      </c>
      <c r="V41" s="552">
        <v>5000</v>
      </c>
      <c r="W41" s="552">
        <v>5000</v>
      </c>
      <c r="X41" s="552">
        <v>5000</v>
      </c>
      <c r="Y41" s="876">
        <f t="shared" si="58"/>
        <v>56071</v>
      </c>
      <c r="Z41" s="877">
        <v>7916.2999999999993</v>
      </c>
      <c r="AA41" s="248">
        <v>0</v>
      </c>
      <c r="AB41" s="248">
        <v>1269.0000000000002</v>
      </c>
      <c r="AC41" s="248">
        <v>26649</v>
      </c>
      <c r="AD41" s="248">
        <v>27918.000000000004</v>
      </c>
      <c r="AE41" s="248">
        <v>27918</v>
      </c>
      <c r="AF41" s="248">
        <f t="shared" si="74"/>
        <v>26618.1057926551</v>
      </c>
      <c r="AG41" s="248">
        <f t="shared" si="60"/>
        <v>28198.956377451632</v>
      </c>
      <c r="AH41" s="248">
        <f t="shared" si="60"/>
        <v>28198.956377451632</v>
      </c>
      <c r="AI41" s="248">
        <f t="shared" si="61"/>
        <v>22000</v>
      </c>
      <c r="AJ41" s="248">
        <f t="shared" si="61"/>
        <v>22000</v>
      </c>
      <c r="AK41" s="248">
        <f t="shared" si="61"/>
        <v>22000</v>
      </c>
      <c r="AL41" s="878">
        <f t="shared" si="62"/>
        <v>240686.31854755836</v>
      </c>
      <c r="AM41" s="996">
        <f>6095/12</f>
        <v>507.91666666666669</v>
      </c>
      <c r="AN41" s="994">
        <f t="shared" ref="AN41:AX41" si="89">6095/12</f>
        <v>507.91666666666669</v>
      </c>
      <c r="AO41" s="994">
        <f t="shared" si="89"/>
        <v>507.91666666666669</v>
      </c>
      <c r="AP41" s="994">
        <f t="shared" si="89"/>
        <v>507.91666666666669</v>
      </c>
      <c r="AQ41" s="994">
        <f t="shared" si="89"/>
        <v>507.91666666666669</v>
      </c>
      <c r="AR41" s="994">
        <f t="shared" si="89"/>
        <v>507.91666666666669</v>
      </c>
      <c r="AS41" s="994">
        <f t="shared" si="89"/>
        <v>507.91666666666669</v>
      </c>
      <c r="AT41" s="994">
        <f t="shared" si="89"/>
        <v>507.91666666666669</v>
      </c>
      <c r="AU41" s="994">
        <f t="shared" si="89"/>
        <v>507.91666666666669</v>
      </c>
      <c r="AV41" s="994">
        <f t="shared" si="89"/>
        <v>507.91666666666669</v>
      </c>
      <c r="AW41" s="994">
        <f t="shared" si="89"/>
        <v>507.91666666666669</v>
      </c>
      <c r="AX41" s="994">
        <f t="shared" si="89"/>
        <v>507.91666666666669</v>
      </c>
      <c r="AY41" s="977">
        <f t="shared" si="64"/>
        <v>6095.0000000000009</v>
      </c>
      <c r="AZ41" s="877">
        <f t="shared" si="65"/>
        <v>2234.8333333333335</v>
      </c>
      <c r="BA41" s="248">
        <f t="shared" si="65"/>
        <v>2234.8333333333335</v>
      </c>
      <c r="BB41" s="248">
        <f t="shared" si="65"/>
        <v>2234.8333333333335</v>
      </c>
      <c r="BC41" s="248">
        <f t="shared" si="65"/>
        <v>2234.8333333333335</v>
      </c>
      <c r="BD41" s="248">
        <f t="shared" si="65"/>
        <v>2234.8333333333335</v>
      </c>
      <c r="BE41" s="248">
        <f t="shared" si="65"/>
        <v>2234.8333333333335</v>
      </c>
      <c r="BF41" s="248">
        <f t="shared" si="65"/>
        <v>2234.8333333333335</v>
      </c>
      <c r="BG41" s="248">
        <f t="shared" si="65"/>
        <v>2234.8333333333335</v>
      </c>
      <c r="BH41" s="248">
        <f t="shared" si="65"/>
        <v>2234.8333333333335</v>
      </c>
      <c r="BI41" s="248">
        <f t="shared" si="65"/>
        <v>2234.8333333333335</v>
      </c>
      <c r="BJ41" s="248">
        <f t="shared" si="65"/>
        <v>2234.8333333333335</v>
      </c>
      <c r="BK41" s="248">
        <f t="shared" si="65"/>
        <v>2234.8333333333335</v>
      </c>
      <c r="BL41" s="878">
        <f t="shared" si="47"/>
        <v>26817.999999999996</v>
      </c>
      <c r="BM41" s="996">
        <f t="shared" ref="BM41:BX41" si="90">6095/12</f>
        <v>507.91666666666669</v>
      </c>
      <c r="BN41" s="994">
        <f t="shared" si="90"/>
        <v>507.91666666666669</v>
      </c>
      <c r="BO41" s="994">
        <f t="shared" si="90"/>
        <v>507.91666666666669</v>
      </c>
      <c r="BP41" s="994">
        <f t="shared" si="90"/>
        <v>507.91666666666669</v>
      </c>
      <c r="BQ41" s="994">
        <f t="shared" si="90"/>
        <v>507.91666666666669</v>
      </c>
      <c r="BR41" s="994">
        <f t="shared" si="90"/>
        <v>507.91666666666669</v>
      </c>
      <c r="BS41" s="994">
        <f t="shared" si="90"/>
        <v>507.91666666666669</v>
      </c>
      <c r="BT41" s="994">
        <f t="shared" si="90"/>
        <v>507.91666666666669</v>
      </c>
      <c r="BU41" s="994">
        <f t="shared" si="90"/>
        <v>507.91666666666669</v>
      </c>
      <c r="BV41" s="994">
        <f t="shared" si="90"/>
        <v>507.91666666666669</v>
      </c>
      <c r="BW41" s="994">
        <f t="shared" si="90"/>
        <v>507.91666666666669</v>
      </c>
      <c r="BX41" s="994">
        <f t="shared" si="90"/>
        <v>507.91666666666669</v>
      </c>
      <c r="BY41" s="977">
        <f t="shared" si="66"/>
        <v>6095.0000000000009</v>
      </c>
      <c r="BZ41" s="877">
        <f t="shared" si="67"/>
        <v>2234.8333333333335</v>
      </c>
      <c r="CA41" s="248">
        <f t="shared" si="67"/>
        <v>2234.8333333333335</v>
      </c>
      <c r="CB41" s="248">
        <f t="shared" si="67"/>
        <v>2234.8333333333335</v>
      </c>
      <c r="CC41" s="248">
        <f t="shared" si="67"/>
        <v>2234.8333333333335</v>
      </c>
      <c r="CD41" s="248">
        <f t="shared" si="67"/>
        <v>2234.8333333333335</v>
      </c>
      <c r="CE41" s="248">
        <f t="shared" si="67"/>
        <v>2234.8333333333335</v>
      </c>
      <c r="CF41" s="248">
        <f t="shared" si="67"/>
        <v>2234.8333333333335</v>
      </c>
      <c r="CG41" s="248">
        <f t="shared" si="67"/>
        <v>2234.8333333333335</v>
      </c>
      <c r="CH41" s="248">
        <f t="shared" si="67"/>
        <v>2234.8333333333335</v>
      </c>
      <c r="CI41" s="248">
        <f t="shared" si="67"/>
        <v>2234.8333333333335</v>
      </c>
      <c r="CJ41" s="248">
        <f t="shared" si="67"/>
        <v>2234.8333333333335</v>
      </c>
      <c r="CK41" s="248">
        <f t="shared" si="67"/>
        <v>2234.8333333333335</v>
      </c>
      <c r="CL41" s="878">
        <f t="shared" si="68"/>
        <v>26817.999999999996</v>
      </c>
      <c r="CM41" s="996">
        <f>30000/12</f>
        <v>2500</v>
      </c>
      <c r="CN41" s="994">
        <f t="shared" ref="CN41:CX41" si="91">30000/12</f>
        <v>2500</v>
      </c>
      <c r="CO41" s="994">
        <f t="shared" si="91"/>
        <v>2500</v>
      </c>
      <c r="CP41" s="994">
        <f t="shared" si="91"/>
        <v>2500</v>
      </c>
      <c r="CQ41" s="994">
        <f t="shared" si="91"/>
        <v>2500</v>
      </c>
      <c r="CR41" s="994">
        <f t="shared" si="91"/>
        <v>2500</v>
      </c>
      <c r="CS41" s="994">
        <f t="shared" si="91"/>
        <v>2500</v>
      </c>
      <c r="CT41" s="994">
        <f t="shared" si="91"/>
        <v>2500</v>
      </c>
      <c r="CU41" s="994">
        <f t="shared" si="91"/>
        <v>2500</v>
      </c>
      <c r="CV41" s="994">
        <f t="shared" si="91"/>
        <v>2500</v>
      </c>
      <c r="CW41" s="994">
        <f t="shared" si="91"/>
        <v>2500</v>
      </c>
      <c r="CX41" s="994">
        <f t="shared" si="91"/>
        <v>2500</v>
      </c>
      <c r="CY41" s="977">
        <f t="shared" si="69"/>
        <v>30000</v>
      </c>
      <c r="CZ41" s="877">
        <f t="shared" si="70"/>
        <v>11000</v>
      </c>
      <c r="DA41" s="248">
        <f t="shared" si="70"/>
        <v>11000</v>
      </c>
      <c r="DB41" s="248">
        <f t="shared" si="70"/>
        <v>11000</v>
      </c>
      <c r="DC41" s="248">
        <f t="shared" si="70"/>
        <v>11000</v>
      </c>
      <c r="DD41" s="248">
        <f t="shared" si="70"/>
        <v>11000</v>
      </c>
      <c r="DE41" s="248">
        <f t="shared" si="70"/>
        <v>11000</v>
      </c>
      <c r="DF41" s="248">
        <f t="shared" si="70"/>
        <v>11000</v>
      </c>
      <c r="DG41" s="248">
        <f t="shared" si="70"/>
        <v>11000</v>
      </c>
      <c r="DH41" s="248">
        <f t="shared" si="70"/>
        <v>11000</v>
      </c>
      <c r="DI41" s="248">
        <f t="shared" si="70"/>
        <v>11000</v>
      </c>
      <c r="DJ41" s="248">
        <f t="shared" si="70"/>
        <v>11000</v>
      </c>
      <c r="DK41" s="248">
        <f t="shared" si="70"/>
        <v>11000</v>
      </c>
      <c r="DL41" s="878">
        <f t="shared" si="50"/>
        <v>132000</v>
      </c>
      <c r="DM41" s="996">
        <f t="shared" ref="DM41:DX41" si="92">30000/12</f>
        <v>2500</v>
      </c>
      <c r="DN41" s="994">
        <f t="shared" si="92"/>
        <v>2500</v>
      </c>
      <c r="DO41" s="994">
        <f t="shared" si="92"/>
        <v>2500</v>
      </c>
      <c r="DP41" s="994">
        <f t="shared" si="92"/>
        <v>2500</v>
      </c>
      <c r="DQ41" s="994">
        <f t="shared" si="92"/>
        <v>2500</v>
      </c>
      <c r="DR41" s="994">
        <f t="shared" si="92"/>
        <v>2500</v>
      </c>
      <c r="DS41" s="994">
        <f t="shared" si="92"/>
        <v>2500</v>
      </c>
      <c r="DT41" s="994">
        <f t="shared" si="92"/>
        <v>2500</v>
      </c>
      <c r="DU41" s="994">
        <f t="shared" si="92"/>
        <v>2500</v>
      </c>
      <c r="DV41" s="994">
        <f t="shared" si="92"/>
        <v>2500</v>
      </c>
      <c r="DW41" s="994">
        <f t="shared" si="92"/>
        <v>2500</v>
      </c>
      <c r="DX41" s="994">
        <f t="shared" si="92"/>
        <v>2500</v>
      </c>
      <c r="DY41" s="977">
        <f t="shared" si="71"/>
        <v>30000</v>
      </c>
      <c r="DZ41" s="877">
        <f t="shared" si="72"/>
        <v>11000</v>
      </c>
      <c r="EA41" s="248">
        <f t="shared" si="72"/>
        <v>11000</v>
      </c>
      <c r="EB41" s="248">
        <f t="shared" si="72"/>
        <v>11000</v>
      </c>
      <c r="EC41" s="248">
        <f t="shared" si="72"/>
        <v>11000</v>
      </c>
      <c r="ED41" s="248">
        <f t="shared" si="72"/>
        <v>11000</v>
      </c>
      <c r="EE41" s="248">
        <f t="shared" si="72"/>
        <v>11000</v>
      </c>
      <c r="EF41" s="248">
        <f t="shared" si="72"/>
        <v>11000</v>
      </c>
      <c r="EG41" s="248">
        <f t="shared" si="72"/>
        <v>11000</v>
      </c>
      <c r="EH41" s="248">
        <f t="shared" si="72"/>
        <v>11000</v>
      </c>
      <c r="EI41" s="248">
        <f t="shared" si="72"/>
        <v>11000</v>
      </c>
      <c r="EJ41" s="248">
        <f t="shared" si="72"/>
        <v>11000</v>
      </c>
      <c r="EK41" s="248">
        <f t="shared" si="72"/>
        <v>11000</v>
      </c>
      <c r="EL41" s="878">
        <f t="shared" si="52"/>
        <v>132000</v>
      </c>
    </row>
    <row r="42" spans="1:142">
      <c r="A42" s="964" t="s">
        <v>655</v>
      </c>
      <c r="B42" s="904" t="s">
        <v>667</v>
      </c>
      <c r="C42" s="995" t="s">
        <v>256</v>
      </c>
      <c r="D42" s="549">
        <v>1.22</v>
      </c>
      <c r="E42" s="544">
        <v>1.2246864652653449</v>
      </c>
      <c r="F42" s="544">
        <v>1.2255110710473649</v>
      </c>
      <c r="G42" s="545">
        <v>1.27</v>
      </c>
      <c r="H42" s="549">
        <f t="shared" si="73"/>
        <v>1.27</v>
      </c>
      <c r="I42" s="544">
        <f t="shared" si="73"/>
        <v>1.27</v>
      </c>
      <c r="J42" s="544">
        <f t="shared" si="73"/>
        <v>1.27</v>
      </c>
      <c r="K42" s="906">
        <f t="shared" si="73"/>
        <v>1.27</v>
      </c>
      <c r="L42" s="875"/>
      <c r="M42" s="554">
        <v>42900</v>
      </c>
      <c r="N42" s="552">
        <v>33550</v>
      </c>
      <c r="O42" s="552">
        <v>23100</v>
      </c>
      <c r="P42" s="552">
        <f>26400+6600</f>
        <v>33000</v>
      </c>
      <c r="Q42" s="552">
        <v>19800</v>
      </c>
      <c r="R42" s="552">
        <v>49800</v>
      </c>
      <c r="S42" s="552">
        <v>29400</v>
      </c>
      <c r="T42" s="552">
        <v>30000</v>
      </c>
      <c r="U42" s="552">
        <v>30000</v>
      </c>
      <c r="V42" s="552">
        <v>30000</v>
      </c>
      <c r="W42" s="552">
        <v>30000</v>
      </c>
      <c r="X42" s="552">
        <v>30000</v>
      </c>
      <c r="Y42" s="876">
        <f t="shared" si="58"/>
        <v>381550</v>
      </c>
      <c r="Z42" s="877">
        <v>53064</v>
      </c>
      <c r="AA42" s="248">
        <v>40260</v>
      </c>
      <c r="AB42" s="248">
        <v>28182</v>
      </c>
      <c r="AC42" s="248">
        <v>40260</v>
      </c>
      <c r="AD42" s="248">
        <f>24156</f>
        <v>24156</v>
      </c>
      <c r="AE42" s="248">
        <v>60756</v>
      </c>
      <c r="AF42" s="248">
        <f>S42*$F42</f>
        <v>36030.025488792526</v>
      </c>
      <c r="AG42" s="248">
        <f t="shared" si="60"/>
        <v>36765.332131420946</v>
      </c>
      <c r="AH42" s="248">
        <f t="shared" si="60"/>
        <v>36765.332131420946</v>
      </c>
      <c r="AI42" s="248">
        <f t="shared" si="61"/>
        <v>38100</v>
      </c>
      <c r="AJ42" s="248">
        <f t="shared" si="61"/>
        <v>38100</v>
      </c>
      <c r="AK42" s="248">
        <f t="shared" si="61"/>
        <v>38100</v>
      </c>
      <c r="AL42" s="878">
        <f t="shared" si="62"/>
        <v>470538.68975163443</v>
      </c>
      <c r="AM42" s="996">
        <f>262556/12</f>
        <v>21879.666666666668</v>
      </c>
      <c r="AN42" s="994">
        <f t="shared" ref="AN42:AX42" si="93">262556/12</f>
        <v>21879.666666666668</v>
      </c>
      <c r="AO42" s="994">
        <f t="shared" si="93"/>
        <v>21879.666666666668</v>
      </c>
      <c r="AP42" s="994">
        <f t="shared" si="93"/>
        <v>21879.666666666668</v>
      </c>
      <c r="AQ42" s="994">
        <f t="shared" si="93"/>
        <v>21879.666666666668</v>
      </c>
      <c r="AR42" s="994">
        <f t="shared" si="93"/>
        <v>21879.666666666668</v>
      </c>
      <c r="AS42" s="994">
        <f t="shared" si="93"/>
        <v>21879.666666666668</v>
      </c>
      <c r="AT42" s="994">
        <f t="shared" si="93"/>
        <v>21879.666666666668</v>
      </c>
      <c r="AU42" s="994">
        <f t="shared" si="93"/>
        <v>21879.666666666668</v>
      </c>
      <c r="AV42" s="994">
        <f t="shared" si="93"/>
        <v>21879.666666666668</v>
      </c>
      <c r="AW42" s="994">
        <f t="shared" si="93"/>
        <v>21879.666666666668</v>
      </c>
      <c r="AX42" s="994">
        <f t="shared" si="93"/>
        <v>21879.666666666668</v>
      </c>
      <c r="AY42" s="977">
        <f t="shared" si="64"/>
        <v>262555.99999999994</v>
      </c>
      <c r="AZ42" s="877">
        <f t="shared" si="65"/>
        <v>27787.17666666667</v>
      </c>
      <c r="BA42" s="248">
        <f t="shared" si="65"/>
        <v>27787.17666666667</v>
      </c>
      <c r="BB42" s="248">
        <f t="shared" si="65"/>
        <v>27787.17666666667</v>
      </c>
      <c r="BC42" s="248">
        <f t="shared" si="65"/>
        <v>27787.17666666667</v>
      </c>
      <c r="BD42" s="248">
        <f t="shared" si="65"/>
        <v>27787.17666666667</v>
      </c>
      <c r="BE42" s="248">
        <f t="shared" si="65"/>
        <v>27787.17666666667</v>
      </c>
      <c r="BF42" s="248">
        <f t="shared" si="65"/>
        <v>27787.17666666667</v>
      </c>
      <c r="BG42" s="248">
        <f t="shared" si="65"/>
        <v>27787.17666666667</v>
      </c>
      <c r="BH42" s="248">
        <f t="shared" si="65"/>
        <v>27787.17666666667</v>
      </c>
      <c r="BI42" s="248">
        <f t="shared" si="65"/>
        <v>27787.17666666667</v>
      </c>
      <c r="BJ42" s="248">
        <f t="shared" si="65"/>
        <v>27787.17666666667</v>
      </c>
      <c r="BK42" s="248">
        <f t="shared" si="65"/>
        <v>27787.17666666667</v>
      </c>
      <c r="BL42" s="878">
        <f t="shared" si="47"/>
        <v>333446.12000000011</v>
      </c>
      <c r="BM42" s="996">
        <f>262556/12</f>
        <v>21879.666666666668</v>
      </c>
      <c r="BN42" s="994">
        <f t="shared" ref="BN42:BX42" si="94">262556/12</f>
        <v>21879.666666666668</v>
      </c>
      <c r="BO42" s="994">
        <f t="shared" si="94"/>
        <v>21879.666666666668</v>
      </c>
      <c r="BP42" s="994">
        <f t="shared" si="94"/>
        <v>21879.666666666668</v>
      </c>
      <c r="BQ42" s="994">
        <f t="shared" si="94"/>
        <v>21879.666666666668</v>
      </c>
      <c r="BR42" s="994">
        <f t="shared" si="94"/>
        <v>21879.666666666668</v>
      </c>
      <c r="BS42" s="994">
        <f t="shared" si="94"/>
        <v>21879.666666666668</v>
      </c>
      <c r="BT42" s="994">
        <f t="shared" si="94"/>
        <v>21879.666666666668</v>
      </c>
      <c r="BU42" s="994">
        <f t="shared" si="94"/>
        <v>21879.666666666668</v>
      </c>
      <c r="BV42" s="994">
        <f t="shared" si="94"/>
        <v>21879.666666666668</v>
      </c>
      <c r="BW42" s="994">
        <f t="shared" si="94"/>
        <v>21879.666666666668</v>
      </c>
      <c r="BX42" s="994">
        <f t="shared" si="94"/>
        <v>21879.666666666668</v>
      </c>
      <c r="BY42" s="977">
        <f t="shared" si="66"/>
        <v>262555.99999999994</v>
      </c>
      <c r="BZ42" s="877">
        <f t="shared" si="67"/>
        <v>27787.17666666667</v>
      </c>
      <c r="CA42" s="248">
        <f t="shared" si="67"/>
        <v>27787.17666666667</v>
      </c>
      <c r="CB42" s="248">
        <f t="shared" si="67"/>
        <v>27787.17666666667</v>
      </c>
      <c r="CC42" s="248">
        <f t="shared" si="67"/>
        <v>27787.17666666667</v>
      </c>
      <c r="CD42" s="248">
        <f t="shared" si="67"/>
        <v>27787.17666666667</v>
      </c>
      <c r="CE42" s="248">
        <f t="shared" si="67"/>
        <v>27787.17666666667</v>
      </c>
      <c r="CF42" s="248">
        <f t="shared" si="67"/>
        <v>27787.17666666667</v>
      </c>
      <c r="CG42" s="248">
        <f t="shared" si="67"/>
        <v>27787.17666666667</v>
      </c>
      <c r="CH42" s="248">
        <f t="shared" si="67"/>
        <v>27787.17666666667</v>
      </c>
      <c r="CI42" s="248">
        <f t="shared" si="67"/>
        <v>27787.17666666667</v>
      </c>
      <c r="CJ42" s="248">
        <f t="shared" si="67"/>
        <v>27787.17666666667</v>
      </c>
      <c r="CK42" s="248">
        <f t="shared" si="67"/>
        <v>27787.17666666667</v>
      </c>
      <c r="CL42" s="878">
        <f t="shared" si="68"/>
        <v>333446.12000000011</v>
      </c>
      <c r="CM42" s="996">
        <f>260000/12</f>
        <v>21666.666666666668</v>
      </c>
      <c r="CN42" s="994">
        <f t="shared" ref="CN42:CX42" si="95">260000/12</f>
        <v>21666.666666666668</v>
      </c>
      <c r="CO42" s="994">
        <f t="shared" si="95"/>
        <v>21666.666666666668</v>
      </c>
      <c r="CP42" s="994">
        <f t="shared" si="95"/>
        <v>21666.666666666668</v>
      </c>
      <c r="CQ42" s="994">
        <f t="shared" si="95"/>
        <v>21666.666666666668</v>
      </c>
      <c r="CR42" s="994">
        <f t="shared" si="95"/>
        <v>21666.666666666668</v>
      </c>
      <c r="CS42" s="994">
        <f t="shared" si="95"/>
        <v>21666.666666666668</v>
      </c>
      <c r="CT42" s="994">
        <f t="shared" si="95"/>
        <v>21666.666666666668</v>
      </c>
      <c r="CU42" s="994">
        <f t="shared" si="95"/>
        <v>21666.666666666668</v>
      </c>
      <c r="CV42" s="994">
        <f t="shared" si="95"/>
        <v>21666.666666666668</v>
      </c>
      <c r="CW42" s="994">
        <f t="shared" si="95"/>
        <v>21666.666666666668</v>
      </c>
      <c r="CX42" s="994">
        <f t="shared" si="95"/>
        <v>21666.666666666668</v>
      </c>
      <c r="CY42" s="977">
        <f t="shared" si="69"/>
        <v>259999.99999999997</v>
      </c>
      <c r="CZ42" s="877">
        <f t="shared" si="70"/>
        <v>27516.666666666668</v>
      </c>
      <c r="DA42" s="248">
        <f t="shared" si="70"/>
        <v>27516.666666666668</v>
      </c>
      <c r="DB42" s="248">
        <f t="shared" si="70"/>
        <v>27516.666666666668</v>
      </c>
      <c r="DC42" s="248">
        <f t="shared" si="70"/>
        <v>27516.666666666668</v>
      </c>
      <c r="DD42" s="248">
        <f t="shared" si="70"/>
        <v>27516.666666666668</v>
      </c>
      <c r="DE42" s="248">
        <f t="shared" si="70"/>
        <v>27516.666666666668</v>
      </c>
      <c r="DF42" s="248">
        <f t="shared" si="70"/>
        <v>27516.666666666668</v>
      </c>
      <c r="DG42" s="248">
        <f t="shared" si="70"/>
        <v>27516.666666666668</v>
      </c>
      <c r="DH42" s="248">
        <f t="shared" si="70"/>
        <v>27516.666666666668</v>
      </c>
      <c r="DI42" s="248">
        <f t="shared" si="70"/>
        <v>27516.666666666668</v>
      </c>
      <c r="DJ42" s="248">
        <f t="shared" si="70"/>
        <v>27516.666666666668</v>
      </c>
      <c r="DK42" s="248">
        <f t="shared" si="70"/>
        <v>27516.666666666668</v>
      </c>
      <c r="DL42" s="878">
        <f t="shared" si="50"/>
        <v>330200</v>
      </c>
      <c r="DM42" s="996">
        <f t="shared" ref="DM42:DX42" si="96">260000/12</f>
        <v>21666.666666666668</v>
      </c>
      <c r="DN42" s="994">
        <f t="shared" si="96"/>
        <v>21666.666666666668</v>
      </c>
      <c r="DO42" s="994">
        <f t="shared" si="96"/>
        <v>21666.666666666668</v>
      </c>
      <c r="DP42" s="994">
        <f t="shared" si="96"/>
        <v>21666.666666666668</v>
      </c>
      <c r="DQ42" s="994">
        <f t="shared" si="96"/>
        <v>21666.666666666668</v>
      </c>
      <c r="DR42" s="994">
        <f t="shared" si="96"/>
        <v>21666.666666666668</v>
      </c>
      <c r="DS42" s="994">
        <f t="shared" si="96"/>
        <v>21666.666666666668</v>
      </c>
      <c r="DT42" s="994">
        <f t="shared" si="96"/>
        <v>21666.666666666668</v>
      </c>
      <c r="DU42" s="994">
        <f t="shared" si="96"/>
        <v>21666.666666666668</v>
      </c>
      <c r="DV42" s="994">
        <f t="shared" si="96"/>
        <v>21666.666666666668</v>
      </c>
      <c r="DW42" s="994">
        <f t="shared" si="96"/>
        <v>21666.666666666668</v>
      </c>
      <c r="DX42" s="994">
        <f t="shared" si="96"/>
        <v>21666.666666666668</v>
      </c>
      <c r="DY42" s="977">
        <f t="shared" si="71"/>
        <v>259999.99999999997</v>
      </c>
      <c r="DZ42" s="877">
        <f t="shared" si="72"/>
        <v>27516.666666666668</v>
      </c>
      <c r="EA42" s="248">
        <f t="shared" si="72"/>
        <v>27516.666666666668</v>
      </c>
      <c r="EB42" s="248">
        <f t="shared" si="72"/>
        <v>27516.666666666668</v>
      </c>
      <c r="EC42" s="248">
        <f t="shared" si="72"/>
        <v>27516.666666666668</v>
      </c>
      <c r="ED42" s="248">
        <f t="shared" si="72"/>
        <v>27516.666666666668</v>
      </c>
      <c r="EE42" s="248">
        <f t="shared" si="72"/>
        <v>27516.666666666668</v>
      </c>
      <c r="EF42" s="248">
        <f t="shared" si="72"/>
        <v>27516.666666666668</v>
      </c>
      <c r="EG42" s="248">
        <f t="shared" si="72"/>
        <v>27516.666666666668</v>
      </c>
      <c r="EH42" s="248">
        <f t="shared" si="72"/>
        <v>27516.666666666668</v>
      </c>
      <c r="EI42" s="248">
        <f t="shared" si="72"/>
        <v>27516.666666666668</v>
      </c>
      <c r="EJ42" s="248">
        <f t="shared" si="72"/>
        <v>27516.666666666668</v>
      </c>
      <c r="EK42" s="248">
        <f t="shared" si="72"/>
        <v>27516.666666666668</v>
      </c>
      <c r="EL42" s="878">
        <f t="shared" si="52"/>
        <v>330200</v>
      </c>
    </row>
    <row r="43" spans="1:142" s="1010" customFormat="1">
      <c r="A43" s="997" t="s">
        <v>668</v>
      </c>
      <c r="B43" s="904" t="s">
        <v>669</v>
      </c>
      <c r="C43" s="998"/>
      <c r="D43" s="980"/>
      <c r="E43" s="999"/>
      <c r="F43" s="999"/>
      <c r="G43" s="1000">
        <v>4.774</v>
      </c>
      <c r="H43" s="980">
        <v>4.46</v>
      </c>
      <c r="I43" s="999">
        <v>4.46</v>
      </c>
      <c r="J43" s="999">
        <v>4.46</v>
      </c>
      <c r="K43" s="1001">
        <v>4.46</v>
      </c>
      <c r="L43" s="1002"/>
      <c r="M43" s="1003"/>
      <c r="N43" s="1004"/>
      <c r="O43" s="1004"/>
      <c r="P43" s="1004"/>
      <c r="Q43" s="1004"/>
      <c r="R43" s="1004"/>
      <c r="S43" s="1004"/>
      <c r="T43" s="1004"/>
      <c r="U43" s="1004"/>
      <c r="V43" s="1004"/>
      <c r="W43" s="1004"/>
      <c r="X43" s="1004"/>
      <c r="Y43" s="1005">
        <f t="shared" si="58"/>
        <v>0</v>
      </c>
      <c r="Z43" s="991"/>
      <c r="AA43" s="992"/>
      <c r="AB43" s="992"/>
      <c r="AC43" s="992"/>
      <c r="AD43" s="248">
        <v>0</v>
      </c>
      <c r="AE43" s="992"/>
      <c r="AF43" s="992"/>
      <c r="AG43" s="992"/>
      <c r="AH43" s="992"/>
      <c r="AI43" s="992">
        <f t="shared" si="61"/>
        <v>0</v>
      </c>
      <c r="AJ43" s="992">
        <f t="shared" si="61"/>
        <v>0</v>
      </c>
      <c r="AK43" s="992">
        <f t="shared" si="61"/>
        <v>0</v>
      </c>
      <c r="AL43" s="993">
        <f t="shared" si="62"/>
        <v>0</v>
      </c>
      <c r="AM43" s="1006"/>
      <c r="AN43" s="1007"/>
      <c r="AO43" s="1007"/>
      <c r="AP43" s="1007"/>
      <c r="AQ43" s="1007"/>
      <c r="AR43" s="1007"/>
      <c r="AS43" s="1007">
        <f t="shared" ref="AS43:AX43" si="97">317888/12</f>
        <v>26490.666666666668</v>
      </c>
      <c r="AT43" s="1007">
        <f t="shared" si="97"/>
        <v>26490.666666666668</v>
      </c>
      <c r="AU43" s="1007">
        <f t="shared" si="97"/>
        <v>26490.666666666668</v>
      </c>
      <c r="AV43" s="1007">
        <f t="shared" si="97"/>
        <v>26490.666666666668</v>
      </c>
      <c r="AW43" s="1007">
        <f t="shared" si="97"/>
        <v>26490.666666666668</v>
      </c>
      <c r="AX43" s="1007">
        <f t="shared" si="97"/>
        <v>26490.666666666668</v>
      </c>
      <c r="AY43" s="990">
        <f t="shared" si="64"/>
        <v>158944</v>
      </c>
      <c r="AZ43" s="991">
        <f t="shared" si="65"/>
        <v>0</v>
      </c>
      <c r="BA43" s="992">
        <f t="shared" si="65"/>
        <v>0</v>
      </c>
      <c r="BB43" s="992">
        <f t="shared" si="65"/>
        <v>0</v>
      </c>
      <c r="BC43" s="992">
        <f t="shared" si="65"/>
        <v>0</v>
      </c>
      <c r="BD43" s="992">
        <f t="shared" si="65"/>
        <v>0</v>
      </c>
      <c r="BE43" s="992">
        <f t="shared" si="65"/>
        <v>0</v>
      </c>
      <c r="BF43" s="992">
        <f t="shared" si="65"/>
        <v>118148.37333333334</v>
      </c>
      <c r="BG43" s="992">
        <f t="shared" si="65"/>
        <v>118148.37333333334</v>
      </c>
      <c r="BH43" s="992">
        <f t="shared" si="65"/>
        <v>118148.37333333334</v>
      </c>
      <c r="BI43" s="992">
        <f t="shared" si="65"/>
        <v>118148.37333333334</v>
      </c>
      <c r="BJ43" s="992">
        <f t="shared" si="65"/>
        <v>118148.37333333334</v>
      </c>
      <c r="BK43" s="992">
        <f t="shared" si="65"/>
        <v>118148.37333333334</v>
      </c>
      <c r="BL43" s="993">
        <f t="shared" si="47"/>
        <v>708890.24</v>
      </c>
      <c r="BM43" s="1006">
        <f>317888/12</f>
        <v>26490.666666666668</v>
      </c>
      <c r="BN43" s="1007">
        <f t="shared" ref="BN43:BX43" si="98">317888/12</f>
        <v>26490.666666666668</v>
      </c>
      <c r="BO43" s="1007">
        <f t="shared" si="98"/>
        <v>26490.666666666668</v>
      </c>
      <c r="BP43" s="1007">
        <f t="shared" si="98"/>
        <v>26490.666666666668</v>
      </c>
      <c r="BQ43" s="1007">
        <f t="shared" si="98"/>
        <v>26490.666666666668</v>
      </c>
      <c r="BR43" s="1007">
        <f t="shared" si="98"/>
        <v>26490.666666666668</v>
      </c>
      <c r="BS43" s="1007">
        <f t="shared" si="98"/>
        <v>26490.666666666668</v>
      </c>
      <c r="BT43" s="1007">
        <f t="shared" si="98"/>
        <v>26490.666666666668</v>
      </c>
      <c r="BU43" s="1007">
        <f t="shared" si="98"/>
        <v>26490.666666666668</v>
      </c>
      <c r="BV43" s="1007">
        <f t="shared" si="98"/>
        <v>26490.666666666668</v>
      </c>
      <c r="BW43" s="1007">
        <f t="shared" si="98"/>
        <v>26490.666666666668</v>
      </c>
      <c r="BX43" s="1007">
        <f t="shared" si="98"/>
        <v>26490.666666666668</v>
      </c>
      <c r="BY43" s="990">
        <f t="shared" si="66"/>
        <v>317888</v>
      </c>
      <c r="BZ43" s="991">
        <f t="shared" si="67"/>
        <v>118148.37333333334</v>
      </c>
      <c r="CA43" s="992">
        <f t="shared" si="67"/>
        <v>118148.37333333334</v>
      </c>
      <c r="CB43" s="992">
        <f t="shared" si="67"/>
        <v>118148.37333333334</v>
      </c>
      <c r="CC43" s="992">
        <f t="shared" si="67"/>
        <v>118148.37333333334</v>
      </c>
      <c r="CD43" s="992">
        <f t="shared" si="67"/>
        <v>118148.37333333334</v>
      </c>
      <c r="CE43" s="992">
        <f t="shared" si="67"/>
        <v>118148.37333333334</v>
      </c>
      <c r="CF43" s="992">
        <f t="shared" si="67"/>
        <v>118148.37333333334</v>
      </c>
      <c r="CG43" s="992">
        <f t="shared" si="67"/>
        <v>118148.37333333334</v>
      </c>
      <c r="CH43" s="992">
        <f t="shared" si="67"/>
        <v>118148.37333333334</v>
      </c>
      <c r="CI43" s="992">
        <f t="shared" si="67"/>
        <v>118148.37333333334</v>
      </c>
      <c r="CJ43" s="992">
        <f t="shared" si="67"/>
        <v>118148.37333333334</v>
      </c>
      <c r="CK43" s="1008">
        <f t="shared" si="67"/>
        <v>118148.37333333334</v>
      </c>
      <c r="CL43" s="1009">
        <f t="shared" si="68"/>
        <v>1417780.4799999997</v>
      </c>
      <c r="CM43" s="1006">
        <f>317888/12</f>
        <v>26490.666666666668</v>
      </c>
      <c r="CN43" s="1007">
        <f t="shared" ref="CN43:CX43" si="99">317888/12</f>
        <v>26490.666666666668</v>
      </c>
      <c r="CO43" s="1007">
        <f t="shared" si="99"/>
        <v>26490.666666666668</v>
      </c>
      <c r="CP43" s="1007">
        <f t="shared" si="99"/>
        <v>26490.666666666668</v>
      </c>
      <c r="CQ43" s="1007">
        <f t="shared" si="99"/>
        <v>26490.666666666668</v>
      </c>
      <c r="CR43" s="1007">
        <f t="shared" si="99"/>
        <v>26490.666666666668</v>
      </c>
      <c r="CS43" s="1007">
        <f t="shared" si="99"/>
        <v>26490.666666666668</v>
      </c>
      <c r="CT43" s="1007">
        <f t="shared" si="99"/>
        <v>26490.666666666668</v>
      </c>
      <c r="CU43" s="1007">
        <f t="shared" si="99"/>
        <v>26490.666666666668</v>
      </c>
      <c r="CV43" s="1007">
        <f t="shared" si="99"/>
        <v>26490.666666666668</v>
      </c>
      <c r="CW43" s="1007">
        <f t="shared" si="99"/>
        <v>26490.666666666668</v>
      </c>
      <c r="CX43" s="1007">
        <f t="shared" si="99"/>
        <v>26490.666666666668</v>
      </c>
      <c r="CY43" s="990">
        <f t="shared" si="69"/>
        <v>317888</v>
      </c>
      <c r="CZ43" s="991">
        <f t="shared" si="70"/>
        <v>118148.37333333334</v>
      </c>
      <c r="DA43" s="992">
        <f t="shared" si="70"/>
        <v>118148.37333333334</v>
      </c>
      <c r="DB43" s="992">
        <f t="shared" si="70"/>
        <v>118148.37333333334</v>
      </c>
      <c r="DC43" s="992">
        <f t="shared" si="70"/>
        <v>118148.37333333334</v>
      </c>
      <c r="DD43" s="992">
        <f t="shared" si="70"/>
        <v>118148.37333333334</v>
      </c>
      <c r="DE43" s="992">
        <f t="shared" si="70"/>
        <v>118148.37333333334</v>
      </c>
      <c r="DF43" s="992">
        <f t="shared" si="70"/>
        <v>118148.37333333334</v>
      </c>
      <c r="DG43" s="992">
        <f t="shared" si="70"/>
        <v>118148.37333333334</v>
      </c>
      <c r="DH43" s="992">
        <f t="shared" si="70"/>
        <v>118148.37333333334</v>
      </c>
      <c r="DI43" s="992">
        <f t="shared" si="70"/>
        <v>118148.37333333334</v>
      </c>
      <c r="DJ43" s="992">
        <f t="shared" si="70"/>
        <v>118148.37333333334</v>
      </c>
      <c r="DK43" s="1008">
        <f t="shared" si="70"/>
        <v>118148.37333333334</v>
      </c>
      <c r="DL43" s="1009">
        <f t="shared" si="50"/>
        <v>1417780.4799999997</v>
      </c>
      <c r="DM43" s="1006">
        <f>317888/12</f>
        <v>26490.666666666668</v>
      </c>
      <c r="DN43" s="1007">
        <f t="shared" ref="DN43:DX43" si="100">317888/12</f>
        <v>26490.666666666668</v>
      </c>
      <c r="DO43" s="1007">
        <f t="shared" si="100"/>
        <v>26490.666666666668</v>
      </c>
      <c r="DP43" s="1007">
        <f t="shared" si="100"/>
        <v>26490.666666666668</v>
      </c>
      <c r="DQ43" s="1007">
        <f t="shared" si="100"/>
        <v>26490.666666666668</v>
      </c>
      <c r="DR43" s="1007">
        <f t="shared" si="100"/>
        <v>26490.666666666668</v>
      </c>
      <c r="DS43" s="1007">
        <f t="shared" si="100"/>
        <v>26490.666666666668</v>
      </c>
      <c r="DT43" s="1007">
        <f t="shared" si="100"/>
        <v>26490.666666666668</v>
      </c>
      <c r="DU43" s="1007">
        <f t="shared" si="100"/>
        <v>26490.666666666668</v>
      </c>
      <c r="DV43" s="1007">
        <f t="shared" si="100"/>
        <v>26490.666666666668</v>
      </c>
      <c r="DW43" s="1007">
        <f t="shared" si="100"/>
        <v>26490.666666666668</v>
      </c>
      <c r="DX43" s="1007">
        <f t="shared" si="100"/>
        <v>26490.666666666668</v>
      </c>
      <c r="DY43" s="990">
        <f t="shared" si="71"/>
        <v>317888</v>
      </c>
      <c r="DZ43" s="991">
        <f t="shared" si="72"/>
        <v>118148.37333333334</v>
      </c>
      <c r="EA43" s="992">
        <f t="shared" si="72"/>
        <v>118148.37333333334</v>
      </c>
      <c r="EB43" s="992">
        <f t="shared" si="72"/>
        <v>118148.37333333334</v>
      </c>
      <c r="EC43" s="992">
        <f t="shared" si="72"/>
        <v>118148.37333333334</v>
      </c>
      <c r="ED43" s="992">
        <f t="shared" si="72"/>
        <v>118148.37333333334</v>
      </c>
      <c r="EE43" s="992">
        <f t="shared" si="72"/>
        <v>118148.37333333334</v>
      </c>
      <c r="EF43" s="992">
        <f t="shared" si="72"/>
        <v>118148.37333333334</v>
      </c>
      <c r="EG43" s="992">
        <f t="shared" si="72"/>
        <v>118148.37333333334</v>
      </c>
      <c r="EH43" s="992">
        <f t="shared" si="72"/>
        <v>118148.37333333334</v>
      </c>
      <c r="EI43" s="992">
        <f t="shared" si="72"/>
        <v>118148.37333333334</v>
      </c>
      <c r="EJ43" s="992">
        <f t="shared" si="72"/>
        <v>118148.37333333334</v>
      </c>
      <c r="EK43" s="1008">
        <f t="shared" si="72"/>
        <v>118148.37333333334</v>
      </c>
      <c r="EL43" s="1009">
        <f t="shared" si="52"/>
        <v>1417780.4799999997</v>
      </c>
    </row>
    <row r="44" spans="1:142" s="1010" customFormat="1">
      <c r="A44" s="997" t="s">
        <v>668</v>
      </c>
      <c r="B44" s="904" t="s">
        <v>670</v>
      </c>
      <c r="C44" s="998"/>
      <c r="D44" s="980"/>
      <c r="E44" s="999"/>
      <c r="F44" s="999"/>
      <c r="G44" s="1000"/>
      <c r="H44" s="980">
        <v>4.55</v>
      </c>
      <c r="I44" s="999">
        <v>4.55</v>
      </c>
      <c r="J44" s="999">
        <v>4.55</v>
      </c>
      <c r="K44" s="1001">
        <v>4.55</v>
      </c>
      <c r="L44" s="1002"/>
      <c r="M44" s="1003"/>
      <c r="N44" s="1004"/>
      <c r="O44" s="1004"/>
      <c r="P44" s="1004"/>
      <c r="Q44" s="1004"/>
      <c r="R44" s="1004"/>
      <c r="S44" s="1004"/>
      <c r="T44" s="1004"/>
      <c r="U44" s="1004"/>
      <c r="V44" s="1004"/>
      <c r="W44" s="1004"/>
      <c r="X44" s="1004"/>
      <c r="Y44" s="1005">
        <f t="shared" si="58"/>
        <v>0</v>
      </c>
      <c r="Z44" s="991"/>
      <c r="AA44" s="992"/>
      <c r="AB44" s="992"/>
      <c r="AC44" s="992"/>
      <c r="AD44" s="248">
        <v>0</v>
      </c>
      <c r="AE44" s="992"/>
      <c r="AF44" s="992"/>
      <c r="AG44" s="992"/>
      <c r="AH44" s="992"/>
      <c r="AI44" s="992">
        <f t="shared" si="61"/>
        <v>0</v>
      </c>
      <c r="AJ44" s="992">
        <f t="shared" si="61"/>
        <v>0</v>
      </c>
      <c r="AK44" s="992">
        <f t="shared" si="61"/>
        <v>0</v>
      </c>
      <c r="AL44" s="993">
        <f t="shared" si="62"/>
        <v>0</v>
      </c>
      <c r="AM44" s="1006"/>
      <c r="AN44" s="1007"/>
      <c r="AO44" s="1007"/>
      <c r="AP44" s="1007"/>
      <c r="AQ44" s="1007"/>
      <c r="AR44" s="1007"/>
      <c r="AS44" s="1007">
        <f t="shared" ref="AS44:AX44" si="101">78975/12</f>
        <v>6581.25</v>
      </c>
      <c r="AT44" s="1007">
        <f t="shared" si="101"/>
        <v>6581.25</v>
      </c>
      <c r="AU44" s="1007">
        <f t="shared" si="101"/>
        <v>6581.25</v>
      </c>
      <c r="AV44" s="1007">
        <f t="shared" si="101"/>
        <v>6581.25</v>
      </c>
      <c r="AW44" s="1007">
        <f t="shared" si="101"/>
        <v>6581.25</v>
      </c>
      <c r="AX44" s="1007">
        <f t="shared" si="101"/>
        <v>6581.25</v>
      </c>
      <c r="AY44" s="990">
        <f t="shared" si="64"/>
        <v>39487.5</v>
      </c>
      <c r="AZ44" s="991">
        <f t="shared" si="65"/>
        <v>0</v>
      </c>
      <c r="BA44" s="992">
        <f t="shared" si="65"/>
        <v>0</v>
      </c>
      <c r="BB44" s="992">
        <f t="shared" si="65"/>
        <v>0</v>
      </c>
      <c r="BC44" s="992">
        <f t="shared" si="65"/>
        <v>0</v>
      </c>
      <c r="BD44" s="992">
        <f t="shared" si="65"/>
        <v>0</v>
      </c>
      <c r="BE44" s="992">
        <f t="shared" si="65"/>
        <v>0</v>
      </c>
      <c r="BF44" s="992">
        <f t="shared" si="65"/>
        <v>29944.6875</v>
      </c>
      <c r="BG44" s="992">
        <f t="shared" si="65"/>
        <v>29944.6875</v>
      </c>
      <c r="BH44" s="992">
        <f t="shared" si="65"/>
        <v>29944.6875</v>
      </c>
      <c r="BI44" s="992">
        <f t="shared" si="65"/>
        <v>29944.6875</v>
      </c>
      <c r="BJ44" s="992">
        <f t="shared" si="65"/>
        <v>29944.6875</v>
      </c>
      <c r="BK44" s="992">
        <f t="shared" si="65"/>
        <v>29944.6875</v>
      </c>
      <c r="BL44" s="993">
        <f t="shared" si="47"/>
        <v>179668.125</v>
      </c>
      <c r="BM44" s="1006">
        <f>78975/12</f>
        <v>6581.25</v>
      </c>
      <c r="BN44" s="1007">
        <f t="shared" ref="BN44:BX44" si="102">78975/12</f>
        <v>6581.25</v>
      </c>
      <c r="BO44" s="1007">
        <f t="shared" si="102"/>
        <v>6581.25</v>
      </c>
      <c r="BP44" s="1007">
        <f t="shared" si="102"/>
        <v>6581.25</v>
      </c>
      <c r="BQ44" s="1007">
        <f t="shared" si="102"/>
        <v>6581.25</v>
      </c>
      <c r="BR44" s="1007">
        <f t="shared" si="102"/>
        <v>6581.25</v>
      </c>
      <c r="BS44" s="1007">
        <f t="shared" si="102"/>
        <v>6581.25</v>
      </c>
      <c r="BT44" s="1007">
        <f t="shared" si="102"/>
        <v>6581.25</v>
      </c>
      <c r="BU44" s="1007">
        <f t="shared" si="102"/>
        <v>6581.25</v>
      </c>
      <c r="BV44" s="1007">
        <f t="shared" si="102"/>
        <v>6581.25</v>
      </c>
      <c r="BW44" s="1007">
        <f t="shared" si="102"/>
        <v>6581.25</v>
      </c>
      <c r="BX44" s="1007">
        <f t="shared" si="102"/>
        <v>6581.25</v>
      </c>
      <c r="BY44" s="990">
        <f t="shared" si="66"/>
        <v>78975</v>
      </c>
      <c r="BZ44" s="991">
        <f t="shared" si="67"/>
        <v>29944.6875</v>
      </c>
      <c r="CA44" s="992">
        <f t="shared" si="67"/>
        <v>29944.6875</v>
      </c>
      <c r="CB44" s="992">
        <f t="shared" si="67"/>
        <v>29944.6875</v>
      </c>
      <c r="CC44" s="992">
        <f t="shared" si="67"/>
        <v>29944.6875</v>
      </c>
      <c r="CD44" s="992">
        <f t="shared" si="67"/>
        <v>29944.6875</v>
      </c>
      <c r="CE44" s="992">
        <f t="shared" si="67"/>
        <v>29944.6875</v>
      </c>
      <c r="CF44" s="992">
        <f t="shared" si="67"/>
        <v>29944.6875</v>
      </c>
      <c r="CG44" s="992">
        <f t="shared" si="67"/>
        <v>29944.6875</v>
      </c>
      <c r="CH44" s="992">
        <f t="shared" si="67"/>
        <v>29944.6875</v>
      </c>
      <c r="CI44" s="992">
        <f t="shared" si="67"/>
        <v>29944.6875</v>
      </c>
      <c r="CJ44" s="992">
        <f t="shared" si="67"/>
        <v>29944.6875</v>
      </c>
      <c r="CK44" s="1008">
        <f t="shared" si="67"/>
        <v>29944.6875</v>
      </c>
      <c r="CL44" s="1011">
        <f t="shared" si="68"/>
        <v>359336.25</v>
      </c>
      <c r="CM44" s="1006">
        <f>78975/12</f>
        <v>6581.25</v>
      </c>
      <c r="CN44" s="1007">
        <f t="shared" ref="CN44:CX44" si="103">78975/12</f>
        <v>6581.25</v>
      </c>
      <c r="CO44" s="1007">
        <f t="shared" si="103"/>
        <v>6581.25</v>
      </c>
      <c r="CP44" s="1007">
        <f t="shared" si="103"/>
        <v>6581.25</v>
      </c>
      <c r="CQ44" s="1007">
        <f t="shared" si="103"/>
        <v>6581.25</v>
      </c>
      <c r="CR44" s="1007">
        <f t="shared" si="103"/>
        <v>6581.25</v>
      </c>
      <c r="CS44" s="1007">
        <f t="shared" si="103"/>
        <v>6581.25</v>
      </c>
      <c r="CT44" s="1007">
        <f t="shared" si="103"/>
        <v>6581.25</v>
      </c>
      <c r="CU44" s="1007">
        <f t="shared" si="103"/>
        <v>6581.25</v>
      </c>
      <c r="CV44" s="1007">
        <f t="shared" si="103"/>
        <v>6581.25</v>
      </c>
      <c r="CW44" s="1007">
        <f t="shared" si="103"/>
        <v>6581.25</v>
      </c>
      <c r="CX44" s="1007">
        <f t="shared" si="103"/>
        <v>6581.25</v>
      </c>
      <c r="CY44" s="990">
        <f t="shared" si="69"/>
        <v>78975</v>
      </c>
      <c r="CZ44" s="991">
        <f t="shared" si="70"/>
        <v>29944.6875</v>
      </c>
      <c r="DA44" s="992">
        <f t="shared" si="70"/>
        <v>29944.6875</v>
      </c>
      <c r="DB44" s="992">
        <f t="shared" si="70"/>
        <v>29944.6875</v>
      </c>
      <c r="DC44" s="992">
        <f t="shared" si="70"/>
        <v>29944.6875</v>
      </c>
      <c r="DD44" s="992">
        <f t="shared" si="70"/>
        <v>29944.6875</v>
      </c>
      <c r="DE44" s="992">
        <f t="shared" si="70"/>
        <v>29944.6875</v>
      </c>
      <c r="DF44" s="992">
        <f t="shared" si="70"/>
        <v>29944.6875</v>
      </c>
      <c r="DG44" s="992">
        <f t="shared" si="70"/>
        <v>29944.6875</v>
      </c>
      <c r="DH44" s="992">
        <f t="shared" si="70"/>
        <v>29944.6875</v>
      </c>
      <c r="DI44" s="992">
        <f t="shared" si="70"/>
        <v>29944.6875</v>
      </c>
      <c r="DJ44" s="992">
        <f t="shared" si="70"/>
        <v>29944.6875</v>
      </c>
      <c r="DK44" s="1008">
        <f t="shared" si="70"/>
        <v>29944.6875</v>
      </c>
      <c r="DL44" s="1011">
        <f t="shared" si="50"/>
        <v>359336.25</v>
      </c>
      <c r="DM44" s="1006">
        <f>78975/12</f>
        <v>6581.25</v>
      </c>
      <c r="DN44" s="1007">
        <f t="shared" ref="DN44:DX44" si="104">78975/12</f>
        <v>6581.25</v>
      </c>
      <c r="DO44" s="1007">
        <f t="shared" si="104"/>
        <v>6581.25</v>
      </c>
      <c r="DP44" s="1007">
        <f t="shared" si="104"/>
        <v>6581.25</v>
      </c>
      <c r="DQ44" s="1007">
        <f t="shared" si="104"/>
        <v>6581.25</v>
      </c>
      <c r="DR44" s="1007">
        <f t="shared" si="104"/>
        <v>6581.25</v>
      </c>
      <c r="DS44" s="1007">
        <f t="shared" si="104"/>
        <v>6581.25</v>
      </c>
      <c r="DT44" s="1007">
        <f t="shared" si="104"/>
        <v>6581.25</v>
      </c>
      <c r="DU44" s="1007">
        <f t="shared" si="104"/>
        <v>6581.25</v>
      </c>
      <c r="DV44" s="1007">
        <f t="shared" si="104"/>
        <v>6581.25</v>
      </c>
      <c r="DW44" s="1007">
        <f t="shared" si="104"/>
        <v>6581.25</v>
      </c>
      <c r="DX44" s="1007">
        <f t="shared" si="104"/>
        <v>6581.25</v>
      </c>
      <c r="DY44" s="990">
        <f t="shared" si="71"/>
        <v>78975</v>
      </c>
      <c r="DZ44" s="991">
        <f t="shared" si="72"/>
        <v>29944.6875</v>
      </c>
      <c r="EA44" s="992">
        <f t="shared" si="72"/>
        <v>29944.6875</v>
      </c>
      <c r="EB44" s="992">
        <f t="shared" si="72"/>
        <v>29944.6875</v>
      </c>
      <c r="EC44" s="992">
        <f t="shared" si="72"/>
        <v>29944.6875</v>
      </c>
      <c r="ED44" s="992">
        <f t="shared" si="72"/>
        <v>29944.6875</v>
      </c>
      <c r="EE44" s="992">
        <f t="shared" si="72"/>
        <v>29944.6875</v>
      </c>
      <c r="EF44" s="992">
        <f t="shared" si="72"/>
        <v>29944.6875</v>
      </c>
      <c r="EG44" s="992">
        <f t="shared" si="72"/>
        <v>29944.6875</v>
      </c>
      <c r="EH44" s="992">
        <f t="shared" si="72"/>
        <v>29944.6875</v>
      </c>
      <c r="EI44" s="992">
        <f t="shared" si="72"/>
        <v>29944.6875</v>
      </c>
      <c r="EJ44" s="992">
        <f t="shared" si="72"/>
        <v>29944.6875</v>
      </c>
      <c r="EK44" s="1008">
        <f t="shared" si="72"/>
        <v>29944.6875</v>
      </c>
      <c r="EL44" s="1011">
        <f t="shared" si="52"/>
        <v>359336.25</v>
      </c>
    </row>
    <row r="45" spans="1:142" s="1010" customFormat="1">
      <c r="A45" s="997" t="s">
        <v>668</v>
      </c>
      <c r="B45" s="904" t="s">
        <v>671</v>
      </c>
      <c r="C45" s="998"/>
      <c r="D45" s="980"/>
      <c r="E45" s="999"/>
      <c r="F45" s="999"/>
      <c r="G45" s="1000">
        <v>4.774</v>
      </c>
      <c r="H45" s="980">
        <v>5.4</v>
      </c>
      <c r="I45" s="999">
        <v>5.4</v>
      </c>
      <c r="J45" s="999">
        <v>5.4</v>
      </c>
      <c r="K45" s="1001">
        <v>5.4</v>
      </c>
      <c r="L45" s="1002"/>
      <c r="M45" s="1003"/>
      <c r="N45" s="1004"/>
      <c r="O45" s="1004"/>
      <c r="P45" s="1004"/>
      <c r="Q45" s="1004"/>
      <c r="R45" s="1004"/>
      <c r="S45" s="1004"/>
      <c r="T45" s="1004"/>
      <c r="U45" s="1004"/>
      <c r="V45" s="1004"/>
      <c r="W45" s="1004"/>
      <c r="X45" s="1004"/>
      <c r="Y45" s="1005">
        <f t="shared" si="58"/>
        <v>0</v>
      </c>
      <c r="Z45" s="991"/>
      <c r="AA45" s="992"/>
      <c r="AB45" s="992"/>
      <c r="AC45" s="992"/>
      <c r="AD45" s="248">
        <v>0</v>
      </c>
      <c r="AE45" s="992"/>
      <c r="AF45" s="992"/>
      <c r="AG45" s="992"/>
      <c r="AH45" s="992"/>
      <c r="AI45" s="992">
        <f t="shared" si="61"/>
        <v>0</v>
      </c>
      <c r="AJ45" s="992">
        <f t="shared" si="61"/>
        <v>0</v>
      </c>
      <c r="AK45" s="992">
        <f t="shared" si="61"/>
        <v>0</v>
      </c>
      <c r="AL45" s="993">
        <f t="shared" si="62"/>
        <v>0</v>
      </c>
      <c r="AM45" s="1006"/>
      <c r="AN45" s="1007"/>
      <c r="AO45" s="1007"/>
      <c r="AP45" s="1007"/>
      <c r="AQ45" s="1007"/>
      <c r="AR45" s="1007"/>
      <c r="AS45" s="1007">
        <f t="shared" ref="AS45:AX45" si="105">272340/12</f>
        <v>22695</v>
      </c>
      <c r="AT45" s="1007">
        <f t="shared" si="105"/>
        <v>22695</v>
      </c>
      <c r="AU45" s="1007">
        <f t="shared" si="105"/>
        <v>22695</v>
      </c>
      <c r="AV45" s="1007">
        <f t="shared" si="105"/>
        <v>22695</v>
      </c>
      <c r="AW45" s="1007">
        <f t="shared" si="105"/>
        <v>22695</v>
      </c>
      <c r="AX45" s="1007">
        <f t="shared" si="105"/>
        <v>22695</v>
      </c>
      <c r="AY45" s="990">
        <f>SUM(AM45:AX45)</f>
        <v>136170</v>
      </c>
      <c r="AZ45" s="991">
        <f t="shared" si="65"/>
        <v>0</v>
      </c>
      <c r="BA45" s="992">
        <f t="shared" si="65"/>
        <v>0</v>
      </c>
      <c r="BB45" s="992">
        <f t="shared" si="65"/>
        <v>0</v>
      </c>
      <c r="BC45" s="992">
        <f t="shared" si="65"/>
        <v>0</v>
      </c>
      <c r="BD45" s="992">
        <f t="shared" si="65"/>
        <v>0</v>
      </c>
      <c r="BE45" s="992">
        <f t="shared" si="65"/>
        <v>0</v>
      </c>
      <c r="BF45" s="992">
        <f t="shared" si="65"/>
        <v>122553.00000000001</v>
      </c>
      <c r="BG45" s="992">
        <f t="shared" si="65"/>
        <v>122553.00000000001</v>
      </c>
      <c r="BH45" s="992">
        <f t="shared" si="65"/>
        <v>122553.00000000001</v>
      </c>
      <c r="BI45" s="992">
        <f t="shared" si="65"/>
        <v>122553.00000000001</v>
      </c>
      <c r="BJ45" s="992">
        <f t="shared" si="65"/>
        <v>122553.00000000001</v>
      </c>
      <c r="BK45" s="992">
        <f t="shared" si="65"/>
        <v>122553.00000000001</v>
      </c>
      <c r="BL45" s="993">
        <f>SUM(AZ45:BK45)</f>
        <v>735318.00000000012</v>
      </c>
      <c r="BM45" s="1006">
        <f>146985/12</f>
        <v>12248.75</v>
      </c>
      <c r="BN45" s="1007">
        <f t="shared" ref="BN45:BX45" si="106">146985/12</f>
        <v>12248.75</v>
      </c>
      <c r="BO45" s="1007">
        <f t="shared" si="106"/>
        <v>12248.75</v>
      </c>
      <c r="BP45" s="1007">
        <f t="shared" si="106"/>
        <v>12248.75</v>
      </c>
      <c r="BQ45" s="1007">
        <f t="shared" si="106"/>
        <v>12248.75</v>
      </c>
      <c r="BR45" s="1007">
        <f t="shared" si="106"/>
        <v>12248.75</v>
      </c>
      <c r="BS45" s="1007">
        <f t="shared" si="106"/>
        <v>12248.75</v>
      </c>
      <c r="BT45" s="1007">
        <f t="shared" si="106"/>
        <v>12248.75</v>
      </c>
      <c r="BU45" s="1007">
        <f t="shared" si="106"/>
        <v>12248.75</v>
      </c>
      <c r="BV45" s="1007">
        <f t="shared" si="106"/>
        <v>12248.75</v>
      </c>
      <c r="BW45" s="1007">
        <f t="shared" si="106"/>
        <v>12248.75</v>
      </c>
      <c r="BX45" s="1007">
        <f t="shared" si="106"/>
        <v>12248.75</v>
      </c>
      <c r="BY45" s="990">
        <f>SUM(BM45:BX45)</f>
        <v>146985</v>
      </c>
      <c r="BZ45" s="991">
        <f t="shared" si="67"/>
        <v>66143.25</v>
      </c>
      <c r="CA45" s="992">
        <f t="shared" si="67"/>
        <v>66143.25</v>
      </c>
      <c r="CB45" s="992">
        <f t="shared" si="67"/>
        <v>66143.25</v>
      </c>
      <c r="CC45" s="992">
        <f t="shared" si="67"/>
        <v>66143.25</v>
      </c>
      <c r="CD45" s="992">
        <f t="shared" si="67"/>
        <v>66143.25</v>
      </c>
      <c r="CE45" s="992">
        <f t="shared" si="67"/>
        <v>66143.25</v>
      </c>
      <c r="CF45" s="992">
        <f t="shared" si="67"/>
        <v>66143.25</v>
      </c>
      <c r="CG45" s="992">
        <f t="shared" si="67"/>
        <v>66143.25</v>
      </c>
      <c r="CH45" s="992">
        <f t="shared" si="67"/>
        <v>66143.25</v>
      </c>
      <c r="CI45" s="992">
        <f t="shared" si="67"/>
        <v>66143.25</v>
      </c>
      <c r="CJ45" s="992">
        <f t="shared" si="67"/>
        <v>66143.25</v>
      </c>
      <c r="CK45" s="992">
        <f t="shared" si="67"/>
        <v>66143.25</v>
      </c>
      <c r="CL45" s="993">
        <f>SUM(BZ45:CK45)</f>
        <v>793719</v>
      </c>
      <c r="CM45" s="1006">
        <f>121914/12</f>
        <v>10159.5</v>
      </c>
      <c r="CN45" s="1007">
        <f t="shared" ref="CN45:CX45" si="107">121914/12</f>
        <v>10159.5</v>
      </c>
      <c r="CO45" s="1007">
        <f t="shared" si="107"/>
        <v>10159.5</v>
      </c>
      <c r="CP45" s="1007">
        <f t="shared" si="107"/>
        <v>10159.5</v>
      </c>
      <c r="CQ45" s="1007">
        <f t="shared" si="107"/>
        <v>10159.5</v>
      </c>
      <c r="CR45" s="1007">
        <f t="shared" si="107"/>
        <v>10159.5</v>
      </c>
      <c r="CS45" s="1007">
        <f t="shared" si="107"/>
        <v>10159.5</v>
      </c>
      <c r="CT45" s="1007">
        <f t="shared" si="107"/>
        <v>10159.5</v>
      </c>
      <c r="CU45" s="1007">
        <f t="shared" si="107"/>
        <v>10159.5</v>
      </c>
      <c r="CV45" s="1007">
        <f t="shared" si="107"/>
        <v>10159.5</v>
      </c>
      <c r="CW45" s="1007">
        <f t="shared" si="107"/>
        <v>10159.5</v>
      </c>
      <c r="CX45" s="1007">
        <f t="shared" si="107"/>
        <v>10159.5</v>
      </c>
      <c r="CY45" s="990">
        <f>SUM(CM45:CX45)</f>
        <v>121914</v>
      </c>
      <c r="CZ45" s="991">
        <f t="shared" si="70"/>
        <v>54861.3</v>
      </c>
      <c r="DA45" s="992">
        <f t="shared" si="70"/>
        <v>54861.3</v>
      </c>
      <c r="DB45" s="992">
        <f t="shared" si="70"/>
        <v>54861.3</v>
      </c>
      <c r="DC45" s="992">
        <f t="shared" si="70"/>
        <v>54861.3</v>
      </c>
      <c r="DD45" s="992">
        <f t="shared" si="70"/>
        <v>54861.3</v>
      </c>
      <c r="DE45" s="992">
        <f t="shared" si="70"/>
        <v>54861.3</v>
      </c>
      <c r="DF45" s="992">
        <f t="shared" si="70"/>
        <v>54861.3</v>
      </c>
      <c r="DG45" s="992">
        <f t="shared" si="70"/>
        <v>54861.3</v>
      </c>
      <c r="DH45" s="992">
        <f t="shared" si="70"/>
        <v>54861.3</v>
      </c>
      <c r="DI45" s="992">
        <f t="shared" si="70"/>
        <v>54861.3</v>
      </c>
      <c r="DJ45" s="992">
        <f t="shared" si="70"/>
        <v>54861.3</v>
      </c>
      <c r="DK45" s="992">
        <f t="shared" si="70"/>
        <v>54861.3</v>
      </c>
      <c r="DL45" s="993">
        <f>SUM(CZ45:DK45)</f>
        <v>658335.60000000009</v>
      </c>
      <c r="DM45" s="1006">
        <f>113299/12</f>
        <v>9441.5833333333339</v>
      </c>
      <c r="DN45" s="1007">
        <f t="shared" ref="DN45:DX45" si="108">113299/12</f>
        <v>9441.5833333333339</v>
      </c>
      <c r="DO45" s="1007">
        <f t="shared" si="108"/>
        <v>9441.5833333333339</v>
      </c>
      <c r="DP45" s="1007">
        <f t="shared" si="108"/>
        <v>9441.5833333333339</v>
      </c>
      <c r="DQ45" s="1007">
        <f t="shared" si="108"/>
        <v>9441.5833333333339</v>
      </c>
      <c r="DR45" s="1007">
        <f t="shared" si="108"/>
        <v>9441.5833333333339</v>
      </c>
      <c r="DS45" s="1007">
        <f t="shared" si="108"/>
        <v>9441.5833333333339</v>
      </c>
      <c r="DT45" s="1007">
        <f t="shared" si="108"/>
        <v>9441.5833333333339</v>
      </c>
      <c r="DU45" s="1007">
        <f t="shared" si="108"/>
        <v>9441.5833333333339</v>
      </c>
      <c r="DV45" s="1007">
        <f t="shared" si="108"/>
        <v>9441.5833333333339</v>
      </c>
      <c r="DW45" s="1007">
        <f t="shared" si="108"/>
        <v>9441.5833333333339</v>
      </c>
      <c r="DX45" s="1007">
        <f t="shared" si="108"/>
        <v>9441.5833333333339</v>
      </c>
      <c r="DY45" s="990">
        <f>SUM(DM45:DX45)</f>
        <v>113298.99999999999</v>
      </c>
      <c r="DZ45" s="991">
        <f t="shared" si="72"/>
        <v>50984.55000000001</v>
      </c>
      <c r="EA45" s="992">
        <f t="shared" si="72"/>
        <v>50984.55000000001</v>
      </c>
      <c r="EB45" s="992">
        <f t="shared" si="72"/>
        <v>50984.55000000001</v>
      </c>
      <c r="EC45" s="992">
        <f t="shared" si="72"/>
        <v>50984.55000000001</v>
      </c>
      <c r="ED45" s="992">
        <f t="shared" si="72"/>
        <v>50984.55000000001</v>
      </c>
      <c r="EE45" s="992">
        <f t="shared" si="72"/>
        <v>50984.55000000001</v>
      </c>
      <c r="EF45" s="992">
        <f t="shared" si="72"/>
        <v>50984.55000000001</v>
      </c>
      <c r="EG45" s="992">
        <f t="shared" si="72"/>
        <v>50984.55000000001</v>
      </c>
      <c r="EH45" s="992">
        <f t="shared" si="72"/>
        <v>50984.55000000001</v>
      </c>
      <c r="EI45" s="992">
        <f t="shared" si="72"/>
        <v>50984.55000000001</v>
      </c>
      <c r="EJ45" s="992">
        <f t="shared" si="72"/>
        <v>50984.55000000001</v>
      </c>
      <c r="EK45" s="992">
        <f t="shared" si="72"/>
        <v>50984.55000000001</v>
      </c>
      <c r="EL45" s="993">
        <f>SUM(DZ45:EK45)</f>
        <v>611814.60000000009</v>
      </c>
    </row>
    <row r="46" spans="1:142" s="1010" customFormat="1">
      <c r="A46" s="997" t="s">
        <v>668</v>
      </c>
      <c r="B46" s="904" t="s">
        <v>672</v>
      </c>
      <c r="C46" s="998"/>
      <c r="D46" s="980"/>
      <c r="E46" s="999"/>
      <c r="F46" s="999"/>
      <c r="G46" s="1000">
        <v>1.3832500000000001</v>
      </c>
      <c r="H46" s="980">
        <v>1.29</v>
      </c>
      <c r="I46" s="999">
        <v>1.3832500000000001</v>
      </c>
      <c r="J46" s="999">
        <v>1.3832500000000001</v>
      </c>
      <c r="K46" s="1001">
        <v>1.3832500000000001</v>
      </c>
      <c r="L46" s="1002"/>
      <c r="M46" s="1003"/>
      <c r="N46" s="1004"/>
      <c r="O46" s="1004"/>
      <c r="P46" s="1004"/>
      <c r="Q46" s="1004"/>
      <c r="R46" s="1004"/>
      <c r="S46" s="1004"/>
      <c r="T46" s="1004"/>
      <c r="U46" s="1004"/>
      <c r="V46" s="1004"/>
      <c r="W46" s="1004"/>
      <c r="X46" s="1004"/>
      <c r="Y46" s="1005">
        <f t="shared" si="58"/>
        <v>0</v>
      </c>
      <c r="Z46" s="991"/>
      <c r="AA46" s="992"/>
      <c r="AB46" s="992"/>
      <c r="AC46" s="992"/>
      <c r="AD46" s="248">
        <v>0</v>
      </c>
      <c r="AE46" s="992"/>
      <c r="AF46" s="992"/>
      <c r="AG46" s="992"/>
      <c r="AH46" s="992"/>
      <c r="AI46" s="992">
        <f t="shared" si="61"/>
        <v>0</v>
      </c>
      <c r="AJ46" s="992">
        <f t="shared" si="61"/>
        <v>0</v>
      </c>
      <c r="AK46" s="992">
        <f t="shared" si="61"/>
        <v>0</v>
      </c>
      <c r="AL46" s="993">
        <f t="shared" si="62"/>
        <v>0</v>
      </c>
      <c r="AM46" s="1006"/>
      <c r="AN46" s="1007"/>
      <c r="AO46" s="1007"/>
      <c r="AP46" s="1007"/>
      <c r="AQ46" s="1007"/>
      <c r="AR46" s="1007"/>
      <c r="AS46" s="1007">
        <f t="shared" ref="AS46:AX46" si="109">669203/12</f>
        <v>55766.916666666664</v>
      </c>
      <c r="AT46" s="1007">
        <f t="shared" si="109"/>
        <v>55766.916666666664</v>
      </c>
      <c r="AU46" s="1007">
        <f t="shared" si="109"/>
        <v>55766.916666666664</v>
      </c>
      <c r="AV46" s="1007">
        <f t="shared" si="109"/>
        <v>55766.916666666664</v>
      </c>
      <c r="AW46" s="1007">
        <f t="shared" si="109"/>
        <v>55766.916666666664</v>
      </c>
      <c r="AX46" s="1007">
        <f t="shared" si="109"/>
        <v>55766.916666666664</v>
      </c>
      <c r="AY46" s="990">
        <f t="shared" si="64"/>
        <v>334601.5</v>
      </c>
      <c r="AZ46" s="991">
        <f t="shared" si="65"/>
        <v>0</v>
      </c>
      <c r="BA46" s="992">
        <f t="shared" si="65"/>
        <v>0</v>
      </c>
      <c r="BB46" s="992">
        <f t="shared" si="65"/>
        <v>0</v>
      </c>
      <c r="BC46" s="992">
        <f t="shared" si="65"/>
        <v>0</v>
      </c>
      <c r="BD46" s="992">
        <f t="shared" si="65"/>
        <v>0</v>
      </c>
      <c r="BE46" s="992">
        <f t="shared" si="65"/>
        <v>0</v>
      </c>
      <c r="BF46" s="992">
        <f t="shared" si="65"/>
        <v>71939.322499999995</v>
      </c>
      <c r="BG46" s="992">
        <f t="shared" si="65"/>
        <v>71939.322499999995</v>
      </c>
      <c r="BH46" s="992">
        <f t="shared" si="65"/>
        <v>71939.322499999995</v>
      </c>
      <c r="BI46" s="992">
        <f t="shared" si="65"/>
        <v>71939.322499999995</v>
      </c>
      <c r="BJ46" s="992">
        <f t="shared" si="65"/>
        <v>71939.322499999995</v>
      </c>
      <c r="BK46" s="992">
        <f t="shared" si="65"/>
        <v>71939.322499999995</v>
      </c>
      <c r="BL46" s="993">
        <f t="shared" si="47"/>
        <v>431635.935</v>
      </c>
      <c r="BM46" s="1006">
        <f>543848/12</f>
        <v>45320.666666666664</v>
      </c>
      <c r="BN46" s="1007">
        <f t="shared" ref="BN46:BX46" si="110">543848/12</f>
        <v>45320.666666666664</v>
      </c>
      <c r="BO46" s="1007">
        <f t="shared" si="110"/>
        <v>45320.666666666664</v>
      </c>
      <c r="BP46" s="1007">
        <f t="shared" si="110"/>
        <v>45320.666666666664</v>
      </c>
      <c r="BQ46" s="1007">
        <f t="shared" si="110"/>
        <v>45320.666666666664</v>
      </c>
      <c r="BR46" s="1007">
        <f t="shared" si="110"/>
        <v>45320.666666666664</v>
      </c>
      <c r="BS46" s="1007">
        <f t="shared" si="110"/>
        <v>45320.666666666664</v>
      </c>
      <c r="BT46" s="1007">
        <f t="shared" si="110"/>
        <v>45320.666666666664</v>
      </c>
      <c r="BU46" s="1007">
        <f t="shared" si="110"/>
        <v>45320.666666666664</v>
      </c>
      <c r="BV46" s="1007">
        <f t="shared" si="110"/>
        <v>45320.666666666664</v>
      </c>
      <c r="BW46" s="1007">
        <f t="shared" si="110"/>
        <v>45320.666666666664</v>
      </c>
      <c r="BX46" s="1007">
        <f t="shared" si="110"/>
        <v>45320.666666666664</v>
      </c>
      <c r="BY46" s="990">
        <f t="shared" si="66"/>
        <v>543848.00000000012</v>
      </c>
      <c r="BZ46" s="991">
        <f t="shared" si="67"/>
        <v>62689.81216666667</v>
      </c>
      <c r="CA46" s="992">
        <f t="shared" si="67"/>
        <v>62689.81216666667</v>
      </c>
      <c r="CB46" s="992">
        <f t="shared" si="67"/>
        <v>62689.81216666667</v>
      </c>
      <c r="CC46" s="992">
        <f t="shared" si="67"/>
        <v>62689.81216666667</v>
      </c>
      <c r="CD46" s="992">
        <f t="shared" si="67"/>
        <v>62689.81216666667</v>
      </c>
      <c r="CE46" s="992">
        <f t="shared" si="67"/>
        <v>62689.81216666667</v>
      </c>
      <c r="CF46" s="992">
        <f t="shared" si="67"/>
        <v>62689.81216666667</v>
      </c>
      <c r="CG46" s="992">
        <f t="shared" si="67"/>
        <v>62689.81216666667</v>
      </c>
      <c r="CH46" s="992">
        <f t="shared" si="67"/>
        <v>62689.81216666667</v>
      </c>
      <c r="CI46" s="992">
        <f t="shared" si="67"/>
        <v>62689.81216666667</v>
      </c>
      <c r="CJ46" s="992">
        <f t="shared" si="67"/>
        <v>62689.81216666667</v>
      </c>
      <c r="CK46" s="992">
        <f t="shared" si="67"/>
        <v>62689.81216666667</v>
      </c>
      <c r="CL46" s="993">
        <f t="shared" si="68"/>
        <v>752277.74599999981</v>
      </c>
      <c r="CM46" s="1006">
        <f>518777/12</f>
        <v>43231.416666666664</v>
      </c>
      <c r="CN46" s="1007">
        <f t="shared" ref="CN46:CX46" si="111">518777/12</f>
        <v>43231.416666666664</v>
      </c>
      <c r="CO46" s="1007">
        <f t="shared" si="111"/>
        <v>43231.416666666664</v>
      </c>
      <c r="CP46" s="1007">
        <f t="shared" si="111"/>
        <v>43231.416666666664</v>
      </c>
      <c r="CQ46" s="1007">
        <f t="shared" si="111"/>
        <v>43231.416666666664</v>
      </c>
      <c r="CR46" s="1007">
        <f t="shared" si="111"/>
        <v>43231.416666666664</v>
      </c>
      <c r="CS46" s="1007">
        <f t="shared" si="111"/>
        <v>43231.416666666664</v>
      </c>
      <c r="CT46" s="1007">
        <f t="shared" si="111"/>
        <v>43231.416666666664</v>
      </c>
      <c r="CU46" s="1007">
        <f t="shared" si="111"/>
        <v>43231.416666666664</v>
      </c>
      <c r="CV46" s="1007">
        <f t="shared" si="111"/>
        <v>43231.416666666664</v>
      </c>
      <c r="CW46" s="1007">
        <f t="shared" si="111"/>
        <v>43231.416666666664</v>
      </c>
      <c r="CX46" s="1007">
        <f t="shared" si="111"/>
        <v>43231.416666666664</v>
      </c>
      <c r="CY46" s="990">
        <f t="shared" si="69"/>
        <v>518777.00000000006</v>
      </c>
      <c r="CZ46" s="991">
        <f t="shared" si="70"/>
        <v>59799.857104166666</v>
      </c>
      <c r="DA46" s="992">
        <f t="shared" si="70"/>
        <v>59799.857104166666</v>
      </c>
      <c r="DB46" s="992">
        <f t="shared" si="70"/>
        <v>59799.857104166666</v>
      </c>
      <c r="DC46" s="992">
        <f t="shared" si="70"/>
        <v>59799.857104166666</v>
      </c>
      <c r="DD46" s="992">
        <f t="shared" si="70"/>
        <v>59799.857104166666</v>
      </c>
      <c r="DE46" s="992">
        <f t="shared" si="70"/>
        <v>59799.857104166666</v>
      </c>
      <c r="DF46" s="992">
        <f t="shared" si="70"/>
        <v>59799.857104166666</v>
      </c>
      <c r="DG46" s="992">
        <f t="shared" si="70"/>
        <v>59799.857104166666</v>
      </c>
      <c r="DH46" s="992">
        <f t="shared" si="70"/>
        <v>59799.857104166666</v>
      </c>
      <c r="DI46" s="992">
        <f t="shared" si="70"/>
        <v>59799.857104166666</v>
      </c>
      <c r="DJ46" s="992">
        <f t="shared" si="70"/>
        <v>59799.857104166666</v>
      </c>
      <c r="DK46" s="992">
        <f t="shared" si="70"/>
        <v>59799.857104166666</v>
      </c>
      <c r="DL46" s="993">
        <f t="shared" si="50"/>
        <v>717598.28524999984</v>
      </c>
      <c r="DM46" s="1006">
        <f>510162/12</f>
        <v>42513.5</v>
      </c>
      <c r="DN46" s="1007">
        <f t="shared" ref="DN46:DX46" si="112">510162/12</f>
        <v>42513.5</v>
      </c>
      <c r="DO46" s="1007">
        <f t="shared" si="112"/>
        <v>42513.5</v>
      </c>
      <c r="DP46" s="1007">
        <f t="shared" si="112"/>
        <v>42513.5</v>
      </c>
      <c r="DQ46" s="1007">
        <f t="shared" si="112"/>
        <v>42513.5</v>
      </c>
      <c r="DR46" s="1007">
        <f t="shared" si="112"/>
        <v>42513.5</v>
      </c>
      <c r="DS46" s="1007">
        <f t="shared" si="112"/>
        <v>42513.5</v>
      </c>
      <c r="DT46" s="1007">
        <f t="shared" si="112"/>
        <v>42513.5</v>
      </c>
      <c r="DU46" s="1007">
        <f t="shared" si="112"/>
        <v>42513.5</v>
      </c>
      <c r="DV46" s="1007">
        <f t="shared" si="112"/>
        <v>42513.5</v>
      </c>
      <c r="DW46" s="1007">
        <f t="shared" si="112"/>
        <v>42513.5</v>
      </c>
      <c r="DX46" s="1007">
        <f t="shared" si="112"/>
        <v>42513.5</v>
      </c>
      <c r="DY46" s="990">
        <f t="shared" si="71"/>
        <v>510162</v>
      </c>
      <c r="DZ46" s="991">
        <f t="shared" si="72"/>
        <v>58806.798875</v>
      </c>
      <c r="EA46" s="992">
        <f t="shared" si="72"/>
        <v>58806.798875</v>
      </c>
      <c r="EB46" s="992">
        <f t="shared" si="72"/>
        <v>58806.798875</v>
      </c>
      <c r="EC46" s="992">
        <f t="shared" si="72"/>
        <v>58806.798875</v>
      </c>
      <c r="ED46" s="992">
        <f t="shared" si="72"/>
        <v>58806.798875</v>
      </c>
      <c r="EE46" s="992">
        <f t="shared" si="72"/>
        <v>58806.798875</v>
      </c>
      <c r="EF46" s="992">
        <f t="shared" si="72"/>
        <v>58806.798875</v>
      </c>
      <c r="EG46" s="992">
        <f t="shared" si="72"/>
        <v>58806.798875</v>
      </c>
      <c r="EH46" s="992">
        <f t="shared" si="72"/>
        <v>58806.798875</v>
      </c>
      <c r="EI46" s="992">
        <f t="shared" si="72"/>
        <v>58806.798875</v>
      </c>
      <c r="EJ46" s="992">
        <f t="shared" si="72"/>
        <v>58806.798875</v>
      </c>
      <c r="EK46" s="992">
        <f t="shared" si="72"/>
        <v>58806.798875</v>
      </c>
      <c r="EL46" s="993">
        <f t="shared" si="52"/>
        <v>705681.58649999986</v>
      </c>
    </row>
    <row r="47" spans="1:142" s="1010" customFormat="1">
      <c r="A47" s="997" t="s">
        <v>668</v>
      </c>
      <c r="B47" s="904" t="s">
        <v>673</v>
      </c>
      <c r="C47" s="998"/>
      <c r="D47" s="980"/>
      <c r="E47" s="999"/>
      <c r="F47" s="999"/>
      <c r="G47" s="1000">
        <v>1.3832500000000001</v>
      </c>
      <c r="H47" s="980">
        <v>1.68</v>
      </c>
      <c r="I47" s="999">
        <v>1.3832500000000001</v>
      </c>
      <c r="J47" s="999">
        <v>1.3832500000000001</v>
      </c>
      <c r="K47" s="1001">
        <v>1.3832500000000001</v>
      </c>
      <c r="L47" s="1002"/>
      <c r="M47" s="1003"/>
      <c r="N47" s="1004"/>
      <c r="O47" s="1004"/>
      <c r="P47" s="1004"/>
      <c r="Q47" s="1004"/>
      <c r="R47" s="1004"/>
      <c r="S47" s="1004"/>
      <c r="T47" s="1004"/>
      <c r="U47" s="1004"/>
      <c r="V47" s="1004"/>
      <c r="W47" s="1004"/>
      <c r="X47" s="1004"/>
      <c r="Y47" s="1005">
        <f t="shared" si="58"/>
        <v>0</v>
      </c>
      <c r="Z47" s="991"/>
      <c r="AA47" s="992"/>
      <c r="AB47" s="992"/>
      <c r="AC47" s="992"/>
      <c r="AD47" s="248">
        <v>0</v>
      </c>
      <c r="AE47" s="992"/>
      <c r="AF47" s="992"/>
      <c r="AG47" s="992"/>
      <c r="AH47" s="992"/>
      <c r="AI47" s="992">
        <f t="shared" si="61"/>
        <v>0</v>
      </c>
      <c r="AJ47" s="992">
        <f t="shared" si="61"/>
        <v>0</v>
      </c>
      <c r="AK47" s="992">
        <f t="shared" si="61"/>
        <v>0</v>
      </c>
      <c r="AL47" s="993">
        <f t="shared" si="62"/>
        <v>0</v>
      </c>
      <c r="AM47" s="1006"/>
      <c r="AN47" s="1007"/>
      <c r="AO47" s="1007"/>
      <c r="AP47" s="1007"/>
      <c r="AQ47" s="1007"/>
      <c r="AR47" s="1007"/>
      <c r="AS47" s="1007">
        <f t="shared" ref="AS47:AX47" si="113">755105/12</f>
        <v>62925.416666666664</v>
      </c>
      <c r="AT47" s="1007">
        <f t="shared" si="113"/>
        <v>62925.416666666664</v>
      </c>
      <c r="AU47" s="1007">
        <f t="shared" si="113"/>
        <v>62925.416666666664</v>
      </c>
      <c r="AV47" s="1007">
        <f t="shared" si="113"/>
        <v>62925.416666666664</v>
      </c>
      <c r="AW47" s="1007">
        <f t="shared" si="113"/>
        <v>62925.416666666664</v>
      </c>
      <c r="AX47" s="1007">
        <f t="shared" si="113"/>
        <v>62925.416666666664</v>
      </c>
      <c r="AY47" s="990">
        <f t="shared" si="64"/>
        <v>377552.5</v>
      </c>
      <c r="AZ47" s="991">
        <f t="shared" si="65"/>
        <v>0</v>
      </c>
      <c r="BA47" s="992">
        <f t="shared" si="65"/>
        <v>0</v>
      </c>
      <c r="BB47" s="992">
        <f t="shared" si="65"/>
        <v>0</v>
      </c>
      <c r="BC47" s="992">
        <f t="shared" si="65"/>
        <v>0</v>
      </c>
      <c r="BD47" s="992">
        <f t="shared" si="65"/>
        <v>0</v>
      </c>
      <c r="BE47" s="992">
        <f t="shared" si="65"/>
        <v>0</v>
      </c>
      <c r="BF47" s="992">
        <f t="shared" si="65"/>
        <v>105714.7</v>
      </c>
      <c r="BG47" s="992">
        <f t="shared" si="65"/>
        <v>105714.7</v>
      </c>
      <c r="BH47" s="992">
        <f t="shared" si="65"/>
        <v>105714.7</v>
      </c>
      <c r="BI47" s="992">
        <f t="shared" si="65"/>
        <v>105714.7</v>
      </c>
      <c r="BJ47" s="992">
        <f t="shared" si="65"/>
        <v>105714.7</v>
      </c>
      <c r="BK47" s="992">
        <f t="shared" si="65"/>
        <v>105714.7</v>
      </c>
      <c r="BL47" s="993">
        <f t="shared" si="47"/>
        <v>634288.19999999995</v>
      </c>
      <c r="BM47" s="1006">
        <f>418486/12</f>
        <v>34873.833333333336</v>
      </c>
      <c r="BN47" s="1007">
        <f t="shared" ref="BN47:BX47" si="114">418486/12</f>
        <v>34873.833333333336</v>
      </c>
      <c r="BO47" s="1007">
        <f t="shared" si="114"/>
        <v>34873.833333333336</v>
      </c>
      <c r="BP47" s="1007">
        <f t="shared" si="114"/>
        <v>34873.833333333336</v>
      </c>
      <c r="BQ47" s="1007">
        <f t="shared" si="114"/>
        <v>34873.833333333336</v>
      </c>
      <c r="BR47" s="1007">
        <f t="shared" si="114"/>
        <v>34873.833333333336</v>
      </c>
      <c r="BS47" s="1007">
        <f t="shared" si="114"/>
        <v>34873.833333333336</v>
      </c>
      <c r="BT47" s="1007">
        <f t="shared" si="114"/>
        <v>34873.833333333336</v>
      </c>
      <c r="BU47" s="1007">
        <f t="shared" si="114"/>
        <v>34873.833333333336</v>
      </c>
      <c r="BV47" s="1007">
        <f t="shared" si="114"/>
        <v>34873.833333333336</v>
      </c>
      <c r="BW47" s="1007">
        <f t="shared" si="114"/>
        <v>34873.833333333336</v>
      </c>
      <c r="BX47" s="1007">
        <f t="shared" si="114"/>
        <v>34873.833333333336</v>
      </c>
      <c r="BY47" s="990">
        <f t="shared" si="66"/>
        <v>418485.99999999994</v>
      </c>
      <c r="BZ47" s="991">
        <f t="shared" si="67"/>
        <v>48239.229958333337</v>
      </c>
      <c r="CA47" s="992">
        <f t="shared" si="67"/>
        <v>48239.229958333337</v>
      </c>
      <c r="CB47" s="992">
        <f t="shared" si="67"/>
        <v>48239.229958333337</v>
      </c>
      <c r="CC47" s="992">
        <f t="shared" si="67"/>
        <v>48239.229958333337</v>
      </c>
      <c r="CD47" s="992">
        <f t="shared" si="67"/>
        <v>48239.229958333337</v>
      </c>
      <c r="CE47" s="992">
        <f t="shared" si="67"/>
        <v>48239.229958333337</v>
      </c>
      <c r="CF47" s="992">
        <f t="shared" si="67"/>
        <v>48239.229958333337</v>
      </c>
      <c r="CG47" s="992">
        <f t="shared" si="67"/>
        <v>48239.229958333337</v>
      </c>
      <c r="CH47" s="992">
        <f t="shared" si="67"/>
        <v>48239.229958333337</v>
      </c>
      <c r="CI47" s="992">
        <f t="shared" si="67"/>
        <v>48239.229958333337</v>
      </c>
      <c r="CJ47" s="992">
        <f t="shared" si="67"/>
        <v>48239.229958333337</v>
      </c>
      <c r="CK47" s="992">
        <f t="shared" si="67"/>
        <v>48239.229958333337</v>
      </c>
      <c r="CL47" s="993">
        <f t="shared" si="68"/>
        <v>578870.75949999993</v>
      </c>
      <c r="CM47" s="1006">
        <f>136314/12</f>
        <v>11359.5</v>
      </c>
      <c r="CN47" s="1007">
        <f t="shared" ref="CN47:CX47" si="115">136314/12</f>
        <v>11359.5</v>
      </c>
      <c r="CO47" s="1007">
        <f t="shared" si="115"/>
        <v>11359.5</v>
      </c>
      <c r="CP47" s="1007">
        <f t="shared" si="115"/>
        <v>11359.5</v>
      </c>
      <c r="CQ47" s="1007">
        <f t="shared" si="115"/>
        <v>11359.5</v>
      </c>
      <c r="CR47" s="1007">
        <f t="shared" si="115"/>
        <v>11359.5</v>
      </c>
      <c r="CS47" s="1007">
        <f t="shared" si="115"/>
        <v>11359.5</v>
      </c>
      <c r="CT47" s="1007">
        <f t="shared" si="115"/>
        <v>11359.5</v>
      </c>
      <c r="CU47" s="1007">
        <f t="shared" si="115"/>
        <v>11359.5</v>
      </c>
      <c r="CV47" s="1007">
        <f t="shared" si="115"/>
        <v>11359.5</v>
      </c>
      <c r="CW47" s="1007">
        <f t="shared" si="115"/>
        <v>11359.5</v>
      </c>
      <c r="CX47" s="1007">
        <f t="shared" si="115"/>
        <v>11359.5</v>
      </c>
      <c r="CY47" s="990">
        <f t="shared" si="69"/>
        <v>136314</v>
      </c>
      <c r="CZ47" s="991">
        <f t="shared" si="70"/>
        <v>15713.028375000002</v>
      </c>
      <c r="DA47" s="992">
        <f t="shared" si="70"/>
        <v>15713.028375000002</v>
      </c>
      <c r="DB47" s="992">
        <f t="shared" si="70"/>
        <v>15713.028375000002</v>
      </c>
      <c r="DC47" s="992">
        <f t="shared" si="70"/>
        <v>15713.028375000002</v>
      </c>
      <c r="DD47" s="992">
        <f t="shared" si="70"/>
        <v>15713.028375000002</v>
      </c>
      <c r="DE47" s="992">
        <f t="shared" si="70"/>
        <v>15713.028375000002</v>
      </c>
      <c r="DF47" s="992">
        <f t="shared" si="70"/>
        <v>15713.028375000002</v>
      </c>
      <c r="DG47" s="992">
        <f t="shared" si="70"/>
        <v>15713.028375000002</v>
      </c>
      <c r="DH47" s="992">
        <f t="shared" si="70"/>
        <v>15713.028375000002</v>
      </c>
      <c r="DI47" s="992">
        <f t="shared" si="70"/>
        <v>15713.028375000002</v>
      </c>
      <c r="DJ47" s="992">
        <f t="shared" si="70"/>
        <v>15713.028375000002</v>
      </c>
      <c r="DK47" s="992">
        <f t="shared" si="70"/>
        <v>15713.028375000002</v>
      </c>
      <c r="DL47" s="993">
        <f t="shared" si="50"/>
        <v>188556.34049999996</v>
      </c>
      <c r="DM47" s="1006">
        <f>136314/12</f>
        <v>11359.5</v>
      </c>
      <c r="DN47" s="1007">
        <f t="shared" ref="DN47:DX47" si="116">136314/12</f>
        <v>11359.5</v>
      </c>
      <c r="DO47" s="1007">
        <f t="shared" si="116"/>
        <v>11359.5</v>
      </c>
      <c r="DP47" s="1007">
        <f t="shared" si="116"/>
        <v>11359.5</v>
      </c>
      <c r="DQ47" s="1007">
        <f t="shared" si="116"/>
        <v>11359.5</v>
      </c>
      <c r="DR47" s="1007">
        <f t="shared" si="116"/>
        <v>11359.5</v>
      </c>
      <c r="DS47" s="1007">
        <f t="shared" si="116"/>
        <v>11359.5</v>
      </c>
      <c r="DT47" s="1007">
        <f t="shared" si="116"/>
        <v>11359.5</v>
      </c>
      <c r="DU47" s="1007">
        <f t="shared" si="116"/>
        <v>11359.5</v>
      </c>
      <c r="DV47" s="1007">
        <f t="shared" si="116"/>
        <v>11359.5</v>
      </c>
      <c r="DW47" s="1007">
        <f t="shared" si="116"/>
        <v>11359.5</v>
      </c>
      <c r="DX47" s="1007">
        <f t="shared" si="116"/>
        <v>11359.5</v>
      </c>
      <c r="DY47" s="990">
        <f t="shared" si="71"/>
        <v>136314</v>
      </c>
      <c r="DZ47" s="991">
        <f t="shared" si="72"/>
        <v>15713.028375000002</v>
      </c>
      <c r="EA47" s="992">
        <f t="shared" si="72"/>
        <v>15713.028375000002</v>
      </c>
      <c r="EB47" s="992">
        <f t="shared" si="72"/>
        <v>15713.028375000002</v>
      </c>
      <c r="EC47" s="992">
        <f t="shared" si="72"/>
        <v>15713.028375000002</v>
      </c>
      <c r="ED47" s="992">
        <f t="shared" si="72"/>
        <v>15713.028375000002</v>
      </c>
      <c r="EE47" s="992">
        <f t="shared" si="72"/>
        <v>15713.028375000002</v>
      </c>
      <c r="EF47" s="992">
        <f t="shared" si="72"/>
        <v>15713.028375000002</v>
      </c>
      <c r="EG47" s="992">
        <f t="shared" si="72"/>
        <v>15713.028375000002</v>
      </c>
      <c r="EH47" s="992">
        <f t="shared" si="72"/>
        <v>15713.028375000002</v>
      </c>
      <c r="EI47" s="992">
        <f t="shared" si="72"/>
        <v>15713.028375000002</v>
      </c>
      <c r="EJ47" s="992">
        <f t="shared" si="72"/>
        <v>15713.028375000002</v>
      </c>
      <c r="EK47" s="992">
        <f t="shared" si="72"/>
        <v>15713.028375000002</v>
      </c>
      <c r="EL47" s="993">
        <f t="shared" si="52"/>
        <v>188556.34049999996</v>
      </c>
    </row>
    <row r="48" spans="1:142">
      <c r="A48" s="964" t="s">
        <v>668</v>
      </c>
      <c r="B48" s="896" t="s">
        <v>674</v>
      </c>
      <c r="C48" s="995" t="s">
        <v>257</v>
      </c>
      <c r="D48" s="549">
        <v>3.44</v>
      </c>
      <c r="E48" s="544">
        <v>3.4289690260740144</v>
      </c>
      <c r="F48" s="544">
        <v>3.4500748182121415</v>
      </c>
      <c r="G48" s="545">
        <v>3.45</v>
      </c>
      <c r="H48" s="549">
        <f t="shared" si="73"/>
        <v>3.45</v>
      </c>
      <c r="I48" s="544">
        <f t="shared" si="73"/>
        <v>3.45</v>
      </c>
      <c r="J48" s="544">
        <f t="shared" si="73"/>
        <v>3.45</v>
      </c>
      <c r="K48" s="906">
        <f t="shared" si="73"/>
        <v>3.45</v>
      </c>
      <c r="L48" s="875"/>
      <c r="M48" s="554">
        <v>14947</v>
      </c>
      <c r="N48" s="552">
        <v>28890</v>
      </c>
      <c r="O48" s="552">
        <v>56160</v>
      </c>
      <c r="P48" s="552">
        <v>52596</v>
      </c>
      <c r="Q48" s="552">
        <v>80652</v>
      </c>
      <c r="R48" s="552">
        <v>68340</v>
      </c>
      <c r="S48" s="552">
        <f>67229-2000</f>
        <v>65229</v>
      </c>
      <c r="T48" s="552">
        <v>79000</v>
      </c>
      <c r="U48" s="552">
        <v>79000</v>
      </c>
      <c r="V48" s="552">
        <v>79000</v>
      </c>
      <c r="W48" s="552">
        <v>79000</v>
      </c>
      <c r="X48" s="552">
        <v>79000</v>
      </c>
      <c r="Y48" s="876">
        <f t="shared" si="58"/>
        <v>761814</v>
      </c>
      <c r="Z48" s="877">
        <v>51417.68</v>
      </c>
      <c r="AA48" s="248">
        <v>99381.599999999991</v>
      </c>
      <c r="AB48" s="248">
        <v>193190.39999999999</v>
      </c>
      <c r="AC48" s="248">
        <v>180930.24</v>
      </c>
      <c r="AD48" s="248">
        <f>275868.66+1025</f>
        <v>276893.65999999997</v>
      </c>
      <c r="AE48" s="248">
        <v>234406.2</v>
      </c>
      <c r="AF48" s="248">
        <f t="shared" ref="AF48:AH59" si="117">S48*$F48</f>
        <v>225044.93031715977</v>
      </c>
      <c r="AG48" s="248">
        <f t="shared" si="117"/>
        <v>272555.9106387592</v>
      </c>
      <c r="AH48" s="248">
        <f t="shared" si="117"/>
        <v>272555.9106387592</v>
      </c>
      <c r="AI48" s="248">
        <f t="shared" si="61"/>
        <v>272550</v>
      </c>
      <c r="AJ48" s="248">
        <f t="shared" si="61"/>
        <v>272550</v>
      </c>
      <c r="AK48" s="248">
        <f t="shared" si="61"/>
        <v>272550</v>
      </c>
      <c r="AL48" s="878">
        <f t="shared" si="62"/>
        <v>2624026.5315946778</v>
      </c>
      <c r="AM48" s="996">
        <f>579320/12</f>
        <v>48276.666666666664</v>
      </c>
      <c r="AN48" s="994">
        <f t="shared" ref="AN48:AX48" si="118">579320/12</f>
        <v>48276.666666666664</v>
      </c>
      <c r="AO48" s="994">
        <f t="shared" si="118"/>
        <v>48276.666666666664</v>
      </c>
      <c r="AP48" s="994">
        <f t="shared" si="118"/>
        <v>48276.666666666664</v>
      </c>
      <c r="AQ48" s="994">
        <f t="shared" si="118"/>
        <v>48276.666666666664</v>
      </c>
      <c r="AR48" s="994">
        <f t="shared" si="118"/>
        <v>48276.666666666664</v>
      </c>
      <c r="AS48" s="994">
        <f t="shared" si="118"/>
        <v>48276.666666666664</v>
      </c>
      <c r="AT48" s="994">
        <f t="shared" si="118"/>
        <v>48276.666666666664</v>
      </c>
      <c r="AU48" s="994">
        <f t="shared" si="118"/>
        <v>48276.666666666664</v>
      </c>
      <c r="AV48" s="994">
        <f t="shared" si="118"/>
        <v>48276.666666666664</v>
      </c>
      <c r="AW48" s="994">
        <f t="shared" si="118"/>
        <v>48276.666666666664</v>
      </c>
      <c r="AX48" s="994">
        <f t="shared" si="118"/>
        <v>48276.666666666664</v>
      </c>
      <c r="AY48" s="977">
        <f t="shared" si="64"/>
        <v>579320</v>
      </c>
      <c r="AZ48" s="877">
        <f t="shared" si="65"/>
        <v>166554.5</v>
      </c>
      <c r="BA48" s="248">
        <f t="shared" si="65"/>
        <v>166554.5</v>
      </c>
      <c r="BB48" s="248">
        <f t="shared" si="65"/>
        <v>166554.5</v>
      </c>
      <c r="BC48" s="248">
        <f t="shared" si="65"/>
        <v>166554.5</v>
      </c>
      <c r="BD48" s="248">
        <f t="shared" si="65"/>
        <v>166554.5</v>
      </c>
      <c r="BE48" s="248">
        <f t="shared" si="65"/>
        <v>166554.5</v>
      </c>
      <c r="BF48" s="248">
        <f t="shared" si="65"/>
        <v>166554.5</v>
      </c>
      <c r="BG48" s="248">
        <f t="shared" si="65"/>
        <v>166554.5</v>
      </c>
      <c r="BH48" s="248">
        <f t="shared" si="65"/>
        <v>166554.5</v>
      </c>
      <c r="BI48" s="248">
        <f t="shared" si="65"/>
        <v>166554.5</v>
      </c>
      <c r="BJ48" s="248">
        <f t="shared" si="65"/>
        <v>166554.5</v>
      </c>
      <c r="BK48" s="248">
        <f t="shared" si="65"/>
        <v>166554.5</v>
      </c>
      <c r="BL48" s="878">
        <f t="shared" si="47"/>
        <v>1998654</v>
      </c>
      <c r="BM48" s="996">
        <f>424400/12</f>
        <v>35366.666666666664</v>
      </c>
      <c r="BN48" s="994">
        <f t="shared" ref="BN48:BX48" si="119">424400/12</f>
        <v>35366.666666666664</v>
      </c>
      <c r="BO48" s="994">
        <f t="shared" si="119"/>
        <v>35366.666666666664</v>
      </c>
      <c r="BP48" s="994">
        <f t="shared" si="119"/>
        <v>35366.666666666664</v>
      </c>
      <c r="BQ48" s="994">
        <f t="shared" si="119"/>
        <v>35366.666666666664</v>
      </c>
      <c r="BR48" s="994">
        <f t="shared" si="119"/>
        <v>35366.666666666664</v>
      </c>
      <c r="BS48" s="994">
        <f t="shared" si="119"/>
        <v>35366.666666666664</v>
      </c>
      <c r="BT48" s="994">
        <f t="shared" si="119"/>
        <v>35366.666666666664</v>
      </c>
      <c r="BU48" s="994">
        <f t="shared" si="119"/>
        <v>35366.666666666664</v>
      </c>
      <c r="BV48" s="994">
        <f t="shared" si="119"/>
        <v>35366.666666666664</v>
      </c>
      <c r="BW48" s="994">
        <f t="shared" si="119"/>
        <v>35366.666666666664</v>
      </c>
      <c r="BX48" s="994">
        <f t="shared" si="119"/>
        <v>35366.666666666664</v>
      </c>
      <c r="BY48" s="977">
        <f t="shared" si="66"/>
        <v>424400.00000000006</v>
      </c>
      <c r="BZ48" s="877">
        <f t="shared" si="67"/>
        <v>122015</v>
      </c>
      <c r="CA48" s="248">
        <f t="shared" si="67"/>
        <v>122015</v>
      </c>
      <c r="CB48" s="248">
        <f t="shared" si="67"/>
        <v>122015</v>
      </c>
      <c r="CC48" s="248">
        <f t="shared" si="67"/>
        <v>122015</v>
      </c>
      <c r="CD48" s="248">
        <f t="shared" si="67"/>
        <v>122015</v>
      </c>
      <c r="CE48" s="248">
        <f t="shared" si="67"/>
        <v>122015</v>
      </c>
      <c r="CF48" s="248">
        <f t="shared" si="67"/>
        <v>122015</v>
      </c>
      <c r="CG48" s="248">
        <f t="shared" si="67"/>
        <v>122015</v>
      </c>
      <c r="CH48" s="248">
        <f t="shared" si="67"/>
        <v>122015</v>
      </c>
      <c r="CI48" s="248">
        <f t="shared" si="67"/>
        <v>122015</v>
      </c>
      <c r="CJ48" s="248">
        <f t="shared" si="67"/>
        <v>122015</v>
      </c>
      <c r="CK48" s="248">
        <f t="shared" si="67"/>
        <v>122015</v>
      </c>
      <c r="CL48" s="878">
        <f t="shared" si="68"/>
        <v>1464180</v>
      </c>
      <c r="CM48" s="996">
        <f>271610/12</f>
        <v>22634.166666666668</v>
      </c>
      <c r="CN48" s="994">
        <f t="shared" ref="CN48:CX48" si="120">271610/12</f>
        <v>22634.166666666668</v>
      </c>
      <c r="CO48" s="994">
        <f t="shared" si="120"/>
        <v>22634.166666666668</v>
      </c>
      <c r="CP48" s="994">
        <f t="shared" si="120"/>
        <v>22634.166666666668</v>
      </c>
      <c r="CQ48" s="994">
        <f t="shared" si="120"/>
        <v>22634.166666666668</v>
      </c>
      <c r="CR48" s="994">
        <f t="shared" si="120"/>
        <v>22634.166666666668</v>
      </c>
      <c r="CS48" s="994">
        <f t="shared" si="120"/>
        <v>22634.166666666668</v>
      </c>
      <c r="CT48" s="994">
        <f t="shared" si="120"/>
        <v>22634.166666666668</v>
      </c>
      <c r="CU48" s="994">
        <f t="shared" si="120"/>
        <v>22634.166666666668</v>
      </c>
      <c r="CV48" s="994">
        <f t="shared" si="120"/>
        <v>22634.166666666668</v>
      </c>
      <c r="CW48" s="994">
        <f t="shared" si="120"/>
        <v>22634.166666666668</v>
      </c>
      <c r="CX48" s="994">
        <f t="shared" si="120"/>
        <v>22634.166666666668</v>
      </c>
      <c r="CY48" s="977">
        <f t="shared" si="69"/>
        <v>271609.99999999994</v>
      </c>
      <c r="CZ48" s="877">
        <f t="shared" si="70"/>
        <v>78087.875000000015</v>
      </c>
      <c r="DA48" s="248">
        <f t="shared" si="70"/>
        <v>78087.875000000015</v>
      </c>
      <c r="DB48" s="248">
        <f t="shared" si="70"/>
        <v>78087.875000000015</v>
      </c>
      <c r="DC48" s="248">
        <f t="shared" si="70"/>
        <v>78087.875000000015</v>
      </c>
      <c r="DD48" s="248">
        <f t="shared" si="70"/>
        <v>78087.875000000015</v>
      </c>
      <c r="DE48" s="248">
        <f t="shared" si="70"/>
        <v>78087.875000000015</v>
      </c>
      <c r="DF48" s="248">
        <f t="shared" si="70"/>
        <v>78087.875000000015</v>
      </c>
      <c r="DG48" s="248">
        <f t="shared" si="70"/>
        <v>78087.875000000015</v>
      </c>
      <c r="DH48" s="248">
        <f t="shared" si="70"/>
        <v>78087.875000000015</v>
      </c>
      <c r="DI48" s="248">
        <f t="shared" si="70"/>
        <v>78087.875000000015</v>
      </c>
      <c r="DJ48" s="248">
        <f t="shared" si="70"/>
        <v>78087.875000000015</v>
      </c>
      <c r="DK48" s="248">
        <f t="shared" si="70"/>
        <v>78087.875000000015</v>
      </c>
      <c r="DL48" s="878">
        <f t="shared" si="50"/>
        <v>937054.50000000012</v>
      </c>
      <c r="DM48" s="996">
        <f>215320/12</f>
        <v>17943.333333333332</v>
      </c>
      <c r="DN48" s="994">
        <f t="shared" ref="DN48:DX48" si="121">215320/12</f>
        <v>17943.333333333332</v>
      </c>
      <c r="DO48" s="994">
        <f t="shared" si="121"/>
        <v>17943.333333333332</v>
      </c>
      <c r="DP48" s="994">
        <f t="shared" si="121"/>
        <v>17943.333333333332</v>
      </c>
      <c r="DQ48" s="994">
        <f t="shared" si="121"/>
        <v>17943.333333333332</v>
      </c>
      <c r="DR48" s="994">
        <f t="shared" si="121"/>
        <v>17943.333333333332</v>
      </c>
      <c r="DS48" s="994">
        <f t="shared" si="121"/>
        <v>17943.333333333332</v>
      </c>
      <c r="DT48" s="994">
        <f t="shared" si="121"/>
        <v>17943.333333333332</v>
      </c>
      <c r="DU48" s="994">
        <f t="shared" si="121"/>
        <v>17943.333333333332</v>
      </c>
      <c r="DV48" s="994">
        <f t="shared" si="121"/>
        <v>17943.333333333332</v>
      </c>
      <c r="DW48" s="994">
        <f t="shared" si="121"/>
        <v>17943.333333333332</v>
      </c>
      <c r="DX48" s="994">
        <f t="shared" si="121"/>
        <v>17943.333333333332</v>
      </c>
      <c r="DY48" s="977">
        <f t="shared" si="71"/>
        <v>215320.00000000003</v>
      </c>
      <c r="DZ48" s="877">
        <f t="shared" si="72"/>
        <v>61904.5</v>
      </c>
      <c r="EA48" s="248">
        <f t="shared" si="72"/>
        <v>61904.5</v>
      </c>
      <c r="EB48" s="248">
        <f t="shared" si="72"/>
        <v>61904.5</v>
      </c>
      <c r="EC48" s="248">
        <f t="shared" si="72"/>
        <v>61904.5</v>
      </c>
      <c r="ED48" s="248">
        <f t="shared" si="72"/>
        <v>61904.5</v>
      </c>
      <c r="EE48" s="248">
        <f t="shared" si="72"/>
        <v>61904.5</v>
      </c>
      <c r="EF48" s="248">
        <f t="shared" si="72"/>
        <v>61904.5</v>
      </c>
      <c r="EG48" s="248">
        <f t="shared" si="72"/>
        <v>61904.5</v>
      </c>
      <c r="EH48" s="248">
        <f t="shared" si="72"/>
        <v>61904.5</v>
      </c>
      <c r="EI48" s="248">
        <f t="shared" si="72"/>
        <v>61904.5</v>
      </c>
      <c r="EJ48" s="248">
        <f t="shared" si="72"/>
        <v>61904.5</v>
      </c>
      <c r="EK48" s="248">
        <f t="shared" si="72"/>
        <v>61904.5</v>
      </c>
      <c r="EL48" s="878">
        <f t="shared" si="52"/>
        <v>742854</v>
      </c>
    </row>
    <row r="49" spans="1:142">
      <c r="A49" s="964" t="s">
        <v>668</v>
      </c>
      <c r="B49" s="896" t="s">
        <v>675</v>
      </c>
      <c r="C49" s="995" t="s">
        <v>258</v>
      </c>
      <c r="D49" s="549">
        <v>1.35</v>
      </c>
      <c r="E49" s="544">
        <v>1.3760477718424213</v>
      </c>
      <c r="F49" s="544">
        <v>1.3763461932955305</v>
      </c>
      <c r="G49" s="545">
        <v>1.35</v>
      </c>
      <c r="H49" s="549">
        <f t="shared" si="73"/>
        <v>1.35</v>
      </c>
      <c r="I49" s="544">
        <f t="shared" si="73"/>
        <v>1.35</v>
      </c>
      <c r="J49" s="544">
        <f t="shared" si="73"/>
        <v>1.35</v>
      </c>
      <c r="K49" s="906">
        <f t="shared" si="73"/>
        <v>1.35</v>
      </c>
      <c r="L49" s="875"/>
      <c r="M49" s="554">
        <v>12626</v>
      </c>
      <c r="N49" s="552">
        <v>300</v>
      </c>
      <c r="O49" s="552">
        <v>22920</v>
      </c>
      <c r="P49" s="552">
        <v>0</v>
      </c>
      <c r="Q49" s="552">
        <v>23520</v>
      </c>
      <c r="R49" s="552">
        <v>23520</v>
      </c>
      <c r="S49" s="552">
        <v>23520</v>
      </c>
      <c r="T49" s="552">
        <v>16000</v>
      </c>
      <c r="U49" s="552">
        <v>16000</v>
      </c>
      <c r="V49" s="552">
        <v>16000</v>
      </c>
      <c r="W49" s="552">
        <v>15000</v>
      </c>
      <c r="X49" s="552">
        <v>14000</v>
      </c>
      <c r="Y49" s="876">
        <f t="shared" si="58"/>
        <v>183406</v>
      </c>
      <c r="Z49" s="877">
        <v>17045.100000000002</v>
      </c>
      <c r="AA49" s="248">
        <v>405</v>
      </c>
      <c r="AB49" s="248">
        <f>+O49*D49</f>
        <v>30942.000000000004</v>
      </c>
      <c r="AC49" s="248">
        <f t="shared" ref="AC49:AE59" si="122">P49*$E49</f>
        <v>0</v>
      </c>
      <c r="AD49" s="248">
        <v>31516.799999999999</v>
      </c>
      <c r="AE49" s="248">
        <v>32213.4</v>
      </c>
      <c r="AF49" s="248">
        <f>S49*1.37</f>
        <v>32222.400000000001</v>
      </c>
      <c r="AG49" s="248">
        <f t="shared" si="117"/>
        <v>22021.53909272849</v>
      </c>
      <c r="AH49" s="248">
        <f t="shared" si="117"/>
        <v>22021.53909272849</v>
      </c>
      <c r="AI49" s="248">
        <f t="shared" si="61"/>
        <v>21600</v>
      </c>
      <c r="AJ49" s="248">
        <f t="shared" si="61"/>
        <v>20250</v>
      </c>
      <c r="AK49" s="248">
        <f t="shared" si="61"/>
        <v>18900</v>
      </c>
      <c r="AL49" s="878">
        <f t="shared" si="62"/>
        <v>249137.77818545699</v>
      </c>
      <c r="AM49" s="996">
        <f>190000/12</f>
        <v>15833.333333333334</v>
      </c>
      <c r="AN49" s="994">
        <f t="shared" ref="AN49:AX49" si="123">190000/12</f>
        <v>15833.333333333334</v>
      </c>
      <c r="AO49" s="994">
        <f t="shared" si="123"/>
        <v>15833.333333333334</v>
      </c>
      <c r="AP49" s="994">
        <f t="shared" si="123"/>
        <v>15833.333333333334</v>
      </c>
      <c r="AQ49" s="994">
        <f t="shared" si="123"/>
        <v>15833.333333333334</v>
      </c>
      <c r="AR49" s="994">
        <f t="shared" si="123"/>
        <v>15833.333333333334</v>
      </c>
      <c r="AS49" s="994">
        <f t="shared" si="123"/>
        <v>15833.333333333334</v>
      </c>
      <c r="AT49" s="994">
        <f t="shared" si="123"/>
        <v>15833.333333333334</v>
      </c>
      <c r="AU49" s="994">
        <f t="shared" si="123"/>
        <v>15833.333333333334</v>
      </c>
      <c r="AV49" s="994">
        <f t="shared" si="123"/>
        <v>15833.333333333334</v>
      </c>
      <c r="AW49" s="994">
        <f t="shared" si="123"/>
        <v>15833.333333333334</v>
      </c>
      <c r="AX49" s="994">
        <f t="shared" si="123"/>
        <v>15833.333333333334</v>
      </c>
      <c r="AY49" s="977">
        <f t="shared" si="64"/>
        <v>190000.00000000003</v>
      </c>
      <c r="AZ49" s="877">
        <f t="shared" si="65"/>
        <v>21375.000000000004</v>
      </c>
      <c r="BA49" s="248">
        <f t="shared" si="65"/>
        <v>21375.000000000004</v>
      </c>
      <c r="BB49" s="248">
        <f t="shared" si="65"/>
        <v>21375.000000000004</v>
      </c>
      <c r="BC49" s="248">
        <f t="shared" si="65"/>
        <v>21375.000000000004</v>
      </c>
      <c r="BD49" s="248">
        <f t="shared" si="65"/>
        <v>21375.000000000004</v>
      </c>
      <c r="BE49" s="248">
        <f t="shared" si="65"/>
        <v>21375.000000000004</v>
      </c>
      <c r="BF49" s="248">
        <f t="shared" si="65"/>
        <v>21375.000000000004</v>
      </c>
      <c r="BG49" s="248">
        <f t="shared" si="65"/>
        <v>21375.000000000004</v>
      </c>
      <c r="BH49" s="248">
        <f t="shared" si="65"/>
        <v>21375.000000000004</v>
      </c>
      <c r="BI49" s="248">
        <f t="shared" si="65"/>
        <v>21375.000000000004</v>
      </c>
      <c r="BJ49" s="248">
        <f t="shared" si="65"/>
        <v>21375.000000000004</v>
      </c>
      <c r="BK49" s="248">
        <f t="shared" si="65"/>
        <v>21375.000000000004</v>
      </c>
      <c r="BL49" s="878">
        <f t="shared" si="47"/>
        <v>256500.00000000003</v>
      </c>
      <c r="BM49" s="996">
        <f>190000/12</f>
        <v>15833.333333333334</v>
      </c>
      <c r="BN49" s="994">
        <f t="shared" ref="BN49:BX49" si="124">190000/12</f>
        <v>15833.333333333334</v>
      </c>
      <c r="BO49" s="994">
        <f t="shared" si="124"/>
        <v>15833.333333333334</v>
      </c>
      <c r="BP49" s="994">
        <f t="shared" si="124"/>
        <v>15833.333333333334</v>
      </c>
      <c r="BQ49" s="994">
        <f t="shared" si="124"/>
        <v>15833.333333333334</v>
      </c>
      <c r="BR49" s="994">
        <f t="shared" si="124"/>
        <v>15833.333333333334</v>
      </c>
      <c r="BS49" s="994">
        <f t="shared" si="124"/>
        <v>15833.333333333334</v>
      </c>
      <c r="BT49" s="994">
        <f t="shared" si="124"/>
        <v>15833.333333333334</v>
      </c>
      <c r="BU49" s="994">
        <f t="shared" si="124"/>
        <v>15833.333333333334</v>
      </c>
      <c r="BV49" s="994">
        <f t="shared" si="124"/>
        <v>15833.333333333334</v>
      </c>
      <c r="BW49" s="994">
        <f t="shared" si="124"/>
        <v>15833.333333333334</v>
      </c>
      <c r="BX49" s="994">
        <f t="shared" si="124"/>
        <v>15833.333333333334</v>
      </c>
      <c r="BY49" s="977">
        <f t="shared" si="66"/>
        <v>190000.00000000003</v>
      </c>
      <c r="BZ49" s="877">
        <f t="shared" si="67"/>
        <v>21375.000000000004</v>
      </c>
      <c r="CA49" s="248">
        <f t="shared" si="67"/>
        <v>21375.000000000004</v>
      </c>
      <c r="CB49" s="248">
        <f t="shared" si="67"/>
        <v>21375.000000000004</v>
      </c>
      <c r="CC49" s="248">
        <f t="shared" si="67"/>
        <v>21375.000000000004</v>
      </c>
      <c r="CD49" s="248">
        <f t="shared" si="67"/>
        <v>21375.000000000004</v>
      </c>
      <c r="CE49" s="248">
        <f t="shared" si="67"/>
        <v>21375.000000000004</v>
      </c>
      <c r="CF49" s="248">
        <f t="shared" si="67"/>
        <v>21375.000000000004</v>
      </c>
      <c r="CG49" s="248">
        <f t="shared" si="67"/>
        <v>21375.000000000004</v>
      </c>
      <c r="CH49" s="248">
        <f t="shared" si="67"/>
        <v>21375.000000000004</v>
      </c>
      <c r="CI49" s="248">
        <f t="shared" si="67"/>
        <v>21375.000000000004</v>
      </c>
      <c r="CJ49" s="248">
        <f t="shared" si="67"/>
        <v>21375.000000000004</v>
      </c>
      <c r="CK49" s="248">
        <f t="shared" si="67"/>
        <v>21375.000000000004</v>
      </c>
      <c r="CL49" s="878">
        <f t="shared" si="68"/>
        <v>256500.00000000003</v>
      </c>
      <c r="CM49" s="996">
        <f>190000/12</f>
        <v>15833.333333333334</v>
      </c>
      <c r="CN49" s="994">
        <f t="shared" ref="CN49:DX49" si="125">190000/12</f>
        <v>15833.333333333334</v>
      </c>
      <c r="CO49" s="994">
        <f t="shared" si="125"/>
        <v>15833.333333333334</v>
      </c>
      <c r="CP49" s="994">
        <f t="shared" si="125"/>
        <v>15833.333333333334</v>
      </c>
      <c r="CQ49" s="994">
        <f t="shared" si="125"/>
        <v>15833.333333333334</v>
      </c>
      <c r="CR49" s="994">
        <f t="shared" si="125"/>
        <v>15833.333333333334</v>
      </c>
      <c r="CS49" s="994">
        <f t="shared" si="125"/>
        <v>15833.333333333334</v>
      </c>
      <c r="CT49" s="994">
        <f t="shared" si="125"/>
        <v>15833.333333333334</v>
      </c>
      <c r="CU49" s="994">
        <f t="shared" si="125"/>
        <v>15833.333333333334</v>
      </c>
      <c r="CV49" s="994">
        <f t="shared" si="125"/>
        <v>15833.333333333334</v>
      </c>
      <c r="CW49" s="994">
        <f t="shared" si="125"/>
        <v>15833.333333333334</v>
      </c>
      <c r="CX49" s="994">
        <f t="shared" si="125"/>
        <v>15833.333333333334</v>
      </c>
      <c r="CY49" s="977">
        <f t="shared" si="69"/>
        <v>190000.00000000003</v>
      </c>
      <c r="CZ49" s="877">
        <f t="shared" si="70"/>
        <v>21375.000000000004</v>
      </c>
      <c r="DA49" s="248">
        <f t="shared" si="70"/>
        <v>21375.000000000004</v>
      </c>
      <c r="DB49" s="248">
        <f t="shared" si="70"/>
        <v>21375.000000000004</v>
      </c>
      <c r="DC49" s="248">
        <f t="shared" si="70"/>
        <v>21375.000000000004</v>
      </c>
      <c r="DD49" s="248">
        <f t="shared" si="70"/>
        <v>21375.000000000004</v>
      </c>
      <c r="DE49" s="248">
        <f t="shared" si="70"/>
        <v>21375.000000000004</v>
      </c>
      <c r="DF49" s="248">
        <f t="shared" si="70"/>
        <v>21375.000000000004</v>
      </c>
      <c r="DG49" s="248">
        <f t="shared" si="70"/>
        <v>21375.000000000004</v>
      </c>
      <c r="DH49" s="248">
        <f t="shared" si="70"/>
        <v>21375.000000000004</v>
      </c>
      <c r="DI49" s="248">
        <f t="shared" si="70"/>
        <v>21375.000000000004</v>
      </c>
      <c r="DJ49" s="248">
        <f t="shared" si="70"/>
        <v>21375.000000000004</v>
      </c>
      <c r="DK49" s="248">
        <f t="shared" si="70"/>
        <v>21375.000000000004</v>
      </c>
      <c r="DL49" s="878">
        <f t="shared" si="50"/>
        <v>256500.00000000003</v>
      </c>
      <c r="DM49" s="996">
        <f t="shared" si="125"/>
        <v>15833.333333333334</v>
      </c>
      <c r="DN49" s="994">
        <f t="shared" si="125"/>
        <v>15833.333333333334</v>
      </c>
      <c r="DO49" s="994">
        <f t="shared" si="125"/>
        <v>15833.333333333334</v>
      </c>
      <c r="DP49" s="994">
        <f t="shared" si="125"/>
        <v>15833.333333333334</v>
      </c>
      <c r="DQ49" s="994">
        <f t="shared" si="125"/>
        <v>15833.333333333334</v>
      </c>
      <c r="DR49" s="994">
        <f t="shared" si="125"/>
        <v>15833.333333333334</v>
      </c>
      <c r="DS49" s="994">
        <f t="shared" si="125"/>
        <v>15833.333333333334</v>
      </c>
      <c r="DT49" s="994">
        <f t="shared" si="125"/>
        <v>15833.333333333334</v>
      </c>
      <c r="DU49" s="994">
        <f t="shared" si="125"/>
        <v>15833.333333333334</v>
      </c>
      <c r="DV49" s="994">
        <f t="shared" si="125"/>
        <v>15833.333333333334</v>
      </c>
      <c r="DW49" s="994">
        <f t="shared" si="125"/>
        <v>15833.333333333334</v>
      </c>
      <c r="DX49" s="994">
        <f t="shared" si="125"/>
        <v>15833.333333333334</v>
      </c>
      <c r="DY49" s="977">
        <f t="shared" si="71"/>
        <v>190000.00000000003</v>
      </c>
      <c r="DZ49" s="877">
        <f t="shared" si="72"/>
        <v>21375.000000000004</v>
      </c>
      <c r="EA49" s="248">
        <f t="shared" si="72"/>
        <v>21375.000000000004</v>
      </c>
      <c r="EB49" s="248">
        <f t="shared" si="72"/>
        <v>21375.000000000004</v>
      </c>
      <c r="EC49" s="248">
        <f t="shared" si="72"/>
        <v>21375.000000000004</v>
      </c>
      <c r="ED49" s="248">
        <f t="shared" si="72"/>
        <v>21375.000000000004</v>
      </c>
      <c r="EE49" s="248">
        <f t="shared" si="72"/>
        <v>21375.000000000004</v>
      </c>
      <c r="EF49" s="248">
        <f t="shared" si="72"/>
        <v>21375.000000000004</v>
      </c>
      <c r="EG49" s="248">
        <f t="shared" si="72"/>
        <v>21375.000000000004</v>
      </c>
      <c r="EH49" s="248">
        <f t="shared" si="72"/>
        <v>21375.000000000004</v>
      </c>
      <c r="EI49" s="248">
        <f t="shared" si="72"/>
        <v>21375.000000000004</v>
      </c>
      <c r="EJ49" s="248">
        <f t="shared" si="72"/>
        <v>21375.000000000004</v>
      </c>
      <c r="EK49" s="248">
        <f t="shared" si="72"/>
        <v>21375.000000000004</v>
      </c>
      <c r="EL49" s="878">
        <f t="shared" si="52"/>
        <v>256500.00000000003</v>
      </c>
    </row>
    <row r="50" spans="1:142">
      <c r="A50" s="964" t="s">
        <v>668</v>
      </c>
      <c r="B50" s="896" t="s">
        <v>676</v>
      </c>
      <c r="C50" s="995" t="s">
        <v>677</v>
      </c>
      <c r="D50" s="549">
        <v>3.49</v>
      </c>
      <c r="E50" s="544">
        <v>3.3789690260740146</v>
      </c>
      <c r="F50" s="544">
        <v>3.400683071714476</v>
      </c>
      <c r="G50" s="545">
        <v>3.5</v>
      </c>
      <c r="H50" s="549">
        <f t="shared" si="73"/>
        <v>3.5</v>
      </c>
      <c r="I50" s="544">
        <f t="shared" si="73"/>
        <v>3.5</v>
      </c>
      <c r="J50" s="544">
        <f t="shared" si="73"/>
        <v>3.5</v>
      </c>
      <c r="K50" s="906">
        <f t="shared" si="73"/>
        <v>3.5</v>
      </c>
      <c r="L50" s="875"/>
      <c r="M50" s="554">
        <v>24820</v>
      </c>
      <c r="N50" s="552">
        <v>23760</v>
      </c>
      <c r="O50" s="552">
        <v>23760</v>
      </c>
      <c r="P50" s="552">
        <v>30002</v>
      </c>
      <c r="Q50" s="552">
        <v>23556</v>
      </c>
      <c r="R50" s="552">
        <v>35213</v>
      </c>
      <c r="S50" s="552">
        <f>27634-1000</f>
        <v>26634</v>
      </c>
      <c r="T50" s="552">
        <v>40000</v>
      </c>
      <c r="U50" s="552">
        <v>40000</v>
      </c>
      <c r="V50" s="552">
        <v>40000</v>
      </c>
      <c r="W50" s="552">
        <v>40000</v>
      </c>
      <c r="X50" s="552">
        <v>40000</v>
      </c>
      <c r="Y50" s="876">
        <f t="shared" si="58"/>
        <v>387745</v>
      </c>
      <c r="Z50" s="877">
        <v>86621.8</v>
      </c>
      <c r="AA50" s="248">
        <v>82922.400000000009</v>
      </c>
      <c r="AB50" s="248">
        <v>82922.400000000009</v>
      </c>
      <c r="AC50" s="248">
        <v>104706.98000000001</v>
      </c>
      <c r="AD50" s="248">
        <v>80578.179999999993</v>
      </c>
      <c r="AE50" s="248">
        <v>120428.46</v>
      </c>
      <c r="AF50" s="248">
        <f>S50*$F50</f>
        <v>90573.792932043361</v>
      </c>
      <c r="AG50" s="248">
        <f t="shared" si="117"/>
        <v>136027.32286857904</v>
      </c>
      <c r="AH50" s="248">
        <f t="shared" si="117"/>
        <v>136027.32286857904</v>
      </c>
      <c r="AI50" s="248">
        <f t="shared" si="61"/>
        <v>140000</v>
      </c>
      <c r="AJ50" s="248">
        <f t="shared" si="61"/>
        <v>140000</v>
      </c>
      <c r="AK50" s="248">
        <f t="shared" si="61"/>
        <v>140000</v>
      </c>
      <c r="AL50" s="878">
        <f t="shared" si="62"/>
        <v>1340808.6586692017</v>
      </c>
      <c r="AM50" s="996">
        <f>230000/12</f>
        <v>19166.666666666668</v>
      </c>
      <c r="AN50" s="994">
        <f t="shared" ref="AN50:AX51" si="126">230000/12</f>
        <v>19166.666666666668</v>
      </c>
      <c r="AO50" s="994">
        <f t="shared" si="126"/>
        <v>19166.666666666668</v>
      </c>
      <c r="AP50" s="994">
        <f t="shared" si="126"/>
        <v>19166.666666666668</v>
      </c>
      <c r="AQ50" s="994">
        <f t="shared" si="126"/>
        <v>19166.666666666668</v>
      </c>
      <c r="AR50" s="994">
        <f t="shared" si="126"/>
        <v>19166.666666666668</v>
      </c>
      <c r="AS50" s="994">
        <f t="shared" si="126"/>
        <v>19166.666666666668</v>
      </c>
      <c r="AT50" s="994">
        <f t="shared" si="126"/>
        <v>19166.666666666668</v>
      </c>
      <c r="AU50" s="994">
        <f t="shared" si="126"/>
        <v>19166.666666666668</v>
      </c>
      <c r="AV50" s="994">
        <f t="shared" si="126"/>
        <v>19166.666666666668</v>
      </c>
      <c r="AW50" s="994">
        <f t="shared" si="126"/>
        <v>19166.666666666668</v>
      </c>
      <c r="AX50" s="994">
        <f t="shared" si="126"/>
        <v>19166.666666666668</v>
      </c>
      <c r="AY50" s="977">
        <f t="shared" si="64"/>
        <v>229999.99999999997</v>
      </c>
      <c r="AZ50" s="877">
        <f t="shared" si="65"/>
        <v>67083.333333333343</v>
      </c>
      <c r="BA50" s="248">
        <f t="shared" si="65"/>
        <v>67083.333333333343</v>
      </c>
      <c r="BB50" s="248">
        <f t="shared" si="65"/>
        <v>67083.333333333343</v>
      </c>
      <c r="BC50" s="248">
        <f t="shared" si="65"/>
        <v>67083.333333333343</v>
      </c>
      <c r="BD50" s="248">
        <f t="shared" si="65"/>
        <v>67083.333333333343</v>
      </c>
      <c r="BE50" s="248">
        <f t="shared" si="65"/>
        <v>67083.333333333343</v>
      </c>
      <c r="BF50" s="248">
        <f t="shared" si="65"/>
        <v>67083.333333333343</v>
      </c>
      <c r="BG50" s="248">
        <f t="shared" si="65"/>
        <v>67083.333333333343</v>
      </c>
      <c r="BH50" s="248">
        <f t="shared" si="65"/>
        <v>67083.333333333343</v>
      </c>
      <c r="BI50" s="248">
        <f t="shared" si="65"/>
        <v>67083.333333333343</v>
      </c>
      <c r="BJ50" s="248">
        <f t="shared" si="65"/>
        <v>67083.333333333343</v>
      </c>
      <c r="BK50" s="248">
        <f t="shared" si="65"/>
        <v>67083.333333333343</v>
      </c>
      <c r="BL50" s="878">
        <f t="shared" si="47"/>
        <v>805000.00000000035</v>
      </c>
      <c r="BM50" s="996">
        <f>330000/12</f>
        <v>27500</v>
      </c>
      <c r="BN50" s="994">
        <f t="shared" ref="BN50:BX51" si="127">330000/12</f>
        <v>27500</v>
      </c>
      <c r="BO50" s="994">
        <f t="shared" si="127"/>
        <v>27500</v>
      </c>
      <c r="BP50" s="994">
        <f t="shared" si="127"/>
        <v>27500</v>
      </c>
      <c r="BQ50" s="994">
        <f t="shared" si="127"/>
        <v>27500</v>
      </c>
      <c r="BR50" s="994">
        <f t="shared" si="127"/>
        <v>27500</v>
      </c>
      <c r="BS50" s="994">
        <f t="shared" si="127"/>
        <v>27500</v>
      </c>
      <c r="BT50" s="994">
        <f t="shared" si="127"/>
        <v>27500</v>
      </c>
      <c r="BU50" s="994">
        <f t="shared" si="127"/>
        <v>27500</v>
      </c>
      <c r="BV50" s="994">
        <f t="shared" si="127"/>
        <v>27500</v>
      </c>
      <c r="BW50" s="994">
        <f t="shared" si="127"/>
        <v>27500</v>
      </c>
      <c r="BX50" s="994">
        <f t="shared" si="127"/>
        <v>27500</v>
      </c>
      <c r="BY50" s="977">
        <f t="shared" si="66"/>
        <v>330000</v>
      </c>
      <c r="BZ50" s="877">
        <f t="shared" si="67"/>
        <v>96250</v>
      </c>
      <c r="CA50" s="248">
        <f t="shared" si="67"/>
        <v>96250</v>
      </c>
      <c r="CB50" s="248">
        <f t="shared" si="67"/>
        <v>96250</v>
      </c>
      <c r="CC50" s="248">
        <f t="shared" si="67"/>
        <v>96250</v>
      </c>
      <c r="CD50" s="248">
        <f t="shared" si="67"/>
        <v>96250</v>
      </c>
      <c r="CE50" s="248">
        <f t="shared" si="67"/>
        <v>96250</v>
      </c>
      <c r="CF50" s="248">
        <f t="shared" si="67"/>
        <v>96250</v>
      </c>
      <c r="CG50" s="248">
        <f t="shared" si="67"/>
        <v>96250</v>
      </c>
      <c r="CH50" s="248">
        <f t="shared" si="67"/>
        <v>96250</v>
      </c>
      <c r="CI50" s="248">
        <f t="shared" si="67"/>
        <v>96250</v>
      </c>
      <c r="CJ50" s="248">
        <f t="shared" si="67"/>
        <v>96250</v>
      </c>
      <c r="CK50" s="248">
        <f t="shared" si="67"/>
        <v>96250</v>
      </c>
      <c r="CL50" s="878">
        <f t="shared" si="68"/>
        <v>1155000</v>
      </c>
      <c r="CM50" s="996">
        <f>330000/12</f>
        <v>27500</v>
      </c>
      <c r="CN50" s="994">
        <f t="shared" ref="CN50:CX51" si="128">330000/12</f>
        <v>27500</v>
      </c>
      <c r="CO50" s="994">
        <f t="shared" si="128"/>
        <v>27500</v>
      </c>
      <c r="CP50" s="994">
        <f t="shared" si="128"/>
        <v>27500</v>
      </c>
      <c r="CQ50" s="994">
        <f t="shared" si="128"/>
        <v>27500</v>
      </c>
      <c r="CR50" s="994">
        <f t="shared" si="128"/>
        <v>27500</v>
      </c>
      <c r="CS50" s="994">
        <f t="shared" si="128"/>
        <v>27500</v>
      </c>
      <c r="CT50" s="994">
        <f t="shared" si="128"/>
        <v>27500</v>
      </c>
      <c r="CU50" s="994">
        <f t="shared" si="128"/>
        <v>27500</v>
      </c>
      <c r="CV50" s="994">
        <f t="shared" si="128"/>
        <v>27500</v>
      </c>
      <c r="CW50" s="994">
        <f t="shared" si="128"/>
        <v>27500</v>
      </c>
      <c r="CX50" s="994">
        <f t="shared" si="128"/>
        <v>27500</v>
      </c>
      <c r="CY50" s="977">
        <f t="shared" si="69"/>
        <v>330000</v>
      </c>
      <c r="CZ50" s="877">
        <f t="shared" si="70"/>
        <v>96250</v>
      </c>
      <c r="DA50" s="248">
        <f t="shared" si="70"/>
        <v>96250</v>
      </c>
      <c r="DB50" s="248">
        <f t="shared" si="70"/>
        <v>96250</v>
      </c>
      <c r="DC50" s="248">
        <f t="shared" si="70"/>
        <v>96250</v>
      </c>
      <c r="DD50" s="248">
        <f t="shared" si="70"/>
        <v>96250</v>
      </c>
      <c r="DE50" s="248">
        <f t="shared" si="70"/>
        <v>96250</v>
      </c>
      <c r="DF50" s="248">
        <f t="shared" si="70"/>
        <v>96250</v>
      </c>
      <c r="DG50" s="248">
        <f t="shared" si="70"/>
        <v>96250</v>
      </c>
      <c r="DH50" s="248">
        <f t="shared" si="70"/>
        <v>96250</v>
      </c>
      <c r="DI50" s="248">
        <f t="shared" si="70"/>
        <v>96250</v>
      </c>
      <c r="DJ50" s="248">
        <f t="shared" si="70"/>
        <v>96250</v>
      </c>
      <c r="DK50" s="248">
        <f t="shared" si="70"/>
        <v>96250</v>
      </c>
      <c r="DL50" s="878">
        <f t="shared" si="50"/>
        <v>1155000</v>
      </c>
      <c r="DM50" s="996">
        <f>330000/12</f>
        <v>27500</v>
      </c>
      <c r="DN50" s="994">
        <f t="shared" ref="DN50:DX51" si="129">330000/12</f>
        <v>27500</v>
      </c>
      <c r="DO50" s="994">
        <f t="shared" si="129"/>
        <v>27500</v>
      </c>
      <c r="DP50" s="994">
        <f t="shared" si="129"/>
        <v>27500</v>
      </c>
      <c r="DQ50" s="994">
        <f t="shared" si="129"/>
        <v>27500</v>
      </c>
      <c r="DR50" s="994">
        <f t="shared" si="129"/>
        <v>27500</v>
      </c>
      <c r="DS50" s="994">
        <f t="shared" si="129"/>
        <v>27500</v>
      </c>
      <c r="DT50" s="994">
        <f t="shared" si="129"/>
        <v>27500</v>
      </c>
      <c r="DU50" s="994">
        <f t="shared" si="129"/>
        <v>27500</v>
      </c>
      <c r="DV50" s="994">
        <f t="shared" si="129"/>
        <v>27500</v>
      </c>
      <c r="DW50" s="994">
        <f t="shared" si="129"/>
        <v>27500</v>
      </c>
      <c r="DX50" s="994">
        <f t="shared" si="129"/>
        <v>27500</v>
      </c>
      <c r="DY50" s="977">
        <f t="shared" si="71"/>
        <v>330000</v>
      </c>
      <c r="DZ50" s="877">
        <f t="shared" si="72"/>
        <v>96250</v>
      </c>
      <c r="EA50" s="248">
        <f t="shared" si="72"/>
        <v>96250</v>
      </c>
      <c r="EB50" s="248">
        <f t="shared" si="72"/>
        <v>96250</v>
      </c>
      <c r="EC50" s="248">
        <f t="shared" si="72"/>
        <v>96250</v>
      </c>
      <c r="ED50" s="248">
        <f t="shared" si="72"/>
        <v>96250</v>
      </c>
      <c r="EE50" s="248">
        <f t="shared" si="72"/>
        <v>96250</v>
      </c>
      <c r="EF50" s="248">
        <f t="shared" si="72"/>
        <v>96250</v>
      </c>
      <c r="EG50" s="248">
        <f t="shared" si="72"/>
        <v>96250</v>
      </c>
      <c r="EH50" s="248">
        <f t="shared" si="72"/>
        <v>96250</v>
      </c>
      <c r="EI50" s="248">
        <f t="shared" si="72"/>
        <v>96250</v>
      </c>
      <c r="EJ50" s="248">
        <f t="shared" si="72"/>
        <v>96250</v>
      </c>
      <c r="EK50" s="248">
        <f t="shared" si="72"/>
        <v>96250</v>
      </c>
      <c r="EL50" s="878">
        <f t="shared" si="52"/>
        <v>1155000</v>
      </c>
    </row>
    <row r="51" spans="1:142">
      <c r="A51" s="964" t="s">
        <v>668</v>
      </c>
      <c r="B51" s="896" t="s">
        <v>678</v>
      </c>
      <c r="C51" s="995" t="s">
        <v>679</v>
      </c>
      <c r="D51" s="549">
        <v>1.43</v>
      </c>
      <c r="E51" s="544">
        <v>1.4460477718424212</v>
      </c>
      <c r="F51" s="544">
        <v>1.4468563413942628</v>
      </c>
      <c r="G51" s="545">
        <v>1.43</v>
      </c>
      <c r="H51" s="549">
        <f t="shared" si="73"/>
        <v>1.43</v>
      </c>
      <c r="I51" s="544">
        <f t="shared" si="73"/>
        <v>1.43</v>
      </c>
      <c r="J51" s="544">
        <f t="shared" si="73"/>
        <v>1.43</v>
      </c>
      <c r="K51" s="906">
        <f t="shared" si="73"/>
        <v>1.43</v>
      </c>
      <c r="L51" s="875"/>
      <c r="M51" s="554">
        <v>27300</v>
      </c>
      <c r="N51" s="552">
        <v>22800</v>
      </c>
      <c r="O51" s="552">
        <v>30240</v>
      </c>
      <c r="P51" s="552">
        <v>35000</v>
      </c>
      <c r="Q51" s="552">
        <v>34860</v>
      </c>
      <c r="R51" s="552">
        <v>40180</v>
      </c>
      <c r="S51" s="552">
        <v>35011</v>
      </c>
      <c r="T51" s="552">
        <v>40000</v>
      </c>
      <c r="U51" s="552">
        <v>40000</v>
      </c>
      <c r="V51" s="552">
        <v>40000</v>
      </c>
      <c r="W51" s="552">
        <v>40000</v>
      </c>
      <c r="X51" s="552">
        <v>40000</v>
      </c>
      <c r="Y51" s="876">
        <f t="shared" si="58"/>
        <v>425391</v>
      </c>
      <c r="Z51" s="877">
        <v>39039</v>
      </c>
      <c r="AA51" s="248">
        <v>32604</v>
      </c>
      <c r="AB51" s="248">
        <v>43243.199999999997</v>
      </c>
      <c r="AC51" s="248">
        <v>50050</v>
      </c>
      <c r="AD51" s="248">
        <v>49753.799999999988</v>
      </c>
      <c r="AE51" s="248">
        <v>57403.199999999997</v>
      </c>
      <c r="AF51" s="248">
        <f t="shared" si="117"/>
        <v>50655.887368554533</v>
      </c>
      <c r="AG51" s="248">
        <f t="shared" si="117"/>
        <v>57874.25365577051</v>
      </c>
      <c r="AH51" s="248">
        <f t="shared" si="117"/>
        <v>57874.25365577051</v>
      </c>
      <c r="AI51" s="248">
        <f t="shared" si="61"/>
        <v>57200</v>
      </c>
      <c r="AJ51" s="248">
        <f t="shared" si="61"/>
        <v>57200</v>
      </c>
      <c r="AK51" s="248">
        <f t="shared" si="61"/>
        <v>57200</v>
      </c>
      <c r="AL51" s="878">
        <f t="shared" si="62"/>
        <v>610097.59468009556</v>
      </c>
      <c r="AM51" s="996">
        <f>230000/12</f>
        <v>19166.666666666668</v>
      </c>
      <c r="AN51" s="994">
        <f t="shared" si="126"/>
        <v>19166.666666666668</v>
      </c>
      <c r="AO51" s="994">
        <f t="shared" si="126"/>
        <v>19166.666666666668</v>
      </c>
      <c r="AP51" s="994">
        <f t="shared" si="126"/>
        <v>19166.666666666668</v>
      </c>
      <c r="AQ51" s="994">
        <f t="shared" si="126"/>
        <v>19166.666666666668</v>
      </c>
      <c r="AR51" s="994">
        <f t="shared" si="126"/>
        <v>19166.666666666668</v>
      </c>
      <c r="AS51" s="994">
        <f t="shared" si="126"/>
        <v>19166.666666666668</v>
      </c>
      <c r="AT51" s="994">
        <f t="shared" si="126"/>
        <v>19166.666666666668</v>
      </c>
      <c r="AU51" s="994">
        <f t="shared" si="126"/>
        <v>19166.666666666668</v>
      </c>
      <c r="AV51" s="994">
        <f t="shared" si="126"/>
        <v>19166.666666666668</v>
      </c>
      <c r="AW51" s="994">
        <f t="shared" si="126"/>
        <v>19166.666666666668</v>
      </c>
      <c r="AX51" s="994">
        <f t="shared" si="126"/>
        <v>19166.666666666668</v>
      </c>
      <c r="AY51" s="977">
        <f t="shared" si="64"/>
        <v>229999.99999999997</v>
      </c>
      <c r="AZ51" s="877">
        <f t="shared" si="65"/>
        <v>27408.333333333332</v>
      </c>
      <c r="BA51" s="248">
        <f t="shared" si="65"/>
        <v>27408.333333333332</v>
      </c>
      <c r="BB51" s="248">
        <f t="shared" si="65"/>
        <v>27408.333333333332</v>
      </c>
      <c r="BC51" s="248">
        <f t="shared" ref="BC51:BK51" si="130">AP51*$H51</f>
        <v>27408.333333333332</v>
      </c>
      <c r="BD51" s="248">
        <f t="shared" si="130"/>
        <v>27408.333333333332</v>
      </c>
      <c r="BE51" s="248">
        <f t="shared" si="130"/>
        <v>27408.333333333332</v>
      </c>
      <c r="BF51" s="248">
        <f t="shared" si="130"/>
        <v>27408.333333333332</v>
      </c>
      <c r="BG51" s="248">
        <f t="shared" si="130"/>
        <v>27408.333333333332</v>
      </c>
      <c r="BH51" s="248">
        <f t="shared" si="130"/>
        <v>27408.333333333332</v>
      </c>
      <c r="BI51" s="248">
        <f t="shared" si="130"/>
        <v>27408.333333333332</v>
      </c>
      <c r="BJ51" s="248">
        <f t="shared" si="130"/>
        <v>27408.333333333332</v>
      </c>
      <c r="BK51" s="248">
        <f t="shared" si="130"/>
        <v>27408.333333333332</v>
      </c>
      <c r="BL51" s="878">
        <f t="shared" si="47"/>
        <v>328900</v>
      </c>
      <c r="BM51" s="996">
        <f>330000/12</f>
        <v>27500</v>
      </c>
      <c r="BN51" s="994">
        <f t="shared" si="127"/>
        <v>27500</v>
      </c>
      <c r="BO51" s="994">
        <f t="shared" si="127"/>
        <v>27500</v>
      </c>
      <c r="BP51" s="994">
        <f t="shared" si="127"/>
        <v>27500</v>
      </c>
      <c r="BQ51" s="994">
        <f t="shared" si="127"/>
        <v>27500</v>
      </c>
      <c r="BR51" s="994">
        <f t="shared" si="127"/>
        <v>27500</v>
      </c>
      <c r="BS51" s="994">
        <f t="shared" si="127"/>
        <v>27500</v>
      </c>
      <c r="BT51" s="994">
        <f t="shared" si="127"/>
        <v>27500</v>
      </c>
      <c r="BU51" s="994">
        <f t="shared" si="127"/>
        <v>27500</v>
      </c>
      <c r="BV51" s="994">
        <f t="shared" si="127"/>
        <v>27500</v>
      </c>
      <c r="BW51" s="994">
        <f t="shared" si="127"/>
        <v>27500</v>
      </c>
      <c r="BX51" s="994">
        <f t="shared" si="127"/>
        <v>27500</v>
      </c>
      <c r="BY51" s="977">
        <f t="shared" si="66"/>
        <v>330000</v>
      </c>
      <c r="BZ51" s="877">
        <f t="shared" si="67"/>
        <v>39325</v>
      </c>
      <c r="CA51" s="248">
        <f t="shared" si="67"/>
        <v>39325</v>
      </c>
      <c r="CB51" s="248">
        <f t="shared" si="67"/>
        <v>39325</v>
      </c>
      <c r="CC51" s="248">
        <f t="shared" ref="CC51:CK51" si="131">BP51*$I51</f>
        <v>39325</v>
      </c>
      <c r="CD51" s="248">
        <f t="shared" si="131"/>
        <v>39325</v>
      </c>
      <c r="CE51" s="248">
        <f t="shared" si="131"/>
        <v>39325</v>
      </c>
      <c r="CF51" s="248">
        <f t="shared" si="131"/>
        <v>39325</v>
      </c>
      <c r="CG51" s="248">
        <f t="shared" si="131"/>
        <v>39325</v>
      </c>
      <c r="CH51" s="248">
        <f t="shared" si="131"/>
        <v>39325</v>
      </c>
      <c r="CI51" s="248">
        <f t="shared" si="131"/>
        <v>39325</v>
      </c>
      <c r="CJ51" s="248">
        <f t="shared" si="131"/>
        <v>39325</v>
      </c>
      <c r="CK51" s="248">
        <f t="shared" si="131"/>
        <v>39325</v>
      </c>
      <c r="CL51" s="878">
        <f t="shared" si="68"/>
        <v>471900</v>
      </c>
      <c r="CM51" s="996">
        <f>330000/12</f>
        <v>27500</v>
      </c>
      <c r="CN51" s="994">
        <f t="shared" si="128"/>
        <v>27500</v>
      </c>
      <c r="CO51" s="994">
        <f t="shared" si="128"/>
        <v>27500</v>
      </c>
      <c r="CP51" s="994">
        <f t="shared" si="128"/>
        <v>27500</v>
      </c>
      <c r="CQ51" s="994">
        <f t="shared" si="128"/>
        <v>27500</v>
      </c>
      <c r="CR51" s="994">
        <f t="shared" si="128"/>
        <v>27500</v>
      </c>
      <c r="CS51" s="994">
        <f t="shared" si="128"/>
        <v>27500</v>
      </c>
      <c r="CT51" s="994">
        <f t="shared" si="128"/>
        <v>27500</v>
      </c>
      <c r="CU51" s="994">
        <f t="shared" si="128"/>
        <v>27500</v>
      </c>
      <c r="CV51" s="994">
        <f t="shared" si="128"/>
        <v>27500</v>
      </c>
      <c r="CW51" s="994">
        <f t="shared" si="128"/>
        <v>27500</v>
      </c>
      <c r="CX51" s="994">
        <f t="shared" si="128"/>
        <v>27500</v>
      </c>
      <c r="CY51" s="977">
        <f t="shared" si="69"/>
        <v>330000</v>
      </c>
      <c r="CZ51" s="877">
        <f t="shared" si="70"/>
        <v>39325</v>
      </c>
      <c r="DA51" s="248">
        <f t="shared" si="70"/>
        <v>39325</v>
      </c>
      <c r="DB51" s="248">
        <f t="shared" si="70"/>
        <v>39325</v>
      </c>
      <c r="DC51" s="248">
        <f t="shared" ref="DC51:DK51" si="132">CP51*$J51</f>
        <v>39325</v>
      </c>
      <c r="DD51" s="248">
        <f t="shared" si="132"/>
        <v>39325</v>
      </c>
      <c r="DE51" s="248">
        <f t="shared" si="132"/>
        <v>39325</v>
      </c>
      <c r="DF51" s="248">
        <f t="shared" si="132"/>
        <v>39325</v>
      </c>
      <c r="DG51" s="248">
        <f t="shared" si="132"/>
        <v>39325</v>
      </c>
      <c r="DH51" s="248">
        <f t="shared" si="132"/>
        <v>39325</v>
      </c>
      <c r="DI51" s="248">
        <f t="shared" si="132"/>
        <v>39325</v>
      </c>
      <c r="DJ51" s="248">
        <f t="shared" si="132"/>
        <v>39325</v>
      </c>
      <c r="DK51" s="248">
        <f t="shared" si="132"/>
        <v>39325</v>
      </c>
      <c r="DL51" s="878">
        <f t="shared" si="50"/>
        <v>471900</v>
      </c>
      <c r="DM51" s="996">
        <f>330000/12</f>
        <v>27500</v>
      </c>
      <c r="DN51" s="994">
        <f t="shared" si="129"/>
        <v>27500</v>
      </c>
      <c r="DO51" s="994">
        <f t="shared" si="129"/>
        <v>27500</v>
      </c>
      <c r="DP51" s="994">
        <f t="shared" si="129"/>
        <v>27500</v>
      </c>
      <c r="DQ51" s="994">
        <f t="shared" si="129"/>
        <v>27500</v>
      </c>
      <c r="DR51" s="994">
        <f t="shared" si="129"/>
        <v>27500</v>
      </c>
      <c r="DS51" s="994">
        <f t="shared" si="129"/>
        <v>27500</v>
      </c>
      <c r="DT51" s="994">
        <f t="shared" si="129"/>
        <v>27500</v>
      </c>
      <c r="DU51" s="994">
        <f t="shared" si="129"/>
        <v>27500</v>
      </c>
      <c r="DV51" s="994">
        <f t="shared" si="129"/>
        <v>27500</v>
      </c>
      <c r="DW51" s="994">
        <f t="shared" si="129"/>
        <v>27500</v>
      </c>
      <c r="DX51" s="994">
        <f t="shared" si="129"/>
        <v>27500</v>
      </c>
      <c r="DY51" s="977">
        <f t="shared" si="71"/>
        <v>330000</v>
      </c>
      <c r="DZ51" s="877">
        <f t="shared" si="72"/>
        <v>39325</v>
      </c>
      <c r="EA51" s="248">
        <f t="shared" si="72"/>
        <v>39325</v>
      </c>
      <c r="EB51" s="248">
        <f t="shared" si="72"/>
        <v>39325</v>
      </c>
      <c r="EC51" s="248">
        <f t="shared" ref="EC51:EK51" si="133">DP51*$K51</f>
        <v>39325</v>
      </c>
      <c r="ED51" s="248">
        <f t="shared" si="133"/>
        <v>39325</v>
      </c>
      <c r="EE51" s="248">
        <f t="shared" si="133"/>
        <v>39325</v>
      </c>
      <c r="EF51" s="248">
        <f t="shared" si="133"/>
        <v>39325</v>
      </c>
      <c r="EG51" s="248">
        <f t="shared" si="133"/>
        <v>39325</v>
      </c>
      <c r="EH51" s="248">
        <f t="shared" si="133"/>
        <v>39325</v>
      </c>
      <c r="EI51" s="248">
        <f t="shared" si="133"/>
        <v>39325</v>
      </c>
      <c r="EJ51" s="248">
        <f t="shared" si="133"/>
        <v>39325</v>
      </c>
      <c r="EK51" s="248">
        <f t="shared" si="133"/>
        <v>39325</v>
      </c>
      <c r="EL51" s="878">
        <f t="shared" si="52"/>
        <v>471900</v>
      </c>
    </row>
    <row r="52" spans="1:142">
      <c r="A52" s="964" t="s">
        <v>668</v>
      </c>
      <c r="B52" s="896" t="s">
        <v>680</v>
      </c>
      <c r="C52" s="995" t="s">
        <v>681</v>
      </c>
      <c r="D52" s="549"/>
      <c r="E52" s="550">
        <v>2.2303236134845168</v>
      </c>
      <c r="F52" s="550">
        <v>2.2421401022214811</v>
      </c>
      <c r="G52" s="550">
        <v>2.2200000000000002</v>
      </c>
      <c r="H52" s="550">
        <v>2.2200000000000002</v>
      </c>
      <c r="I52" s="550">
        <v>2.2200000000000002</v>
      </c>
      <c r="J52" s="550">
        <v>2.2200000000000002</v>
      </c>
      <c r="K52" s="973">
        <v>2.2200000000000002</v>
      </c>
      <c r="L52" s="974"/>
      <c r="M52" s="554">
        <v>0</v>
      </c>
      <c r="N52" s="552">
        <v>0</v>
      </c>
      <c r="O52" s="552">
        <v>0</v>
      </c>
      <c r="P52" s="552">
        <v>6204</v>
      </c>
      <c r="Q52" s="552">
        <v>3456</v>
      </c>
      <c r="R52" s="552">
        <v>864</v>
      </c>
      <c r="S52" s="552">
        <v>4210</v>
      </c>
      <c r="T52" s="552"/>
      <c r="U52" s="530"/>
      <c r="V52" s="530"/>
      <c r="W52" s="530"/>
      <c r="X52" s="530"/>
      <c r="Y52" s="876">
        <f>SUM(M52:X52)</f>
        <v>14734</v>
      </c>
      <c r="Z52" s="248">
        <v>0</v>
      </c>
      <c r="AA52" s="248">
        <v>0</v>
      </c>
      <c r="AB52" s="248">
        <v>0</v>
      </c>
      <c r="AC52" s="248">
        <v>13772.880000000001</v>
      </c>
      <c r="AD52" s="248">
        <v>7672.3200000000006</v>
      </c>
      <c r="AE52" s="248">
        <v>2020.03</v>
      </c>
      <c r="AF52" s="248">
        <f t="shared" si="117"/>
        <v>9439.4098303524352</v>
      </c>
      <c r="AG52" s="248">
        <f t="shared" si="117"/>
        <v>0</v>
      </c>
      <c r="AH52" s="248">
        <f t="shared" si="117"/>
        <v>0</v>
      </c>
      <c r="AI52" s="248">
        <f t="shared" si="61"/>
        <v>0</v>
      </c>
      <c r="AJ52" s="248">
        <f t="shared" si="61"/>
        <v>0</v>
      </c>
      <c r="AK52" s="248">
        <f t="shared" si="61"/>
        <v>0</v>
      </c>
      <c r="AL52" s="878">
        <f t="shared" si="62"/>
        <v>32904.639830352433</v>
      </c>
      <c r="AM52" s="996"/>
      <c r="AN52" s="994"/>
      <c r="AO52" s="994"/>
      <c r="AP52" s="994"/>
      <c r="AQ52" s="994"/>
      <c r="AR52" s="994"/>
      <c r="AS52" s="994"/>
      <c r="AT52" s="994"/>
      <c r="AU52" s="994"/>
      <c r="AV52" s="994"/>
      <c r="AW52" s="994"/>
      <c r="AX52" s="994"/>
      <c r="AY52" s="977">
        <f>SUM(AM52:AX52)</f>
        <v>0</v>
      </c>
      <c r="AZ52" s="877">
        <f t="shared" ref="AZ52:BK67" si="134">AM52*$H52</f>
        <v>0</v>
      </c>
      <c r="BA52" s="248">
        <f t="shared" si="134"/>
        <v>0</v>
      </c>
      <c r="BB52" s="248">
        <f t="shared" si="134"/>
        <v>0</v>
      </c>
      <c r="BC52" s="248">
        <f t="shared" si="134"/>
        <v>0</v>
      </c>
      <c r="BD52" s="248">
        <f t="shared" si="134"/>
        <v>0</v>
      </c>
      <c r="BE52" s="248">
        <f t="shared" si="134"/>
        <v>0</v>
      </c>
      <c r="BF52" s="248">
        <f t="shared" si="134"/>
        <v>0</v>
      </c>
      <c r="BG52" s="248">
        <f t="shared" si="134"/>
        <v>0</v>
      </c>
      <c r="BH52" s="248">
        <f t="shared" si="134"/>
        <v>0</v>
      </c>
      <c r="BI52" s="248">
        <f t="shared" si="134"/>
        <v>0</v>
      </c>
      <c r="BJ52" s="248">
        <f t="shared" si="134"/>
        <v>0</v>
      </c>
      <c r="BK52" s="248">
        <f t="shared" si="134"/>
        <v>0</v>
      </c>
      <c r="BL52" s="878">
        <f>SUM(AZ52:BK52)</f>
        <v>0</v>
      </c>
      <c r="BM52" s="996"/>
      <c r="BN52" s="994"/>
      <c r="BO52" s="994"/>
      <c r="BP52" s="994"/>
      <c r="BQ52" s="994"/>
      <c r="BR52" s="994"/>
      <c r="BS52" s="994"/>
      <c r="BT52" s="994"/>
      <c r="BU52" s="994"/>
      <c r="BV52" s="994"/>
      <c r="BW52" s="994"/>
      <c r="BX52" s="994"/>
      <c r="BY52" s="977">
        <f>SUM(BM52:BX52)</f>
        <v>0</v>
      </c>
      <c r="BZ52" s="877">
        <f t="shared" ref="BZ52:CK67" si="135">BM52*$I52</f>
        <v>0</v>
      </c>
      <c r="CA52" s="248">
        <f t="shared" si="135"/>
        <v>0</v>
      </c>
      <c r="CB52" s="248">
        <f t="shared" si="135"/>
        <v>0</v>
      </c>
      <c r="CC52" s="248">
        <f t="shared" si="135"/>
        <v>0</v>
      </c>
      <c r="CD52" s="248">
        <f t="shared" si="135"/>
        <v>0</v>
      </c>
      <c r="CE52" s="248">
        <f t="shared" si="135"/>
        <v>0</v>
      </c>
      <c r="CF52" s="248">
        <f t="shared" si="135"/>
        <v>0</v>
      </c>
      <c r="CG52" s="248">
        <f t="shared" si="135"/>
        <v>0</v>
      </c>
      <c r="CH52" s="248">
        <f t="shared" si="135"/>
        <v>0</v>
      </c>
      <c r="CI52" s="248">
        <f t="shared" si="135"/>
        <v>0</v>
      </c>
      <c r="CJ52" s="248">
        <f t="shared" si="135"/>
        <v>0</v>
      </c>
      <c r="CK52" s="248">
        <f t="shared" si="135"/>
        <v>0</v>
      </c>
      <c r="CL52" s="878">
        <f>SUM(BZ52:CK52)</f>
        <v>0</v>
      </c>
      <c r="CM52" s="996"/>
      <c r="CN52" s="994"/>
      <c r="CO52" s="994"/>
      <c r="CP52" s="994"/>
      <c r="CQ52" s="994"/>
      <c r="CR52" s="994"/>
      <c r="CS52" s="994"/>
      <c r="CT52" s="994"/>
      <c r="CU52" s="994"/>
      <c r="CV52" s="994"/>
      <c r="CW52" s="994"/>
      <c r="CX52" s="994"/>
      <c r="CY52" s="977">
        <f>SUM(CM52:CX52)</f>
        <v>0</v>
      </c>
      <c r="CZ52" s="877">
        <f t="shared" ref="CZ52:DK67" si="136">CM52*$J52</f>
        <v>0</v>
      </c>
      <c r="DA52" s="248">
        <f t="shared" si="136"/>
        <v>0</v>
      </c>
      <c r="DB52" s="248">
        <f t="shared" si="136"/>
        <v>0</v>
      </c>
      <c r="DC52" s="248">
        <f t="shared" si="136"/>
        <v>0</v>
      </c>
      <c r="DD52" s="248">
        <f t="shared" si="136"/>
        <v>0</v>
      </c>
      <c r="DE52" s="248">
        <f t="shared" si="136"/>
        <v>0</v>
      </c>
      <c r="DF52" s="248">
        <f t="shared" si="136"/>
        <v>0</v>
      </c>
      <c r="DG52" s="248">
        <f t="shared" si="136"/>
        <v>0</v>
      </c>
      <c r="DH52" s="248">
        <f t="shared" si="136"/>
        <v>0</v>
      </c>
      <c r="DI52" s="248">
        <f t="shared" si="136"/>
        <v>0</v>
      </c>
      <c r="DJ52" s="248">
        <f t="shared" si="136"/>
        <v>0</v>
      </c>
      <c r="DK52" s="248">
        <f t="shared" si="136"/>
        <v>0</v>
      </c>
      <c r="DL52" s="878">
        <f>SUM(CZ52:DK52)</f>
        <v>0</v>
      </c>
      <c r="DM52" s="996"/>
      <c r="DN52" s="994"/>
      <c r="DO52" s="994"/>
      <c r="DP52" s="994"/>
      <c r="DQ52" s="994"/>
      <c r="DR52" s="994"/>
      <c r="DS52" s="994"/>
      <c r="DT52" s="994"/>
      <c r="DU52" s="994"/>
      <c r="DV52" s="994"/>
      <c r="DW52" s="994"/>
      <c r="DX52" s="994"/>
      <c r="DY52" s="977">
        <f>SUM(DM52:DX52)</f>
        <v>0</v>
      </c>
      <c r="DZ52" s="877">
        <f t="shared" ref="DZ52:EK67" si="137">DM52*$K52</f>
        <v>0</v>
      </c>
      <c r="EA52" s="248">
        <f t="shared" si="137"/>
        <v>0</v>
      </c>
      <c r="EB52" s="248">
        <f t="shared" si="137"/>
        <v>0</v>
      </c>
      <c r="EC52" s="248">
        <f t="shared" si="137"/>
        <v>0</v>
      </c>
      <c r="ED52" s="248">
        <f t="shared" si="137"/>
        <v>0</v>
      </c>
      <c r="EE52" s="248">
        <f t="shared" si="137"/>
        <v>0</v>
      </c>
      <c r="EF52" s="248">
        <f t="shared" si="137"/>
        <v>0</v>
      </c>
      <c r="EG52" s="248">
        <f t="shared" si="137"/>
        <v>0</v>
      </c>
      <c r="EH52" s="248">
        <f t="shared" si="137"/>
        <v>0</v>
      </c>
      <c r="EI52" s="248">
        <f t="shared" si="137"/>
        <v>0</v>
      </c>
      <c r="EJ52" s="248">
        <f t="shared" si="137"/>
        <v>0</v>
      </c>
      <c r="EK52" s="248">
        <f t="shared" si="137"/>
        <v>0</v>
      </c>
      <c r="EL52" s="878">
        <f>SUM(DZ52:EK52)</f>
        <v>0</v>
      </c>
    </row>
    <row r="53" spans="1:142">
      <c r="A53" s="964" t="s">
        <v>668</v>
      </c>
      <c r="B53" s="896" t="s">
        <v>682</v>
      </c>
      <c r="C53" s="995" t="s">
        <v>683</v>
      </c>
      <c r="D53" s="549"/>
      <c r="E53" s="550">
        <v>2.409239031523108</v>
      </c>
      <c r="F53" s="550">
        <v>2.4208646829219482</v>
      </c>
      <c r="G53" s="550">
        <v>2.4</v>
      </c>
      <c r="H53" s="550">
        <v>2.4</v>
      </c>
      <c r="I53" s="550">
        <v>2.4</v>
      </c>
      <c r="J53" s="550">
        <v>2.4</v>
      </c>
      <c r="K53" s="973">
        <v>2.4</v>
      </c>
      <c r="L53" s="974"/>
      <c r="M53" s="554">
        <v>0</v>
      </c>
      <c r="N53" s="552">
        <v>0</v>
      </c>
      <c r="O53" s="552">
        <v>0</v>
      </c>
      <c r="P53" s="552">
        <v>6680</v>
      </c>
      <c r="Q53" s="552">
        <v>3840</v>
      </c>
      <c r="R53" s="552">
        <v>3880</v>
      </c>
      <c r="S53" s="552">
        <v>1920</v>
      </c>
      <c r="T53" s="552"/>
      <c r="U53" s="530"/>
      <c r="V53" s="530"/>
      <c r="W53" s="530"/>
      <c r="X53" s="530"/>
      <c r="Y53" s="876">
        <f>SUM(M53:X53)</f>
        <v>16320</v>
      </c>
      <c r="Z53" s="248">
        <v>0</v>
      </c>
      <c r="AA53" s="248">
        <v>0</v>
      </c>
      <c r="AB53" s="248">
        <v>0</v>
      </c>
      <c r="AC53" s="248">
        <f>P53*2.4</f>
        <v>16032</v>
      </c>
      <c r="AD53" s="248">
        <v>9216</v>
      </c>
      <c r="AE53" s="248">
        <v>9350.5</v>
      </c>
      <c r="AF53" s="248">
        <f t="shared" si="117"/>
        <v>4648.0601912101411</v>
      </c>
      <c r="AG53" s="248">
        <f t="shared" si="117"/>
        <v>0</v>
      </c>
      <c r="AH53" s="248">
        <f t="shared" si="117"/>
        <v>0</v>
      </c>
      <c r="AI53" s="248">
        <f t="shared" si="61"/>
        <v>0</v>
      </c>
      <c r="AJ53" s="248">
        <f t="shared" si="61"/>
        <v>0</v>
      </c>
      <c r="AK53" s="248">
        <f t="shared" si="61"/>
        <v>0</v>
      </c>
      <c r="AL53" s="878">
        <f t="shared" si="62"/>
        <v>39246.560191210141</v>
      </c>
      <c r="AM53" s="996"/>
      <c r="AN53" s="994"/>
      <c r="AO53" s="994"/>
      <c r="AP53" s="994"/>
      <c r="AQ53" s="994"/>
      <c r="AR53" s="994"/>
      <c r="AS53" s="994"/>
      <c r="AT53" s="994"/>
      <c r="AU53" s="994"/>
      <c r="AV53" s="994"/>
      <c r="AW53" s="994"/>
      <c r="AX53" s="994"/>
      <c r="AY53" s="977">
        <f>SUM(AM53:AX53)</f>
        <v>0</v>
      </c>
      <c r="AZ53" s="877">
        <f t="shared" si="134"/>
        <v>0</v>
      </c>
      <c r="BA53" s="248">
        <f t="shared" si="134"/>
        <v>0</v>
      </c>
      <c r="BB53" s="248">
        <f t="shared" si="134"/>
        <v>0</v>
      </c>
      <c r="BC53" s="248">
        <f t="shared" si="134"/>
        <v>0</v>
      </c>
      <c r="BD53" s="248">
        <f t="shared" si="134"/>
        <v>0</v>
      </c>
      <c r="BE53" s="248">
        <f t="shared" si="134"/>
        <v>0</v>
      </c>
      <c r="BF53" s="248">
        <f t="shared" si="134"/>
        <v>0</v>
      </c>
      <c r="BG53" s="248">
        <f t="shared" si="134"/>
        <v>0</v>
      </c>
      <c r="BH53" s="248">
        <f t="shared" si="134"/>
        <v>0</v>
      </c>
      <c r="BI53" s="248">
        <f t="shared" si="134"/>
        <v>0</v>
      </c>
      <c r="BJ53" s="248">
        <f t="shared" si="134"/>
        <v>0</v>
      </c>
      <c r="BK53" s="248">
        <f t="shared" si="134"/>
        <v>0</v>
      </c>
      <c r="BL53" s="878">
        <f>SUM(AZ53:BK53)</f>
        <v>0</v>
      </c>
      <c r="BM53" s="996"/>
      <c r="BN53" s="994"/>
      <c r="BO53" s="994"/>
      <c r="BP53" s="994"/>
      <c r="BQ53" s="994"/>
      <c r="BR53" s="994"/>
      <c r="BS53" s="994"/>
      <c r="BT53" s="994"/>
      <c r="BU53" s="994"/>
      <c r="BV53" s="994"/>
      <c r="BW53" s="994"/>
      <c r="BX53" s="994"/>
      <c r="BY53" s="977">
        <f>SUM(BM53:BX53)</f>
        <v>0</v>
      </c>
      <c r="BZ53" s="877">
        <f t="shared" si="135"/>
        <v>0</v>
      </c>
      <c r="CA53" s="248">
        <f t="shared" si="135"/>
        <v>0</v>
      </c>
      <c r="CB53" s="248">
        <f t="shared" si="135"/>
        <v>0</v>
      </c>
      <c r="CC53" s="248">
        <f t="shared" si="135"/>
        <v>0</v>
      </c>
      <c r="CD53" s="248">
        <f t="shared" si="135"/>
        <v>0</v>
      </c>
      <c r="CE53" s="248">
        <f t="shared" si="135"/>
        <v>0</v>
      </c>
      <c r="CF53" s="248">
        <f t="shared" si="135"/>
        <v>0</v>
      </c>
      <c r="CG53" s="248">
        <f t="shared" si="135"/>
        <v>0</v>
      </c>
      <c r="CH53" s="248">
        <f t="shared" si="135"/>
        <v>0</v>
      </c>
      <c r="CI53" s="248">
        <f t="shared" si="135"/>
        <v>0</v>
      </c>
      <c r="CJ53" s="248">
        <f t="shared" si="135"/>
        <v>0</v>
      </c>
      <c r="CK53" s="248">
        <f t="shared" si="135"/>
        <v>0</v>
      </c>
      <c r="CL53" s="878">
        <f>SUM(BZ53:CK53)</f>
        <v>0</v>
      </c>
      <c r="CM53" s="996"/>
      <c r="CN53" s="994"/>
      <c r="CO53" s="994"/>
      <c r="CP53" s="994"/>
      <c r="CQ53" s="994"/>
      <c r="CR53" s="994"/>
      <c r="CS53" s="994"/>
      <c r="CT53" s="994"/>
      <c r="CU53" s="994"/>
      <c r="CV53" s="994"/>
      <c r="CW53" s="994"/>
      <c r="CX53" s="994"/>
      <c r="CY53" s="977">
        <f>SUM(CM53:CX53)</f>
        <v>0</v>
      </c>
      <c r="CZ53" s="877">
        <f t="shared" si="136"/>
        <v>0</v>
      </c>
      <c r="DA53" s="248">
        <f t="shared" si="136"/>
        <v>0</v>
      </c>
      <c r="DB53" s="248">
        <f t="shared" si="136"/>
        <v>0</v>
      </c>
      <c r="DC53" s="248">
        <f t="shared" si="136"/>
        <v>0</v>
      </c>
      <c r="DD53" s="248">
        <f t="shared" si="136"/>
        <v>0</v>
      </c>
      <c r="DE53" s="248">
        <f t="shared" si="136"/>
        <v>0</v>
      </c>
      <c r="DF53" s="248">
        <f t="shared" si="136"/>
        <v>0</v>
      </c>
      <c r="DG53" s="248">
        <f t="shared" si="136"/>
        <v>0</v>
      </c>
      <c r="DH53" s="248">
        <f t="shared" si="136"/>
        <v>0</v>
      </c>
      <c r="DI53" s="248">
        <f t="shared" si="136"/>
        <v>0</v>
      </c>
      <c r="DJ53" s="248">
        <f t="shared" si="136"/>
        <v>0</v>
      </c>
      <c r="DK53" s="248">
        <f t="shared" si="136"/>
        <v>0</v>
      </c>
      <c r="DL53" s="878">
        <f>SUM(CZ53:DK53)</f>
        <v>0</v>
      </c>
      <c r="DM53" s="996"/>
      <c r="DN53" s="994"/>
      <c r="DO53" s="994"/>
      <c r="DP53" s="994"/>
      <c r="DQ53" s="994"/>
      <c r="DR53" s="994"/>
      <c r="DS53" s="994"/>
      <c r="DT53" s="994"/>
      <c r="DU53" s="994"/>
      <c r="DV53" s="994"/>
      <c r="DW53" s="994"/>
      <c r="DX53" s="994"/>
      <c r="DY53" s="977">
        <f>SUM(DM53:DX53)</f>
        <v>0</v>
      </c>
      <c r="DZ53" s="877">
        <f t="shared" si="137"/>
        <v>0</v>
      </c>
      <c r="EA53" s="248">
        <f t="shared" si="137"/>
        <v>0</v>
      </c>
      <c r="EB53" s="248">
        <f t="shared" si="137"/>
        <v>0</v>
      </c>
      <c r="EC53" s="248">
        <f t="shared" si="137"/>
        <v>0</v>
      </c>
      <c r="ED53" s="248">
        <f t="shared" si="137"/>
        <v>0</v>
      </c>
      <c r="EE53" s="248">
        <f t="shared" si="137"/>
        <v>0</v>
      </c>
      <c r="EF53" s="248">
        <f t="shared" si="137"/>
        <v>0</v>
      </c>
      <c r="EG53" s="248">
        <f t="shared" si="137"/>
        <v>0</v>
      </c>
      <c r="EH53" s="248">
        <f t="shared" si="137"/>
        <v>0</v>
      </c>
      <c r="EI53" s="248">
        <f t="shared" si="137"/>
        <v>0</v>
      </c>
      <c r="EJ53" s="248">
        <f t="shared" si="137"/>
        <v>0</v>
      </c>
      <c r="EK53" s="248">
        <f t="shared" si="137"/>
        <v>0</v>
      </c>
      <c r="EL53" s="878">
        <f>SUM(DZ53:EK53)</f>
        <v>0</v>
      </c>
    </row>
    <row r="54" spans="1:142">
      <c r="A54" s="964" t="s">
        <v>668</v>
      </c>
      <c r="B54" s="896" t="s">
        <v>684</v>
      </c>
      <c r="C54" s="995" t="s">
        <v>685</v>
      </c>
      <c r="D54" s="549">
        <v>4.29</v>
      </c>
      <c r="E54" s="550">
        <v>4.21</v>
      </c>
      <c r="F54" s="550">
        <v>4.0632422983255498</v>
      </c>
      <c r="G54" s="551">
        <v>4.21</v>
      </c>
      <c r="H54" s="549">
        <f t="shared" si="73"/>
        <v>4.21</v>
      </c>
      <c r="I54" s="550">
        <f t="shared" si="73"/>
        <v>4.21</v>
      </c>
      <c r="J54" s="550">
        <f t="shared" si="73"/>
        <v>4.21</v>
      </c>
      <c r="K54" s="973">
        <f t="shared" si="73"/>
        <v>4.21</v>
      </c>
      <c r="L54" s="974"/>
      <c r="M54" s="554">
        <v>5005</v>
      </c>
      <c r="N54" s="552">
        <v>1405</v>
      </c>
      <c r="O54" s="552"/>
      <c r="P54" s="552"/>
      <c r="Q54" s="552">
        <v>1860</v>
      </c>
      <c r="R54" s="552">
        <v>0</v>
      </c>
      <c r="S54" s="552">
        <v>0</v>
      </c>
      <c r="T54" s="552">
        <v>0</v>
      </c>
      <c r="U54" s="552">
        <v>0</v>
      </c>
      <c r="V54" s="552">
        <v>0</v>
      </c>
      <c r="W54" s="552">
        <v>0</v>
      </c>
      <c r="X54" s="552">
        <v>0</v>
      </c>
      <c r="Y54" s="876">
        <f t="shared" si="58"/>
        <v>8270</v>
      </c>
      <c r="Z54" s="877">
        <v>21471.45</v>
      </c>
      <c r="AA54" s="248">
        <v>6429.98</v>
      </c>
      <c r="AB54" s="248">
        <v>0</v>
      </c>
      <c r="AC54" s="248">
        <f t="shared" si="122"/>
        <v>0</v>
      </c>
      <c r="AD54" s="248">
        <v>7588.8</v>
      </c>
      <c r="AE54" s="248">
        <v>0</v>
      </c>
      <c r="AF54" s="248">
        <f t="shared" si="117"/>
        <v>0</v>
      </c>
      <c r="AG54" s="248">
        <f t="shared" si="117"/>
        <v>0</v>
      </c>
      <c r="AH54" s="248">
        <f t="shared" si="117"/>
        <v>0</v>
      </c>
      <c r="AI54" s="248">
        <f t="shared" si="61"/>
        <v>0</v>
      </c>
      <c r="AJ54" s="248">
        <f t="shared" si="61"/>
        <v>0</v>
      </c>
      <c r="AK54" s="248">
        <f t="shared" si="61"/>
        <v>0</v>
      </c>
      <c r="AL54" s="878">
        <f t="shared" si="62"/>
        <v>35490.230000000003</v>
      </c>
      <c r="AM54" s="996"/>
      <c r="AN54" s="994"/>
      <c r="AO54" s="994"/>
      <c r="AP54" s="994"/>
      <c r="AQ54" s="994"/>
      <c r="AR54" s="994"/>
      <c r="AS54" s="994"/>
      <c r="AT54" s="994"/>
      <c r="AU54" s="994"/>
      <c r="AV54" s="994"/>
      <c r="AW54" s="994"/>
      <c r="AX54" s="994"/>
      <c r="AY54" s="977">
        <f t="shared" si="64"/>
        <v>0</v>
      </c>
      <c r="AZ54" s="877">
        <f t="shared" ref="AZ54:BB59" si="138">AM54*$H54</f>
        <v>0</v>
      </c>
      <c r="BA54" s="248">
        <f t="shared" si="138"/>
        <v>0</v>
      </c>
      <c r="BB54" s="248">
        <f t="shared" si="138"/>
        <v>0</v>
      </c>
      <c r="BC54" s="248">
        <f t="shared" si="134"/>
        <v>0</v>
      </c>
      <c r="BD54" s="248">
        <f t="shared" si="134"/>
        <v>0</v>
      </c>
      <c r="BE54" s="248">
        <f t="shared" si="134"/>
        <v>0</v>
      </c>
      <c r="BF54" s="248">
        <f t="shared" si="134"/>
        <v>0</v>
      </c>
      <c r="BG54" s="248">
        <f t="shared" si="134"/>
        <v>0</v>
      </c>
      <c r="BH54" s="248">
        <f t="shared" si="134"/>
        <v>0</v>
      </c>
      <c r="BI54" s="248">
        <f t="shared" si="134"/>
        <v>0</v>
      </c>
      <c r="BJ54" s="248">
        <f t="shared" si="134"/>
        <v>0</v>
      </c>
      <c r="BK54" s="248">
        <f t="shared" si="134"/>
        <v>0</v>
      </c>
      <c r="BL54" s="878">
        <f t="shared" si="47"/>
        <v>0</v>
      </c>
      <c r="BM54" s="996"/>
      <c r="BN54" s="994"/>
      <c r="BO54" s="994"/>
      <c r="BP54" s="994"/>
      <c r="BQ54" s="994"/>
      <c r="BR54" s="994"/>
      <c r="BS54" s="994"/>
      <c r="BT54" s="994"/>
      <c r="BU54" s="994"/>
      <c r="BV54" s="994"/>
      <c r="BW54" s="994"/>
      <c r="BX54" s="994"/>
      <c r="BY54" s="977">
        <f t="shared" si="66"/>
        <v>0</v>
      </c>
      <c r="BZ54" s="877">
        <f t="shared" ref="BZ54:CB59" si="139">BM54*$I54</f>
        <v>0</v>
      </c>
      <c r="CA54" s="248">
        <f t="shared" si="139"/>
        <v>0</v>
      </c>
      <c r="CB54" s="248">
        <f t="shared" si="139"/>
        <v>0</v>
      </c>
      <c r="CC54" s="248">
        <f t="shared" si="135"/>
        <v>0</v>
      </c>
      <c r="CD54" s="248">
        <f t="shared" si="135"/>
        <v>0</v>
      </c>
      <c r="CE54" s="248">
        <f t="shared" si="135"/>
        <v>0</v>
      </c>
      <c r="CF54" s="248">
        <f t="shared" si="135"/>
        <v>0</v>
      </c>
      <c r="CG54" s="248">
        <f t="shared" si="135"/>
        <v>0</v>
      </c>
      <c r="CH54" s="248">
        <f t="shared" si="135"/>
        <v>0</v>
      </c>
      <c r="CI54" s="248">
        <f t="shared" si="135"/>
        <v>0</v>
      </c>
      <c r="CJ54" s="248">
        <f t="shared" si="135"/>
        <v>0</v>
      </c>
      <c r="CK54" s="248">
        <f t="shared" si="135"/>
        <v>0</v>
      </c>
      <c r="CL54" s="878">
        <f t="shared" si="68"/>
        <v>0</v>
      </c>
      <c r="CM54" s="996"/>
      <c r="CN54" s="994"/>
      <c r="CO54" s="994"/>
      <c r="CP54" s="994"/>
      <c r="CQ54" s="994"/>
      <c r="CR54" s="994"/>
      <c r="CS54" s="994"/>
      <c r="CT54" s="994"/>
      <c r="CU54" s="994"/>
      <c r="CV54" s="994"/>
      <c r="CW54" s="994"/>
      <c r="CX54" s="994"/>
      <c r="CY54" s="977">
        <f t="shared" si="69"/>
        <v>0</v>
      </c>
      <c r="CZ54" s="877">
        <f t="shared" ref="CZ54" si="140">CM54*$J54</f>
        <v>0</v>
      </c>
      <c r="DA54" s="248">
        <f t="shared" si="136"/>
        <v>0</v>
      </c>
      <c r="DB54" s="248">
        <f t="shared" si="136"/>
        <v>0</v>
      </c>
      <c r="DC54" s="248">
        <f t="shared" si="136"/>
        <v>0</v>
      </c>
      <c r="DD54" s="248">
        <f t="shared" si="136"/>
        <v>0</v>
      </c>
      <c r="DE54" s="248">
        <f t="shared" si="136"/>
        <v>0</v>
      </c>
      <c r="DF54" s="248">
        <f t="shared" si="136"/>
        <v>0</v>
      </c>
      <c r="DG54" s="248">
        <f t="shared" si="136"/>
        <v>0</v>
      </c>
      <c r="DH54" s="248">
        <f t="shared" si="136"/>
        <v>0</v>
      </c>
      <c r="DI54" s="248">
        <f t="shared" si="136"/>
        <v>0</v>
      </c>
      <c r="DJ54" s="248">
        <f t="shared" si="136"/>
        <v>0</v>
      </c>
      <c r="DK54" s="248">
        <f t="shared" si="136"/>
        <v>0</v>
      </c>
      <c r="DL54" s="878">
        <f t="shared" si="50"/>
        <v>0</v>
      </c>
      <c r="DM54" s="996"/>
      <c r="DN54" s="994"/>
      <c r="DO54" s="994"/>
      <c r="DP54" s="994"/>
      <c r="DQ54" s="994"/>
      <c r="DR54" s="994"/>
      <c r="DS54" s="994"/>
      <c r="DT54" s="994"/>
      <c r="DU54" s="994"/>
      <c r="DV54" s="994"/>
      <c r="DW54" s="994"/>
      <c r="DX54" s="994"/>
      <c r="DY54" s="977">
        <f t="shared" si="71"/>
        <v>0</v>
      </c>
      <c r="DZ54" s="877">
        <f t="shared" ref="DZ54" si="141">DM54*$K54</f>
        <v>0</v>
      </c>
      <c r="EA54" s="248">
        <f t="shared" si="137"/>
        <v>0</v>
      </c>
      <c r="EB54" s="248">
        <f t="shared" si="137"/>
        <v>0</v>
      </c>
      <c r="EC54" s="248">
        <f t="shared" si="137"/>
        <v>0</v>
      </c>
      <c r="ED54" s="248">
        <f t="shared" si="137"/>
        <v>0</v>
      </c>
      <c r="EE54" s="248">
        <f t="shared" si="137"/>
        <v>0</v>
      </c>
      <c r="EF54" s="248">
        <f t="shared" si="137"/>
        <v>0</v>
      </c>
      <c r="EG54" s="248">
        <f t="shared" si="137"/>
        <v>0</v>
      </c>
      <c r="EH54" s="248">
        <f t="shared" si="137"/>
        <v>0</v>
      </c>
      <c r="EI54" s="248">
        <f t="shared" si="137"/>
        <v>0</v>
      </c>
      <c r="EJ54" s="248">
        <f t="shared" si="137"/>
        <v>0</v>
      </c>
      <c r="EK54" s="248">
        <f t="shared" si="137"/>
        <v>0</v>
      </c>
      <c r="EL54" s="878">
        <f t="shared" si="52"/>
        <v>0</v>
      </c>
    </row>
    <row r="55" spans="1:142">
      <c r="A55" s="978" t="s">
        <v>668</v>
      </c>
      <c r="B55" s="904" t="s">
        <v>686</v>
      </c>
      <c r="C55" s="998"/>
      <c r="D55" s="980"/>
      <c r="E55" s="981"/>
      <c r="F55" s="981"/>
      <c r="G55" s="982"/>
      <c r="H55" s="980">
        <f>4.5</f>
        <v>4.5</v>
      </c>
      <c r="I55" s="981">
        <f t="shared" si="73"/>
        <v>4.5</v>
      </c>
      <c r="J55" s="981">
        <f t="shared" si="73"/>
        <v>4.5</v>
      </c>
      <c r="K55" s="983">
        <f t="shared" si="73"/>
        <v>4.5</v>
      </c>
      <c r="L55" s="1012"/>
      <c r="M55" s="1003"/>
      <c r="N55" s="1004"/>
      <c r="O55" s="1004"/>
      <c r="P55" s="1004"/>
      <c r="Q55" s="1004"/>
      <c r="R55" s="1004"/>
      <c r="S55" s="1004"/>
      <c r="T55" s="1004"/>
      <c r="U55" s="1013"/>
      <c r="V55" s="1013"/>
      <c r="W55" s="1013"/>
      <c r="X55" s="1013"/>
      <c r="Y55" s="1005">
        <f t="shared" si="58"/>
        <v>0</v>
      </c>
      <c r="Z55" s="991"/>
      <c r="AA55" s="992"/>
      <c r="AB55" s="992">
        <v>0</v>
      </c>
      <c r="AC55" s="992">
        <f t="shared" si="122"/>
        <v>0</v>
      </c>
      <c r="AD55" s="248">
        <f t="shared" si="122"/>
        <v>0</v>
      </c>
      <c r="AE55" s="992">
        <f t="shared" si="122"/>
        <v>0</v>
      </c>
      <c r="AF55" s="992">
        <f t="shared" si="117"/>
        <v>0</v>
      </c>
      <c r="AG55" s="992">
        <f t="shared" si="117"/>
        <v>0</v>
      </c>
      <c r="AH55" s="992">
        <f t="shared" si="117"/>
        <v>0</v>
      </c>
      <c r="AI55" s="992">
        <f t="shared" si="61"/>
        <v>0</v>
      </c>
      <c r="AJ55" s="992">
        <f t="shared" si="61"/>
        <v>0</v>
      </c>
      <c r="AK55" s="992">
        <f t="shared" si="61"/>
        <v>0</v>
      </c>
      <c r="AL55" s="993">
        <f t="shared" si="62"/>
        <v>0</v>
      </c>
      <c r="AM55" s="1006"/>
      <c r="AN55" s="1007"/>
      <c r="AO55" s="1007"/>
      <c r="AP55" s="1007"/>
      <c r="AQ55" s="1007"/>
      <c r="AR55" s="1007"/>
      <c r="AS55" s="1007">
        <v>3000</v>
      </c>
      <c r="AT55" s="1007">
        <v>5000</v>
      </c>
      <c r="AU55" s="1007">
        <v>10000</v>
      </c>
      <c r="AV55" s="1007">
        <v>10000</v>
      </c>
      <c r="AW55" s="1007">
        <v>10000</v>
      </c>
      <c r="AX55" s="1007">
        <v>10000</v>
      </c>
      <c r="AY55" s="990">
        <f t="shared" si="64"/>
        <v>48000</v>
      </c>
      <c r="AZ55" s="991">
        <f t="shared" si="138"/>
        <v>0</v>
      </c>
      <c r="BA55" s="992">
        <f t="shared" si="138"/>
        <v>0</v>
      </c>
      <c r="BB55" s="992">
        <f t="shared" si="138"/>
        <v>0</v>
      </c>
      <c r="BC55" s="992">
        <f t="shared" si="134"/>
        <v>0</v>
      </c>
      <c r="BD55" s="992">
        <f t="shared" si="134"/>
        <v>0</v>
      </c>
      <c r="BE55" s="992">
        <f t="shared" si="134"/>
        <v>0</v>
      </c>
      <c r="BF55" s="992">
        <f t="shared" si="134"/>
        <v>13500</v>
      </c>
      <c r="BG55" s="992">
        <f t="shared" si="134"/>
        <v>22500</v>
      </c>
      <c r="BH55" s="992">
        <f t="shared" si="134"/>
        <v>45000</v>
      </c>
      <c r="BI55" s="992">
        <f t="shared" si="134"/>
        <v>45000</v>
      </c>
      <c r="BJ55" s="992">
        <f t="shared" si="134"/>
        <v>45000</v>
      </c>
      <c r="BK55" s="992">
        <f t="shared" si="134"/>
        <v>45000</v>
      </c>
      <c r="BL55" s="993">
        <f t="shared" si="47"/>
        <v>216000</v>
      </c>
      <c r="BM55" s="1006">
        <f>200000/12</f>
        <v>16666.666666666668</v>
      </c>
      <c r="BN55" s="1006">
        <f t="shared" ref="BN55:BX56" si="142">200000/12</f>
        <v>16666.666666666668</v>
      </c>
      <c r="BO55" s="1006">
        <f t="shared" si="142"/>
        <v>16666.666666666668</v>
      </c>
      <c r="BP55" s="1006">
        <f t="shared" si="142"/>
        <v>16666.666666666668</v>
      </c>
      <c r="BQ55" s="1006">
        <f t="shared" si="142"/>
        <v>16666.666666666668</v>
      </c>
      <c r="BR55" s="1006">
        <f t="shared" si="142"/>
        <v>16666.666666666668</v>
      </c>
      <c r="BS55" s="1006">
        <f t="shared" si="142"/>
        <v>16666.666666666668</v>
      </c>
      <c r="BT55" s="1006">
        <f t="shared" si="142"/>
        <v>16666.666666666668</v>
      </c>
      <c r="BU55" s="1006">
        <f t="shared" si="142"/>
        <v>16666.666666666668</v>
      </c>
      <c r="BV55" s="1006">
        <f t="shared" si="142"/>
        <v>16666.666666666668</v>
      </c>
      <c r="BW55" s="1006">
        <f t="shared" si="142"/>
        <v>16666.666666666668</v>
      </c>
      <c r="BX55" s="1006">
        <f t="shared" si="142"/>
        <v>16666.666666666668</v>
      </c>
      <c r="BY55" s="990">
        <f t="shared" si="66"/>
        <v>199999.99999999997</v>
      </c>
      <c r="BZ55" s="991">
        <f t="shared" si="139"/>
        <v>75000</v>
      </c>
      <c r="CA55" s="992">
        <f t="shared" si="139"/>
        <v>75000</v>
      </c>
      <c r="CB55" s="992">
        <f t="shared" si="139"/>
        <v>75000</v>
      </c>
      <c r="CC55" s="992">
        <f t="shared" si="135"/>
        <v>75000</v>
      </c>
      <c r="CD55" s="992">
        <f t="shared" si="135"/>
        <v>75000</v>
      </c>
      <c r="CE55" s="992">
        <f t="shared" si="135"/>
        <v>75000</v>
      </c>
      <c r="CF55" s="992">
        <f t="shared" si="135"/>
        <v>75000</v>
      </c>
      <c r="CG55" s="992">
        <f t="shared" si="135"/>
        <v>75000</v>
      </c>
      <c r="CH55" s="992">
        <f t="shared" si="135"/>
        <v>75000</v>
      </c>
      <c r="CI55" s="992">
        <f t="shared" si="135"/>
        <v>75000</v>
      </c>
      <c r="CJ55" s="992">
        <f t="shared" si="135"/>
        <v>75000</v>
      </c>
      <c r="CK55" s="992">
        <f t="shared" si="135"/>
        <v>75000</v>
      </c>
      <c r="CL55" s="993">
        <f t="shared" si="68"/>
        <v>900000</v>
      </c>
      <c r="CM55" s="1006">
        <f>200000/12</f>
        <v>16666.666666666668</v>
      </c>
      <c r="CN55" s="1006">
        <f t="shared" ref="CN55:CX56" si="143">200000/12</f>
        <v>16666.666666666668</v>
      </c>
      <c r="CO55" s="1006">
        <f t="shared" si="143"/>
        <v>16666.666666666668</v>
      </c>
      <c r="CP55" s="1006">
        <f t="shared" si="143"/>
        <v>16666.666666666668</v>
      </c>
      <c r="CQ55" s="1006">
        <f t="shared" si="143"/>
        <v>16666.666666666668</v>
      </c>
      <c r="CR55" s="1006">
        <f t="shared" si="143"/>
        <v>16666.666666666668</v>
      </c>
      <c r="CS55" s="1006">
        <f t="shared" si="143"/>
        <v>16666.666666666668</v>
      </c>
      <c r="CT55" s="1006">
        <f t="shared" si="143"/>
        <v>16666.666666666668</v>
      </c>
      <c r="CU55" s="1006">
        <f t="shared" si="143"/>
        <v>16666.666666666668</v>
      </c>
      <c r="CV55" s="1006">
        <f t="shared" si="143"/>
        <v>16666.666666666668</v>
      </c>
      <c r="CW55" s="1006">
        <f t="shared" si="143"/>
        <v>16666.666666666668</v>
      </c>
      <c r="CX55" s="1006">
        <f t="shared" si="143"/>
        <v>16666.666666666668</v>
      </c>
      <c r="CY55" s="990">
        <f t="shared" si="69"/>
        <v>199999.99999999997</v>
      </c>
      <c r="CZ55" s="991">
        <f t="shared" si="136"/>
        <v>75000</v>
      </c>
      <c r="DA55" s="992">
        <f t="shared" si="136"/>
        <v>75000</v>
      </c>
      <c r="DB55" s="992">
        <f t="shared" si="136"/>
        <v>75000</v>
      </c>
      <c r="DC55" s="992">
        <f t="shared" si="136"/>
        <v>75000</v>
      </c>
      <c r="DD55" s="992">
        <f t="shared" si="136"/>
        <v>75000</v>
      </c>
      <c r="DE55" s="992">
        <f t="shared" si="136"/>
        <v>75000</v>
      </c>
      <c r="DF55" s="992">
        <f t="shared" si="136"/>
        <v>75000</v>
      </c>
      <c r="DG55" s="992">
        <f t="shared" si="136"/>
        <v>75000</v>
      </c>
      <c r="DH55" s="992">
        <f t="shared" si="136"/>
        <v>75000</v>
      </c>
      <c r="DI55" s="992">
        <f t="shared" si="136"/>
        <v>75000</v>
      </c>
      <c r="DJ55" s="992">
        <f t="shared" si="136"/>
        <v>75000</v>
      </c>
      <c r="DK55" s="992">
        <f t="shared" si="136"/>
        <v>75000</v>
      </c>
      <c r="DL55" s="993">
        <f t="shared" si="50"/>
        <v>900000</v>
      </c>
      <c r="DM55" s="1006">
        <f>250000/12</f>
        <v>20833.333333333332</v>
      </c>
      <c r="DN55" s="1006">
        <f t="shared" ref="DN55:DX56" si="144">250000/12</f>
        <v>20833.333333333332</v>
      </c>
      <c r="DO55" s="1006">
        <f t="shared" si="144"/>
        <v>20833.333333333332</v>
      </c>
      <c r="DP55" s="1006">
        <f t="shared" si="144"/>
        <v>20833.333333333332</v>
      </c>
      <c r="DQ55" s="1006">
        <f t="shared" si="144"/>
        <v>20833.333333333332</v>
      </c>
      <c r="DR55" s="1006">
        <f t="shared" si="144"/>
        <v>20833.333333333332</v>
      </c>
      <c r="DS55" s="1006">
        <f t="shared" si="144"/>
        <v>20833.333333333332</v>
      </c>
      <c r="DT55" s="1006">
        <f t="shared" si="144"/>
        <v>20833.333333333332</v>
      </c>
      <c r="DU55" s="1006">
        <f t="shared" si="144"/>
        <v>20833.333333333332</v>
      </c>
      <c r="DV55" s="1006">
        <f t="shared" si="144"/>
        <v>20833.333333333332</v>
      </c>
      <c r="DW55" s="1006">
        <f t="shared" si="144"/>
        <v>20833.333333333332</v>
      </c>
      <c r="DX55" s="1006">
        <f t="shared" si="144"/>
        <v>20833.333333333332</v>
      </c>
      <c r="DY55" s="990">
        <f t="shared" si="71"/>
        <v>250000.00000000003</v>
      </c>
      <c r="DZ55" s="991">
        <f t="shared" si="137"/>
        <v>93750</v>
      </c>
      <c r="EA55" s="992">
        <f t="shared" si="137"/>
        <v>93750</v>
      </c>
      <c r="EB55" s="992">
        <f t="shared" si="137"/>
        <v>93750</v>
      </c>
      <c r="EC55" s="992">
        <f t="shared" si="137"/>
        <v>93750</v>
      </c>
      <c r="ED55" s="992">
        <f t="shared" si="137"/>
        <v>93750</v>
      </c>
      <c r="EE55" s="992">
        <f t="shared" si="137"/>
        <v>93750</v>
      </c>
      <c r="EF55" s="992">
        <f t="shared" si="137"/>
        <v>93750</v>
      </c>
      <c r="EG55" s="992">
        <f t="shared" si="137"/>
        <v>93750</v>
      </c>
      <c r="EH55" s="992">
        <f t="shared" si="137"/>
        <v>93750</v>
      </c>
      <c r="EI55" s="992">
        <f t="shared" si="137"/>
        <v>93750</v>
      </c>
      <c r="EJ55" s="992">
        <f t="shared" si="137"/>
        <v>93750</v>
      </c>
      <c r="EK55" s="992">
        <f t="shared" si="137"/>
        <v>93750</v>
      </c>
      <c r="EL55" s="993">
        <f t="shared" si="52"/>
        <v>1125000</v>
      </c>
    </row>
    <row r="56" spans="1:142">
      <c r="A56" s="978" t="s">
        <v>668</v>
      </c>
      <c r="B56" s="904" t="s">
        <v>687</v>
      </c>
      <c r="C56" s="998"/>
      <c r="D56" s="980"/>
      <c r="E56" s="981"/>
      <c r="F56" s="981"/>
      <c r="G56" s="982"/>
      <c r="H56" s="980">
        <v>1.65</v>
      </c>
      <c r="I56" s="981">
        <f t="shared" si="73"/>
        <v>1.65</v>
      </c>
      <c r="J56" s="981">
        <f t="shared" si="73"/>
        <v>1.65</v>
      </c>
      <c r="K56" s="983">
        <f t="shared" si="73"/>
        <v>1.65</v>
      </c>
      <c r="L56" s="1012"/>
      <c r="M56" s="1003"/>
      <c r="N56" s="1004"/>
      <c r="O56" s="1004"/>
      <c r="P56" s="1004"/>
      <c r="Q56" s="1004"/>
      <c r="R56" s="1004"/>
      <c r="S56" s="1004"/>
      <c r="T56" s="1004"/>
      <c r="U56" s="1013"/>
      <c r="V56" s="1013"/>
      <c r="W56" s="1013"/>
      <c r="X56" s="1013"/>
      <c r="Y56" s="1005">
        <f t="shared" si="58"/>
        <v>0</v>
      </c>
      <c r="Z56" s="991"/>
      <c r="AA56" s="992"/>
      <c r="AB56" s="992">
        <v>0</v>
      </c>
      <c r="AC56" s="992">
        <f t="shared" si="122"/>
        <v>0</v>
      </c>
      <c r="AD56" s="248">
        <f t="shared" si="122"/>
        <v>0</v>
      </c>
      <c r="AE56" s="992">
        <f t="shared" si="122"/>
        <v>0</v>
      </c>
      <c r="AF56" s="992">
        <f t="shared" si="117"/>
        <v>0</v>
      </c>
      <c r="AG56" s="992">
        <f t="shared" si="117"/>
        <v>0</v>
      </c>
      <c r="AH56" s="992">
        <f t="shared" si="117"/>
        <v>0</v>
      </c>
      <c r="AI56" s="992">
        <f t="shared" si="61"/>
        <v>0</v>
      </c>
      <c r="AJ56" s="992">
        <f t="shared" si="61"/>
        <v>0</v>
      </c>
      <c r="AK56" s="992">
        <f t="shared" si="61"/>
        <v>0</v>
      </c>
      <c r="AL56" s="993">
        <f t="shared" si="62"/>
        <v>0</v>
      </c>
      <c r="AM56" s="1006"/>
      <c r="AN56" s="1007"/>
      <c r="AO56" s="1007"/>
      <c r="AP56" s="1007"/>
      <c r="AQ56" s="1007"/>
      <c r="AR56" s="1007"/>
      <c r="AS56" s="1007">
        <v>3000</v>
      </c>
      <c r="AT56" s="1007">
        <v>5000</v>
      </c>
      <c r="AU56" s="1007">
        <v>10000</v>
      </c>
      <c r="AV56" s="1007">
        <v>10000</v>
      </c>
      <c r="AW56" s="1007">
        <v>10000</v>
      </c>
      <c r="AX56" s="1007">
        <v>10000</v>
      </c>
      <c r="AY56" s="990">
        <f t="shared" si="64"/>
        <v>48000</v>
      </c>
      <c r="AZ56" s="991">
        <f t="shared" si="138"/>
        <v>0</v>
      </c>
      <c r="BA56" s="992">
        <f t="shared" si="138"/>
        <v>0</v>
      </c>
      <c r="BB56" s="992">
        <f t="shared" si="138"/>
        <v>0</v>
      </c>
      <c r="BC56" s="992">
        <f t="shared" si="134"/>
        <v>0</v>
      </c>
      <c r="BD56" s="992">
        <f t="shared" si="134"/>
        <v>0</v>
      </c>
      <c r="BE56" s="992">
        <f t="shared" si="134"/>
        <v>0</v>
      </c>
      <c r="BF56" s="992">
        <f t="shared" si="134"/>
        <v>4950</v>
      </c>
      <c r="BG56" s="992">
        <f t="shared" si="134"/>
        <v>8250</v>
      </c>
      <c r="BH56" s="992">
        <f t="shared" si="134"/>
        <v>16500</v>
      </c>
      <c r="BI56" s="992">
        <f t="shared" si="134"/>
        <v>16500</v>
      </c>
      <c r="BJ56" s="992">
        <f t="shared" si="134"/>
        <v>16500</v>
      </c>
      <c r="BK56" s="992">
        <f t="shared" si="134"/>
        <v>16500</v>
      </c>
      <c r="BL56" s="993">
        <f t="shared" si="47"/>
        <v>79200</v>
      </c>
      <c r="BM56" s="1006">
        <f>200000/12</f>
        <v>16666.666666666668</v>
      </c>
      <c r="BN56" s="1006">
        <f t="shared" si="142"/>
        <v>16666.666666666668</v>
      </c>
      <c r="BO56" s="1006">
        <f t="shared" si="142"/>
        <v>16666.666666666668</v>
      </c>
      <c r="BP56" s="1006">
        <f t="shared" si="142"/>
        <v>16666.666666666668</v>
      </c>
      <c r="BQ56" s="1006">
        <f t="shared" si="142"/>
        <v>16666.666666666668</v>
      </c>
      <c r="BR56" s="1006">
        <f t="shared" si="142"/>
        <v>16666.666666666668</v>
      </c>
      <c r="BS56" s="1006">
        <f t="shared" si="142"/>
        <v>16666.666666666668</v>
      </c>
      <c r="BT56" s="1006">
        <f t="shared" si="142"/>
        <v>16666.666666666668</v>
      </c>
      <c r="BU56" s="1006">
        <f t="shared" si="142"/>
        <v>16666.666666666668</v>
      </c>
      <c r="BV56" s="1006">
        <f t="shared" si="142"/>
        <v>16666.666666666668</v>
      </c>
      <c r="BW56" s="1006">
        <f t="shared" si="142"/>
        <v>16666.666666666668</v>
      </c>
      <c r="BX56" s="1006">
        <f t="shared" si="142"/>
        <v>16666.666666666668</v>
      </c>
      <c r="BY56" s="990">
        <f t="shared" si="66"/>
        <v>199999.99999999997</v>
      </c>
      <c r="BZ56" s="991">
        <f t="shared" si="139"/>
        <v>27500</v>
      </c>
      <c r="CA56" s="992">
        <f t="shared" si="139"/>
        <v>27500</v>
      </c>
      <c r="CB56" s="992">
        <f t="shared" si="139"/>
        <v>27500</v>
      </c>
      <c r="CC56" s="992">
        <f t="shared" si="135"/>
        <v>27500</v>
      </c>
      <c r="CD56" s="992">
        <f t="shared" si="135"/>
        <v>27500</v>
      </c>
      <c r="CE56" s="992">
        <f t="shared" si="135"/>
        <v>27500</v>
      </c>
      <c r="CF56" s="992">
        <f t="shared" si="135"/>
        <v>27500</v>
      </c>
      <c r="CG56" s="992">
        <f t="shared" si="135"/>
        <v>27500</v>
      </c>
      <c r="CH56" s="992">
        <f t="shared" si="135"/>
        <v>27500</v>
      </c>
      <c r="CI56" s="992">
        <f t="shared" si="135"/>
        <v>27500</v>
      </c>
      <c r="CJ56" s="992">
        <f t="shared" si="135"/>
        <v>27500</v>
      </c>
      <c r="CK56" s="992">
        <f t="shared" si="135"/>
        <v>27500</v>
      </c>
      <c r="CL56" s="993">
        <f t="shared" si="68"/>
        <v>330000</v>
      </c>
      <c r="CM56" s="1006">
        <f>200000/12</f>
        <v>16666.666666666668</v>
      </c>
      <c r="CN56" s="1006">
        <f t="shared" si="143"/>
        <v>16666.666666666668</v>
      </c>
      <c r="CO56" s="1006">
        <f t="shared" si="143"/>
        <v>16666.666666666668</v>
      </c>
      <c r="CP56" s="1006">
        <f t="shared" si="143"/>
        <v>16666.666666666668</v>
      </c>
      <c r="CQ56" s="1006">
        <f t="shared" si="143"/>
        <v>16666.666666666668</v>
      </c>
      <c r="CR56" s="1006">
        <f t="shared" si="143"/>
        <v>16666.666666666668</v>
      </c>
      <c r="CS56" s="1006">
        <f t="shared" si="143"/>
        <v>16666.666666666668</v>
      </c>
      <c r="CT56" s="1006">
        <f t="shared" si="143"/>
        <v>16666.666666666668</v>
      </c>
      <c r="CU56" s="1006">
        <f t="shared" si="143"/>
        <v>16666.666666666668</v>
      </c>
      <c r="CV56" s="1006">
        <f t="shared" si="143"/>
        <v>16666.666666666668</v>
      </c>
      <c r="CW56" s="1006">
        <f t="shared" si="143"/>
        <v>16666.666666666668</v>
      </c>
      <c r="CX56" s="1006">
        <f t="shared" si="143"/>
        <v>16666.666666666668</v>
      </c>
      <c r="CY56" s="990">
        <f t="shared" si="69"/>
        <v>199999.99999999997</v>
      </c>
      <c r="CZ56" s="991">
        <f t="shared" si="136"/>
        <v>27500</v>
      </c>
      <c r="DA56" s="992">
        <f t="shared" si="136"/>
        <v>27500</v>
      </c>
      <c r="DB56" s="992">
        <f t="shared" si="136"/>
        <v>27500</v>
      </c>
      <c r="DC56" s="992">
        <f t="shared" si="136"/>
        <v>27500</v>
      </c>
      <c r="DD56" s="992">
        <f t="shared" si="136"/>
        <v>27500</v>
      </c>
      <c r="DE56" s="992">
        <f t="shared" si="136"/>
        <v>27500</v>
      </c>
      <c r="DF56" s="992">
        <f t="shared" si="136"/>
        <v>27500</v>
      </c>
      <c r="DG56" s="992">
        <f t="shared" si="136"/>
        <v>27500</v>
      </c>
      <c r="DH56" s="992">
        <f t="shared" si="136"/>
        <v>27500</v>
      </c>
      <c r="DI56" s="992">
        <f t="shared" si="136"/>
        <v>27500</v>
      </c>
      <c r="DJ56" s="992">
        <f t="shared" si="136"/>
        <v>27500</v>
      </c>
      <c r="DK56" s="992">
        <f t="shared" si="136"/>
        <v>27500</v>
      </c>
      <c r="DL56" s="993">
        <f t="shared" si="50"/>
        <v>330000</v>
      </c>
      <c r="DM56" s="1006">
        <f>250000/12</f>
        <v>20833.333333333332</v>
      </c>
      <c r="DN56" s="1006">
        <f t="shared" si="144"/>
        <v>20833.333333333332</v>
      </c>
      <c r="DO56" s="1006">
        <f t="shared" si="144"/>
        <v>20833.333333333332</v>
      </c>
      <c r="DP56" s="1006">
        <f t="shared" si="144"/>
        <v>20833.333333333332</v>
      </c>
      <c r="DQ56" s="1006">
        <f t="shared" si="144"/>
        <v>20833.333333333332</v>
      </c>
      <c r="DR56" s="1006">
        <f t="shared" si="144"/>
        <v>20833.333333333332</v>
      </c>
      <c r="DS56" s="1006">
        <f t="shared" si="144"/>
        <v>20833.333333333332</v>
      </c>
      <c r="DT56" s="1006">
        <f t="shared" si="144"/>
        <v>20833.333333333332</v>
      </c>
      <c r="DU56" s="1006">
        <f t="shared" si="144"/>
        <v>20833.333333333332</v>
      </c>
      <c r="DV56" s="1006">
        <f t="shared" si="144"/>
        <v>20833.333333333332</v>
      </c>
      <c r="DW56" s="1006">
        <f t="shared" si="144"/>
        <v>20833.333333333332</v>
      </c>
      <c r="DX56" s="1006">
        <f t="shared" si="144"/>
        <v>20833.333333333332</v>
      </c>
      <c r="DY56" s="990">
        <f t="shared" si="71"/>
        <v>250000.00000000003</v>
      </c>
      <c r="DZ56" s="991">
        <f t="shared" si="137"/>
        <v>34374.999999999993</v>
      </c>
      <c r="EA56" s="992">
        <f t="shared" si="137"/>
        <v>34374.999999999993</v>
      </c>
      <c r="EB56" s="992">
        <f t="shared" si="137"/>
        <v>34374.999999999993</v>
      </c>
      <c r="EC56" s="992">
        <f t="shared" si="137"/>
        <v>34374.999999999993</v>
      </c>
      <c r="ED56" s="992">
        <f t="shared" si="137"/>
        <v>34374.999999999993</v>
      </c>
      <c r="EE56" s="992">
        <f t="shared" si="137"/>
        <v>34374.999999999993</v>
      </c>
      <c r="EF56" s="992">
        <f t="shared" si="137"/>
        <v>34374.999999999993</v>
      </c>
      <c r="EG56" s="992">
        <f t="shared" si="137"/>
        <v>34374.999999999993</v>
      </c>
      <c r="EH56" s="992">
        <f t="shared" si="137"/>
        <v>34374.999999999993</v>
      </c>
      <c r="EI56" s="992">
        <f t="shared" si="137"/>
        <v>34374.999999999993</v>
      </c>
      <c r="EJ56" s="992">
        <f t="shared" si="137"/>
        <v>34374.999999999993</v>
      </c>
      <c r="EK56" s="992">
        <f t="shared" si="137"/>
        <v>34374.999999999993</v>
      </c>
      <c r="EL56" s="993">
        <f t="shared" si="52"/>
        <v>412499.99999999994</v>
      </c>
    </row>
    <row r="57" spans="1:142">
      <c r="A57" s="978" t="s">
        <v>668</v>
      </c>
      <c r="B57" s="904" t="s">
        <v>688</v>
      </c>
      <c r="C57" s="998"/>
      <c r="D57" s="980"/>
      <c r="E57" s="981"/>
      <c r="F57" s="981"/>
      <c r="G57" s="982"/>
      <c r="H57" s="980">
        <v>4.5</v>
      </c>
      <c r="I57" s="981">
        <f t="shared" si="73"/>
        <v>4.5</v>
      </c>
      <c r="J57" s="981">
        <f t="shared" si="73"/>
        <v>4.5</v>
      </c>
      <c r="K57" s="983">
        <f t="shared" si="73"/>
        <v>4.5</v>
      </c>
      <c r="L57" s="1012"/>
      <c r="M57" s="1003"/>
      <c r="N57" s="1004"/>
      <c r="O57" s="1004"/>
      <c r="P57" s="1004"/>
      <c r="Q57" s="1004"/>
      <c r="R57" s="1004"/>
      <c r="S57" s="1004"/>
      <c r="T57" s="1004"/>
      <c r="U57" s="1013"/>
      <c r="V57" s="1013"/>
      <c r="W57" s="1013"/>
      <c r="X57" s="1013"/>
      <c r="Y57" s="1005">
        <f t="shared" si="58"/>
        <v>0</v>
      </c>
      <c r="Z57" s="991"/>
      <c r="AA57" s="992"/>
      <c r="AB57" s="992">
        <v>0</v>
      </c>
      <c r="AC57" s="992">
        <f t="shared" si="122"/>
        <v>0</v>
      </c>
      <c r="AD57" s="248">
        <f t="shared" si="122"/>
        <v>0</v>
      </c>
      <c r="AE57" s="992">
        <f t="shared" si="122"/>
        <v>0</v>
      </c>
      <c r="AF57" s="992">
        <f t="shared" si="117"/>
        <v>0</v>
      </c>
      <c r="AG57" s="992">
        <f t="shared" si="117"/>
        <v>0</v>
      </c>
      <c r="AH57" s="992">
        <f t="shared" si="117"/>
        <v>0</v>
      </c>
      <c r="AI57" s="992">
        <f t="shared" si="61"/>
        <v>0</v>
      </c>
      <c r="AJ57" s="992">
        <f t="shared" si="61"/>
        <v>0</v>
      </c>
      <c r="AK57" s="992">
        <f t="shared" si="61"/>
        <v>0</v>
      </c>
      <c r="AL57" s="993">
        <f t="shared" si="62"/>
        <v>0</v>
      </c>
      <c r="AM57" s="1006"/>
      <c r="AN57" s="1007"/>
      <c r="AO57" s="1007"/>
      <c r="AP57" s="1007"/>
      <c r="AQ57" s="1007"/>
      <c r="AR57" s="1007"/>
      <c r="AS57" s="1007"/>
      <c r="AT57" s="1007"/>
      <c r="AU57" s="1007">
        <v>3000</v>
      </c>
      <c r="AV57" s="1007">
        <v>5000</v>
      </c>
      <c r="AW57" s="1007">
        <v>10000</v>
      </c>
      <c r="AX57" s="1007">
        <v>10000</v>
      </c>
      <c r="AY57" s="990">
        <f t="shared" si="64"/>
        <v>28000</v>
      </c>
      <c r="AZ57" s="991">
        <f t="shared" si="138"/>
        <v>0</v>
      </c>
      <c r="BA57" s="992">
        <f t="shared" si="138"/>
        <v>0</v>
      </c>
      <c r="BB57" s="992">
        <f t="shared" si="138"/>
        <v>0</v>
      </c>
      <c r="BC57" s="992">
        <f t="shared" si="134"/>
        <v>0</v>
      </c>
      <c r="BD57" s="992">
        <f t="shared" si="134"/>
        <v>0</v>
      </c>
      <c r="BE57" s="992">
        <f t="shared" si="134"/>
        <v>0</v>
      </c>
      <c r="BF57" s="992">
        <f t="shared" si="134"/>
        <v>0</v>
      </c>
      <c r="BG57" s="992">
        <f t="shared" si="134"/>
        <v>0</v>
      </c>
      <c r="BH57" s="992">
        <f t="shared" si="134"/>
        <v>13500</v>
      </c>
      <c r="BI57" s="992">
        <f t="shared" si="134"/>
        <v>22500</v>
      </c>
      <c r="BJ57" s="992">
        <f t="shared" si="134"/>
        <v>45000</v>
      </c>
      <c r="BK57" s="992">
        <f t="shared" si="134"/>
        <v>45000</v>
      </c>
      <c r="BL57" s="993">
        <f t="shared" si="47"/>
        <v>126000</v>
      </c>
      <c r="BM57" s="1006">
        <f>250000/12</f>
        <v>20833.333333333332</v>
      </c>
      <c r="BN57" s="1006">
        <f t="shared" ref="BN57:BX58" si="145">250000/12</f>
        <v>20833.333333333332</v>
      </c>
      <c r="BO57" s="1006">
        <f t="shared" si="145"/>
        <v>20833.333333333332</v>
      </c>
      <c r="BP57" s="1006">
        <f t="shared" si="145"/>
        <v>20833.333333333332</v>
      </c>
      <c r="BQ57" s="1006">
        <f t="shared" si="145"/>
        <v>20833.333333333332</v>
      </c>
      <c r="BR57" s="1006">
        <f t="shared" si="145"/>
        <v>20833.333333333332</v>
      </c>
      <c r="BS57" s="1006">
        <f t="shared" si="145"/>
        <v>20833.333333333332</v>
      </c>
      <c r="BT57" s="1006">
        <f t="shared" si="145"/>
        <v>20833.333333333332</v>
      </c>
      <c r="BU57" s="1006">
        <f t="shared" si="145"/>
        <v>20833.333333333332</v>
      </c>
      <c r="BV57" s="1006">
        <f t="shared" si="145"/>
        <v>20833.333333333332</v>
      </c>
      <c r="BW57" s="1006">
        <f t="shared" si="145"/>
        <v>20833.333333333332</v>
      </c>
      <c r="BX57" s="1006">
        <f t="shared" si="145"/>
        <v>20833.333333333332</v>
      </c>
      <c r="BY57" s="990">
        <f t="shared" si="66"/>
        <v>250000.00000000003</v>
      </c>
      <c r="BZ57" s="991">
        <f t="shared" si="139"/>
        <v>93750</v>
      </c>
      <c r="CA57" s="992">
        <f t="shared" si="139"/>
        <v>93750</v>
      </c>
      <c r="CB57" s="992">
        <f t="shared" si="139"/>
        <v>93750</v>
      </c>
      <c r="CC57" s="992">
        <f t="shared" si="135"/>
        <v>93750</v>
      </c>
      <c r="CD57" s="992">
        <f t="shared" si="135"/>
        <v>93750</v>
      </c>
      <c r="CE57" s="992">
        <f t="shared" si="135"/>
        <v>93750</v>
      </c>
      <c r="CF57" s="992">
        <f t="shared" si="135"/>
        <v>93750</v>
      </c>
      <c r="CG57" s="992">
        <f t="shared" si="135"/>
        <v>93750</v>
      </c>
      <c r="CH57" s="992">
        <f t="shared" si="135"/>
        <v>93750</v>
      </c>
      <c r="CI57" s="992">
        <f t="shared" si="135"/>
        <v>93750</v>
      </c>
      <c r="CJ57" s="992">
        <f t="shared" si="135"/>
        <v>93750</v>
      </c>
      <c r="CK57" s="992">
        <f t="shared" si="135"/>
        <v>93750</v>
      </c>
      <c r="CL57" s="993">
        <f t="shared" si="68"/>
        <v>1125000</v>
      </c>
      <c r="CM57" s="1006">
        <f>250000/12</f>
        <v>20833.333333333332</v>
      </c>
      <c r="CN57" s="1006">
        <f t="shared" ref="CN57:CX58" si="146">250000/12</f>
        <v>20833.333333333332</v>
      </c>
      <c r="CO57" s="1006">
        <f t="shared" si="146"/>
        <v>20833.333333333332</v>
      </c>
      <c r="CP57" s="1006">
        <f t="shared" si="146"/>
        <v>20833.333333333332</v>
      </c>
      <c r="CQ57" s="1006">
        <f t="shared" si="146"/>
        <v>20833.333333333332</v>
      </c>
      <c r="CR57" s="1006">
        <f t="shared" si="146"/>
        <v>20833.333333333332</v>
      </c>
      <c r="CS57" s="1006">
        <f t="shared" si="146"/>
        <v>20833.333333333332</v>
      </c>
      <c r="CT57" s="1006">
        <f t="shared" si="146"/>
        <v>20833.333333333332</v>
      </c>
      <c r="CU57" s="1006">
        <f t="shared" si="146"/>
        <v>20833.333333333332</v>
      </c>
      <c r="CV57" s="1006">
        <f t="shared" si="146"/>
        <v>20833.333333333332</v>
      </c>
      <c r="CW57" s="1006">
        <f t="shared" si="146"/>
        <v>20833.333333333332</v>
      </c>
      <c r="CX57" s="1006">
        <f t="shared" si="146"/>
        <v>20833.333333333332</v>
      </c>
      <c r="CY57" s="990">
        <f t="shared" si="69"/>
        <v>250000.00000000003</v>
      </c>
      <c r="CZ57" s="991">
        <f t="shared" si="136"/>
        <v>93750</v>
      </c>
      <c r="DA57" s="992">
        <f t="shared" si="136"/>
        <v>93750</v>
      </c>
      <c r="DB57" s="992">
        <f t="shared" si="136"/>
        <v>93750</v>
      </c>
      <c r="DC57" s="992">
        <f t="shared" si="136"/>
        <v>93750</v>
      </c>
      <c r="DD57" s="992">
        <f t="shared" si="136"/>
        <v>93750</v>
      </c>
      <c r="DE57" s="992">
        <f t="shared" si="136"/>
        <v>93750</v>
      </c>
      <c r="DF57" s="992">
        <f t="shared" si="136"/>
        <v>93750</v>
      </c>
      <c r="DG57" s="992">
        <f t="shared" si="136"/>
        <v>93750</v>
      </c>
      <c r="DH57" s="992">
        <f t="shared" si="136"/>
        <v>93750</v>
      </c>
      <c r="DI57" s="992">
        <f t="shared" si="136"/>
        <v>93750</v>
      </c>
      <c r="DJ57" s="992">
        <f t="shared" si="136"/>
        <v>93750</v>
      </c>
      <c r="DK57" s="992">
        <f t="shared" si="136"/>
        <v>93750</v>
      </c>
      <c r="DL57" s="993">
        <f t="shared" si="50"/>
        <v>1125000</v>
      </c>
      <c r="DM57" s="1006">
        <f>300000/12</f>
        <v>25000</v>
      </c>
      <c r="DN57" s="1006">
        <f t="shared" ref="DN57:DX58" si="147">300000/12</f>
        <v>25000</v>
      </c>
      <c r="DO57" s="1006">
        <f t="shared" si="147"/>
        <v>25000</v>
      </c>
      <c r="DP57" s="1006">
        <f t="shared" si="147"/>
        <v>25000</v>
      </c>
      <c r="DQ57" s="1006">
        <f t="shared" si="147"/>
        <v>25000</v>
      </c>
      <c r="DR57" s="1006">
        <f t="shared" si="147"/>
        <v>25000</v>
      </c>
      <c r="DS57" s="1006">
        <f t="shared" si="147"/>
        <v>25000</v>
      </c>
      <c r="DT57" s="1006">
        <f t="shared" si="147"/>
        <v>25000</v>
      </c>
      <c r="DU57" s="1006">
        <f t="shared" si="147"/>
        <v>25000</v>
      </c>
      <c r="DV57" s="1006">
        <f t="shared" si="147"/>
        <v>25000</v>
      </c>
      <c r="DW57" s="1006">
        <f t="shared" si="147"/>
        <v>25000</v>
      </c>
      <c r="DX57" s="1006">
        <f t="shared" si="147"/>
        <v>25000</v>
      </c>
      <c r="DY57" s="990">
        <f t="shared" si="71"/>
        <v>300000</v>
      </c>
      <c r="DZ57" s="991">
        <f t="shared" si="137"/>
        <v>112500</v>
      </c>
      <c r="EA57" s="992">
        <f t="shared" si="137"/>
        <v>112500</v>
      </c>
      <c r="EB57" s="992">
        <f t="shared" si="137"/>
        <v>112500</v>
      </c>
      <c r="EC57" s="992">
        <f t="shared" si="137"/>
        <v>112500</v>
      </c>
      <c r="ED57" s="992">
        <f t="shared" si="137"/>
        <v>112500</v>
      </c>
      <c r="EE57" s="992">
        <f t="shared" si="137"/>
        <v>112500</v>
      </c>
      <c r="EF57" s="992">
        <f t="shared" si="137"/>
        <v>112500</v>
      </c>
      <c r="EG57" s="992">
        <f t="shared" si="137"/>
        <v>112500</v>
      </c>
      <c r="EH57" s="992">
        <f t="shared" si="137"/>
        <v>112500</v>
      </c>
      <c r="EI57" s="992">
        <f t="shared" si="137"/>
        <v>112500</v>
      </c>
      <c r="EJ57" s="992">
        <f t="shared" si="137"/>
        <v>112500</v>
      </c>
      <c r="EK57" s="992">
        <f t="shared" si="137"/>
        <v>112500</v>
      </c>
      <c r="EL57" s="993">
        <f t="shared" si="52"/>
        <v>1350000</v>
      </c>
    </row>
    <row r="58" spans="1:142">
      <c r="A58" s="978" t="s">
        <v>668</v>
      </c>
      <c r="B58" s="904" t="s">
        <v>689</v>
      </c>
      <c r="C58" s="998"/>
      <c r="D58" s="980"/>
      <c r="E58" s="981"/>
      <c r="F58" s="981"/>
      <c r="G58" s="982"/>
      <c r="H58" s="980">
        <v>1.65</v>
      </c>
      <c r="I58" s="981">
        <f t="shared" si="73"/>
        <v>1.65</v>
      </c>
      <c r="J58" s="981">
        <f t="shared" si="73"/>
        <v>1.65</v>
      </c>
      <c r="K58" s="983">
        <f t="shared" si="73"/>
        <v>1.65</v>
      </c>
      <c r="L58" s="1012"/>
      <c r="M58" s="1003"/>
      <c r="N58" s="1004"/>
      <c r="O58" s="1004"/>
      <c r="P58" s="1004"/>
      <c r="Q58" s="1004"/>
      <c r="R58" s="1004"/>
      <c r="S58" s="1004"/>
      <c r="T58" s="1004"/>
      <c r="U58" s="1013"/>
      <c r="V58" s="1013"/>
      <c r="W58" s="1013"/>
      <c r="X58" s="1013"/>
      <c r="Y58" s="1005">
        <f t="shared" si="58"/>
        <v>0</v>
      </c>
      <c r="Z58" s="991"/>
      <c r="AA58" s="992"/>
      <c r="AB58" s="992">
        <v>0</v>
      </c>
      <c r="AC58" s="992">
        <f t="shared" si="122"/>
        <v>0</v>
      </c>
      <c r="AD58" s="248">
        <f t="shared" si="122"/>
        <v>0</v>
      </c>
      <c r="AE58" s="992">
        <f t="shared" si="122"/>
        <v>0</v>
      </c>
      <c r="AF58" s="992">
        <f t="shared" si="117"/>
        <v>0</v>
      </c>
      <c r="AG58" s="992">
        <f t="shared" si="117"/>
        <v>0</v>
      </c>
      <c r="AH58" s="992">
        <f t="shared" si="117"/>
        <v>0</v>
      </c>
      <c r="AI58" s="992">
        <f t="shared" si="61"/>
        <v>0</v>
      </c>
      <c r="AJ58" s="992">
        <f t="shared" si="61"/>
        <v>0</v>
      </c>
      <c r="AK58" s="992">
        <f t="shared" si="61"/>
        <v>0</v>
      </c>
      <c r="AL58" s="993">
        <f t="shared" si="62"/>
        <v>0</v>
      </c>
      <c r="AM58" s="1006"/>
      <c r="AN58" s="1007"/>
      <c r="AO58" s="1007"/>
      <c r="AP58" s="1007"/>
      <c r="AQ58" s="1007"/>
      <c r="AR58" s="1007"/>
      <c r="AS58" s="1007"/>
      <c r="AT58" s="1007"/>
      <c r="AU58" s="1007">
        <v>3000</v>
      </c>
      <c r="AV58" s="1007">
        <v>5000</v>
      </c>
      <c r="AW58" s="1007">
        <v>10000</v>
      </c>
      <c r="AX58" s="1007">
        <v>10000</v>
      </c>
      <c r="AY58" s="990">
        <f t="shared" si="64"/>
        <v>28000</v>
      </c>
      <c r="AZ58" s="991">
        <f t="shared" si="138"/>
        <v>0</v>
      </c>
      <c r="BA58" s="992">
        <f t="shared" si="138"/>
        <v>0</v>
      </c>
      <c r="BB58" s="992">
        <f t="shared" si="138"/>
        <v>0</v>
      </c>
      <c r="BC58" s="992">
        <f t="shared" si="134"/>
        <v>0</v>
      </c>
      <c r="BD58" s="992">
        <f t="shared" si="134"/>
        <v>0</v>
      </c>
      <c r="BE58" s="992">
        <f t="shared" si="134"/>
        <v>0</v>
      </c>
      <c r="BF58" s="992">
        <f t="shared" si="134"/>
        <v>0</v>
      </c>
      <c r="BG58" s="992">
        <f t="shared" si="134"/>
        <v>0</v>
      </c>
      <c r="BH58" s="992">
        <f t="shared" si="134"/>
        <v>4950</v>
      </c>
      <c r="BI58" s="992">
        <f t="shared" si="134"/>
        <v>8250</v>
      </c>
      <c r="BJ58" s="992">
        <f t="shared" si="134"/>
        <v>16500</v>
      </c>
      <c r="BK58" s="992">
        <f t="shared" si="134"/>
        <v>16500</v>
      </c>
      <c r="BL58" s="993">
        <f t="shared" si="47"/>
        <v>46200</v>
      </c>
      <c r="BM58" s="1006">
        <f>250000/12</f>
        <v>20833.333333333332</v>
      </c>
      <c r="BN58" s="1006">
        <f t="shared" si="145"/>
        <v>20833.333333333332</v>
      </c>
      <c r="BO58" s="1006">
        <f t="shared" si="145"/>
        <v>20833.333333333332</v>
      </c>
      <c r="BP58" s="1006">
        <f t="shared" si="145"/>
        <v>20833.333333333332</v>
      </c>
      <c r="BQ58" s="1006">
        <f t="shared" si="145"/>
        <v>20833.333333333332</v>
      </c>
      <c r="BR58" s="1006">
        <f t="shared" si="145"/>
        <v>20833.333333333332</v>
      </c>
      <c r="BS58" s="1006">
        <f t="shared" si="145"/>
        <v>20833.333333333332</v>
      </c>
      <c r="BT58" s="1006">
        <f t="shared" si="145"/>
        <v>20833.333333333332</v>
      </c>
      <c r="BU58" s="1006">
        <f t="shared" si="145"/>
        <v>20833.333333333332</v>
      </c>
      <c r="BV58" s="1006">
        <f t="shared" si="145"/>
        <v>20833.333333333332</v>
      </c>
      <c r="BW58" s="1006">
        <f t="shared" si="145"/>
        <v>20833.333333333332</v>
      </c>
      <c r="BX58" s="1006">
        <f t="shared" si="145"/>
        <v>20833.333333333332</v>
      </c>
      <c r="BY58" s="990">
        <f t="shared" si="66"/>
        <v>250000.00000000003</v>
      </c>
      <c r="BZ58" s="991">
        <f t="shared" si="139"/>
        <v>34374.999999999993</v>
      </c>
      <c r="CA58" s="992">
        <f t="shared" si="139"/>
        <v>34374.999999999993</v>
      </c>
      <c r="CB58" s="992">
        <f t="shared" si="139"/>
        <v>34374.999999999993</v>
      </c>
      <c r="CC58" s="992">
        <f t="shared" si="135"/>
        <v>34374.999999999993</v>
      </c>
      <c r="CD58" s="992">
        <f t="shared" si="135"/>
        <v>34374.999999999993</v>
      </c>
      <c r="CE58" s="992">
        <f t="shared" si="135"/>
        <v>34374.999999999993</v>
      </c>
      <c r="CF58" s="992">
        <f t="shared" si="135"/>
        <v>34374.999999999993</v>
      </c>
      <c r="CG58" s="992">
        <f t="shared" si="135"/>
        <v>34374.999999999993</v>
      </c>
      <c r="CH58" s="992">
        <f t="shared" si="135"/>
        <v>34374.999999999993</v>
      </c>
      <c r="CI58" s="992">
        <f t="shared" si="135"/>
        <v>34374.999999999993</v>
      </c>
      <c r="CJ58" s="992">
        <f t="shared" si="135"/>
        <v>34374.999999999993</v>
      </c>
      <c r="CK58" s="992">
        <f t="shared" si="135"/>
        <v>34374.999999999993</v>
      </c>
      <c r="CL58" s="993">
        <f t="shared" si="68"/>
        <v>412499.99999999994</v>
      </c>
      <c r="CM58" s="1006">
        <f>250000/12</f>
        <v>20833.333333333332</v>
      </c>
      <c r="CN58" s="1006">
        <f t="shared" si="146"/>
        <v>20833.333333333332</v>
      </c>
      <c r="CO58" s="1006">
        <f t="shared" si="146"/>
        <v>20833.333333333332</v>
      </c>
      <c r="CP58" s="1006">
        <f t="shared" si="146"/>
        <v>20833.333333333332</v>
      </c>
      <c r="CQ58" s="1006">
        <f t="shared" si="146"/>
        <v>20833.333333333332</v>
      </c>
      <c r="CR58" s="1006">
        <f t="shared" si="146"/>
        <v>20833.333333333332</v>
      </c>
      <c r="CS58" s="1006">
        <f t="shared" si="146"/>
        <v>20833.333333333332</v>
      </c>
      <c r="CT58" s="1006">
        <f t="shared" si="146"/>
        <v>20833.333333333332</v>
      </c>
      <c r="CU58" s="1006">
        <f t="shared" si="146"/>
        <v>20833.333333333332</v>
      </c>
      <c r="CV58" s="1006">
        <f t="shared" si="146"/>
        <v>20833.333333333332</v>
      </c>
      <c r="CW58" s="1006">
        <f t="shared" si="146"/>
        <v>20833.333333333332</v>
      </c>
      <c r="CX58" s="1006">
        <f t="shared" si="146"/>
        <v>20833.333333333332</v>
      </c>
      <c r="CY58" s="990">
        <f t="shared" si="69"/>
        <v>250000.00000000003</v>
      </c>
      <c r="CZ58" s="991">
        <f t="shared" si="136"/>
        <v>34374.999999999993</v>
      </c>
      <c r="DA58" s="992">
        <f t="shared" si="136"/>
        <v>34374.999999999993</v>
      </c>
      <c r="DB58" s="992">
        <f t="shared" si="136"/>
        <v>34374.999999999993</v>
      </c>
      <c r="DC58" s="992">
        <f t="shared" si="136"/>
        <v>34374.999999999993</v>
      </c>
      <c r="DD58" s="992">
        <f t="shared" si="136"/>
        <v>34374.999999999993</v>
      </c>
      <c r="DE58" s="992">
        <f t="shared" si="136"/>
        <v>34374.999999999993</v>
      </c>
      <c r="DF58" s="992">
        <f t="shared" si="136"/>
        <v>34374.999999999993</v>
      </c>
      <c r="DG58" s="992">
        <f t="shared" si="136"/>
        <v>34374.999999999993</v>
      </c>
      <c r="DH58" s="992">
        <f t="shared" si="136"/>
        <v>34374.999999999993</v>
      </c>
      <c r="DI58" s="992">
        <f t="shared" si="136"/>
        <v>34374.999999999993</v>
      </c>
      <c r="DJ58" s="992">
        <f t="shared" si="136"/>
        <v>34374.999999999993</v>
      </c>
      <c r="DK58" s="992">
        <f t="shared" si="136"/>
        <v>34374.999999999993</v>
      </c>
      <c r="DL58" s="993">
        <f t="shared" si="50"/>
        <v>412499.99999999994</v>
      </c>
      <c r="DM58" s="1006">
        <f>300000/12</f>
        <v>25000</v>
      </c>
      <c r="DN58" s="1006">
        <f t="shared" si="147"/>
        <v>25000</v>
      </c>
      <c r="DO58" s="1006">
        <f t="shared" si="147"/>
        <v>25000</v>
      </c>
      <c r="DP58" s="1006">
        <f t="shared" si="147"/>
        <v>25000</v>
      </c>
      <c r="DQ58" s="1006">
        <f t="shared" si="147"/>
        <v>25000</v>
      </c>
      <c r="DR58" s="1006">
        <f t="shared" si="147"/>
        <v>25000</v>
      </c>
      <c r="DS58" s="1006">
        <f t="shared" si="147"/>
        <v>25000</v>
      </c>
      <c r="DT58" s="1006">
        <f t="shared" si="147"/>
        <v>25000</v>
      </c>
      <c r="DU58" s="1006">
        <f t="shared" si="147"/>
        <v>25000</v>
      </c>
      <c r="DV58" s="1006">
        <f t="shared" si="147"/>
        <v>25000</v>
      </c>
      <c r="DW58" s="1006">
        <f t="shared" si="147"/>
        <v>25000</v>
      </c>
      <c r="DX58" s="1006">
        <f t="shared" si="147"/>
        <v>25000</v>
      </c>
      <c r="DY58" s="990">
        <f t="shared" si="71"/>
        <v>300000</v>
      </c>
      <c r="DZ58" s="991">
        <f t="shared" si="137"/>
        <v>41250</v>
      </c>
      <c r="EA58" s="992">
        <f t="shared" si="137"/>
        <v>41250</v>
      </c>
      <c r="EB58" s="992">
        <f t="shared" si="137"/>
        <v>41250</v>
      </c>
      <c r="EC58" s="992">
        <f t="shared" si="137"/>
        <v>41250</v>
      </c>
      <c r="ED58" s="992">
        <f t="shared" si="137"/>
        <v>41250</v>
      </c>
      <c r="EE58" s="992">
        <f t="shared" si="137"/>
        <v>41250</v>
      </c>
      <c r="EF58" s="992">
        <f t="shared" si="137"/>
        <v>41250</v>
      </c>
      <c r="EG58" s="992">
        <f t="shared" si="137"/>
        <v>41250</v>
      </c>
      <c r="EH58" s="992">
        <f t="shared" si="137"/>
        <v>41250</v>
      </c>
      <c r="EI58" s="992">
        <f t="shared" si="137"/>
        <v>41250</v>
      </c>
      <c r="EJ58" s="992">
        <f t="shared" si="137"/>
        <v>41250</v>
      </c>
      <c r="EK58" s="992">
        <f t="shared" si="137"/>
        <v>41250</v>
      </c>
      <c r="EL58" s="993">
        <f t="shared" si="52"/>
        <v>495000</v>
      </c>
    </row>
    <row r="59" spans="1:142">
      <c r="A59" s="978" t="s">
        <v>668</v>
      </c>
      <c r="B59" s="904" t="s">
        <v>690</v>
      </c>
      <c r="C59" s="998"/>
      <c r="D59" s="980"/>
      <c r="E59" s="981"/>
      <c r="F59" s="981"/>
      <c r="G59" s="982"/>
      <c r="H59" s="980">
        <v>4</v>
      </c>
      <c r="I59" s="981">
        <f t="shared" si="73"/>
        <v>4</v>
      </c>
      <c r="J59" s="981">
        <f t="shared" si="73"/>
        <v>4</v>
      </c>
      <c r="K59" s="983">
        <f t="shared" si="73"/>
        <v>4</v>
      </c>
      <c r="L59" s="1012"/>
      <c r="M59" s="1003"/>
      <c r="N59" s="1004"/>
      <c r="O59" s="1004"/>
      <c r="P59" s="1004"/>
      <c r="Q59" s="1004"/>
      <c r="R59" s="1004"/>
      <c r="S59" s="1004"/>
      <c r="T59" s="1004"/>
      <c r="U59" s="1013"/>
      <c r="V59" s="1013"/>
      <c r="W59" s="1013"/>
      <c r="X59" s="1013"/>
      <c r="Y59" s="1005">
        <f t="shared" si="58"/>
        <v>0</v>
      </c>
      <c r="Z59" s="991"/>
      <c r="AA59" s="992"/>
      <c r="AB59" s="992">
        <v>0</v>
      </c>
      <c r="AC59" s="992">
        <f t="shared" si="122"/>
        <v>0</v>
      </c>
      <c r="AD59" s="248">
        <f t="shared" si="122"/>
        <v>0</v>
      </c>
      <c r="AE59" s="992">
        <f t="shared" si="122"/>
        <v>0</v>
      </c>
      <c r="AF59" s="992">
        <f t="shared" si="117"/>
        <v>0</v>
      </c>
      <c r="AG59" s="992">
        <f t="shared" si="117"/>
        <v>0</v>
      </c>
      <c r="AH59" s="992">
        <f t="shared" si="117"/>
        <v>0</v>
      </c>
      <c r="AI59" s="992">
        <f t="shared" si="61"/>
        <v>0</v>
      </c>
      <c r="AJ59" s="992">
        <f t="shared" si="61"/>
        <v>0</v>
      </c>
      <c r="AK59" s="992">
        <f t="shared" si="61"/>
        <v>0</v>
      </c>
      <c r="AL59" s="993">
        <f t="shared" si="62"/>
        <v>0</v>
      </c>
      <c r="AM59" s="1006"/>
      <c r="AN59" s="1007"/>
      <c r="AO59" s="1007"/>
      <c r="AP59" s="1007"/>
      <c r="AQ59" s="1007"/>
      <c r="AR59" s="1007"/>
      <c r="AS59" s="1007"/>
      <c r="AT59" s="1007"/>
      <c r="AU59" s="1007"/>
      <c r="AV59" s="1007"/>
      <c r="AW59" s="1007">
        <v>5000</v>
      </c>
      <c r="AX59" s="1007">
        <v>10000</v>
      </c>
      <c r="AY59" s="990">
        <f t="shared" si="64"/>
        <v>15000</v>
      </c>
      <c r="AZ59" s="991">
        <f t="shared" si="138"/>
        <v>0</v>
      </c>
      <c r="BA59" s="992">
        <f t="shared" si="138"/>
        <v>0</v>
      </c>
      <c r="BB59" s="992">
        <f t="shared" si="138"/>
        <v>0</v>
      </c>
      <c r="BC59" s="992">
        <f t="shared" si="134"/>
        <v>0</v>
      </c>
      <c r="BD59" s="992">
        <f t="shared" si="134"/>
        <v>0</v>
      </c>
      <c r="BE59" s="992">
        <f t="shared" si="134"/>
        <v>0</v>
      </c>
      <c r="BF59" s="992">
        <f t="shared" si="134"/>
        <v>0</v>
      </c>
      <c r="BG59" s="992">
        <f t="shared" si="134"/>
        <v>0</v>
      </c>
      <c r="BH59" s="992">
        <f t="shared" si="134"/>
        <v>0</v>
      </c>
      <c r="BI59" s="992">
        <f t="shared" si="134"/>
        <v>0</v>
      </c>
      <c r="BJ59" s="992">
        <f t="shared" si="134"/>
        <v>20000</v>
      </c>
      <c r="BK59" s="992">
        <f t="shared" si="134"/>
        <v>40000</v>
      </c>
      <c r="BL59" s="993">
        <f t="shared" si="47"/>
        <v>60000</v>
      </c>
      <c r="BM59" s="1006"/>
      <c r="BN59" s="1007"/>
      <c r="BO59" s="1007"/>
      <c r="BP59" s="1007"/>
      <c r="BQ59" s="1007"/>
      <c r="BR59" s="1007"/>
      <c r="BS59" s="1007">
        <v>3000</v>
      </c>
      <c r="BT59" s="1007">
        <v>5000</v>
      </c>
      <c r="BU59" s="1007">
        <v>10000</v>
      </c>
      <c r="BV59" s="1007">
        <v>10000</v>
      </c>
      <c r="BW59" s="1007">
        <v>10000</v>
      </c>
      <c r="BX59" s="1007">
        <v>10000</v>
      </c>
      <c r="BY59" s="990">
        <f t="shared" si="66"/>
        <v>48000</v>
      </c>
      <c r="BZ59" s="991">
        <f t="shared" si="139"/>
        <v>0</v>
      </c>
      <c r="CA59" s="992">
        <f t="shared" si="139"/>
        <v>0</v>
      </c>
      <c r="CB59" s="992">
        <f t="shared" si="139"/>
        <v>0</v>
      </c>
      <c r="CC59" s="992">
        <f t="shared" si="135"/>
        <v>0</v>
      </c>
      <c r="CD59" s="992">
        <f t="shared" si="135"/>
        <v>0</v>
      </c>
      <c r="CE59" s="992">
        <f t="shared" si="135"/>
        <v>0</v>
      </c>
      <c r="CF59" s="992">
        <f t="shared" si="135"/>
        <v>12000</v>
      </c>
      <c r="CG59" s="992">
        <f t="shared" si="135"/>
        <v>20000</v>
      </c>
      <c r="CH59" s="992">
        <f t="shared" si="135"/>
        <v>40000</v>
      </c>
      <c r="CI59" s="992">
        <f t="shared" si="135"/>
        <v>40000</v>
      </c>
      <c r="CJ59" s="992">
        <f t="shared" si="135"/>
        <v>40000</v>
      </c>
      <c r="CK59" s="992">
        <f t="shared" si="135"/>
        <v>40000</v>
      </c>
      <c r="CL59" s="993">
        <f t="shared" si="68"/>
        <v>192000</v>
      </c>
      <c r="CM59" s="1006">
        <f>300000/12</f>
        <v>25000</v>
      </c>
      <c r="CN59" s="1007">
        <f t="shared" ref="CN59:CX60" si="148">300000/12</f>
        <v>25000</v>
      </c>
      <c r="CO59" s="1007">
        <f t="shared" si="148"/>
        <v>25000</v>
      </c>
      <c r="CP59" s="1007">
        <f t="shared" si="148"/>
        <v>25000</v>
      </c>
      <c r="CQ59" s="1007">
        <f t="shared" si="148"/>
        <v>25000</v>
      </c>
      <c r="CR59" s="1007">
        <f t="shared" si="148"/>
        <v>25000</v>
      </c>
      <c r="CS59" s="1007">
        <f t="shared" si="148"/>
        <v>25000</v>
      </c>
      <c r="CT59" s="1007">
        <f t="shared" si="148"/>
        <v>25000</v>
      </c>
      <c r="CU59" s="1007">
        <f t="shared" si="148"/>
        <v>25000</v>
      </c>
      <c r="CV59" s="1007">
        <f t="shared" si="148"/>
        <v>25000</v>
      </c>
      <c r="CW59" s="1007">
        <f t="shared" si="148"/>
        <v>25000</v>
      </c>
      <c r="CX59" s="1007">
        <f t="shared" si="148"/>
        <v>25000</v>
      </c>
      <c r="CY59" s="990">
        <f t="shared" si="69"/>
        <v>300000</v>
      </c>
      <c r="CZ59" s="991">
        <f t="shared" si="136"/>
        <v>100000</v>
      </c>
      <c r="DA59" s="992">
        <f t="shared" si="136"/>
        <v>100000</v>
      </c>
      <c r="DB59" s="992">
        <f t="shared" si="136"/>
        <v>100000</v>
      </c>
      <c r="DC59" s="992">
        <f t="shared" si="136"/>
        <v>100000</v>
      </c>
      <c r="DD59" s="992">
        <f t="shared" si="136"/>
        <v>100000</v>
      </c>
      <c r="DE59" s="992">
        <f t="shared" si="136"/>
        <v>100000</v>
      </c>
      <c r="DF59" s="992">
        <f t="shared" si="136"/>
        <v>100000</v>
      </c>
      <c r="DG59" s="992">
        <f t="shared" si="136"/>
        <v>100000</v>
      </c>
      <c r="DH59" s="992">
        <f t="shared" si="136"/>
        <v>100000</v>
      </c>
      <c r="DI59" s="992">
        <f t="shared" si="136"/>
        <v>100000</v>
      </c>
      <c r="DJ59" s="992">
        <f t="shared" si="136"/>
        <v>100000</v>
      </c>
      <c r="DK59" s="992">
        <f t="shared" si="136"/>
        <v>100000</v>
      </c>
      <c r="DL59" s="993">
        <f t="shared" si="50"/>
        <v>1200000</v>
      </c>
      <c r="DM59" s="1006">
        <f>600000/12</f>
        <v>50000</v>
      </c>
      <c r="DN59" s="1007">
        <f t="shared" ref="DN59:DX60" si="149">600000/12</f>
        <v>50000</v>
      </c>
      <c r="DO59" s="1007">
        <f t="shared" si="149"/>
        <v>50000</v>
      </c>
      <c r="DP59" s="1007">
        <f t="shared" si="149"/>
        <v>50000</v>
      </c>
      <c r="DQ59" s="1007">
        <f t="shared" si="149"/>
        <v>50000</v>
      </c>
      <c r="DR59" s="1007">
        <f t="shared" si="149"/>
        <v>50000</v>
      </c>
      <c r="DS59" s="1007">
        <f t="shared" si="149"/>
        <v>50000</v>
      </c>
      <c r="DT59" s="1007">
        <f t="shared" si="149"/>
        <v>50000</v>
      </c>
      <c r="DU59" s="1007">
        <f t="shared" si="149"/>
        <v>50000</v>
      </c>
      <c r="DV59" s="1007">
        <f t="shared" si="149"/>
        <v>50000</v>
      </c>
      <c r="DW59" s="1007">
        <f t="shared" si="149"/>
        <v>50000</v>
      </c>
      <c r="DX59" s="1007">
        <f t="shared" si="149"/>
        <v>50000</v>
      </c>
      <c r="DY59" s="990">
        <f t="shared" si="71"/>
        <v>600000</v>
      </c>
      <c r="DZ59" s="991">
        <f t="shared" si="137"/>
        <v>200000</v>
      </c>
      <c r="EA59" s="992">
        <f t="shared" si="137"/>
        <v>200000</v>
      </c>
      <c r="EB59" s="992">
        <f t="shared" si="137"/>
        <v>200000</v>
      </c>
      <c r="EC59" s="992">
        <f t="shared" si="137"/>
        <v>200000</v>
      </c>
      <c r="ED59" s="992">
        <f t="shared" si="137"/>
        <v>200000</v>
      </c>
      <c r="EE59" s="992">
        <f t="shared" si="137"/>
        <v>200000</v>
      </c>
      <c r="EF59" s="992">
        <f t="shared" si="137"/>
        <v>200000</v>
      </c>
      <c r="EG59" s="992">
        <f t="shared" si="137"/>
        <v>200000</v>
      </c>
      <c r="EH59" s="992">
        <f t="shared" si="137"/>
        <v>200000</v>
      </c>
      <c r="EI59" s="992">
        <f t="shared" si="137"/>
        <v>200000</v>
      </c>
      <c r="EJ59" s="992">
        <f t="shared" si="137"/>
        <v>200000</v>
      </c>
      <c r="EK59" s="992">
        <f t="shared" si="137"/>
        <v>200000</v>
      </c>
      <c r="EL59" s="993">
        <f t="shared" si="52"/>
        <v>2400000</v>
      </c>
    </row>
    <row r="60" spans="1:142" s="1010" customFormat="1">
      <c r="A60" s="978" t="s">
        <v>668</v>
      </c>
      <c r="B60" s="904" t="s">
        <v>691</v>
      </c>
      <c r="C60" s="998"/>
      <c r="D60" s="1014"/>
      <c r="E60" s="1015"/>
      <c r="F60" s="1015"/>
      <c r="G60" s="1016"/>
      <c r="H60" s="980">
        <v>1.3</v>
      </c>
      <c r="I60" s="981">
        <f t="shared" si="73"/>
        <v>1.3</v>
      </c>
      <c r="J60" s="981">
        <f t="shared" si="73"/>
        <v>1.3</v>
      </c>
      <c r="K60" s="983">
        <f t="shared" si="73"/>
        <v>1.3</v>
      </c>
      <c r="L60" s="1012"/>
      <c r="M60" s="1003"/>
      <c r="N60" s="1004"/>
      <c r="O60" s="1004"/>
      <c r="P60" s="1004"/>
      <c r="Q60" s="1004"/>
      <c r="R60" s="1004"/>
      <c r="S60" s="1004"/>
      <c r="T60" s="1004"/>
      <c r="U60" s="1013"/>
      <c r="V60" s="1013"/>
      <c r="W60" s="1013"/>
      <c r="X60" s="1013"/>
      <c r="Y60" s="1005">
        <f t="shared" si="58"/>
        <v>0</v>
      </c>
      <c r="Z60" s="991">
        <f>M60*$E60</f>
        <v>0</v>
      </c>
      <c r="AA60" s="992">
        <f>N60*$E60</f>
        <v>0</v>
      </c>
      <c r="AB60" s="992">
        <v>0</v>
      </c>
      <c r="AC60" s="992">
        <f>P60*$F60</f>
        <v>0</v>
      </c>
      <c r="AD60" s="248">
        <f t="shared" ref="AD60:AD66" si="150">Q60*$E60</f>
        <v>0</v>
      </c>
      <c r="AE60" s="992">
        <f>R60*$F60</f>
        <v>0</v>
      </c>
      <c r="AF60" s="992">
        <f>S60*$G60</f>
        <v>0</v>
      </c>
      <c r="AG60" s="992">
        <f>T60*$G60</f>
        <v>0</v>
      </c>
      <c r="AH60" s="992">
        <f>U60*$G60</f>
        <v>0</v>
      </c>
      <c r="AI60" s="992">
        <f>V60*$H60</f>
        <v>0</v>
      </c>
      <c r="AJ60" s="992">
        <f>W60*$H60</f>
        <v>0</v>
      </c>
      <c r="AK60" s="992">
        <f>X60*$H60</f>
        <v>0</v>
      </c>
      <c r="AL60" s="993">
        <f t="shared" si="62"/>
        <v>0</v>
      </c>
      <c r="AM60" s="1006"/>
      <c r="AN60" s="1007"/>
      <c r="AO60" s="1007"/>
      <c r="AP60" s="1007"/>
      <c r="AQ60" s="1007"/>
      <c r="AR60" s="1007"/>
      <c r="AS60" s="1007"/>
      <c r="AT60" s="1007"/>
      <c r="AU60" s="1007"/>
      <c r="AV60" s="1007"/>
      <c r="AW60" s="1007">
        <v>5000</v>
      </c>
      <c r="AX60" s="1007">
        <v>10000</v>
      </c>
      <c r="AY60" s="990">
        <f>SUM(AM60:AX60)</f>
        <v>15000</v>
      </c>
      <c r="AZ60" s="991">
        <f t="shared" ref="AZ60:BK60" si="151">AM60*$I60</f>
        <v>0</v>
      </c>
      <c r="BA60" s="992">
        <f t="shared" si="151"/>
        <v>0</v>
      </c>
      <c r="BB60" s="992">
        <f t="shared" si="151"/>
        <v>0</v>
      </c>
      <c r="BC60" s="992">
        <f t="shared" si="151"/>
        <v>0</v>
      </c>
      <c r="BD60" s="992">
        <f t="shared" si="151"/>
        <v>0</v>
      </c>
      <c r="BE60" s="992">
        <f t="shared" si="151"/>
        <v>0</v>
      </c>
      <c r="BF60" s="992">
        <f t="shared" si="151"/>
        <v>0</v>
      </c>
      <c r="BG60" s="992">
        <f t="shared" si="151"/>
        <v>0</v>
      </c>
      <c r="BH60" s="992">
        <f t="shared" si="151"/>
        <v>0</v>
      </c>
      <c r="BI60" s="992">
        <f t="shared" si="151"/>
        <v>0</v>
      </c>
      <c r="BJ60" s="992">
        <f t="shared" si="151"/>
        <v>6500</v>
      </c>
      <c r="BK60" s="992">
        <f t="shared" si="151"/>
        <v>13000</v>
      </c>
      <c r="BL60" s="993">
        <f>SUM(AZ60:BK60)</f>
        <v>19500</v>
      </c>
      <c r="BM60" s="1006"/>
      <c r="BN60" s="1007"/>
      <c r="BO60" s="1007"/>
      <c r="BP60" s="1007"/>
      <c r="BQ60" s="1007"/>
      <c r="BR60" s="1007"/>
      <c r="BS60" s="1007">
        <v>3000</v>
      </c>
      <c r="BT60" s="1007">
        <v>5000</v>
      </c>
      <c r="BU60" s="1007">
        <v>10000</v>
      </c>
      <c r="BV60" s="1007">
        <v>10000</v>
      </c>
      <c r="BW60" s="1007">
        <v>10000</v>
      </c>
      <c r="BX60" s="1007">
        <v>10000</v>
      </c>
      <c r="BY60" s="990">
        <f>SUM(BM60:BX60)</f>
        <v>48000</v>
      </c>
      <c r="BZ60" s="991">
        <f t="shared" ref="BZ60:CK60" si="152">BM60*$J60</f>
        <v>0</v>
      </c>
      <c r="CA60" s="992">
        <f t="shared" si="152"/>
        <v>0</v>
      </c>
      <c r="CB60" s="992">
        <f t="shared" si="152"/>
        <v>0</v>
      </c>
      <c r="CC60" s="992">
        <f t="shared" si="152"/>
        <v>0</v>
      </c>
      <c r="CD60" s="992">
        <f t="shared" si="152"/>
        <v>0</v>
      </c>
      <c r="CE60" s="992">
        <f t="shared" si="152"/>
        <v>0</v>
      </c>
      <c r="CF60" s="992">
        <f t="shared" si="152"/>
        <v>3900</v>
      </c>
      <c r="CG60" s="992">
        <f t="shared" si="152"/>
        <v>6500</v>
      </c>
      <c r="CH60" s="992">
        <f t="shared" si="152"/>
        <v>13000</v>
      </c>
      <c r="CI60" s="992">
        <f t="shared" si="152"/>
        <v>13000</v>
      </c>
      <c r="CJ60" s="992">
        <f t="shared" si="152"/>
        <v>13000</v>
      </c>
      <c r="CK60" s="992">
        <f t="shared" si="152"/>
        <v>13000</v>
      </c>
      <c r="CL60" s="993">
        <f>SUM(BZ60:CK60)</f>
        <v>62400</v>
      </c>
      <c r="CM60" s="1006">
        <f>300000/12</f>
        <v>25000</v>
      </c>
      <c r="CN60" s="1007">
        <f t="shared" si="148"/>
        <v>25000</v>
      </c>
      <c r="CO60" s="1007">
        <f t="shared" si="148"/>
        <v>25000</v>
      </c>
      <c r="CP60" s="1007">
        <f t="shared" si="148"/>
        <v>25000</v>
      </c>
      <c r="CQ60" s="1007">
        <f t="shared" si="148"/>
        <v>25000</v>
      </c>
      <c r="CR60" s="1007">
        <f t="shared" si="148"/>
        <v>25000</v>
      </c>
      <c r="CS60" s="1007">
        <f t="shared" si="148"/>
        <v>25000</v>
      </c>
      <c r="CT60" s="1007">
        <f t="shared" si="148"/>
        <v>25000</v>
      </c>
      <c r="CU60" s="1007">
        <f t="shared" si="148"/>
        <v>25000</v>
      </c>
      <c r="CV60" s="1007">
        <f t="shared" si="148"/>
        <v>25000</v>
      </c>
      <c r="CW60" s="1007">
        <f t="shared" si="148"/>
        <v>25000</v>
      </c>
      <c r="CX60" s="1007">
        <f t="shared" si="148"/>
        <v>25000</v>
      </c>
      <c r="CY60" s="990">
        <f>SUM(CM60:CX60)</f>
        <v>300000</v>
      </c>
      <c r="CZ60" s="991">
        <f t="shared" si="136"/>
        <v>32500</v>
      </c>
      <c r="DA60" s="992">
        <f t="shared" si="136"/>
        <v>32500</v>
      </c>
      <c r="DB60" s="992">
        <f t="shared" si="136"/>
        <v>32500</v>
      </c>
      <c r="DC60" s="992">
        <f t="shared" ref="DC60:DK60" si="153">CP60*$J60</f>
        <v>32500</v>
      </c>
      <c r="DD60" s="992">
        <f t="shared" si="153"/>
        <v>32500</v>
      </c>
      <c r="DE60" s="992">
        <f t="shared" si="153"/>
        <v>32500</v>
      </c>
      <c r="DF60" s="992">
        <f t="shared" si="153"/>
        <v>32500</v>
      </c>
      <c r="DG60" s="992">
        <f t="shared" si="153"/>
        <v>32500</v>
      </c>
      <c r="DH60" s="992">
        <f t="shared" si="153"/>
        <v>32500</v>
      </c>
      <c r="DI60" s="992">
        <f t="shared" si="153"/>
        <v>32500</v>
      </c>
      <c r="DJ60" s="992">
        <f t="shared" si="153"/>
        <v>32500</v>
      </c>
      <c r="DK60" s="992">
        <f t="shared" si="153"/>
        <v>32500</v>
      </c>
      <c r="DL60" s="993">
        <f>SUM(CZ60:DK60)</f>
        <v>390000</v>
      </c>
      <c r="DM60" s="1006">
        <f>600000/12</f>
        <v>50000</v>
      </c>
      <c r="DN60" s="1007">
        <f t="shared" si="149"/>
        <v>50000</v>
      </c>
      <c r="DO60" s="1007">
        <f t="shared" si="149"/>
        <v>50000</v>
      </c>
      <c r="DP60" s="1007">
        <f t="shared" si="149"/>
        <v>50000</v>
      </c>
      <c r="DQ60" s="1007">
        <f t="shared" si="149"/>
        <v>50000</v>
      </c>
      <c r="DR60" s="1007">
        <f t="shared" si="149"/>
        <v>50000</v>
      </c>
      <c r="DS60" s="1007">
        <f t="shared" si="149"/>
        <v>50000</v>
      </c>
      <c r="DT60" s="1007">
        <f t="shared" si="149"/>
        <v>50000</v>
      </c>
      <c r="DU60" s="1007">
        <f t="shared" si="149"/>
        <v>50000</v>
      </c>
      <c r="DV60" s="1007">
        <f t="shared" si="149"/>
        <v>50000</v>
      </c>
      <c r="DW60" s="1007">
        <f t="shared" si="149"/>
        <v>50000</v>
      </c>
      <c r="DX60" s="1007">
        <f t="shared" si="149"/>
        <v>50000</v>
      </c>
      <c r="DY60" s="990">
        <f>SUM(DM60:DX60)</f>
        <v>600000</v>
      </c>
      <c r="DZ60" s="991">
        <f t="shared" si="137"/>
        <v>65000</v>
      </c>
      <c r="EA60" s="992">
        <f t="shared" si="137"/>
        <v>65000</v>
      </c>
      <c r="EB60" s="992">
        <f t="shared" si="137"/>
        <v>65000</v>
      </c>
      <c r="EC60" s="992">
        <f t="shared" ref="EC60:EK60" si="154">DP60*$K60</f>
        <v>65000</v>
      </c>
      <c r="ED60" s="992">
        <f t="shared" si="154"/>
        <v>65000</v>
      </c>
      <c r="EE60" s="992">
        <f t="shared" si="154"/>
        <v>65000</v>
      </c>
      <c r="EF60" s="992">
        <f t="shared" si="154"/>
        <v>65000</v>
      </c>
      <c r="EG60" s="992">
        <f t="shared" si="154"/>
        <v>65000</v>
      </c>
      <c r="EH60" s="992">
        <f t="shared" si="154"/>
        <v>65000</v>
      </c>
      <c r="EI60" s="992">
        <f t="shared" si="154"/>
        <v>65000</v>
      </c>
      <c r="EJ60" s="992">
        <f t="shared" si="154"/>
        <v>65000</v>
      </c>
      <c r="EK60" s="992">
        <f t="shared" si="154"/>
        <v>65000</v>
      </c>
      <c r="EL60" s="993">
        <f>SUM(DZ60:EK60)</f>
        <v>780000</v>
      </c>
    </row>
    <row r="61" spans="1:142">
      <c r="A61" s="964" t="s">
        <v>668</v>
      </c>
      <c r="B61" s="904" t="s">
        <v>70</v>
      </c>
      <c r="C61" s="995" t="s">
        <v>71</v>
      </c>
      <c r="D61" s="549">
        <v>2.5909</v>
      </c>
      <c r="E61" s="550">
        <v>2.5909</v>
      </c>
      <c r="F61" s="550">
        <v>2.5909</v>
      </c>
      <c r="G61" s="551">
        <v>2.5909</v>
      </c>
      <c r="H61" s="549">
        <f t="shared" si="73"/>
        <v>2.5909</v>
      </c>
      <c r="I61" s="550">
        <f t="shared" si="73"/>
        <v>2.5909</v>
      </c>
      <c r="J61" s="550">
        <f t="shared" si="73"/>
        <v>2.5909</v>
      </c>
      <c r="K61" s="973">
        <f t="shared" si="73"/>
        <v>2.5909</v>
      </c>
      <c r="L61" s="974"/>
      <c r="M61" s="555"/>
      <c r="N61" s="530"/>
      <c r="O61" s="530"/>
      <c r="P61" s="530">
        <v>11520</v>
      </c>
      <c r="Q61" s="530"/>
      <c r="R61" s="530"/>
      <c r="S61" s="530"/>
      <c r="T61" s="530"/>
      <c r="U61" s="530"/>
      <c r="V61" s="530"/>
      <c r="W61" s="530"/>
      <c r="X61" s="530">
        <v>0</v>
      </c>
      <c r="Y61" s="876">
        <f t="shared" si="58"/>
        <v>11520</v>
      </c>
      <c r="Z61" s="877">
        <v>0</v>
      </c>
      <c r="AA61" s="248">
        <v>0</v>
      </c>
      <c r="AB61" s="248">
        <v>0</v>
      </c>
      <c r="AC61" s="248">
        <v>27142</v>
      </c>
      <c r="AD61" s="248">
        <f t="shared" si="150"/>
        <v>0</v>
      </c>
      <c r="AE61" s="248">
        <f t="shared" ref="AE61:AE71" si="155">R61*$E61</f>
        <v>0</v>
      </c>
      <c r="AF61" s="248">
        <f t="shared" ref="AF61:AH72" si="156">S61*$F61</f>
        <v>0</v>
      </c>
      <c r="AG61" s="248">
        <f t="shared" si="156"/>
        <v>0</v>
      </c>
      <c r="AH61" s="248">
        <f t="shared" si="156"/>
        <v>0</v>
      </c>
      <c r="AI61" s="248">
        <f t="shared" ref="AI61:AK72" si="157">V61*$G61</f>
        <v>0</v>
      </c>
      <c r="AJ61" s="248">
        <f t="shared" si="157"/>
        <v>0</v>
      </c>
      <c r="AK61" s="248">
        <f t="shared" si="157"/>
        <v>0</v>
      </c>
      <c r="AL61" s="878">
        <f t="shared" si="62"/>
        <v>27142</v>
      </c>
      <c r="AM61" s="975">
        <f>35000/12</f>
        <v>2916.6666666666665</v>
      </c>
      <c r="AN61" s="976">
        <f t="shared" ref="AN61:AX62" si="158">35000/12</f>
        <v>2916.6666666666665</v>
      </c>
      <c r="AO61" s="976">
        <f t="shared" si="158"/>
        <v>2916.6666666666665</v>
      </c>
      <c r="AP61" s="976">
        <f t="shared" si="158"/>
        <v>2916.6666666666665</v>
      </c>
      <c r="AQ61" s="976">
        <f t="shared" si="158"/>
        <v>2916.6666666666665</v>
      </c>
      <c r="AR61" s="976">
        <f t="shared" si="158"/>
        <v>2916.6666666666665</v>
      </c>
      <c r="AS61" s="976">
        <f t="shared" si="158"/>
        <v>2916.6666666666665</v>
      </c>
      <c r="AT61" s="976">
        <f t="shared" si="158"/>
        <v>2916.6666666666665</v>
      </c>
      <c r="AU61" s="976">
        <f t="shared" si="158"/>
        <v>2916.6666666666665</v>
      </c>
      <c r="AV61" s="976">
        <f t="shared" si="158"/>
        <v>2916.6666666666665</v>
      </c>
      <c r="AW61" s="976">
        <f t="shared" si="158"/>
        <v>2916.6666666666665</v>
      </c>
      <c r="AX61" s="976">
        <f t="shared" si="158"/>
        <v>2916.6666666666665</v>
      </c>
      <c r="AY61" s="977">
        <f t="shared" si="64"/>
        <v>35000.000000000007</v>
      </c>
      <c r="AZ61" s="877">
        <f t="shared" ref="AZ61:AZ72" si="159">AM61*$H61</f>
        <v>7556.7916666666661</v>
      </c>
      <c r="BA61" s="248">
        <f t="shared" ref="BA61:BA72" si="160">AN61*$H61</f>
        <v>7556.7916666666661</v>
      </c>
      <c r="BB61" s="248">
        <f t="shared" ref="BB61:BB72" si="161">AO61*$H61</f>
        <v>7556.7916666666661</v>
      </c>
      <c r="BC61" s="248">
        <f t="shared" si="134"/>
        <v>7556.7916666666661</v>
      </c>
      <c r="BD61" s="248">
        <f t="shared" si="134"/>
        <v>7556.7916666666661</v>
      </c>
      <c r="BE61" s="248">
        <f t="shared" si="134"/>
        <v>7556.7916666666661</v>
      </c>
      <c r="BF61" s="248">
        <f t="shared" si="134"/>
        <v>7556.7916666666661</v>
      </c>
      <c r="BG61" s="248">
        <f t="shared" si="134"/>
        <v>7556.7916666666661</v>
      </c>
      <c r="BH61" s="248">
        <f t="shared" si="134"/>
        <v>7556.7916666666661</v>
      </c>
      <c r="BI61" s="248">
        <f t="shared" si="134"/>
        <v>7556.7916666666661</v>
      </c>
      <c r="BJ61" s="248">
        <f t="shared" si="134"/>
        <v>7556.7916666666661</v>
      </c>
      <c r="BK61" s="248">
        <f t="shared" si="134"/>
        <v>7556.7916666666661</v>
      </c>
      <c r="BL61" s="878">
        <f t="shared" si="47"/>
        <v>90681.5</v>
      </c>
      <c r="BM61" s="975">
        <f>35000/12</f>
        <v>2916.6666666666665</v>
      </c>
      <c r="BN61" s="976">
        <f t="shared" ref="BN61:BX62" si="162">35000/12</f>
        <v>2916.6666666666665</v>
      </c>
      <c r="BO61" s="976">
        <f t="shared" si="162"/>
        <v>2916.6666666666665</v>
      </c>
      <c r="BP61" s="976">
        <f t="shared" si="162"/>
        <v>2916.6666666666665</v>
      </c>
      <c r="BQ61" s="976">
        <f t="shared" si="162"/>
        <v>2916.6666666666665</v>
      </c>
      <c r="BR61" s="976">
        <f t="shared" si="162"/>
        <v>2916.6666666666665</v>
      </c>
      <c r="BS61" s="976">
        <f t="shared" si="162"/>
        <v>2916.6666666666665</v>
      </c>
      <c r="BT61" s="976">
        <f t="shared" si="162"/>
        <v>2916.6666666666665</v>
      </c>
      <c r="BU61" s="976">
        <f t="shared" si="162"/>
        <v>2916.6666666666665</v>
      </c>
      <c r="BV61" s="976">
        <f t="shared" si="162"/>
        <v>2916.6666666666665</v>
      </c>
      <c r="BW61" s="976">
        <f t="shared" si="162"/>
        <v>2916.6666666666665</v>
      </c>
      <c r="BX61" s="976">
        <f t="shared" si="162"/>
        <v>2916.6666666666665</v>
      </c>
      <c r="BY61" s="977">
        <f t="shared" si="66"/>
        <v>35000.000000000007</v>
      </c>
      <c r="BZ61" s="877">
        <f t="shared" ref="BZ61:BZ72" si="163">BM61*$I61</f>
        <v>7556.7916666666661</v>
      </c>
      <c r="CA61" s="248">
        <f t="shared" ref="CA61:CA72" si="164">BN61*$I61</f>
        <v>7556.7916666666661</v>
      </c>
      <c r="CB61" s="248">
        <f t="shared" ref="CB61:CB72" si="165">BO61*$I61</f>
        <v>7556.7916666666661</v>
      </c>
      <c r="CC61" s="248">
        <f t="shared" si="135"/>
        <v>7556.7916666666661</v>
      </c>
      <c r="CD61" s="248">
        <f t="shared" si="135"/>
        <v>7556.7916666666661</v>
      </c>
      <c r="CE61" s="248">
        <f t="shared" si="135"/>
        <v>7556.7916666666661</v>
      </c>
      <c r="CF61" s="248">
        <f t="shared" si="135"/>
        <v>7556.7916666666661</v>
      </c>
      <c r="CG61" s="248">
        <f t="shared" si="135"/>
        <v>7556.7916666666661</v>
      </c>
      <c r="CH61" s="248">
        <f t="shared" si="135"/>
        <v>7556.7916666666661</v>
      </c>
      <c r="CI61" s="248">
        <f t="shared" si="135"/>
        <v>7556.7916666666661</v>
      </c>
      <c r="CJ61" s="248">
        <f t="shared" si="135"/>
        <v>7556.7916666666661</v>
      </c>
      <c r="CK61" s="248">
        <f t="shared" si="135"/>
        <v>7556.7916666666661</v>
      </c>
      <c r="CL61" s="878">
        <f t="shared" si="68"/>
        <v>90681.5</v>
      </c>
      <c r="CM61" s="975">
        <f>35000/12</f>
        <v>2916.6666666666665</v>
      </c>
      <c r="CN61" s="976">
        <f t="shared" ref="CN61:CX62" si="166">35000/12</f>
        <v>2916.6666666666665</v>
      </c>
      <c r="CO61" s="976">
        <f t="shared" si="166"/>
        <v>2916.6666666666665</v>
      </c>
      <c r="CP61" s="976">
        <f t="shared" si="166"/>
        <v>2916.6666666666665</v>
      </c>
      <c r="CQ61" s="976">
        <f t="shared" si="166"/>
        <v>2916.6666666666665</v>
      </c>
      <c r="CR61" s="976">
        <f t="shared" si="166"/>
        <v>2916.6666666666665</v>
      </c>
      <c r="CS61" s="976">
        <f t="shared" si="166"/>
        <v>2916.6666666666665</v>
      </c>
      <c r="CT61" s="976">
        <f t="shared" si="166"/>
        <v>2916.6666666666665</v>
      </c>
      <c r="CU61" s="976">
        <f t="shared" si="166"/>
        <v>2916.6666666666665</v>
      </c>
      <c r="CV61" s="976">
        <f t="shared" si="166"/>
        <v>2916.6666666666665</v>
      </c>
      <c r="CW61" s="976">
        <f t="shared" si="166"/>
        <v>2916.6666666666665</v>
      </c>
      <c r="CX61" s="976">
        <f t="shared" si="166"/>
        <v>2916.6666666666665</v>
      </c>
      <c r="CY61" s="977">
        <f t="shared" si="69"/>
        <v>35000.000000000007</v>
      </c>
      <c r="CZ61" s="877">
        <f t="shared" si="136"/>
        <v>7556.7916666666661</v>
      </c>
      <c r="DA61" s="248">
        <f t="shared" si="136"/>
        <v>7556.7916666666661</v>
      </c>
      <c r="DB61" s="248">
        <f t="shared" si="136"/>
        <v>7556.7916666666661</v>
      </c>
      <c r="DC61" s="248">
        <f t="shared" si="136"/>
        <v>7556.7916666666661</v>
      </c>
      <c r="DD61" s="248">
        <f t="shared" si="136"/>
        <v>7556.7916666666661</v>
      </c>
      <c r="DE61" s="248">
        <f t="shared" si="136"/>
        <v>7556.7916666666661</v>
      </c>
      <c r="DF61" s="248">
        <f t="shared" si="136"/>
        <v>7556.7916666666661</v>
      </c>
      <c r="DG61" s="248">
        <f t="shared" si="136"/>
        <v>7556.7916666666661</v>
      </c>
      <c r="DH61" s="248">
        <f t="shared" si="136"/>
        <v>7556.7916666666661</v>
      </c>
      <c r="DI61" s="248">
        <f t="shared" si="136"/>
        <v>7556.7916666666661</v>
      </c>
      <c r="DJ61" s="248">
        <f t="shared" si="136"/>
        <v>7556.7916666666661</v>
      </c>
      <c r="DK61" s="248">
        <f t="shared" si="136"/>
        <v>7556.7916666666661</v>
      </c>
      <c r="DL61" s="878">
        <f t="shared" si="50"/>
        <v>90681.5</v>
      </c>
      <c r="DM61" s="975">
        <f>35000/12</f>
        <v>2916.6666666666665</v>
      </c>
      <c r="DN61" s="976">
        <f t="shared" ref="DN61:DX62" si="167">35000/12</f>
        <v>2916.6666666666665</v>
      </c>
      <c r="DO61" s="976">
        <f t="shared" si="167"/>
        <v>2916.6666666666665</v>
      </c>
      <c r="DP61" s="976">
        <f t="shared" si="167"/>
        <v>2916.6666666666665</v>
      </c>
      <c r="DQ61" s="976">
        <f t="shared" si="167"/>
        <v>2916.6666666666665</v>
      </c>
      <c r="DR61" s="976">
        <f t="shared" si="167"/>
        <v>2916.6666666666665</v>
      </c>
      <c r="DS61" s="976">
        <f t="shared" si="167"/>
        <v>2916.6666666666665</v>
      </c>
      <c r="DT61" s="976">
        <f t="shared" si="167"/>
        <v>2916.6666666666665</v>
      </c>
      <c r="DU61" s="976">
        <f t="shared" si="167"/>
        <v>2916.6666666666665</v>
      </c>
      <c r="DV61" s="976">
        <f t="shared" si="167"/>
        <v>2916.6666666666665</v>
      </c>
      <c r="DW61" s="976">
        <f t="shared" si="167"/>
        <v>2916.6666666666665</v>
      </c>
      <c r="DX61" s="976">
        <f t="shared" si="167"/>
        <v>2916.6666666666665</v>
      </c>
      <c r="DY61" s="977">
        <f t="shared" si="71"/>
        <v>35000.000000000007</v>
      </c>
      <c r="DZ61" s="877">
        <f t="shared" si="137"/>
        <v>7556.7916666666661</v>
      </c>
      <c r="EA61" s="248">
        <f t="shared" si="137"/>
        <v>7556.7916666666661</v>
      </c>
      <c r="EB61" s="248">
        <f t="shared" si="137"/>
        <v>7556.7916666666661</v>
      </c>
      <c r="EC61" s="248">
        <f t="shared" si="137"/>
        <v>7556.7916666666661</v>
      </c>
      <c r="ED61" s="248">
        <f t="shared" si="137"/>
        <v>7556.7916666666661</v>
      </c>
      <c r="EE61" s="248">
        <f t="shared" si="137"/>
        <v>7556.7916666666661</v>
      </c>
      <c r="EF61" s="248">
        <f t="shared" si="137"/>
        <v>7556.7916666666661</v>
      </c>
      <c r="EG61" s="248">
        <f t="shared" si="137"/>
        <v>7556.7916666666661</v>
      </c>
      <c r="EH61" s="248">
        <f t="shared" si="137"/>
        <v>7556.7916666666661</v>
      </c>
      <c r="EI61" s="248">
        <f t="shared" si="137"/>
        <v>7556.7916666666661</v>
      </c>
      <c r="EJ61" s="248">
        <f t="shared" si="137"/>
        <v>7556.7916666666661</v>
      </c>
      <c r="EK61" s="248">
        <f t="shared" si="137"/>
        <v>7556.7916666666661</v>
      </c>
      <c r="EL61" s="878">
        <f t="shared" si="52"/>
        <v>90681.5</v>
      </c>
    </row>
    <row r="62" spans="1:142">
      <c r="A62" s="964" t="s">
        <v>668</v>
      </c>
      <c r="B62" s="904" t="s">
        <v>72</v>
      </c>
      <c r="C62" s="995" t="s">
        <v>73</v>
      </c>
      <c r="D62" s="549">
        <v>2.0857000000000001</v>
      </c>
      <c r="E62" s="550">
        <v>2.0857000000000001</v>
      </c>
      <c r="F62" s="550">
        <v>2.0857000000000001</v>
      </c>
      <c r="G62" s="551">
        <v>2.0857000000000001</v>
      </c>
      <c r="H62" s="549">
        <f t="shared" si="73"/>
        <v>2.0857000000000001</v>
      </c>
      <c r="I62" s="550">
        <f t="shared" si="73"/>
        <v>2.0857000000000001</v>
      </c>
      <c r="J62" s="550">
        <f t="shared" si="73"/>
        <v>2.0857000000000001</v>
      </c>
      <c r="K62" s="973">
        <f t="shared" si="73"/>
        <v>2.0857000000000001</v>
      </c>
      <c r="L62" s="974"/>
      <c r="M62" s="555"/>
      <c r="N62" s="530"/>
      <c r="O62" s="530">
        <v>1000</v>
      </c>
      <c r="P62" s="530">
        <v>9800</v>
      </c>
      <c r="Q62" s="530"/>
      <c r="R62" s="530"/>
      <c r="S62" s="530"/>
      <c r="T62" s="530"/>
      <c r="U62" s="530"/>
      <c r="V62" s="530"/>
      <c r="W62" s="530"/>
      <c r="X62" s="530">
        <v>0</v>
      </c>
      <c r="Y62" s="876">
        <f t="shared" si="58"/>
        <v>10800</v>
      </c>
      <c r="Z62" s="877">
        <v>0</v>
      </c>
      <c r="AA62" s="248">
        <v>0</v>
      </c>
      <c r="AB62" s="248">
        <v>1866.4</v>
      </c>
      <c r="AC62" s="248">
        <v>18291</v>
      </c>
      <c r="AD62" s="248">
        <f t="shared" si="150"/>
        <v>0</v>
      </c>
      <c r="AE62" s="248">
        <f t="shared" si="155"/>
        <v>0</v>
      </c>
      <c r="AF62" s="248">
        <f t="shared" si="156"/>
        <v>0</v>
      </c>
      <c r="AG62" s="248">
        <f t="shared" si="156"/>
        <v>0</v>
      </c>
      <c r="AH62" s="248">
        <f t="shared" si="156"/>
        <v>0</v>
      </c>
      <c r="AI62" s="248">
        <f t="shared" si="157"/>
        <v>0</v>
      </c>
      <c r="AJ62" s="248">
        <f t="shared" si="157"/>
        <v>0</v>
      </c>
      <c r="AK62" s="248">
        <f t="shared" si="157"/>
        <v>0</v>
      </c>
      <c r="AL62" s="878">
        <f t="shared" si="62"/>
        <v>20157.400000000001</v>
      </c>
      <c r="AM62" s="975">
        <f>35000/12</f>
        <v>2916.6666666666665</v>
      </c>
      <c r="AN62" s="976">
        <f t="shared" si="158"/>
        <v>2916.6666666666665</v>
      </c>
      <c r="AO62" s="976">
        <f t="shared" si="158"/>
        <v>2916.6666666666665</v>
      </c>
      <c r="AP62" s="976">
        <f t="shared" si="158"/>
        <v>2916.6666666666665</v>
      </c>
      <c r="AQ62" s="976">
        <f t="shared" si="158"/>
        <v>2916.6666666666665</v>
      </c>
      <c r="AR62" s="976">
        <f t="shared" si="158"/>
        <v>2916.6666666666665</v>
      </c>
      <c r="AS62" s="976">
        <f t="shared" si="158"/>
        <v>2916.6666666666665</v>
      </c>
      <c r="AT62" s="976">
        <f t="shared" si="158"/>
        <v>2916.6666666666665</v>
      </c>
      <c r="AU62" s="976">
        <f t="shared" si="158"/>
        <v>2916.6666666666665</v>
      </c>
      <c r="AV62" s="976">
        <f t="shared" si="158"/>
        <v>2916.6666666666665</v>
      </c>
      <c r="AW62" s="976">
        <f t="shared" si="158"/>
        <v>2916.6666666666665</v>
      </c>
      <c r="AX62" s="976">
        <f t="shared" si="158"/>
        <v>2916.6666666666665</v>
      </c>
      <c r="AY62" s="977">
        <f t="shared" si="64"/>
        <v>35000.000000000007</v>
      </c>
      <c r="AZ62" s="877">
        <f t="shared" si="159"/>
        <v>6083.291666666667</v>
      </c>
      <c r="BA62" s="248">
        <f t="shared" si="160"/>
        <v>6083.291666666667</v>
      </c>
      <c r="BB62" s="248">
        <f t="shared" si="161"/>
        <v>6083.291666666667</v>
      </c>
      <c r="BC62" s="248">
        <f t="shared" si="134"/>
        <v>6083.291666666667</v>
      </c>
      <c r="BD62" s="248">
        <f t="shared" si="134"/>
        <v>6083.291666666667</v>
      </c>
      <c r="BE62" s="248">
        <f t="shared" si="134"/>
        <v>6083.291666666667</v>
      </c>
      <c r="BF62" s="248">
        <f t="shared" si="134"/>
        <v>6083.291666666667</v>
      </c>
      <c r="BG62" s="248">
        <f t="shared" si="134"/>
        <v>6083.291666666667</v>
      </c>
      <c r="BH62" s="248">
        <f t="shared" si="134"/>
        <v>6083.291666666667</v>
      </c>
      <c r="BI62" s="248">
        <f t="shared" si="134"/>
        <v>6083.291666666667</v>
      </c>
      <c r="BJ62" s="248">
        <f t="shared" si="134"/>
        <v>6083.291666666667</v>
      </c>
      <c r="BK62" s="248">
        <f t="shared" si="134"/>
        <v>6083.291666666667</v>
      </c>
      <c r="BL62" s="878">
        <f t="shared" si="47"/>
        <v>72999.5</v>
      </c>
      <c r="BM62" s="975">
        <f>35000/12</f>
        <v>2916.6666666666665</v>
      </c>
      <c r="BN62" s="976">
        <f t="shared" si="162"/>
        <v>2916.6666666666665</v>
      </c>
      <c r="BO62" s="976">
        <f t="shared" si="162"/>
        <v>2916.6666666666665</v>
      </c>
      <c r="BP62" s="976">
        <f t="shared" si="162"/>
        <v>2916.6666666666665</v>
      </c>
      <c r="BQ62" s="976">
        <f t="shared" si="162"/>
        <v>2916.6666666666665</v>
      </c>
      <c r="BR62" s="976">
        <f t="shared" si="162"/>
        <v>2916.6666666666665</v>
      </c>
      <c r="BS62" s="976">
        <f t="shared" si="162"/>
        <v>2916.6666666666665</v>
      </c>
      <c r="BT62" s="976">
        <f t="shared" si="162"/>
        <v>2916.6666666666665</v>
      </c>
      <c r="BU62" s="976">
        <f t="shared" si="162"/>
        <v>2916.6666666666665</v>
      </c>
      <c r="BV62" s="976">
        <f t="shared" si="162"/>
        <v>2916.6666666666665</v>
      </c>
      <c r="BW62" s="976">
        <f t="shared" si="162"/>
        <v>2916.6666666666665</v>
      </c>
      <c r="BX62" s="976">
        <f t="shared" si="162"/>
        <v>2916.6666666666665</v>
      </c>
      <c r="BY62" s="977">
        <f t="shared" si="66"/>
        <v>35000.000000000007</v>
      </c>
      <c r="BZ62" s="877">
        <f t="shared" si="163"/>
        <v>6083.291666666667</v>
      </c>
      <c r="CA62" s="248">
        <f t="shared" si="164"/>
        <v>6083.291666666667</v>
      </c>
      <c r="CB62" s="248">
        <f t="shared" si="165"/>
        <v>6083.291666666667</v>
      </c>
      <c r="CC62" s="248">
        <f t="shared" si="135"/>
        <v>6083.291666666667</v>
      </c>
      <c r="CD62" s="248">
        <f t="shared" si="135"/>
        <v>6083.291666666667</v>
      </c>
      <c r="CE62" s="248">
        <f t="shared" si="135"/>
        <v>6083.291666666667</v>
      </c>
      <c r="CF62" s="248">
        <f t="shared" si="135"/>
        <v>6083.291666666667</v>
      </c>
      <c r="CG62" s="248">
        <f t="shared" si="135"/>
        <v>6083.291666666667</v>
      </c>
      <c r="CH62" s="248">
        <f t="shared" si="135"/>
        <v>6083.291666666667</v>
      </c>
      <c r="CI62" s="248">
        <f t="shared" si="135"/>
        <v>6083.291666666667</v>
      </c>
      <c r="CJ62" s="248">
        <f t="shared" si="135"/>
        <v>6083.291666666667</v>
      </c>
      <c r="CK62" s="248">
        <f t="shared" si="135"/>
        <v>6083.291666666667</v>
      </c>
      <c r="CL62" s="878">
        <f t="shared" si="68"/>
        <v>72999.5</v>
      </c>
      <c r="CM62" s="975">
        <f>35000/12</f>
        <v>2916.6666666666665</v>
      </c>
      <c r="CN62" s="976">
        <f t="shared" si="166"/>
        <v>2916.6666666666665</v>
      </c>
      <c r="CO62" s="976">
        <f t="shared" si="166"/>
        <v>2916.6666666666665</v>
      </c>
      <c r="CP62" s="976">
        <f t="shared" si="166"/>
        <v>2916.6666666666665</v>
      </c>
      <c r="CQ62" s="976">
        <f t="shared" si="166"/>
        <v>2916.6666666666665</v>
      </c>
      <c r="CR62" s="976">
        <f t="shared" si="166"/>
        <v>2916.6666666666665</v>
      </c>
      <c r="CS62" s="976">
        <f t="shared" si="166"/>
        <v>2916.6666666666665</v>
      </c>
      <c r="CT62" s="976">
        <f t="shared" si="166"/>
        <v>2916.6666666666665</v>
      </c>
      <c r="CU62" s="976">
        <f t="shared" si="166"/>
        <v>2916.6666666666665</v>
      </c>
      <c r="CV62" s="976">
        <f t="shared" si="166"/>
        <v>2916.6666666666665</v>
      </c>
      <c r="CW62" s="976">
        <f t="shared" si="166"/>
        <v>2916.6666666666665</v>
      </c>
      <c r="CX62" s="976">
        <f t="shared" si="166"/>
        <v>2916.6666666666665</v>
      </c>
      <c r="CY62" s="977">
        <f t="shared" si="69"/>
        <v>35000.000000000007</v>
      </c>
      <c r="CZ62" s="877">
        <f t="shared" si="136"/>
        <v>6083.291666666667</v>
      </c>
      <c r="DA62" s="248">
        <f t="shared" si="136"/>
        <v>6083.291666666667</v>
      </c>
      <c r="DB62" s="248">
        <f t="shared" si="136"/>
        <v>6083.291666666667</v>
      </c>
      <c r="DC62" s="248">
        <f t="shared" si="136"/>
        <v>6083.291666666667</v>
      </c>
      <c r="DD62" s="248">
        <f t="shared" si="136"/>
        <v>6083.291666666667</v>
      </c>
      <c r="DE62" s="248">
        <f t="shared" si="136"/>
        <v>6083.291666666667</v>
      </c>
      <c r="DF62" s="248">
        <f t="shared" si="136"/>
        <v>6083.291666666667</v>
      </c>
      <c r="DG62" s="248">
        <f t="shared" si="136"/>
        <v>6083.291666666667</v>
      </c>
      <c r="DH62" s="248">
        <f t="shared" si="136"/>
        <v>6083.291666666667</v>
      </c>
      <c r="DI62" s="248">
        <f t="shared" si="136"/>
        <v>6083.291666666667</v>
      </c>
      <c r="DJ62" s="248">
        <f t="shared" si="136"/>
        <v>6083.291666666667</v>
      </c>
      <c r="DK62" s="248">
        <f t="shared" si="136"/>
        <v>6083.291666666667</v>
      </c>
      <c r="DL62" s="878">
        <f t="shared" si="50"/>
        <v>72999.5</v>
      </c>
      <c r="DM62" s="975">
        <f>35000/12</f>
        <v>2916.6666666666665</v>
      </c>
      <c r="DN62" s="976">
        <f t="shared" si="167"/>
        <v>2916.6666666666665</v>
      </c>
      <c r="DO62" s="976">
        <f t="shared" si="167"/>
        <v>2916.6666666666665</v>
      </c>
      <c r="DP62" s="976">
        <f t="shared" si="167"/>
        <v>2916.6666666666665</v>
      </c>
      <c r="DQ62" s="976">
        <f t="shared" si="167"/>
        <v>2916.6666666666665</v>
      </c>
      <c r="DR62" s="976">
        <f t="shared" si="167"/>
        <v>2916.6666666666665</v>
      </c>
      <c r="DS62" s="976">
        <f t="shared" si="167"/>
        <v>2916.6666666666665</v>
      </c>
      <c r="DT62" s="976">
        <f t="shared" si="167"/>
        <v>2916.6666666666665</v>
      </c>
      <c r="DU62" s="976">
        <f t="shared" si="167"/>
        <v>2916.6666666666665</v>
      </c>
      <c r="DV62" s="976">
        <f t="shared" si="167"/>
        <v>2916.6666666666665</v>
      </c>
      <c r="DW62" s="976">
        <f t="shared" si="167"/>
        <v>2916.6666666666665</v>
      </c>
      <c r="DX62" s="976">
        <f t="shared" si="167"/>
        <v>2916.6666666666665</v>
      </c>
      <c r="DY62" s="977">
        <f t="shared" si="71"/>
        <v>35000.000000000007</v>
      </c>
      <c r="DZ62" s="877">
        <f t="shared" si="137"/>
        <v>6083.291666666667</v>
      </c>
      <c r="EA62" s="248">
        <f t="shared" si="137"/>
        <v>6083.291666666667</v>
      </c>
      <c r="EB62" s="248">
        <f t="shared" si="137"/>
        <v>6083.291666666667</v>
      </c>
      <c r="EC62" s="248">
        <f t="shared" si="137"/>
        <v>6083.291666666667</v>
      </c>
      <c r="ED62" s="248">
        <f t="shared" si="137"/>
        <v>6083.291666666667</v>
      </c>
      <c r="EE62" s="248">
        <f t="shared" si="137"/>
        <v>6083.291666666667</v>
      </c>
      <c r="EF62" s="248">
        <f t="shared" si="137"/>
        <v>6083.291666666667</v>
      </c>
      <c r="EG62" s="248">
        <f t="shared" si="137"/>
        <v>6083.291666666667</v>
      </c>
      <c r="EH62" s="248">
        <f t="shared" si="137"/>
        <v>6083.291666666667</v>
      </c>
      <c r="EI62" s="248">
        <f t="shared" si="137"/>
        <v>6083.291666666667</v>
      </c>
      <c r="EJ62" s="248">
        <f t="shared" si="137"/>
        <v>6083.291666666667</v>
      </c>
      <c r="EK62" s="248">
        <f t="shared" si="137"/>
        <v>6083.291666666667</v>
      </c>
      <c r="EL62" s="878">
        <f t="shared" si="52"/>
        <v>72999.5</v>
      </c>
    </row>
    <row r="63" spans="1:142">
      <c r="A63" s="964" t="s">
        <v>655</v>
      </c>
      <c r="B63" s="904" t="s">
        <v>692</v>
      </c>
      <c r="C63" s="995" t="s">
        <v>289</v>
      </c>
      <c r="D63" s="1017">
        <v>2.4708999999999999</v>
      </c>
      <c r="E63" s="550">
        <v>2.4708999999999999</v>
      </c>
      <c r="F63" s="550">
        <v>2.1659999999999999</v>
      </c>
      <c r="G63" s="551">
        <v>2.4708999999999999</v>
      </c>
      <c r="H63" s="549">
        <f t="shared" si="73"/>
        <v>2.4708999999999999</v>
      </c>
      <c r="I63" s="550">
        <f t="shared" si="73"/>
        <v>2.4708999999999999</v>
      </c>
      <c r="J63" s="550">
        <f t="shared" si="73"/>
        <v>2.4708999999999999</v>
      </c>
      <c r="K63" s="973">
        <f t="shared" si="73"/>
        <v>2.4708999999999999</v>
      </c>
      <c r="L63" s="974"/>
      <c r="M63" s="555">
        <v>3600</v>
      </c>
      <c r="N63" s="530">
        <v>3600</v>
      </c>
      <c r="O63" s="530">
        <v>3600</v>
      </c>
      <c r="P63" s="530"/>
      <c r="Q63" s="530"/>
      <c r="R63" s="530"/>
      <c r="S63" s="530">
        <v>1350</v>
      </c>
      <c r="T63" s="530">
        <v>1500</v>
      </c>
      <c r="U63" s="530">
        <v>1500</v>
      </c>
      <c r="V63" s="530">
        <v>1500</v>
      </c>
      <c r="W63" s="530"/>
      <c r="X63" s="530"/>
      <c r="Y63" s="876">
        <f t="shared" si="58"/>
        <v>16650</v>
      </c>
      <c r="Z63" s="877">
        <v>8678.5199999999986</v>
      </c>
      <c r="AA63" s="248">
        <v>7797.5999999999995</v>
      </c>
      <c r="AB63" s="248">
        <v>7797.5999999999995</v>
      </c>
      <c r="AC63" s="248">
        <f>P63*$E63</f>
        <v>0</v>
      </c>
      <c r="AD63" s="248">
        <f t="shared" si="150"/>
        <v>0</v>
      </c>
      <c r="AE63" s="248">
        <f t="shared" si="155"/>
        <v>0</v>
      </c>
      <c r="AF63" s="248">
        <f>S63*$F63</f>
        <v>2924.1</v>
      </c>
      <c r="AG63" s="248">
        <f>T63*$F63</f>
        <v>3249</v>
      </c>
      <c r="AH63" s="248">
        <f t="shared" si="156"/>
        <v>3249</v>
      </c>
      <c r="AI63" s="248">
        <f t="shared" si="157"/>
        <v>3706.35</v>
      </c>
      <c r="AJ63" s="248">
        <f t="shared" si="157"/>
        <v>0</v>
      </c>
      <c r="AK63" s="248">
        <f t="shared" si="157"/>
        <v>0</v>
      </c>
      <c r="AL63" s="878">
        <f t="shared" si="62"/>
        <v>37402.169999999991</v>
      </c>
      <c r="AM63" s="975">
        <f>41000/12</f>
        <v>3416.6666666666665</v>
      </c>
      <c r="AN63" s="976">
        <f t="shared" ref="AN63:AX64" si="168">41000/12</f>
        <v>3416.6666666666665</v>
      </c>
      <c r="AO63" s="976">
        <f t="shared" si="168"/>
        <v>3416.6666666666665</v>
      </c>
      <c r="AP63" s="976">
        <f t="shared" si="168"/>
        <v>3416.6666666666665</v>
      </c>
      <c r="AQ63" s="976">
        <f t="shared" si="168"/>
        <v>3416.6666666666665</v>
      </c>
      <c r="AR63" s="976">
        <f t="shared" si="168"/>
        <v>3416.6666666666665</v>
      </c>
      <c r="AS63" s="976">
        <f t="shared" si="168"/>
        <v>3416.6666666666665</v>
      </c>
      <c r="AT63" s="976">
        <f t="shared" si="168"/>
        <v>3416.6666666666665</v>
      </c>
      <c r="AU63" s="976">
        <f t="shared" si="168"/>
        <v>3416.6666666666665</v>
      </c>
      <c r="AV63" s="976">
        <f t="shared" si="168"/>
        <v>3416.6666666666665</v>
      </c>
      <c r="AW63" s="976">
        <f t="shared" si="168"/>
        <v>3416.6666666666665</v>
      </c>
      <c r="AX63" s="976">
        <f t="shared" si="168"/>
        <v>3416.6666666666665</v>
      </c>
      <c r="AY63" s="977">
        <f t="shared" si="64"/>
        <v>41000</v>
      </c>
      <c r="AZ63" s="877">
        <f t="shared" si="159"/>
        <v>8442.241666666665</v>
      </c>
      <c r="BA63" s="248">
        <f t="shared" si="160"/>
        <v>8442.241666666665</v>
      </c>
      <c r="BB63" s="248">
        <f t="shared" si="161"/>
        <v>8442.241666666665</v>
      </c>
      <c r="BC63" s="248">
        <f t="shared" si="134"/>
        <v>8442.241666666665</v>
      </c>
      <c r="BD63" s="248">
        <f t="shared" si="134"/>
        <v>8442.241666666665</v>
      </c>
      <c r="BE63" s="248">
        <f t="shared" si="134"/>
        <v>8442.241666666665</v>
      </c>
      <c r="BF63" s="248">
        <f t="shared" si="134"/>
        <v>8442.241666666665</v>
      </c>
      <c r="BG63" s="248">
        <f t="shared" si="134"/>
        <v>8442.241666666665</v>
      </c>
      <c r="BH63" s="248">
        <f t="shared" si="134"/>
        <v>8442.241666666665</v>
      </c>
      <c r="BI63" s="248">
        <f t="shared" si="134"/>
        <v>8442.241666666665</v>
      </c>
      <c r="BJ63" s="248">
        <f t="shared" si="134"/>
        <v>8442.241666666665</v>
      </c>
      <c r="BK63" s="248">
        <f t="shared" si="134"/>
        <v>8442.241666666665</v>
      </c>
      <c r="BL63" s="878">
        <f t="shared" si="47"/>
        <v>101306.90000000001</v>
      </c>
      <c r="BM63" s="975">
        <f>41000/12</f>
        <v>3416.6666666666665</v>
      </c>
      <c r="BN63" s="976">
        <f t="shared" ref="BN63:BX64" si="169">41000/12</f>
        <v>3416.6666666666665</v>
      </c>
      <c r="BO63" s="976">
        <f t="shared" si="169"/>
        <v>3416.6666666666665</v>
      </c>
      <c r="BP63" s="976">
        <f t="shared" si="169"/>
        <v>3416.6666666666665</v>
      </c>
      <c r="BQ63" s="976">
        <f t="shared" si="169"/>
        <v>3416.6666666666665</v>
      </c>
      <c r="BR63" s="976">
        <f t="shared" si="169"/>
        <v>3416.6666666666665</v>
      </c>
      <c r="BS63" s="976">
        <f t="shared" si="169"/>
        <v>3416.6666666666665</v>
      </c>
      <c r="BT63" s="976">
        <f t="shared" si="169"/>
        <v>3416.6666666666665</v>
      </c>
      <c r="BU63" s="976">
        <f t="shared" si="169"/>
        <v>3416.6666666666665</v>
      </c>
      <c r="BV63" s="976">
        <f t="shared" si="169"/>
        <v>3416.6666666666665</v>
      </c>
      <c r="BW63" s="976">
        <f t="shared" si="169"/>
        <v>3416.6666666666665</v>
      </c>
      <c r="BX63" s="976">
        <f t="shared" si="169"/>
        <v>3416.6666666666665</v>
      </c>
      <c r="BY63" s="977">
        <f t="shared" si="66"/>
        <v>41000</v>
      </c>
      <c r="BZ63" s="877">
        <f t="shared" si="163"/>
        <v>8442.241666666665</v>
      </c>
      <c r="CA63" s="248">
        <f t="shared" si="164"/>
        <v>8442.241666666665</v>
      </c>
      <c r="CB63" s="248">
        <f t="shared" si="165"/>
        <v>8442.241666666665</v>
      </c>
      <c r="CC63" s="248">
        <f t="shared" si="135"/>
        <v>8442.241666666665</v>
      </c>
      <c r="CD63" s="248">
        <f t="shared" si="135"/>
        <v>8442.241666666665</v>
      </c>
      <c r="CE63" s="248">
        <f t="shared" si="135"/>
        <v>8442.241666666665</v>
      </c>
      <c r="CF63" s="248">
        <f t="shared" si="135"/>
        <v>8442.241666666665</v>
      </c>
      <c r="CG63" s="248">
        <f t="shared" si="135"/>
        <v>8442.241666666665</v>
      </c>
      <c r="CH63" s="248">
        <f t="shared" si="135"/>
        <v>8442.241666666665</v>
      </c>
      <c r="CI63" s="248">
        <f t="shared" si="135"/>
        <v>8442.241666666665</v>
      </c>
      <c r="CJ63" s="248">
        <f t="shared" si="135"/>
        <v>8442.241666666665</v>
      </c>
      <c r="CK63" s="248">
        <f t="shared" si="135"/>
        <v>8442.241666666665</v>
      </c>
      <c r="CL63" s="878">
        <f t="shared" si="68"/>
        <v>101306.90000000001</v>
      </c>
      <c r="CM63" s="975">
        <f>41000/12</f>
        <v>3416.6666666666665</v>
      </c>
      <c r="CN63" s="976">
        <f t="shared" ref="CN63:CX64" si="170">41000/12</f>
        <v>3416.6666666666665</v>
      </c>
      <c r="CO63" s="976">
        <f t="shared" si="170"/>
        <v>3416.6666666666665</v>
      </c>
      <c r="CP63" s="976">
        <f t="shared" si="170"/>
        <v>3416.6666666666665</v>
      </c>
      <c r="CQ63" s="976">
        <f t="shared" si="170"/>
        <v>3416.6666666666665</v>
      </c>
      <c r="CR63" s="976">
        <f t="shared" si="170"/>
        <v>3416.6666666666665</v>
      </c>
      <c r="CS63" s="976">
        <f t="shared" si="170"/>
        <v>3416.6666666666665</v>
      </c>
      <c r="CT63" s="976">
        <f t="shared" si="170"/>
        <v>3416.6666666666665</v>
      </c>
      <c r="CU63" s="976">
        <f t="shared" si="170"/>
        <v>3416.6666666666665</v>
      </c>
      <c r="CV63" s="976">
        <f t="shared" si="170"/>
        <v>3416.6666666666665</v>
      </c>
      <c r="CW63" s="976">
        <f t="shared" si="170"/>
        <v>3416.6666666666665</v>
      </c>
      <c r="CX63" s="976">
        <f t="shared" si="170"/>
        <v>3416.6666666666665</v>
      </c>
      <c r="CY63" s="977">
        <f t="shared" si="69"/>
        <v>41000</v>
      </c>
      <c r="CZ63" s="877">
        <f t="shared" si="136"/>
        <v>8442.241666666665</v>
      </c>
      <c r="DA63" s="248">
        <f t="shared" si="136"/>
        <v>8442.241666666665</v>
      </c>
      <c r="DB63" s="248">
        <f t="shared" si="136"/>
        <v>8442.241666666665</v>
      </c>
      <c r="DC63" s="248">
        <f t="shared" si="136"/>
        <v>8442.241666666665</v>
      </c>
      <c r="DD63" s="248">
        <f t="shared" si="136"/>
        <v>8442.241666666665</v>
      </c>
      <c r="DE63" s="248">
        <f t="shared" si="136"/>
        <v>8442.241666666665</v>
      </c>
      <c r="DF63" s="248">
        <f t="shared" si="136"/>
        <v>8442.241666666665</v>
      </c>
      <c r="DG63" s="248">
        <f t="shared" si="136"/>
        <v>8442.241666666665</v>
      </c>
      <c r="DH63" s="248">
        <f t="shared" si="136"/>
        <v>8442.241666666665</v>
      </c>
      <c r="DI63" s="248">
        <f t="shared" si="136"/>
        <v>8442.241666666665</v>
      </c>
      <c r="DJ63" s="248">
        <f t="shared" si="136"/>
        <v>8442.241666666665</v>
      </c>
      <c r="DK63" s="248">
        <f t="shared" si="136"/>
        <v>8442.241666666665</v>
      </c>
      <c r="DL63" s="878">
        <f t="shared" si="50"/>
        <v>101306.90000000001</v>
      </c>
      <c r="DM63" s="975">
        <f>41000/12</f>
        <v>3416.6666666666665</v>
      </c>
      <c r="DN63" s="976">
        <f t="shared" ref="DN63:DX64" si="171">41000/12</f>
        <v>3416.6666666666665</v>
      </c>
      <c r="DO63" s="976">
        <f t="shared" si="171"/>
        <v>3416.6666666666665</v>
      </c>
      <c r="DP63" s="976">
        <f t="shared" si="171"/>
        <v>3416.6666666666665</v>
      </c>
      <c r="DQ63" s="976">
        <f t="shared" si="171"/>
        <v>3416.6666666666665</v>
      </c>
      <c r="DR63" s="976">
        <f t="shared" si="171"/>
        <v>3416.6666666666665</v>
      </c>
      <c r="DS63" s="976">
        <f t="shared" si="171"/>
        <v>3416.6666666666665</v>
      </c>
      <c r="DT63" s="976">
        <f t="shared" si="171"/>
        <v>3416.6666666666665</v>
      </c>
      <c r="DU63" s="976">
        <f t="shared" si="171"/>
        <v>3416.6666666666665</v>
      </c>
      <c r="DV63" s="976">
        <f t="shared" si="171"/>
        <v>3416.6666666666665</v>
      </c>
      <c r="DW63" s="976">
        <f t="shared" si="171"/>
        <v>3416.6666666666665</v>
      </c>
      <c r="DX63" s="976">
        <f t="shared" si="171"/>
        <v>3416.6666666666665</v>
      </c>
      <c r="DY63" s="977">
        <f t="shared" si="71"/>
        <v>41000</v>
      </c>
      <c r="DZ63" s="877">
        <f t="shared" si="137"/>
        <v>8442.241666666665</v>
      </c>
      <c r="EA63" s="248">
        <f t="shared" si="137"/>
        <v>8442.241666666665</v>
      </c>
      <c r="EB63" s="248">
        <f t="shared" si="137"/>
        <v>8442.241666666665</v>
      </c>
      <c r="EC63" s="248">
        <f t="shared" si="137"/>
        <v>8442.241666666665</v>
      </c>
      <c r="ED63" s="248">
        <f t="shared" si="137"/>
        <v>8442.241666666665</v>
      </c>
      <c r="EE63" s="248">
        <f t="shared" si="137"/>
        <v>8442.241666666665</v>
      </c>
      <c r="EF63" s="248">
        <f t="shared" si="137"/>
        <v>8442.241666666665</v>
      </c>
      <c r="EG63" s="248">
        <f t="shared" si="137"/>
        <v>8442.241666666665</v>
      </c>
      <c r="EH63" s="248">
        <f t="shared" si="137"/>
        <v>8442.241666666665</v>
      </c>
      <c r="EI63" s="248">
        <f t="shared" si="137"/>
        <v>8442.241666666665</v>
      </c>
      <c r="EJ63" s="248">
        <f t="shared" si="137"/>
        <v>8442.241666666665</v>
      </c>
      <c r="EK63" s="248">
        <f t="shared" si="137"/>
        <v>8442.241666666665</v>
      </c>
      <c r="EL63" s="878">
        <f t="shared" si="52"/>
        <v>101306.90000000001</v>
      </c>
    </row>
    <row r="64" spans="1:142">
      <c r="A64" s="964" t="s">
        <v>655</v>
      </c>
      <c r="B64" s="904" t="s">
        <v>74</v>
      </c>
      <c r="C64" s="995" t="s">
        <v>288</v>
      </c>
      <c r="D64" s="1017">
        <v>1.9857</v>
      </c>
      <c r="E64" s="544">
        <v>1.9857</v>
      </c>
      <c r="F64" s="544">
        <v>1.7043999999999999</v>
      </c>
      <c r="G64" s="545">
        <v>1.9857</v>
      </c>
      <c r="H64" s="549">
        <f t="shared" si="73"/>
        <v>1.9857</v>
      </c>
      <c r="I64" s="544">
        <f t="shared" si="73"/>
        <v>1.9857</v>
      </c>
      <c r="J64" s="544">
        <f t="shared" si="73"/>
        <v>1.9857</v>
      </c>
      <c r="K64" s="906">
        <f t="shared" si="73"/>
        <v>1.9857</v>
      </c>
      <c r="L64" s="875"/>
      <c r="M64" s="555">
        <v>3600</v>
      </c>
      <c r="N64" s="530">
        <v>3600</v>
      </c>
      <c r="O64" s="530">
        <v>3600</v>
      </c>
      <c r="P64" s="530"/>
      <c r="Q64" s="530"/>
      <c r="R64" s="530"/>
      <c r="S64" s="530">
        <v>2700</v>
      </c>
      <c r="T64" s="530">
        <v>1500</v>
      </c>
      <c r="U64" s="530">
        <v>1500</v>
      </c>
      <c r="V64" s="530">
        <v>1500</v>
      </c>
      <c r="W64" s="530"/>
      <c r="X64" s="530"/>
      <c r="Y64" s="876">
        <f t="shared" si="58"/>
        <v>18000</v>
      </c>
      <c r="Z64" s="877">
        <v>7016.76</v>
      </c>
      <c r="AA64" s="248">
        <v>6429.48</v>
      </c>
      <c r="AB64" s="248">
        <v>6135.84</v>
      </c>
      <c r="AC64" s="248">
        <f>P64*$E64</f>
        <v>0</v>
      </c>
      <c r="AD64" s="248">
        <f t="shared" si="150"/>
        <v>0</v>
      </c>
      <c r="AE64" s="248">
        <f t="shared" si="155"/>
        <v>0</v>
      </c>
      <c r="AF64" s="248">
        <f>S64*$F64</f>
        <v>4601.88</v>
      </c>
      <c r="AG64" s="248">
        <f>T64*$F64</f>
        <v>2556.6</v>
      </c>
      <c r="AH64" s="248">
        <f t="shared" si="156"/>
        <v>2556.6</v>
      </c>
      <c r="AI64" s="248">
        <f t="shared" si="157"/>
        <v>2978.55</v>
      </c>
      <c r="AJ64" s="248">
        <f t="shared" si="157"/>
        <v>0</v>
      </c>
      <c r="AK64" s="248">
        <f t="shared" si="157"/>
        <v>0</v>
      </c>
      <c r="AL64" s="878">
        <f t="shared" si="62"/>
        <v>32275.71</v>
      </c>
      <c r="AM64" s="975">
        <f>41000/12</f>
        <v>3416.6666666666665</v>
      </c>
      <c r="AN64" s="976">
        <f t="shared" si="168"/>
        <v>3416.6666666666665</v>
      </c>
      <c r="AO64" s="976">
        <f t="shared" si="168"/>
        <v>3416.6666666666665</v>
      </c>
      <c r="AP64" s="976">
        <f t="shared" si="168"/>
        <v>3416.6666666666665</v>
      </c>
      <c r="AQ64" s="976">
        <f t="shared" si="168"/>
        <v>3416.6666666666665</v>
      </c>
      <c r="AR64" s="976">
        <f t="shared" si="168"/>
        <v>3416.6666666666665</v>
      </c>
      <c r="AS64" s="976">
        <f t="shared" si="168"/>
        <v>3416.6666666666665</v>
      </c>
      <c r="AT64" s="976">
        <f t="shared" si="168"/>
        <v>3416.6666666666665</v>
      </c>
      <c r="AU64" s="976">
        <f t="shared" si="168"/>
        <v>3416.6666666666665</v>
      </c>
      <c r="AV64" s="976">
        <f t="shared" si="168"/>
        <v>3416.6666666666665</v>
      </c>
      <c r="AW64" s="976">
        <f t="shared" si="168"/>
        <v>3416.6666666666665</v>
      </c>
      <c r="AX64" s="976">
        <f t="shared" si="168"/>
        <v>3416.6666666666665</v>
      </c>
      <c r="AY64" s="977">
        <f t="shared" si="64"/>
        <v>41000</v>
      </c>
      <c r="AZ64" s="877">
        <f t="shared" si="159"/>
        <v>6784.4749999999995</v>
      </c>
      <c r="BA64" s="248">
        <f t="shared" si="160"/>
        <v>6784.4749999999995</v>
      </c>
      <c r="BB64" s="248">
        <f t="shared" si="161"/>
        <v>6784.4749999999995</v>
      </c>
      <c r="BC64" s="248">
        <f t="shared" si="134"/>
        <v>6784.4749999999995</v>
      </c>
      <c r="BD64" s="248">
        <f t="shared" si="134"/>
        <v>6784.4749999999995</v>
      </c>
      <c r="BE64" s="248">
        <f t="shared" si="134"/>
        <v>6784.4749999999995</v>
      </c>
      <c r="BF64" s="248">
        <f t="shared" si="134"/>
        <v>6784.4749999999995</v>
      </c>
      <c r="BG64" s="248">
        <f t="shared" si="134"/>
        <v>6784.4749999999995</v>
      </c>
      <c r="BH64" s="248">
        <f t="shared" si="134"/>
        <v>6784.4749999999995</v>
      </c>
      <c r="BI64" s="248">
        <f t="shared" si="134"/>
        <v>6784.4749999999995</v>
      </c>
      <c r="BJ64" s="248">
        <f t="shared" si="134"/>
        <v>6784.4749999999995</v>
      </c>
      <c r="BK64" s="248">
        <f t="shared" si="134"/>
        <v>6784.4749999999995</v>
      </c>
      <c r="BL64" s="878">
        <f t="shared" si="47"/>
        <v>81413.700000000012</v>
      </c>
      <c r="BM64" s="975">
        <f>41000/12</f>
        <v>3416.6666666666665</v>
      </c>
      <c r="BN64" s="976">
        <f t="shared" si="169"/>
        <v>3416.6666666666665</v>
      </c>
      <c r="BO64" s="976">
        <f t="shared" si="169"/>
        <v>3416.6666666666665</v>
      </c>
      <c r="BP64" s="976">
        <f t="shared" si="169"/>
        <v>3416.6666666666665</v>
      </c>
      <c r="BQ64" s="976">
        <f t="shared" si="169"/>
        <v>3416.6666666666665</v>
      </c>
      <c r="BR64" s="976">
        <f t="shared" si="169"/>
        <v>3416.6666666666665</v>
      </c>
      <c r="BS64" s="976">
        <f t="shared" si="169"/>
        <v>3416.6666666666665</v>
      </c>
      <c r="BT64" s="976">
        <f t="shared" si="169"/>
        <v>3416.6666666666665</v>
      </c>
      <c r="BU64" s="976">
        <f t="shared" si="169"/>
        <v>3416.6666666666665</v>
      </c>
      <c r="BV64" s="976">
        <f t="shared" si="169"/>
        <v>3416.6666666666665</v>
      </c>
      <c r="BW64" s="976">
        <f t="shared" si="169"/>
        <v>3416.6666666666665</v>
      </c>
      <c r="BX64" s="976">
        <f t="shared" si="169"/>
        <v>3416.6666666666665</v>
      </c>
      <c r="BY64" s="977">
        <f t="shared" si="66"/>
        <v>41000</v>
      </c>
      <c r="BZ64" s="877">
        <f t="shared" si="163"/>
        <v>6784.4749999999995</v>
      </c>
      <c r="CA64" s="248">
        <f t="shared" si="164"/>
        <v>6784.4749999999995</v>
      </c>
      <c r="CB64" s="248">
        <f t="shared" si="165"/>
        <v>6784.4749999999995</v>
      </c>
      <c r="CC64" s="248">
        <f t="shared" si="135"/>
        <v>6784.4749999999995</v>
      </c>
      <c r="CD64" s="248">
        <f t="shared" si="135"/>
        <v>6784.4749999999995</v>
      </c>
      <c r="CE64" s="248">
        <f t="shared" si="135"/>
        <v>6784.4749999999995</v>
      </c>
      <c r="CF64" s="248">
        <f t="shared" si="135"/>
        <v>6784.4749999999995</v>
      </c>
      <c r="CG64" s="248">
        <f t="shared" si="135"/>
        <v>6784.4749999999995</v>
      </c>
      <c r="CH64" s="248">
        <f t="shared" si="135"/>
        <v>6784.4749999999995</v>
      </c>
      <c r="CI64" s="248">
        <f t="shared" si="135"/>
        <v>6784.4749999999995</v>
      </c>
      <c r="CJ64" s="248">
        <f t="shared" si="135"/>
        <v>6784.4749999999995</v>
      </c>
      <c r="CK64" s="248">
        <f t="shared" si="135"/>
        <v>6784.4749999999995</v>
      </c>
      <c r="CL64" s="878">
        <f t="shared" si="68"/>
        <v>81413.700000000012</v>
      </c>
      <c r="CM64" s="975">
        <f>41000/12</f>
        <v>3416.6666666666665</v>
      </c>
      <c r="CN64" s="976">
        <f t="shared" si="170"/>
        <v>3416.6666666666665</v>
      </c>
      <c r="CO64" s="976">
        <f t="shared" si="170"/>
        <v>3416.6666666666665</v>
      </c>
      <c r="CP64" s="976">
        <f t="shared" si="170"/>
        <v>3416.6666666666665</v>
      </c>
      <c r="CQ64" s="976">
        <f t="shared" si="170"/>
        <v>3416.6666666666665</v>
      </c>
      <c r="CR64" s="976">
        <f t="shared" si="170"/>
        <v>3416.6666666666665</v>
      </c>
      <c r="CS64" s="976">
        <f t="shared" si="170"/>
        <v>3416.6666666666665</v>
      </c>
      <c r="CT64" s="976">
        <f t="shared" si="170"/>
        <v>3416.6666666666665</v>
      </c>
      <c r="CU64" s="976">
        <f t="shared" si="170"/>
        <v>3416.6666666666665</v>
      </c>
      <c r="CV64" s="976">
        <f t="shared" si="170"/>
        <v>3416.6666666666665</v>
      </c>
      <c r="CW64" s="976">
        <f t="shared" si="170"/>
        <v>3416.6666666666665</v>
      </c>
      <c r="CX64" s="976">
        <f t="shared" si="170"/>
        <v>3416.6666666666665</v>
      </c>
      <c r="CY64" s="977">
        <f t="shared" si="69"/>
        <v>41000</v>
      </c>
      <c r="CZ64" s="877">
        <f t="shared" si="136"/>
        <v>6784.4749999999995</v>
      </c>
      <c r="DA64" s="248">
        <f t="shared" si="136"/>
        <v>6784.4749999999995</v>
      </c>
      <c r="DB64" s="248">
        <f t="shared" si="136"/>
        <v>6784.4749999999995</v>
      </c>
      <c r="DC64" s="248">
        <f t="shared" si="136"/>
        <v>6784.4749999999995</v>
      </c>
      <c r="DD64" s="248">
        <f t="shared" si="136"/>
        <v>6784.4749999999995</v>
      </c>
      <c r="DE64" s="248">
        <f t="shared" si="136"/>
        <v>6784.4749999999995</v>
      </c>
      <c r="DF64" s="248">
        <f t="shared" si="136"/>
        <v>6784.4749999999995</v>
      </c>
      <c r="DG64" s="248">
        <f t="shared" si="136"/>
        <v>6784.4749999999995</v>
      </c>
      <c r="DH64" s="248">
        <f t="shared" si="136"/>
        <v>6784.4749999999995</v>
      </c>
      <c r="DI64" s="248">
        <f t="shared" si="136"/>
        <v>6784.4749999999995</v>
      </c>
      <c r="DJ64" s="248">
        <f t="shared" si="136"/>
        <v>6784.4749999999995</v>
      </c>
      <c r="DK64" s="248">
        <f t="shared" si="136"/>
        <v>6784.4749999999995</v>
      </c>
      <c r="DL64" s="878">
        <f t="shared" si="50"/>
        <v>81413.700000000012</v>
      </c>
      <c r="DM64" s="975">
        <f>41000/12</f>
        <v>3416.6666666666665</v>
      </c>
      <c r="DN64" s="976">
        <f t="shared" si="171"/>
        <v>3416.6666666666665</v>
      </c>
      <c r="DO64" s="976">
        <f t="shared" si="171"/>
        <v>3416.6666666666665</v>
      </c>
      <c r="DP64" s="976">
        <f t="shared" si="171"/>
        <v>3416.6666666666665</v>
      </c>
      <c r="DQ64" s="976">
        <f t="shared" si="171"/>
        <v>3416.6666666666665</v>
      </c>
      <c r="DR64" s="976">
        <f t="shared" si="171"/>
        <v>3416.6666666666665</v>
      </c>
      <c r="DS64" s="976">
        <f t="shared" si="171"/>
        <v>3416.6666666666665</v>
      </c>
      <c r="DT64" s="976">
        <f t="shared" si="171"/>
        <v>3416.6666666666665</v>
      </c>
      <c r="DU64" s="976">
        <f t="shared" si="171"/>
        <v>3416.6666666666665</v>
      </c>
      <c r="DV64" s="976">
        <f t="shared" si="171"/>
        <v>3416.6666666666665</v>
      </c>
      <c r="DW64" s="976">
        <f t="shared" si="171"/>
        <v>3416.6666666666665</v>
      </c>
      <c r="DX64" s="976">
        <f t="shared" si="171"/>
        <v>3416.6666666666665</v>
      </c>
      <c r="DY64" s="977">
        <f t="shared" si="71"/>
        <v>41000</v>
      </c>
      <c r="DZ64" s="877">
        <f t="shared" si="137"/>
        <v>6784.4749999999995</v>
      </c>
      <c r="EA64" s="248">
        <f t="shared" si="137"/>
        <v>6784.4749999999995</v>
      </c>
      <c r="EB64" s="248">
        <f t="shared" si="137"/>
        <v>6784.4749999999995</v>
      </c>
      <c r="EC64" s="248">
        <f t="shared" si="137"/>
        <v>6784.4749999999995</v>
      </c>
      <c r="ED64" s="248">
        <f t="shared" si="137"/>
        <v>6784.4749999999995</v>
      </c>
      <c r="EE64" s="248">
        <f t="shared" si="137"/>
        <v>6784.4749999999995</v>
      </c>
      <c r="EF64" s="248">
        <f t="shared" si="137"/>
        <v>6784.4749999999995</v>
      </c>
      <c r="EG64" s="248">
        <f t="shared" si="137"/>
        <v>6784.4749999999995</v>
      </c>
      <c r="EH64" s="248">
        <f t="shared" si="137"/>
        <v>6784.4749999999995</v>
      </c>
      <c r="EI64" s="248">
        <f t="shared" si="137"/>
        <v>6784.4749999999995</v>
      </c>
      <c r="EJ64" s="248">
        <f t="shared" si="137"/>
        <v>6784.4749999999995</v>
      </c>
      <c r="EK64" s="248">
        <f t="shared" si="137"/>
        <v>6784.4749999999995</v>
      </c>
      <c r="EL64" s="878">
        <f t="shared" si="52"/>
        <v>81413.700000000012</v>
      </c>
    </row>
    <row r="65" spans="1:142">
      <c r="A65" s="964" t="s">
        <v>655</v>
      </c>
      <c r="B65" s="896" t="s">
        <v>693</v>
      </c>
      <c r="C65" s="995" t="s">
        <v>58</v>
      </c>
      <c r="D65" s="1017">
        <v>0.71</v>
      </c>
      <c r="E65" s="550">
        <v>0.71</v>
      </c>
      <c r="F65" s="550">
        <v>0.71</v>
      </c>
      <c r="G65" s="551">
        <v>0.71</v>
      </c>
      <c r="H65" s="549">
        <f t="shared" si="73"/>
        <v>0.71</v>
      </c>
      <c r="I65" s="550">
        <f t="shared" si="73"/>
        <v>0.71</v>
      </c>
      <c r="J65" s="550">
        <f t="shared" si="73"/>
        <v>0.71</v>
      </c>
      <c r="K65" s="973">
        <f t="shared" si="73"/>
        <v>0.71</v>
      </c>
      <c r="L65" s="974"/>
      <c r="M65" s="555">
        <v>23000</v>
      </c>
      <c r="N65" s="530">
        <v>24000</v>
      </c>
      <c r="O65" s="530">
        <v>30000</v>
      </c>
      <c r="P65" s="530">
        <v>32000</v>
      </c>
      <c r="Q65" s="1018">
        <v>33000</v>
      </c>
      <c r="R65" s="1018">
        <v>20000</v>
      </c>
      <c r="S65" s="530"/>
      <c r="T65" s="530">
        <v>30000</v>
      </c>
      <c r="U65" s="530">
        <v>20000</v>
      </c>
      <c r="V65" s="530">
        <v>12000</v>
      </c>
      <c r="W65" s="530">
        <v>12000</v>
      </c>
      <c r="X65" s="530">
        <v>12000</v>
      </c>
      <c r="Y65" s="876">
        <f t="shared" si="58"/>
        <v>248000</v>
      </c>
      <c r="Z65" s="877">
        <v>16330</v>
      </c>
      <c r="AA65" s="248">
        <v>17040</v>
      </c>
      <c r="AB65" s="248">
        <v>21300</v>
      </c>
      <c r="AC65" s="248">
        <f>P65*$E65</f>
        <v>22720</v>
      </c>
      <c r="AD65" s="248">
        <f t="shared" si="150"/>
        <v>23430</v>
      </c>
      <c r="AE65" s="248">
        <f>R65*$E65</f>
        <v>14200</v>
      </c>
      <c r="AF65" s="248">
        <f t="shared" si="156"/>
        <v>0</v>
      </c>
      <c r="AG65" s="248">
        <f t="shared" si="156"/>
        <v>21300</v>
      </c>
      <c r="AH65" s="248">
        <f t="shared" si="156"/>
        <v>14200</v>
      </c>
      <c r="AI65" s="248">
        <f t="shared" si="157"/>
        <v>8520</v>
      </c>
      <c r="AJ65" s="248">
        <f t="shared" si="157"/>
        <v>8520</v>
      </c>
      <c r="AK65" s="248">
        <f t="shared" si="157"/>
        <v>8520</v>
      </c>
      <c r="AL65" s="878">
        <f t="shared" si="62"/>
        <v>176080</v>
      </c>
      <c r="AM65" s="975">
        <f>84042/12</f>
        <v>7003.5</v>
      </c>
      <c r="AN65" s="976">
        <f t="shared" ref="AN65:AX66" si="172">84042/12</f>
        <v>7003.5</v>
      </c>
      <c r="AO65" s="976">
        <f t="shared" si="172"/>
        <v>7003.5</v>
      </c>
      <c r="AP65" s="976">
        <f t="shared" si="172"/>
        <v>7003.5</v>
      </c>
      <c r="AQ65" s="976">
        <f t="shared" si="172"/>
        <v>7003.5</v>
      </c>
      <c r="AR65" s="976">
        <f t="shared" si="172"/>
        <v>7003.5</v>
      </c>
      <c r="AS65" s="976">
        <f t="shared" si="172"/>
        <v>7003.5</v>
      </c>
      <c r="AT65" s="976">
        <f t="shared" si="172"/>
        <v>7003.5</v>
      </c>
      <c r="AU65" s="976">
        <f t="shared" si="172"/>
        <v>7003.5</v>
      </c>
      <c r="AV65" s="976">
        <f t="shared" si="172"/>
        <v>7003.5</v>
      </c>
      <c r="AW65" s="976">
        <f t="shared" si="172"/>
        <v>7003.5</v>
      </c>
      <c r="AX65" s="976">
        <f t="shared" si="172"/>
        <v>7003.5</v>
      </c>
      <c r="AY65" s="977">
        <f t="shared" si="64"/>
        <v>84042</v>
      </c>
      <c r="AZ65" s="877">
        <f t="shared" si="159"/>
        <v>4972.4849999999997</v>
      </c>
      <c r="BA65" s="248">
        <f t="shared" si="160"/>
        <v>4972.4849999999997</v>
      </c>
      <c r="BB65" s="248">
        <f t="shared" si="161"/>
        <v>4972.4849999999997</v>
      </c>
      <c r="BC65" s="248">
        <f t="shared" si="134"/>
        <v>4972.4849999999997</v>
      </c>
      <c r="BD65" s="248">
        <f t="shared" si="134"/>
        <v>4972.4849999999997</v>
      </c>
      <c r="BE65" s="248">
        <f t="shared" si="134"/>
        <v>4972.4849999999997</v>
      </c>
      <c r="BF65" s="248">
        <f t="shared" si="134"/>
        <v>4972.4849999999997</v>
      </c>
      <c r="BG65" s="248">
        <f t="shared" si="134"/>
        <v>4972.4849999999997</v>
      </c>
      <c r="BH65" s="248">
        <f t="shared" si="134"/>
        <v>4972.4849999999997</v>
      </c>
      <c r="BI65" s="248">
        <f t="shared" si="134"/>
        <v>4972.4849999999997</v>
      </c>
      <c r="BJ65" s="248">
        <f t="shared" si="134"/>
        <v>4972.4849999999997</v>
      </c>
      <c r="BK65" s="248">
        <f t="shared" si="134"/>
        <v>4972.4849999999997</v>
      </c>
      <c r="BL65" s="878">
        <f t="shared" si="47"/>
        <v>59669.82</v>
      </c>
      <c r="BM65" s="975">
        <f>89978/12</f>
        <v>7498.166666666667</v>
      </c>
      <c r="BN65" s="976">
        <f t="shared" ref="BN65:BX66" si="173">89978/12</f>
        <v>7498.166666666667</v>
      </c>
      <c r="BO65" s="976">
        <f t="shared" si="173"/>
        <v>7498.166666666667</v>
      </c>
      <c r="BP65" s="976">
        <f t="shared" si="173"/>
        <v>7498.166666666667</v>
      </c>
      <c r="BQ65" s="976">
        <f t="shared" si="173"/>
        <v>7498.166666666667</v>
      </c>
      <c r="BR65" s="976">
        <f t="shared" si="173"/>
        <v>7498.166666666667</v>
      </c>
      <c r="BS65" s="976">
        <f t="shared" si="173"/>
        <v>7498.166666666667</v>
      </c>
      <c r="BT65" s="976">
        <f t="shared" si="173"/>
        <v>7498.166666666667</v>
      </c>
      <c r="BU65" s="976">
        <f t="shared" si="173"/>
        <v>7498.166666666667</v>
      </c>
      <c r="BV65" s="976">
        <f t="shared" si="173"/>
        <v>7498.166666666667</v>
      </c>
      <c r="BW65" s="976">
        <f t="shared" si="173"/>
        <v>7498.166666666667</v>
      </c>
      <c r="BX65" s="976">
        <f t="shared" si="173"/>
        <v>7498.166666666667</v>
      </c>
      <c r="BY65" s="977">
        <f t="shared" si="66"/>
        <v>89978.000000000015</v>
      </c>
      <c r="BZ65" s="877">
        <f t="shared" si="163"/>
        <v>5323.6983333333337</v>
      </c>
      <c r="CA65" s="248">
        <f t="shared" si="164"/>
        <v>5323.6983333333337</v>
      </c>
      <c r="CB65" s="248">
        <f t="shared" si="165"/>
        <v>5323.6983333333337</v>
      </c>
      <c r="CC65" s="248">
        <f t="shared" si="135"/>
        <v>5323.6983333333337</v>
      </c>
      <c r="CD65" s="248">
        <f t="shared" si="135"/>
        <v>5323.6983333333337</v>
      </c>
      <c r="CE65" s="248">
        <f t="shared" si="135"/>
        <v>5323.6983333333337</v>
      </c>
      <c r="CF65" s="248">
        <f t="shared" si="135"/>
        <v>5323.6983333333337</v>
      </c>
      <c r="CG65" s="248">
        <f t="shared" si="135"/>
        <v>5323.6983333333337</v>
      </c>
      <c r="CH65" s="248">
        <f t="shared" si="135"/>
        <v>5323.6983333333337</v>
      </c>
      <c r="CI65" s="248">
        <f t="shared" si="135"/>
        <v>5323.6983333333337</v>
      </c>
      <c r="CJ65" s="248">
        <f t="shared" si="135"/>
        <v>5323.6983333333337</v>
      </c>
      <c r="CK65" s="248">
        <f t="shared" si="135"/>
        <v>5323.6983333333337</v>
      </c>
      <c r="CL65" s="878">
        <f t="shared" si="68"/>
        <v>63884.380000000005</v>
      </c>
      <c r="CM65" s="975">
        <f>89978/12</f>
        <v>7498.166666666667</v>
      </c>
      <c r="CN65" s="976">
        <f t="shared" ref="CN65:CX66" si="174">89978/12</f>
        <v>7498.166666666667</v>
      </c>
      <c r="CO65" s="976">
        <f t="shared" si="174"/>
        <v>7498.166666666667</v>
      </c>
      <c r="CP65" s="976">
        <f t="shared" si="174"/>
        <v>7498.166666666667</v>
      </c>
      <c r="CQ65" s="976">
        <f t="shared" si="174"/>
        <v>7498.166666666667</v>
      </c>
      <c r="CR65" s="976">
        <f t="shared" si="174"/>
        <v>7498.166666666667</v>
      </c>
      <c r="CS65" s="976">
        <f t="shared" si="174"/>
        <v>7498.166666666667</v>
      </c>
      <c r="CT65" s="976">
        <f t="shared" si="174"/>
        <v>7498.166666666667</v>
      </c>
      <c r="CU65" s="976">
        <f t="shared" si="174"/>
        <v>7498.166666666667</v>
      </c>
      <c r="CV65" s="976">
        <f t="shared" si="174"/>
        <v>7498.166666666667</v>
      </c>
      <c r="CW65" s="976">
        <f t="shared" si="174"/>
        <v>7498.166666666667</v>
      </c>
      <c r="CX65" s="976">
        <f t="shared" si="174"/>
        <v>7498.166666666667</v>
      </c>
      <c r="CY65" s="977">
        <f t="shared" si="69"/>
        <v>89978.000000000015</v>
      </c>
      <c r="CZ65" s="877">
        <f t="shared" si="136"/>
        <v>5323.6983333333337</v>
      </c>
      <c r="DA65" s="248">
        <f t="shared" si="136"/>
        <v>5323.6983333333337</v>
      </c>
      <c r="DB65" s="248">
        <f t="shared" si="136"/>
        <v>5323.6983333333337</v>
      </c>
      <c r="DC65" s="248">
        <f t="shared" si="136"/>
        <v>5323.6983333333337</v>
      </c>
      <c r="DD65" s="248">
        <f t="shared" si="136"/>
        <v>5323.6983333333337</v>
      </c>
      <c r="DE65" s="248">
        <f t="shared" si="136"/>
        <v>5323.6983333333337</v>
      </c>
      <c r="DF65" s="248">
        <f t="shared" si="136"/>
        <v>5323.6983333333337</v>
      </c>
      <c r="DG65" s="248">
        <f t="shared" si="136"/>
        <v>5323.6983333333337</v>
      </c>
      <c r="DH65" s="248">
        <f t="shared" si="136"/>
        <v>5323.6983333333337</v>
      </c>
      <c r="DI65" s="248">
        <f t="shared" si="136"/>
        <v>5323.6983333333337</v>
      </c>
      <c r="DJ65" s="248">
        <f t="shared" si="136"/>
        <v>5323.6983333333337</v>
      </c>
      <c r="DK65" s="248">
        <f t="shared" si="136"/>
        <v>5323.6983333333337</v>
      </c>
      <c r="DL65" s="878">
        <f t="shared" si="50"/>
        <v>63884.380000000005</v>
      </c>
      <c r="DM65" s="975">
        <f>90720/12</f>
        <v>7560</v>
      </c>
      <c r="DN65" s="976">
        <f t="shared" ref="DN65:DX66" si="175">90720/12</f>
        <v>7560</v>
      </c>
      <c r="DO65" s="976">
        <f t="shared" si="175"/>
        <v>7560</v>
      </c>
      <c r="DP65" s="976">
        <f t="shared" si="175"/>
        <v>7560</v>
      </c>
      <c r="DQ65" s="976">
        <f t="shared" si="175"/>
        <v>7560</v>
      </c>
      <c r="DR65" s="976">
        <f t="shared" si="175"/>
        <v>7560</v>
      </c>
      <c r="DS65" s="976">
        <f t="shared" si="175"/>
        <v>7560</v>
      </c>
      <c r="DT65" s="976">
        <f t="shared" si="175"/>
        <v>7560</v>
      </c>
      <c r="DU65" s="976">
        <f t="shared" si="175"/>
        <v>7560</v>
      </c>
      <c r="DV65" s="976">
        <f t="shared" si="175"/>
        <v>7560</v>
      </c>
      <c r="DW65" s="976">
        <f t="shared" si="175"/>
        <v>7560</v>
      </c>
      <c r="DX65" s="976">
        <f t="shared" si="175"/>
        <v>7560</v>
      </c>
      <c r="DY65" s="977">
        <f t="shared" si="71"/>
        <v>90720</v>
      </c>
      <c r="DZ65" s="877">
        <f t="shared" si="137"/>
        <v>5367.5999999999995</v>
      </c>
      <c r="EA65" s="248">
        <f t="shared" si="137"/>
        <v>5367.5999999999995</v>
      </c>
      <c r="EB65" s="248">
        <f t="shared" si="137"/>
        <v>5367.5999999999995</v>
      </c>
      <c r="EC65" s="248">
        <f t="shared" si="137"/>
        <v>5367.5999999999995</v>
      </c>
      <c r="ED65" s="248">
        <f t="shared" si="137"/>
        <v>5367.5999999999995</v>
      </c>
      <c r="EE65" s="248">
        <f t="shared" si="137"/>
        <v>5367.5999999999995</v>
      </c>
      <c r="EF65" s="248">
        <f t="shared" si="137"/>
        <v>5367.5999999999995</v>
      </c>
      <c r="EG65" s="248">
        <f t="shared" si="137"/>
        <v>5367.5999999999995</v>
      </c>
      <c r="EH65" s="248">
        <f t="shared" si="137"/>
        <v>5367.5999999999995</v>
      </c>
      <c r="EI65" s="248">
        <f t="shared" si="137"/>
        <v>5367.5999999999995</v>
      </c>
      <c r="EJ65" s="248">
        <f t="shared" si="137"/>
        <v>5367.5999999999995</v>
      </c>
      <c r="EK65" s="248">
        <f t="shared" si="137"/>
        <v>5367.5999999999995</v>
      </c>
      <c r="EL65" s="878">
        <f t="shared" si="52"/>
        <v>64411.19999999999</v>
      </c>
    </row>
    <row r="66" spans="1:142">
      <c r="A66" s="964" t="s">
        <v>655</v>
      </c>
      <c r="B66" s="904" t="s">
        <v>694</v>
      </c>
      <c r="C66" s="995" t="s">
        <v>59</v>
      </c>
      <c r="D66" s="1017">
        <v>0.5</v>
      </c>
      <c r="E66" s="550">
        <v>0.5</v>
      </c>
      <c r="F66" s="550">
        <v>0.5</v>
      </c>
      <c r="G66" s="551">
        <v>0.5</v>
      </c>
      <c r="H66" s="550">
        <f t="shared" si="73"/>
        <v>0.5</v>
      </c>
      <c r="I66" s="550">
        <f t="shared" si="73"/>
        <v>0.5</v>
      </c>
      <c r="J66" s="550">
        <f t="shared" si="73"/>
        <v>0.5</v>
      </c>
      <c r="K66" s="973">
        <f t="shared" si="73"/>
        <v>0.5</v>
      </c>
      <c r="L66" s="974"/>
      <c r="M66" s="555">
        <v>23000</v>
      </c>
      <c r="N66" s="530">
        <v>24000</v>
      </c>
      <c r="O66" s="530">
        <v>30000</v>
      </c>
      <c r="P66" s="530">
        <v>32000</v>
      </c>
      <c r="Q66" s="1018">
        <v>33000</v>
      </c>
      <c r="R66" s="1018">
        <v>20000</v>
      </c>
      <c r="S66" s="530"/>
      <c r="T66" s="530">
        <v>30000</v>
      </c>
      <c r="U66" s="530">
        <v>20000</v>
      </c>
      <c r="V66" s="530">
        <v>12000</v>
      </c>
      <c r="W66" s="530">
        <v>12000</v>
      </c>
      <c r="X66" s="530">
        <v>12000</v>
      </c>
      <c r="Y66" s="876">
        <f t="shared" si="58"/>
        <v>248000</v>
      </c>
      <c r="Z66" s="877">
        <v>11500</v>
      </c>
      <c r="AA66" s="248">
        <v>12000</v>
      </c>
      <c r="AB66" s="248">
        <v>15000</v>
      </c>
      <c r="AC66" s="248">
        <f>P66*$E66</f>
        <v>16000</v>
      </c>
      <c r="AD66" s="248">
        <f t="shared" si="150"/>
        <v>16500</v>
      </c>
      <c r="AE66" s="248">
        <f>R66*$E66</f>
        <v>10000</v>
      </c>
      <c r="AF66" s="248">
        <f t="shared" si="156"/>
        <v>0</v>
      </c>
      <c r="AG66" s="248">
        <f t="shared" si="156"/>
        <v>15000</v>
      </c>
      <c r="AH66" s="248">
        <f t="shared" si="156"/>
        <v>10000</v>
      </c>
      <c r="AI66" s="248">
        <f t="shared" si="157"/>
        <v>6000</v>
      </c>
      <c r="AJ66" s="248">
        <f t="shared" si="157"/>
        <v>6000</v>
      </c>
      <c r="AK66" s="248">
        <f t="shared" si="157"/>
        <v>6000</v>
      </c>
      <c r="AL66" s="878">
        <f t="shared" si="62"/>
        <v>124000</v>
      </c>
      <c r="AM66" s="975">
        <f>84042/12</f>
        <v>7003.5</v>
      </c>
      <c r="AN66" s="976">
        <f t="shared" si="172"/>
        <v>7003.5</v>
      </c>
      <c r="AO66" s="976">
        <f t="shared" si="172"/>
        <v>7003.5</v>
      </c>
      <c r="AP66" s="976">
        <f t="shared" si="172"/>
        <v>7003.5</v>
      </c>
      <c r="AQ66" s="976">
        <f t="shared" si="172"/>
        <v>7003.5</v>
      </c>
      <c r="AR66" s="976">
        <f t="shared" si="172"/>
        <v>7003.5</v>
      </c>
      <c r="AS66" s="976">
        <f t="shared" si="172"/>
        <v>7003.5</v>
      </c>
      <c r="AT66" s="976">
        <f t="shared" si="172"/>
        <v>7003.5</v>
      </c>
      <c r="AU66" s="976">
        <f t="shared" si="172"/>
        <v>7003.5</v>
      </c>
      <c r="AV66" s="976">
        <f t="shared" si="172"/>
        <v>7003.5</v>
      </c>
      <c r="AW66" s="976">
        <f t="shared" si="172"/>
        <v>7003.5</v>
      </c>
      <c r="AX66" s="976">
        <f t="shared" si="172"/>
        <v>7003.5</v>
      </c>
      <c r="AY66" s="977">
        <f t="shared" si="64"/>
        <v>84042</v>
      </c>
      <c r="AZ66" s="877">
        <f t="shared" si="159"/>
        <v>3501.75</v>
      </c>
      <c r="BA66" s="248">
        <f t="shared" si="160"/>
        <v>3501.75</v>
      </c>
      <c r="BB66" s="248">
        <f t="shared" si="161"/>
        <v>3501.75</v>
      </c>
      <c r="BC66" s="248">
        <f t="shared" si="134"/>
        <v>3501.75</v>
      </c>
      <c r="BD66" s="248">
        <f t="shared" si="134"/>
        <v>3501.75</v>
      </c>
      <c r="BE66" s="248">
        <f t="shared" si="134"/>
        <v>3501.75</v>
      </c>
      <c r="BF66" s="248">
        <f t="shared" si="134"/>
        <v>3501.75</v>
      </c>
      <c r="BG66" s="248">
        <f t="shared" si="134"/>
        <v>3501.75</v>
      </c>
      <c r="BH66" s="248">
        <f t="shared" si="134"/>
        <v>3501.75</v>
      </c>
      <c r="BI66" s="248">
        <f t="shared" si="134"/>
        <v>3501.75</v>
      </c>
      <c r="BJ66" s="248">
        <f t="shared" si="134"/>
        <v>3501.75</v>
      </c>
      <c r="BK66" s="248">
        <f t="shared" si="134"/>
        <v>3501.75</v>
      </c>
      <c r="BL66" s="878">
        <f t="shared" si="47"/>
        <v>42021</v>
      </c>
      <c r="BM66" s="975">
        <f>89978/12</f>
        <v>7498.166666666667</v>
      </c>
      <c r="BN66" s="976">
        <f t="shared" si="173"/>
        <v>7498.166666666667</v>
      </c>
      <c r="BO66" s="976">
        <f t="shared" si="173"/>
        <v>7498.166666666667</v>
      </c>
      <c r="BP66" s="976">
        <f t="shared" si="173"/>
        <v>7498.166666666667</v>
      </c>
      <c r="BQ66" s="976">
        <f t="shared" si="173"/>
        <v>7498.166666666667</v>
      </c>
      <c r="BR66" s="976">
        <f t="shared" si="173"/>
        <v>7498.166666666667</v>
      </c>
      <c r="BS66" s="976">
        <f t="shared" si="173"/>
        <v>7498.166666666667</v>
      </c>
      <c r="BT66" s="976">
        <f t="shared" si="173"/>
        <v>7498.166666666667</v>
      </c>
      <c r="BU66" s="976">
        <f t="shared" si="173"/>
        <v>7498.166666666667</v>
      </c>
      <c r="BV66" s="976">
        <f t="shared" si="173"/>
        <v>7498.166666666667</v>
      </c>
      <c r="BW66" s="976">
        <f t="shared" si="173"/>
        <v>7498.166666666667</v>
      </c>
      <c r="BX66" s="976">
        <f t="shared" si="173"/>
        <v>7498.166666666667</v>
      </c>
      <c r="BY66" s="977">
        <f t="shared" si="66"/>
        <v>89978.000000000015</v>
      </c>
      <c r="BZ66" s="877">
        <f t="shared" si="163"/>
        <v>3749.0833333333335</v>
      </c>
      <c r="CA66" s="248">
        <f t="shared" si="164"/>
        <v>3749.0833333333335</v>
      </c>
      <c r="CB66" s="248">
        <f t="shared" si="165"/>
        <v>3749.0833333333335</v>
      </c>
      <c r="CC66" s="248">
        <f t="shared" si="135"/>
        <v>3749.0833333333335</v>
      </c>
      <c r="CD66" s="248">
        <f t="shared" si="135"/>
        <v>3749.0833333333335</v>
      </c>
      <c r="CE66" s="248">
        <f t="shared" si="135"/>
        <v>3749.0833333333335</v>
      </c>
      <c r="CF66" s="248">
        <f t="shared" si="135"/>
        <v>3749.0833333333335</v>
      </c>
      <c r="CG66" s="248">
        <f t="shared" si="135"/>
        <v>3749.0833333333335</v>
      </c>
      <c r="CH66" s="248">
        <f t="shared" si="135"/>
        <v>3749.0833333333335</v>
      </c>
      <c r="CI66" s="248">
        <f t="shared" si="135"/>
        <v>3749.0833333333335</v>
      </c>
      <c r="CJ66" s="248">
        <f t="shared" si="135"/>
        <v>3749.0833333333335</v>
      </c>
      <c r="CK66" s="248">
        <f t="shared" si="135"/>
        <v>3749.0833333333335</v>
      </c>
      <c r="CL66" s="878">
        <f t="shared" si="68"/>
        <v>44989.000000000007</v>
      </c>
      <c r="CM66" s="975">
        <f>89978/12</f>
        <v>7498.166666666667</v>
      </c>
      <c r="CN66" s="976">
        <f t="shared" si="174"/>
        <v>7498.166666666667</v>
      </c>
      <c r="CO66" s="976">
        <f t="shared" si="174"/>
        <v>7498.166666666667</v>
      </c>
      <c r="CP66" s="976">
        <f t="shared" si="174"/>
        <v>7498.166666666667</v>
      </c>
      <c r="CQ66" s="976">
        <f t="shared" si="174"/>
        <v>7498.166666666667</v>
      </c>
      <c r="CR66" s="976">
        <f t="shared" si="174"/>
        <v>7498.166666666667</v>
      </c>
      <c r="CS66" s="976">
        <f t="shared" si="174"/>
        <v>7498.166666666667</v>
      </c>
      <c r="CT66" s="976">
        <f t="shared" si="174"/>
        <v>7498.166666666667</v>
      </c>
      <c r="CU66" s="976">
        <f t="shared" si="174"/>
        <v>7498.166666666667</v>
      </c>
      <c r="CV66" s="976">
        <f t="shared" si="174"/>
        <v>7498.166666666667</v>
      </c>
      <c r="CW66" s="976">
        <f t="shared" si="174"/>
        <v>7498.166666666667</v>
      </c>
      <c r="CX66" s="976">
        <f t="shared" si="174"/>
        <v>7498.166666666667</v>
      </c>
      <c r="CY66" s="977">
        <f t="shared" si="69"/>
        <v>89978.000000000015</v>
      </c>
      <c r="CZ66" s="877">
        <f t="shared" si="136"/>
        <v>3749.0833333333335</v>
      </c>
      <c r="DA66" s="248">
        <f t="shared" si="136"/>
        <v>3749.0833333333335</v>
      </c>
      <c r="DB66" s="248">
        <f t="shared" si="136"/>
        <v>3749.0833333333335</v>
      </c>
      <c r="DC66" s="248">
        <f t="shared" si="136"/>
        <v>3749.0833333333335</v>
      </c>
      <c r="DD66" s="248">
        <f t="shared" si="136"/>
        <v>3749.0833333333335</v>
      </c>
      <c r="DE66" s="248">
        <f t="shared" si="136"/>
        <v>3749.0833333333335</v>
      </c>
      <c r="DF66" s="248">
        <f t="shared" si="136"/>
        <v>3749.0833333333335</v>
      </c>
      <c r="DG66" s="248">
        <f t="shared" si="136"/>
        <v>3749.0833333333335</v>
      </c>
      <c r="DH66" s="248">
        <f t="shared" si="136"/>
        <v>3749.0833333333335</v>
      </c>
      <c r="DI66" s="248">
        <f t="shared" si="136"/>
        <v>3749.0833333333335</v>
      </c>
      <c r="DJ66" s="248">
        <f t="shared" si="136"/>
        <v>3749.0833333333335</v>
      </c>
      <c r="DK66" s="248">
        <f t="shared" si="136"/>
        <v>3749.0833333333335</v>
      </c>
      <c r="DL66" s="878">
        <f t="shared" si="50"/>
        <v>44989.000000000007</v>
      </c>
      <c r="DM66" s="975">
        <f>90720/12</f>
        <v>7560</v>
      </c>
      <c r="DN66" s="976">
        <f t="shared" si="175"/>
        <v>7560</v>
      </c>
      <c r="DO66" s="976">
        <f t="shared" si="175"/>
        <v>7560</v>
      </c>
      <c r="DP66" s="976">
        <f t="shared" si="175"/>
        <v>7560</v>
      </c>
      <c r="DQ66" s="976">
        <f t="shared" si="175"/>
        <v>7560</v>
      </c>
      <c r="DR66" s="976">
        <f t="shared" si="175"/>
        <v>7560</v>
      </c>
      <c r="DS66" s="976">
        <f t="shared" si="175"/>
        <v>7560</v>
      </c>
      <c r="DT66" s="976">
        <f t="shared" si="175"/>
        <v>7560</v>
      </c>
      <c r="DU66" s="976">
        <f t="shared" si="175"/>
        <v>7560</v>
      </c>
      <c r="DV66" s="976">
        <f t="shared" si="175"/>
        <v>7560</v>
      </c>
      <c r="DW66" s="976">
        <f t="shared" si="175"/>
        <v>7560</v>
      </c>
      <c r="DX66" s="976">
        <f t="shared" si="175"/>
        <v>7560</v>
      </c>
      <c r="DY66" s="977">
        <f t="shared" si="71"/>
        <v>90720</v>
      </c>
      <c r="DZ66" s="877">
        <f t="shared" si="137"/>
        <v>3780</v>
      </c>
      <c r="EA66" s="248">
        <f t="shared" si="137"/>
        <v>3780</v>
      </c>
      <c r="EB66" s="248">
        <f t="shared" si="137"/>
        <v>3780</v>
      </c>
      <c r="EC66" s="248">
        <f t="shared" si="137"/>
        <v>3780</v>
      </c>
      <c r="ED66" s="248">
        <f t="shared" si="137"/>
        <v>3780</v>
      </c>
      <c r="EE66" s="248">
        <f t="shared" si="137"/>
        <v>3780</v>
      </c>
      <c r="EF66" s="248">
        <f t="shared" si="137"/>
        <v>3780</v>
      </c>
      <c r="EG66" s="248">
        <f t="shared" si="137"/>
        <v>3780</v>
      </c>
      <c r="EH66" s="248">
        <f t="shared" si="137"/>
        <v>3780</v>
      </c>
      <c r="EI66" s="248">
        <f t="shared" si="137"/>
        <v>3780</v>
      </c>
      <c r="EJ66" s="248">
        <f t="shared" si="137"/>
        <v>3780</v>
      </c>
      <c r="EK66" s="248">
        <f t="shared" si="137"/>
        <v>3780</v>
      </c>
      <c r="EL66" s="878">
        <f t="shared" si="52"/>
        <v>45360</v>
      </c>
    </row>
    <row r="67" spans="1:142">
      <c r="A67" s="964" t="s">
        <v>655</v>
      </c>
      <c r="B67" s="896" t="s">
        <v>60</v>
      </c>
      <c r="C67" s="995" t="s">
        <v>61</v>
      </c>
      <c r="D67" s="1019">
        <v>0.71550000000000002</v>
      </c>
      <c r="E67" s="544">
        <v>0.71550000000000002</v>
      </c>
      <c r="F67" s="544">
        <v>0.71550000000000002</v>
      </c>
      <c r="G67" s="544">
        <v>0.71550000000000002</v>
      </c>
      <c r="H67" s="544">
        <v>0.71550000000000002</v>
      </c>
      <c r="I67" s="544">
        <v>0.71550000000000002</v>
      </c>
      <c r="J67" s="544">
        <v>0.71550000000000002</v>
      </c>
      <c r="K67" s="906">
        <v>0.71550000000000002</v>
      </c>
      <c r="L67" s="974"/>
      <c r="M67" s="555">
        <v>6300</v>
      </c>
      <c r="N67" s="530">
        <v>18900</v>
      </c>
      <c r="O67" s="530">
        <v>12600</v>
      </c>
      <c r="P67" s="530">
        <v>12600</v>
      </c>
      <c r="Q67" s="530"/>
      <c r="R67" s="530">
        <v>12600</v>
      </c>
      <c r="S67" s="530">
        <v>12600</v>
      </c>
      <c r="T67" s="530">
        <v>12000</v>
      </c>
      <c r="U67" s="530">
        <v>12000</v>
      </c>
      <c r="V67" s="530">
        <v>12000</v>
      </c>
      <c r="W67" s="530">
        <v>12000</v>
      </c>
      <c r="X67" s="530">
        <v>12000</v>
      </c>
      <c r="Y67" s="876">
        <f t="shared" si="58"/>
        <v>135600</v>
      </c>
      <c r="Z67" s="877">
        <v>4507.6500000000005</v>
      </c>
      <c r="AA67" s="248">
        <v>13522.95</v>
      </c>
      <c r="AB67" s="248">
        <v>9015.3000000000011</v>
      </c>
      <c r="AC67" s="248">
        <v>9015</v>
      </c>
      <c r="AD67" s="248"/>
      <c r="AE67" s="248">
        <f>R67*$E67</f>
        <v>9015.3000000000011</v>
      </c>
      <c r="AF67" s="248">
        <f t="shared" si="156"/>
        <v>9015.3000000000011</v>
      </c>
      <c r="AG67" s="248">
        <f t="shared" si="156"/>
        <v>8586</v>
      </c>
      <c r="AH67" s="248">
        <f t="shared" si="156"/>
        <v>8586</v>
      </c>
      <c r="AI67" s="248">
        <f t="shared" si="157"/>
        <v>8586</v>
      </c>
      <c r="AJ67" s="248">
        <f t="shared" si="157"/>
        <v>8586</v>
      </c>
      <c r="AK67" s="248">
        <f t="shared" si="157"/>
        <v>8586</v>
      </c>
      <c r="AL67" s="878">
        <f t="shared" si="62"/>
        <v>97021.5</v>
      </c>
      <c r="AM67" s="975">
        <v>10000</v>
      </c>
      <c r="AN67" s="976">
        <v>10000</v>
      </c>
      <c r="AO67" s="976">
        <v>10000</v>
      </c>
      <c r="AP67" s="976">
        <v>10000</v>
      </c>
      <c r="AQ67" s="976">
        <v>10000</v>
      </c>
      <c r="AR67" s="976">
        <v>10000</v>
      </c>
      <c r="AS67" s="976">
        <v>10000</v>
      </c>
      <c r="AT67" s="976">
        <v>10000</v>
      </c>
      <c r="AU67" s="976">
        <v>10000</v>
      </c>
      <c r="AV67" s="976">
        <v>10000</v>
      </c>
      <c r="AW67" s="976">
        <v>10000</v>
      </c>
      <c r="AX67" s="976">
        <v>10000</v>
      </c>
      <c r="AY67" s="977">
        <f t="shared" si="64"/>
        <v>120000</v>
      </c>
      <c r="AZ67" s="877">
        <f t="shared" si="159"/>
        <v>7155</v>
      </c>
      <c r="BA67" s="248">
        <f t="shared" si="160"/>
        <v>7155</v>
      </c>
      <c r="BB67" s="248">
        <f t="shared" si="161"/>
        <v>7155</v>
      </c>
      <c r="BC67" s="248">
        <f t="shared" si="134"/>
        <v>7155</v>
      </c>
      <c r="BD67" s="248">
        <f t="shared" si="134"/>
        <v>7155</v>
      </c>
      <c r="BE67" s="248">
        <f t="shared" si="134"/>
        <v>7155</v>
      </c>
      <c r="BF67" s="248">
        <f t="shared" si="134"/>
        <v>7155</v>
      </c>
      <c r="BG67" s="248">
        <f t="shared" si="134"/>
        <v>7155</v>
      </c>
      <c r="BH67" s="248">
        <f t="shared" si="134"/>
        <v>7155</v>
      </c>
      <c r="BI67" s="248">
        <f t="shared" si="134"/>
        <v>7155</v>
      </c>
      <c r="BJ67" s="248">
        <f t="shared" si="134"/>
        <v>7155</v>
      </c>
      <c r="BK67" s="248">
        <f t="shared" si="134"/>
        <v>7155</v>
      </c>
      <c r="BL67" s="878">
        <f t="shared" si="47"/>
        <v>85860</v>
      </c>
      <c r="BM67" s="975">
        <v>10000</v>
      </c>
      <c r="BN67" s="976">
        <v>10000</v>
      </c>
      <c r="BO67" s="976">
        <v>10000</v>
      </c>
      <c r="BP67" s="976">
        <v>10000</v>
      </c>
      <c r="BQ67" s="976">
        <v>10000</v>
      </c>
      <c r="BR67" s="976">
        <v>10000</v>
      </c>
      <c r="BS67" s="976">
        <v>10000</v>
      </c>
      <c r="BT67" s="976">
        <v>10000</v>
      </c>
      <c r="BU67" s="976">
        <v>10000</v>
      </c>
      <c r="BV67" s="976">
        <v>10000</v>
      </c>
      <c r="BW67" s="976">
        <v>10000</v>
      </c>
      <c r="BX67" s="976">
        <v>10000</v>
      </c>
      <c r="BY67" s="977">
        <f t="shared" si="66"/>
        <v>120000</v>
      </c>
      <c r="BZ67" s="877">
        <f t="shared" si="163"/>
        <v>7155</v>
      </c>
      <c r="CA67" s="248">
        <f t="shared" si="164"/>
        <v>7155</v>
      </c>
      <c r="CB67" s="248">
        <f t="shared" si="165"/>
        <v>7155</v>
      </c>
      <c r="CC67" s="248">
        <f t="shared" si="135"/>
        <v>7155</v>
      </c>
      <c r="CD67" s="248">
        <f t="shared" si="135"/>
        <v>7155</v>
      </c>
      <c r="CE67" s="248">
        <f t="shared" si="135"/>
        <v>7155</v>
      </c>
      <c r="CF67" s="248">
        <f t="shared" si="135"/>
        <v>7155</v>
      </c>
      <c r="CG67" s="248">
        <f t="shared" si="135"/>
        <v>7155</v>
      </c>
      <c r="CH67" s="248">
        <f t="shared" si="135"/>
        <v>7155</v>
      </c>
      <c r="CI67" s="248">
        <f t="shared" si="135"/>
        <v>7155</v>
      </c>
      <c r="CJ67" s="248">
        <f t="shared" si="135"/>
        <v>7155</v>
      </c>
      <c r="CK67" s="248">
        <f t="shared" si="135"/>
        <v>7155</v>
      </c>
      <c r="CL67" s="878">
        <f t="shared" si="68"/>
        <v>85860</v>
      </c>
      <c r="CM67" s="975">
        <v>5000</v>
      </c>
      <c r="CN67" s="976">
        <v>5000</v>
      </c>
      <c r="CO67" s="976">
        <v>5000</v>
      </c>
      <c r="CP67" s="976">
        <v>5000</v>
      </c>
      <c r="CQ67" s="976">
        <v>5000</v>
      </c>
      <c r="CR67" s="976">
        <v>5000</v>
      </c>
      <c r="CS67" s="976">
        <v>5000</v>
      </c>
      <c r="CT67" s="976">
        <v>5000</v>
      </c>
      <c r="CU67" s="976">
        <v>5000</v>
      </c>
      <c r="CV67" s="976">
        <v>5000</v>
      </c>
      <c r="CW67" s="976">
        <v>5000</v>
      </c>
      <c r="CX67" s="976">
        <v>5000</v>
      </c>
      <c r="CY67" s="977">
        <f t="shared" si="69"/>
        <v>60000</v>
      </c>
      <c r="CZ67" s="877">
        <f t="shared" si="136"/>
        <v>3577.5</v>
      </c>
      <c r="DA67" s="248">
        <f t="shared" si="136"/>
        <v>3577.5</v>
      </c>
      <c r="DB67" s="248">
        <f t="shared" si="136"/>
        <v>3577.5</v>
      </c>
      <c r="DC67" s="248">
        <f t="shared" si="136"/>
        <v>3577.5</v>
      </c>
      <c r="DD67" s="248">
        <f t="shared" si="136"/>
        <v>3577.5</v>
      </c>
      <c r="DE67" s="248">
        <f t="shared" si="136"/>
        <v>3577.5</v>
      </c>
      <c r="DF67" s="248">
        <f t="shared" si="136"/>
        <v>3577.5</v>
      </c>
      <c r="DG67" s="248">
        <f t="shared" si="136"/>
        <v>3577.5</v>
      </c>
      <c r="DH67" s="248">
        <f t="shared" si="136"/>
        <v>3577.5</v>
      </c>
      <c r="DI67" s="248">
        <f t="shared" si="136"/>
        <v>3577.5</v>
      </c>
      <c r="DJ67" s="248">
        <f t="shared" si="136"/>
        <v>3577.5</v>
      </c>
      <c r="DK67" s="248">
        <f t="shared" si="136"/>
        <v>3577.5</v>
      </c>
      <c r="DL67" s="878">
        <f t="shared" si="50"/>
        <v>42930</v>
      </c>
      <c r="DM67" s="975">
        <v>5000</v>
      </c>
      <c r="DN67" s="976">
        <v>5000</v>
      </c>
      <c r="DO67" s="976">
        <v>5000</v>
      </c>
      <c r="DP67" s="976">
        <v>5000</v>
      </c>
      <c r="DQ67" s="976">
        <v>5000</v>
      </c>
      <c r="DR67" s="976">
        <v>5000</v>
      </c>
      <c r="DS67" s="976">
        <v>5000</v>
      </c>
      <c r="DT67" s="976">
        <v>5000</v>
      </c>
      <c r="DU67" s="976">
        <v>5000</v>
      </c>
      <c r="DV67" s="976">
        <v>5000</v>
      </c>
      <c r="DW67" s="976">
        <v>5000</v>
      </c>
      <c r="DX67" s="976">
        <v>5000</v>
      </c>
      <c r="DY67" s="977">
        <f t="shared" si="71"/>
        <v>60000</v>
      </c>
      <c r="DZ67" s="877">
        <f t="shared" si="137"/>
        <v>3577.5</v>
      </c>
      <c r="EA67" s="248">
        <f t="shared" si="137"/>
        <v>3577.5</v>
      </c>
      <c r="EB67" s="248">
        <f t="shared" si="137"/>
        <v>3577.5</v>
      </c>
      <c r="EC67" s="248">
        <f t="shared" si="137"/>
        <v>3577.5</v>
      </c>
      <c r="ED67" s="248">
        <f t="shared" si="137"/>
        <v>3577.5</v>
      </c>
      <c r="EE67" s="248">
        <f t="shared" si="137"/>
        <v>3577.5</v>
      </c>
      <c r="EF67" s="248">
        <f t="shared" si="137"/>
        <v>3577.5</v>
      </c>
      <c r="EG67" s="248">
        <f t="shared" si="137"/>
        <v>3577.5</v>
      </c>
      <c r="EH67" s="248">
        <f t="shared" si="137"/>
        <v>3577.5</v>
      </c>
      <c r="EI67" s="248">
        <f t="shared" si="137"/>
        <v>3577.5</v>
      </c>
      <c r="EJ67" s="248">
        <f t="shared" si="137"/>
        <v>3577.5</v>
      </c>
      <c r="EK67" s="248">
        <f t="shared" si="137"/>
        <v>3577.5</v>
      </c>
      <c r="EL67" s="878">
        <f t="shared" si="52"/>
        <v>42930</v>
      </c>
    </row>
    <row r="68" spans="1:142">
      <c r="A68" s="964" t="s">
        <v>655</v>
      </c>
      <c r="B68" s="896" t="s">
        <v>62</v>
      </c>
      <c r="C68" s="995" t="s">
        <v>63</v>
      </c>
      <c r="D68" s="1017">
        <v>0.55547000000000002</v>
      </c>
      <c r="E68" s="550">
        <v>0.55547000000000002</v>
      </c>
      <c r="F68" s="550">
        <v>0.55547000000000002</v>
      </c>
      <c r="G68" s="550">
        <v>0.55547000000000002</v>
      </c>
      <c r="H68" s="550">
        <v>0.55547000000000002</v>
      </c>
      <c r="I68" s="550">
        <v>0.55547000000000002</v>
      </c>
      <c r="J68" s="550">
        <v>0.55547000000000002</v>
      </c>
      <c r="K68" s="973">
        <v>0.55547000000000002</v>
      </c>
      <c r="L68" s="974"/>
      <c r="M68" s="555">
        <v>13920</v>
      </c>
      <c r="N68" s="530">
        <v>8000</v>
      </c>
      <c r="O68" s="530">
        <v>10920</v>
      </c>
      <c r="P68" s="530">
        <v>12000</v>
      </c>
      <c r="Q68" s="530">
        <v>10840</v>
      </c>
      <c r="R68" s="530">
        <v>13920</v>
      </c>
      <c r="S68" s="530">
        <v>13920</v>
      </c>
      <c r="T68" s="530">
        <v>12000</v>
      </c>
      <c r="U68" s="530">
        <v>12000</v>
      </c>
      <c r="V68" s="530">
        <v>12000</v>
      </c>
      <c r="W68" s="530">
        <v>12000</v>
      </c>
      <c r="X68" s="530">
        <v>12000</v>
      </c>
      <c r="Y68" s="876">
        <f t="shared" si="58"/>
        <v>143520</v>
      </c>
      <c r="Z68" s="877">
        <v>7732.1424000000006</v>
      </c>
      <c r="AA68" s="248">
        <v>4443.76</v>
      </c>
      <c r="AB68" s="248">
        <v>6065.7323999999999</v>
      </c>
      <c r="AC68" s="248">
        <v>6660</v>
      </c>
      <c r="AD68" s="248">
        <v>6021.2947999999997</v>
      </c>
      <c r="AE68" s="248">
        <f>R68*$E68</f>
        <v>7732.1424000000006</v>
      </c>
      <c r="AF68" s="248">
        <f t="shared" si="156"/>
        <v>7732.1424000000006</v>
      </c>
      <c r="AG68" s="248">
        <f t="shared" si="156"/>
        <v>6665.64</v>
      </c>
      <c r="AH68" s="248">
        <f t="shared" si="156"/>
        <v>6665.64</v>
      </c>
      <c r="AI68" s="248">
        <f t="shared" si="157"/>
        <v>6665.64</v>
      </c>
      <c r="AJ68" s="248">
        <f t="shared" si="157"/>
        <v>6665.64</v>
      </c>
      <c r="AK68" s="248">
        <f t="shared" si="157"/>
        <v>6665.64</v>
      </c>
      <c r="AL68" s="878">
        <f t="shared" si="62"/>
        <v>79715.414399999994</v>
      </c>
      <c r="AM68" s="975">
        <v>10000</v>
      </c>
      <c r="AN68" s="976">
        <v>10000</v>
      </c>
      <c r="AO68" s="976">
        <v>10000</v>
      </c>
      <c r="AP68" s="976">
        <v>10000</v>
      </c>
      <c r="AQ68" s="976">
        <v>10000</v>
      </c>
      <c r="AR68" s="976">
        <v>10000</v>
      </c>
      <c r="AS68" s="976">
        <v>10000</v>
      </c>
      <c r="AT68" s="976">
        <v>10000</v>
      </c>
      <c r="AU68" s="976">
        <v>10000</v>
      </c>
      <c r="AV68" s="976">
        <v>10000</v>
      </c>
      <c r="AW68" s="976">
        <v>10000</v>
      </c>
      <c r="AX68" s="976">
        <v>10000</v>
      </c>
      <c r="AY68" s="977">
        <f t="shared" si="64"/>
        <v>120000</v>
      </c>
      <c r="AZ68" s="877">
        <f t="shared" si="159"/>
        <v>5554.7</v>
      </c>
      <c r="BA68" s="248">
        <f t="shared" si="160"/>
        <v>5554.7</v>
      </c>
      <c r="BB68" s="248">
        <f t="shared" si="161"/>
        <v>5554.7</v>
      </c>
      <c r="BC68" s="248">
        <f t="shared" ref="BC68:BK72" si="176">AP68*$H68</f>
        <v>5554.7</v>
      </c>
      <c r="BD68" s="248">
        <f t="shared" si="176"/>
        <v>5554.7</v>
      </c>
      <c r="BE68" s="248">
        <f t="shared" si="176"/>
        <v>5554.7</v>
      </c>
      <c r="BF68" s="248">
        <f t="shared" si="176"/>
        <v>5554.7</v>
      </c>
      <c r="BG68" s="248">
        <f t="shared" si="176"/>
        <v>5554.7</v>
      </c>
      <c r="BH68" s="248">
        <f t="shared" si="176"/>
        <v>5554.7</v>
      </c>
      <c r="BI68" s="248">
        <f t="shared" si="176"/>
        <v>5554.7</v>
      </c>
      <c r="BJ68" s="248">
        <f t="shared" si="176"/>
        <v>5554.7</v>
      </c>
      <c r="BK68" s="248">
        <f t="shared" si="176"/>
        <v>5554.7</v>
      </c>
      <c r="BL68" s="878">
        <f t="shared" si="47"/>
        <v>66656.39999999998</v>
      </c>
      <c r="BM68" s="975">
        <v>10000</v>
      </c>
      <c r="BN68" s="976">
        <v>10000</v>
      </c>
      <c r="BO68" s="976">
        <v>10000</v>
      </c>
      <c r="BP68" s="976">
        <v>10000</v>
      </c>
      <c r="BQ68" s="976">
        <v>10000</v>
      </c>
      <c r="BR68" s="976">
        <v>10000</v>
      </c>
      <c r="BS68" s="976">
        <v>10000</v>
      </c>
      <c r="BT68" s="976">
        <v>10000</v>
      </c>
      <c r="BU68" s="976">
        <v>10000</v>
      </c>
      <c r="BV68" s="976">
        <v>10000</v>
      </c>
      <c r="BW68" s="976">
        <v>10000</v>
      </c>
      <c r="BX68" s="976">
        <v>10000</v>
      </c>
      <c r="BY68" s="977">
        <f t="shared" si="66"/>
        <v>120000</v>
      </c>
      <c r="BZ68" s="877">
        <f t="shared" si="163"/>
        <v>5554.7</v>
      </c>
      <c r="CA68" s="248">
        <f t="shared" si="164"/>
        <v>5554.7</v>
      </c>
      <c r="CB68" s="248">
        <f t="shared" si="165"/>
        <v>5554.7</v>
      </c>
      <c r="CC68" s="248">
        <f t="shared" ref="CC68:CK72" si="177">BP68*$I68</f>
        <v>5554.7</v>
      </c>
      <c r="CD68" s="248">
        <f t="shared" si="177"/>
        <v>5554.7</v>
      </c>
      <c r="CE68" s="248">
        <f t="shared" si="177"/>
        <v>5554.7</v>
      </c>
      <c r="CF68" s="248">
        <f t="shared" si="177"/>
        <v>5554.7</v>
      </c>
      <c r="CG68" s="248">
        <f t="shared" si="177"/>
        <v>5554.7</v>
      </c>
      <c r="CH68" s="248">
        <f t="shared" si="177"/>
        <v>5554.7</v>
      </c>
      <c r="CI68" s="248">
        <f t="shared" si="177"/>
        <v>5554.7</v>
      </c>
      <c r="CJ68" s="248">
        <f t="shared" si="177"/>
        <v>5554.7</v>
      </c>
      <c r="CK68" s="248">
        <f t="shared" si="177"/>
        <v>5554.7</v>
      </c>
      <c r="CL68" s="878">
        <f t="shared" si="68"/>
        <v>66656.39999999998</v>
      </c>
      <c r="CM68" s="975">
        <v>5000</v>
      </c>
      <c r="CN68" s="976">
        <v>5000</v>
      </c>
      <c r="CO68" s="976">
        <v>5000</v>
      </c>
      <c r="CP68" s="976">
        <v>5000</v>
      </c>
      <c r="CQ68" s="976">
        <v>5000</v>
      </c>
      <c r="CR68" s="976">
        <v>5000</v>
      </c>
      <c r="CS68" s="976">
        <v>5000</v>
      </c>
      <c r="CT68" s="976">
        <v>5000</v>
      </c>
      <c r="CU68" s="976">
        <v>5000</v>
      </c>
      <c r="CV68" s="976">
        <v>5000</v>
      </c>
      <c r="CW68" s="976">
        <v>5000</v>
      </c>
      <c r="CX68" s="976">
        <v>5000</v>
      </c>
      <c r="CY68" s="977">
        <f t="shared" si="69"/>
        <v>60000</v>
      </c>
      <c r="CZ68" s="877">
        <f t="shared" ref="CZ68:CZ72" si="178">CM68*$J68</f>
        <v>2777.35</v>
      </c>
      <c r="DA68" s="248">
        <f t="shared" ref="DA68:DA72" si="179">CN68*$J68</f>
        <v>2777.35</v>
      </c>
      <c r="DB68" s="248">
        <f t="shared" ref="DB68:DB72" si="180">CO68*$J68</f>
        <v>2777.35</v>
      </c>
      <c r="DC68" s="248">
        <f t="shared" ref="DC68:DK72" si="181">CP68*$J68</f>
        <v>2777.35</v>
      </c>
      <c r="DD68" s="248">
        <f t="shared" si="181"/>
        <v>2777.35</v>
      </c>
      <c r="DE68" s="248">
        <f t="shared" si="181"/>
        <v>2777.35</v>
      </c>
      <c r="DF68" s="248">
        <f t="shared" si="181"/>
        <v>2777.35</v>
      </c>
      <c r="DG68" s="248">
        <f t="shared" si="181"/>
        <v>2777.35</v>
      </c>
      <c r="DH68" s="248">
        <f t="shared" si="181"/>
        <v>2777.35</v>
      </c>
      <c r="DI68" s="248">
        <f t="shared" si="181"/>
        <v>2777.35</v>
      </c>
      <c r="DJ68" s="248">
        <f t="shared" si="181"/>
        <v>2777.35</v>
      </c>
      <c r="DK68" s="248">
        <f t="shared" si="181"/>
        <v>2777.35</v>
      </c>
      <c r="DL68" s="878">
        <f t="shared" si="50"/>
        <v>33328.19999999999</v>
      </c>
      <c r="DM68" s="975">
        <v>5000</v>
      </c>
      <c r="DN68" s="976">
        <v>5000</v>
      </c>
      <c r="DO68" s="976">
        <v>5000</v>
      </c>
      <c r="DP68" s="976">
        <v>5000</v>
      </c>
      <c r="DQ68" s="976">
        <v>5000</v>
      </c>
      <c r="DR68" s="976">
        <v>5000</v>
      </c>
      <c r="DS68" s="976">
        <v>5000</v>
      </c>
      <c r="DT68" s="976">
        <v>5000</v>
      </c>
      <c r="DU68" s="976">
        <v>5000</v>
      </c>
      <c r="DV68" s="976">
        <v>5000</v>
      </c>
      <c r="DW68" s="976">
        <v>5000</v>
      </c>
      <c r="DX68" s="976">
        <v>5000</v>
      </c>
      <c r="DY68" s="977">
        <f t="shared" si="71"/>
        <v>60000</v>
      </c>
      <c r="DZ68" s="877">
        <f t="shared" ref="DZ68:DZ72" si="182">DM68*$K68</f>
        <v>2777.35</v>
      </c>
      <c r="EA68" s="248">
        <f t="shared" ref="EA68:EA72" si="183">DN68*$K68</f>
        <v>2777.35</v>
      </c>
      <c r="EB68" s="248">
        <f t="shared" ref="EB68:EB72" si="184">DO68*$K68</f>
        <v>2777.35</v>
      </c>
      <c r="EC68" s="248">
        <f t="shared" ref="EC68:EK72" si="185">DP68*$K68</f>
        <v>2777.35</v>
      </c>
      <c r="ED68" s="248">
        <f t="shared" si="185"/>
        <v>2777.35</v>
      </c>
      <c r="EE68" s="248">
        <f t="shared" si="185"/>
        <v>2777.35</v>
      </c>
      <c r="EF68" s="248">
        <f t="shared" si="185"/>
        <v>2777.35</v>
      </c>
      <c r="EG68" s="248">
        <f t="shared" si="185"/>
        <v>2777.35</v>
      </c>
      <c r="EH68" s="248">
        <f t="shared" si="185"/>
        <v>2777.35</v>
      </c>
      <c r="EI68" s="248">
        <f t="shared" si="185"/>
        <v>2777.35</v>
      </c>
      <c r="EJ68" s="248">
        <f t="shared" si="185"/>
        <v>2777.35</v>
      </c>
      <c r="EK68" s="248">
        <f t="shared" si="185"/>
        <v>2777.35</v>
      </c>
      <c r="EL68" s="878">
        <f t="shared" si="52"/>
        <v>33328.19999999999</v>
      </c>
    </row>
    <row r="69" spans="1:142">
      <c r="A69" s="964" t="s">
        <v>655</v>
      </c>
      <c r="B69" s="896" t="s">
        <v>64</v>
      </c>
      <c r="C69" s="995" t="s">
        <v>65</v>
      </c>
      <c r="D69" s="1019">
        <v>0.77769999999999995</v>
      </c>
      <c r="E69" s="544">
        <v>0.77769999999999995</v>
      </c>
      <c r="F69" s="544">
        <v>0.77769999999999995</v>
      </c>
      <c r="G69" s="544">
        <v>0.77769999999999995</v>
      </c>
      <c r="H69" s="544">
        <f t="shared" si="73"/>
        <v>0.77769999999999995</v>
      </c>
      <c r="I69" s="544">
        <f t="shared" si="73"/>
        <v>0.77769999999999995</v>
      </c>
      <c r="J69" s="544">
        <f t="shared" si="73"/>
        <v>0.77769999999999995</v>
      </c>
      <c r="K69" s="906">
        <f t="shared" si="73"/>
        <v>0.77769999999999995</v>
      </c>
      <c r="L69" s="974"/>
      <c r="M69" s="555"/>
      <c r="N69" s="530"/>
      <c r="O69" s="530"/>
      <c r="P69" s="530"/>
      <c r="Q69" s="530"/>
      <c r="R69" s="530"/>
      <c r="S69" s="530">
        <v>8000</v>
      </c>
      <c r="T69" s="530"/>
      <c r="U69" s="530"/>
      <c r="V69" s="530">
        <v>12000</v>
      </c>
      <c r="W69" s="530">
        <v>12000</v>
      </c>
      <c r="X69" s="530">
        <v>12000</v>
      </c>
      <c r="Y69" s="876">
        <f t="shared" si="58"/>
        <v>44000</v>
      </c>
      <c r="Z69" s="877">
        <v>0</v>
      </c>
      <c r="AA69" s="248">
        <v>0</v>
      </c>
      <c r="AB69" s="248">
        <v>0</v>
      </c>
      <c r="AC69" s="248">
        <f t="shared" ref="AC69:AD71" si="186">P69*$E69</f>
        <v>0</v>
      </c>
      <c r="AD69" s="248">
        <f t="shared" si="186"/>
        <v>0</v>
      </c>
      <c r="AE69" s="248">
        <f t="shared" si="155"/>
        <v>0</v>
      </c>
      <c r="AF69" s="248">
        <f>S69*$F69</f>
        <v>6221.5999999999995</v>
      </c>
      <c r="AG69" s="248">
        <f t="shared" si="156"/>
        <v>0</v>
      </c>
      <c r="AH69" s="248">
        <f t="shared" si="156"/>
        <v>0</v>
      </c>
      <c r="AI69" s="248">
        <f t="shared" si="157"/>
        <v>9332.4</v>
      </c>
      <c r="AJ69" s="248">
        <f t="shared" si="157"/>
        <v>9332.4</v>
      </c>
      <c r="AK69" s="248">
        <f t="shared" si="157"/>
        <v>9332.4</v>
      </c>
      <c r="AL69" s="878">
        <f t="shared" si="62"/>
        <v>34218.800000000003</v>
      </c>
      <c r="AM69" s="975">
        <v>10000</v>
      </c>
      <c r="AN69" s="976">
        <v>10000</v>
      </c>
      <c r="AO69" s="976">
        <v>10000</v>
      </c>
      <c r="AP69" s="976">
        <v>10000</v>
      </c>
      <c r="AQ69" s="976">
        <v>10000</v>
      </c>
      <c r="AR69" s="976">
        <v>10000</v>
      </c>
      <c r="AS69" s="976">
        <v>10000</v>
      </c>
      <c r="AT69" s="976">
        <v>10000</v>
      </c>
      <c r="AU69" s="976">
        <v>10000</v>
      </c>
      <c r="AV69" s="976">
        <v>10000</v>
      </c>
      <c r="AW69" s="976">
        <v>10000</v>
      </c>
      <c r="AX69" s="976">
        <v>10000</v>
      </c>
      <c r="AY69" s="977">
        <f t="shared" si="64"/>
        <v>120000</v>
      </c>
      <c r="AZ69" s="877">
        <f t="shared" si="159"/>
        <v>7776.9999999999991</v>
      </c>
      <c r="BA69" s="248">
        <f t="shared" si="160"/>
        <v>7776.9999999999991</v>
      </c>
      <c r="BB69" s="248">
        <f t="shared" si="161"/>
        <v>7776.9999999999991</v>
      </c>
      <c r="BC69" s="248">
        <f t="shared" si="176"/>
        <v>7776.9999999999991</v>
      </c>
      <c r="BD69" s="248">
        <f t="shared" si="176"/>
        <v>7776.9999999999991</v>
      </c>
      <c r="BE69" s="248">
        <f t="shared" si="176"/>
        <v>7776.9999999999991</v>
      </c>
      <c r="BF69" s="248">
        <f t="shared" si="176"/>
        <v>7776.9999999999991</v>
      </c>
      <c r="BG69" s="248">
        <f t="shared" si="176"/>
        <v>7776.9999999999991</v>
      </c>
      <c r="BH69" s="248">
        <f t="shared" si="176"/>
        <v>7776.9999999999991</v>
      </c>
      <c r="BI69" s="248">
        <f t="shared" si="176"/>
        <v>7776.9999999999991</v>
      </c>
      <c r="BJ69" s="248">
        <f t="shared" si="176"/>
        <v>7776.9999999999991</v>
      </c>
      <c r="BK69" s="248">
        <f t="shared" si="176"/>
        <v>7776.9999999999991</v>
      </c>
      <c r="BL69" s="878">
        <f t="shared" si="47"/>
        <v>93323.999999999985</v>
      </c>
      <c r="BM69" s="975">
        <v>10000</v>
      </c>
      <c r="BN69" s="976">
        <v>10000</v>
      </c>
      <c r="BO69" s="976">
        <v>10000</v>
      </c>
      <c r="BP69" s="976">
        <v>10000</v>
      </c>
      <c r="BQ69" s="976">
        <v>10000</v>
      </c>
      <c r="BR69" s="976">
        <v>10000</v>
      </c>
      <c r="BS69" s="976">
        <v>10000</v>
      </c>
      <c r="BT69" s="976">
        <v>10000</v>
      </c>
      <c r="BU69" s="976">
        <v>10000</v>
      </c>
      <c r="BV69" s="976">
        <v>10000</v>
      </c>
      <c r="BW69" s="976">
        <v>10000</v>
      </c>
      <c r="BX69" s="976">
        <v>10000</v>
      </c>
      <c r="BY69" s="977">
        <f t="shared" si="66"/>
        <v>120000</v>
      </c>
      <c r="BZ69" s="877">
        <f t="shared" si="163"/>
        <v>7776.9999999999991</v>
      </c>
      <c r="CA69" s="248">
        <f t="shared" si="164"/>
        <v>7776.9999999999991</v>
      </c>
      <c r="CB69" s="248">
        <f t="shared" si="165"/>
        <v>7776.9999999999991</v>
      </c>
      <c r="CC69" s="248">
        <f t="shared" si="177"/>
        <v>7776.9999999999991</v>
      </c>
      <c r="CD69" s="248">
        <f t="shared" si="177"/>
        <v>7776.9999999999991</v>
      </c>
      <c r="CE69" s="248">
        <f t="shared" si="177"/>
        <v>7776.9999999999991</v>
      </c>
      <c r="CF69" s="248">
        <f t="shared" si="177"/>
        <v>7776.9999999999991</v>
      </c>
      <c r="CG69" s="248">
        <f t="shared" si="177"/>
        <v>7776.9999999999991</v>
      </c>
      <c r="CH69" s="248">
        <f t="shared" si="177"/>
        <v>7776.9999999999991</v>
      </c>
      <c r="CI69" s="248">
        <f t="shared" si="177"/>
        <v>7776.9999999999991</v>
      </c>
      <c r="CJ69" s="248">
        <f t="shared" si="177"/>
        <v>7776.9999999999991</v>
      </c>
      <c r="CK69" s="248">
        <f t="shared" si="177"/>
        <v>7776.9999999999991</v>
      </c>
      <c r="CL69" s="878">
        <f t="shared" si="68"/>
        <v>93323.999999999985</v>
      </c>
      <c r="CM69" s="975">
        <v>5000</v>
      </c>
      <c r="CN69" s="976">
        <v>5000</v>
      </c>
      <c r="CO69" s="976">
        <v>5000</v>
      </c>
      <c r="CP69" s="976">
        <v>5000</v>
      </c>
      <c r="CQ69" s="976">
        <v>5000</v>
      </c>
      <c r="CR69" s="976">
        <v>5000</v>
      </c>
      <c r="CS69" s="976">
        <v>5000</v>
      </c>
      <c r="CT69" s="976">
        <v>5000</v>
      </c>
      <c r="CU69" s="976">
        <v>5000</v>
      </c>
      <c r="CV69" s="976">
        <v>5000</v>
      </c>
      <c r="CW69" s="976">
        <v>5000</v>
      </c>
      <c r="CX69" s="976">
        <v>5000</v>
      </c>
      <c r="CY69" s="977">
        <f t="shared" si="69"/>
        <v>60000</v>
      </c>
      <c r="CZ69" s="877">
        <f t="shared" si="178"/>
        <v>3888.4999999999995</v>
      </c>
      <c r="DA69" s="248">
        <f t="shared" si="179"/>
        <v>3888.4999999999995</v>
      </c>
      <c r="DB69" s="248">
        <f t="shared" si="180"/>
        <v>3888.4999999999995</v>
      </c>
      <c r="DC69" s="248">
        <f t="shared" si="181"/>
        <v>3888.4999999999995</v>
      </c>
      <c r="DD69" s="248">
        <f t="shared" si="181"/>
        <v>3888.4999999999995</v>
      </c>
      <c r="DE69" s="248">
        <f t="shared" si="181"/>
        <v>3888.4999999999995</v>
      </c>
      <c r="DF69" s="248">
        <f t="shared" si="181"/>
        <v>3888.4999999999995</v>
      </c>
      <c r="DG69" s="248">
        <f t="shared" si="181"/>
        <v>3888.4999999999995</v>
      </c>
      <c r="DH69" s="248">
        <f t="shared" si="181"/>
        <v>3888.4999999999995</v>
      </c>
      <c r="DI69" s="248">
        <f t="shared" si="181"/>
        <v>3888.4999999999995</v>
      </c>
      <c r="DJ69" s="248">
        <f t="shared" si="181"/>
        <v>3888.4999999999995</v>
      </c>
      <c r="DK69" s="248">
        <f t="shared" si="181"/>
        <v>3888.4999999999995</v>
      </c>
      <c r="DL69" s="878">
        <f t="shared" si="50"/>
        <v>46661.999999999993</v>
      </c>
      <c r="DM69" s="975">
        <v>5000</v>
      </c>
      <c r="DN69" s="976">
        <v>5000</v>
      </c>
      <c r="DO69" s="976">
        <v>5000</v>
      </c>
      <c r="DP69" s="976">
        <v>5000</v>
      </c>
      <c r="DQ69" s="976">
        <v>5000</v>
      </c>
      <c r="DR69" s="976">
        <v>5000</v>
      </c>
      <c r="DS69" s="976">
        <v>5000</v>
      </c>
      <c r="DT69" s="976">
        <v>5000</v>
      </c>
      <c r="DU69" s="976">
        <v>5000</v>
      </c>
      <c r="DV69" s="976">
        <v>5000</v>
      </c>
      <c r="DW69" s="976">
        <v>5000</v>
      </c>
      <c r="DX69" s="976">
        <v>5000</v>
      </c>
      <c r="DY69" s="977">
        <f t="shared" si="71"/>
        <v>60000</v>
      </c>
      <c r="DZ69" s="877">
        <f t="shared" si="182"/>
        <v>3888.4999999999995</v>
      </c>
      <c r="EA69" s="248">
        <f t="shared" si="183"/>
        <v>3888.4999999999995</v>
      </c>
      <c r="EB69" s="248">
        <f t="shared" si="184"/>
        <v>3888.4999999999995</v>
      </c>
      <c r="EC69" s="248">
        <f t="shared" si="185"/>
        <v>3888.4999999999995</v>
      </c>
      <c r="ED69" s="248">
        <f t="shared" si="185"/>
        <v>3888.4999999999995</v>
      </c>
      <c r="EE69" s="248">
        <f t="shared" si="185"/>
        <v>3888.4999999999995</v>
      </c>
      <c r="EF69" s="248">
        <f t="shared" si="185"/>
        <v>3888.4999999999995</v>
      </c>
      <c r="EG69" s="248">
        <f t="shared" si="185"/>
        <v>3888.4999999999995</v>
      </c>
      <c r="EH69" s="248">
        <f t="shared" si="185"/>
        <v>3888.4999999999995</v>
      </c>
      <c r="EI69" s="248">
        <f t="shared" si="185"/>
        <v>3888.4999999999995</v>
      </c>
      <c r="EJ69" s="248">
        <f t="shared" si="185"/>
        <v>3888.4999999999995</v>
      </c>
      <c r="EK69" s="248">
        <f t="shared" si="185"/>
        <v>3888.4999999999995</v>
      </c>
      <c r="EL69" s="878">
        <f t="shared" si="52"/>
        <v>46661.999999999993</v>
      </c>
    </row>
    <row r="70" spans="1:142">
      <c r="A70" s="964" t="s">
        <v>655</v>
      </c>
      <c r="B70" s="896" t="s">
        <v>66</v>
      </c>
      <c r="C70" s="995" t="s">
        <v>67</v>
      </c>
      <c r="D70" s="1017">
        <v>3.3561999999999999</v>
      </c>
      <c r="E70" s="550">
        <v>3.3561999999999999</v>
      </c>
      <c r="F70" s="550">
        <v>3.3561999999999999</v>
      </c>
      <c r="G70" s="550">
        <v>3.3561999999999999</v>
      </c>
      <c r="H70" s="549">
        <f t="shared" si="73"/>
        <v>3.3561999999999999</v>
      </c>
      <c r="I70" s="550">
        <f t="shared" si="73"/>
        <v>3.3561999999999999</v>
      </c>
      <c r="J70" s="550">
        <f t="shared" si="73"/>
        <v>3.3561999999999999</v>
      </c>
      <c r="K70" s="973">
        <f t="shared" si="73"/>
        <v>3.3561999999999999</v>
      </c>
      <c r="L70" s="974"/>
      <c r="M70" s="555"/>
      <c r="N70" s="552"/>
      <c r="O70" s="530"/>
      <c r="P70" s="530"/>
      <c r="Q70" s="530"/>
      <c r="R70" s="530"/>
      <c r="S70" s="530"/>
      <c r="T70" s="530"/>
      <c r="U70" s="530"/>
      <c r="V70" s="530"/>
      <c r="W70" s="530"/>
      <c r="X70" s="530"/>
      <c r="Y70" s="876">
        <f t="shared" si="58"/>
        <v>0</v>
      </c>
      <c r="Z70" s="877">
        <v>0</v>
      </c>
      <c r="AA70" s="248">
        <v>0</v>
      </c>
      <c r="AB70" s="248">
        <v>0</v>
      </c>
      <c r="AC70" s="248">
        <f t="shared" si="186"/>
        <v>0</v>
      </c>
      <c r="AD70" s="248">
        <f t="shared" si="186"/>
        <v>0</v>
      </c>
      <c r="AE70" s="248">
        <f t="shared" si="155"/>
        <v>0</v>
      </c>
      <c r="AF70" s="248">
        <f t="shared" si="156"/>
        <v>0</v>
      </c>
      <c r="AG70" s="248">
        <f t="shared" si="156"/>
        <v>0</v>
      </c>
      <c r="AH70" s="248">
        <f t="shared" si="156"/>
        <v>0</v>
      </c>
      <c r="AI70" s="248">
        <f t="shared" si="157"/>
        <v>0</v>
      </c>
      <c r="AJ70" s="248">
        <f t="shared" si="157"/>
        <v>0</v>
      </c>
      <c r="AK70" s="248">
        <f t="shared" si="157"/>
        <v>0</v>
      </c>
      <c r="AL70" s="878">
        <f t="shared" si="62"/>
        <v>0</v>
      </c>
      <c r="AM70" s="975"/>
      <c r="AN70" s="994"/>
      <c r="AO70" s="976"/>
      <c r="AP70" s="976"/>
      <c r="AQ70" s="976"/>
      <c r="AR70" s="976"/>
      <c r="AS70" s="976"/>
      <c r="AT70" s="976"/>
      <c r="AU70" s="976"/>
      <c r="AV70" s="976"/>
      <c r="AW70" s="976"/>
      <c r="AX70" s="976"/>
      <c r="AY70" s="977">
        <f t="shared" si="64"/>
        <v>0</v>
      </c>
      <c r="AZ70" s="877">
        <f t="shared" si="159"/>
        <v>0</v>
      </c>
      <c r="BA70" s="248">
        <f t="shared" si="160"/>
        <v>0</v>
      </c>
      <c r="BB70" s="248">
        <f t="shared" si="161"/>
        <v>0</v>
      </c>
      <c r="BC70" s="248">
        <f t="shared" si="176"/>
        <v>0</v>
      </c>
      <c r="BD70" s="248">
        <f t="shared" si="176"/>
        <v>0</v>
      </c>
      <c r="BE70" s="248">
        <f t="shared" si="176"/>
        <v>0</v>
      </c>
      <c r="BF70" s="248">
        <f t="shared" si="176"/>
        <v>0</v>
      </c>
      <c r="BG70" s="248">
        <f t="shared" si="176"/>
        <v>0</v>
      </c>
      <c r="BH70" s="248">
        <f t="shared" si="176"/>
        <v>0</v>
      </c>
      <c r="BI70" s="248">
        <f t="shared" si="176"/>
        <v>0</v>
      </c>
      <c r="BJ70" s="248">
        <f t="shared" si="176"/>
        <v>0</v>
      </c>
      <c r="BK70" s="248">
        <f t="shared" si="176"/>
        <v>0</v>
      </c>
      <c r="BL70" s="878">
        <f t="shared" si="47"/>
        <v>0</v>
      </c>
      <c r="BM70" s="975"/>
      <c r="BN70" s="994"/>
      <c r="BO70" s="976"/>
      <c r="BP70" s="976"/>
      <c r="BQ70" s="976"/>
      <c r="BR70" s="976"/>
      <c r="BS70" s="976"/>
      <c r="BT70" s="976"/>
      <c r="BU70" s="976"/>
      <c r="BV70" s="976"/>
      <c r="BW70" s="976"/>
      <c r="BX70" s="976"/>
      <c r="BY70" s="977">
        <f t="shared" si="66"/>
        <v>0</v>
      </c>
      <c r="BZ70" s="877">
        <f t="shared" si="163"/>
        <v>0</v>
      </c>
      <c r="CA70" s="248">
        <f t="shared" si="164"/>
        <v>0</v>
      </c>
      <c r="CB70" s="248">
        <f t="shared" si="165"/>
        <v>0</v>
      </c>
      <c r="CC70" s="248">
        <f t="shared" si="177"/>
        <v>0</v>
      </c>
      <c r="CD70" s="248">
        <f t="shared" si="177"/>
        <v>0</v>
      </c>
      <c r="CE70" s="248">
        <f t="shared" si="177"/>
        <v>0</v>
      </c>
      <c r="CF70" s="248">
        <f t="shared" si="177"/>
        <v>0</v>
      </c>
      <c r="CG70" s="248">
        <f t="shared" si="177"/>
        <v>0</v>
      </c>
      <c r="CH70" s="248">
        <f t="shared" si="177"/>
        <v>0</v>
      </c>
      <c r="CI70" s="248">
        <f t="shared" si="177"/>
        <v>0</v>
      </c>
      <c r="CJ70" s="248">
        <f t="shared" si="177"/>
        <v>0</v>
      </c>
      <c r="CK70" s="248">
        <f t="shared" si="177"/>
        <v>0</v>
      </c>
      <c r="CL70" s="878">
        <f t="shared" si="68"/>
        <v>0</v>
      </c>
      <c r="CM70" s="975"/>
      <c r="CN70" s="994"/>
      <c r="CO70" s="976"/>
      <c r="CP70" s="976"/>
      <c r="CQ70" s="976"/>
      <c r="CR70" s="976"/>
      <c r="CS70" s="976"/>
      <c r="CT70" s="976"/>
      <c r="CU70" s="976"/>
      <c r="CV70" s="976"/>
      <c r="CW70" s="976"/>
      <c r="CX70" s="976"/>
      <c r="CY70" s="977">
        <f t="shared" si="69"/>
        <v>0</v>
      </c>
      <c r="CZ70" s="877">
        <f t="shared" si="178"/>
        <v>0</v>
      </c>
      <c r="DA70" s="248">
        <f t="shared" si="179"/>
        <v>0</v>
      </c>
      <c r="DB70" s="248">
        <f t="shared" si="180"/>
        <v>0</v>
      </c>
      <c r="DC70" s="248">
        <f t="shared" si="181"/>
        <v>0</v>
      </c>
      <c r="DD70" s="248">
        <f t="shared" si="181"/>
        <v>0</v>
      </c>
      <c r="DE70" s="248">
        <f t="shared" si="181"/>
        <v>0</v>
      </c>
      <c r="DF70" s="248">
        <f t="shared" si="181"/>
        <v>0</v>
      </c>
      <c r="DG70" s="248">
        <f t="shared" si="181"/>
        <v>0</v>
      </c>
      <c r="DH70" s="248">
        <f t="shared" si="181"/>
        <v>0</v>
      </c>
      <c r="DI70" s="248">
        <f t="shared" si="181"/>
        <v>0</v>
      </c>
      <c r="DJ70" s="248">
        <f t="shared" si="181"/>
        <v>0</v>
      </c>
      <c r="DK70" s="248">
        <f t="shared" si="181"/>
        <v>0</v>
      </c>
      <c r="DL70" s="878">
        <f t="shared" si="50"/>
        <v>0</v>
      </c>
      <c r="DM70" s="975"/>
      <c r="DN70" s="994"/>
      <c r="DO70" s="976"/>
      <c r="DP70" s="976"/>
      <c r="DQ70" s="976"/>
      <c r="DR70" s="976"/>
      <c r="DS70" s="976"/>
      <c r="DT70" s="976"/>
      <c r="DU70" s="976"/>
      <c r="DV70" s="976"/>
      <c r="DW70" s="976"/>
      <c r="DX70" s="976"/>
      <c r="DY70" s="977">
        <f t="shared" si="71"/>
        <v>0</v>
      </c>
      <c r="DZ70" s="877">
        <f t="shared" si="182"/>
        <v>0</v>
      </c>
      <c r="EA70" s="248">
        <f t="shared" si="183"/>
        <v>0</v>
      </c>
      <c r="EB70" s="248">
        <f t="shared" si="184"/>
        <v>0</v>
      </c>
      <c r="EC70" s="248">
        <f t="shared" si="185"/>
        <v>0</v>
      </c>
      <c r="ED70" s="248">
        <f t="shared" si="185"/>
        <v>0</v>
      </c>
      <c r="EE70" s="248">
        <f t="shared" si="185"/>
        <v>0</v>
      </c>
      <c r="EF70" s="248">
        <f t="shared" si="185"/>
        <v>0</v>
      </c>
      <c r="EG70" s="248">
        <f t="shared" si="185"/>
        <v>0</v>
      </c>
      <c r="EH70" s="248">
        <f t="shared" si="185"/>
        <v>0</v>
      </c>
      <c r="EI70" s="248">
        <f t="shared" si="185"/>
        <v>0</v>
      </c>
      <c r="EJ70" s="248">
        <f t="shared" si="185"/>
        <v>0</v>
      </c>
      <c r="EK70" s="248">
        <f t="shared" si="185"/>
        <v>0</v>
      </c>
      <c r="EL70" s="878">
        <f t="shared" si="52"/>
        <v>0</v>
      </c>
    </row>
    <row r="71" spans="1:142">
      <c r="A71" s="964" t="s">
        <v>655</v>
      </c>
      <c r="B71" s="896" t="s">
        <v>68</v>
      </c>
      <c r="C71" s="995" t="s">
        <v>69</v>
      </c>
      <c r="D71" s="1017">
        <v>1.57497</v>
      </c>
      <c r="E71" s="544">
        <v>1.6640999999999999</v>
      </c>
      <c r="F71" s="544">
        <v>1.6640999999999999</v>
      </c>
      <c r="G71" s="545">
        <v>1.6640999999999999</v>
      </c>
      <c r="H71" s="549">
        <f t="shared" si="73"/>
        <v>1.6640999999999999</v>
      </c>
      <c r="I71" s="544">
        <f t="shared" si="73"/>
        <v>1.6640999999999999</v>
      </c>
      <c r="J71" s="544">
        <f t="shared" si="73"/>
        <v>1.6640999999999999</v>
      </c>
      <c r="K71" s="906">
        <f t="shared" si="73"/>
        <v>1.6640999999999999</v>
      </c>
      <c r="L71" s="875"/>
      <c r="M71" s="555">
        <v>3748</v>
      </c>
      <c r="N71" s="530"/>
      <c r="O71" s="530"/>
      <c r="P71" s="530"/>
      <c r="Q71" s="530"/>
      <c r="R71" s="530"/>
      <c r="S71" s="530"/>
      <c r="T71" s="530"/>
      <c r="U71" s="530"/>
      <c r="V71" s="530"/>
      <c r="W71" s="530"/>
      <c r="X71" s="530"/>
      <c r="Y71" s="876">
        <f t="shared" si="58"/>
        <v>3748</v>
      </c>
      <c r="Z71" s="877">
        <v>5902.9875599999996</v>
      </c>
      <c r="AA71" s="248">
        <v>0</v>
      </c>
      <c r="AB71" s="248">
        <v>0</v>
      </c>
      <c r="AC71" s="248">
        <f t="shared" si="186"/>
        <v>0</v>
      </c>
      <c r="AD71" s="248">
        <f t="shared" si="186"/>
        <v>0</v>
      </c>
      <c r="AE71" s="248">
        <f t="shared" si="155"/>
        <v>0</v>
      </c>
      <c r="AF71" s="248">
        <f t="shared" si="156"/>
        <v>0</v>
      </c>
      <c r="AG71" s="248">
        <f t="shared" si="156"/>
        <v>0</v>
      </c>
      <c r="AH71" s="248">
        <f t="shared" si="156"/>
        <v>0</v>
      </c>
      <c r="AI71" s="248">
        <f t="shared" si="157"/>
        <v>0</v>
      </c>
      <c r="AJ71" s="248">
        <f t="shared" si="157"/>
        <v>0</v>
      </c>
      <c r="AK71" s="248">
        <f t="shared" si="157"/>
        <v>0</v>
      </c>
      <c r="AL71" s="878">
        <f t="shared" si="62"/>
        <v>5902.9875599999996</v>
      </c>
      <c r="AM71" s="975"/>
      <c r="AN71" s="976"/>
      <c r="AO71" s="976"/>
      <c r="AP71" s="976"/>
      <c r="AQ71" s="976"/>
      <c r="AR71" s="976"/>
      <c r="AS71" s="976"/>
      <c r="AT71" s="976"/>
      <c r="AU71" s="976"/>
      <c r="AV71" s="976"/>
      <c r="AW71" s="976"/>
      <c r="AX71" s="976"/>
      <c r="AY71" s="977">
        <f t="shared" si="64"/>
        <v>0</v>
      </c>
      <c r="AZ71" s="877">
        <f t="shared" si="159"/>
        <v>0</v>
      </c>
      <c r="BA71" s="248">
        <f t="shared" si="160"/>
        <v>0</v>
      </c>
      <c r="BB71" s="248">
        <f t="shared" si="161"/>
        <v>0</v>
      </c>
      <c r="BC71" s="248">
        <f t="shared" si="176"/>
        <v>0</v>
      </c>
      <c r="BD71" s="248">
        <f t="shared" si="176"/>
        <v>0</v>
      </c>
      <c r="BE71" s="248">
        <f t="shared" si="176"/>
        <v>0</v>
      </c>
      <c r="BF71" s="248">
        <f t="shared" si="176"/>
        <v>0</v>
      </c>
      <c r="BG71" s="248">
        <f t="shared" si="176"/>
        <v>0</v>
      </c>
      <c r="BH71" s="248">
        <f t="shared" si="176"/>
        <v>0</v>
      </c>
      <c r="BI71" s="248">
        <f t="shared" si="176"/>
        <v>0</v>
      </c>
      <c r="BJ71" s="248">
        <f t="shared" si="176"/>
        <v>0</v>
      </c>
      <c r="BK71" s="248">
        <f t="shared" si="176"/>
        <v>0</v>
      </c>
      <c r="BL71" s="878">
        <f t="shared" si="47"/>
        <v>0</v>
      </c>
      <c r="BM71" s="975"/>
      <c r="BN71" s="976"/>
      <c r="BO71" s="976"/>
      <c r="BP71" s="976"/>
      <c r="BQ71" s="976"/>
      <c r="BR71" s="976"/>
      <c r="BS71" s="976"/>
      <c r="BT71" s="976"/>
      <c r="BU71" s="976"/>
      <c r="BV71" s="976"/>
      <c r="BW71" s="976"/>
      <c r="BX71" s="976"/>
      <c r="BY71" s="977">
        <f t="shared" si="66"/>
        <v>0</v>
      </c>
      <c r="BZ71" s="877">
        <f t="shared" si="163"/>
        <v>0</v>
      </c>
      <c r="CA71" s="248">
        <f t="shared" si="164"/>
        <v>0</v>
      </c>
      <c r="CB71" s="248">
        <f t="shared" si="165"/>
        <v>0</v>
      </c>
      <c r="CC71" s="248">
        <f t="shared" si="177"/>
        <v>0</v>
      </c>
      <c r="CD71" s="248">
        <f t="shared" si="177"/>
        <v>0</v>
      </c>
      <c r="CE71" s="248">
        <f t="shared" si="177"/>
        <v>0</v>
      </c>
      <c r="CF71" s="248">
        <f t="shared" si="177"/>
        <v>0</v>
      </c>
      <c r="CG71" s="248">
        <f t="shared" si="177"/>
        <v>0</v>
      </c>
      <c r="CH71" s="248">
        <f t="shared" si="177"/>
        <v>0</v>
      </c>
      <c r="CI71" s="248">
        <f t="shared" si="177"/>
        <v>0</v>
      </c>
      <c r="CJ71" s="248">
        <f t="shared" si="177"/>
        <v>0</v>
      </c>
      <c r="CK71" s="248">
        <f t="shared" si="177"/>
        <v>0</v>
      </c>
      <c r="CL71" s="878">
        <f t="shared" si="68"/>
        <v>0</v>
      </c>
      <c r="CM71" s="975"/>
      <c r="CN71" s="976"/>
      <c r="CO71" s="976"/>
      <c r="CP71" s="976"/>
      <c r="CQ71" s="976"/>
      <c r="CR71" s="976"/>
      <c r="CS71" s="976"/>
      <c r="CT71" s="976"/>
      <c r="CU71" s="976"/>
      <c r="CV71" s="976"/>
      <c r="CW71" s="976"/>
      <c r="CX71" s="976"/>
      <c r="CY71" s="977">
        <f t="shared" si="69"/>
        <v>0</v>
      </c>
      <c r="CZ71" s="877">
        <f t="shared" si="178"/>
        <v>0</v>
      </c>
      <c r="DA71" s="248">
        <f t="shared" si="179"/>
        <v>0</v>
      </c>
      <c r="DB71" s="248">
        <f t="shared" si="180"/>
        <v>0</v>
      </c>
      <c r="DC71" s="248">
        <f t="shared" si="181"/>
        <v>0</v>
      </c>
      <c r="DD71" s="248">
        <f t="shared" si="181"/>
        <v>0</v>
      </c>
      <c r="DE71" s="248">
        <f t="shared" si="181"/>
        <v>0</v>
      </c>
      <c r="DF71" s="248">
        <f t="shared" si="181"/>
        <v>0</v>
      </c>
      <c r="DG71" s="248">
        <f t="shared" si="181"/>
        <v>0</v>
      </c>
      <c r="DH71" s="248">
        <f t="shared" si="181"/>
        <v>0</v>
      </c>
      <c r="DI71" s="248">
        <f t="shared" si="181"/>
        <v>0</v>
      </c>
      <c r="DJ71" s="248">
        <f t="shared" si="181"/>
        <v>0</v>
      </c>
      <c r="DK71" s="248">
        <f t="shared" si="181"/>
        <v>0</v>
      </c>
      <c r="DL71" s="878">
        <f t="shared" si="50"/>
        <v>0</v>
      </c>
      <c r="DM71" s="975"/>
      <c r="DN71" s="976"/>
      <c r="DO71" s="976"/>
      <c r="DP71" s="976"/>
      <c r="DQ71" s="976"/>
      <c r="DR71" s="976"/>
      <c r="DS71" s="976"/>
      <c r="DT71" s="976"/>
      <c r="DU71" s="976"/>
      <c r="DV71" s="976"/>
      <c r="DW71" s="976"/>
      <c r="DX71" s="976"/>
      <c r="DY71" s="977">
        <f t="shared" si="71"/>
        <v>0</v>
      </c>
      <c r="DZ71" s="877">
        <f t="shared" si="182"/>
        <v>0</v>
      </c>
      <c r="EA71" s="248">
        <f t="shared" si="183"/>
        <v>0</v>
      </c>
      <c r="EB71" s="248">
        <f t="shared" si="184"/>
        <v>0</v>
      </c>
      <c r="EC71" s="248">
        <f t="shared" si="185"/>
        <v>0</v>
      </c>
      <c r="ED71" s="248">
        <f t="shared" si="185"/>
        <v>0</v>
      </c>
      <c r="EE71" s="248">
        <f t="shared" si="185"/>
        <v>0</v>
      </c>
      <c r="EF71" s="248">
        <f t="shared" si="185"/>
        <v>0</v>
      </c>
      <c r="EG71" s="248">
        <f t="shared" si="185"/>
        <v>0</v>
      </c>
      <c r="EH71" s="248">
        <f t="shared" si="185"/>
        <v>0</v>
      </c>
      <c r="EI71" s="248">
        <f t="shared" si="185"/>
        <v>0</v>
      </c>
      <c r="EJ71" s="248">
        <f t="shared" si="185"/>
        <v>0</v>
      </c>
      <c r="EK71" s="248">
        <f t="shared" si="185"/>
        <v>0</v>
      </c>
      <c r="EL71" s="878">
        <f t="shared" si="52"/>
        <v>0</v>
      </c>
    </row>
    <row r="72" spans="1:142">
      <c r="A72" s="964" t="s">
        <v>655</v>
      </c>
      <c r="B72" s="896" t="s">
        <v>75</v>
      </c>
      <c r="C72" s="995" t="s">
        <v>231</v>
      </c>
      <c r="D72" s="1017">
        <v>0.97</v>
      </c>
      <c r="E72" s="544">
        <v>0.97</v>
      </c>
      <c r="F72" s="544">
        <v>0.97</v>
      </c>
      <c r="G72" s="544">
        <v>0.97</v>
      </c>
      <c r="H72" s="549">
        <f t="shared" si="73"/>
        <v>0.97</v>
      </c>
      <c r="I72" s="544">
        <f t="shared" si="73"/>
        <v>0.97</v>
      </c>
      <c r="J72" s="544">
        <f t="shared" si="73"/>
        <v>0.97</v>
      </c>
      <c r="K72" s="906">
        <f t="shared" si="73"/>
        <v>0.97</v>
      </c>
      <c r="L72" s="875"/>
      <c r="M72" s="554">
        <v>87400</v>
      </c>
      <c r="N72" s="552">
        <v>60900</v>
      </c>
      <c r="O72" s="552">
        <v>146438</v>
      </c>
      <c r="P72" s="552">
        <v>150000</v>
      </c>
      <c r="Q72" s="552">
        <v>160000</v>
      </c>
      <c r="R72" s="552">
        <v>78283</v>
      </c>
      <c r="S72" s="552">
        <v>130000</v>
      </c>
      <c r="T72" s="552">
        <v>145000</v>
      </c>
      <c r="U72" s="552">
        <v>160000</v>
      </c>
      <c r="V72" s="552">
        <v>160000</v>
      </c>
      <c r="W72" s="552">
        <v>160000</v>
      </c>
      <c r="X72" s="552">
        <v>150000</v>
      </c>
      <c r="Y72" s="876">
        <f t="shared" si="58"/>
        <v>1588021</v>
      </c>
      <c r="Z72" s="877">
        <v>84778</v>
      </c>
      <c r="AA72" s="248">
        <v>59073</v>
      </c>
      <c r="AB72" s="248">
        <v>142044.85999999999</v>
      </c>
      <c r="AC72" s="248">
        <v>145500</v>
      </c>
      <c r="AD72" s="248">
        <f>Q72*$E72</f>
        <v>155200</v>
      </c>
      <c r="AE72" s="248">
        <f>R72*$E72</f>
        <v>75934.509999999995</v>
      </c>
      <c r="AF72" s="248">
        <f t="shared" si="156"/>
        <v>126100</v>
      </c>
      <c r="AG72" s="248">
        <f t="shared" si="156"/>
        <v>140650</v>
      </c>
      <c r="AH72" s="248">
        <f t="shared" si="156"/>
        <v>155200</v>
      </c>
      <c r="AI72" s="248">
        <f t="shared" si="157"/>
        <v>155200</v>
      </c>
      <c r="AJ72" s="248">
        <f t="shared" si="157"/>
        <v>155200</v>
      </c>
      <c r="AK72" s="248">
        <f t="shared" si="157"/>
        <v>145500</v>
      </c>
      <c r="AL72" s="878">
        <f t="shared" si="62"/>
        <v>1540380.37</v>
      </c>
      <c r="AM72" s="996">
        <v>100000</v>
      </c>
      <c r="AN72" s="994">
        <v>100000</v>
      </c>
      <c r="AO72" s="994">
        <v>100000</v>
      </c>
      <c r="AP72" s="994">
        <v>100000</v>
      </c>
      <c r="AQ72" s="994">
        <v>100000</v>
      </c>
      <c r="AR72" s="994">
        <v>100000</v>
      </c>
      <c r="AS72" s="994">
        <v>100000</v>
      </c>
      <c r="AT72" s="994">
        <v>100000</v>
      </c>
      <c r="AU72" s="994">
        <v>100000</v>
      </c>
      <c r="AV72" s="994">
        <v>100000</v>
      </c>
      <c r="AW72" s="994">
        <v>100000</v>
      </c>
      <c r="AX72" s="994">
        <v>100000</v>
      </c>
      <c r="AY72" s="977">
        <f t="shared" si="64"/>
        <v>1200000</v>
      </c>
      <c r="AZ72" s="877">
        <f t="shared" si="159"/>
        <v>97000</v>
      </c>
      <c r="BA72" s="248">
        <f t="shared" si="160"/>
        <v>97000</v>
      </c>
      <c r="BB72" s="248">
        <f t="shared" si="161"/>
        <v>97000</v>
      </c>
      <c r="BC72" s="248">
        <f t="shared" si="176"/>
        <v>97000</v>
      </c>
      <c r="BD72" s="248">
        <f t="shared" si="176"/>
        <v>97000</v>
      </c>
      <c r="BE72" s="248">
        <f t="shared" si="176"/>
        <v>97000</v>
      </c>
      <c r="BF72" s="248">
        <f t="shared" si="176"/>
        <v>97000</v>
      </c>
      <c r="BG72" s="248">
        <f t="shared" si="176"/>
        <v>97000</v>
      </c>
      <c r="BH72" s="248">
        <f t="shared" si="176"/>
        <v>97000</v>
      </c>
      <c r="BI72" s="248">
        <f t="shared" si="176"/>
        <v>97000</v>
      </c>
      <c r="BJ72" s="248">
        <f t="shared" si="176"/>
        <v>97000</v>
      </c>
      <c r="BK72" s="248">
        <f t="shared" si="176"/>
        <v>97000</v>
      </c>
      <c r="BL72" s="878">
        <f t="shared" si="47"/>
        <v>1164000</v>
      </c>
      <c r="BM72" s="996">
        <v>100000</v>
      </c>
      <c r="BN72" s="994">
        <v>100000</v>
      </c>
      <c r="BO72" s="994">
        <v>100000</v>
      </c>
      <c r="BP72" s="994">
        <v>100000</v>
      </c>
      <c r="BQ72" s="994">
        <v>100000</v>
      </c>
      <c r="BR72" s="994">
        <v>100000</v>
      </c>
      <c r="BS72" s="994">
        <v>100000</v>
      </c>
      <c r="BT72" s="994">
        <v>100000</v>
      </c>
      <c r="BU72" s="994">
        <v>100000</v>
      </c>
      <c r="BV72" s="994">
        <v>100000</v>
      </c>
      <c r="BW72" s="994">
        <v>100000</v>
      </c>
      <c r="BX72" s="994">
        <v>100000</v>
      </c>
      <c r="BY72" s="977">
        <f t="shared" si="66"/>
        <v>1200000</v>
      </c>
      <c r="BZ72" s="877">
        <f t="shared" si="163"/>
        <v>97000</v>
      </c>
      <c r="CA72" s="248">
        <f t="shared" si="164"/>
        <v>97000</v>
      </c>
      <c r="CB72" s="248">
        <f t="shared" si="165"/>
        <v>97000</v>
      </c>
      <c r="CC72" s="248">
        <f t="shared" si="177"/>
        <v>97000</v>
      </c>
      <c r="CD72" s="248">
        <f t="shared" si="177"/>
        <v>97000</v>
      </c>
      <c r="CE72" s="248">
        <f t="shared" si="177"/>
        <v>97000</v>
      </c>
      <c r="CF72" s="248">
        <f t="shared" si="177"/>
        <v>97000</v>
      </c>
      <c r="CG72" s="248">
        <f t="shared" si="177"/>
        <v>97000</v>
      </c>
      <c r="CH72" s="248">
        <f t="shared" si="177"/>
        <v>97000</v>
      </c>
      <c r="CI72" s="248">
        <f t="shared" si="177"/>
        <v>97000</v>
      </c>
      <c r="CJ72" s="248">
        <f t="shared" si="177"/>
        <v>97000</v>
      </c>
      <c r="CK72" s="248">
        <f t="shared" si="177"/>
        <v>97000</v>
      </c>
      <c r="CL72" s="878">
        <f t="shared" si="68"/>
        <v>1164000</v>
      </c>
      <c r="CM72" s="996">
        <f>1000000/12</f>
        <v>83333.333333333328</v>
      </c>
      <c r="CN72" s="994">
        <f t="shared" ref="CN72:CX72" si="187">1000000/12</f>
        <v>83333.333333333328</v>
      </c>
      <c r="CO72" s="994">
        <f t="shared" si="187"/>
        <v>83333.333333333328</v>
      </c>
      <c r="CP72" s="994">
        <f t="shared" si="187"/>
        <v>83333.333333333328</v>
      </c>
      <c r="CQ72" s="994">
        <f t="shared" si="187"/>
        <v>83333.333333333328</v>
      </c>
      <c r="CR72" s="994">
        <f t="shared" si="187"/>
        <v>83333.333333333328</v>
      </c>
      <c r="CS72" s="994">
        <f t="shared" si="187"/>
        <v>83333.333333333328</v>
      </c>
      <c r="CT72" s="994">
        <f t="shared" si="187"/>
        <v>83333.333333333328</v>
      </c>
      <c r="CU72" s="994">
        <f t="shared" si="187"/>
        <v>83333.333333333328</v>
      </c>
      <c r="CV72" s="994">
        <f t="shared" si="187"/>
        <v>83333.333333333328</v>
      </c>
      <c r="CW72" s="994">
        <f t="shared" si="187"/>
        <v>83333.333333333328</v>
      </c>
      <c r="CX72" s="994">
        <f t="shared" si="187"/>
        <v>83333.333333333328</v>
      </c>
      <c r="CY72" s="977">
        <f t="shared" si="69"/>
        <v>1000000.0000000001</v>
      </c>
      <c r="CZ72" s="877">
        <f t="shared" si="178"/>
        <v>80833.333333333328</v>
      </c>
      <c r="DA72" s="248">
        <f t="shared" si="179"/>
        <v>80833.333333333328</v>
      </c>
      <c r="DB72" s="248">
        <f t="shared" si="180"/>
        <v>80833.333333333328</v>
      </c>
      <c r="DC72" s="248">
        <f t="shared" si="181"/>
        <v>80833.333333333328</v>
      </c>
      <c r="DD72" s="248">
        <f t="shared" si="181"/>
        <v>80833.333333333328</v>
      </c>
      <c r="DE72" s="248">
        <f t="shared" si="181"/>
        <v>80833.333333333328</v>
      </c>
      <c r="DF72" s="248">
        <f t="shared" si="181"/>
        <v>80833.333333333328</v>
      </c>
      <c r="DG72" s="248">
        <f t="shared" si="181"/>
        <v>80833.333333333328</v>
      </c>
      <c r="DH72" s="248">
        <f t="shared" si="181"/>
        <v>80833.333333333328</v>
      </c>
      <c r="DI72" s="248">
        <f t="shared" si="181"/>
        <v>80833.333333333328</v>
      </c>
      <c r="DJ72" s="248">
        <f t="shared" si="181"/>
        <v>80833.333333333328</v>
      </c>
      <c r="DK72" s="248">
        <f t="shared" si="181"/>
        <v>80833.333333333328</v>
      </c>
      <c r="DL72" s="878">
        <f t="shared" si="50"/>
        <v>970000.00000000012</v>
      </c>
      <c r="DM72" s="996">
        <f>1000000/12</f>
        <v>83333.333333333328</v>
      </c>
      <c r="DN72" s="994">
        <f t="shared" ref="DN72:DX72" si="188">1000000/12</f>
        <v>83333.333333333328</v>
      </c>
      <c r="DO72" s="994">
        <f t="shared" si="188"/>
        <v>83333.333333333328</v>
      </c>
      <c r="DP72" s="994">
        <f t="shared" si="188"/>
        <v>83333.333333333328</v>
      </c>
      <c r="DQ72" s="994">
        <f t="shared" si="188"/>
        <v>83333.333333333328</v>
      </c>
      <c r="DR72" s="994">
        <f t="shared" si="188"/>
        <v>83333.333333333328</v>
      </c>
      <c r="DS72" s="994">
        <f t="shared" si="188"/>
        <v>83333.333333333328</v>
      </c>
      <c r="DT72" s="994">
        <f t="shared" si="188"/>
        <v>83333.333333333328</v>
      </c>
      <c r="DU72" s="994">
        <f t="shared" si="188"/>
        <v>83333.333333333328</v>
      </c>
      <c r="DV72" s="994">
        <f t="shared" si="188"/>
        <v>83333.333333333328</v>
      </c>
      <c r="DW72" s="994">
        <f t="shared" si="188"/>
        <v>83333.333333333328</v>
      </c>
      <c r="DX72" s="994">
        <f t="shared" si="188"/>
        <v>83333.333333333328</v>
      </c>
      <c r="DY72" s="977">
        <f t="shared" si="71"/>
        <v>1000000.0000000001</v>
      </c>
      <c r="DZ72" s="877">
        <f t="shared" si="182"/>
        <v>80833.333333333328</v>
      </c>
      <c r="EA72" s="248">
        <f t="shared" si="183"/>
        <v>80833.333333333328</v>
      </c>
      <c r="EB72" s="248">
        <f t="shared" si="184"/>
        <v>80833.333333333328</v>
      </c>
      <c r="EC72" s="248">
        <f t="shared" si="185"/>
        <v>80833.333333333328</v>
      </c>
      <c r="ED72" s="248">
        <f t="shared" si="185"/>
        <v>80833.333333333328</v>
      </c>
      <c r="EE72" s="248">
        <f t="shared" si="185"/>
        <v>80833.333333333328</v>
      </c>
      <c r="EF72" s="248">
        <f t="shared" si="185"/>
        <v>80833.333333333328</v>
      </c>
      <c r="EG72" s="248">
        <f t="shared" si="185"/>
        <v>80833.333333333328</v>
      </c>
      <c r="EH72" s="248">
        <f t="shared" si="185"/>
        <v>80833.333333333328</v>
      </c>
      <c r="EI72" s="248">
        <f t="shared" si="185"/>
        <v>80833.333333333328</v>
      </c>
      <c r="EJ72" s="248">
        <f t="shared" si="185"/>
        <v>80833.333333333328</v>
      </c>
      <c r="EK72" s="248">
        <f t="shared" si="185"/>
        <v>80833.333333333328</v>
      </c>
      <c r="EL72" s="878">
        <f t="shared" si="52"/>
        <v>970000.00000000012</v>
      </c>
    </row>
    <row r="73" spans="1:142" ht="19.8" thickBot="1">
      <c r="A73" s="965" t="s">
        <v>655</v>
      </c>
      <c r="B73" s="904" t="s">
        <v>695</v>
      </c>
      <c r="C73" s="1020"/>
      <c r="D73" s="1021"/>
      <c r="E73" s="1022"/>
      <c r="F73" s="1022"/>
      <c r="G73" s="1023"/>
      <c r="H73" s="1024"/>
      <c r="I73" s="1022"/>
      <c r="J73" s="1022"/>
      <c r="K73" s="1025"/>
      <c r="L73" s="969"/>
      <c r="M73" s="555"/>
      <c r="N73" s="530"/>
      <c r="O73" s="530"/>
      <c r="P73" s="530">
        <v>4</v>
      </c>
      <c r="Q73" s="530">
        <v>3</v>
      </c>
      <c r="R73" s="530">
        <v>3</v>
      </c>
      <c r="S73" s="530">
        <v>3</v>
      </c>
      <c r="T73" s="530">
        <v>3</v>
      </c>
      <c r="U73" s="530">
        <v>2</v>
      </c>
      <c r="V73" s="530">
        <v>2</v>
      </c>
      <c r="W73" s="530">
        <v>2</v>
      </c>
      <c r="X73" s="530">
        <v>2</v>
      </c>
      <c r="Y73" s="876">
        <f t="shared" si="58"/>
        <v>24</v>
      </c>
      <c r="Z73" s="877">
        <v>26965.15</v>
      </c>
      <c r="AA73" s="248">
        <v>328400</v>
      </c>
      <c r="AB73" s="248">
        <v>0</v>
      </c>
      <c r="AC73" s="1026">
        <v>70605</v>
      </c>
      <c r="AD73" s="248">
        <f>21179.09+20709.09+18800+18800+20000-13305</f>
        <v>86183.18</v>
      </c>
      <c r="AE73" s="248">
        <v>67364</v>
      </c>
      <c r="AF73" s="248">
        <f>54091-17727</f>
        <v>36364</v>
      </c>
      <c r="AG73" s="248">
        <v>60000</v>
      </c>
      <c r="AH73" s="248">
        <v>80000</v>
      </c>
      <c r="AI73" s="248">
        <v>80000</v>
      </c>
      <c r="AJ73" s="248">
        <v>80000</v>
      </c>
      <c r="AK73" s="248">
        <v>80000</v>
      </c>
      <c r="AL73" s="878">
        <f t="shared" si="62"/>
        <v>995881.33000000007</v>
      </c>
      <c r="AM73" s="975">
        <v>2</v>
      </c>
      <c r="AN73" s="976">
        <v>2</v>
      </c>
      <c r="AO73" s="976">
        <v>4</v>
      </c>
      <c r="AP73" s="976">
        <v>4</v>
      </c>
      <c r="AQ73" s="976">
        <v>2</v>
      </c>
      <c r="AR73" s="976">
        <v>4</v>
      </c>
      <c r="AS73" s="976">
        <v>2</v>
      </c>
      <c r="AT73" s="976">
        <v>4</v>
      </c>
      <c r="AU73" s="976">
        <v>2</v>
      </c>
      <c r="AV73" s="976">
        <v>4</v>
      </c>
      <c r="AW73" s="976">
        <v>2</v>
      </c>
      <c r="AX73" s="976">
        <v>4</v>
      </c>
      <c r="AY73" s="977">
        <f>SUM(AM73:AX73)</f>
        <v>36</v>
      </c>
      <c r="AZ73" s="877">
        <f>AM73*20000</f>
        <v>40000</v>
      </c>
      <c r="BA73" s="248">
        <f t="shared" ref="BA73:BK73" si="189">AN73*20000</f>
        <v>40000</v>
      </c>
      <c r="BB73" s="248">
        <f t="shared" si="189"/>
        <v>80000</v>
      </c>
      <c r="BC73" s="248">
        <f t="shared" si="189"/>
        <v>80000</v>
      </c>
      <c r="BD73" s="248">
        <f t="shared" si="189"/>
        <v>40000</v>
      </c>
      <c r="BE73" s="248">
        <f t="shared" si="189"/>
        <v>80000</v>
      </c>
      <c r="BF73" s="248">
        <f t="shared" si="189"/>
        <v>40000</v>
      </c>
      <c r="BG73" s="248">
        <f t="shared" si="189"/>
        <v>80000</v>
      </c>
      <c r="BH73" s="248">
        <f t="shared" si="189"/>
        <v>40000</v>
      </c>
      <c r="BI73" s="248">
        <f t="shared" si="189"/>
        <v>80000</v>
      </c>
      <c r="BJ73" s="248">
        <f t="shared" si="189"/>
        <v>40000</v>
      </c>
      <c r="BK73" s="248">
        <f t="shared" si="189"/>
        <v>80000</v>
      </c>
      <c r="BL73" s="878">
        <f>SUM(AZ73:BK73)</f>
        <v>720000</v>
      </c>
      <c r="BM73" s="975">
        <v>1</v>
      </c>
      <c r="BN73" s="976">
        <v>2</v>
      </c>
      <c r="BO73" s="976">
        <v>4</v>
      </c>
      <c r="BP73" s="976">
        <v>3</v>
      </c>
      <c r="BQ73" s="976">
        <v>2</v>
      </c>
      <c r="BR73" s="976">
        <v>4</v>
      </c>
      <c r="BS73" s="976">
        <v>2</v>
      </c>
      <c r="BT73" s="976">
        <v>4</v>
      </c>
      <c r="BU73" s="976">
        <v>2</v>
      </c>
      <c r="BV73" s="976">
        <v>4</v>
      </c>
      <c r="BW73" s="976">
        <v>2</v>
      </c>
      <c r="BX73" s="976">
        <v>4</v>
      </c>
      <c r="BY73" s="977">
        <f>SUM(BM73:BX73)</f>
        <v>34</v>
      </c>
      <c r="BZ73" s="877">
        <f>BM73*20000</f>
        <v>20000</v>
      </c>
      <c r="CA73" s="248">
        <f t="shared" ref="CA73:CK73" si="190">BN73*20000</f>
        <v>40000</v>
      </c>
      <c r="CB73" s="248">
        <f t="shared" si="190"/>
        <v>80000</v>
      </c>
      <c r="CC73" s="248">
        <f t="shared" si="190"/>
        <v>60000</v>
      </c>
      <c r="CD73" s="248">
        <f t="shared" si="190"/>
        <v>40000</v>
      </c>
      <c r="CE73" s="248">
        <f t="shared" si="190"/>
        <v>80000</v>
      </c>
      <c r="CF73" s="248">
        <f t="shared" si="190"/>
        <v>40000</v>
      </c>
      <c r="CG73" s="248">
        <f t="shared" si="190"/>
        <v>80000</v>
      </c>
      <c r="CH73" s="248">
        <f t="shared" si="190"/>
        <v>40000</v>
      </c>
      <c r="CI73" s="248">
        <f t="shared" si="190"/>
        <v>80000</v>
      </c>
      <c r="CJ73" s="248">
        <f t="shared" si="190"/>
        <v>40000</v>
      </c>
      <c r="CK73" s="248">
        <f t="shared" si="190"/>
        <v>80000</v>
      </c>
      <c r="CL73" s="878">
        <f>SUM(BZ73:CK73)</f>
        <v>680000</v>
      </c>
      <c r="CM73" s="975">
        <v>2</v>
      </c>
      <c r="CN73" s="976">
        <v>2</v>
      </c>
      <c r="CO73" s="976">
        <v>4</v>
      </c>
      <c r="CP73" s="976">
        <v>3</v>
      </c>
      <c r="CQ73" s="976">
        <v>2</v>
      </c>
      <c r="CR73" s="976">
        <v>4</v>
      </c>
      <c r="CS73" s="976">
        <v>2</v>
      </c>
      <c r="CT73" s="976">
        <v>3</v>
      </c>
      <c r="CU73" s="976">
        <v>2</v>
      </c>
      <c r="CV73" s="976">
        <v>3</v>
      </c>
      <c r="CW73" s="976">
        <v>2</v>
      </c>
      <c r="CX73" s="976">
        <v>3</v>
      </c>
      <c r="CY73" s="977">
        <f>SUM(CM73:CX73)</f>
        <v>32</v>
      </c>
      <c r="CZ73" s="877">
        <f>CM73*20000</f>
        <v>40000</v>
      </c>
      <c r="DA73" s="248">
        <f t="shared" ref="DA73:DK73" si="191">CN73*20000</f>
        <v>40000</v>
      </c>
      <c r="DB73" s="248">
        <f t="shared" si="191"/>
        <v>80000</v>
      </c>
      <c r="DC73" s="248">
        <f t="shared" si="191"/>
        <v>60000</v>
      </c>
      <c r="DD73" s="248">
        <f t="shared" si="191"/>
        <v>40000</v>
      </c>
      <c r="DE73" s="248">
        <f t="shared" si="191"/>
        <v>80000</v>
      </c>
      <c r="DF73" s="248">
        <f t="shared" si="191"/>
        <v>40000</v>
      </c>
      <c r="DG73" s="248">
        <f t="shared" si="191"/>
        <v>60000</v>
      </c>
      <c r="DH73" s="248">
        <f t="shared" si="191"/>
        <v>40000</v>
      </c>
      <c r="DI73" s="248">
        <f t="shared" si="191"/>
        <v>60000</v>
      </c>
      <c r="DJ73" s="248">
        <f t="shared" si="191"/>
        <v>40000</v>
      </c>
      <c r="DK73" s="248">
        <f t="shared" si="191"/>
        <v>60000</v>
      </c>
      <c r="DL73" s="878">
        <f>SUM(CZ73:DK73)</f>
        <v>640000</v>
      </c>
      <c r="DM73" s="975">
        <v>2</v>
      </c>
      <c r="DN73" s="976">
        <v>1</v>
      </c>
      <c r="DO73" s="976">
        <v>3</v>
      </c>
      <c r="DP73" s="976">
        <v>4</v>
      </c>
      <c r="DQ73" s="976">
        <v>2</v>
      </c>
      <c r="DR73" s="976">
        <v>3</v>
      </c>
      <c r="DS73" s="976">
        <v>2</v>
      </c>
      <c r="DT73" s="976">
        <v>3</v>
      </c>
      <c r="DU73" s="976">
        <v>2</v>
      </c>
      <c r="DV73" s="976">
        <v>3</v>
      </c>
      <c r="DW73" s="976">
        <v>2</v>
      </c>
      <c r="DX73" s="976">
        <v>3</v>
      </c>
      <c r="DY73" s="977">
        <f>SUM(DM73:DX73)</f>
        <v>30</v>
      </c>
      <c r="DZ73" s="877">
        <f>DM73*20000</f>
        <v>40000</v>
      </c>
      <c r="EA73" s="248">
        <f t="shared" ref="EA73:EK73" si="192">DN73*20000</f>
        <v>20000</v>
      </c>
      <c r="EB73" s="248">
        <f t="shared" si="192"/>
        <v>60000</v>
      </c>
      <c r="EC73" s="248">
        <f t="shared" si="192"/>
        <v>80000</v>
      </c>
      <c r="ED73" s="248">
        <f t="shared" si="192"/>
        <v>40000</v>
      </c>
      <c r="EE73" s="248">
        <f t="shared" si="192"/>
        <v>60000</v>
      </c>
      <c r="EF73" s="248">
        <f t="shared" si="192"/>
        <v>40000</v>
      </c>
      <c r="EG73" s="248">
        <f t="shared" si="192"/>
        <v>60000</v>
      </c>
      <c r="EH73" s="248">
        <f t="shared" si="192"/>
        <v>40000</v>
      </c>
      <c r="EI73" s="248">
        <f t="shared" si="192"/>
        <v>60000</v>
      </c>
      <c r="EJ73" s="248">
        <f t="shared" si="192"/>
        <v>40000</v>
      </c>
      <c r="EK73" s="248">
        <f t="shared" si="192"/>
        <v>60000</v>
      </c>
      <c r="EL73" s="878">
        <f>SUM(DZ73:EK73)</f>
        <v>600000</v>
      </c>
    </row>
    <row r="74" spans="1:142" ht="20.399999999999999" thickTop="1" thickBot="1">
      <c r="A74" s="7264" t="s">
        <v>696</v>
      </c>
      <c r="B74" s="7265"/>
      <c r="C74" s="7266"/>
      <c r="D74" s="889"/>
      <c r="E74" s="889"/>
      <c r="F74" s="889"/>
      <c r="G74" s="889"/>
      <c r="H74" s="889"/>
      <c r="I74" s="889"/>
      <c r="J74" s="889"/>
      <c r="K74" s="890"/>
      <c r="L74" s="891"/>
      <c r="M74" s="892">
        <f t="shared" ref="M74:BX74" si="193">SUM(M30:M73)</f>
        <v>437383</v>
      </c>
      <c r="N74" s="535">
        <f t="shared" si="193"/>
        <v>411921</v>
      </c>
      <c r="O74" s="535">
        <f t="shared" si="193"/>
        <v>580682</v>
      </c>
      <c r="P74" s="535">
        <f t="shared" si="193"/>
        <v>569470</v>
      </c>
      <c r="Q74" s="535">
        <f t="shared" si="193"/>
        <v>601969</v>
      </c>
      <c r="R74" s="535">
        <f t="shared" si="193"/>
        <v>497016</v>
      </c>
      <c r="S74" s="535">
        <f t="shared" si="193"/>
        <v>436556</v>
      </c>
      <c r="T74" s="535">
        <f t="shared" si="193"/>
        <v>497530</v>
      </c>
      <c r="U74" s="535">
        <f t="shared" si="193"/>
        <v>483602</v>
      </c>
      <c r="V74" s="535">
        <f t="shared" si="193"/>
        <v>522650</v>
      </c>
      <c r="W74" s="535">
        <f t="shared" si="193"/>
        <v>505194</v>
      </c>
      <c r="X74" s="535">
        <f t="shared" si="193"/>
        <v>492962</v>
      </c>
      <c r="Y74" s="536">
        <f t="shared" si="193"/>
        <v>6036935</v>
      </c>
      <c r="Z74" s="537">
        <f t="shared" si="193"/>
        <v>848102.69996000011</v>
      </c>
      <c r="AA74" s="537">
        <f t="shared" si="193"/>
        <v>1100817.2399999998</v>
      </c>
      <c r="AB74" s="537">
        <f t="shared" si="193"/>
        <v>1057899.6924000001</v>
      </c>
      <c r="AC74" s="537">
        <f>SUM(AC30:AC73)</f>
        <v>1104388.1000000001</v>
      </c>
      <c r="AD74" s="537">
        <v>1187544.8348000001</v>
      </c>
      <c r="AE74" s="537">
        <f t="shared" ref="AE74:AK74" si="194">SUM(AE30:AE73)</f>
        <v>1038009.4524</v>
      </c>
      <c r="AF74" s="537">
        <f t="shared" si="194"/>
        <v>875814.11031815328</v>
      </c>
      <c r="AG74" s="537">
        <f t="shared" si="194"/>
        <v>980598.85885275248</v>
      </c>
      <c r="AH74" s="537">
        <f t="shared" si="194"/>
        <v>984559.33709306212</v>
      </c>
      <c r="AI74" s="537">
        <f t="shared" si="194"/>
        <v>1082700.3799999999</v>
      </c>
      <c r="AJ74" s="537">
        <f t="shared" si="194"/>
        <v>1045604.2000000001</v>
      </c>
      <c r="AK74" s="537">
        <f t="shared" si="194"/>
        <v>1031930.04</v>
      </c>
      <c r="AL74" s="538">
        <f t="shared" si="193"/>
        <v>12327322.74582397</v>
      </c>
      <c r="AM74" s="892">
        <f t="shared" si="193"/>
        <v>371829.33333333326</v>
      </c>
      <c r="AN74" s="535">
        <f t="shared" si="193"/>
        <v>371829.33333333326</v>
      </c>
      <c r="AO74" s="535">
        <f t="shared" si="193"/>
        <v>371831.33333333326</v>
      </c>
      <c r="AP74" s="535">
        <f t="shared" si="193"/>
        <v>371831.33333333326</v>
      </c>
      <c r="AQ74" s="535">
        <f t="shared" si="193"/>
        <v>371829.33333333326</v>
      </c>
      <c r="AR74" s="535">
        <f t="shared" si="193"/>
        <v>371831.33333333326</v>
      </c>
      <c r="AS74" s="535">
        <f t="shared" si="193"/>
        <v>552288.58333333349</v>
      </c>
      <c r="AT74" s="535">
        <f t="shared" si="193"/>
        <v>556290.58333333349</v>
      </c>
      <c r="AU74" s="535">
        <f t="shared" si="193"/>
        <v>572288.58333333349</v>
      </c>
      <c r="AV74" s="535">
        <f t="shared" si="193"/>
        <v>576290.58333333349</v>
      </c>
      <c r="AW74" s="535">
        <f t="shared" si="193"/>
        <v>596288.58333333349</v>
      </c>
      <c r="AX74" s="535">
        <f t="shared" si="193"/>
        <v>606290.58333333349</v>
      </c>
      <c r="AY74" s="1027">
        <f t="shared" si="193"/>
        <v>5690719.5</v>
      </c>
      <c r="AZ74" s="537">
        <f t="shared" si="193"/>
        <v>762449.0083333333</v>
      </c>
      <c r="BA74" s="537">
        <f t="shared" si="193"/>
        <v>762449.0083333333</v>
      </c>
      <c r="BB74" s="537">
        <f t="shared" si="193"/>
        <v>802449.0083333333</v>
      </c>
      <c r="BC74" s="537">
        <f t="shared" si="193"/>
        <v>802449.0083333333</v>
      </c>
      <c r="BD74" s="537">
        <f t="shared" si="193"/>
        <v>762449.0083333333</v>
      </c>
      <c r="BE74" s="537">
        <f t="shared" si="193"/>
        <v>802449.0083333333</v>
      </c>
      <c r="BF74" s="537">
        <f t="shared" si="193"/>
        <v>1229199.0916666668</v>
      </c>
      <c r="BG74" s="537">
        <f t="shared" si="193"/>
        <v>1281499.091666667</v>
      </c>
      <c r="BH74" s="537">
        <f t="shared" si="193"/>
        <v>1290699.0916666673</v>
      </c>
      <c r="BI74" s="537">
        <f t="shared" si="193"/>
        <v>1342999.0916666673</v>
      </c>
      <c r="BJ74" s="537">
        <f t="shared" si="193"/>
        <v>1360249.0916666673</v>
      </c>
      <c r="BK74" s="537">
        <f t="shared" si="193"/>
        <v>1426749.0916666673</v>
      </c>
      <c r="BL74" s="538">
        <f t="shared" si="193"/>
        <v>12626088.6</v>
      </c>
      <c r="BM74" s="892">
        <f t="shared" si="193"/>
        <v>570486.91666666674</v>
      </c>
      <c r="BN74" s="535">
        <f t="shared" si="193"/>
        <v>570487.91666666674</v>
      </c>
      <c r="BO74" s="535">
        <f t="shared" si="193"/>
        <v>570489.91666666674</v>
      </c>
      <c r="BP74" s="535">
        <f t="shared" si="193"/>
        <v>570488.91666666674</v>
      </c>
      <c r="BQ74" s="535">
        <f t="shared" si="193"/>
        <v>570487.91666666674</v>
      </c>
      <c r="BR74" s="535">
        <f t="shared" si="193"/>
        <v>570489.91666666674</v>
      </c>
      <c r="BS74" s="535">
        <f t="shared" si="193"/>
        <v>576487.91666666674</v>
      </c>
      <c r="BT74" s="535">
        <f t="shared" si="193"/>
        <v>580489.91666666674</v>
      </c>
      <c r="BU74" s="535">
        <f t="shared" si="193"/>
        <v>590487.91666666674</v>
      </c>
      <c r="BV74" s="535">
        <f t="shared" si="193"/>
        <v>590489.91666666674</v>
      </c>
      <c r="BW74" s="535">
        <f t="shared" si="193"/>
        <v>590487.91666666674</v>
      </c>
      <c r="BX74" s="535">
        <f t="shared" si="193"/>
        <v>590489.91666666674</v>
      </c>
      <c r="BY74" s="1027">
        <f t="shared" ref="BY74:EJ74" si="195">SUM(BY30:BY73)</f>
        <v>6941865</v>
      </c>
      <c r="BZ74" s="537">
        <f t="shared" si="195"/>
        <v>1299482.0129583334</v>
      </c>
      <c r="CA74" s="537">
        <f t="shared" si="195"/>
        <v>1319482.0129583334</v>
      </c>
      <c r="CB74" s="537">
        <f t="shared" si="195"/>
        <v>1359482.0129583334</v>
      </c>
      <c r="CC74" s="537">
        <f t="shared" si="195"/>
        <v>1339482.0129583334</v>
      </c>
      <c r="CD74" s="537">
        <f t="shared" si="195"/>
        <v>1319482.0129583334</v>
      </c>
      <c r="CE74" s="537">
        <f t="shared" si="195"/>
        <v>1359482.0129583334</v>
      </c>
      <c r="CF74" s="537">
        <f t="shared" si="195"/>
        <v>1335382.0129583334</v>
      </c>
      <c r="CG74" s="537">
        <f t="shared" si="195"/>
        <v>1385982.0129583334</v>
      </c>
      <c r="CH74" s="537">
        <f t="shared" si="195"/>
        <v>1372482.0129583334</v>
      </c>
      <c r="CI74" s="537">
        <f t="shared" si="195"/>
        <v>1412482.0129583334</v>
      </c>
      <c r="CJ74" s="537">
        <f t="shared" si="195"/>
        <v>1372482.0129583334</v>
      </c>
      <c r="CK74" s="537">
        <f t="shared" si="195"/>
        <v>1412482.0129583334</v>
      </c>
      <c r="CL74" s="538">
        <f>SUM(CL30:CL73)</f>
        <v>16288184.1555</v>
      </c>
      <c r="CM74" s="892">
        <f t="shared" si="195"/>
        <v>532485.16666666686</v>
      </c>
      <c r="CN74" s="535">
        <f t="shared" si="195"/>
        <v>532485.16666666686</v>
      </c>
      <c r="CO74" s="535">
        <f t="shared" si="195"/>
        <v>532487.16666666686</v>
      </c>
      <c r="CP74" s="535">
        <f t="shared" si="195"/>
        <v>532486.16666666686</v>
      </c>
      <c r="CQ74" s="535">
        <f t="shared" si="195"/>
        <v>532485.16666666686</v>
      </c>
      <c r="CR74" s="535">
        <f t="shared" si="195"/>
        <v>532487.16666666686</v>
      </c>
      <c r="CS74" s="535">
        <f t="shared" si="195"/>
        <v>532485.16666666686</v>
      </c>
      <c r="CT74" s="535">
        <f t="shared" si="195"/>
        <v>532486.16666666686</v>
      </c>
      <c r="CU74" s="535">
        <f t="shared" si="195"/>
        <v>532485.16666666686</v>
      </c>
      <c r="CV74" s="535">
        <f t="shared" si="195"/>
        <v>532486.16666666686</v>
      </c>
      <c r="CW74" s="535">
        <f t="shared" si="195"/>
        <v>532485.16666666686</v>
      </c>
      <c r="CX74" s="535">
        <f t="shared" si="195"/>
        <v>532486.16666666686</v>
      </c>
      <c r="CY74" s="1027">
        <f t="shared" si="195"/>
        <v>6389830</v>
      </c>
      <c r="CZ74" s="537">
        <f t="shared" si="195"/>
        <v>1296365.3113125002</v>
      </c>
      <c r="DA74" s="537">
        <f t="shared" si="195"/>
        <v>1296365.3113125002</v>
      </c>
      <c r="DB74" s="537">
        <f t="shared" si="195"/>
        <v>1336365.3113125002</v>
      </c>
      <c r="DC74" s="537">
        <f t="shared" si="195"/>
        <v>1316365.3113125002</v>
      </c>
      <c r="DD74" s="537">
        <f t="shared" si="195"/>
        <v>1296365.3113125002</v>
      </c>
      <c r="DE74" s="537">
        <f t="shared" si="195"/>
        <v>1336365.3113125002</v>
      </c>
      <c r="DF74" s="537">
        <f t="shared" si="195"/>
        <v>1296365.3113125002</v>
      </c>
      <c r="DG74" s="537">
        <f t="shared" si="195"/>
        <v>1316365.3113125002</v>
      </c>
      <c r="DH74" s="537">
        <f t="shared" si="195"/>
        <v>1296365.3113125002</v>
      </c>
      <c r="DI74" s="537">
        <f t="shared" si="195"/>
        <v>1316365.3113125002</v>
      </c>
      <c r="DJ74" s="537">
        <f t="shared" si="195"/>
        <v>1296365.3113125002</v>
      </c>
      <c r="DK74" s="537">
        <f t="shared" si="195"/>
        <v>1316365.3113125002</v>
      </c>
      <c r="DL74" s="538">
        <f t="shared" si="195"/>
        <v>15716383.735749999</v>
      </c>
      <c r="DM74" s="892">
        <f t="shared" si="195"/>
        <v>584711.25000000012</v>
      </c>
      <c r="DN74" s="535">
        <f t="shared" si="195"/>
        <v>584710.25000000012</v>
      </c>
      <c r="DO74" s="535">
        <f t="shared" si="195"/>
        <v>584712.25000000012</v>
      </c>
      <c r="DP74" s="535">
        <f t="shared" si="195"/>
        <v>584713.25000000012</v>
      </c>
      <c r="DQ74" s="535">
        <f t="shared" si="195"/>
        <v>584711.25000000012</v>
      </c>
      <c r="DR74" s="535">
        <f t="shared" si="195"/>
        <v>584712.25000000012</v>
      </c>
      <c r="DS74" s="535">
        <f t="shared" si="195"/>
        <v>584711.25000000012</v>
      </c>
      <c r="DT74" s="535">
        <f t="shared" si="195"/>
        <v>584712.25000000012</v>
      </c>
      <c r="DU74" s="535">
        <f t="shared" si="195"/>
        <v>584711.25000000012</v>
      </c>
      <c r="DV74" s="535">
        <f t="shared" si="195"/>
        <v>584712.25000000012</v>
      </c>
      <c r="DW74" s="535">
        <f t="shared" si="195"/>
        <v>584711.25000000012</v>
      </c>
      <c r="DX74" s="535">
        <f t="shared" si="195"/>
        <v>584712.25000000012</v>
      </c>
      <c r="DY74" s="1027">
        <f t="shared" si="195"/>
        <v>7016541</v>
      </c>
      <c r="DZ74" s="537">
        <f t="shared" si="195"/>
        <v>1437080.2114166671</v>
      </c>
      <c r="EA74" s="537">
        <f t="shared" si="195"/>
        <v>1417080.2114166671</v>
      </c>
      <c r="EB74" s="537">
        <f t="shared" si="195"/>
        <v>1457080.2114166671</v>
      </c>
      <c r="EC74" s="537">
        <f t="shared" si="195"/>
        <v>1477080.2114166671</v>
      </c>
      <c r="ED74" s="537">
        <f t="shared" si="195"/>
        <v>1437080.2114166671</v>
      </c>
      <c r="EE74" s="537">
        <f t="shared" si="195"/>
        <v>1457080.2114166671</v>
      </c>
      <c r="EF74" s="537">
        <f t="shared" si="195"/>
        <v>1437080.2114166671</v>
      </c>
      <c r="EG74" s="537">
        <f t="shared" si="195"/>
        <v>1457080.2114166671</v>
      </c>
      <c r="EH74" s="537">
        <f t="shared" si="195"/>
        <v>1437080.2114166671</v>
      </c>
      <c r="EI74" s="537">
        <f t="shared" si="195"/>
        <v>1457080.2114166671</v>
      </c>
      <c r="EJ74" s="537">
        <f t="shared" si="195"/>
        <v>1437080.2114166671</v>
      </c>
      <c r="EK74" s="537">
        <f>SUM(EK30:EK73)</f>
        <v>1457080.2114166671</v>
      </c>
      <c r="EL74" s="538">
        <f>SUM(EL30:EL73)</f>
        <v>17364962.537</v>
      </c>
    </row>
    <row r="75" spans="1:142" ht="19.8" thickTop="1">
      <c r="A75" s="961" t="s">
        <v>76</v>
      </c>
      <c r="B75" s="904" t="s">
        <v>260</v>
      </c>
      <c r="C75" s="908" t="s">
        <v>261</v>
      </c>
      <c r="D75" s="543">
        <v>3.74</v>
      </c>
      <c r="E75" s="544">
        <v>3.81</v>
      </c>
      <c r="F75" s="544">
        <v>3.81</v>
      </c>
      <c r="G75" s="545">
        <v>3.81</v>
      </c>
      <c r="H75" s="543">
        <f t="shared" ref="H75:K82" si="196">G75</f>
        <v>3.81</v>
      </c>
      <c r="I75" s="544">
        <f t="shared" si="196"/>
        <v>3.81</v>
      </c>
      <c r="J75" s="544">
        <f t="shared" si="196"/>
        <v>3.81</v>
      </c>
      <c r="K75" s="906">
        <f t="shared" si="196"/>
        <v>3.81</v>
      </c>
      <c r="L75" s="875"/>
      <c r="M75" s="554">
        <v>39480</v>
      </c>
      <c r="N75" s="552">
        <v>34440</v>
      </c>
      <c r="O75" s="552">
        <v>30240</v>
      </c>
      <c r="P75" s="552">
        <v>37380</v>
      </c>
      <c r="Q75" s="552">
        <v>37800</v>
      </c>
      <c r="R75" s="552">
        <v>32750</v>
      </c>
      <c r="S75" s="552">
        <v>25000</v>
      </c>
      <c r="T75" s="552">
        <v>30000</v>
      </c>
      <c r="U75" s="552">
        <v>35000</v>
      </c>
      <c r="V75" s="552">
        <v>35000</v>
      </c>
      <c r="W75" s="552">
        <v>35000</v>
      </c>
      <c r="X75" s="552">
        <v>35000</v>
      </c>
      <c r="Y75" s="876">
        <f t="shared" ref="Y75:Y93" si="197">SUM(M75:X75)</f>
        <v>407090</v>
      </c>
      <c r="Z75" s="877">
        <v>150418.79999999999</v>
      </c>
      <c r="AA75" s="248">
        <v>115248</v>
      </c>
      <c r="AB75" s="248">
        <f>O75*D75</f>
        <v>113097.60000000001</v>
      </c>
      <c r="AC75" s="248">
        <v>139801.20000000001</v>
      </c>
      <c r="AD75" s="248">
        <f>Q75*$D75</f>
        <v>141372</v>
      </c>
      <c r="AE75" s="248">
        <f>R75*$D75</f>
        <v>122485</v>
      </c>
      <c r="AF75" s="248">
        <f>S75*$D75</f>
        <v>93500</v>
      </c>
      <c r="AG75" s="248">
        <f>T75*$D75</f>
        <v>112200</v>
      </c>
      <c r="AH75" s="248">
        <f t="shared" ref="AH75:AH82" si="198">U75*$F75</f>
        <v>133350</v>
      </c>
      <c r="AI75" s="248">
        <f t="shared" ref="AI75:AK82" si="199">V75*$G75</f>
        <v>133350</v>
      </c>
      <c r="AJ75" s="248">
        <f t="shared" si="199"/>
        <v>133350</v>
      </c>
      <c r="AK75" s="248">
        <f t="shared" si="199"/>
        <v>133350</v>
      </c>
      <c r="AL75" s="878">
        <f t="shared" ref="AL75:AL93" si="200">SUM(Z75:AK75)</f>
        <v>1521522.6</v>
      </c>
      <c r="AM75" s="1028">
        <v>50000</v>
      </c>
      <c r="AN75" s="552">
        <f>AM75*0.7</f>
        <v>35000</v>
      </c>
      <c r="AO75" s="552">
        <v>50000</v>
      </c>
      <c r="AP75" s="552">
        <v>50000</v>
      </c>
      <c r="AQ75" s="552">
        <v>50000</v>
      </c>
      <c r="AR75" s="552">
        <v>50000</v>
      </c>
      <c r="AS75" s="552">
        <v>50000</v>
      </c>
      <c r="AT75" s="552">
        <v>50000</v>
      </c>
      <c r="AU75" s="552">
        <v>50000</v>
      </c>
      <c r="AV75" s="552">
        <v>50000</v>
      </c>
      <c r="AW75" s="552">
        <v>50000</v>
      </c>
      <c r="AX75" s="552">
        <v>50000</v>
      </c>
      <c r="AY75" s="876">
        <f>SUM(AM75:AX75)</f>
        <v>585000</v>
      </c>
      <c r="AZ75" s="877">
        <f t="shared" ref="AZ75:BK96" si="201">AM75*$H75</f>
        <v>190500</v>
      </c>
      <c r="BA75" s="248">
        <f t="shared" si="201"/>
        <v>133350</v>
      </c>
      <c r="BB75" s="248">
        <f t="shared" si="201"/>
        <v>190500</v>
      </c>
      <c r="BC75" s="248">
        <f t="shared" si="201"/>
        <v>190500</v>
      </c>
      <c r="BD75" s="248">
        <f t="shared" si="201"/>
        <v>190500</v>
      </c>
      <c r="BE75" s="248">
        <f t="shared" si="201"/>
        <v>190500</v>
      </c>
      <c r="BF75" s="248">
        <f t="shared" si="201"/>
        <v>190500</v>
      </c>
      <c r="BG75" s="248">
        <f t="shared" si="201"/>
        <v>190500</v>
      </c>
      <c r="BH75" s="248">
        <f t="shared" si="201"/>
        <v>190500</v>
      </c>
      <c r="BI75" s="248">
        <f t="shared" si="201"/>
        <v>190500</v>
      </c>
      <c r="BJ75" s="248">
        <f t="shared" si="201"/>
        <v>190500</v>
      </c>
      <c r="BK75" s="248">
        <f t="shared" si="201"/>
        <v>190500</v>
      </c>
      <c r="BL75" s="878">
        <f t="shared" ref="BL75:BL96" si="202">SUM(AZ75:BK75)</f>
        <v>2228850</v>
      </c>
      <c r="BM75" s="1028">
        <f>160597/12</f>
        <v>13383.083333333334</v>
      </c>
      <c r="BN75" s="552">
        <f t="shared" ref="BN75:BX75" si="203">160597/12</f>
        <v>13383.083333333334</v>
      </c>
      <c r="BO75" s="552">
        <f t="shared" si="203"/>
        <v>13383.083333333334</v>
      </c>
      <c r="BP75" s="552">
        <f t="shared" si="203"/>
        <v>13383.083333333334</v>
      </c>
      <c r="BQ75" s="552">
        <f t="shared" si="203"/>
        <v>13383.083333333334</v>
      </c>
      <c r="BR75" s="552">
        <f t="shared" si="203"/>
        <v>13383.083333333334</v>
      </c>
      <c r="BS75" s="552">
        <f t="shared" si="203"/>
        <v>13383.083333333334</v>
      </c>
      <c r="BT75" s="552">
        <f t="shared" si="203"/>
        <v>13383.083333333334</v>
      </c>
      <c r="BU75" s="552">
        <f t="shared" si="203"/>
        <v>13383.083333333334</v>
      </c>
      <c r="BV75" s="552">
        <f t="shared" si="203"/>
        <v>13383.083333333334</v>
      </c>
      <c r="BW75" s="552">
        <f t="shared" si="203"/>
        <v>13383.083333333334</v>
      </c>
      <c r="BX75" s="552">
        <f t="shared" si="203"/>
        <v>13383.083333333334</v>
      </c>
      <c r="BY75" s="876">
        <f>SUM(BM75:BX75)</f>
        <v>160597</v>
      </c>
      <c r="BZ75" s="882">
        <f t="shared" ref="BZ75:CK96" si="204">BM75*$I75</f>
        <v>50989.547500000001</v>
      </c>
      <c r="CA75" s="248">
        <f t="shared" si="204"/>
        <v>50989.547500000001</v>
      </c>
      <c r="CB75" s="248">
        <f t="shared" si="204"/>
        <v>50989.547500000001</v>
      </c>
      <c r="CC75" s="248">
        <f t="shared" si="204"/>
        <v>50989.547500000001</v>
      </c>
      <c r="CD75" s="248">
        <f t="shared" si="204"/>
        <v>50989.547500000001</v>
      </c>
      <c r="CE75" s="248">
        <f t="shared" si="204"/>
        <v>50989.547500000001</v>
      </c>
      <c r="CF75" s="248">
        <f t="shared" si="204"/>
        <v>50989.547500000001</v>
      </c>
      <c r="CG75" s="248">
        <f t="shared" si="204"/>
        <v>50989.547500000001</v>
      </c>
      <c r="CH75" s="248">
        <f t="shared" si="204"/>
        <v>50989.547500000001</v>
      </c>
      <c r="CI75" s="248">
        <f t="shared" si="204"/>
        <v>50989.547500000001</v>
      </c>
      <c r="CJ75" s="248">
        <f t="shared" si="204"/>
        <v>50989.547500000001</v>
      </c>
      <c r="CK75" s="248">
        <f t="shared" si="204"/>
        <v>50989.547500000001</v>
      </c>
      <c r="CL75" s="883">
        <f t="shared" ref="CL75:CL96" si="205">SUM(BZ75:CK75)</f>
        <v>611874.56999999995</v>
      </c>
      <c r="CM75" s="1028"/>
      <c r="CN75" s="552"/>
      <c r="CO75" s="552"/>
      <c r="CP75" s="552"/>
      <c r="CQ75" s="552"/>
      <c r="CR75" s="552"/>
      <c r="CS75" s="552"/>
      <c r="CT75" s="552"/>
      <c r="CU75" s="552"/>
      <c r="CV75" s="552"/>
      <c r="CW75" s="552"/>
      <c r="CX75" s="552"/>
      <c r="CY75" s="876">
        <f>SUM(CM75:CX75)</f>
        <v>0</v>
      </c>
      <c r="CZ75" s="877">
        <f t="shared" ref="CZ75:CZ96" si="206">CM75*$J75</f>
        <v>0</v>
      </c>
      <c r="DA75" s="248">
        <f t="shared" ref="DA75:DK96" si="207">CN75*$J75</f>
        <v>0</v>
      </c>
      <c r="DB75" s="248">
        <f t="shared" si="207"/>
        <v>0</v>
      </c>
      <c r="DC75" s="248">
        <f t="shared" si="207"/>
        <v>0</v>
      </c>
      <c r="DD75" s="248">
        <f t="shared" si="207"/>
        <v>0</v>
      </c>
      <c r="DE75" s="248">
        <f t="shared" si="207"/>
        <v>0</v>
      </c>
      <c r="DF75" s="248">
        <f t="shared" si="207"/>
        <v>0</v>
      </c>
      <c r="DG75" s="248">
        <f t="shared" si="207"/>
        <v>0</v>
      </c>
      <c r="DH75" s="248">
        <f t="shared" si="207"/>
        <v>0</v>
      </c>
      <c r="DI75" s="248">
        <f t="shared" si="207"/>
        <v>0</v>
      </c>
      <c r="DJ75" s="248">
        <f t="shared" si="207"/>
        <v>0</v>
      </c>
      <c r="DK75" s="248">
        <f t="shared" si="207"/>
        <v>0</v>
      </c>
      <c r="DL75" s="878">
        <f t="shared" ref="DL75:DL96" si="208">SUM(CZ75:DK75)</f>
        <v>0</v>
      </c>
      <c r="DM75" s="554"/>
      <c r="DN75" s="552"/>
      <c r="DO75" s="552"/>
      <c r="DP75" s="552"/>
      <c r="DQ75" s="552"/>
      <c r="DR75" s="552"/>
      <c r="DS75" s="552"/>
      <c r="DT75" s="552"/>
      <c r="DU75" s="552"/>
      <c r="DV75" s="552"/>
      <c r="DW75" s="552"/>
      <c r="DX75" s="552"/>
      <c r="DY75" s="876">
        <f>SUM(DM75:DX75)</f>
        <v>0</v>
      </c>
      <c r="DZ75" s="248">
        <f t="shared" ref="DZ75:EK96" si="209">DM75*$K75</f>
        <v>0</v>
      </c>
      <c r="EA75" s="248">
        <f t="shared" si="209"/>
        <v>0</v>
      </c>
      <c r="EB75" s="248">
        <f t="shared" si="209"/>
        <v>0</v>
      </c>
      <c r="EC75" s="248">
        <f t="shared" si="209"/>
        <v>0</v>
      </c>
      <c r="ED75" s="248">
        <f t="shared" si="209"/>
        <v>0</v>
      </c>
      <c r="EE75" s="248">
        <f t="shared" si="209"/>
        <v>0</v>
      </c>
      <c r="EF75" s="248">
        <f t="shared" si="209"/>
        <v>0</v>
      </c>
      <c r="EG75" s="248">
        <f t="shared" si="209"/>
        <v>0</v>
      </c>
      <c r="EH75" s="248">
        <f t="shared" si="209"/>
        <v>0</v>
      </c>
      <c r="EI75" s="248">
        <f t="shared" si="209"/>
        <v>0</v>
      </c>
      <c r="EJ75" s="248">
        <f t="shared" si="209"/>
        <v>0</v>
      </c>
      <c r="EK75" s="248">
        <f t="shared" si="209"/>
        <v>0</v>
      </c>
      <c r="EL75" s="878">
        <f t="shared" ref="EL75:EL96" si="210">SUM(DZ75:EK75)</f>
        <v>0</v>
      </c>
    </row>
    <row r="76" spans="1:142">
      <c r="A76" s="964" t="s">
        <v>76</v>
      </c>
      <c r="B76" s="904" t="s">
        <v>697</v>
      </c>
      <c r="C76" s="908" t="s">
        <v>259</v>
      </c>
      <c r="D76" s="559">
        <v>1.05</v>
      </c>
      <c r="E76" s="560">
        <v>1.44</v>
      </c>
      <c r="F76" s="560">
        <v>1.44</v>
      </c>
      <c r="G76" s="561">
        <v>1.44</v>
      </c>
      <c r="H76" s="559">
        <f t="shared" si="196"/>
        <v>1.44</v>
      </c>
      <c r="I76" s="560">
        <f t="shared" si="196"/>
        <v>1.44</v>
      </c>
      <c r="J76" s="560">
        <f t="shared" si="196"/>
        <v>1.44</v>
      </c>
      <c r="K76" s="1029">
        <f t="shared" si="196"/>
        <v>1.44</v>
      </c>
      <c r="L76" s="875"/>
      <c r="M76" s="554">
        <v>50400</v>
      </c>
      <c r="N76" s="552">
        <v>38560</v>
      </c>
      <c r="O76" s="552">
        <v>52720</v>
      </c>
      <c r="P76" s="552">
        <v>47520</v>
      </c>
      <c r="Q76" s="552"/>
      <c r="R76" s="552">
        <v>50320</v>
      </c>
      <c r="S76" s="552">
        <v>50600</v>
      </c>
      <c r="T76" s="552">
        <v>50000</v>
      </c>
      <c r="U76" s="552">
        <v>50500</v>
      </c>
      <c r="V76" s="552">
        <v>40000</v>
      </c>
      <c r="W76" s="552">
        <v>40000</v>
      </c>
      <c r="X76" s="552">
        <v>40000</v>
      </c>
      <c r="Y76" s="876">
        <f t="shared" si="197"/>
        <v>510620</v>
      </c>
      <c r="Z76" s="877">
        <v>72576</v>
      </c>
      <c r="AA76" s="248">
        <v>45038</v>
      </c>
      <c r="AB76" s="248">
        <f t="shared" ref="AB76:AB81" si="211">O76*D76</f>
        <v>55356</v>
      </c>
      <c r="AC76" s="248">
        <v>49896</v>
      </c>
      <c r="AD76" s="248">
        <f t="shared" ref="AD76:AG91" si="212">Q76*$D76</f>
        <v>0</v>
      </c>
      <c r="AE76" s="248">
        <f t="shared" si="212"/>
        <v>52836</v>
      </c>
      <c r="AF76" s="248">
        <f t="shared" si="212"/>
        <v>53130</v>
      </c>
      <c r="AG76" s="248">
        <f t="shared" si="212"/>
        <v>52500</v>
      </c>
      <c r="AH76" s="248">
        <f t="shared" si="198"/>
        <v>72720</v>
      </c>
      <c r="AI76" s="248">
        <f t="shared" si="199"/>
        <v>57600</v>
      </c>
      <c r="AJ76" s="248">
        <f t="shared" si="199"/>
        <v>57600</v>
      </c>
      <c r="AK76" s="248">
        <f t="shared" si="199"/>
        <v>57600</v>
      </c>
      <c r="AL76" s="878">
        <f t="shared" si="200"/>
        <v>626852</v>
      </c>
      <c r="AM76" s="1028">
        <v>50000</v>
      </c>
      <c r="AN76" s="552">
        <f>AM76*0.7</f>
        <v>35000</v>
      </c>
      <c r="AO76" s="552">
        <v>50000</v>
      </c>
      <c r="AP76" s="552">
        <v>50000</v>
      </c>
      <c r="AQ76" s="552">
        <v>50000</v>
      </c>
      <c r="AR76" s="552">
        <v>50000</v>
      </c>
      <c r="AS76" s="552">
        <v>50000</v>
      </c>
      <c r="AT76" s="552">
        <v>50000</v>
      </c>
      <c r="AU76" s="552">
        <v>50000</v>
      </c>
      <c r="AV76" s="552">
        <v>50000</v>
      </c>
      <c r="AW76" s="552">
        <v>50000</v>
      </c>
      <c r="AX76" s="552">
        <v>50000</v>
      </c>
      <c r="AY76" s="876">
        <f t="shared" ref="AY76:AY123" si="213">SUM(AM76:AX76)</f>
        <v>585000</v>
      </c>
      <c r="AZ76" s="877">
        <f t="shared" si="201"/>
        <v>72000</v>
      </c>
      <c r="BA76" s="248">
        <f t="shared" si="201"/>
        <v>50400</v>
      </c>
      <c r="BB76" s="248">
        <f t="shared" si="201"/>
        <v>72000</v>
      </c>
      <c r="BC76" s="248">
        <f t="shared" si="201"/>
        <v>72000</v>
      </c>
      <c r="BD76" s="248">
        <f t="shared" si="201"/>
        <v>72000</v>
      </c>
      <c r="BE76" s="248">
        <f t="shared" si="201"/>
        <v>72000</v>
      </c>
      <c r="BF76" s="248">
        <f t="shared" si="201"/>
        <v>72000</v>
      </c>
      <c r="BG76" s="248">
        <f t="shared" si="201"/>
        <v>72000</v>
      </c>
      <c r="BH76" s="248">
        <f t="shared" si="201"/>
        <v>72000</v>
      </c>
      <c r="BI76" s="248">
        <f t="shared" si="201"/>
        <v>72000</v>
      </c>
      <c r="BJ76" s="248">
        <f t="shared" si="201"/>
        <v>72000</v>
      </c>
      <c r="BK76" s="248">
        <f t="shared" si="201"/>
        <v>72000</v>
      </c>
      <c r="BL76" s="878">
        <f t="shared" si="202"/>
        <v>842400</v>
      </c>
      <c r="BM76" s="1028">
        <f>267661/12</f>
        <v>22305.083333333332</v>
      </c>
      <c r="BN76" s="552">
        <f t="shared" ref="BN76:BX76" si="214">267661/12</f>
        <v>22305.083333333332</v>
      </c>
      <c r="BO76" s="552">
        <f t="shared" si="214"/>
        <v>22305.083333333332</v>
      </c>
      <c r="BP76" s="552">
        <f t="shared" si="214"/>
        <v>22305.083333333332</v>
      </c>
      <c r="BQ76" s="552">
        <f t="shared" si="214"/>
        <v>22305.083333333332</v>
      </c>
      <c r="BR76" s="552">
        <f t="shared" si="214"/>
        <v>22305.083333333332</v>
      </c>
      <c r="BS76" s="552">
        <f t="shared" si="214"/>
        <v>22305.083333333332</v>
      </c>
      <c r="BT76" s="552">
        <f t="shared" si="214"/>
        <v>22305.083333333332</v>
      </c>
      <c r="BU76" s="552">
        <f t="shared" si="214"/>
        <v>22305.083333333332</v>
      </c>
      <c r="BV76" s="552">
        <f t="shared" si="214"/>
        <v>22305.083333333332</v>
      </c>
      <c r="BW76" s="552">
        <f t="shared" si="214"/>
        <v>22305.083333333332</v>
      </c>
      <c r="BX76" s="552">
        <f t="shared" si="214"/>
        <v>22305.083333333332</v>
      </c>
      <c r="BY76" s="876">
        <f t="shared" ref="BY76:BY123" si="215">SUM(BM76:BX76)</f>
        <v>267661.00000000006</v>
      </c>
      <c r="BZ76" s="882">
        <f t="shared" si="204"/>
        <v>32119.319999999996</v>
      </c>
      <c r="CA76" s="248">
        <f t="shared" si="204"/>
        <v>32119.319999999996</v>
      </c>
      <c r="CB76" s="248">
        <f t="shared" si="204"/>
        <v>32119.319999999996</v>
      </c>
      <c r="CC76" s="248">
        <f t="shared" si="204"/>
        <v>32119.319999999996</v>
      </c>
      <c r="CD76" s="248">
        <f t="shared" si="204"/>
        <v>32119.319999999996</v>
      </c>
      <c r="CE76" s="248">
        <f t="shared" si="204"/>
        <v>32119.319999999996</v>
      </c>
      <c r="CF76" s="248">
        <f t="shared" si="204"/>
        <v>32119.319999999996</v>
      </c>
      <c r="CG76" s="248">
        <f t="shared" si="204"/>
        <v>32119.319999999996</v>
      </c>
      <c r="CH76" s="248">
        <f t="shared" si="204"/>
        <v>32119.319999999996</v>
      </c>
      <c r="CI76" s="248">
        <f t="shared" si="204"/>
        <v>32119.319999999996</v>
      </c>
      <c r="CJ76" s="248">
        <f t="shared" si="204"/>
        <v>32119.319999999996</v>
      </c>
      <c r="CK76" s="248">
        <f t="shared" si="204"/>
        <v>32119.319999999996</v>
      </c>
      <c r="CL76" s="883">
        <f t="shared" si="205"/>
        <v>385431.84</v>
      </c>
      <c r="CM76" s="1028"/>
      <c r="CN76" s="552"/>
      <c r="CO76" s="552"/>
      <c r="CP76" s="552"/>
      <c r="CQ76" s="552"/>
      <c r="CR76" s="552"/>
      <c r="CS76" s="552"/>
      <c r="CT76" s="552"/>
      <c r="CU76" s="552"/>
      <c r="CV76" s="552"/>
      <c r="CW76" s="552"/>
      <c r="CX76" s="552"/>
      <c r="CY76" s="876">
        <f t="shared" ref="CY76:CY123" si="216">SUM(CM76:CX76)</f>
        <v>0</v>
      </c>
      <c r="CZ76" s="877">
        <f t="shared" si="206"/>
        <v>0</v>
      </c>
      <c r="DA76" s="248">
        <f t="shared" si="207"/>
        <v>0</v>
      </c>
      <c r="DB76" s="248">
        <f t="shared" si="207"/>
        <v>0</v>
      </c>
      <c r="DC76" s="248">
        <f t="shared" si="207"/>
        <v>0</v>
      </c>
      <c r="DD76" s="248">
        <f t="shared" si="207"/>
        <v>0</v>
      </c>
      <c r="DE76" s="248">
        <f t="shared" si="207"/>
        <v>0</v>
      </c>
      <c r="DF76" s="248">
        <f t="shared" si="207"/>
        <v>0</v>
      </c>
      <c r="DG76" s="248">
        <f t="shared" si="207"/>
        <v>0</v>
      </c>
      <c r="DH76" s="248">
        <f t="shared" si="207"/>
        <v>0</v>
      </c>
      <c r="DI76" s="248">
        <f t="shared" si="207"/>
        <v>0</v>
      </c>
      <c r="DJ76" s="248">
        <f t="shared" si="207"/>
        <v>0</v>
      </c>
      <c r="DK76" s="248">
        <f t="shared" si="207"/>
        <v>0</v>
      </c>
      <c r="DL76" s="878">
        <f t="shared" si="208"/>
        <v>0</v>
      </c>
      <c r="DM76" s="554"/>
      <c r="DN76" s="552"/>
      <c r="DO76" s="552"/>
      <c r="DP76" s="552"/>
      <c r="DQ76" s="552"/>
      <c r="DR76" s="552"/>
      <c r="DS76" s="552"/>
      <c r="DT76" s="552"/>
      <c r="DU76" s="552"/>
      <c r="DV76" s="552"/>
      <c r="DW76" s="552"/>
      <c r="DX76" s="552"/>
      <c r="DY76" s="876">
        <f t="shared" ref="DY76:DY123" si="217">SUM(DM76:DX76)</f>
        <v>0</v>
      </c>
      <c r="DZ76" s="248">
        <f t="shared" si="209"/>
        <v>0</v>
      </c>
      <c r="EA76" s="248">
        <f t="shared" si="209"/>
        <v>0</v>
      </c>
      <c r="EB76" s="248">
        <f t="shared" si="209"/>
        <v>0</v>
      </c>
      <c r="EC76" s="248">
        <f t="shared" si="209"/>
        <v>0</v>
      </c>
      <c r="ED76" s="248">
        <f t="shared" si="209"/>
        <v>0</v>
      </c>
      <c r="EE76" s="248">
        <f t="shared" si="209"/>
        <v>0</v>
      </c>
      <c r="EF76" s="248">
        <f t="shared" si="209"/>
        <v>0</v>
      </c>
      <c r="EG76" s="248">
        <f t="shared" si="209"/>
        <v>0</v>
      </c>
      <c r="EH76" s="248">
        <f t="shared" si="209"/>
        <v>0</v>
      </c>
      <c r="EI76" s="248">
        <f t="shared" si="209"/>
        <v>0</v>
      </c>
      <c r="EJ76" s="248">
        <f t="shared" si="209"/>
        <v>0</v>
      </c>
      <c r="EK76" s="248">
        <f t="shared" si="209"/>
        <v>0</v>
      </c>
      <c r="EL76" s="878">
        <f t="shared" si="210"/>
        <v>0</v>
      </c>
    </row>
    <row r="77" spans="1:142">
      <c r="A77" s="964" t="s">
        <v>76</v>
      </c>
      <c r="B77" s="904" t="s">
        <v>698</v>
      </c>
      <c r="C77" s="908" t="s">
        <v>262</v>
      </c>
      <c r="D77" s="559">
        <v>1.7</v>
      </c>
      <c r="E77" s="560">
        <v>1.74</v>
      </c>
      <c r="F77" s="560">
        <v>1.74</v>
      </c>
      <c r="G77" s="561">
        <v>1.74</v>
      </c>
      <c r="H77" s="559">
        <f t="shared" si="196"/>
        <v>1.74</v>
      </c>
      <c r="I77" s="560">
        <f t="shared" si="196"/>
        <v>1.74</v>
      </c>
      <c r="J77" s="560">
        <f t="shared" si="196"/>
        <v>1.74</v>
      </c>
      <c r="K77" s="1029">
        <f t="shared" si="196"/>
        <v>1.74</v>
      </c>
      <c r="L77" s="875"/>
      <c r="M77" s="554">
        <v>79600</v>
      </c>
      <c r="N77" s="552">
        <v>69600</v>
      </c>
      <c r="O77" s="552">
        <v>81800</v>
      </c>
      <c r="P77" s="552">
        <v>80400</v>
      </c>
      <c r="Q77" s="552">
        <v>40800</v>
      </c>
      <c r="R77" s="552">
        <v>81600</v>
      </c>
      <c r="S77" s="552">
        <v>70800</v>
      </c>
      <c r="T77" s="552">
        <v>70000</v>
      </c>
      <c r="U77" s="552">
        <v>80000</v>
      </c>
      <c r="V77" s="552">
        <v>80000</v>
      </c>
      <c r="W77" s="552">
        <v>80000</v>
      </c>
      <c r="X77" s="552">
        <v>80000</v>
      </c>
      <c r="Y77" s="876">
        <f t="shared" si="197"/>
        <v>894600</v>
      </c>
      <c r="Z77" s="877">
        <v>138504</v>
      </c>
      <c r="AA77" s="248">
        <v>118320</v>
      </c>
      <c r="AB77" s="248">
        <f t="shared" si="211"/>
        <v>139060</v>
      </c>
      <c r="AC77" s="248">
        <v>136680</v>
      </c>
      <c r="AD77" s="248">
        <f t="shared" si="212"/>
        <v>69360</v>
      </c>
      <c r="AE77" s="248">
        <f t="shared" si="212"/>
        <v>138720</v>
      </c>
      <c r="AF77" s="248">
        <f t="shared" si="212"/>
        <v>120360</v>
      </c>
      <c r="AG77" s="248">
        <f t="shared" si="212"/>
        <v>119000</v>
      </c>
      <c r="AH77" s="248">
        <f t="shared" si="198"/>
        <v>139200</v>
      </c>
      <c r="AI77" s="248">
        <f t="shared" si="199"/>
        <v>139200</v>
      </c>
      <c r="AJ77" s="248">
        <f t="shared" si="199"/>
        <v>139200</v>
      </c>
      <c r="AK77" s="248">
        <f t="shared" si="199"/>
        <v>139200</v>
      </c>
      <c r="AL77" s="878">
        <f t="shared" si="200"/>
        <v>1536804</v>
      </c>
      <c r="AM77" s="1028">
        <f>560000/12</f>
        <v>46666.666666666664</v>
      </c>
      <c r="AN77" s="552">
        <f t="shared" ref="AN77:AX77" si="218">560000/12</f>
        <v>46666.666666666664</v>
      </c>
      <c r="AO77" s="552">
        <f t="shared" si="218"/>
        <v>46666.666666666664</v>
      </c>
      <c r="AP77" s="552">
        <f t="shared" si="218"/>
        <v>46666.666666666664</v>
      </c>
      <c r="AQ77" s="552">
        <f t="shared" si="218"/>
        <v>46666.666666666664</v>
      </c>
      <c r="AR77" s="552">
        <f t="shared" si="218"/>
        <v>46666.666666666664</v>
      </c>
      <c r="AS77" s="552">
        <f t="shared" si="218"/>
        <v>46666.666666666664</v>
      </c>
      <c r="AT77" s="552">
        <f t="shared" si="218"/>
        <v>46666.666666666664</v>
      </c>
      <c r="AU77" s="552">
        <f t="shared" si="218"/>
        <v>46666.666666666664</v>
      </c>
      <c r="AV77" s="552">
        <f t="shared" si="218"/>
        <v>46666.666666666664</v>
      </c>
      <c r="AW77" s="552">
        <f t="shared" si="218"/>
        <v>46666.666666666664</v>
      </c>
      <c r="AX77" s="552">
        <f t="shared" si="218"/>
        <v>46666.666666666664</v>
      </c>
      <c r="AY77" s="876">
        <f t="shared" si="213"/>
        <v>560000.00000000012</v>
      </c>
      <c r="AZ77" s="877">
        <f t="shared" si="201"/>
        <v>81200</v>
      </c>
      <c r="BA77" s="248">
        <f t="shared" si="201"/>
        <v>81200</v>
      </c>
      <c r="BB77" s="248">
        <f t="shared" si="201"/>
        <v>81200</v>
      </c>
      <c r="BC77" s="248">
        <f t="shared" si="201"/>
        <v>81200</v>
      </c>
      <c r="BD77" s="248">
        <f t="shared" si="201"/>
        <v>81200</v>
      </c>
      <c r="BE77" s="248">
        <f t="shared" si="201"/>
        <v>81200</v>
      </c>
      <c r="BF77" s="248">
        <f t="shared" si="201"/>
        <v>81200</v>
      </c>
      <c r="BG77" s="248">
        <f t="shared" si="201"/>
        <v>81200</v>
      </c>
      <c r="BH77" s="248">
        <f t="shared" si="201"/>
        <v>81200</v>
      </c>
      <c r="BI77" s="248">
        <f t="shared" si="201"/>
        <v>81200</v>
      </c>
      <c r="BJ77" s="248">
        <f t="shared" si="201"/>
        <v>81200</v>
      </c>
      <c r="BK77" s="248">
        <f t="shared" si="201"/>
        <v>81200</v>
      </c>
      <c r="BL77" s="878">
        <f t="shared" si="202"/>
        <v>974400</v>
      </c>
      <c r="BM77" s="1028">
        <f t="shared" ref="BM77:BX77" si="219">560000/12</f>
        <v>46666.666666666664</v>
      </c>
      <c r="BN77" s="552">
        <f t="shared" si="219"/>
        <v>46666.666666666664</v>
      </c>
      <c r="BO77" s="552">
        <f t="shared" si="219"/>
        <v>46666.666666666664</v>
      </c>
      <c r="BP77" s="552">
        <f t="shared" si="219"/>
        <v>46666.666666666664</v>
      </c>
      <c r="BQ77" s="552">
        <f t="shared" si="219"/>
        <v>46666.666666666664</v>
      </c>
      <c r="BR77" s="552">
        <f t="shared" si="219"/>
        <v>46666.666666666664</v>
      </c>
      <c r="BS77" s="552">
        <f t="shared" si="219"/>
        <v>46666.666666666664</v>
      </c>
      <c r="BT77" s="552">
        <f t="shared" si="219"/>
        <v>46666.666666666664</v>
      </c>
      <c r="BU77" s="552">
        <f t="shared" si="219"/>
        <v>46666.666666666664</v>
      </c>
      <c r="BV77" s="552">
        <f t="shared" si="219"/>
        <v>46666.666666666664</v>
      </c>
      <c r="BW77" s="552">
        <f t="shared" si="219"/>
        <v>46666.666666666664</v>
      </c>
      <c r="BX77" s="552">
        <f t="shared" si="219"/>
        <v>46666.666666666664</v>
      </c>
      <c r="BY77" s="876">
        <f t="shared" si="215"/>
        <v>560000.00000000012</v>
      </c>
      <c r="BZ77" s="882">
        <f t="shared" si="204"/>
        <v>81200</v>
      </c>
      <c r="CA77" s="248">
        <f t="shared" si="204"/>
        <v>81200</v>
      </c>
      <c r="CB77" s="248">
        <f t="shared" si="204"/>
        <v>81200</v>
      </c>
      <c r="CC77" s="248">
        <f t="shared" si="204"/>
        <v>81200</v>
      </c>
      <c r="CD77" s="248">
        <f t="shared" si="204"/>
        <v>81200</v>
      </c>
      <c r="CE77" s="248">
        <f t="shared" si="204"/>
        <v>81200</v>
      </c>
      <c r="CF77" s="248">
        <f t="shared" si="204"/>
        <v>81200</v>
      </c>
      <c r="CG77" s="248">
        <f t="shared" si="204"/>
        <v>81200</v>
      </c>
      <c r="CH77" s="248">
        <f t="shared" si="204"/>
        <v>81200</v>
      </c>
      <c r="CI77" s="248">
        <f t="shared" si="204"/>
        <v>81200</v>
      </c>
      <c r="CJ77" s="248">
        <f t="shared" si="204"/>
        <v>81200</v>
      </c>
      <c r="CK77" s="248">
        <f t="shared" si="204"/>
        <v>81200</v>
      </c>
      <c r="CL77" s="883">
        <f t="shared" si="205"/>
        <v>974400</v>
      </c>
      <c r="CM77" s="1028">
        <f>560000/12</f>
        <v>46666.666666666664</v>
      </c>
      <c r="CN77" s="552">
        <f t="shared" ref="CN77:CX77" si="220">560000/12</f>
        <v>46666.666666666664</v>
      </c>
      <c r="CO77" s="552">
        <f t="shared" si="220"/>
        <v>46666.666666666664</v>
      </c>
      <c r="CP77" s="552">
        <f t="shared" si="220"/>
        <v>46666.666666666664</v>
      </c>
      <c r="CQ77" s="552">
        <f t="shared" si="220"/>
        <v>46666.666666666664</v>
      </c>
      <c r="CR77" s="552">
        <f t="shared" si="220"/>
        <v>46666.666666666664</v>
      </c>
      <c r="CS77" s="552">
        <f t="shared" si="220"/>
        <v>46666.666666666664</v>
      </c>
      <c r="CT77" s="552">
        <f t="shared" si="220"/>
        <v>46666.666666666664</v>
      </c>
      <c r="CU77" s="552">
        <f t="shared" si="220"/>
        <v>46666.666666666664</v>
      </c>
      <c r="CV77" s="552">
        <f t="shared" si="220"/>
        <v>46666.666666666664</v>
      </c>
      <c r="CW77" s="552">
        <f t="shared" si="220"/>
        <v>46666.666666666664</v>
      </c>
      <c r="CX77" s="552">
        <f t="shared" si="220"/>
        <v>46666.666666666664</v>
      </c>
      <c r="CY77" s="876">
        <f t="shared" si="216"/>
        <v>560000.00000000012</v>
      </c>
      <c r="CZ77" s="877">
        <f t="shared" si="206"/>
        <v>81200</v>
      </c>
      <c r="DA77" s="248">
        <f t="shared" si="207"/>
        <v>81200</v>
      </c>
      <c r="DB77" s="248">
        <f t="shared" si="207"/>
        <v>81200</v>
      </c>
      <c r="DC77" s="248">
        <f t="shared" si="207"/>
        <v>81200</v>
      </c>
      <c r="DD77" s="248">
        <f t="shared" si="207"/>
        <v>81200</v>
      </c>
      <c r="DE77" s="248">
        <f t="shared" si="207"/>
        <v>81200</v>
      </c>
      <c r="DF77" s="248">
        <f t="shared" si="207"/>
        <v>81200</v>
      </c>
      <c r="DG77" s="248">
        <f t="shared" si="207"/>
        <v>81200</v>
      </c>
      <c r="DH77" s="248">
        <f t="shared" si="207"/>
        <v>81200</v>
      </c>
      <c r="DI77" s="248">
        <f t="shared" si="207"/>
        <v>81200</v>
      </c>
      <c r="DJ77" s="248">
        <f t="shared" si="207"/>
        <v>81200</v>
      </c>
      <c r="DK77" s="248">
        <f t="shared" si="207"/>
        <v>81200</v>
      </c>
      <c r="DL77" s="878">
        <f t="shared" si="208"/>
        <v>974400</v>
      </c>
      <c r="DM77" s="554">
        <f t="shared" ref="DM77:DX77" si="221">560000/12</f>
        <v>46666.666666666664</v>
      </c>
      <c r="DN77" s="552">
        <f t="shared" si="221"/>
        <v>46666.666666666664</v>
      </c>
      <c r="DO77" s="552">
        <f t="shared" si="221"/>
        <v>46666.666666666664</v>
      </c>
      <c r="DP77" s="552">
        <f t="shared" si="221"/>
        <v>46666.666666666664</v>
      </c>
      <c r="DQ77" s="552">
        <f t="shared" si="221"/>
        <v>46666.666666666664</v>
      </c>
      <c r="DR77" s="552">
        <f t="shared" si="221"/>
        <v>46666.666666666664</v>
      </c>
      <c r="DS77" s="552">
        <f t="shared" si="221"/>
        <v>46666.666666666664</v>
      </c>
      <c r="DT77" s="552">
        <f t="shared" si="221"/>
        <v>46666.666666666664</v>
      </c>
      <c r="DU77" s="552">
        <f t="shared" si="221"/>
        <v>46666.666666666664</v>
      </c>
      <c r="DV77" s="552">
        <f t="shared" si="221"/>
        <v>46666.666666666664</v>
      </c>
      <c r="DW77" s="552">
        <f t="shared" si="221"/>
        <v>46666.666666666664</v>
      </c>
      <c r="DX77" s="552">
        <f t="shared" si="221"/>
        <v>46666.666666666664</v>
      </c>
      <c r="DY77" s="876">
        <f t="shared" si="217"/>
        <v>560000.00000000012</v>
      </c>
      <c r="DZ77" s="248">
        <f t="shared" si="209"/>
        <v>81200</v>
      </c>
      <c r="EA77" s="248">
        <f t="shared" si="209"/>
        <v>81200</v>
      </c>
      <c r="EB77" s="248">
        <f t="shared" si="209"/>
        <v>81200</v>
      </c>
      <c r="EC77" s="248">
        <f t="shared" si="209"/>
        <v>81200</v>
      </c>
      <c r="ED77" s="248">
        <f t="shared" si="209"/>
        <v>81200</v>
      </c>
      <c r="EE77" s="248">
        <f t="shared" si="209"/>
        <v>81200</v>
      </c>
      <c r="EF77" s="248">
        <f t="shared" si="209"/>
        <v>81200</v>
      </c>
      <c r="EG77" s="248">
        <f t="shared" si="209"/>
        <v>81200</v>
      </c>
      <c r="EH77" s="248">
        <f t="shared" si="209"/>
        <v>81200</v>
      </c>
      <c r="EI77" s="248">
        <f t="shared" si="209"/>
        <v>81200</v>
      </c>
      <c r="EJ77" s="248">
        <f t="shared" si="209"/>
        <v>81200</v>
      </c>
      <c r="EK77" s="248">
        <f t="shared" si="209"/>
        <v>81200</v>
      </c>
      <c r="EL77" s="878">
        <f t="shared" si="210"/>
        <v>974400</v>
      </c>
    </row>
    <row r="78" spans="1:142">
      <c r="A78" s="964" t="s">
        <v>76</v>
      </c>
      <c r="B78" s="904" t="s">
        <v>699</v>
      </c>
      <c r="C78" s="908" t="s">
        <v>338</v>
      </c>
      <c r="D78" s="559">
        <v>4.2699999999999996</v>
      </c>
      <c r="E78" s="560">
        <v>4.2699999999999996</v>
      </c>
      <c r="F78" s="560">
        <v>4.2699999999999996</v>
      </c>
      <c r="G78" s="561">
        <v>4.2699999999999996</v>
      </c>
      <c r="H78" s="559">
        <f t="shared" si="196"/>
        <v>4.2699999999999996</v>
      </c>
      <c r="I78" s="560">
        <f t="shared" si="196"/>
        <v>4.2699999999999996</v>
      </c>
      <c r="J78" s="560">
        <f t="shared" si="196"/>
        <v>4.2699999999999996</v>
      </c>
      <c r="K78" s="1029">
        <f t="shared" si="196"/>
        <v>4.2699999999999996</v>
      </c>
      <c r="L78" s="875"/>
      <c r="M78" s="554">
        <v>0</v>
      </c>
      <c r="N78" s="552">
        <v>0</v>
      </c>
      <c r="O78" s="552">
        <v>0</v>
      </c>
      <c r="P78" s="552">
        <v>0</v>
      </c>
      <c r="Q78" s="552">
        <v>0</v>
      </c>
      <c r="R78" s="552">
        <v>0</v>
      </c>
      <c r="S78" s="552">
        <v>0</v>
      </c>
      <c r="T78" s="552">
        <v>0</v>
      </c>
      <c r="U78" s="552">
        <v>0</v>
      </c>
      <c r="V78" s="552">
        <v>0</v>
      </c>
      <c r="W78" s="552">
        <v>0</v>
      </c>
      <c r="X78" s="552">
        <v>0</v>
      </c>
      <c r="Y78" s="876">
        <f t="shared" si="197"/>
        <v>0</v>
      </c>
      <c r="Z78" s="877">
        <v>0</v>
      </c>
      <c r="AA78" s="248">
        <v>0</v>
      </c>
      <c r="AB78" s="248">
        <f t="shared" si="211"/>
        <v>0</v>
      </c>
      <c r="AC78" s="248">
        <v>0</v>
      </c>
      <c r="AD78" s="248">
        <f t="shared" si="212"/>
        <v>0</v>
      </c>
      <c r="AE78" s="248">
        <f t="shared" si="212"/>
        <v>0</v>
      </c>
      <c r="AF78" s="248">
        <f t="shared" si="212"/>
        <v>0</v>
      </c>
      <c r="AG78" s="248">
        <f t="shared" si="212"/>
        <v>0</v>
      </c>
      <c r="AH78" s="248">
        <f t="shared" si="198"/>
        <v>0</v>
      </c>
      <c r="AI78" s="248">
        <f t="shared" si="199"/>
        <v>0</v>
      </c>
      <c r="AJ78" s="248">
        <f t="shared" si="199"/>
        <v>0</v>
      </c>
      <c r="AK78" s="248">
        <f t="shared" si="199"/>
        <v>0</v>
      </c>
      <c r="AL78" s="878">
        <f t="shared" si="200"/>
        <v>0</v>
      </c>
      <c r="AM78" s="1028"/>
      <c r="AN78" s="552"/>
      <c r="AO78" s="552"/>
      <c r="AP78" s="552"/>
      <c r="AQ78" s="552"/>
      <c r="AR78" s="552"/>
      <c r="AS78" s="552"/>
      <c r="AT78" s="552"/>
      <c r="AU78" s="552"/>
      <c r="AV78" s="552"/>
      <c r="AW78" s="552"/>
      <c r="AX78" s="552"/>
      <c r="AY78" s="876">
        <f t="shared" si="213"/>
        <v>0</v>
      </c>
      <c r="AZ78" s="877">
        <f t="shared" si="201"/>
        <v>0</v>
      </c>
      <c r="BA78" s="248">
        <f t="shared" si="201"/>
        <v>0</v>
      </c>
      <c r="BB78" s="248">
        <f t="shared" si="201"/>
        <v>0</v>
      </c>
      <c r="BC78" s="248">
        <f t="shared" si="201"/>
        <v>0</v>
      </c>
      <c r="BD78" s="248">
        <f t="shared" si="201"/>
        <v>0</v>
      </c>
      <c r="BE78" s="248">
        <f t="shared" si="201"/>
        <v>0</v>
      </c>
      <c r="BF78" s="248">
        <f t="shared" si="201"/>
        <v>0</v>
      </c>
      <c r="BG78" s="248">
        <f t="shared" si="201"/>
        <v>0</v>
      </c>
      <c r="BH78" s="248">
        <f t="shared" si="201"/>
        <v>0</v>
      </c>
      <c r="BI78" s="248">
        <f t="shared" si="201"/>
        <v>0</v>
      </c>
      <c r="BJ78" s="248">
        <f t="shared" si="201"/>
        <v>0</v>
      </c>
      <c r="BK78" s="248">
        <f t="shared" si="201"/>
        <v>0</v>
      </c>
      <c r="BL78" s="878">
        <f t="shared" si="202"/>
        <v>0</v>
      </c>
      <c r="BM78" s="1028"/>
      <c r="BN78" s="552"/>
      <c r="BO78" s="552"/>
      <c r="BP78" s="552"/>
      <c r="BQ78" s="552"/>
      <c r="BR78" s="552"/>
      <c r="BS78" s="552"/>
      <c r="BT78" s="552"/>
      <c r="BU78" s="552"/>
      <c r="BV78" s="552"/>
      <c r="BW78" s="552"/>
      <c r="BX78" s="552"/>
      <c r="BY78" s="876">
        <f t="shared" si="215"/>
        <v>0</v>
      </c>
      <c r="BZ78" s="882">
        <f t="shared" si="204"/>
        <v>0</v>
      </c>
      <c r="CA78" s="248">
        <f t="shared" si="204"/>
        <v>0</v>
      </c>
      <c r="CB78" s="248">
        <f t="shared" si="204"/>
        <v>0</v>
      </c>
      <c r="CC78" s="248">
        <f t="shared" si="204"/>
        <v>0</v>
      </c>
      <c r="CD78" s="248">
        <f t="shared" si="204"/>
        <v>0</v>
      </c>
      <c r="CE78" s="248">
        <f t="shared" si="204"/>
        <v>0</v>
      </c>
      <c r="CF78" s="248">
        <f t="shared" si="204"/>
        <v>0</v>
      </c>
      <c r="CG78" s="248">
        <f t="shared" si="204"/>
        <v>0</v>
      </c>
      <c r="CH78" s="248">
        <f t="shared" si="204"/>
        <v>0</v>
      </c>
      <c r="CI78" s="248">
        <f t="shared" si="204"/>
        <v>0</v>
      </c>
      <c r="CJ78" s="248">
        <f t="shared" si="204"/>
        <v>0</v>
      </c>
      <c r="CK78" s="248">
        <f t="shared" si="204"/>
        <v>0</v>
      </c>
      <c r="CL78" s="883">
        <f t="shared" si="205"/>
        <v>0</v>
      </c>
      <c r="CM78" s="1028"/>
      <c r="CN78" s="552"/>
      <c r="CO78" s="552"/>
      <c r="CP78" s="552"/>
      <c r="CQ78" s="552"/>
      <c r="CR78" s="552"/>
      <c r="CS78" s="552"/>
      <c r="CT78" s="552"/>
      <c r="CU78" s="552"/>
      <c r="CV78" s="552"/>
      <c r="CW78" s="552"/>
      <c r="CX78" s="552"/>
      <c r="CY78" s="876">
        <f t="shared" si="216"/>
        <v>0</v>
      </c>
      <c r="CZ78" s="877">
        <f t="shared" si="206"/>
        <v>0</v>
      </c>
      <c r="DA78" s="248">
        <f t="shared" si="207"/>
        <v>0</v>
      </c>
      <c r="DB78" s="248">
        <f t="shared" si="207"/>
        <v>0</v>
      </c>
      <c r="DC78" s="248">
        <f t="shared" si="207"/>
        <v>0</v>
      </c>
      <c r="DD78" s="248">
        <f t="shared" si="207"/>
        <v>0</v>
      </c>
      <c r="DE78" s="248">
        <f t="shared" si="207"/>
        <v>0</v>
      </c>
      <c r="DF78" s="248">
        <f t="shared" si="207"/>
        <v>0</v>
      </c>
      <c r="DG78" s="248">
        <f t="shared" si="207"/>
        <v>0</v>
      </c>
      <c r="DH78" s="248">
        <f t="shared" si="207"/>
        <v>0</v>
      </c>
      <c r="DI78" s="248">
        <f t="shared" si="207"/>
        <v>0</v>
      </c>
      <c r="DJ78" s="248">
        <f t="shared" si="207"/>
        <v>0</v>
      </c>
      <c r="DK78" s="248">
        <f t="shared" si="207"/>
        <v>0</v>
      </c>
      <c r="DL78" s="878">
        <f t="shared" si="208"/>
        <v>0</v>
      </c>
      <c r="DM78" s="554"/>
      <c r="DN78" s="552"/>
      <c r="DO78" s="552"/>
      <c r="DP78" s="552"/>
      <c r="DQ78" s="552"/>
      <c r="DR78" s="552"/>
      <c r="DS78" s="552"/>
      <c r="DT78" s="552"/>
      <c r="DU78" s="552"/>
      <c r="DV78" s="552"/>
      <c r="DW78" s="552"/>
      <c r="DX78" s="552"/>
      <c r="DY78" s="876">
        <f t="shared" si="217"/>
        <v>0</v>
      </c>
      <c r="DZ78" s="248">
        <f t="shared" si="209"/>
        <v>0</v>
      </c>
      <c r="EA78" s="248">
        <f t="shared" si="209"/>
        <v>0</v>
      </c>
      <c r="EB78" s="248">
        <f t="shared" si="209"/>
        <v>0</v>
      </c>
      <c r="EC78" s="248">
        <f t="shared" si="209"/>
        <v>0</v>
      </c>
      <c r="ED78" s="248">
        <f t="shared" si="209"/>
        <v>0</v>
      </c>
      <c r="EE78" s="248">
        <f t="shared" si="209"/>
        <v>0</v>
      </c>
      <c r="EF78" s="248">
        <f t="shared" si="209"/>
        <v>0</v>
      </c>
      <c r="EG78" s="248">
        <f t="shared" si="209"/>
        <v>0</v>
      </c>
      <c r="EH78" s="248">
        <f t="shared" si="209"/>
        <v>0</v>
      </c>
      <c r="EI78" s="248">
        <f t="shared" si="209"/>
        <v>0</v>
      </c>
      <c r="EJ78" s="248">
        <f t="shared" si="209"/>
        <v>0</v>
      </c>
      <c r="EK78" s="248">
        <f t="shared" si="209"/>
        <v>0</v>
      </c>
      <c r="EL78" s="878">
        <f t="shared" si="210"/>
        <v>0</v>
      </c>
    </row>
    <row r="79" spans="1:142">
      <c r="A79" s="964" t="s">
        <v>76</v>
      </c>
      <c r="B79" s="904" t="s">
        <v>700</v>
      </c>
      <c r="C79" s="908" t="s">
        <v>339</v>
      </c>
      <c r="D79" s="559">
        <v>2.56</v>
      </c>
      <c r="E79" s="560">
        <v>2.56</v>
      </c>
      <c r="F79" s="560">
        <v>2.56</v>
      </c>
      <c r="G79" s="561">
        <v>2.56</v>
      </c>
      <c r="H79" s="559">
        <f t="shared" si="196"/>
        <v>2.56</v>
      </c>
      <c r="I79" s="560">
        <f t="shared" si="196"/>
        <v>2.56</v>
      </c>
      <c r="J79" s="560">
        <f t="shared" si="196"/>
        <v>2.56</v>
      </c>
      <c r="K79" s="1029">
        <f t="shared" si="196"/>
        <v>2.56</v>
      </c>
      <c r="L79" s="875"/>
      <c r="M79" s="554">
        <v>0</v>
      </c>
      <c r="N79" s="552">
        <v>0</v>
      </c>
      <c r="O79" s="552">
        <v>0</v>
      </c>
      <c r="P79" s="552">
        <v>0</v>
      </c>
      <c r="Q79" s="552">
        <v>0</v>
      </c>
      <c r="R79" s="552">
        <v>0</v>
      </c>
      <c r="S79" s="552">
        <v>0</v>
      </c>
      <c r="T79" s="552">
        <v>0</v>
      </c>
      <c r="U79" s="552">
        <v>0</v>
      </c>
      <c r="V79" s="552">
        <v>0</v>
      </c>
      <c r="W79" s="552">
        <v>0</v>
      </c>
      <c r="X79" s="552">
        <v>0</v>
      </c>
      <c r="Y79" s="876">
        <f t="shared" si="197"/>
        <v>0</v>
      </c>
      <c r="Z79" s="877">
        <v>0</v>
      </c>
      <c r="AA79" s="248">
        <v>0</v>
      </c>
      <c r="AB79" s="248">
        <f t="shared" si="211"/>
        <v>0</v>
      </c>
      <c r="AC79" s="248">
        <v>0</v>
      </c>
      <c r="AD79" s="248">
        <f t="shared" si="212"/>
        <v>0</v>
      </c>
      <c r="AE79" s="248">
        <f t="shared" si="212"/>
        <v>0</v>
      </c>
      <c r="AF79" s="248">
        <f t="shared" si="212"/>
        <v>0</v>
      </c>
      <c r="AG79" s="248">
        <f t="shared" si="212"/>
        <v>0</v>
      </c>
      <c r="AH79" s="248">
        <f t="shared" si="198"/>
        <v>0</v>
      </c>
      <c r="AI79" s="248">
        <f t="shared" si="199"/>
        <v>0</v>
      </c>
      <c r="AJ79" s="248">
        <f t="shared" si="199"/>
        <v>0</v>
      </c>
      <c r="AK79" s="248">
        <f t="shared" si="199"/>
        <v>0</v>
      </c>
      <c r="AL79" s="878">
        <f t="shared" si="200"/>
        <v>0</v>
      </c>
      <c r="AM79" s="1028"/>
      <c r="AN79" s="552"/>
      <c r="AO79" s="552"/>
      <c r="AP79" s="552"/>
      <c r="AQ79" s="552"/>
      <c r="AR79" s="552"/>
      <c r="AS79" s="552"/>
      <c r="AT79" s="552"/>
      <c r="AU79" s="552"/>
      <c r="AV79" s="552"/>
      <c r="AW79" s="552"/>
      <c r="AX79" s="552"/>
      <c r="AY79" s="876">
        <f t="shared" si="213"/>
        <v>0</v>
      </c>
      <c r="AZ79" s="877">
        <f t="shared" si="201"/>
        <v>0</v>
      </c>
      <c r="BA79" s="248">
        <f t="shared" si="201"/>
        <v>0</v>
      </c>
      <c r="BB79" s="248">
        <f t="shared" si="201"/>
        <v>0</v>
      </c>
      <c r="BC79" s="248">
        <f t="shared" si="201"/>
        <v>0</v>
      </c>
      <c r="BD79" s="248">
        <f t="shared" si="201"/>
        <v>0</v>
      </c>
      <c r="BE79" s="248">
        <f t="shared" si="201"/>
        <v>0</v>
      </c>
      <c r="BF79" s="248">
        <f t="shared" si="201"/>
        <v>0</v>
      </c>
      <c r="BG79" s="248">
        <f t="shared" si="201"/>
        <v>0</v>
      </c>
      <c r="BH79" s="248">
        <f t="shared" si="201"/>
        <v>0</v>
      </c>
      <c r="BI79" s="248">
        <f t="shared" si="201"/>
        <v>0</v>
      </c>
      <c r="BJ79" s="248">
        <f t="shared" si="201"/>
        <v>0</v>
      </c>
      <c r="BK79" s="248">
        <f t="shared" si="201"/>
        <v>0</v>
      </c>
      <c r="BL79" s="878">
        <f t="shared" si="202"/>
        <v>0</v>
      </c>
      <c r="BM79" s="1028"/>
      <c r="BN79" s="552"/>
      <c r="BO79" s="552"/>
      <c r="BP79" s="552"/>
      <c r="BQ79" s="552"/>
      <c r="BR79" s="552"/>
      <c r="BS79" s="552"/>
      <c r="BT79" s="552"/>
      <c r="BU79" s="552"/>
      <c r="BV79" s="552"/>
      <c r="BW79" s="552"/>
      <c r="BX79" s="552"/>
      <c r="BY79" s="876">
        <f t="shared" si="215"/>
        <v>0</v>
      </c>
      <c r="BZ79" s="882">
        <f t="shared" si="204"/>
        <v>0</v>
      </c>
      <c r="CA79" s="248">
        <f t="shared" si="204"/>
        <v>0</v>
      </c>
      <c r="CB79" s="248">
        <f t="shared" si="204"/>
        <v>0</v>
      </c>
      <c r="CC79" s="248">
        <f t="shared" si="204"/>
        <v>0</v>
      </c>
      <c r="CD79" s="248">
        <f t="shared" si="204"/>
        <v>0</v>
      </c>
      <c r="CE79" s="248">
        <f t="shared" si="204"/>
        <v>0</v>
      </c>
      <c r="CF79" s="248">
        <f t="shared" si="204"/>
        <v>0</v>
      </c>
      <c r="CG79" s="248">
        <f t="shared" si="204"/>
        <v>0</v>
      </c>
      <c r="CH79" s="248">
        <f t="shared" si="204"/>
        <v>0</v>
      </c>
      <c r="CI79" s="248">
        <f t="shared" si="204"/>
        <v>0</v>
      </c>
      <c r="CJ79" s="248">
        <f t="shared" si="204"/>
        <v>0</v>
      </c>
      <c r="CK79" s="248">
        <f t="shared" si="204"/>
        <v>0</v>
      </c>
      <c r="CL79" s="883">
        <f t="shared" si="205"/>
        <v>0</v>
      </c>
      <c r="CM79" s="1028"/>
      <c r="CN79" s="552"/>
      <c r="CO79" s="552"/>
      <c r="CP79" s="552"/>
      <c r="CQ79" s="552"/>
      <c r="CR79" s="552"/>
      <c r="CS79" s="552"/>
      <c r="CT79" s="552"/>
      <c r="CU79" s="552"/>
      <c r="CV79" s="552"/>
      <c r="CW79" s="552"/>
      <c r="CX79" s="552"/>
      <c r="CY79" s="876">
        <f t="shared" si="216"/>
        <v>0</v>
      </c>
      <c r="CZ79" s="877">
        <f t="shared" si="206"/>
        <v>0</v>
      </c>
      <c r="DA79" s="248">
        <f t="shared" si="207"/>
        <v>0</v>
      </c>
      <c r="DB79" s="248">
        <f t="shared" si="207"/>
        <v>0</v>
      </c>
      <c r="DC79" s="248">
        <f t="shared" si="207"/>
        <v>0</v>
      </c>
      <c r="DD79" s="248">
        <f t="shared" si="207"/>
        <v>0</v>
      </c>
      <c r="DE79" s="248">
        <f t="shared" si="207"/>
        <v>0</v>
      </c>
      <c r="DF79" s="248">
        <f t="shared" si="207"/>
        <v>0</v>
      </c>
      <c r="DG79" s="248">
        <f t="shared" si="207"/>
        <v>0</v>
      </c>
      <c r="DH79" s="248">
        <f t="shared" si="207"/>
        <v>0</v>
      </c>
      <c r="DI79" s="248">
        <f t="shared" si="207"/>
        <v>0</v>
      </c>
      <c r="DJ79" s="248">
        <f t="shared" si="207"/>
        <v>0</v>
      </c>
      <c r="DK79" s="248">
        <f t="shared" si="207"/>
        <v>0</v>
      </c>
      <c r="DL79" s="878">
        <f t="shared" si="208"/>
        <v>0</v>
      </c>
      <c r="DM79" s="554"/>
      <c r="DN79" s="552"/>
      <c r="DO79" s="552"/>
      <c r="DP79" s="552"/>
      <c r="DQ79" s="552"/>
      <c r="DR79" s="552"/>
      <c r="DS79" s="552"/>
      <c r="DT79" s="552"/>
      <c r="DU79" s="552"/>
      <c r="DV79" s="552"/>
      <c r="DW79" s="552"/>
      <c r="DX79" s="552"/>
      <c r="DY79" s="876">
        <f t="shared" si="217"/>
        <v>0</v>
      </c>
      <c r="DZ79" s="248">
        <f t="shared" si="209"/>
        <v>0</v>
      </c>
      <c r="EA79" s="248">
        <f t="shared" si="209"/>
        <v>0</v>
      </c>
      <c r="EB79" s="248">
        <f t="shared" si="209"/>
        <v>0</v>
      </c>
      <c r="EC79" s="248">
        <f t="shared" si="209"/>
        <v>0</v>
      </c>
      <c r="ED79" s="248">
        <f t="shared" si="209"/>
        <v>0</v>
      </c>
      <c r="EE79" s="248">
        <f t="shared" si="209"/>
        <v>0</v>
      </c>
      <c r="EF79" s="248">
        <f t="shared" si="209"/>
        <v>0</v>
      </c>
      <c r="EG79" s="248">
        <f t="shared" si="209"/>
        <v>0</v>
      </c>
      <c r="EH79" s="248">
        <f t="shared" si="209"/>
        <v>0</v>
      </c>
      <c r="EI79" s="248">
        <f t="shared" si="209"/>
        <v>0</v>
      </c>
      <c r="EJ79" s="248">
        <f t="shared" si="209"/>
        <v>0</v>
      </c>
      <c r="EK79" s="248">
        <f t="shared" si="209"/>
        <v>0</v>
      </c>
      <c r="EL79" s="878">
        <f t="shared" si="210"/>
        <v>0</v>
      </c>
    </row>
    <row r="80" spans="1:142">
      <c r="A80" s="964" t="s">
        <v>76</v>
      </c>
      <c r="B80" s="1030" t="s">
        <v>701</v>
      </c>
      <c r="C80" s="908" t="s">
        <v>263</v>
      </c>
      <c r="D80" s="559">
        <v>3.8</v>
      </c>
      <c r="E80" s="560">
        <v>3.8460000000000001</v>
      </c>
      <c r="F80" s="560">
        <v>3.8460000000000001</v>
      </c>
      <c r="G80" s="561">
        <v>3.8460000000000001</v>
      </c>
      <c r="H80" s="559">
        <f t="shared" si="196"/>
        <v>3.8460000000000001</v>
      </c>
      <c r="I80" s="560">
        <f t="shared" si="196"/>
        <v>3.8460000000000001</v>
      </c>
      <c r="J80" s="560">
        <f t="shared" si="196"/>
        <v>3.8460000000000001</v>
      </c>
      <c r="K80" s="1029">
        <f t="shared" si="196"/>
        <v>3.8460000000000001</v>
      </c>
      <c r="L80" s="875"/>
      <c r="M80" s="554">
        <v>0</v>
      </c>
      <c r="N80" s="552">
        <v>0</v>
      </c>
      <c r="O80" s="552">
        <v>5040</v>
      </c>
      <c r="P80" s="552">
        <v>5290</v>
      </c>
      <c r="Q80" s="552">
        <f>8640-3780</f>
        <v>4860</v>
      </c>
      <c r="R80" s="552">
        <v>8820</v>
      </c>
      <c r="S80" s="552">
        <v>5040</v>
      </c>
      <c r="T80" s="552">
        <v>5000</v>
      </c>
      <c r="U80" s="552">
        <v>6000</v>
      </c>
      <c r="V80" s="552">
        <v>5000</v>
      </c>
      <c r="W80" s="552">
        <v>5000</v>
      </c>
      <c r="X80" s="552">
        <v>5000</v>
      </c>
      <c r="Y80" s="876">
        <f t="shared" si="197"/>
        <v>55050</v>
      </c>
      <c r="Z80" s="877"/>
      <c r="AA80" s="248">
        <v>0</v>
      </c>
      <c r="AB80" s="248">
        <f t="shared" si="211"/>
        <v>19152</v>
      </c>
      <c r="AC80" s="248">
        <v>20102</v>
      </c>
      <c r="AD80" s="248">
        <f t="shared" si="212"/>
        <v>18468</v>
      </c>
      <c r="AE80" s="248">
        <f t="shared" si="212"/>
        <v>33516</v>
      </c>
      <c r="AF80" s="248">
        <f t="shared" si="212"/>
        <v>19152</v>
      </c>
      <c r="AG80" s="248">
        <f t="shared" si="212"/>
        <v>19000</v>
      </c>
      <c r="AH80" s="248">
        <f t="shared" si="198"/>
        <v>23076</v>
      </c>
      <c r="AI80" s="248">
        <f t="shared" si="199"/>
        <v>19230</v>
      </c>
      <c r="AJ80" s="248">
        <f t="shared" si="199"/>
        <v>19230</v>
      </c>
      <c r="AK80" s="248">
        <f t="shared" si="199"/>
        <v>19230</v>
      </c>
      <c r="AL80" s="878">
        <f t="shared" si="200"/>
        <v>210156</v>
      </c>
      <c r="AM80" s="1028">
        <f>34380/12</f>
        <v>2865</v>
      </c>
      <c r="AN80" s="552">
        <f t="shared" ref="AN80:AX80" si="222">34380/12</f>
        <v>2865</v>
      </c>
      <c r="AO80" s="552">
        <f t="shared" si="222"/>
        <v>2865</v>
      </c>
      <c r="AP80" s="552">
        <f t="shared" si="222"/>
        <v>2865</v>
      </c>
      <c r="AQ80" s="552">
        <f t="shared" si="222"/>
        <v>2865</v>
      </c>
      <c r="AR80" s="552">
        <f t="shared" si="222"/>
        <v>2865</v>
      </c>
      <c r="AS80" s="552">
        <f t="shared" si="222"/>
        <v>2865</v>
      </c>
      <c r="AT80" s="552">
        <f t="shared" si="222"/>
        <v>2865</v>
      </c>
      <c r="AU80" s="552">
        <f t="shared" si="222"/>
        <v>2865</v>
      </c>
      <c r="AV80" s="552">
        <f t="shared" si="222"/>
        <v>2865</v>
      </c>
      <c r="AW80" s="552">
        <f t="shared" si="222"/>
        <v>2865</v>
      </c>
      <c r="AX80" s="552">
        <f t="shared" si="222"/>
        <v>2865</v>
      </c>
      <c r="AY80" s="876">
        <f t="shared" si="213"/>
        <v>34380</v>
      </c>
      <c r="AZ80" s="877">
        <f t="shared" si="201"/>
        <v>11018.79</v>
      </c>
      <c r="BA80" s="248">
        <f t="shared" si="201"/>
        <v>11018.79</v>
      </c>
      <c r="BB80" s="248">
        <f t="shared" si="201"/>
        <v>11018.79</v>
      </c>
      <c r="BC80" s="248">
        <f t="shared" si="201"/>
        <v>11018.79</v>
      </c>
      <c r="BD80" s="248">
        <f t="shared" si="201"/>
        <v>11018.79</v>
      </c>
      <c r="BE80" s="248">
        <f t="shared" si="201"/>
        <v>11018.79</v>
      </c>
      <c r="BF80" s="248">
        <f t="shared" si="201"/>
        <v>11018.79</v>
      </c>
      <c r="BG80" s="248">
        <f t="shared" si="201"/>
        <v>11018.79</v>
      </c>
      <c r="BH80" s="248">
        <f t="shared" si="201"/>
        <v>11018.79</v>
      </c>
      <c r="BI80" s="248">
        <f t="shared" si="201"/>
        <v>11018.79</v>
      </c>
      <c r="BJ80" s="248">
        <f t="shared" si="201"/>
        <v>11018.79</v>
      </c>
      <c r="BK80" s="248">
        <f t="shared" si="201"/>
        <v>11018.79</v>
      </c>
      <c r="BL80" s="878">
        <f t="shared" si="202"/>
        <v>132225.48000000004</v>
      </c>
      <c r="BM80" s="1028">
        <f>38970/12</f>
        <v>3247.5</v>
      </c>
      <c r="BN80" s="552">
        <f t="shared" ref="BN80:BX80" si="223">38970/12</f>
        <v>3247.5</v>
      </c>
      <c r="BO80" s="552">
        <f t="shared" si="223"/>
        <v>3247.5</v>
      </c>
      <c r="BP80" s="552">
        <f t="shared" si="223"/>
        <v>3247.5</v>
      </c>
      <c r="BQ80" s="552">
        <f t="shared" si="223"/>
        <v>3247.5</v>
      </c>
      <c r="BR80" s="552">
        <f t="shared" si="223"/>
        <v>3247.5</v>
      </c>
      <c r="BS80" s="552">
        <f t="shared" si="223"/>
        <v>3247.5</v>
      </c>
      <c r="BT80" s="552">
        <f t="shared" si="223"/>
        <v>3247.5</v>
      </c>
      <c r="BU80" s="552">
        <f t="shared" si="223"/>
        <v>3247.5</v>
      </c>
      <c r="BV80" s="552">
        <f t="shared" si="223"/>
        <v>3247.5</v>
      </c>
      <c r="BW80" s="552">
        <f t="shared" si="223"/>
        <v>3247.5</v>
      </c>
      <c r="BX80" s="552">
        <f t="shared" si="223"/>
        <v>3247.5</v>
      </c>
      <c r="BY80" s="876">
        <f t="shared" si="215"/>
        <v>38970</v>
      </c>
      <c r="BZ80" s="882">
        <f t="shared" si="204"/>
        <v>12489.885</v>
      </c>
      <c r="CA80" s="248">
        <f t="shared" si="204"/>
        <v>12489.885</v>
      </c>
      <c r="CB80" s="248">
        <f t="shared" si="204"/>
        <v>12489.885</v>
      </c>
      <c r="CC80" s="248">
        <f t="shared" si="204"/>
        <v>12489.885</v>
      </c>
      <c r="CD80" s="248">
        <f t="shared" si="204"/>
        <v>12489.885</v>
      </c>
      <c r="CE80" s="248">
        <f t="shared" si="204"/>
        <v>12489.885</v>
      </c>
      <c r="CF80" s="248">
        <f t="shared" si="204"/>
        <v>12489.885</v>
      </c>
      <c r="CG80" s="248">
        <f t="shared" si="204"/>
        <v>12489.885</v>
      </c>
      <c r="CH80" s="248">
        <f t="shared" si="204"/>
        <v>12489.885</v>
      </c>
      <c r="CI80" s="248">
        <f t="shared" si="204"/>
        <v>12489.885</v>
      </c>
      <c r="CJ80" s="248">
        <f t="shared" si="204"/>
        <v>12489.885</v>
      </c>
      <c r="CK80" s="248">
        <f t="shared" si="204"/>
        <v>12489.885</v>
      </c>
      <c r="CL80" s="883">
        <f t="shared" si="205"/>
        <v>149878.62</v>
      </c>
      <c r="CM80" s="1028">
        <f>43300/12</f>
        <v>3608.3333333333335</v>
      </c>
      <c r="CN80" s="552">
        <f t="shared" ref="CN80:CX80" si="224">43300/12</f>
        <v>3608.3333333333335</v>
      </c>
      <c r="CO80" s="552">
        <f t="shared" si="224"/>
        <v>3608.3333333333335</v>
      </c>
      <c r="CP80" s="552">
        <f t="shared" si="224"/>
        <v>3608.3333333333335</v>
      </c>
      <c r="CQ80" s="552">
        <f t="shared" si="224"/>
        <v>3608.3333333333335</v>
      </c>
      <c r="CR80" s="552">
        <f t="shared" si="224"/>
        <v>3608.3333333333335</v>
      </c>
      <c r="CS80" s="552">
        <f t="shared" si="224"/>
        <v>3608.3333333333335</v>
      </c>
      <c r="CT80" s="552">
        <f t="shared" si="224"/>
        <v>3608.3333333333335</v>
      </c>
      <c r="CU80" s="552">
        <f t="shared" si="224"/>
        <v>3608.3333333333335</v>
      </c>
      <c r="CV80" s="552">
        <f t="shared" si="224"/>
        <v>3608.3333333333335</v>
      </c>
      <c r="CW80" s="552">
        <f t="shared" si="224"/>
        <v>3608.3333333333335</v>
      </c>
      <c r="CX80" s="552">
        <f t="shared" si="224"/>
        <v>3608.3333333333335</v>
      </c>
      <c r="CY80" s="876">
        <f t="shared" si="216"/>
        <v>43300</v>
      </c>
      <c r="CZ80" s="877">
        <f t="shared" si="206"/>
        <v>13877.650000000001</v>
      </c>
      <c r="DA80" s="248">
        <f t="shared" si="207"/>
        <v>13877.650000000001</v>
      </c>
      <c r="DB80" s="248">
        <f t="shared" si="207"/>
        <v>13877.650000000001</v>
      </c>
      <c r="DC80" s="248">
        <f t="shared" si="207"/>
        <v>13877.650000000001</v>
      </c>
      <c r="DD80" s="248">
        <f t="shared" si="207"/>
        <v>13877.650000000001</v>
      </c>
      <c r="DE80" s="248">
        <f t="shared" si="207"/>
        <v>13877.650000000001</v>
      </c>
      <c r="DF80" s="248">
        <f t="shared" si="207"/>
        <v>13877.650000000001</v>
      </c>
      <c r="DG80" s="248">
        <f t="shared" si="207"/>
        <v>13877.650000000001</v>
      </c>
      <c r="DH80" s="248">
        <f t="shared" si="207"/>
        <v>13877.650000000001</v>
      </c>
      <c r="DI80" s="248">
        <f t="shared" si="207"/>
        <v>13877.650000000001</v>
      </c>
      <c r="DJ80" s="248">
        <f t="shared" si="207"/>
        <v>13877.650000000001</v>
      </c>
      <c r="DK80" s="248">
        <f t="shared" si="207"/>
        <v>13877.650000000001</v>
      </c>
      <c r="DL80" s="878">
        <f t="shared" si="208"/>
        <v>166531.79999999996</v>
      </c>
      <c r="DM80" s="554">
        <f>43300/12</f>
        <v>3608.3333333333335</v>
      </c>
      <c r="DN80" s="552">
        <f t="shared" ref="DN80:DX80" si="225">43300/12</f>
        <v>3608.3333333333335</v>
      </c>
      <c r="DO80" s="552">
        <f t="shared" si="225"/>
        <v>3608.3333333333335</v>
      </c>
      <c r="DP80" s="552">
        <f t="shared" si="225"/>
        <v>3608.3333333333335</v>
      </c>
      <c r="DQ80" s="552">
        <f t="shared" si="225"/>
        <v>3608.3333333333335</v>
      </c>
      <c r="DR80" s="552">
        <f t="shared" si="225"/>
        <v>3608.3333333333335</v>
      </c>
      <c r="DS80" s="552">
        <f t="shared" si="225"/>
        <v>3608.3333333333335</v>
      </c>
      <c r="DT80" s="552">
        <f t="shared" si="225"/>
        <v>3608.3333333333335</v>
      </c>
      <c r="DU80" s="552">
        <f t="shared" si="225"/>
        <v>3608.3333333333335</v>
      </c>
      <c r="DV80" s="552">
        <f t="shared" si="225"/>
        <v>3608.3333333333335</v>
      </c>
      <c r="DW80" s="552">
        <f t="shared" si="225"/>
        <v>3608.3333333333335</v>
      </c>
      <c r="DX80" s="552">
        <f t="shared" si="225"/>
        <v>3608.3333333333335</v>
      </c>
      <c r="DY80" s="876">
        <f t="shared" si="217"/>
        <v>43300</v>
      </c>
      <c r="DZ80" s="248">
        <f t="shared" si="209"/>
        <v>13877.650000000001</v>
      </c>
      <c r="EA80" s="248">
        <f t="shared" si="209"/>
        <v>13877.650000000001</v>
      </c>
      <c r="EB80" s="248">
        <f t="shared" si="209"/>
        <v>13877.650000000001</v>
      </c>
      <c r="EC80" s="248">
        <f t="shared" si="209"/>
        <v>13877.650000000001</v>
      </c>
      <c r="ED80" s="248">
        <f t="shared" si="209"/>
        <v>13877.650000000001</v>
      </c>
      <c r="EE80" s="248">
        <f t="shared" si="209"/>
        <v>13877.650000000001</v>
      </c>
      <c r="EF80" s="248">
        <f t="shared" si="209"/>
        <v>13877.650000000001</v>
      </c>
      <c r="EG80" s="248">
        <f t="shared" si="209"/>
        <v>13877.650000000001</v>
      </c>
      <c r="EH80" s="248">
        <f t="shared" si="209"/>
        <v>13877.650000000001</v>
      </c>
      <c r="EI80" s="248">
        <f t="shared" si="209"/>
        <v>13877.650000000001</v>
      </c>
      <c r="EJ80" s="248">
        <f t="shared" si="209"/>
        <v>13877.650000000001</v>
      </c>
      <c r="EK80" s="248">
        <f t="shared" si="209"/>
        <v>13877.650000000001</v>
      </c>
      <c r="EL80" s="878">
        <f t="shared" si="210"/>
        <v>166531.79999999996</v>
      </c>
    </row>
    <row r="81" spans="1:142">
      <c r="A81" s="964" t="s">
        <v>76</v>
      </c>
      <c r="B81" s="1031" t="s">
        <v>264</v>
      </c>
      <c r="C81" s="1032" t="s">
        <v>340</v>
      </c>
      <c r="D81" s="559">
        <v>2.71</v>
      </c>
      <c r="E81" s="560">
        <v>2.66</v>
      </c>
      <c r="F81" s="560">
        <v>2.66</v>
      </c>
      <c r="G81" s="561">
        <v>2.66</v>
      </c>
      <c r="H81" s="559">
        <f t="shared" si="196"/>
        <v>2.66</v>
      </c>
      <c r="I81" s="560">
        <f t="shared" si="196"/>
        <v>2.66</v>
      </c>
      <c r="J81" s="560">
        <f t="shared" si="196"/>
        <v>2.66</v>
      </c>
      <c r="K81" s="1029">
        <f t="shared" si="196"/>
        <v>2.66</v>
      </c>
      <c r="L81" s="875"/>
      <c r="M81" s="554">
        <v>23736</v>
      </c>
      <c r="N81" s="552">
        <v>10592</v>
      </c>
      <c r="O81" s="552">
        <v>20012</v>
      </c>
      <c r="P81" s="552">
        <v>16836</v>
      </c>
      <c r="Q81" s="552">
        <v>30972</v>
      </c>
      <c r="R81" s="552">
        <v>34893</v>
      </c>
      <c r="S81" s="552">
        <v>35000</v>
      </c>
      <c r="T81" s="552">
        <v>30000</v>
      </c>
      <c r="U81" s="552">
        <v>35000</v>
      </c>
      <c r="V81" s="552">
        <v>35000</v>
      </c>
      <c r="W81" s="552">
        <v>35000</v>
      </c>
      <c r="X81" s="552">
        <v>35000</v>
      </c>
      <c r="Y81" s="876">
        <f t="shared" si="197"/>
        <v>342041</v>
      </c>
      <c r="Z81" s="877">
        <v>63137.760000000009</v>
      </c>
      <c r="AA81" s="248">
        <v>28704.32</v>
      </c>
      <c r="AB81" s="248">
        <f t="shared" si="211"/>
        <v>54232.52</v>
      </c>
      <c r="AC81" s="248">
        <v>45625.56</v>
      </c>
      <c r="AD81" s="248">
        <f>Q81*$D81</f>
        <v>83934.12</v>
      </c>
      <c r="AE81" s="248">
        <f t="shared" si="212"/>
        <v>94560.03</v>
      </c>
      <c r="AF81" s="248">
        <f t="shared" si="212"/>
        <v>94850</v>
      </c>
      <c r="AG81" s="248">
        <f t="shared" si="212"/>
        <v>81300</v>
      </c>
      <c r="AH81" s="248">
        <f t="shared" si="198"/>
        <v>93100</v>
      </c>
      <c r="AI81" s="248">
        <f t="shared" si="199"/>
        <v>93100</v>
      </c>
      <c r="AJ81" s="248">
        <f t="shared" si="199"/>
        <v>93100</v>
      </c>
      <c r="AK81" s="248">
        <f t="shared" si="199"/>
        <v>93100</v>
      </c>
      <c r="AL81" s="878">
        <f t="shared" si="200"/>
        <v>918744.31</v>
      </c>
      <c r="AM81" s="1028">
        <v>20000</v>
      </c>
      <c r="AN81" s="552">
        <v>10592</v>
      </c>
      <c r="AO81" s="552">
        <v>25000</v>
      </c>
      <c r="AP81" s="552">
        <v>25000</v>
      </c>
      <c r="AQ81" s="552">
        <v>25000</v>
      </c>
      <c r="AR81" s="552">
        <v>25000</v>
      </c>
      <c r="AS81" s="552">
        <v>31596</v>
      </c>
      <c r="AT81" s="552">
        <v>35983</v>
      </c>
      <c r="AU81" s="552">
        <v>35983</v>
      </c>
      <c r="AV81" s="552">
        <v>35983</v>
      </c>
      <c r="AW81" s="552">
        <v>35983</v>
      </c>
      <c r="AX81" s="552">
        <v>44661</v>
      </c>
      <c r="AY81" s="876">
        <f t="shared" si="213"/>
        <v>350781</v>
      </c>
      <c r="AZ81" s="877">
        <f t="shared" si="201"/>
        <v>53200</v>
      </c>
      <c r="BA81" s="248">
        <f t="shared" si="201"/>
        <v>28174.720000000001</v>
      </c>
      <c r="BB81" s="248">
        <f t="shared" si="201"/>
        <v>66500</v>
      </c>
      <c r="BC81" s="248">
        <f t="shared" si="201"/>
        <v>66500</v>
      </c>
      <c r="BD81" s="248">
        <f t="shared" si="201"/>
        <v>66500</v>
      </c>
      <c r="BE81" s="248">
        <f t="shared" si="201"/>
        <v>66500</v>
      </c>
      <c r="BF81" s="248">
        <f t="shared" si="201"/>
        <v>84045.36</v>
      </c>
      <c r="BG81" s="248">
        <f t="shared" si="201"/>
        <v>95714.78</v>
      </c>
      <c r="BH81" s="248">
        <f t="shared" si="201"/>
        <v>95714.78</v>
      </c>
      <c r="BI81" s="248">
        <f t="shared" si="201"/>
        <v>95714.78</v>
      </c>
      <c r="BJ81" s="248">
        <f t="shared" si="201"/>
        <v>95714.78</v>
      </c>
      <c r="BK81" s="248">
        <f t="shared" si="201"/>
        <v>118798.26000000001</v>
      </c>
      <c r="BL81" s="878">
        <f t="shared" si="202"/>
        <v>933077.46000000008</v>
      </c>
      <c r="BM81" s="1028">
        <v>23736</v>
      </c>
      <c r="BN81" s="552">
        <v>10592</v>
      </c>
      <c r="BO81" s="552">
        <v>25000</v>
      </c>
      <c r="BP81" s="552">
        <v>25000</v>
      </c>
      <c r="BQ81" s="552">
        <v>25000</v>
      </c>
      <c r="BR81" s="552">
        <v>25000</v>
      </c>
      <c r="BS81" s="552">
        <v>31596</v>
      </c>
      <c r="BT81" s="552">
        <v>35983</v>
      </c>
      <c r="BU81" s="552">
        <v>35983</v>
      </c>
      <c r="BV81" s="552">
        <v>35983</v>
      </c>
      <c r="BW81" s="552">
        <v>35983</v>
      </c>
      <c r="BX81" s="552">
        <v>44661</v>
      </c>
      <c r="BY81" s="876">
        <f t="shared" si="215"/>
        <v>354517</v>
      </c>
      <c r="BZ81" s="882">
        <f t="shared" si="204"/>
        <v>63137.760000000002</v>
      </c>
      <c r="CA81" s="248">
        <f t="shared" si="204"/>
        <v>28174.720000000001</v>
      </c>
      <c r="CB81" s="248">
        <f t="shared" si="204"/>
        <v>66500</v>
      </c>
      <c r="CC81" s="248">
        <f t="shared" si="204"/>
        <v>66500</v>
      </c>
      <c r="CD81" s="248">
        <f t="shared" si="204"/>
        <v>66500</v>
      </c>
      <c r="CE81" s="248">
        <f t="shared" si="204"/>
        <v>66500</v>
      </c>
      <c r="CF81" s="248">
        <f t="shared" si="204"/>
        <v>84045.36</v>
      </c>
      <c r="CG81" s="248">
        <f t="shared" si="204"/>
        <v>95714.78</v>
      </c>
      <c r="CH81" s="248">
        <f t="shared" si="204"/>
        <v>95714.78</v>
      </c>
      <c r="CI81" s="248">
        <f t="shared" si="204"/>
        <v>95714.78</v>
      </c>
      <c r="CJ81" s="248">
        <f t="shared" si="204"/>
        <v>95714.78</v>
      </c>
      <c r="CK81" s="248">
        <f t="shared" si="204"/>
        <v>118798.26000000001</v>
      </c>
      <c r="CL81" s="883">
        <f t="shared" si="205"/>
        <v>943015.22000000009</v>
      </c>
      <c r="CM81" s="1028">
        <f>66656/12</f>
        <v>5554.666666666667</v>
      </c>
      <c r="CN81" s="552">
        <f t="shared" ref="CN81:CX81" si="226">66656/12</f>
        <v>5554.666666666667</v>
      </c>
      <c r="CO81" s="552">
        <f t="shared" si="226"/>
        <v>5554.666666666667</v>
      </c>
      <c r="CP81" s="552">
        <f t="shared" si="226"/>
        <v>5554.666666666667</v>
      </c>
      <c r="CQ81" s="552">
        <f t="shared" si="226"/>
        <v>5554.666666666667</v>
      </c>
      <c r="CR81" s="552">
        <f t="shared" si="226"/>
        <v>5554.666666666667</v>
      </c>
      <c r="CS81" s="552">
        <f t="shared" si="226"/>
        <v>5554.666666666667</v>
      </c>
      <c r="CT81" s="552">
        <f t="shared" si="226"/>
        <v>5554.666666666667</v>
      </c>
      <c r="CU81" s="552">
        <f t="shared" si="226"/>
        <v>5554.666666666667</v>
      </c>
      <c r="CV81" s="552">
        <f t="shared" si="226"/>
        <v>5554.666666666667</v>
      </c>
      <c r="CW81" s="552">
        <f t="shared" si="226"/>
        <v>5554.666666666667</v>
      </c>
      <c r="CX81" s="552">
        <f t="shared" si="226"/>
        <v>5554.666666666667</v>
      </c>
      <c r="CY81" s="876">
        <f t="shared" si="216"/>
        <v>66655.999999999985</v>
      </c>
      <c r="CZ81" s="877">
        <f t="shared" si="206"/>
        <v>14775.413333333336</v>
      </c>
      <c r="DA81" s="248">
        <f t="shared" si="207"/>
        <v>14775.413333333336</v>
      </c>
      <c r="DB81" s="248">
        <f t="shared" si="207"/>
        <v>14775.413333333336</v>
      </c>
      <c r="DC81" s="248">
        <f t="shared" si="207"/>
        <v>14775.413333333336</v>
      </c>
      <c r="DD81" s="248">
        <f t="shared" si="207"/>
        <v>14775.413333333336</v>
      </c>
      <c r="DE81" s="248">
        <f t="shared" si="207"/>
        <v>14775.413333333336</v>
      </c>
      <c r="DF81" s="248">
        <f t="shared" si="207"/>
        <v>14775.413333333336</v>
      </c>
      <c r="DG81" s="248">
        <f t="shared" si="207"/>
        <v>14775.413333333336</v>
      </c>
      <c r="DH81" s="248">
        <f t="shared" si="207"/>
        <v>14775.413333333336</v>
      </c>
      <c r="DI81" s="248">
        <f t="shared" si="207"/>
        <v>14775.413333333336</v>
      </c>
      <c r="DJ81" s="248">
        <f t="shared" si="207"/>
        <v>14775.413333333336</v>
      </c>
      <c r="DK81" s="248">
        <f t="shared" si="207"/>
        <v>14775.413333333336</v>
      </c>
      <c r="DL81" s="878">
        <f t="shared" si="208"/>
        <v>177304.95999999999</v>
      </c>
      <c r="DM81" s="554">
        <f>66117/12</f>
        <v>5509.75</v>
      </c>
      <c r="DN81" s="552">
        <f t="shared" ref="DN81:DX81" si="227">66117/12</f>
        <v>5509.75</v>
      </c>
      <c r="DO81" s="552">
        <f t="shared" si="227"/>
        <v>5509.75</v>
      </c>
      <c r="DP81" s="552">
        <f t="shared" si="227"/>
        <v>5509.75</v>
      </c>
      <c r="DQ81" s="552">
        <f t="shared" si="227"/>
        <v>5509.75</v>
      </c>
      <c r="DR81" s="552">
        <f t="shared" si="227"/>
        <v>5509.75</v>
      </c>
      <c r="DS81" s="552">
        <f t="shared" si="227"/>
        <v>5509.75</v>
      </c>
      <c r="DT81" s="552">
        <f t="shared" si="227"/>
        <v>5509.75</v>
      </c>
      <c r="DU81" s="552">
        <f t="shared" si="227"/>
        <v>5509.75</v>
      </c>
      <c r="DV81" s="552">
        <f t="shared" si="227"/>
        <v>5509.75</v>
      </c>
      <c r="DW81" s="552">
        <f t="shared" si="227"/>
        <v>5509.75</v>
      </c>
      <c r="DX81" s="552">
        <f t="shared" si="227"/>
        <v>5509.75</v>
      </c>
      <c r="DY81" s="876">
        <f t="shared" si="217"/>
        <v>66117</v>
      </c>
      <c r="DZ81" s="248">
        <f t="shared" si="209"/>
        <v>14655.935000000001</v>
      </c>
      <c r="EA81" s="248">
        <f t="shared" si="209"/>
        <v>14655.935000000001</v>
      </c>
      <c r="EB81" s="248">
        <f t="shared" si="209"/>
        <v>14655.935000000001</v>
      </c>
      <c r="EC81" s="248">
        <f t="shared" si="209"/>
        <v>14655.935000000001</v>
      </c>
      <c r="ED81" s="248">
        <f t="shared" si="209"/>
        <v>14655.935000000001</v>
      </c>
      <c r="EE81" s="248">
        <f t="shared" si="209"/>
        <v>14655.935000000001</v>
      </c>
      <c r="EF81" s="248">
        <f t="shared" si="209"/>
        <v>14655.935000000001</v>
      </c>
      <c r="EG81" s="248">
        <f t="shared" si="209"/>
        <v>14655.935000000001</v>
      </c>
      <c r="EH81" s="248">
        <f t="shared" si="209"/>
        <v>14655.935000000001</v>
      </c>
      <c r="EI81" s="248">
        <f t="shared" si="209"/>
        <v>14655.935000000001</v>
      </c>
      <c r="EJ81" s="248">
        <f t="shared" si="209"/>
        <v>14655.935000000001</v>
      </c>
      <c r="EK81" s="248">
        <f t="shared" si="209"/>
        <v>14655.935000000001</v>
      </c>
      <c r="EL81" s="878">
        <f t="shared" si="210"/>
        <v>175871.22</v>
      </c>
    </row>
    <row r="82" spans="1:142">
      <c r="A82" s="964" t="s">
        <v>76</v>
      </c>
      <c r="B82" s="1033" t="s">
        <v>702</v>
      </c>
      <c r="C82" s="1032" t="s">
        <v>703</v>
      </c>
      <c r="D82" s="559">
        <v>2.29</v>
      </c>
      <c r="E82" s="560">
        <v>2.29</v>
      </c>
      <c r="F82" s="560">
        <v>2.29</v>
      </c>
      <c r="G82" s="561">
        <v>2.29</v>
      </c>
      <c r="H82" s="559">
        <f t="shared" si="196"/>
        <v>2.29</v>
      </c>
      <c r="I82" s="560">
        <f t="shared" si="196"/>
        <v>2.29</v>
      </c>
      <c r="J82" s="560">
        <f t="shared" si="196"/>
        <v>2.29</v>
      </c>
      <c r="K82" s="1029">
        <f t="shared" si="196"/>
        <v>2.29</v>
      </c>
      <c r="L82" s="875"/>
      <c r="M82" s="554">
        <v>0</v>
      </c>
      <c r="N82" s="552">
        <v>0</v>
      </c>
      <c r="O82" s="552">
        <v>0</v>
      </c>
      <c r="P82" s="552"/>
      <c r="Q82" s="552"/>
      <c r="R82" s="552">
        <v>0</v>
      </c>
      <c r="S82" s="552"/>
      <c r="T82" s="552"/>
      <c r="U82" s="552"/>
      <c r="V82" s="552"/>
      <c r="W82" s="552"/>
      <c r="X82" s="552"/>
      <c r="Y82" s="876">
        <f t="shared" si="197"/>
        <v>0</v>
      </c>
      <c r="Z82" s="877"/>
      <c r="AA82" s="248">
        <v>0</v>
      </c>
      <c r="AB82" s="248">
        <f>O82*D82</f>
        <v>0</v>
      </c>
      <c r="AC82" s="248">
        <v>0</v>
      </c>
      <c r="AD82" s="248">
        <f t="shared" si="212"/>
        <v>0</v>
      </c>
      <c r="AE82" s="248">
        <f t="shared" si="212"/>
        <v>0</v>
      </c>
      <c r="AF82" s="248">
        <f t="shared" si="212"/>
        <v>0</v>
      </c>
      <c r="AG82" s="248">
        <f t="shared" si="212"/>
        <v>0</v>
      </c>
      <c r="AH82" s="248">
        <f t="shared" si="198"/>
        <v>0</v>
      </c>
      <c r="AI82" s="248">
        <f t="shared" si="199"/>
        <v>0</v>
      </c>
      <c r="AJ82" s="248">
        <f t="shared" si="199"/>
        <v>0</v>
      </c>
      <c r="AK82" s="248">
        <f t="shared" si="199"/>
        <v>0</v>
      </c>
      <c r="AL82" s="878">
        <f t="shared" si="200"/>
        <v>0</v>
      </c>
      <c r="AM82" s="1028"/>
      <c r="AN82" s="552"/>
      <c r="AO82" s="552"/>
      <c r="AP82" s="552"/>
      <c r="AQ82" s="552"/>
      <c r="AR82" s="552"/>
      <c r="AS82" s="552"/>
      <c r="AT82" s="552"/>
      <c r="AU82" s="552"/>
      <c r="AV82" s="552"/>
      <c r="AW82" s="552"/>
      <c r="AX82" s="552"/>
      <c r="AY82" s="876">
        <f t="shared" si="213"/>
        <v>0</v>
      </c>
      <c r="AZ82" s="877">
        <f t="shared" si="201"/>
        <v>0</v>
      </c>
      <c r="BA82" s="248">
        <f t="shared" si="201"/>
        <v>0</v>
      </c>
      <c r="BB82" s="248">
        <f t="shared" si="201"/>
        <v>0</v>
      </c>
      <c r="BC82" s="248">
        <f t="shared" si="201"/>
        <v>0</v>
      </c>
      <c r="BD82" s="248">
        <f t="shared" si="201"/>
        <v>0</v>
      </c>
      <c r="BE82" s="248">
        <f t="shared" si="201"/>
        <v>0</v>
      </c>
      <c r="BF82" s="248">
        <f t="shared" si="201"/>
        <v>0</v>
      </c>
      <c r="BG82" s="248">
        <f t="shared" si="201"/>
        <v>0</v>
      </c>
      <c r="BH82" s="248">
        <f t="shared" si="201"/>
        <v>0</v>
      </c>
      <c r="BI82" s="248">
        <f t="shared" si="201"/>
        <v>0</v>
      </c>
      <c r="BJ82" s="248">
        <f t="shared" si="201"/>
        <v>0</v>
      </c>
      <c r="BK82" s="248">
        <f t="shared" si="201"/>
        <v>0</v>
      </c>
      <c r="BL82" s="878">
        <f t="shared" si="202"/>
        <v>0</v>
      </c>
      <c r="BM82" s="1028">
        <f>38040/12</f>
        <v>3170</v>
      </c>
      <c r="BN82" s="552">
        <f t="shared" ref="BN82:BX82" si="228">38040/12</f>
        <v>3170</v>
      </c>
      <c r="BO82" s="552">
        <f t="shared" si="228"/>
        <v>3170</v>
      </c>
      <c r="BP82" s="552">
        <f t="shared" si="228"/>
        <v>3170</v>
      </c>
      <c r="BQ82" s="552">
        <f t="shared" si="228"/>
        <v>3170</v>
      </c>
      <c r="BR82" s="552">
        <f t="shared" si="228"/>
        <v>3170</v>
      </c>
      <c r="BS82" s="552">
        <f t="shared" si="228"/>
        <v>3170</v>
      </c>
      <c r="BT82" s="552">
        <f t="shared" si="228"/>
        <v>3170</v>
      </c>
      <c r="BU82" s="552">
        <f t="shared" si="228"/>
        <v>3170</v>
      </c>
      <c r="BV82" s="552">
        <f t="shared" si="228"/>
        <v>3170</v>
      </c>
      <c r="BW82" s="552">
        <f t="shared" si="228"/>
        <v>3170</v>
      </c>
      <c r="BX82" s="552">
        <f t="shared" si="228"/>
        <v>3170</v>
      </c>
      <c r="BY82" s="876">
        <f t="shared" si="215"/>
        <v>38040</v>
      </c>
      <c r="BZ82" s="882">
        <f t="shared" si="204"/>
        <v>7259.3</v>
      </c>
      <c r="CA82" s="248">
        <f t="shared" si="204"/>
        <v>7259.3</v>
      </c>
      <c r="CB82" s="248">
        <f t="shared" si="204"/>
        <v>7259.3</v>
      </c>
      <c r="CC82" s="248">
        <f t="shared" si="204"/>
        <v>7259.3</v>
      </c>
      <c r="CD82" s="248">
        <f t="shared" si="204"/>
        <v>7259.3</v>
      </c>
      <c r="CE82" s="248">
        <f t="shared" si="204"/>
        <v>7259.3</v>
      </c>
      <c r="CF82" s="248">
        <f t="shared" si="204"/>
        <v>7259.3</v>
      </c>
      <c r="CG82" s="248">
        <f t="shared" si="204"/>
        <v>7259.3</v>
      </c>
      <c r="CH82" s="248">
        <f t="shared" si="204"/>
        <v>7259.3</v>
      </c>
      <c r="CI82" s="248">
        <f t="shared" si="204"/>
        <v>7259.3</v>
      </c>
      <c r="CJ82" s="248">
        <f t="shared" si="204"/>
        <v>7259.3</v>
      </c>
      <c r="CK82" s="248">
        <f t="shared" si="204"/>
        <v>7259.3</v>
      </c>
      <c r="CL82" s="883">
        <f t="shared" si="205"/>
        <v>87111.60000000002</v>
      </c>
      <c r="CM82" s="1028">
        <f>38040/12</f>
        <v>3170</v>
      </c>
      <c r="CN82" s="552">
        <f t="shared" ref="CN82:CX82" si="229">38040/12</f>
        <v>3170</v>
      </c>
      <c r="CO82" s="552">
        <f t="shared" si="229"/>
        <v>3170</v>
      </c>
      <c r="CP82" s="552">
        <f t="shared" si="229"/>
        <v>3170</v>
      </c>
      <c r="CQ82" s="552">
        <f t="shared" si="229"/>
        <v>3170</v>
      </c>
      <c r="CR82" s="552">
        <f t="shared" si="229"/>
        <v>3170</v>
      </c>
      <c r="CS82" s="552">
        <f t="shared" si="229"/>
        <v>3170</v>
      </c>
      <c r="CT82" s="552">
        <f t="shared" si="229"/>
        <v>3170</v>
      </c>
      <c r="CU82" s="552">
        <f t="shared" si="229"/>
        <v>3170</v>
      </c>
      <c r="CV82" s="552">
        <f t="shared" si="229"/>
        <v>3170</v>
      </c>
      <c r="CW82" s="552">
        <f t="shared" si="229"/>
        <v>3170</v>
      </c>
      <c r="CX82" s="552">
        <f t="shared" si="229"/>
        <v>3170</v>
      </c>
      <c r="CY82" s="876">
        <f t="shared" si="216"/>
        <v>38040</v>
      </c>
      <c r="CZ82" s="877">
        <f t="shared" si="206"/>
        <v>7259.3</v>
      </c>
      <c r="DA82" s="248">
        <f t="shared" si="207"/>
        <v>7259.3</v>
      </c>
      <c r="DB82" s="248">
        <f t="shared" si="207"/>
        <v>7259.3</v>
      </c>
      <c r="DC82" s="248">
        <f t="shared" si="207"/>
        <v>7259.3</v>
      </c>
      <c r="DD82" s="248">
        <f t="shared" si="207"/>
        <v>7259.3</v>
      </c>
      <c r="DE82" s="248">
        <f t="shared" si="207"/>
        <v>7259.3</v>
      </c>
      <c r="DF82" s="248">
        <f t="shared" si="207"/>
        <v>7259.3</v>
      </c>
      <c r="DG82" s="248">
        <f t="shared" si="207"/>
        <v>7259.3</v>
      </c>
      <c r="DH82" s="248">
        <f t="shared" si="207"/>
        <v>7259.3</v>
      </c>
      <c r="DI82" s="248">
        <f t="shared" si="207"/>
        <v>7259.3</v>
      </c>
      <c r="DJ82" s="248">
        <f t="shared" si="207"/>
        <v>7259.3</v>
      </c>
      <c r="DK82" s="248">
        <f t="shared" si="207"/>
        <v>7259.3</v>
      </c>
      <c r="DL82" s="878">
        <f t="shared" si="208"/>
        <v>87111.60000000002</v>
      </c>
      <c r="DM82" s="554">
        <f>38040/12</f>
        <v>3170</v>
      </c>
      <c r="DN82" s="552">
        <f t="shared" ref="DN82:DX82" si="230">38040/12</f>
        <v>3170</v>
      </c>
      <c r="DO82" s="552">
        <f t="shared" si="230"/>
        <v>3170</v>
      </c>
      <c r="DP82" s="552">
        <f t="shared" si="230"/>
        <v>3170</v>
      </c>
      <c r="DQ82" s="552">
        <f t="shared" si="230"/>
        <v>3170</v>
      </c>
      <c r="DR82" s="552">
        <f t="shared" si="230"/>
        <v>3170</v>
      </c>
      <c r="DS82" s="552">
        <f t="shared" si="230"/>
        <v>3170</v>
      </c>
      <c r="DT82" s="552">
        <f t="shared" si="230"/>
        <v>3170</v>
      </c>
      <c r="DU82" s="552">
        <f t="shared" si="230"/>
        <v>3170</v>
      </c>
      <c r="DV82" s="552">
        <f t="shared" si="230"/>
        <v>3170</v>
      </c>
      <c r="DW82" s="552">
        <f t="shared" si="230"/>
        <v>3170</v>
      </c>
      <c r="DX82" s="552">
        <f t="shared" si="230"/>
        <v>3170</v>
      </c>
      <c r="DY82" s="876">
        <f t="shared" si="217"/>
        <v>38040</v>
      </c>
      <c r="DZ82" s="248">
        <f t="shared" si="209"/>
        <v>7259.3</v>
      </c>
      <c r="EA82" s="248">
        <f t="shared" si="209"/>
        <v>7259.3</v>
      </c>
      <c r="EB82" s="248">
        <f t="shared" si="209"/>
        <v>7259.3</v>
      </c>
      <c r="EC82" s="248">
        <f t="shared" si="209"/>
        <v>7259.3</v>
      </c>
      <c r="ED82" s="248">
        <f t="shared" si="209"/>
        <v>7259.3</v>
      </c>
      <c r="EE82" s="248">
        <f t="shared" si="209"/>
        <v>7259.3</v>
      </c>
      <c r="EF82" s="248">
        <f t="shared" si="209"/>
        <v>7259.3</v>
      </c>
      <c r="EG82" s="248">
        <f t="shared" si="209"/>
        <v>7259.3</v>
      </c>
      <c r="EH82" s="248">
        <f t="shared" si="209"/>
        <v>7259.3</v>
      </c>
      <c r="EI82" s="248">
        <f t="shared" si="209"/>
        <v>7259.3</v>
      </c>
      <c r="EJ82" s="248">
        <f t="shared" si="209"/>
        <v>7259.3</v>
      </c>
      <c r="EK82" s="248">
        <f t="shared" si="209"/>
        <v>7259.3</v>
      </c>
      <c r="EL82" s="878">
        <f t="shared" si="210"/>
        <v>87111.60000000002</v>
      </c>
    </row>
    <row r="83" spans="1:142" s="1010" customFormat="1">
      <c r="A83" s="997" t="s">
        <v>76</v>
      </c>
      <c r="B83" s="1031" t="s">
        <v>704</v>
      </c>
      <c r="C83" s="979"/>
      <c r="D83" s="1034"/>
      <c r="E83" s="1015"/>
      <c r="F83" s="1015"/>
      <c r="G83" s="1016"/>
      <c r="H83" s="1035">
        <v>5.52</v>
      </c>
      <c r="I83" s="1036">
        <v>5.52</v>
      </c>
      <c r="J83" s="1036">
        <v>5.52</v>
      </c>
      <c r="K83" s="1037">
        <v>5.52</v>
      </c>
      <c r="L83" s="1002"/>
      <c r="M83" s="1003"/>
      <c r="N83" s="1004"/>
      <c r="O83" s="1004"/>
      <c r="P83" s="1004"/>
      <c r="Q83" s="1004"/>
      <c r="R83" s="1004"/>
      <c r="S83" s="1004"/>
      <c r="T83" s="1004"/>
      <c r="U83" s="1004"/>
      <c r="V83" s="1004">
        <v>0</v>
      </c>
      <c r="W83" s="1004"/>
      <c r="X83" s="1004"/>
      <c r="Y83" s="1005">
        <f t="shared" si="197"/>
        <v>0</v>
      </c>
      <c r="Z83" s="991"/>
      <c r="AA83" s="992"/>
      <c r="AB83" s="992"/>
      <c r="AC83" s="992"/>
      <c r="AD83" s="248">
        <f t="shared" si="212"/>
        <v>0</v>
      </c>
      <c r="AE83" s="248">
        <f t="shared" si="212"/>
        <v>0</v>
      </c>
      <c r="AF83" s="248">
        <f t="shared" si="212"/>
        <v>0</v>
      </c>
      <c r="AG83" s="248">
        <f t="shared" si="212"/>
        <v>0</v>
      </c>
      <c r="AH83" s="992"/>
      <c r="AI83" s="992"/>
      <c r="AJ83" s="992"/>
      <c r="AK83" s="1008"/>
      <c r="AL83" s="1009">
        <f t="shared" si="200"/>
        <v>0</v>
      </c>
      <c r="AM83" s="1038"/>
      <c r="AN83" s="1004"/>
      <c r="AO83" s="1004"/>
      <c r="AP83" s="1004"/>
      <c r="AQ83" s="1004"/>
      <c r="AR83" s="1004"/>
      <c r="AS83" s="1004"/>
      <c r="AT83" s="1004"/>
      <c r="AU83" s="1004"/>
      <c r="AV83" s="1004"/>
      <c r="AW83" s="1004"/>
      <c r="AX83" s="1004"/>
      <c r="AY83" s="1005">
        <f t="shared" si="213"/>
        <v>0</v>
      </c>
      <c r="AZ83" s="991">
        <f t="shared" si="201"/>
        <v>0</v>
      </c>
      <c r="BA83" s="992">
        <f t="shared" si="201"/>
        <v>0</v>
      </c>
      <c r="BB83" s="992">
        <f t="shared" si="201"/>
        <v>0</v>
      </c>
      <c r="BC83" s="992">
        <f t="shared" si="201"/>
        <v>0</v>
      </c>
      <c r="BD83" s="992">
        <f t="shared" si="201"/>
        <v>0</v>
      </c>
      <c r="BE83" s="992">
        <f t="shared" si="201"/>
        <v>0</v>
      </c>
      <c r="BF83" s="992">
        <f t="shared" si="201"/>
        <v>0</v>
      </c>
      <c r="BG83" s="992">
        <f t="shared" si="201"/>
        <v>0</v>
      </c>
      <c r="BH83" s="992">
        <f t="shared" si="201"/>
        <v>0</v>
      </c>
      <c r="BI83" s="992">
        <f t="shared" si="201"/>
        <v>0</v>
      </c>
      <c r="BJ83" s="992">
        <f t="shared" si="201"/>
        <v>0</v>
      </c>
      <c r="BK83" s="992">
        <f t="shared" si="201"/>
        <v>0</v>
      </c>
      <c r="BL83" s="993">
        <f t="shared" si="202"/>
        <v>0</v>
      </c>
      <c r="BM83" s="1038">
        <v>3000</v>
      </c>
      <c r="BN83" s="1004">
        <v>5000</v>
      </c>
      <c r="BO83" s="1004">
        <v>10000</v>
      </c>
      <c r="BP83" s="1004">
        <v>10000</v>
      </c>
      <c r="BQ83" s="1004">
        <v>10000</v>
      </c>
      <c r="BR83" s="1004">
        <v>10000</v>
      </c>
      <c r="BS83" s="1004">
        <v>10000</v>
      </c>
      <c r="BT83" s="1004">
        <v>10000</v>
      </c>
      <c r="BU83" s="1004">
        <v>10000</v>
      </c>
      <c r="BV83" s="1004">
        <v>10000</v>
      </c>
      <c r="BW83" s="1004">
        <v>10000</v>
      </c>
      <c r="BX83" s="1004">
        <v>10000</v>
      </c>
      <c r="BY83" s="1005">
        <f t="shared" si="215"/>
        <v>108000</v>
      </c>
      <c r="BZ83" s="1039">
        <f t="shared" si="204"/>
        <v>16560</v>
      </c>
      <c r="CA83" s="992">
        <f t="shared" si="204"/>
        <v>27599.999999999996</v>
      </c>
      <c r="CB83" s="992">
        <f t="shared" si="204"/>
        <v>55199.999999999993</v>
      </c>
      <c r="CC83" s="992">
        <f t="shared" si="204"/>
        <v>55199.999999999993</v>
      </c>
      <c r="CD83" s="992">
        <f t="shared" si="204"/>
        <v>55199.999999999993</v>
      </c>
      <c r="CE83" s="992">
        <f t="shared" si="204"/>
        <v>55199.999999999993</v>
      </c>
      <c r="CF83" s="992">
        <f t="shared" si="204"/>
        <v>55199.999999999993</v>
      </c>
      <c r="CG83" s="992">
        <f t="shared" si="204"/>
        <v>55199.999999999993</v>
      </c>
      <c r="CH83" s="992">
        <f t="shared" si="204"/>
        <v>55199.999999999993</v>
      </c>
      <c r="CI83" s="992">
        <f t="shared" si="204"/>
        <v>55199.999999999993</v>
      </c>
      <c r="CJ83" s="992">
        <f t="shared" si="204"/>
        <v>55199.999999999993</v>
      </c>
      <c r="CK83" s="992">
        <f t="shared" si="204"/>
        <v>55199.999999999993</v>
      </c>
      <c r="CL83" s="1040">
        <f t="shared" si="205"/>
        <v>596160</v>
      </c>
      <c r="CM83" s="1038">
        <f>300000/12</f>
        <v>25000</v>
      </c>
      <c r="CN83" s="1004">
        <f t="shared" ref="CN83:CX84" si="231">300000/12</f>
        <v>25000</v>
      </c>
      <c r="CO83" s="1004">
        <f t="shared" si="231"/>
        <v>25000</v>
      </c>
      <c r="CP83" s="1004">
        <f t="shared" si="231"/>
        <v>25000</v>
      </c>
      <c r="CQ83" s="1004">
        <f t="shared" si="231"/>
        <v>25000</v>
      </c>
      <c r="CR83" s="1004">
        <f t="shared" si="231"/>
        <v>25000</v>
      </c>
      <c r="CS83" s="1004">
        <f t="shared" si="231"/>
        <v>25000</v>
      </c>
      <c r="CT83" s="1004">
        <f t="shared" si="231"/>
        <v>25000</v>
      </c>
      <c r="CU83" s="1004">
        <f t="shared" si="231"/>
        <v>25000</v>
      </c>
      <c r="CV83" s="1004">
        <f t="shared" si="231"/>
        <v>25000</v>
      </c>
      <c r="CW83" s="1004">
        <f t="shared" si="231"/>
        <v>25000</v>
      </c>
      <c r="CX83" s="1004">
        <f t="shared" si="231"/>
        <v>25000</v>
      </c>
      <c r="CY83" s="1005">
        <f t="shared" si="216"/>
        <v>300000</v>
      </c>
      <c r="CZ83" s="991">
        <f t="shared" si="206"/>
        <v>138000</v>
      </c>
      <c r="DA83" s="992">
        <f t="shared" si="207"/>
        <v>138000</v>
      </c>
      <c r="DB83" s="992">
        <f t="shared" si="207"/>
        <v>138000</v>
      </c>
      <c r="DC83" s="992">
        <f t="shared" si="207"/>
        <v>138000</v>
      </c>
      <c r="DD83" s="992">
        <f t="shared" si="207"/>
        <v>138000</v>
      </c>
      <c r="DE83" s="992">
        <f t="shared" si="207"/>
        <v>138000</v>
      </c>
      <c r="DF83" s="992">
        <f t="shared" si="207"/>
        <v>138000</v>
      </c>
      <c r="DG83" s="992">
        <f t="shared" si="207"/>
        <v>138000</v>
      </c>
      <c r="DH83" s="992">
        <f t="shared" si="207"/>
        <v>138000</v>
      </c>
      <c r="DI83" s="992">
        <f t="shared" si="207"/>
        <v>138000</v>
      </c>
      <c r="DJ83" s="992">
        <f t="shared" si="207"/>
        <v>138000</v>
      </c>
      <c r="DK83" s="992">
        <f t="shared" si="207"/>
        <v>138000</v>
      </c>
      <c r="DL83" s="993">
        <f t="shared" si="208"/>
        <v>1656000</v>
      </c>
      <c r="DM83" s="1038">
        <f>400000/12</f>
        <v>33333.333333333336</v>
      </c>
      <c r="DN83" s="1004">
        <f t="shared" ref="DN83:DX84" si="232">400000/12</f>
        <v>33333.333333333336</v>
      </c>
      <c r="DO83" s="1004">
        <f t="shared" si="232"/>
        <v>33333.333333333336</v>
      </c>
      <c r="DP83" s="1004">
        <f t="shared" si="232"/>
        <v>33333.333333333336</v>
      </c>
      <c r="DQ83" s="1004">
        <f t="shared" si="232"/>
        <v>33333.333333333336</v>
      </c>
      <c r="DR83" s="1004">
        <f t="shared" si="232"/>
        <v>33333.333333333336</v>
      </c>
      <c r="DS83" s="1004">
        <f t="shared" si="232"/>
        <v>33333.333333333336</v>
      </c>
      <c r="DT83" s="1004">
        <f t="shared" si="232"/>
        <v>33333.333333333336</v>
      </c>
      <c r="DU83" s="1004">
        <f t="shared" si="232"/>
        <v>33333.333333333336</v>
      </c>
      <c r="DV83" s="1004">
        <f t="shared" si="232"/>
        <v>33333.333333333336</v>
      </c>
      <c r="DW83" s="1004">
        <f t="shared" si="232"/>
        <v>33333.333333333336</v>
      </c>
      <c r="DX83" s="1004">
        <f t="shared" si="232"/>
        <v>33333.333333333336</v>
      </c>
      <c r="DY83" s="1005">
        <f t="shared" si="217"/>
        <v>399999.99999999994</v>
      </c>
      <c r="DZ83" s="992">
        <f t="shared" si="209"/>
        <v>184000</v>
      </c>
      <c r="EA83" s="992">
        <f t="shared" si="209"/>
        <v>184000</v>
      </c>
      <c r="EB83" s="992">
        <f t="shared" si="209"/>
        <v>184000</v>
      </c>
      <c r="EC83" s="992">
        <f t="shared" si="209"/>
        <v>184000</v>
      </c>
      <c r="ED83" s="992">
        <f t="shared" si="209"/>
        <v>184000</v>
      </c>
      <c r="EE83" s="992">
        <f t="shared" si="209"/>
        <v>184000</v>
      </c>
      <c r="EF83" s="992">
        <f t="shared" si="209"/>
        <v>184000</v>
      </c>
      <c r="EG83" s="992">
        <f t="shared" si="209"/>
        <v>184000</v>
      </c>
      <c r="EH83" s="992">
        <f t="shared" si="209"/>
        <v>184000</v>
      </c>
      <c r="EI83" s="992">
        <f t="shared" si="209"/>
        <v>184000</v>
      </c>
      <c r="EJ83" s="992">
        <f t="shared" si="209"/>
        <v>184000</v>
      </c>
      <c r="EK83" s="992">
        <f t="shared" si="209"/>
        <v>184000</v>
      </c>
      <c r="EL83" s="993">
        <f t="shared" si="210"/>
        <v>2208000</v>
      </c>
    </row>
    <row r="84" spans="1:142" s="1010" customFormat="1">
      <c r="A84" s="997" t="s">
        <v>76</v>
      </c>
      <c r="B84" s="1031" t="s">
        <v>705</v>
      </c>
      <c r="C84" s="979"/>
      <c r="D84" s="1034"/>
      <c r="E84" s="1015"/>
      <c r="F84" s="1015"/>
      <c r="G84" s="1016"/>
      <c r="H84" s="1035">
        <v>5.65</v>
      </c>
      <c r="I84" s="1036">
        <v>5.65</v>
      </c>
      <c r="J84" s="1036">
        <v>5.65</v>
      </c>
      <c r="K84" s="1037">
        <v>5.65</v>
      </c>
      <c r="L84" s="1002"/>
      <c r="M84" s="1003"/>
      <c r="N84" s="1004"/>
      <c r="O84" s="1004"/>
      <c r="P84" s="1004"/>
      <c r="Q84" s="1004"/>
      <c r="R84" s="1004"/>
      <c r="S84" s="1004"/>
      <c r="T84" s="1004"/>
      <c r="U84" s="1004"/>
      <c r="V84" s="1004">
        <v>0</v>
      </c>
      <c r="W84" s="1004"/>
      <c r="X84" s="1004"/>
      <c r="Y84" s="1005">
        <f t="shared" si="197"/>
        <v>0</v>
      </c>
      <c r="Z84" s="991"/>
      <c r="AA84" s="992"/>
      <c r="AB84" s="992"/>
      <c r="AC84" s="992"/>
      <c r="AD84" s="248">
        <f t="shared" si="212"/>
        <v>0</v>
      </c>
      <c r="AE84" s="248">
        <f t="shared" si="212"/>
        <v>0</v>
      </c>
      <c r="AF84" s="248">
        <f t="shared" si="212"/>
        <v>0</v>
      </c>
      <c r="AG84" s="248">
        <f t="shared" si="212"/>
        <v>0</v>
      </c>
      <c r="AH84" s="992"/>
      <c r="AI84" s="992"/>
      <c r="AJ84" s="992"/>
      <c r="AK84" s="1008"/>
      <c r="AL84" s="1009">
        <f t="shared" si="200"/>
        <v>0</v>
      </c>
      <c r="AM84" s="1038"/>
      <c r="AN84" s="1004"/>
      <c r="AO84" s="1004"/>
      <c r="AP84" s="1004"/>
      <c r="AQ84" s="1004"/>
      <c r="AR84" s="1004"/>
      <c r="AS84" s="1004"/>
      <c r="AT84" s="1004"/>
      <c r="AU84" s="1004"/>
      <c r="AV84" s="1004"/>
      <c r="AW84" s="1004"/>
      <c r="AX84" s="1004"/>
      <c r="AY84" s="1005">
        <f t="shared" si="213"/>
        <v>0</v>
      </c>
      <c r="AZ84" s="991">
        <f t="shared" si="201"/>
        <v>0</v>
      </c>
      <c r="BA84" s="992">
        <f t="shared" si="201"/>
        <v>0</v>
      </c>
      <c r="BB84" s="992">
        <f t="shared" si="201"/>
        <v>0</v>
      </c>
      <c r="BC84" s="992">
        <f t="shared" si="201"/>
        <v>0</v>
      </c>
      <c r="BD84" s="992">
        <f t="shared" si="201"/>
        <v>0</v>
      </c>
      <c r="BE84" s="992">
        <f t="shared" si="201"/>
        <v>0</v>
      </c>
      <c r="BF84" s="992">
        <f t="shared" si="201"/>
        <v>0</v>
      </c>
      <c r="BG84" s="992">
        <f t="shared" si="201"/>
        <v>0</v>
      </c>
      <c r="BH84" s="992">
        <f t="shared" si="201"/>
        <v>0</v>
      </c>
      <c r="BI84" s="992">
        <f t="shared" si="201"/>
        <v>0</v>
      </c>
      <c r="BJ84" s="992">
        <f t="shared" si="201"/>
        <v>0</v>
      </c>
      <c r="BK84" s="992">
        <f t="shared" si="201"/>
        <v>0</v>
      </c>
      <c r="BL84" s="993">
        <f t="shared" si="202"/>
        <v>0</v>
      </c>
      <c r="BM84" s="1038">
        <v>3000</v>
      </c>
      <c r="BN84" s="1004">
        <v>5000</v>
      </c>
      <c r="BO84" s="1004">
        <v>10000</v>
      </c>
      <c r="BP84" s="1004">
        <v>10000</v>
      </c>
      <c r="BQ84" s="1004">
        <v>10000</v>
      </c>
      <c r="BR84" s="1004">
        <v>10000</v>
      </c>
      <c r="BS84" s="1004">
        <v>10000</v>
      </c>
      <c r="BT84" s="1004">
        <v>10000</v>
      </c>
      <c r="BU84" s="1004">
        <v>10000</v>
      </c>
      <c r="BV84" s="1004">
        <v>10000</v>
      </c>
      <c r="BW84" s="1004">
        <v>10000</v>
      </c>
      <c r="BX84" s="1004">
        <v>10000</v>
      </c>
      <c r="BY84" s="1005">
        <f t="shared" si="215"/>
        <v>108000</v>
      </c>
      <c r="BZ84" s="1039">
        <f t="shared" si="204"/>
        <v>16950</v>
      </c>
      <c r="CA84" s="992">
        <f t="shared" si="204"/>
        <v>28250</v>
      </c>
      <c r="CB84" s="992">
        <f t="shared" si="204"/>
        <v>56500</v>
      </c>
      <c r="CC84" s="992">
        <f t="shared" si="204"/>
        <v>56500</v>
      </c>
      <c r="CD84" s="992">
        <f t="shared" si="204"/>
        <v>56500</v>
      </c>
      <c r="CE84" s="992">
        <f t="shared" si="204"/>
        <v>56500</v>
      </c>
      <c r="CF84" s="992">
        <f t="shared" si="204"/>
        <v>56500</v>
      </c>
      <c r="CG84" s="992">
        <f t="shared" si="204"/>
        <v>56500</v>
      </c>
      <c r="CH84" s="992">
        <f t="shared" si="204"/>
        <v>56500</v>
      </c>
      <c r="CI84" s="992">
        <f t="shared" si="204"/>
        <v>56500</v>
      </c>
      <c r="CJ84" s="992">
        <f t="shared" si="204"/>
        <v>56500</v>
      </c>
      <c r="CK84" s="992">
        <f t="shared" si="204"/>
        <v>56500</v>
      </c>
      <c r="CL84" s="1040">
        <f t="shared" si="205"/>
        <v>610200</v>
      </c>
      <c r="CM84" s="1038">
        <f>300000/12</f>
        <v>25000</v>
      </c>
      <c r="CN84" s="1004">
        <f t="shared" si="231"/>
        <v>25000</v>
      </c>
      <c r="CO84" s="1004">
        <f t="shared" si="231"/>
        <v>25000</v>
      </c>
      <c r="CP84" s="1004">
        <f t="shared" si="231"/>
        <v>25000</v>
      </c>
      <c r="CQ84" s="1004">
        <f t="shared" si="231"/>
        <v>25000</v>
      </c>
      <c r="CR84" s="1004">
        <f t="shared" si="231"/>
        <v>25000</v>
      </c>
      <c r="CS84" s="1004">
        <f t="shared" si="231"/>
        <v>25000</v>
      </c>
      <c r="CT84" s="1004">
        <f t="shared" si="231"/>
        <v>25000</v>
      </c>
      <c r="CU84" s="1004">
        <f t="shared" si="231"/>
        <v>25000</v>
      </c>
      <c r="CV84" s="1004">
        <f t="shared" si="231"/>
        <v>25000</v>
      </c>
      <c r="CW84" s="1004">
        <f t="shared" si="231"/>
        <v>25000</v>
      </c>
      <c r="CX84" s="1004">
        <f t="shared" si="231"/>
        <v>25000</v>
      </c>
      <c r="CY84" s="1005">
        <f t="shared" si="216"/>
        <v>300000</v>
      </c>
      <c r="CZ84" s="991">
        <f t="shared" si="206"/>
        <v>141250</v>
      </c>
      <c r="DA84" s="992">
        <f t="shared" si="207"/>
        <v>141250</v>
      </c>
      <c r="DB84" s="992">
        <f t="shared" si="207"/>
        <v>141250</v>
      </c>
      <c r="DC84" s="992">
        <f t="shared" si="207"/>
        <v>141250</v>
      </c>
      <c r="DD84" s="992">
        <f t="shared" si="207"/>
        <v>141250</v>
      </c>
      <c r="DE84" s="992">
        <f t="shared" si="207"/>
        <v>141250</v>
      </c>
      <c r="DF84" s="992">
        <f t="shared" si="207"/>
        <v>141250</v>
      </c>
      <c r="DG84" s="992">
        <f t="shared" si="207"/>
        <v>141250</v>
      </c>
      <c r="DH84" s="992">
        <f t="shared" si="207"/>
        <v>141250</v>
      </c>
      <c r="DI84" s="992">
        <f t="shared" si="207"/>
        <v>141250</v>
      </c>
      <c r="DJ84" s="992">
        <f t="shared" si="207"/>
        <v>141250</v>
      </c>
      <c r="DK84" s="992">
        <f t="shared" si="207"/>
        <v>141250</v>
      </c>
      <c r="DL84" s="993">
        <f t="shared" si="208"/>
        <v>1695000</v>
      </c>
      <c r="DM84" s="1038">
        <f>400000/12</f>
        <v>33333.333333333336</v>
      </c>
      <c r="DN84" s="1004">
        <f t="shared" si="232"/>
        <v>33333.333333333336</v>
      </c>
      <c r="DO84" s="1004">
        <f t="shared" si="232"/>
        <v>33333.333333333336</v>
      </c>
      <c r="DP84" s="1004">
        <f t="shared" si="232"/>
        <v>33333.333333333336</v>
      </c>
      <c r="DQ84" s="1004">
        <f t="shared" si="232"/>
        <v>33333.333333333336</v>
      </c>
      <c r="DR84" s="1004">
        <f t="shared" si="232"/>
        <v>33333.333333333336</v>
      </c>
      <c r="DS84" s="1004">
        <f t="shared" si="232"/>
        <v>33333.333333333336</v>
      </c>
      <c r="DT84" s="1004">
        <f t="shared" si="232"/>
        <v>33333.333333333336</v>
      </c>
      <c r="DU84" s="1004">
        <f t="shared" si="232"/>
        <v>33333.333333333336</v>
      </c>
      <c r="DV84" s="1004">
        <f t="shared" si="232"/>
        <v>33333.333333333336</v>
      </c>
      <c r="DW84" s="1004">
        <f t="shared" si="232"/>
        <v>33333.333333333336</v>
      </c>
      <c r="DX84" s="1004">
        <f t="shared" si="232"/>
        <v>33333.333333333336</v>
      </c>
      <c r="DY84" s="1005">
        <f t="shared" si="217"/>
        <v>399999.99999999994</v>
      </c>
      <c r="DZ84" s="992">
        <f t="shared" si="209"/>
        <v>188333.33333333337</v>
      </c>
      <c r="EA84" s="992">
        <f t="shared" si="209"/>
        <v>188333.33333333337</v>
      </c>
      <c r="EB84" s="992">
        <f t="shared" si="209"/>
        <v>188333.33333333337</v>
      </c>
      <c r="EC84" s="992">
        <f t="shared" si="209"/>
        <v>188333.33333333337</v>
      </c>
      <c r="ED84" s="992">
        <f t="shared" si="209"/>
        <v>188333.33333333337</v>
      </c>
      <c r="EE84" s="992">
        <f t="shared" si="209"/>
        <v>188333.33333333337</v>
      </c>
      <c r="EF84" s="992">
        <f t="shared" si="209"/>
        <v>188333.33333333337</v>
      </c>
      <c r="EG84" s="992">
        <f t="shared" si="209"/>
        <v>188333.33333333337</v>
      </c>
      <c r="EH84" s="992">
        <f t="shared" si="209"/>
        <v>188333.33333333337</v>
      </c>
      <c r="EI84" s="992">
        <f t="shared" si="209"/>
        <v>188333.33333333337</v>
      </c>
      <c r="EJ84" s="992">
        <f t="shared" si="209"/>
        <v>188333.33333333337</v>
      </c>
      <c r="EK84" s="992">
        <f t="shared" si="209"/>
        <v>188333.33333333337</v>
      </c>
      <c r="EL84" s="993">
        <f t="shared" si="210"/>
        <v>2260000.0000000009</v>
      </c>
    </row>
    <row r="85" spans="1:142" s="1010" customFormat="1">
      <c r="A85" s="997" t="s">
        <v>76</v>
      </c>
      <c r="B85" s="1031" t="s">
        <v>706</v>
      </c>
      <c r="C85" s="979"/>
      <c r="D85" s="1034"/>
      <c r="E85" s="1015"/>
      <c r="F85" s="1015"/>
      <c r="G85" s="1016"/>
      <c r="H85" s="1035">
        <v>5.65</v>
      </c>
      <c r="I85" s="1036">
        <v>5.65</v>
      </c>
      <c r="J85" s="1036">
        <v>5.65</v>
      </c>
      <c r="K85" s="1037">
        <v>5.65</v>
      </c>
      <c r="L85" s="1002"/>
      <c r="M85" s="1003"/>
      <c r="N85" s="1004"/>
      <c r="O85" s="1004"/>
      <c r="P85" s="1004"/>
      <c r="Q85" s="1004"/>
      <c r="R85" s="1004"/>
      <c r="S85" s="1004"/>
      <c r="T85" s="1004"/>
      <c r="U85" s="1004"/>
      <c r="V85" s="1004">
        <v>0</v>
      </c>
      <c r="W85" s="1004"/>
      <c r="X85" s="1004"/>
      <c r="Y85" s="1005">
        <f t="shared" si="197"/>
        <v>0</v>
      </c>
      <c r="Z85" s="991"/>
      <c r="AA85" s="992"/>
      <c r="AB85" s="992"/>
      <c r="AC85" s="992"/>
      <c r="AD85" s="248">
        <f t="shared" si="212"/>
        <v>0</v>
      </c>
      <c r="AE85" s="248">
        <f t="shared" si="212"/>
        <v>0</v>
      </c>
      <c r="AF85" s="248">
        <f t="shared" si="212"/>
        <v>0</v>
      </c>
      <c r="AG85" s="248">
        <f t="shared" si="212"/>
        <v>0</v>
      </c>
      <c r="AH85" s="992"/>
      <c r="AI85" s="992"/>
      <c r="AJ85" s="992"/>
      <c r="AK85" s="1008"/>
      <c r="AL85" s="1009">
        <f t="shared" si="200"/>
        <v>0</v>
      </c>
      <c r="AM85" s="1038"/>
      <c r="AN85" s="1004"/>
      <c r="AO85" s="1004"/>
      <c r="AP85" s="1004"/>
      <c r="AQ85" s="1004"/>
      <c r="AR85" s="1004"/>
      <c r="AS85" s="1004"/>
      <c r="AT85" s="1004"/>
      <c r="AU85" s="1004"/>
      <c r="AV85" s="1004"/>
      <c r="AW85" s="1004"/>
      <c r="AX85" s="1004"/>
      <c r="AY85" s="1005">
        <f t="shared" si="213"/>
        <v>0</v>
      </c>
      <c r="AZ85" s="991">
        <f t="shared" si="201"/>
        <v>0</v>
      </c>
      <c r="BA85" s="992">
        <f t="shared" si="201"/>
        <v>0</v>
      </c>
      <c r="BB85" s="992">
        <f t="shared" si="201"/>
        <v>0</v>
      </c>
      <c r="BC85" s="992">
        <f t="shared" si="201"/>
        <v>0</v>
      </c>
      <c r="BD85" s="992">
        <f t="shared" si="201"/>
        <v>0</v>
      </c>
      <c r="BE85" s="992">
        <f t="shared" si="201"/>
        <v>0</v>
      </c>
      <c r="BF85" s="992">
        <f t="shared" si="201"/>
        <v>0</v>
      </c>
      <c r="BG85" s="992">
        <f t="shared" si="201"/>
        <v>0</v>
      </c>
      <c r="BH85" s="992">
        <f t="shared" si="201"/>
        <v>0</v>
      </c>
      <c r="BI85" s="992">
        <f t="shared" si="201"/>
        <v>0</v>
      </c>
      <c r="BJ85" s="992">
        <f t="shared" si="201"/>
        <v>0</v>
      </c>
      <c r="BK85" s="992">
        <f t="shared" si="201"/>
        <v>0</v>
      </c>
      <c r="BL85" s="993">
        <f t="shared" si="202"/>
        <v>0</v>
      </c>
      <c r="BM85" s="1038"/>
      <c r="BN85" s="1004"/>
      <c r="BO85" s="1004"/>
      <c r="BP85" s="1038">
        <v>3000</v>
      </c>
      <c r="BQ85" s="1004">
        <v>5000</v>
      </c>
      <c r="BR85" s="1004">
        <v>10000</v>
      </c>
      <c r="BS85" s="1004">
        <v>10000</v>
      </c>
      <c r="BT85" s="1004">
        <v>10000</v>
      </c>
      <c r="BU85" s="1004">
        <v>10000</v>
      </c>
      <c r="BV85" s="1004">
        <v>10000</v>
      </c>
      <c r="BW85" s="1004">
        <v>10000</v>
      </c>
      <c r="BX85" s="1004">
        <v>10000</v>
      </c>
      <c r="BY85" s="1005">
        <f t="shared" si="215"/>
        <v>78000</v>
      </c>
      <c r="BZ85" s="1039">
        <f t="shared" si="204"/>
        <v>0</v>
      </c>
      <c r="CA85" s="992">
        <f t="shared" si="204"/>
        <v>0</v>
      </c>
      <c r="CB85" s="992">
        <f t="shared" si="204"/>
        <v>0</v>
      </c>
      <c r="CC85" s="992">
        <f t="shared" si="204"/>
        <v>16950</v>
      </c>
      <c r="CD85" s="992">
        <f t="shared" si="204"/>
        <v>28250</v>
      </c>
      <c r="CE85" s="992">
        <f t="shared" si="204"/>
        <v>56500</v>
      </c>
      <c r="CF85" s="992">
        <f t="shared" si="204"/>
        <v>56500</v>
      </c>
      <c r="CG85" s="992">
        <f t="shared" si="204"/>
        <v>56500</v>
      </c>
      <c r="CH85" s="992">
        <f t="shared" si="204"/>
        <v>56500</v>
      </c>
      <c r="CI85" s="992">
        <f t="shared" si="204"/>
        <v>56500</v>
      </c>
      <c r="CJ85" s="992">
        <f t="shared" si="204"/>
        <v>56500</v>
      </c>
      <c r="CK85" s="992">
        <f t="shared" si="204"/>
        <v>56500</v>
      </c>
      <c r="CL85" s="1040">
        <f t="shared" si="205"/>
        <v>440700</v>
      </c>
      <c r="CM85" s="1038">
        <f>250000/12</f>
        <v>20833.333333333332</v>
      </c>
      <c r="CN85" s="1004">
        <f t="shared" ref="CN85:CX86" si="233">250000/12</f>
        <v>20833.333333333332</v>
      </c>
      <c r="CO85" s="1004">
        <f t="shared" si="233"/>
        <v>20833.333333333332</v>
      </c>
      <c r="CP85" s="1004">
        <f t="shared" si="233"/>
        <v>20833.333333333332</v>
      </c>
      <c r="CQ85" s="1004">
        <f t="shared" si="233"/>
        <v>20833.333333333332</v>
      </c>
      <c r="CR85" s="1004">
        <f t="shared" si="233"/>
        <v>20833.333333333332</v>
      </c>
      <c r="CS85" s="1004">
        <f t="shared" si="233"/>
        <v>20833.333333333332</v>
      </c>
      <c r="CT85" s="1004">
        <f t="shared" si="233"/>
        <v>20833.333333333332</v>
      </c>
      <c r="CU85" s="1004">
        <f t="shared" si="233"/>
        <v>20833.333333333332</v>
      </c>
      <c r="CV85" s="1004">
        <f t="shared" si="233"/>
        <v>20833.333333333332</v>
      </c>
      <c r="CW85" s="1004">
        <f t="shared" si="233"/>
        <v>20833.333333333332</v>
      </c>
      <c r="CX85" s="1004">
        <f t="shared" si="233"/>
        <v>20833.333333333332</v>
      </c>
      <c r="CY85" s="1005">
        <f t="shared" si="216"/>
        <v>250000.00000000003</v>
      </c>
      <c r="CZ85" s="991">
        <f t="shared" si="206"/>
        <v>117708.33333333333</v>
      </c>
      <c r="DA85" s="992">
        <f t="shared" si="207"/>
        <v>117708.33333333333</v>
      </c>
      <c r="DB85" s="992">
        <f t="shared" si="207"/>
        <v>117708.33333333333</v>
      </c>
      <c r="DC85" s="992">
        <f t="shared" si="207"/>
        <v>117708.33333333333</v>
      </c>
      <c r="DD85" s="992">
        <f t="shared" si="207"/>
        <v>117708.33333333333</v>
      </c>
      <c r="DE85" s="992">
        <f t="shared" si="207"/>
        <v>117708.33333333333</v>
      </c>
      <c r="DF85" s="992">
        <f t="shared" si="207"/>
        <v>117708.33333333333</v>
      </c>
      <c r="DG85" s="992">
        <f t="shared" si="207"/>
        <v>117708.33333333333</v>
      </c>
      <c r="DH85" s="992">
        <f t="shared" si="207"/>
        <v>117708.33333333333</v>
      </c>
      <c r="DI85" s="992">
        <f t="shared" si="207"/>
        <v>117708.33333333333</v>
      </c>
      <c r="DJ85" s="992">
        <f t="shared" si="207"/>
        <v>117708.33333333333</v>
      </c>
      <c r="DK85" s="992">
        <f t="shared" si="207"/>
        <v>117708.33333333333</v>
      </c>
      <c r="DL85" s="993">
        <f t="shared" si="208"/>
        <v>1412499.9999999998</v>
      </c>
      <c r="DM85" s="1038">
        <f>300000/12</f>
        <v>25000</v>
      </c>
      <c r="DN85" s="1004">
        <f t="shared" ref="DN85:DX86" si="234">300000/12</f>
        <v>25000</v>
      </c>
      <c r="DO85" s="1004">
        <f t="shared" si="234"/>
        <v>25000</v>
      </c>
      <c r="DP85" s="1004">
        <f t="shared" si="234"/>
        <v>25000</v>
      </c>
      <c r="DQ85" s="1004">
        <f t="shared" si="234"/>
        <v>25000</v>
      </c>
      <c r="DR85" s="1004">
        <f t="shared" si="234"/>
        <v>25000</v>
      </c>
      <c r="DS85" s="1004">
        <f t="shared" si="234"/>
        <v>25000</v>
      </c>
      <c r="DT85" s="1004">
        <f t="shared" si="234"/>
        <v>25000</v>
      </c>
      <c r="DU85" s="1004">
        <f t="shared" si="234"/>
        <v>25000</v>
      </c>
      <c r="DV85" s="1004">
        <f t="shared" si="234"/>
        <v>25000</v>
      </c>
      <c r="DW85" s="1004">
        <f t="shared" si="234"/>
        <v>25000</v>
      </c>
      <c r="DX85" s="1004">
        <f t="shared" si="234"/>
        <v>25000</v>
      </c>
      <c r="DY85" s="1005">
        <f t="shared" si="217"/>
        <v>300000</v>
      </c>
      <c r="DZ85" s="992">
        <f t="shared" si="209"/>
        <v>141250</v>
      </c>
      <c r="EA85" s="992">
        <f t="shared" si="209"/>
        <v>141250</v>
      </c>
      <c r="EB85" s="992">
        <f t="shared" si="209"/>
        <v>141250</v>
      </c>
      <c r="EC85" s="992">
        <f t="shared" si="209"/>
        <v>141250</v>
      </c>
      <c r="ED85" s="992">
        <f t="shared" si="209"/>
        <v>141250</v>
      </c>
      <c r="EE85" s="992">
        <f t="shared" si="209"/>
        <v>141250</v>
      </c>
      <c r="EF85" s="992">
        <f t="shared" si="209"/>
        <v>141250</v>
      </c>
      <c r="EG85" s="992">
        <f t="shared" si="209"/>
        <v>141250</v>
      </c>
      <c r="EH85" s="992">
        <f t="shared" si="209"/>
        <v>141250</v>
      </c>
      <c r="EI85" s="992">
        <f t="shared" si="209"/>
        <v>141250</v>
      </c>
      <c r="EJ85" s="992">
        <f t="shared" si="209"/>
        <v>141250</v>
      </c>
      <c r="EK85" s="992">
        <f t="shared" si="209"/>
        <v>141250</v>
      </c>
      <c r="EL85" s="993">
        <f t="shared" si="210"/>
        <v>1695000</v>
      </c>
    </row>
    <row r="86" spans="1:142" s="1010" customFormat="1">
      <c r="A86" s="997" t="s">
        <v>76</v>
      </c>
      <c r="B86" s="1031" t="s">
        <v>707</v>
      </c>
      <c r="C86" s="979"/>
      <c r="D86" s="1034"/>
      <c r="E86" s="1015"/>
      <c r="F86" s="1015"/>
      <c r="G86" s="1016"/>
      <c r="H86" s="1035">
        <v>1.43</v>
      </c>
      <c r="I86" s="1036">
        <v>1.43</v>
      </c>
      <c r="J86" s="1036">
        <v>1.43</v>
      </c>
      <c r="K86" s="1037">
        <v>1.43</v>
      </c>
      <c r="L86" s="1002"/>
      <c r="M86" s="1003"/>
      <c r="N86" s="1004"/>
      <c r="O86" s="1004"/>
      <c r="P86" s="1004"/>
      <c r="Q86" s="1004"/>
      <c r="R86" s="1004"/>
      <c r="S86" s="1004"/>
      <c r="T86" s="1004"/>
      <c r="U86" s="1004"/>
      <c r="V86" s="1004">
        <v>0</v>
      </c>
      <c r="W86" s="1004"/>
      <c r="X86" s="1004"/>
      <c r="Y86" s="1005">
        <f t="shared" si="197"/>
        <v>0</v>
      </c>
      <c r="Z86" s="991"/>
      <c r="AA86" s="992"/>
      <c r="AB86" s="992"/>
      <c r="AC86" s="992"/>
      <c r="AD86" s="248">
        <f t="shared" si="212"/>
        <v>0</v>
      </c>
      <c r="AE86" s="248">
        <f t="shared" si="212"/>
        <v>0</v>
      </c>
      <c r="AF86" s="248">
        <f t="shared" si="212"/>
        <v>0</v>
      </c>
      <c r="AG86" s="248">
        <f t="shared" si="212"/>
        <v>0</v>
      </c>
      <c r="AH86" s="992"/>
      <c r="AI86" s="992"/>
      <c r="AJ86" s="992"/>
      <c r="AK86" s="1008"/>
      <c r="AL86" s="1009">
        <f t="shared" si="200"/>
        <v>0</v>
      </c>
      <c r="AM86" s="1038"/>
      <c r="AN86" s="1004"/>
      <c r="AO86" s="1004"/>
      <c r="AP86" s="1004"/>
      <c r="AQ86" s="1004"/>
      <c r="AR86" s="1004"/>
      <c r="AS86" s="1004"/>
      <c r="AT86" s="1004"/>
      <c r="AU86" s="1004"/>
      <c r="AV86" s="1004"/>
      <c r="AW86" s="1004"/>
      <c r="AX86" s="1004"/>
      <c r="AY86" s="1005">
        <f t="shared" si="213"/>
        <v>0</v>
      </c>
      <c r="AZ86" s="991">
        <f t="shared" si="201"/>
        <v>0</v>
      </c>
      <c r="BA86" s="992">
        <f t="shared" si="201"/>
        <v>0</v>
      </c>
      <c r="BB86" s="992">
        <f t="shared" si="201"/>
        <v>0</v>
      </c>
      <c r="BC86" s="992">
        <f t="shared" si="201"/>
        <v>0</v>
      </c>
      <c r="BD86" s="992">
        <f t="shared" si="201"/>
        <v>0</v>
      </c>
      <c r="BE86" s="992">
        <f t="shared" si="201"/>
        <v>0</v>
      </c>
      <c r="BF86" s="992">
        <f t="shared" si="201"/>
        <v>0</v>
      </c>
      <c r="BG86" s="992">
        <f t="shared" si="201"/>
        <v>0</v>
      </c>
      <c r="BH86" s="992">
        <f t="shared" si="201"/>
        <v>0</v>
      </c>
      <c r="BI86" s="992">
        <f t="shared" si="201"/>
        <v>0</v>
      </c>
      <c r="BJ86" s="992">
        <f t="shared" si="201"/>
        <v>0</v>
      </c>
      <c r="BK86" s="992">
        <f t="shared" si="201"/>
        <v>0</v>
      </c>
      <c r="BL86" s="993">
        <f t="shared" si="202"/>
        <v>0</v>
      </c>
      <c r="BM86" s="1038"/>
      <c r="BN86" s="1004"/>
      <c r="BO86" s="1004"/>
      <c r="BP86" s="1038">
        <v>3000</v>
      </c>
      <c r="BQ86" s="1004">
        <v>5000</v>
      </c>
      <c r="BR86" s="1004">
        <v>10000</v>
      </c>
      <c r="BS86" s="1004">
        <v>10000</v>
      </c>
      <c r="BT86" s="1004">
        <v>10000</v>
      </c>
      <c r="BU86" s="1004">
        <v>10000</v>
      </c>
      <c r="BV86" s="1004">
        <v>10000</v>
      </c>
      <c r="BW86" s="1004">
        <v>10000</v>
      </c>
      <c r="BX86" s="1004">
        <v>10000</v>
      </c>
      <c r="BY86" s="1005">
        <f t="shared" si="215"/>
        <v>78000</v>
      </c>
      <c r="BZ86" s="1039">
        <f t="shared" si="204"/>
        <v>0</v>
      </c>
      <c r="CA86" s="992">
        <f t="shared" si="204"/>
        <v>0</v>
      </c>
      <c r="CB86" s="992">
        <f t="shared" si="204"/>
        <v>0</v>
      </c>
      <c r="CC86" s="992">
        <f t="shared" si="204"/>
        <v>4290</v>
      </c>
      <c r="CD86" s="992">
        <f t="shared" si="204"/>
        <v>7150</v>
      </c>
      <c r="CE86" s="992">
        <f t="shared" si="204"/>
        <v>14300</v>
      </c>
      <c r="CF86" s="992">
        <f t="shared" si="204"/>
        <v>14300</v>
      </c>
      <c r="CG86" s="992">
        <f t="shared" si="204"/>
        <v>14300</v>
      </c>
      <c r="CH86" s="992">
        <f t="shared" si="204"/>
        <v>14300</v>
      </c>
      <c r="CI86" s="992">
        <f t="shared" si="204"/>
        <v>14300</v>
      </c>
      <c r="CJ86" s="992">
        <f t="shared" si="204"/>
        <v>14300</v>
      </c>
      <c r="CK86" s="992">
        <f t="shared" si="204"/>
        <v>14300</v>
      </c>
      <c r="CL86" s="1040">
        <f t="shared" si="205"/>
        <v>111540</v>
      </c>
      <c r="CM86" s="1038">
        <f>250000/12</f>
        <v>20833.333333333332</v>
      </c>
      <c r="CN86" s="1004">
        <f t="shared" si="233"/>
        <v>20833.333333333332</v>
      </c>
      <c r="CO86" s="1004">
        <f t="shared" si="233"/>
        <v>20833.333333333332</v>
      </c>
      <c r="CP86" s="1004">
        <f t="shared" si="233"/>
        <v>20833.333333333332</v>
      </c>
      <c r="CQ86" s="1004">
        <f t="shared" si="233"/>
        <v>20833.333333333332</v>
      </c>
      <c r="CR86" s="1004">
        <f t="shared" si="233"/>
        <v>20833.333333333332</v>
      </c>
      <c r="CS86" s="1004">
        <f t="shared" si="233"/>
        <v>20833.333333333332</v>
      </c>
      <c r="CT86" s="1004">
        <f t="shared" si="233"/>
        <v>20833.333333333332</v>
      </c>
      <c r="CU86" s="1004">
        <f t="shared" si="233"/>
        <v>20833.333333333332</v>
      </c>
      <c r="CV86" s="1004">
        <f t="shared" si="233"/>
        <v>20833.333333333332</v>
      </c>
      <c r="CW86" s="1004">
        <f t="shared" si="233"/>
        <v>20833.333333333332</v>
      </c>
      <c r="CX86" s="1004">
        <f t="shared" si="233"/>
        <v>20833.333333333332</v>
      </c>
      <c r="CY86" s="1005">
        <f t="shared" si="216"/>
        <v>250000.00000000003</v>
      </c>
      <c r="CZ86" s="991">
        <f t="shared" si="206"/>
        <v>29791.666666666664</v>
      </c>
      <c r="DA86" s="992">
        <f t="shared" si="207"/>
        <v>29791.666666666664</v>
      </c>
      <c r="DB86" s="992">
        <f t="shared" si="207"/>
        <v>29791.666666666664</v>
      </c>
      <c r="DC86" s="992">
        <f t="shared" si="207"/>
        <v>29791.666666666664</v>
      </c>
      <c r="DD86" s="992">
        <f t="shared" si="207"/>
        <v>29791.666666666664</v>
      </c>
      <c r="DE86" s="992">
        <f t="shared" si="207"/>
        <v>29791.666666666664</v>
      </c>
      <c r="DF86" s="992">
        <f t="shared" si="207"/>
        <v>29791.666666666664</v>
      </c>
      <c r="DG86" s="992">
        <f t="shared" si="207"/>
        <v>29791.666666666664</v>
      </c>
      <c r="DH86" s="992">
        <f t="shared" si="207"/>
        <v>29791.666666666664</v>
      </c>
      <c r="DI86" s="992">
        <f t="shared" si="207"/>
        <v>29791.666666666664</v>
      </c>
      <c r="DJ86" s="992">
        <f t="shared" si="207"/>
        <v>29791.666666666664</v>
      </c>
      <c r="DK86" s="992">
        <f t="shared" si="207"/>
        <v>29791.666666666664</v>
      </c>
      <c r="DL86" s="993">
        <f t="shared" si="208"/>
        <v>357500</v>
      </c>
      <c r="DM86" s="1038">
        <f>300000/12</f>
        <v>25000</v>
      </c>
      <c r="DN86" s="1004">
        <f t="shared" si="234"/>
        <v>25000</v>
      </c>
      <c r="DO86" s="1004">
        <f t="shared" si="234"/>
        <v>25000</v>
      </c>
      <c r="DP86" s="1004">
        <f t="shared" si="234"/>
        <v>25000</v>
      </c>
      <c r="DQ86" s="1004">
        <f t="shared" si="234"/>
        <v>25000</v>
      </c>
      <c r="DR86" s="1004">
        <f t="shared" si="234"/>
        <v>25000</v>
      </c>
      <c r="DS86" s="1004">
        <f t="shared" si="234"/>
        <v>25000</v>
      </c>
      <c r="DT86" s="1004">
        <f t="shared" si="234"/>
        <v>25000</v>
      </c>
      <c r="DU86" s="1004">
        <f t="shared" si="234"/>
        <v>25000</v>
      </c>
      <c r="DV86" s="1004">
        <f t="shared" si="234"/>
        <v>25000</v>
      </c>
      <c r="DW86" s="1004">
        <f t="shared" si="234"/>
        <v>25000</v>
      </c>
      <c r="DX86" s="1004">
        <f t="shared" si="234"/>
        <v>25000</v>
      </c>
      <c r="DY86" s="1005">
        <f t="shared" si="217"/>
        <v>300000</v>
      </c>
      <c r="DZ86" s="992">
        <f t="shared" si="209"/>
        <v>35750</v>
      </c>
      <c r="EA86" s="992">
        <f t="shared" si="209"/>
        <v>35750</v>
      </c>
      <c r="EB86" s="992">
        <f t="shared" si="209"/>
        <v>35750</v>
      </c>
      <c r="EC86" s="992">
        <f t="shared" si="209"/>
        <v>35750</v>
      </c>
      <c r="ED86" s="992">
        <f t="shared" si="209"/>
        <v>35750</v>
      </c>
      <c r="EE86" s="992">
        <f t="shared" si="209"/>
        <v>35750</v>
      </c>
      <c r="EF86" s="992">
        <f t="shared" si="209"/>
        <v>35750</v>
      </c>
      <c r="EG86" s="992">
        <f t="shared" si="209"/>
        <v>35750</v>
      </c>
      <c r="EH86" s="992">
        <f t="shared" si="209"/>
        <v>35750</v>
      </c>
      <c r="EI86" s="992">
        <f t="shared" si="209"/>
        <v>35750</v>
      </c>
      <c r="EJ86" s="992">
        <f t="shared" si="209"/>
        <v>35750</v>
      </c>
      <c r="EK86" s="992">
        <f t="shared" si="209"/>
        <v>35750</v>
      </c>
      <c r="EL86" s="993">
        <f t="shared" si="210"/>
        <v>429000</v>
      </c>
    </row>
    <row r="87" spans="1:142" s="1010" customFormat="1">
      <c r="A87" s="997" t="s">
        <v>76</v>
      </c>
      <c r="B87" s="1031" t="s">
        <v>708</v>
      </c>
      <c r="C87" s="979"/>
      <c r="D87" s="1034"/>
      <c r="E87" s="1041"/>
      <c r="F87" s="1041"/>
      <c r="G87" s="1016"/>
      <c r="H87" s="1035">
        <v>4.4000000000000004</v>
      </c>
      <c r="I87" s="1036">
        <v>4.4000000000000004</v>
      </c>
      <c r="J87" s="1036">
        <v>4.4000000000000004</v>
      </c>
      <c r="K87" s="1037">
        <v>4.4000000000000004</v>
      </c>
      <c r="L87" s="1002"/>
      <c r="M87" s="1006"/>
      <c r="N87" s="1007"/>
      <c r="O87" s="1007"/>
      <c r="P87" s="1007"/>
      <c r="Q87" s="1007"/>
      <c r="R87" s="1007"/>
      <c r="S87" s="1007"/>
      <c r="T87" s="1007"/>
      <c r="U87" s="1007"/>
      <c r="V87" s="1007">
        <v>0</v>
      </c>
      <c r="W87" s="1007"/>
      <c r="X87" s="1007"/>
      <c r="Y87" s="990">
        <f t="shared" si="197"/>
        <v>0</v>
      </c>
      <c r="Z87" s="991"/>
      <c r="AA87" s="992"/>
      <c r="AB87" s="992"/>
      <c r="AC87" s="992"/>
      <c r="AD87" s="248">
        <f t="shared" si="212"/>
        <v>0</v>
      </c>
      <c r="AE87" s="248">
        <f t="shared" si="212"/>
        <v>0</v>
      </c>
      <c r="AF87" s="248">
        <f t="shared" si="212"/>
        <v>0</v>
      </c>
      <c r="AG87" s="248">
        <f t="shared" si="212"/>
        <v>0</v>
      </c>
      <c r="AH87" s="992"/>
      <c r="AI87" s="992"/>
      <c r="AJ87" s="992"/>
      <c r="AK87" s="1008"/>
      <c r="AL87" s="1009">
        <f t="shared" si="200"/>
        <v>0</v>
      </c>
      <c r="AM87" s="1006"/>
      <c r="AN87" s="1007"/>
      <c r="AO87" s="1007"/>
      <c r="AP87" s="1007"/>
      <c r="AQ87" s="1007"/>
      <c r="AR87" s="1007"/>
      <c r="AS87" s="1007"/>
      <c r="AT87" s="1007"/>
      <c r="AU87" s="1007"/>
      <c r="AV87" s="1007"/>
      <c r="AW87" s="1007"/>
      <c r="AX87" s="1007"/>
      <c r="AY87" s="990">
        <f t="shared" si="213"/>
        <v>0</v>
      </c>
      <c r="AZ87" s="991">
        <f t="shared" si="201"/>
        <v>0</v>
      </c>
      <c r="BA87" s="992">
        <f t="shared" si="201"/>
        <v>0</v>
      </c>
      <c r="BB87" s="992">
        <f t="shared" si="201"/>
        <v>0</v>
      </c>
      <c r="BC87" s="992">
        <f t="shared" si="201"/>
        <v>0</v>
      </c>
      <c r="BD87" s="992">
        <f t="shared" si="201"/>
        <v>0</v>
      </c>
      <c r="BE87" s="992">
        <f t="shared" si="201"/>
        <v>0</v>
      </c>
      <c r="BF87" s="992">
        <f t="shared" si="201"/>
        <v>0</v>
      </c>
      <c r="BG87" s="992">
        <f t="shared" si="201"/>
        <v>0</v>
      </c>
      <c r="BH87" s="992">
        <f t="shared" si="201"/>
        <v>0</v>
      </c>
      <c r="BI87" s="992">
        <f t="shared" si="201"/>
        <v>0</v>
      </c>
      <c r="BJ87" s="992">
        <f t="shared" si="201"/>
        <v>0</v>
      </c>
      <c r="BK87" s="992">
        <f t="shared" si="201"/>
        <v>0</v>
      </c>
      <c r="BL87" s="993">
        <f t="shared" si="202"/>
        <v>0</v>
      </c>
      <c r="BM87" s="1006"/>
      <c r="BN87" s="1007"/>
      <c r="BO87" s="1007"/>
      <c r="BP87" s="1007"/>
      <c r="BQ87" s="1007"/>
      <c r="BR87" s="1007"/>
      <c r="BS87" s="1007"/>
      <c r="BT87" s="1007"/>
      <c r="BU87" s="1007"/>
      <c r="BV87" s="1007"/>
      <c r="BW87" s="1007"/>
      <c r="BX87" s="1007"/>
      <c r="BY87" s="990">
        <f t="shared" si="215"/>
        <v>0</v>
      </c>
      <c r="BZ87" s="1039">
        <f t="shared" si="204"/>
        <v>0</v>
      </c>
      <c r="CA87" s="992">
        <f t="shared" si="204"/>
        <v>0</v>
      </c>
      <c r="CB87" s="992">
        <f t="shared" si="204"/>
        <v>0</v>
      </c>
      <c r="CC87" s="992">
        <f t="shared" si="204"/>
        <v>0</v>
      </c>
      <c r="CD87" s="992">
        <f t="shared" si="204"/>
        <v>0</v>
      </c>
      <c r="CE87" s="992">
        <f t="shared" si="204"/>
        <v>0</v>
      </c>
      <c r="CF87" s="992">
        <f t="shared" si="204"/>
        <v>0</v>
      </c>
      <c r="CG87" s="992">
        <f t="shared" si="204"/>
        <v>0</v>
      </c>
      <c r="CH87" s="992">
        <f t="shared" si="204"/>
        <v>0</v>
      </c>
      <c r="CI87" s="992">
        <f t="shared" si="204"/>
        <v>0</v>
      </c>
      <c r="CJ87" s="992">
        <f t="shared" si="204"/>
        <v>0</v>
      </c>
      <c r="CK87" s="992">
        <f t="shared" si="204"/>
        <v>0</v>
      </c>
      <c r="CL87" s="1040">
        <f t="shared" si="205"/>
        <v>0</v>
      </c>
      <c r="CM87" s="1042">
        <f>300000/12</f>
        <v>25000</v>
      </c>
      <c r="CN87" s="1007">
        <f t="shared" ref="CN87:CX89" si="235">300000/12</f>
        <v>25000</v>
      </c>
      <c r="CO87" s="1007">
        <f t="shared" si="235"/>
        <v>25000</v>
      </c>
      <c r="CP87" s="1007">
        <f t="shared" si="235"/>
        <v>25000</v>
      </c>
      <c r="CQ87" s="1007">
        <f t="shared" si="235"/>
        <v>25000</v>
      </c>
      <c r="CR87" s="1007">
        <f t="shared" si="235"/>
        <v>25000</v>
      </c>
      <c r="CS87" s="1007">
        <f t="shared" si="235"/>
        <v>25000</v>
      </c>
      <c r="CT87" s="1007">
        <f t="shared" si="235"/>
        <v>25000</v>
      </c>
      <c r="CU87" s="1007">
        <f t="shared" si="235"/>
        <v>25000</v>
      </c>
      <c r="CV87" s="1007">
        <f t="shared" si="235"/>
        <v>25000</v>
      </c>
      <c r="CW87" s="1007">
        <f t="shared" si="235"/>
        <v>25000</v>
      </c>
      <c r="CX87" s="1007">
        <f t="shared" si="235"/>
        <v>25000</v>
      </c>
      <c r="CY87" s="1005">
        <f t="shared" si="216"/>
        <v>300000</v>
      </c>
      <c r="CZ87" s="991">
        <f t="shared" si="206"/>
        <v>110000.00000000001</v>
      </c>
      <c r="DA87" s="992">
        <f t="shared" ref="DA87:DK91" si="236">CN87*$J87</f>
        <v>110000.00000000001</v>
      </c>
      <c r="DB87" s="992">
        <f t="shared" si="236"/>
        <v>110000.00000000001</v>
      </c>
      <c r="DC87" s="992">
        <f t="shared" si="236"/>
        <v>110000.00000000001</v>
      </c>
      <c r="DD87" s="992">
        <f t="shared" si="236"/>
        <v>110000.00000000001</v>
      </c>
      <c r="DE87" s="992">
        <f t="shared" si="236"/>
        <v>110000.00000000001</v>
      </c>
      <c r="DF87" s="992">
        <f t="shared" si="236"/>
        <v>110000.00000000001</v>
      </c>
      <c r="DG87" s="992">
        <f t="shared" si="236"/>
        <v>110000.00000000001</v>
      </c>
      <c r="DH87" s="992">
        <f t="shared" si="236"/>
        <v>110000.00000000001</v>
      </c>
      <c r="DI87" s="992">
        <f t="shared" si="236"/>
        <v>110000.00000000001</v>
      </c>
      <c r="DJ87" s="992">
        <f t="shared" si="236"/>
        <v>110000.00000000001</v>
      </c>
      <c r="DK87" s="992">
        <f t="shared" si="236"/>
        <v>110000.00000000001</v>
      </c>
      <c r="DL87" s="993">
        <f t="shared" si="208"/>
        <v>1320000.0000000002</v>
      </c>
      <c r="DM87" s="1006">
        <f>500000/12</f>
        <v>41666.666666666664</v>
      </c>
      <c r="DN87" s="1007">
        <f t="shared" ref="DN87:DX88" si="237">500000/12</f>
        <v>41666.666666666664</v>
      </c>
      <c r="DO87" s="1007">
        <f t="shared" si="237"/>
        <v>41666.666666666664</v>
      </c>
      <c r="DP87" s="1007">
        <f t="shared" si="237"/>
        <v>41666.666666666664</v>
      </c>
      <c r="DQ87" s="1007">
        <f t="shared" si="237"/>
        <v>41666.666666666664</v>
      </c>
      <c r="DR87" s="1007">
        <f t="shared" si="237"/>
        <v>41666.666666666664</v>
      </c>
      <c r="DS87" s="1007">
        <f t="shared" si="237"/>
        <v>41666.666666666664</v>
      </c>
      <c r="DT87" s="1007">
        <f t="shared" si="237"/>
        <v>41666.666666666664</v>
      </c>
      <c r="DU87" s="1007">
        <f t="shared" si="237"/>
        <v>41666.666666666664</v>
      </c>
      <c r="DV87" s="1007">
        <f t="shared" si="237"/>
        <v>41666.666666666664</v>
      </c>
      <c r="DW87" s="1007">
        <f t="shared" si="237"/>
        <v>41666.666666666664</v>
      </c>
      <c r="DX87" s="1007">
        <f t="shared" si="237"/>
        <v>41666.666666666664</v>
      </c>
      <c r="DY87" s="990">
        <f t="shared" si="217"/>
        <v>500000.00000000006</v>
      </c>
      <c r="DZ87" s="991">
        <f t="shared" si="209"/>
        <v>183333.33333333334</v>
      </c>
      <c r="EA87" s="992">
        <f t="shared" si="209"/>
        <v>183333.33333333334</v>
      </c>
      <c r="EB87" s="992">
        <f t="shared" si="209"/>
        <v>183333.33333333334</v>
      </c>
      <c r="EC87" s="992">
        <f t="shared" si="209"/>
        <v>183333.33333333334</v>
      </c>
      <c r="ED87" s="992">
        <f t="shared" si="209"/>
        <v>183333.33333333334</v>
      </c>
      <c r="EE87" s="992">
        <f t="shared" si="209"/>
        <v>183333.33333333334</v>
      </c>
      <c r="EF87" s="992">
        <f t="shared" si="209"/>
        <v>183333.33333333334</v>
      </c>
      <c r="EG87" s="992">
        <f t="shared" si="209"/>
        <v>183333.33333333334</v>
      </c>
      <c r="EH87" s="992">
        <f t="shared" si="209"/>
        <v>183333.33333333334</v>
      </c>
      <c r="EI87" s="992">
        <f t="shared" si="209"/>
        <v>183333.33333333334</v>
      </c>
      <c r="EJ87" s="992">
        <f t="shared" si="209"/>
        <v>183333.33333333334</v>
      </c>
      <c r="EK87" s="992">
        <f t="shared" si="209"/>
        <v>183333.33333333334</v>
      </c>
      <c r="EL87" s="993">
        <f t="shared" si="210"/>
        <v>2199999.9999999995</v>
      </c>
    </row>
    <row r="88" spans="1:142" s="1010" customFormat="1">
      <c r="A88" s="997" t="s">
        <v>76</v>
      </c>
      <c r="B88" s="1031" t="s">
        <v>709</v>
      </c>
      <c r="C88" s="979"/>
      <c r="D88" s="1034"/>
      <c r="E88" s="1041"/>
      <c r="F88" s="1041"/>
      <c r="G88" s="1016"/>
      <c r="H88" s="1035">
        <v>1.5</v>
      </c>
      <c r="I88" s="1036">
        <v>1.5</v>
      </c>
      <c r="J88" s="1036">
        <v>1.5</v>
      </c>
      <c r="K88" s="1037">
        <v>1.5</v>
      </c>
      <c r="L88" s="1002"/>
      <c r="M88" s="1006"/>
      <c r="N88" s="1007"/>
      <c r="O88" s="1007"/>
      <c r="P88" s="1007"/>
      <c r="Q88" s="1007"/>
      <c r="R88" s="1007"/>
      <c r="S88" s="1007"/>
      <c r="T88" s="1007"/>
      <c r="U88" s="1007"/>
      <c r="V88" s="1007">
        <v>0</v>
      </c>
      <c r="W88" s="1007"/>
      <c r="X88" s="1007"/>
      <c r="Y88" s="990">
        <f t="shared" si="197"/>
        <v>0</v>
      </c>
      <c r="Z88" s="991"/>
      <c r="AA88" s="992"/>
      <c r="AB88" s="992"/>
      <c r="AC88" s="992"/>
      <c r="AD88" s="248">
        <f t="shared" si="212"/>
        <v>0</v>
      </c>
      <c r="AE88" s="248">
        <f t="shared" si="212"/>
        <v>0</v>
      </c>
      <c r="AF88" s="248">
        <f t="shared" si="212"/>
        <v>0</v>
      </c>
      <c r="AG88" s="248">
        <f t="shared" si="212"/>
        <v>0</v>
      </c>
      <c r="AH88" s="992"/>
      <c r="AI88" s="992"/>
      <c r="AJ88" s="992"/>
      <c r="AK88" s="1008"/>
      <c r="AL88" s="1009">
        <f t="shared" si="200"/>
        <v>0</v>
      </c>
      <c r="AM88" s="1006"/>
      <c r="AN88" s="1007"/>
      <c r="AO88" s="1007"/>
      <c r="AP88" s="1007"/>
      <c r="AQ88" s="1007"/>
      <c r="AR88" s="1007"/>
      <c r="AS88" s="1007"/>
      <c r="AT88" s="1007"/>
      <c r="AU88" s="1007"/>
      <c r="AV88" s="1007"/>
      <c r="AW88" s="1007"/>
      <c r="AX88" s="1007"/>
      <c r="AY88" s="990">
        <f t="shared" si="213"/>
        <v>0</v>
      </c>
      <c r="AZ88" s="991">
        <f t="shared" si="201"/>
        <v>0</v>
      </c>
      <c r="BA88" s="992">
        <f t="shared" si="201"/>
        <v>0</v>
      </c>
      <c r="BB88" s="992">
        <f t="shared" si="201"/>
        <v>0</v>
      </c>
      <c r="BC88" s="992">
        <f t="shared" si="201"/>
        <v>0</v>
      </c>
      <c r="BD88" s="992">
        <f t="shared" si="201"/>
        <v>0</v>
      </c>
      <c r="BE88" s="992">
        <f t="shared" si="201"/>
        <v>0</v>
      </c>
      <c r="BF88" s="992">
        <f t="shared" si="201"/>
        <v>0</v>
      </c>
      <c r="BG88" s="992">
        <f t="shared" si="201"/>
        <v>0</v>
      </c>
      <c r="BH88" s="992">
        <f t="shared" si="201"/>
        <v>0</v>
      </c>
      <c r="BI88" s="992">
        <f t="shared" si="201"/>
        <v>0</v>
      </c>
      <c r="BJ88" s="992">
        <f t="shared" si="201"/>
        <v>0</v>
      </c>
      <c r="BK88" s="992">
        <f t="shared" si="201"/>
        <v>0</v>
      </c>
      <c r="BL88" s="993">
        <f t="shared" si="202"/>
        <v>0</v>
      </c>
      <c r="BM88" s="1006"/>
      <c r="BN88" s="1007"/>
      <c r="BO88" s="1007"/>
      <c r="BP88" s="1007"/>
      <c r="BQ88" s="1007"/>
      <c r="BR88" s="1007"/>
      <c r="BS88" s="1007"/>
      <c r="BT88" s="1007"/>
      <c r="BU88" s="1007"/>
      <c r="BV88" s="1007"/>
      <c r="BW88" s="1007"/>
      <c r="BX88" s="1007"/>
      <c r="BY88" s="990">
        <f t="shared" si="215"/>
        <v>0</v>
      </c>
      <c r="BZ88" s="1039">
        <f t="shared" si="204"/>
        <v>0</v>
      </c>
      <c r="CA88" s="992">
        <f t="shared" si="204"/>
        <v>0</v>
      </c>
      <c r="CB88" s="992">
        <f t="shared" si="204"/>
        <v>0</v>
      </c>
      <c r="CC88" s="992">
        <f t="shared" si="204"/>
        <v>0</v>
      </c>
      <c r="CD88" s="992">
        <f t="shared" si="204"/>
        <v>0</v>
      </c>
      <c r="CE88" s="992">
        <f t="shared" si="204"/>
        <v>0</v>
      </c>
      <c r="CF88" s="992">
        <f t="shared" si="204"/>
        <v>0</v>
      </c>
      <c r="CG88" s="992">
        <f t="shared" si="204"/>
        <v>0</v>
      </c>
      <c r="CH88" s="992">
        <f t="shared" si="204"/>
        <v>0</v>
      </c>
      <c r="CI88" s="992">
        <f t="shared" si="204"/>
        <v>0</v>
      </c>
      <c r="CJ88" s="992">
        <f t="shared" si="204"/>
        <v>0</v>
      </c>
      <c r="CK88" s="992">
        <f t="shared" si="204"/>
        <v>0</v>
      </c>
      <c r="CL88" s="1040">
        <f t="shared" si="205"/>
        <v>0</v>
      </c>
      <c r="CM88" s="1042">
        <f>300000/12</f>
        <v>25000</v>
      </c>
      <c r="CN88" s="1007">
        <f t="shared" si="235"/>
        <v>25000</v>
      </c>
      <c r="CO88" s="1007">
        <f t="shared" si="235"/>
        <v>25000</v>
      </c>
      <c r="CP88" s="1007">
        <f t="shared" si="235"/>
        <v>25000</v>
      </c>
      <c r="CQ88" s="1007">
        <f t="shared" si="235"/>
        <v>25000</v>
      </c>
      <c r="CR88" s="1007">
        <f t="shared" si="235"/>
        <v>25000</v>
      </c>
      <c r="CS88" s="1007">
        <f t="shared" si="235"/>
        <v>25000</v>
      </c>
      <c r="CT88" s="1007">
        <f t="shared" si="235"/>
        <v>25000</v>
      </c>
      <c r="CU88" s="1007">
        <f t="shared" si="235"/>
        <v>25000</v>
      </c>
      <c r="CV88" s="1007">
        <f t="shared" si="235"/>
        <v>25000</v>
      </c>
      <c r="CW88" s="1007">
        <f t="shared" si="235"/>
        <v>25000</v>
      </c>
      <c r="CX88" s="1007">
        <f t="shared" si="235"/>
        <v>25000</v>
      </c>
      <c r="CY88" s="1005">
        <f t="shared" si="216"/>
        <v>300000</v>
      </c>
      <c r="CZ88" s="991">
        <f t="shared" si="206"/>
        <v>37500</v>
      </c>
      <c r="DA88" s="992">
        <f t="shared" si="236"/>
        <v>37500</v>
      </c>
      <c r="DB88" s="992">
        <f t="shared" si="236"/>
        <v>37500</v>
      </c>
      <c r="DC88" s="992">
        <f t="shared" si="236"/>
        <v>37500</v>
      </c>
      <c r="DD88" s="992">
        <f t="shared" si="236"/>
        <v>37500</v>
      </c>
      <c r="DE88" s="992">
        <f t="shared" si="236"/>
        <v>37500</v>
      </c>
      <c r="DF88" s="992">
        <f t="shared" si="236"/>
        <v>37500</v>
      </c>
      <c r="DG88" s="992">
        <f t="shared" si="236"/>
        <v>37500</v>
      </c>
      <c r="DH88" s="992">
        <f t="shared" si="236"/>
        <v>37500</v>
      </c>
      <c r="DI88" s="992">
        <f t="shared" si="236"/>
        <v>37500</v>
      </c>
      <c r="DJ88" s="992">
        <f t="shared" si="236"/>
        <v>37500</v>
      </c>
      <c r="DK88" s="992">
        <f t="shared" si="236"/>
        <v>37500</v>
      </c>
      <c r="DL88" s="993">
        <f t="shared" si="208"/>
        <v>450000</v>
      </c>
      <c r="DM88" s="1006">
        <f>500000/12</f>
        <v>41666.666666666664</v>
      </c>
      <c r="DN88" s="1007">
        <f t="shared" si="237"/>
        <v>41666.666666666664</v>
      </c>
      <c r="DO88" s="1007">
        <f t="shared" si="237"/>
        <v>41666.666666666664</v>
      </c>
      <c r="DP88" s="1007">
        <f t="shared" si="237"/>
        <v>41666.666666666664</v>
      </c>
      <c r="DQ88" s="1007">
        <f t="shared" si="237"/>
        <v>41666.666666666664</v>
      </c>
      <c r="DR88" s="1007">
        <f t="shared" si="237"/>
        <v>41666.666666666664</v>
      </c>
      <c r="DS88" s="1007">
        <f t="shared" si="237"/>
        <v>41666.666666666664</v>
      </c>
      <c r="DT88" s="1007">
        <f t="shared" si="237"/>
        <v>41666.666666666664</v>
      </c>
      <c r="DU88" s="1007">
        <f t="shared" si="237"/>
        <v>41666.666666666664</v>
      </c>
      <c r="DV88" s="1007">
        <f t="shared" si="237"/>
        <v>41666.666666666664</v>
      </c>
      <c r="DW88" s="1007">
        <f t="shared" si="237"/>
        <v>41666.666666666664</v>
      </c>
      <c r="DX88" s="1007">
        <f t="shared" si="237"/>
        <v>41666.666666666664</v>
      </c>
      <c r="DY88" s="990">
        <f t="shared" si="217"/>
        <v>500000.00000000006</v>
      </c>
      <c r="DZ88" s="991">
        <f t="shared" si="209"/>
        <v>62500</v>
      </c>
      <c r="EA88" s="992">
        <f t="shared" si="209"/>
        <v>62500</v>
      </c>
      <c r="EB88" s="992">
        <f t="shared" si="209"/>
        <v>62500</v>
      </c>
      <c r="EC88" s="992">
        <f t="shared" si="209"/>
        <v>62500</v>
      </c>
      <c r="ED88" s="992">
        <f t="shared" si="209"/>
        <v>62500</v>
      </c>
      <c r="EE88" s="992">
        <f t="shared" si="209"/>
        <v>62500</v>
      </c>
      <c r="EF88" s="992">
        <f t="shared" si="209"/>
        <v>62500</v>
      </c>
      <c r="EG88" s="992">
        <f t="shared" si="209"/>
        <v>62500</v>
      </c>
      <c r="EH88" s="992">
        <f t="shared" si="209"/>
        <v>62500</v>
      </c>
      <c r="EI88" s="992">
        <f t="shared" si="209"/>
        <v>62500</v>
      </c>
      <c r="EJ88" s="992">
        <f t="shared" si="209"/>
        <v>62500</v>
      </c>
      <c r="EK88" s="992">
        <f t="shared" si="209"/>
        <v>62500</v>
      </c>
      <c r="EL88" s="993">
        <f t="shared" si="210"/>
        <v>750000</v>
      </c>
    </row>
    <row r="89" spans="1:142" s="1010" customFormat="1">
      <c r="A89" s="997" t="s">
        <v>76</v>
      </c>
      <c r="B89" s="1031" t="s">
        <v>710</v>
      </c>
      <c r="C89" s="979"/>
      <c r="D89" s="1034"/>
      <c r="E89" s="1041"/>
      <c r="F89" s="1041"/>
      <c r="G89" s="1016"/>
      <c r="H89" s="1035">
        <v>3</v>
      </c>
      <c r="I89" s="1036">
        <v>3</v>
      </c>
      <c r="J89" s="1036">
        <v>3</v>
      </c>
      <c r="K89" s="1037">
        <v>3</v>
      </c>
      <c r="L89" s="1002"/>
      <c r="M89" s="1006"/>
      <c r="N89" s="1007"/>
      <c r="O89" s="1007"/>
      <c r="P89" s="1007"/>
      <c r="Q89" s="1007"/>
      <c r="R89" s="1007"/>
      <c r="S89" s="1007"/>
      <c r="T89" s="1007"/>
      <c r="U89" s="1007"/>
      <c r="V89" s="1007">
        <v>0</v>
      </c>
      <c r="W89" s="1007"/>
      <c r="X89" s="1007"/>
      <c r="Y89" s="990">
        <f t="shared" si="197"/>
        <v>0</v>
      </c>
      <c r="Z89" s="991"/>
      <c r="AA89" s="992"/>
      <c r="AB89" s="992"/>
      <c r="AC89" s="992"/>
      <c r="AD89" s="248">
        <f t="shared" si="212"/>
        <v>0</v>
      </c>
      <c r="AE89" s="248">
        <f t="shared" si="212"/>
        <v>0</v>
      </c>
      <c r="AF89" s="248">
        <f t="shared" si="212"/>
        <v>0</v>
      </c>
      <c r="AG89" s="248">
        <f t="shared" si="212"/>
        <v>0</v>
      </c>
      <c r="AH89" s="992"/>
      <c r="AI89" s="992"/>
      <c r="AJ89" s="992"/>
      <c r="AK89" s="1008"/>
      <c r="AL89" s="1009">
        <f t="shared" si="200"/>
        <v>0</v>
      </c>
      <c r="AM89" s="1006"/>
      <c r="AN89" s="1007"/>
      <c r="AO89" s="1007"/>
      <c r="AP89" s="1007"/>
      <c r="AQ89" s="1007"/>
      <c r="AR89" s="1007"/>
      <c r="AS89" s="1007">
        <f t="shared" ref="AS89:AX89" si="238">33333/6</f>
        <v>5555.5</v>
      </c>
      <c r="AT89" s="1007">
        <f t="shared" si="238"/>
        <v>5555.5</v>
      </c>
      <c r="AU89" s="1007">
        <f t="shared" si="238"/>
        <v>5555.5</v>
      </c>
      <c r="AV89" s="1007">
        <f t="shared" si="238"/>
        <v>5555.5</v>
      </c>
      <c r="AW89" s="1007">
        <f t="shared" si="238"/>
        <v>5555.5</v>
      </c>
      <c r="AX89" s="1007">
        <f t="shared" si="238"/>
        <v>5555.5</v>
      </c>
      <c r="AY89" s="990">
        <f t="shared" si="213"/>
        <v>33333</v>
      </c>
      <c r="AZ89" s="991">
        <f t="shared" si="201"/>
        <v>0</v>
      </c>
      <c r="BA89" s="992">
        <f t="shared" si="201"/>
        <v>0</v>
      </c>
      <c r="BB89" s="992">
        <f t="shared" si="201"/>
        <v>0</v>
      </c>
      <c r="BC89" s="992">
        <f t="shared" si="201"/>
        <v>0</v>
      </c>
      <c r="BD89" s="992">
        <f t="shared" si="201"/>
        <v>0</v>
      </c>
      <c r="BE89" s="992">
        <f t="shared" si="201"/>
        <v>0</v>
      </c>
      <c r="BF89" s="992">
        <f t="shared" si="201"/>
        <v>16666.5</v>
      </c>
      <c r="BG89" s="992">
        <f t="shared" si="201"/>
        <v>16666.5</v>
      </c>
      <c r="BH89" s="992">
        <f t="shared" si="201"/>
        <v>16666.5</v>
      </c>
      <c r="BI89" s="992">
        <f t="shared" si="201"/>
        <v>16666.5</v>
      </c>
      <c r="BJ89" s="992">
        <f t="shared" si="201"/>
        <v>16666.5</v>
      </c>
      <c r="BK89" s="992">
        <f t="shared" si="201"/>
        <v>16666.5</v>
      </c>
      <c r="BL89" s="993">
        <f t="shared" si="202"/>
        <v>99999</v>
      </c>
      <c r="BM89" s="1006">
        <f>200000/12</f>
        <v>16666.666666666668</v>
      </c>
      <c r="BN89" s="1006">
        <f t="shared" ref="BN89:BX89" si="239">200000/12</f>
        <v>16666.666666666668</v>
      </c>
      <c r="BO89" s="1006">
        <f t="shared" si="239"/>
        <v>16666.666666666668</v>
      </c>
      <c r="BP89" s="1006">
        <f t="shared" si="239"/>
        <v>16666.666666666668</v>
      </c>
      <c r="BQ89" s="1006">
        <f t="shared" si="239"/>
        <v>16666.666666666668</v>
      </c>
      <c r="BR89" s="1006">
        <f t="shared" si="239"/>
        <v>16666.666666666668</v>
      </c>
      <c r="BS89" s="1006">
        <f t="shared" si="239"/>
        <v>16666.666666666668</v>
      </c>
      <c r="BT89" s="1006">
        <f t="shared" si="239"/>
        <v>16666.666666666668</v>
      </c>
      <c r="BU89" s="1006">
        <f t="shared" si="239"/>
        <v>16666.666666666668</v>
      </c>
      <c r="BV89" s="1006">
        <f t="shared" si="239"/>
        <v>16666.666666666668</v>
      </c>
      <c r="BW89" s="1006">
        <f t="shared" si="239"/>
        <v>16666.666666666668</v>
      </c>
      <c r="BX89" s="1006">
        <f t="shared" si="239"/>
        <v>16666.666666666668</v>
      </c>
      <c r="BY89" s="990">
        <f t="shared" si="215"/>
        <v>199999.99999999997</v>
      </c>
      <c r="BZ89" s="1039">
        <f t="shared" si="204"/>
        <v>50000</v>
      </c>
      <c r="CA89" s="992">
        <f t="shared" si="204"/>
        <v>50000</v>
      </c>
      <c r="CB89" s="992">
        <f t="shared" si="204"/>
        <v>50000</v>
      </c>
      <c r="CC89" s="992">
        <f t="shared" si="204"/>
        <v>50000</v>
      </c>
      <c r="CD89" s="992">
        <f t="shared" si="204"/>
        <v>50000</v>
      </c>
      <c r="CE89" s="992">
        <f t="shared" si="204"/>
        <v>50000</v>
      </c>
      <c r="CF89" s="992">
        <f t="shared" si="204"/>
        <v>50000</v>
      </c>
      <c r="CG89" s="992">
        <f t="shared" si="204"/>
        <v>50000</v>
      </c>
      <c r="CH89" s="992">
        <f t="shared" si="204"/>
        <v>50000</v>
      </c>
      <c r="CI89" s="992">
        <f t="shared" si="204"/>
        <v>50000</v>
      </c>
      <c r="CJ89" s="992">
        <f t="shared" si="204"/>
        <v>50000</v>
      </c>
      <c r="CK89" s="992">
        <f t="shared" si="204"/>
        <v>50000</v>
      </c>
      <c r="CL89" s="1040">
        <f t="shared" si="205"/>
        <v>600000</v>
      </c>
      <c r="CM89" s="1042">
        <f>300000/12</f>
        <v>25000</v>
      </c>
      <c r="CN89" s="1007">
        <f t="shared" si="235"/>
        <v>25000</v>
      </c>
      <c r="CO89" s="1007">
        <f t="shared" si="235"/>
        <v>25000</v>
      </c>
      <c r="CP89" s="1007">
        <f t="shared" si="235"/>
        <v>25000</v>
      </c>
      <c r="CQ89" s="1007">
        <f t="shared" si="235"/>
        <v>25000</v>
      </c>
      <c r="CR89" s="1007">
        <f t="shared" si="235"/>
        <v>25000</v>
      </c>
      <c r="CS89" s="1007">
        <f t="shared" si="235"/>
        <v>25000</v>
      </c>
      <c r="CT89" s="1007">
        <f t="shared" si="235"/>
        <v>25000</v>
      </c>
      <c r="CU89" s="1007">
        <f t="shared" si="235"/>
        <v>25000</v>
      </c>
      <c r="CV89" s="1007">
        <f t="shared" si="235"/>
        <v>25000</v>
      </c>
      <c r="CW89" s="1007">
        <f t="shared" si="235"/>
        <v>25000</v>
      </c>
      <c r="CX89" s="1007">
        <f t="shared" si="235"/>
        <v>25000</v>
      </c>
      <c r="CY89" s="1005">
        <f t="shared" si="216"/>
        <v>300000</v>
      </c>
      <c r="CZ89" s="991">
        <f t="shared" si="206"/>
        <v>75000</v>
      </c>
      <c r="DA89" s="992">
        <f t="shared" si="236"/>
        <v>75000</v>
      </c>
      <c r="DB89" s="992">
        <f t="shared" si="236"/>
        <v>75000</v>
      </c>
      <c r="DC89" s="992">
        <f t="shared" si="236"/>
        <v>75000</v>
      </c>
      <c r="DD89" s="992">
        <f t="shared" si="236"/>
        <v>75000</v>
      </c>
      <c r="DE89" s="992">
        <f t="shared" si="236"/>
        <v>75000</v>
      </c>
      <c r="DF89" s="992">
        <f t="shared" si="236"/>
        <v>75000</v>
      </c>
      <c r="DG89" s="992">
        <f t="shared" si="236"/>
        <v>75000</v>
      </c>
      <c r="DH89" s="992">
        <f t="shared" si="236"/>
        <v>75000</v>
      </c>
      <c r="DI89" s="992">
        <f t="shared" si="236"/>
        <v>75000</v>
      </c>
      <c r="DJ89" s="992">
        <f t="shared" si="236"/>
        <v>75000</v>
      </c>
      <c r="DK89" s="992">
        <f t="shared" si="236"/>
        <v>75000</v>
      </c>
      <c r="DL89" s="993">
        <f t="shared" si="208"/>
        <v>900000</v>
      </c>
      <c r="DM89" s="1006">
        <f>400000/12</f>
        <v>33333.333333333336</v>
      </c>
      <c r="DN89" s="1006">
        <f t="shared" ref="DN89:DX89" si="240">400000/12</f>
        <v>33333.333333333336</v>
      </c>
      <c r="DO89" s="1006">
        <f t="shared" si="240"/>
        <v>33333.333333333336</v>
      </c>
      <c r="DP89" s="1006">
        <f t="shared" si="240"/>
        <v>33333.333333333336</v>
      </c>
      <c r="DQ89" s="1006">
        <f t="shared" si="240"/>
        <v>33333.333333333336</v>
      </c>
      <c r="DR89" s="1006">
        <f t="shared" si="240"/>
        <v>33333.333333333336</v>
      </c>
      <c r="DS89" s="1006">
        <f t="shared" si="240"/>
        <v>33333.333333333336</v>
      </c>
      <c r="DT89" s="1006">
        <f t="shared" si="240"/>
        <v>33333.333333333336</v>
      </c>
      <c r="DU89" s="1006">
        <f t="shared" si="240"/>
        <v>33333.333333333336</v>
      </c>
      <c r="DV89" s="1006">
        <f t="shared" si="240"/>
        <v>33333.333333333336</v>
      </c>
      <c r="DW89" s="1006">
        <f t="shared" si="240"/>
        <v>33333.333333333336</v>
      </c>
      <c r="DX89" s="1006">
        <f t="shared" si="240"/>
        <v>33333.333333333336</v>
      </c>
      <c r="DY89" s="990">
        <f t="shared" si="217"/>
        <v>399999.99999999994</v>
      </c>
      <c r="DZ89" s="991">
        <f>DM89*$K89</f>
        <v>100000</v>
      </c>
      <c r="EA89" s="992">
        <f t="shared" si="209"/>
        <v>100000</v>
      </c>
      <c r="EB89" s="992">
        <f t="shared" si="209"/>
        <v>100000</v>
      </c>
      <c r="EC89" s="992">
        <f t="shared" si="209"/>
        <v>100000</v>
      </c>
      <c r="ED89" s="992">
        <f t="shared" si="209"/>
        <v>100000</v>
      </c>
      <c r="EE89" s="992">
        <f t="shared" si="209"/>
        <v>100000</v>
      </c>
      <c r="EF89" s="992">
        <f t="shared" si="209"/>
        <v>100000</v>
      </c>
      <c r="EG89" s="992">
        <f t="shared" si="209"/>
        <v>100000</v>
      </c>
      <c r="EH89" s="992">
        <f t="shared" si="209"/>
        <v>100000</v>
      </c>
      <c r="EI89" s="992">
        <f t="shared" si="209"/>
        <v>100000</v>
      </c>
      <c r="EJ89" s="992">
        <f t="shared" si="209"/>
        <v>100000</v>
      </c>
      <c r="EK89" s="992">
        <f t="shared" si="209"/>
        <v>100000</v>
      </c>
      <c r="EL89" s="993">
        <f t="shared" si="210"/>
        <v>1200000</v>
      </c>
    </row>
    <row r="90" spans="1:142" s="1010" customFormat="1">
      <c r="A90" s="997" t="s">
        <v>76</v>
      </c>
      <c r="B90" s="1031" t="s">
        <v>711</v>
      </c>
      <c r="C90" s="979"/>
      <c r="D90" s="1034"/>
      <c r="E90" s="1041"/>
      <c r="F90" s="1041"/>
      <c r="G90" s="1016"/>
      <c r="H90" s="1035">
        <v>4.4000000000000004</v>
      </c>
      <c r="I90" s="1036">
        <v>4.4000000000000004</v>
      </c>
      <c r="J90" s="1036">
        <v>4.4000000000000004</v>
      </c>
      <c r="K90" s="1037">
        <v>4.4000000000000004</v>
      </c>
      <c r="L90" s="1002"/>
      <c r="M90" s="1006"/>
      <c r="N90" s="1007"/>
      <c r="O90" s="1007"/>
      <c r="P90" s="1007"/>
      <c r="Q90" s="1007"/>
      <c r="R90" s="1007"/>
      <c r="S90" s="1007"/>
      <c r="T90" s="1007"/>
      <c r="U90" s="1007"/>
      <c r="V90" s="1007">
        <v>0</v>
      </c>
      <c r="W90" s="1007"/>
      <c r="X90" s="1007"/>
      <c r="Y90" s="990">
        <f t="shared" si="197"/>
        <v>0</v>
      </c>
      <c r="Z90" s="991"/>
      <c r="AA90" s="992"/>
      <c r="AB90" s="992"/>
      <c r="AC90" s="992"/>
      <c r="AD90" s="248">
        <f t="shared" si="212"/>
        <v>0</v>
      </c>
      <c r="AE90" s="248">
        <f t="shared" si="212"/>
        <v>0</v>
      </c>
      <c r="AF90" s="248">
        <f t="shared" si="212"/>
        <v>0</v>
      </c>
      <c r="AG90" s="248">
        <f t="shared" si="212"/>
        <v>0</v>
      </c>
      <c r="AH90" s="992"/>
      <c r="AI90" s="992"/>
      <c r="AJ90" s="992"/>
      <c r="AK90" s="1008"/>
      <c r="AL90" s="1009">
        <f t="shared" si="200"/>
        <v>0</v>
      </c>
      <c r="AM90" s="1006"/>
      <c r="AN90" s="1007"/>
      <c r="AO90" s="1007"/>
      <c r="AP90" s="1007"/>
      <c r="AQ90" s="1007"/>
      <c r="AR90" s="1007"/>
      <c r="AS90" s="1007">
        <f>95116/6</f>
        <v>15852.666666666666</v>
      </c>
      <c r="AT90" s="1007">
        <f>95116/6</f>
        <v>15852.666666666666</v>
      </c>
      <c r="AU90" s="1007">
        <f t="shared" ref="AU90:AX91" si="241">95116/6</f>
        <v>15852.666666666666</v>
      </c>
      <c r="AV90" s="1007">
        <f t="shared" si="241"/>
        <v>15852.666666666666</v>
      </c>
      <c r="AW90" s="1007">
        <f t="shared" si="241"/>
        <v>15852.666666666666</v>
      </c>
      <c r="AX90" s="1007">
        <f t="shared" si="241"/>
        <v>15852.666666666666</v>
      </c>
      <c r="AY90" s="990">
        <f t="shared" si="213"/>
        <v>95116</v>
      </c>
      <c r="AZ90" s="991">
        <f t="shared" si="201"/>
        <v>0</v>
      </c>
      <c r="BA90" s="992">
        <f t="shared" si="201"/>
        <v>0</v>
      </c>
      <c r="BB90" s="992">
        <f t="shared" si="201"/>
        <v>0</v>
      </c>
      <c r="BC90" s="992">
        <f t="shared" si="201"/>
        <v>0</v>
      </c>
      <c r="BD90" s="992">
        <f t="shared" si="201"/>
        <v>0</v>
      </c>
      <c r="BE90" s="992">
        <f t="shared" si="201"/>
        <v>0</v>
      </c>
      <c r="BF90" s="992">
        <f t="shared" si="201"/>
        <v>69751.733333333337</v>
      </c>
      <c r="BG90" s="992">
        <f t="shared" si="201"/>
        <v>69751.733333333337</v>
      </c>
      <c r="BH90" s="992">
        <f t="shared" si="201"/>
        <v>69751.733333333337</v>
      </c>
      <c r="BI90" s="992">
        <f t="shared" si="201"/>
        <v>69751.733333333337</v>
      </c>
      <c r="BJ90" s="992">
        <f t="shared" si="201"/>
        <v>69751.733333333337</v>
      </c>
      <c r="BK90" s="992">
        <f t="shared" si="201"/>
        <v>69751.733333333337</v>
      </c>
      <c r="BL90" s="993">
        <f t="shared" si="202"/>
        <v>418510.4</v>
      </c>
      <c r="BM90" s="1006">
        <f t="shared" ref="BM90:BX91" si="242">390000/12</f>
        <v>32500</v>
      </c>
      <c r="BN90" s="1006">
        <f t="shared" si="242"/>
        <v>32500</v>
      </c>
      <c r="BO90" s="1006">
        <f t="shared" si="242"/>
        <v>32500</v>
      </c>
      <c r="BP90" s="1006">
        <f t="shared" si="242"/>
        <v>32500</v>
      </c>
      <c r="BQ90" s="1006">
        <f t="shared" si="242"/>
        <v>32500</v>
      </c>
      <c r="BR90" s="1006">
        <f t="shared" si="242"/>
        <v>32500</v>
      </c>
      <c r="BS90" s="1006">
        <f t="shared" si="242"/>
        <v>32500</v>
      </c>
      <c r="BT90" s="1006">
        <f t="shared" si="242"/>
        <v>32500</v>
      </c>
      <c r="BU90" s="1006">
        <f t="shared" si="242"/>
        <v>32500</v>
      </c>
      <c r="BV90" s="1006">
        <f t="shared" si="242"/>
        <v>32500</v>
      </c>
      <c r="BW90" s="1006">
        <f t="shared" si="242"/>
        <v>32500</v>
      </c>
      <c r="BX90" s="1006">
        <f t="shared" si="242"/>
        <v>32500</v>
      </c>
      <c r="BY90" s="990">
        <f t="shared" si="215"/>
        <v>390000</v>
      </c>
      <c r="BZ90" s="1039">
        <f t="shared" si="204"/>
        <v>143000</v>
      </c>
      <c r="CA90" s="992">
        <f t="shared" si="204"/>
        <v>143000</v>
      </c>
      <c r="CB90" s="992">
        <f t="shared" si="204"/>
        <v>143000</v>
      </c>
      <c r="CC90" s="992">
        <f t="shared" si="204"/>
        <v>143000</v>
      </c>
      <c r="CD90" s="992">
        <f t="shared" si="204"/>
        <v>143000</v>
      </c>
      <c r="CE90" s="992">
        <f t="shared" si="204"/>
        <v>143000</v>
      </c>
      <c r="CF90" s="992">
        <f t="shared" si="204"/>
        <v>143000</v>
      </c>
      <c r="CG90" s="992">
        <f t="shared" si="204"/>
        <v>143000</v>
      </c>
      <c r="CH90" s="992">
        <f t="shared" si="204"/>
        <v>143000</v>
      </c>
      <c r="CI90" s="992">
        <f t="shared" si="204"/>
        <v>143000</v>
      </c>
      <c r="CJ90" s="992">
        <f t="shared" si="204"/>
        <v>143000</v>
      </c>
      <c r="CK90" s="992">
        <f t="shared" si="204"/>
        <v>143000</v>
      </c>
      <c r="CL90" s="1040">
        <f t="shared" si="205"/>
        <v>1716000</v>
      </c>
      <c r="CM90" s="1042">
        <f>415000/12</f>
        <v>34583.333333333336</v>
      </c>
      <c r="CN90" s="1007">
        <f t="shared" ref="CN90:CX91" si="243">415000/12</f>
        <v>34583.333333333336</v>
      </c>
      <c r="CO90" s="1007">
        <f t="shared" si="243"/>
        <v>34583.333333333336</v>
      </c>
      <c r="CP90" s="1007">
        <f t="shared" si="243"/>
        <v>34583.333333333336</v>
      </c>
      <c r="CQ90" s="1007">
        <f t="shared" si="243"/>
        <v>34583.333333333336</v>
      </c>
      <c r="CR90" s="1007">
        <f t="shared" si="243"/>
        <v>34583.333333333336</v>
      </c>
      <c r="CS90" s="1007">
        <f t="shared" si="243"/>
        <v>34583.333333333336</v>
      </c>
      <c r="CT90" s="1007">
        <f t="shared" si="243"/>
        <v>34583.333333333336</v>
      </c>
      <c r="CU90" s="1007">
        <f t="shared" si="243"/>
        <v>34583.333333333336</v>
      </c>
      <c r="CV90" s="1007">
        <f t="shared" si="243"/>
        <v>34583.333333333336</v>
      </c>
      <c r="CW90" s="1007">
        <f t="shared" si="243"/>
        <v>34583.333333333336</v>
      </c>
      <c r="CX90" s="1007">
        <f t="shared" si="243"/>
        <v>34583.333333333336</v>
      </c>
      <c r="CY90" s="1005">
        <f t="shared" si="216"/>
        <v>414999.99999999994</v>
      </c>
      <c r="CZ90" s="991">
        <f t="shared" si="206"/>
        <v>152166.66666666669</v>
      </c>
      <c r="DA90" s="992">
        <f t="shared" si="236"/>
        <v>152166.66666666669</v>
      </c>
      <c r="DB90" s="992">
        <f t="shared" si="236"/>
        <v>152166.66666666669</v>
      </c>
      <c r="DC90" s="992">
        <f t="shared" si="236"/>
        <v>152166.66666666669</v>
      </c>
      <c r="DD90" s="992">
        <f t="shared" si="236"/>
        <v>152166.66666666669</v>
      </c>
      <c r="DE90" s="992">
        <f t="shared" si="236"/>
        <v>152166.66666666669</v>
      </c>
      <c r="DF90" s="992">
        <f t="shared" si="236"/>
        <v>152166.66666666669</v>
      </c>
      <c r="DG90" s="992">
        <f t="shared" si="236"/>
        <v>152166.66666666669</v>
      </c>
      <c r="DH90" s="992">
        <f t="shared" si="236"/>
        <v>152166.66666666669</v>
      </c>
      <c r="DI90" s="992">
        <f t="shared" si="236"/>
        <v>152166.66666666669</v>
      </c>
      <c r="DJ90" s="992">
        <f t="shared" si="236"/>
        <v>152166.66666666669</v>
      </c>
      <c r="DK90" s="992">
        <f t="shared" si="236"/>
        <v>152166.66666666669</v>
      </c>
      <c r="DL90" s="993">
        <f t="shared" si="208"/>
        <v>1826000.0000000007</v>
      </c>
      <c r="DM90" s="1006">
        <f>415000/12</f>
        <v>34583.333333333336</v>
      </c>
      <c r="DN90" s="1006">
        <f t="shared" ref="DN90:DX91" si="244">415000/12</f>
        <v>34583.333333333336</v>
      </c>
      <c r="DO90" s="1006">
        <f t="shared" si="244"/>
        <v>34583.333333333336</v>
      </c>
      <c r="DP90" s="1006">
        <f t="shared" si="244"/>
        <v>34583.333333333336</v>
      </c>
      <c r="DQ90" s="1006">
        <f t="shared" si="244"/>
        <v>34583.333333333336</v>
      </c>
      <c r="DR90" s="1006">
        <f t="shared" si="244"/>
        <v>34583.333333333336</v>
      </c>
      <c r="DS90" s="1006">
        <f t="shared" si="244"/>
        <v>34583.333333333336</v>
      </c>
      <c r="DT90" s="1006">
        <f t="shared" si="244"/>
        <v>34583.333333333336</v>
      </c>
      <c r="DU90" s="1006">
        <f t="shared" si="244"/>
        <v>34583.333333333336</v>
      </c>
      <c r="DV90" s="1006">
        <f t="shared" si="244"/>
        <v>34583.333333333336</v>
      </c>
      <c r="DW90" s="1006">
        <f t="shared" si="244"/>
        <v>34583.333333333336</v>
      </c>
      <c r="DX90" s="1006">
        <f t="shared" si="244"/>
        <v>34583.333333333336</v>
      </c>
      <c r="DY90" s="990">
        <f t="shared" si="217"/>
        <v>414999.99999999994</v>
      </c>
      <c r="DZ90" s="991">
        <f>DM90*$K90</f>
        <v>152166.66666666669</v>
      </c>
      <c r="EA90" s="992">
        <f t="shared" si="209"/>
        <v>152166.66666666669</v>
      </c>
      <c r="EB90" s="992">
        <f t="shared" si="209"/>
        <v>152166.66666666669</v>
      </c>
      <c r="EC90" s="992">
        <f t="shared" si="209"/>
        <v>152166.66666666669</v>
      </c>
      <c r="ED90" s="992">
        <f t="shared" si="209"/>
        <v>152166.66666666669</v>
      </c>
      <c r="EE90" s="992">
        <f t="shared" si="209"/>
        <v>152166.66666666669</v>
      </c>
      <c r="EF90" s="992">
        <f t="shared" si="209"/>
        <v>152166.66666666669</v>
      </c>
      <c r="EG90" s="992">
        <f t="shared" si="209"/>
        <v>152166.66666666669</v>
      </c>
      <c r="EH90" s="992">
        <f t="shared" si="209"/>
        <v>152166.66666666669</v>
      </c>
      <c r="EI90" s="992">
        <f t="shared" si="209"/>
        <v>152166.66666666669</v>
      </c>
      <c r="EJ90" s="992">
        <f t="shared" si="209"/>
        <v>152166.66666666669</v>
      </c>
      <c r="EK90" s="992">
        <f t="shared" si="209"/>
        <v>152166.66666666669</v>
      </c>
      <c r="EL90" s="993">
        <f t="shared" si="210"/>
        <v>1826000.0000000007</v>
      </c>
    </row>
    <row r="91" spans="1:142" s="1010" customFormat="1">
      <c r="A91" s="997" t="s">
        <v>76</v>
      </c>
      <c r="B91" s="1031" t="s">
        <v>712</v>
      </c>
      <c r="C91" s="979"/>
      <c r="D91" s="1034"/>
      <c r="E91" s="1041"/>
      <c r="F91" s="1041"/>
      <c r="G91" s="1016"/>
      <c r="H91" s="1035">
        <v>1.5</v>
      </c>
      <c r="I91" s="1036">
        <v>1.5</v>
      </c>
      <c r="J91" s="1036">
        <v>1.5</v>
      </c>
      <c r="K91" s="1037">
        <v>1.5</v>
      </c>
      <c r="L91" s="1002"/>
      <c r="M91" s="1006"/>
      <c r="N91" s="1007"/>
      <c r="O91" s="1007"/>
      <c r="P91" s="1007"/>
      <c r="Q91" s="1007"/>
      <c r="R91" s="1007"/>
      <c r="S91" s="1007"/>
      <c r="T91" s="1007"/>
      <c r="U91" s="1007"/>
      <c r="V91" s="1007">
        <v>0</v>
      </c>
      <c r="W91" s="1007"/>
      <c r="X91" s="1007"/>
      <c r="Y91" s="990">
        <f t="shared" si="197"/>
        <v>0</v>
      </c>
      <c r="Z91" s="991"/>
      <c r="AA91" s="992"/>
      <c r="AB91" s="992"/>
      <c r="AC91" s="992"/>
      <c r="AD91" s="248">
        <f t="shared" si="212"/>
        <v>0</v>
      </c>
      <c r="AE91" s="248">
        <f t="shared" si="212"/>
        <v>0</v>
      </c>
      <c r="AF91" s="248">
        <f t="shared" si="212"/>
        <v>0</v>
      </c>
      <c r="AG91" s="248">
        <f t="shared" si="212"/>
        <v>0</v>
      </c>
      <c r="AH91" s="992"/>
      <c r="AI91" s="992"/>
      <c r="AJ91" s="992"/>
      <c r="AK91" s="1008"/>
      <c r="AL91" s="1009">
        <f t="shared" si="200"/>
        <v>0</v>
      </c>
      <c r="AM91" s="1006"/>
      <c r="AN91" s="1007"/>
      <c r="AO91" s="1007"/>
      <c r="AP91" s="1007"/>
      <c r="AQ91" s="1007"/>
      <c r="AR91" s="1007"/>
      <c r="AS91" s="1007">
        <f>95116/6</f>
        <v>15852.666666666666</v>
      </c>
      <c r="AT91" s="1007">
        <f>95116/6</f>
        <v>15852.666666666666</v>
      </c>
      <c r="AU91" s="1007">
        <f t="shared" si="241"/>
        <v>15852.666666666666</v>
      </c>
      <c r="AV91" s="1007">
        <f t="shared" si="241"/>
        <v>15852.666666666666</v>
      </c>
      <c r="AW91" s="1007">
        <f t="shared" si="241"/>
        <v>15852.666666666666</v>
      </c>
      <c r="AX91" s="1007">
        <f t="shared" si="241"/>
        <v>15852.666666666666</v>
      </c>
      <c r="AY91" s="990">
        <f t="shared" si="213"/>
        <v>95116</v>
      </c>
      <c r="AZ91" s="991">
        <f t="shared" si="201"/>
        <v>0</v>
      </c>
      <c r="BA91" s="992">
        <f t="shared" si="201"/>
        <v>0</v>
      </c>
      <c r="BB91" s="992">
        <f t="shared" si="201"/>
        <v>0</v>
      </c>
      <c r="BC91" s="992">
        <f t="shared" si="201"/>
        <v>0</v>
      </c>
      <c r="BD91" s="992">
        <f t="shared" si="201"/>
        <v>0</v>
      </c>
      <c r="BE91" s="992">
        <f t="shared" si="201"/>
        <v>0</v>
      </c>
      <c r="BF91" s="992">
        <f t="shared" si="201"/>
        <v>23779</v>
      </c>
      <c r="BG91" s="992">
        <f t="shared" si="201"/>
        <v>23779</v>
      </c>
      <c r="BH91" s="992">
        <f t="shared" si="201"/>
        <v>23779</v>
      </c>
      <c r="BI91" s="992">
        <f t="shared" si="201"/>
        <v>23779</v>
      </c>
      <c r="BJ91" s="992">
        <f t="shared" si="201"/>
        <v>23779</v>
      </c>
      <c r="BK91" s="992">
        <f t="shared" si="201"/>
        <v>23779</v>
      </c>
      <c r="BL91" s="993">
        <f t="shared" si="202"/>
        <v>142674</v>
      </c>
      <c r="BM91" s="1006">
        <f t="shared" si="242"/>
        <v>32500</v>
      </c>
      <c r="BN91" s="1006">
        <f t="shared" si="242"/>
        <v>32500</v>
      </c>
      <c r="BO91" s="1006">
        <f t="shared" si="242"/>
        <v>32500</v>
      </c>
      <c r="BP91" s="1006">
        <f t="shared" si="242"/>
        <v>32500</v>
      </c>
      <c r="BQ91" s="1006">
        <f t="shared" si="242"/>
        <v>32500</v>
      </c>
      <c r="BR91" s="1006">
        <f t="shared" si="242"/>
        <v>32500</v>
      </c>
      <c r="BS91" s="1006">
        <f t="shared" si="242"/>
        <v>32500</v>
      </c>
      <c r="BT91" s="1006">
        <f t="shared" si="242"/>
        <v>32500</v>
      </c>
      <c r="BU91" s="1006">
        <f t="shared" si="242"/>
        <v>32500</v>
      </c>
      <c r="BV91" s="1006">
        <f t="shared" si="242"/>
        <v>32500</v>
      </c>
      <c r="BW91" s="1006">
        <f t="shared" si="242"/>
        <v>32500</v>
      </c>
      <c r="BX91" s="1006">
        <f t="shared" si="242"/>
        <v>32500</v>
      </c>
      <c r="BY91" s="990">
        <f t="shared" si="215"/>
        <v>390000</v>
      </c>
      <c r="BZ91" s="1039">
        <f t="shared" si="204"/>
        <v>48750</v>
      </c>
      <c r="CA91" s="992">
        <f t="shared" si="204"/>
        <v>48750</v>
      </c>
      <c r="CB91" s="992">
        <f t="shared" si="204"/>
        <v>48750</v>
      </c>
      <c r="CC91" s="992">
        <f t="shared" si="204"/>
        <v>48750</v>
      </c>
      <c r="CD91" s="992">
        <f t="shared" si="204"/>
        <v>48750</v>
      </c>
      <c r="CE91" s="992">
        <f t="shared" si="204"/>
        <v>48750</v>
      </c>
      <c r="CF91" s="992">
        <f t="shared" si="204"/>
        <v>48750</v>
      </c>
      <c r="CG91" s="992">
        <f t="shared" si="204"/>
        <v>48750</v>
      </c>
      <c r="CH91" s="992">
        <f t="shared" si="204"/>
        <v>48750</v>
      </c>
      <c r="CI91" s="992">
        <f t="shared" si="204"/>
        <v>48750</v>
      </c>
      <c r="CJ91" s="992">
        <f t="shared" si="204"/>
        <v>48750</v>
      </c>
      <c r="CK91" s="992">
        <f t="shared" si="204"/>
        <v>48750</v>
      </c>
      <c r="CL91" s="1040">
        <f t="shared" si="205"/>
        <v>585000</v>
      </c>
      <c r="CM91" s="1042">
        <f>415000/12</f>
        <v>34583.333333333336</v>
      </c>
      <c r="CN91" s="1007">
        <f t="shared" si="243"/>
        <v>34583.333333333336</v>
      </c>
      <c r="CO91" s="1007">
        <f t="shared" si="243"/>
        <v>34583.333333333336</v>
      </c>
      <c r="CP91" s="1007">
        <f t="shared" si="243"/>
        <v>34583.333333333336</v>
      </c>
      <c r="CQ91" s="1007">
        <f t="shared" si="243"/>
        <v>34583.333333333336</v>
      </c>
      <c r="CR91" s="1007">
        <f t="shared" si="243"/>
        <v>34583.333333333336</v>
      </c>
      <c r="CS91" s="1007">
        <f t="shared" si="243"/>
        <v>34583.333333333336</v>
      </c>
      <c r="CT91" s="1007">
        <f t="shared" si="243"/>
        <v>34583.333333333336</v>
      </c>
      <c r="CU91" s="1007">
        <f t="shared" si="243"/>
        <v>34583.333333333336</v>
      </c>
      <c r="CV91" s="1007">
        <f t="shared" si="243"/>
        <v>34583.333333333336</v>
      </c>
      <c r="CW91" s="1007">
        <f t="shared" si="243"/>
        <v>34583.333333333336</v>
      </c>
      <c r="CX91" s="1007">
        <f t="shared" si="243"/>
        <v>34583.333333333336</v>
      </c>
      <c r="CY91" s="1005">
        <f t="shared" si="216"/>
        <v>414999.99999999994</v>
      </c>
      <c r="CZ91" s="991">
        <f t="shared" si="206"/>
        <v>51875</v>
      </c>
      <c r="DA91" s="992">
        <f t="shared" si="236"/>
        <v>51875</v>
      </c>
      <c r="DB91" s="992">
        <f t="shared" si="236"/>
        <v>51875</v>
      </c>
      <c r="DC91" s="992">
        <f t="shared" si="236"/>
        <v>51875</v>
      </c>
      <c r="DD91" s="992">
        <f t="shared" si="236"/>
        <v>51875</v>
      </c>
      <c r="DE91" s="992">
        <f t="shared" si="236"/>
        <v>51875</v>
      </c>
      <c r="DF91" s="992">
        <f t="shared" si="236"/>
        <v>51875</v>
      </c>
      <c r="DG91" s="992">
        <f t="shared" si="236"/>
        <v>51875</v>
      </c>
      <c r="DH91" s="992">
        <f t="shared" si="236"/>
        <v>51875</v>
      </c>
      <c r="DI91" s="992">
        <f t="shared" si="236"/>
        <v>51875</v>
      </c>
      <c r="DJ91" s="992">
        <f t="shared" si="236"/>
        <v>51875</v>
      </c>
      <c r="DK91" s="992">
        <f t="shared" si="236"/>
        <v>51875</v>
      </c>
      <c r="DL91" s="993">
        <f t="shared" si="208"/>
        <v>622500</v>
      </c>
      <c r="DM91" s="1006">
        <f>415000/12</f>
        <v>34583.333333333336</v>
      </c>
      <c r="DN91" s="1006">
        <f t="shared" si="244"/>
        <v>34583.333333333336</v>
      </c>
      <c r="DO91" s="1006">
        <f t="shared" si="244"/>
        <v>34583.333333333336</v>
      </c>
      <c r="DP91" s="1006">
        <f t="shared" si="244"/>
        <v>34583.333333333336</v>
      </c>
      <c r="DQ91" s="1006">
        <f t="shared" si="244"/>
        <v>34583.333333333336</v>
      </c>
      <c r="DR91" s="1006">
        <f t="shared" si="244"/>
        <v>34583.333333333336</v>
      </c>
      <c r="DS91" s="1006">
        <f t="shared" si="244"/>
        <v>34583.333333333336</v>
      </c>
      <c r="DT91" s="1006">
        <f t="shared" si="244"/>
        <v>34583.333333333336</v>
      </c>
      <c r="DU91" s="1006">
        <f t="shared" si="244"/>
        <v>34583.333333333336</v>
      </c>
      <c r="DV91" s="1006">
        <f t="shared" si="244"/>
        <v>34583.333333333336</v>
      </c>
      <c r="DW91" s="1006">
        <f t="shared" si="244"/>
        <v>34583.333333333336</v>
      </c>
      <c r="DX91" s="1006">
        <f t="shared" si="244"/>
        <v>34583.333333333336</v>
      </c>
      <c r="DY91" s="990">
        <f t="shared" si="217"/>
        <v>414999.99999999994</v>
      </c>
      <c r="DZ91" s="991">
        <f>DM91*$K91</f>
        <v>51875</v>
      </c>
      <c r="EA91" s="992">
        <f t="shared" si="209"/>
        <v>51875</v>
      </c>
      <c r="EB91" s="992">
        <f t="shared" si="209"/>
        <v>51875</v>
      </c>
      <c r="EC91" s="992">
        <f t="shared" si="209"/>
        <v>51875</v>
      </c>
      <c r="ED91" s="992">
        <f t="shared" si="209"/>
        <v>51875</v>
      </c>
      <c r="EE91" s="992">
        <f t="shared" si="209"/>
        <v>51875</v>
      </c>
      <c r="EF91" s="992">
        <f t="shared" si="209"/>
        <v>51875</v>
      </c>
      <c r="EG91" s="992">
        <f t="shared" si="209"/>
        <v>51875</v>
      </c>
      <c r="EH91" s="992">
        <f t="shared" si="209"/>
        <v>51875</v>
      </c>
      <c r="EI91" s="992">
        <f t="shared" si="209"/>
        <v>51875</v>
      </c>
      <c r="EJ91" s="992">
        <f t="shared" si="209"/>
        <v>51875</v>
      </c>
      <c r="EK91" s="992">
        <f t="shared" si="209"/>
        <v>51875</v>
      </c>
      <c r="EL91" s="993">
        <f t="shared" si="210"/>
        <v>622500</v>
      </c>
    </row>
    <row r="92" spans="1:142">
      <c r="A92" s="978" t="s">
        <v>713</v>
      </c>
      <c r="B92" s="904" t="s">
        <v>77</v>
      </c>
      <c r="C92" s="1032" t="s">
        <v>714</v>
      </c>
      <c r="D92" s="559">
        <v>1.173</v>
      </c>
      <c r="E92" s="544">
        <v>1.173</v>
      </c>
      <c r="F92" s="1043">
        <v>1.173</v>
      </c>
      <c r="G92" s="561">
        <v>1.173</v>
      </c>
      <c r="H92" s="559">
        <f t="shared" ref="H92:K93" si="245">G92</f>
        <v>1.173</v>
      </c>
      <c r="I92" s="560">
        <f t="shared" si="245"/>
        <v>1.173</v>
      </c>
      <c r="J92" s="560">
        <f t="shared" si="245"/>
        <v>1.173</v>
      </c>
      <c r="K92" s="1029">
        <f t="shared" si="245"/>
        <v>1.173</v>
      </c>
      <c r="L92" s="875"/>
      <c r="M92" s="554">
        <v>65520</v>
      </c>
      <c r="N92" s="552">
        <v>40720</v>
      </c>
      <c r="O92" s="552">
        <v>84000</v>
      </c>
      <c r="P92" s="552">
        <v>60000</v>
      </c>
      <c r="Q92" s="552">
        <v>33600</v>
      </c>
      <c r="R92" s="552">
        <f>14500+15000</f>
        <v>29500</v>
      </c>
      <c r="S92" s="552">
        <v>62000</v>
      </c>
      <c r="T92" s="552">
        <v>45000</v>
      </c>
      <c r="U92" s="552">
        <v>57120</v>
      </c>
      <c r="V92" s="552">
        <v>53760</v>
      </c>
      <c r="W92" s="552">
        <v>57120</v>
      </c>
      <c r="X92" s="552">
        <v>57120</v>
      </c>
      <c r="Y92" s="876">
        <f t="shared" si="197"/>
        <v>645460</v>
      </c>
      <c r="Z92" s="877">
        <f>$D92*M92+622</f>
        <v>77476.960000000006</v>
      </c>
      <c r="AA92" s="248">
        <f>$D92*N92</f>
        <v>47764.560000000005</v>
      </c>
      <c r="AB92" s="248">
        <f>$D92*O92</f>
        <v>98532</v>
      </c>
      <c r="AC92" s="248">
        <v>70380</v>
      </c>
      <c r="AD92" s="248">
        <v>39786</v>
      </c>
      <c r="AE92" s="248">
        <f>R92*$D92</f>
        <v>34603.5</v>
      </c>
      <c r="AF92" s="248">
        <f>S92*$D92</f>
        <v>72726</v>
      </c>
      <c r="AG92" s="248">
        <f>T92*$D92</f>
        <v>52785</v>
      </c>
      <c r="AH92" s="248">
        <f>$D92*U92</f>
        <v>67001.760000000009</v>
      </c>
      <c r="AI92" s="248">
        <f>$D92*V92</f>
        <v>63060.480000000003</v>
      </c>
      <c r="AJ92" s="248">
        <f>$D92*W92</f>
        <v>67001.760000000009</v>
      </c>
      <c r="AK92" s="1044">
        <f>$D92*X92</f>
        <v>67001.760000000009</v>
      </c>
      <c r="AL92" s="1045">
        <f t="shared" si="200"/>
        <v>758119.78</v>
      </c>
      <c r="AM92" s="1028">
        <f>420000/12</f>
        <v>35000</v>
      </c>
      <c r="AN92" s="552">
        <f t="shared" ref="AN92:AX92" si="246">420000/12</f>
        <v>35000</v>
      </c>
      <c r="AO92" s="552">
        <f t="shared" si="246"/>
        <v>35000</v>
      </c>
      <c r="AP92" s="552">
        <f t="shared" si="246"/>
        <v>35000</v>
      </c>
      <c r="AQ92" s="552">
        <f t="shared" si="246"/>
        <v>35000</v>
      </c>
      <c r="AR92" s="552">
        <f t="shared" si="246"/>
        <v>35000</v>
      </c>
      <c r="AS92" s="552">
        <f t="shared" si="246"/>
        <v>35000</v>
      </c>
      <c r="AT92" s="552">
        <f t="shared" si="246"/>
        <v>35000</v>
      </c>
      <c r="AU92" s="552">
        <f t="shared" si="246"/>
        <v>35000</v>
      </c>
      <c r="AV92" s="552">
        <f t="shared" si="246"/>
        <v>35000</v>
      </c>
      <c r="AW92" s="552">
        <f t="shared" si="246"/>
        <v>35000</v>
      </c>
      <c r="AX92" s="552">
        <f t="shared" si="246"/>
        <v>35000</v>
      </c>
      <c r="AY92" s="876">
        <f>SUM(AM92:AX92)</f>
        <v>420000</v>
      </c>
      <c r="AZ92" s="877">
        <f t="shared" si="201"/>
        <v>41055</v>
      </c>
      <c r="BA92" s="248">
        <f t="shared" si="201"/>
        <v>41055</v>
      </c>
      <c r="BB92" s="248">
        <f t="shared" si="201"/>
        <v>41055</v>
      </c>
      <c r="BC92" s="248">
        <f t="shared" si="201"/>
        <v>41055</v>
      </c>
      <c r="BD92" s="248">
        <f t="shared" si="201"/>
        <v>41055</v>
      </c>
      <c r="BE92" s="248">
        <f t="shared" si="201"/>
        <v>41055</v>
      </c>
      <c r="BF92" s="248">
        <f t="shared" si="201"/>
        <v>41055</v>
      </c>
      <c r="BG92" s="248">
        <f t="shared" si="201"/>
        <v>41055</v>
      </c>
      <c r="BH92" s="248">
        <f t="shared" si="201"/>
        <v>41055</v>
      </c>
      <c r="BI92" s="248">
        <f t="shared" si="201"/>
        <v>41055</v>
      </c>
      <c r="BJ92" s="248">
        <f t="shared" si="201"/>
        <v>41055</v>
      </c>
      <c r="BK92" s="248">
        <f t="shared" si="201"/>
        <v>41055</v>
      </c>
      <c r="BL92" s="878">
        <f t="shared" si="202"/>
        <v>492660</v>
      </c>
      <c r="BM92" s="1028">
        <f t="shared" ref="BM92:DX92" si="247">420000/12</f>
        <v>35000</v>
      </c>
      <c r="BN92" s="552">
        <f t="shared" si="247"/>
        <v>35000</v>
      </c>
      <c r="BO92" s="552">
        <f t="shared" si="247"/>
        <v>35000</v>
      </c>
      <c r="BP92" s="552">
        <f t="shared" si="247"/>
        <v>35000</v>
      </c>
      <c r="BQ92" s="552">
        <f t="shared" si="247"/>
        <v>35000</v>
      </c>
      <c r="BR92" s="552">
        <f t="shared" si="247"/>
        <v>35000</v>
      </c>
      <c r="BS92" s="552">
        <f t="shared" si="247"/>
        <v>35000</v>
      </c>
      <c r="BT92" s="552">
        <f t="shared" si="247"/>
        <v>35000</v>
      </c>
      <c r="BU92" s="552">
        <f t="shared" si="247"/>
        <v>35000</v>
      </c>
      <c r="BV92" s="552">
        <f t="shared" si="247"/>
        <v>35000</v>
      </c>
      <c r="BW92" s="552">
        <f t="shared" si="247"/>
        <v>35000</v>
      </c>
      <c r="BX92" s="552">
        <f t="shared" si="247"/>
        <v>35000</v>
      </c>
      <c r="BY92" s="876">
        <f t="shared" si="215"/>
        <v>420000</v>
      </c>
      <c r="BZ92" s="882">
        <f t="shared" si="204"/>
        <v>41055</v>
      </c>
      <c r="CA92" s="248">
        <f t="shared" si="204"/>
        <v>41055</v>
      </c>
      <c r="CB92" s="248">
        <f t="shared" si="204"/>
        <v>41055</v>
      </c>
      <c r="CC92" s="248">
        <f t="shared" si="204"/>
        <v>41055</v>
      </c>
      <c r="CD92" s="248">
        <f t="shared" si="204"/>
        <v>41055</v>
      </c>
      <c r="CE92" s="248">
        <f t="shared" si="204"/>
        <v>41055</v>
      </c>
      <c r="CF92" s="248">
        <f t="shared" si="204"/>
        <v>41055</v>
      </c>
      <c r="CG92" s="248">
        <f t="shared" si="204"/>
        <v>41055</v>
      </c>
      <c r="CH92" s="248">
        <f t="shared" si="204"/>
        <v>41055</v>
      </c>
      <c r="CI92" s="248">
        <f t="shared" si="204"/>
        <v>41055</v>
      </c>
      <c r="CJ92" s="248">
        <f t="shared" si="204"/>
        <v>41055</v>
      </c>
      <c r="CK92" s="248">
        <f t="shared" si="204"/>
        <v>41055</v>
      </c>
      <c r="CL92" s="883">
        <f t="shared" si="205"/>
        <v>492660</v>
      </c>
      <c r="CM92" s="881">
        <f t="shared" si="247"/>
        <v>35000</v>
      </c>
      <c r="CN92" s="530">
        <f t="shared" si="247"/>
        <v>35000</v>
      </c>
      <c r="CO92" s="530">
        <f t="shared" si="247"/>
        <v>35000</v>
      </c>
      <c r="CP92" s="530">
        <f t="shared" si="247"/>
        <v>35000</v>
      </c>
      <c r="CQ92" s="530">
        <f t="shared" si="247"/>
        <v>35000</v>
      </c>
      <c r="CR92" s="530">
        <f t="shared" si="247"/>
        <v>35000</v>
      </c>
      <c r="CS92" s="530">
        <f t="shared" si="247"/>
        <v>35000</v>
      </c>
      <c r="CT92" s="530">
        <f t="shared" si="247"/>
        <v>35000</v>
      </c>
      <c r="CU92" s="530">
        <f t="shared" si="247"/>
        <v>35000</v>
      </c>
      <c r="CV92" s="530">
        <f t="shared" si="247"/>
        <v>35000</v>
      </c>
      <c r="CW92" s="530">
        <f t="shared" si="247"/>
        <v>35000</v>
      </c>
      <c r="CX92" s="530">
        <f t="shared" si="247"/>
        <v>35000</v>
      </c>
      <c r="CY92" s="900">
        <f t="shared" si="216"/>
        <v>420000</v>
      </c>
      <c r="CZ92" s="877">
        <f t="shared" si="206"/>
        <v>41055</v>
      </c>
      <c r="DA92" s="248">
        <f t="shared" si="207"/>
        <v>41055</v>
      </c>
      <c r="DB92" s="248">
        <f t="shared" si="207"/>
        <v>41055</v>
      </c>
      <c r="DC92" s="248">
        <f t="shared" si="207"/>
        <v>41055</v>
      </c>
      <c r="DD92" s="248">
        <f t="shared" si="207"/>
        <v>41055</v>
      </c>
      <c r="DE92" s="248">
        <f t="shared" si="207"/>
        <v>41055</v>
      </c>
      <c r="DF92" s="248">
        <f t="shared" si="207"/>
        <v>41055</v>
      </c>
      <c r="DG92" s="248">
        <f t="shared" si="207"/>
        <v>41055</v>
      </c>
      <c r="DH92" s="248">
        <f t="shared" si="207"/>
        <v>41055</v>
      </c>
      <c r="DI92" s="248">
        <f t="shared" si="207"/>
        <v>41055</v>
      </c>
      <c r="DJ92" s="248">
        <f t="shared" si="207"/>
        <v>41055</v>
      </c>
      <c r="DK92" s="248">
        <f t="shared" si="207"/>
        <v>41055</v>
      </c>
      <c r="DL92" s="878">
        <f t="shared" si="208"/>
        <v>492660</v>
      </c>
      <c r="DM92" s="554">
        <f t="shared" si="247"/>
        <v>35000</v>
      </c>
      <c r="DN92" s="552">
        <f t="shared" si="247"/>
        <v>35000</v>
      </c>
      <c r="DO92" s="552">
        <f t="shared" si="247"/>
        <v>35000</v>
      </c>
      <c r="DP92" s="552">
        <f t="shared" si="247"/>
        <v>35000</v>
      </c>
      <c r="DQ92" s="552">
        <f t="shared" si="247"/>
        <v>35000</v>
      </c>
      <c r="DR92" s="552">
        <f t="shared" si="247"/>
        <v>35000</v>
      </c>
      <c r="DS92" s="552">
        <f t="shared" si="247"/>
        <v>35000</v>
      </c>
      <c r="DT92" s="552">
        <f t="shared" si="247"/>
        <v>35000</v>
      </c>
      <c r="DU92" s="552">
        <f t="shared" si="247"/>
        <v>35000</v>
      </c>
      <c r="DV92" s="552">
        <f t="shared" si="247"/>
        <v>35000</v>
      </c>
      <c r="DW92" s="552">
        <f t="shared" si="247"/>
        <v>35000</v>
      </c>
      <c r="DX92" s="552">
        <f t="shared" si="247"/>
        <v>35000</v>
      </c>
      <c r="DY92" s="876">
        <f t="shared" si="217"/>
        <v>420000</v>
      </c>
      <c r="DZ92" s="248">
        <f t="shared" ref="DZ92:EK95" si="248">DM92*$K92</f>
        <v>41055</v>
      </c>
      <c r="EA92" s="248">
        <f t="shared" si="248"/>
        <v>41055</v>
      </c>
      <c r="EB92" s="248">
        <f t="shared" si="248"/>
        <v>41055</v>
      </c>
      <c r="EC92" s="248">
        <f t="shared" si="248"/>
        <v>41055</v>
      </c>
      <c r="ED92" s="248">
        <f t="shared" si="248"/>
        <v>41055</v>
      </c>
      <c r="EE92" s="248">
        <f t="shared" si="248"/>
        <v>41055</v>
      </c>
      <c r="EF92" s="248">
        <f t="shared" si="248"/>
        <v>41055</v>
      </c>
      <c r="EG92" s="248">
        <f t="shared" si="248"/>
        <v>41055</v>
      </c>
      <c r="EH92" s="248">
        <f t="shared" si="248"/>
        <v>41055</v>
      </c>
      <c r="EI92" s="248">
        <f t="shared" si="248"/>
        <v>41055</v>
      </c>
      <c r="EJ92" s="248">
        <f t="shared" si="248"/>
        <v>41055</v>
      </c>
      <c r="EK92" s="248">
        <f t="shared" si="248"/>
        <v>41055</v>
      </c>
      <c r="EL92" s="878">
        <f t="shared" si="210"/>
        <v>492660</v>
      </c>
    </row>
    <row r="93" spans="1:142">
      <c r="A93" s="978" t="s">
        <v>713</v>
      </c>
      <c r="B93" s="1030" t="s">
        <v>715</v>
      </c>
      <c r="C93" s="1046"/>
      <c r="D93" s="1047">
        <v>1.59</v>
      </c>
      <c r="E93" s="1048">
        <v>1.59</v>
      </c>
      <c r="F93" s="1048">
        <v>1.59</v>
      </c>
      <c r="G93" s="1049">
        <v>1.59</v>
      </c>
      <c r="H93" s="1047">
        <f t="shared" si="245"/>
        <v>1.59</v>
      </c>
      <c r="I93" s="1048">
        <f t="shared" si="245"/>
        <v>1.59</v>
      </c>
      <c r="J93" s="1048">
        <f t="shared" si="245"/>
        <v>1.59</v>
      </c>
      <c r="K93" s="1050">
        <f t="shared" si="245"/>
        <v>1.59</v>
      </c>
      <c r="L93" s="875"/>
      <c r="M93" s="554"/>
      <c r="N93" s="552"/>
      <c r="O93" s="552"/>
      <c r="P93" s="552"/>
      <c r="Q93" s="552"/>
      <c r="R93" s="552"/>
      <c r="S93" s="552"/>
      <c r="T93" s="552"/>
      <c r="U93" s="552"/>
      <c r="V93" s="552"/>
      <c r="W93" s="552"/>
      <c r="X93" s="552"/>
      <c r="Y93" s="876">
        <f t="shared" si="197"/>
        <v>0</v>
      </c>
      <c r="Z93" s="877">
        <v>0</v>
      </c>
      <c r="AA93" s="248">
        <v>0</v>
      </c>
      <c r="AB93" s="248">
        <f>O93*D93</f>
        <v>0</v>
      </c>
      <c r="AC93" s="248">
        <f>P93*D93</f>
        <v>0</v>
      </c>
      <c r="AD93" s="248">
        <f t="shared" ref="AD93:AE95" si="249">Q93*$D93</f>
        <v>0</v>
      </c>
      <c r="AE93" s="248">
        <f t="shared" si="249"/>
        <v>0</v>
      </c>
      <c r="AF93" s="248">
        <f>S93*$F93</f>
        <v>0</v>
      </c>
      <c r="AG93" s="248">
        <f>T93*$D93</f>
        <v>0</v>
      </c>
      <c r="AH93" s="248">
        <f>U93*$F93</f>
        <v>0</v>
      </c>
      <c r="AI93" s="248">
        <f>V93*$G93</f>
        <v>0</v>
      </c>
      <c r="AJ93" s="248">
        <f>W93*$G93</f>
        <v>0</v>
      </c>
      <c r="AK93" s="1044">
        <f>X93*$G93</f>
        <v>0</v>
      </c>
      <c r="AL93" s="1045">
        <f t="shared" si="200"/>
        <v>0</v>
      </c>
      <c r="AM93" s="1028">
        <f>212150/12</f>
        <v>17679.166666666668</v>
      </c>
      <c r="AN93" s="552">
        <f t="shared" ref="AN93:AX93" si="250">212150/12</f>
        <v>17679.166666666668</v>
      </c>
      <c r="AO93" s="552">
        <f t="shared" si="250"/>
        <v>17679.166666666668</v>
      </c>
      <c r="AP93" s="552">
        <f t="shared" si="250"/>
        <v>17679.166666666668</v>
      </c>
      <c r="AQ93" s="552">
        <f t="shared" si="250"/>
        <v>17679.166666666668</v>
      </c>
      <c r="AR93" s="552">
        <f t="shared" si="250"/>
        <v>17679.166666666668</v>
      </c>
      <c r="AS93" s="552">
        <f t="shared" si="250"/>
        <v>17679.166666666668</v>
      </c>
      <c r="AT93" s="552">
        <f t="shared" si="250"/>
        <v>17679.166666666668</v>
      </c>
      <c r="AU93" s="552">
        <f t="shared" si="250"/>
        <v>17679.166666666668</v>
      </c>
      <c r="AV93" s="552">
        <f t="shared" si="250"/>
        <v>17679.166666666668</v>
      </c>
      <c r="AW93" s="552">
        <f t="shared" si="250"/>
        <v>17679.166666666668</v>
      </c>
      <c r="AX93" s="552">
        <f t="shared" si="250"/>
        <v>17679.166666666668</v>
      </c>
      <c r="AY93" s="876">
        <f>SUM(AM93:AX93)</f>
        <v>212149.99999999997</v>
      </c>
      <c r="AZ93" s="877">
        <f t="shared" si="201"/>
        <v>28109.875000000004</v>
      </c>
      <c r="BA93" s="248">
        <f t="shared" si="201"/>
        <v>28109.875000000004</v>
      </c>
      <c r="BB93" s="248">
        <f t="shared" si="201"/>
        <v>28109.875000000004</v>
      </c>
      <c r="BC93" s="248">
        <f t="shared" si="201"/>
        <v>28109.875000000004</v>
      </c>
      <c r="BD93" s="248">
        <f t="shared" si="201"/>
        <v>28109.875000000004</v>
      </c>
      <c r="BE93" s="248">
        <f t="shared" si="201"/>
        <v>28109.875000000004</v>
      </c>
      <c r="BF93" s="248">
        <f t="shared" si="201"/>
        <v>28109.875000000004</v>
      </c>
      <c r="BG93" s="248">
        <f t="shared" si="201"/>
        <v>28109.875000000004</v>
      </c>
      <c r="BH93" s="248">
        <f t="shared" si="201"/>
        <v>28109.875000000004</v>
      </c>
      <c r="BI93" s="248">
        <f t="shared" si="201"/>
        <v>28109.875000000004</v>
      </c>
      <c r="BJ93" s="248">
        <f t="shared" si="201"/>
        <v>28109.875000000004</v>
      </c>
      <c r="BK93" s="248">
        <f t="shared" si="201"/>
        <v>28109.875000000004</v>
      </c>
      <c r="BL93" s="878">
        <f t="shared" si="202"/>
        <v>337318.50000000006</v>
      </c>
      <c r="BM93" s="1028">
        <f>183560/12</f>
        <v>15296.666666666666</v>
      </c>
      <c r="BN93" s="552">
        <f t="shared" ref="BN93:BX93" si="251">183560/12</f>
        <v>15296.666666666666</v>
      </c>
      <c r="BO93" s="552">
        <f t="shared" si="251"/>
        <v>15296.666666666666</v>
      </c>
      <c r="BP93" s="552">
        <f t="shared" si="251"/>
        <v>15296.666666666666</v>
      </c>
      <c r="BQ93" s="552">
        <f t="shared" si="251"/>
        <v>15296.666666666666</v>
      </c>
      <c r="BR93" s="552">
        <f t="shared" si="251"/>
        <v>15296.666666666666</v>
      </c>
      <c r="BS93" s="552">
        <f t="shared" si="251"/>
        <v>15296.666666666666</v>
      </c>
      <c r="BT93" s="552">
        <f t="shared" si="251"/>
        <v>15296.666666666666</v>
      </c>
      <c r="BU93" s="552">
        <f t="shared" si="251"/>
        <v>15296.666666666666</v>
      </c>
      <c r="BV93" s="552">
        <f t="shared" si="251"/>
        <v>15296.666666666666</v>
      </c>
      <c r="BW93" s="552">
        <f t="shared" si="251"/>
        <v>15296.666666666666</v>
      </c>
      <c r="BX93" s="552">
        <f t="shared" si="251"/>
        <v>15296.666666666666</v>
      </c>
      <c r="BY93" s="876">
        <f t="shared" si="215"/>
        <v>183559.99999999997</v>
      </c>
      <c r="BZ93" s="882">
        <f t="shared" si="204"/>
        <v>24321.7</v>
      </c>
      <c r="CA93" s="248">
        <f t="shared" si="204"/>
        <v>24321.7</v>
      </c>
      <c r="CB93" s="248">
        <f t="shared" si="204"/>
        <v>24321.7</v>
      </c>
      <c r="CC93" s="248">
        <f t="shared" si="204"/>
        <v>24321.7</v>
      </c>
      <c r="CD93" s="248">
        <f t="shared" si="204"/>
        <v>24321.7</v>
      </c>
      <c r="CE93" s="248">
        <f t="shared" si="204"/>
        <v>24321.7</v>
      </c>
      <c r="CF93" s="248">
        <f t="shared" si="204"/>
        <v>24321.7</v>
      </c>
      <c r="CG93" s="248">
        <f t="shared" si="204"/>
        <v>24321.7</v>
      </c>
      <c r="CH93" s="248">
        <f t="shared" si="204"/>
        <v>24321.7</v>
      </c>
      <c r="CI93" s="248">
        <f t="shared" si="204"/>
        <v>24321.7</v>
      </c>
      <c r="CJ93" s="248">
        <f t="shared" si="204"/>
        <v>24321.7</v>
      </c>
      <c r="CK93" s="248">
        <f t="shared" si="204"/>
        <v>24321.7</v>
      </c>
      <c r="CL93" s="883">
        <f t="shared" si="205"/>
        <v>291860.40000000008</v>
      </c>
      <c r="CM93" s="1028">
        <f>64503/12</f>
        <v>5375.25</v>
      </c>
      <c r="CN93" s="552">
        <f t="shared" ref="CN93:CX93" si="252">64503/12</f>
        <v>5375.25</v>
      </c>
      <c r="CO93" s="552">
        <f t="shared" si="252"/>
        <v>5375.25</v>
      </c>
      <c r="CP93" s="552">
        <f t="shared" si="252"/>
        <v>5375.25</v>
      </c>
      <c r="CQ93" s="552">
        <f t="shared" si="252"/>
        <v>5375.25</v>
      </c>
      <c r="CR93" s="552">
        <f t="shared" si="252"/>
        <v>5375.25</v>
      </c>
      <c r="CS93" s="552">
        <f t="shared" si="252"/>
        <v>5375.25</v>
      </c>
      <c r="CT93" s="552">
        <f t="shared" si="252"/>
        <v>5375.25</v>
      </c>
      <c r="CU93" s="552">
        <f t="shared" si="252"/>
        <v>5375.25</v>
      </c>
      <c r="CV93" s="552">
        <f t="shared" si="252"/>
        <v>5375.25</v>
      </c>
      <c r="CW93" s="552">
        <f t="shared" si="252"/>
        <v>5375.25</v>
      </c>
      <c r="CX93" s="552">
        <f t="shared" si="252"/>
        <v>5375.25</v>
      </c>
      <c r="CY93" s="876">
        <f t="shared" si="216"/>
        <v>64503</v>
      </c>
      <c r="CZ93" s="877">
        <f t="shared" si="206"/>
        <v>8546.6475000000009</v>
      </c>
      <c r="DA93" s="248">
        <f t="shared" si="207"/>
        <v>8546.6475000000009</v>
      </c>
      <c r="DB93" s="248">
        <f t="shared" si="207"/>
        <v>8546.6475000000009</v>
      </c>
      <c r="DC93" s="248">
        <f t="shared" si="207"/>
        <v>8546.6475000000009</v>
      </c>
      <c r="DD93" s="248">
        <f t="shared" si="207"/>
        <v>8546.6475000000009</v>
      </c>
      <c r="DE93" s="248">
        <f t="shared" si="207"/>
        <v>8546.6475000000009</v>
      </c>
      <c r="DF93" s="248">
        <f t="shared" si="207"/>
        <v>8546.6475000000009</v>
      </c>
      <c r="DG93" s="248">
        <f t="shared" si="207"/>
        <v>8546.6475000000009</v>
      </c>
      <c r="DH93" s="248">
        <f t="shared" si="207"/>
        <v>8546.6475000000009</v>
      </c>
      <c r="DI93" s="248">
        <f t="shared" si="207"/>
        <v>8546.6475000000009</v>
      </c>
      <c r="DJ93" s="248">
        <f t="shared" si="207"/>
        <v>8546.6475000000009</v>
      </c>
      <c r="DK93" s="248">
        <f t="shared" si="207"/>
        <v>8546.6475000000009</v>
      </c>
      <c r="DL93" s="878">
        <f t="shared" si="208"/>
        <v>102559.77000000003</v>
      </c>
      <c r="DM93" s="554">
        <f>30000/12</f>
        <v>2500</v>
      </c>
      <c r="DN93" s="552">
        <f t="shared" ref="DN93:DX93" si="253">30000/12</f>
        <v>2500</v>
      </c>
      <c r="DO93" s="552">
        <f t="shared" si="253"/>
        <v>2500</v>
      </c>
      <c r="DP93" s="552">
        <f t="shared" si="253"/>
        <v>2500</v>
      </c>
      <c r="DQ93" s="552">
        <f t="shared" si="253"/>
        <v>2500</v>
      </c>
      <c r="DR93" s="552">
        <f t="shared" si="253"/>
        <v>2500</v>
      </c>
      <c r="DS93" s="552">
        <f t="shared" si="253"/>
        <v>2500</v>
      </c>
      <c r="DT93" s="552">
        <f t="shared" si="253"/>
        <v>2500</v>
      </c>
      <c r="DU93" s="552">
        <f t="shared" si="253"/>
        <v>2500</v>
      </c>
      <c r="DV93" s="552">
        <f t="shared" si="253"/>
        <v>2500</v>
      </c>
      <c r="DW93" s="552">
        <f t="shared" si="253"/>
        <v>2500</v>
      </c>
      <c r="DX93" s="552">
        <f t="shared" si="253"/>
        <v>2500</v>
      </c>
      <c r="DY93" s="876">
        <f t="shared" si="217"/>
        <v>30000</v>
      </c>
      <c r="DZ93" s="248">
        <f t="shared" si="248"/>
        <v>3975</v>
      </c>
      <c r="EA93" s="248">
        <f t="shared" si="248"/>
        <v>3975</v>
      </c>
      <c r="EB93" s="248">
        <f t="shared" si="248"/>
        <v>3975</v>
      </c>
      <c r="EC93" s="248">
        <f t="shared" si="248"/>
        <v>3975</v>
      </c>
      <c r="ED93" s="248">
        <f t="shared" si="248"/>
        <v>3975</v>
      </c>
      <c r="EE93" s="248">
        <f t="shared" si="248"/>
        <v>3975</v>
      </c>
      <c r="EF93" s="248">
        <f t="shared" si="248"/>
        <v>3975</v>
      </c>
      <c r="EG93" s="248">
        <f t="shared" si="248"/>
        <v>3975</v>
      </c>
      <c r="EH93" s="248">
        <f t="shared" si="248"/>
        <v>3975</v>
      </c>
      <c r="EI93" s="248">
        <f t="shared" si="248"/>
        <v>3975</v>
      </c>
      <c r="EJ93" s="248">
        <f t="shared" si="248"/>
        <v>3975</v>
      </c>
      <c r="EK93" s="248">
        <f t="shared" si="248"/>
        <v>3975</v>
      </c>
      <c r="EL93" s="878">
        <f t="shared" si="210"/>
        <v>47700</v>
      </c>
    </row>
    <row r="94" spans="1:142" s="1010" customFormat="1">
      <c r="A94" s="978" t="s">
        <v>235</v>
      </c>
      <c r="B94" s="1030" t="s">
        <v>716</v>
      </c>
      <c r="C94" s="1051"/>
      <c r="D94" s="1052"/>
      <c r="E94" s="1053"/>
      <c r="F94" s="1053"/>
      <c r="G94" s="1054"/>
      <c r="H94" s="1052">
        <v>0.92508999999999997</v>
      </c>
      <c r="I94" s="1053">
        <v>0.92508999999999997</v>
      </c>
      <c r="J94" s="1053">
        <v>0.89814563106796108</v>
      </c>
      <c r="K94" s="1055">
        <v>0.87198604958054471</v>
      </c>
      <c r="L94" s="1002"/>
      <c r="M94" s="1003"/>
      <c r="N94" s="1004"/>
      <c r="O94" s="1004"/>
      <c r="P94" s="1004"/>
      <c r="Q94" s="1004"/>
      <c r="R94" s="1004"/>
      <c r="S94" s="1004"/>
      <c r="T94" s="1004"/>
      <c r="U94" s="1004"/>
      <c r="V94" s="1004">
        <v>0</v>
      </c>
      <c r="W94" s="1004"/>
      <c r="X94" s="1004"/>
      <c r="Y94" s="1005"/>
      <c r="Z94" s="991"/>
      <c r="AA94" s="992"/>
      <c r="AB94" s="992"/>
      <c r="AC94" s="992"/>
      <c r="AD94" s="248">
        <f t="shared" si="249"/>
        <v>0</v>
      </c>
      <c r="AE94" s="248">
        <f t="shared" si="249"/>
        <v>0</v>
      </c>
      <c r="AF94" s="992"/>
      <c r="AG94" s="248">
        <f>T94*$D94</f>
        <v>0</v>
      </c>
      <c r="AH94" s="992"/>
      <c r="AI94" s="992"/>
      <c r="AJ94" s="992"/>
      <c r="AK94" s="1008"/>
      <c r="AL94" s="1011"/>
      <c r="AM94" s="1038"/>
      <c r="AN94" s="1004"/>
      <c r="AO94" s="1004"/>
      <c r="AP94" s="1004"/>
      <c r="AQ94" s="1004"/>
      <c r="AR94" s="1004"/>
      <c r="AS94" s="1004"/>
      <c r="AT94" s="1004"/>
      <c r="AU94" s="1004"/>
      <c r="AV94" s="1004"/>
      <c r="AW94" s="1004"/>
      <c r="AX94" s="1004">
        <v>3883</v>
      </c>
      <c r="AY94" s="1005">
        <f>SUM(AM94:AX94)</f>
        <v>3883</v>
      </c>
      <c r="AZ94" s="991">
        <f t="shared" si="201"/>
        <v>0</v>
      </c>
      <c r="BA94" s="992">
        <f t="shared" si="201"/>
        <v>0</v>
      </c>
      <c r="BB94" s="992">
        <f t="shared" si="201"/>
        <v>0</v>
      </c>
      <c r="BC94" s="992">
        <f t="shared" si="201"/>
        <v>0</v>
      </c>
      <c r="BD94" s="992">
        <f t="shared" si="201"/>
        <v>0</v>
      </c>
      <c r="BE94" s="992">
        <f t="shared" si="201"/>
        <v>0</v>
      </c>
      <c r="BF94" s="992">
        <f t="shared" si="201"/>
        <v>0</v>
      </c>
      <c r="BG94" s="992">
        <f t="shared" si="201"/>
        <v>0</v>
      </c>
      <c r="BH94" s="992">
        <f t="shared" si="201"/>
        <v>0</v>
      </c>
      <c r="BI94" s="992">
        <f t="shared" si="201"/>
        <v>0</v>
      </c>
      <c r="BJ94" s="992">
        <f t="shared" si="201"/>
        <v>0</v>
      </c>
      <c r="BK94" s="992">
        <f t="shared" si="201"/>
        <v>3592.1244699999997</v>
      </c>
      <c r="BL94" s="993">
        <f t="shared" si="202"/>
        <v>3592.1244699999997</v>
      </c>
      <c r="BM94" s="1038">
        <f>331842/12</f>
        <v>27653.5</v>
      </c>
      <c r="BN94" s="1004">
        <f t="shared" ref="BN94:BX95" si="254">331842/12</f>
        <v>27653.5</v>
      </c>
      <c r="BO94" s="1004">
        <f t="shared" si="254"/>
        <v>27653.5</v>
      </c>
      <c r="BP94" s="1004">
        <f t="shared" si="254"/>
        <v>27653.5</v>
      </c>
      <c r="BQ94" s="1004">
        <f t="shared" si="254"/>
        <v>27653.5</v>
      </c>
      <c r="BR94" s="1004">
        <f t="shared" si="254"/>
        <v>27653.5</v>
      </c>
      <c r="BS94" s="1004">
        <f t="shared" si="254"/>
        <v>27653.5</v>
      </c>
      <c r="BT94" s="1004">
        <f t="shared" si="254"/>
        <v>27653.5</v>
      </c>
      <c r="BU94" s="1004">
        <f t="shared" si="254"/>
        <v>27653.5</v>
      </c>
      <c r="BV94" s="1004">
        <f t="shared" si="254"/>
        <v>27653.5</v>
      </c>
      <c r="BW94" s="1004">
        <f t="shared" si="254"/>
        <v>27653.5</v>
      </c>
      <c r="BX94" s="1004">
        <f t="shared" si="254"/>
        <v>27653.5</v>
      </c>
      <c r="BY94" s="1005">
        <f t="shared" si="215"/>
        <v>331842</v>
      </c>
      <c r="BZ94" s="1039">
        <f t="shared" si="204"/>
        <v>25581.976315</v>
      </c>
      <c r="CA94" s="992">
        <f t="shared" si="204"/>
        <v>25581.976315</v>
      </c>
      <c r="CB94" s="992">
        <f t="shared" si="204"/>
        <v>25581.976315</v>
      </c>
      <c r="CC94" s="992">
        <f t="shared" si="204"/>
        <v>25581.976315</v>
      </c>
      <c r="CD94" s="992">
        <f t="shared" si="204"/>
        <v>25581.976315</v>
      </c>
      <c r="CE94" s="992">
        <f t="shared" si="204"/>
        <v>25581.976315</v>
      </c>
      <c r="CF94" s="992">
        <f t="shared" si="204"/>
        <v>25581.976315</v>
      </c>
      <c r="CG94" s="992">
        <f t="shared" si="204"/>
        <v>25581.976315</v>
      </c>
      <c r="CH94" s="992">
        <f t="shared" si="204"/>
        <v>25581.976315</v>
      </c>
      <c r="CI94" s="992">
        <f t="shared" si="204"/>
        <v>25581.976315</v>
      </c>
      <c r="CJ94" s="992">
        <f t="shared" si="204"/>
        <v>25581.976315</v>
      </c>
      <c r="CK94" s="992">
        <f t="shared" si="204"/>
        <v>25581.976315</v>
      </c>
      <c r="CL94" s="1040">
        <f t="shared" si="205"/>
        <v>306983.71578000003</v>
      </c>
      <c r="CM94" s="1038">
        <f>712809/12</f>
        <v>59400.75</v>
      </c>
      <c r="CN94" s="1004">
        <f t="shared" ref="CN94:CX95" si="255">712809/12</f>
        <v>59400.75</v>
      </c>
      <c r="CO94" s="1004">
        <f t="shared" si="255"/>
        <v>59400.75</v>
      </c>
      <c r="CP94" s="1004">
        <f t="shared" si="255"/>
        <v>59400.75</v>
      </c>
      <c r="CQ94" s="1004">
        <f t="shared" si="255"/>
        <v>59400.75</v>
      </c>
      <c r="CR94" s="1004">
        <f t="shared" si="255"/>
        <v>59400.75</v>
      </c>
      <c r="CS94" s="1004">
        <f t="shared" si="255"/>
        <v>59400.75</v>
      </c>
      <c r="CT94" s="1004">
        <f t="shared" si="255"/>
        <v>59400.75</v>
      </c>
      <c r="CU94" s="1004">
        <f t="shared" si="255"/>
        <v>59400.75</v>
      </c>
      <c r="CV94" s="1004">
        <f t="shared" si="255"/>
        <v>59400.75</v>
      </c>
      <c r="CW94" s="1004">
        <f t="shared" si="255"/>
        <v>59400.75</v>
      </c>
      <c r="CX94" s="1004">
        <f t="shared" si="255"/>
        <v>59400.75</v>
      </c>
      <c r="CY94" s="1005">
        <f t="shared" si="216"/>
        <v>712809</v>
      </c>
      <c r="CZ94" s="991">
        <f t="shared" si="206"/>
        <v>53350.524094660192</v>
      </c>
      <c r="DA94" s="992">
        <f t="shared" si="207"/>
        <v>53350.524094660192</v>
      </c>
      <c r="DB94" s="992">
        <f t="shared" si="207"/>
        <v>53350.524094660192</v>
      </c>
      <c r="DC94" s="992">
        <f t="shared" si="207"/>
        <v>53350.524094660192</v>
      </c>
      <c r="DD94" s="992">
        <f t="shared" si="207"/>
        <v>53350.524094660192</v>
      </c>
      <c r="DE94" s="992">
        <f t="shared" si="207"/>
        <v>53350.524094660192</v>
      </c>
      <c r="DF94" s="992">
        <f t="shared" si="207"/>
        <v>53350.524094660192</v>
      </c>
      <c r="DG94" s="992">
        <f t="shared" si="207"/>
        <v>53350.524094660192</v>
      </c>
      <c r="DH94" s="992">
        <f t="shared" si="207"/>
        <v>53350.524094660192</v>
      </c>
      <c r="DI94" s="992">
        <f t="shared" si="207"/>
        <v>53350.524094660192</v>
      </c>
      <c r="DJ94" s="992">
        <f t="shared" si="207"/>
        <v>53350.524094660192</v>
      </c>
      <c r="DK94" s="992">
        <f t="shared" si="207"/>
        <v>53350.524094660192</v>
      </c>
      <c r="DL94" s="993">
        <f t="shared" si="208"/>
        <v>640206.28913592233</v>
      </c>
      <c r="DM94" s="1003">
        <f>683035/12</f>
        <v>56919.583333333336</v>
      </c>
      <c r="DN94" s="1004">
        <f t="shared" ref="DN94:DX95" si="256">683035/12</f>
        <v>56919.583333333336</v>
      </c>
      <c r="DO94" s="1004">
        <f t="shared" si="256"/>
        <v>56919.583333333336</v>
      </c>
      <c r="DP94" s="1004">
        <f t="shared" si="256"/>
        <v>56919.583333333336</v>
      </c>
      <c r="DQ94" s="1004">
        <f t="shared" si="256"/>
        <v>56919.583333333336</v>
      </c>
      <c r="DR94" s="1004">
        <f t="shared" si="256"/>
        <v>56919.583333333336</v>
      </c>
      <c r="DS94" s="1004">
        <f t="shared" si="256"/>
        <v>56919.583333333336</v>
      </c>
      <c r="DT94" s="1004">
        <f t="shared" si="256"/>
        <v>56919.583333333336</v>
      </c>
      <c r="DU94" s="1004">
        <f t="shared" si="256"/>
        <v>56919.583333333336</v>
      </c>
      <c r="DV94" s="1004">
        <f t="shared" si="256"/>
        <v>56919.583333333336</v>
      </c>
      <c r="DW94" s="1004">
        <f t="shared" si="256"/>
        <v>56919.583333333336</v>
      </c>
      <c r="DX94" s="1004">
        <f t="shared" si="256"/>
        <v>56919.583333333336</v>
      </c>
      <c r="DY94" s="1005">
        <f t="shared" si="217"/>
        <v>683035</v>
      </c>
      <c r="DZ94" s="992">
        <f t="shared" si="248"/>
        <v>49633.082614603947</v>
      </c>
      <c r="EA94" s="992">
        <f t="shared" si="248"/>
        <v>49633.082614603947</v>
      </c>
      <c r="EB94" s="992">
        <f t="shared" si="248"/>
        <v>49633.082614603947</v>
      </c>
      <c r="EC94" s="992">
        <f t="shared" si="248"/>
        <v>49633.082614603947</v>
      </c>
      <c r="ED94" s="992">
        <f t="shared" si="248"/>
        <v>49633.082614603947</v>
      </c>
      <c r="EE94" s="992">
        <f t="shared" si="248"/>
        <v>49633.082614603947</v>
      </c>
      <c r="EF94" s="992">
        <f t="shared" si="248"/>
        <v>49633.082614603947</v>
      </c>
      <c r="EG94" s="992">
        <f t="shared" si="248"/>
        <v>49633.082614603947</v>
      </c>
      <c r="EH94" s="992">
        <f t="shared" si="248"/>
        <v>49633.082614603947</v>
      </c>
      <c r="EI94" s="992">
        <f t="shared" si="248"/>
        <v>49633.082614603947</v>
      </c>
      <c r="EJ94" s="992">
        <f t="shared" si="248"/>
        <v>49633.082614603947</v>
      </c>
      <c r="EK94" s="992">
        <f t="shared" si="248"/>
        <v>49633.082614603947</v>
      </c>
      <c r="EL94" s="993">
        <f t="shared" si="210"/>
        <v>595596.99137524725</v>
      </c>
    </row>
    <row r="95" spans="1:142" s="1010" customFormat="1">
      <c r="A95" s="978" t="s">
        <v>235</v>
      </c>
      <c r="B95" s="1030" t="s">
        <v>717</v>
      </c>
      <c r="C95" s="1051"/>
      <c r="D95" s="1052"/>
      <c r="E95" s="1053"/>
      <c r="F95" s="1053"/>
      <c r="G95" s="1054"/>
      <c r="H95" s="1052">
        <v>0.65149249999999992</v>
      </c>
      <c r="I95" s="1053">
        <v>0.65149249999999992</v>
      </c>
      <c r="J95" s="1053">
        <v>0.63251699029126207</v>
      </c>
      <c r="K95" s="1055">
        <v>0.61409416533132233</v>
      </c>
      <c r="L95" s="1002"/>
      <c r="M95" s="1003"/>
      <c r="N95" s="1004"/>
      <c r="O95" s="1004"/>
      <c r="P95" s="1004"/>
      <c r="Q95" s="1004"/>
      <c r="R95" s="1004"/>
      <c r="S95" s="1004"/>
      <c r="T95" s="1004"/>
      <c r="U95" s="1004"/>
      <c r="V95" s="1004">
        <v>0</v>
      </c>
      <c r="W95" s="1004"/>
      <c r="X95" s="1004"/>
      <c r="Y95" s="1005"/>
      <c r="Z95" s="991"/>
      <c r="AA95" s="992"/>
      <c r="AB95" s="992"/>
      <c r="AC95" s="992"/>
      <c r="AD95" s="248">
        <f t="shared" si="249"/>
        <v>0</v>
      </c>
      <c r="AE95" s="248">
        <f t="shared" si="249"/>
        <v>0</v>
      </c>
      <c r="AF95" s="992"/>
      <c r="AG95" s="248">
        <f>T95*$D95</f>
        <v>0</v>
      </c>
      <c r="AH95" s="992"/>
      <c r="AI95" s="992"/>
      <c r="AJ95" s="992"/>
      <c r="AK95" s="992"/>
      <c r="AL95" s="993"/>
      <c r="AM95" s="1038"/>
      <c r="AN95" s="1004"/>
      <c r="AO95" s="1004"/>
      <c r="AP95" s="1004"/>
      <c r="AQ95" s="1004"/>
      <c r="AR95" s="1004"/>
      <c r="AS95" s="1004"/>
      <c r="AT95" s="1004"/>
      <c r="AU95" s="1004"/>
      <c r="AV95" s="1004"/>
      <c r="AW95" s="1004"/>
      <c r="AX95" s="1004">
        <v>3883</v>
      </c>
      <c r="AY95" s="1005">
        <f>SUM(AM95:AX95)</f>
        <v>3883</v>
      </c>
      <c r="AZ95" s="991">
        <f t="shared" si="201"/>
        <v>0</v>
      </c>
      <c r="BA95" s="992">
        <f t="shared" si="201"/>
        <v>0</v>
      </c>
      <c r="BB95" s="992">
        <f t="shared" si="201"/>
        <v>0</v>
      </c>
      <c r="BC95" s="992">
        <f t="shared" si="201"/>
        <v>0</v>
      </c>
      <c r="BD95" s="992">
        <f t="shared" si="201"/>
        <v>0</v>
      </c>
      <c r="BE95" s="992">
        <f t="shared" si="201"/>
        <v>0</v>
      </c>
      <c r="BF95" s="992">
        <f t="shared" si="201"/>
        <v>0</v>
      </c>
      <c r="BG95" s="992">
        <f t="shared" si="201"/>
        <v>0</v>
      </c>
      <c r="BH95" s="992">
        <f t="shared" si="201"/>
        <v>0</v>
      </c>
      <c r="BI95" s="992">
        <f t="shared" si="201"/>
        <v>0</v>
      </c>
      <c r="BJ95" s="992">
        <f t="shared" si="201"/>
        <v>0</v>
      </c>
      <c r="BK95" s="992">
        <f t="shared" si="201"/>
        <v>2529.7453774999999</v>
      </c>
      <c r="BL95" s="993">
        <f t="shared" si="202"/>
        <v>2529.7453774999999</v>
      </c>
      <c r="BM95" s="1038">
        <f>331842/12</f>
        <v>27653.5</v>
      </c>
      <c r="BN95" s="1004">
        <f t="shared" si="254"/>
        <v>27653.5</v>
      </c>
      <c r="BO95" s="1004">
        <f t="shared" si="254"/>
        <v>27653.5</v>
      </c>
      <c r="BP95" s="1004">
        <f t="shared" si="254"/>
        <v>27653.5</v>
      </c>
      <c r="BQ95" s="1004">
        <f t="shared" si="254"/>
        <v>27653.5</v>
      </c>
      <c r="BR95" s="1004">
        <f t="shared" si="254"/>
        <v>27653.5</v>
      </c>
      <c r="BS95" s="1004">
        <f t="shared" si="254"/>
        <v>27653.5</v>
      </c>
      <c r="BT95" s="1004">
        <f t="shared" si="254"/>
        <v>27653.5</v>
      </c>
      <c r="BU95" s="1004">
        <f t="shared" si="254"/>
        <v>27653.5</v>
      </c>
      <c r="BV95" s="1004">
        <f t="shared" si="254"/>
        <v>27653.5</v>
      </c>
      <c r="BW95" s="1004">
        <f t="shared" si="254"/>
        <v>27653.5</v>
      </c>
      <c r="BX95" s="1004">
        <f t="shared" si="254"/>
        <v>27653.5</v>
      </c>
      <c r="BY95" s="1005">
        <f t="shared" si="215"/>
        <v>331842</v>
      </c>
      <c r="BZ95" s="1039">
        <f t="shared" si="204"/>
        <v>18016.047848749997</v>
      </c>
      <c r="CA95" s="992">
        <f t="shared" si="204"/>
        <v>18016.047848749997</v>
      </c>
      <c r="CB95" s="992">
        <f t="shared" si="204"/>
        <v>18016.047848749997</v>
      </c>
      <c r="CC95" s="992">
        <f t="shared" si="204"/>
        <v>18016.047848749997</v>
      </c>
      <c r="CD95" s="992">
        <f t="shared" si="204"/>
        <v>18016.047848749997</v>
      </c>
      <c r="CE95" s="992">
        <f t="shared" si="204"/>
        <v>18016.047848749997</v>
      </c>
      <c r="CF95" s="992">
        <f t="shared" si="204"/>
        <v>18016.047848749997</v>
      </c>
      <c r="CG95" s="992">
        <f t="shared" si="204"/>
        <v>18016.047848749997</v>
      </c>
      <c r="CH95" s="992">
        <f t="shared" si="204"/>
        <v>18016.047848749997</v>
      </c>
      <c r="CI95" s="992">
        <f t="shared" si="204"/>
        <v>18016.047848749997</v>
      </c>
      <c r="CJ95" s="992">
        <f t="shared" si="204"/>
        <v>18016.047848749997</v>
      </c>
      <c r="CK95" s="992">
        <f t="shared" si="204"/>
        <v>18016.047848749997</v>
      </c>
      <c r="CL95" s="1040">
        <f t="shared" si="205"/>
        <v>216192.57418499995</v>
      </c>
      <c r="CM95" s="1038">
        <f>712809/12</f>
        <v>59400.75</v>
      </c>
      <c r="CN95" s="1004">
        <f t="shared" si="255"/>
        <v>59400.75</v>
      </c>
      <c r="CO95" s="1004">
        <f t="shared" si="255"/>
        <v>59400.75</v>
      </c>
      <c r="CP95" s="1004">
        <f t="shared" si="255"/>
        <v>59400.75</v>
      </c>
      <c r="CQ95" s="1004">
        <f t="shared" si="255"/>
        <v>59400.75</v>
      </c>
      <c r="CR95" s="1004">
        <f t="shared" si="255"/>
        <v>59400.75</v>
      </c>
      <c r="CS95" s="1004">
        <f t="shared" si="255"/>
        <v>59400.75</v>
      </c>
      <c r="CT95" s="1004">
        <f t="shared" si="255"/>
        <v>59400.75</v>
      </c>
      <c r="CU95" s="1004">
        <f t="shared" si="255"/>
        <v>59400.75</v>
      </c>
      <c r="CV95" s="1004">
        <f t="shared" si="255"/>
        <v>59400.75</v>
      </c>
      <c r="CW95" s="1004">
        <f t="shared" si="255"/>
        <v>59400.75</v>
      </c>
      <c r="CX95" s="1004">
        <f t="shared" si="255"/>
        <v>59400.75</v>
      </c>
      <c r="CY95" s="1005">
        <f t="shared" si="216"/>
        <v>712809</v>
      </c>
      <c r="CZ95" s="991">
        <f t="shared" si="206"/>
        <v>37571.983611043688</v>
      </c>
      <c r="DA95" s="992">
        <f t="shared" si="207"/>
        <v>37571.983611043688</v>
      </c>
      <c r="DB95" s="992">
        <f t="shared" si="207"/>
        <v>37571.983611043688</v>
      </c>
      <c r="DC95" s="992">
        <f t="shared" si="207"/>
        <v>37571.983611043688</v>
      </c>
      <c r="DD95" s="992">
        <f t="shared" si="207"/>
        <v>37571.983611043688</v>
      </c>
      <c r="DE95" s="992">
        <f t="shared" si="207"/>
        <v>37571.983611043688</v>
      </c>
      <c r="DF95" s="992">
        <f t="shared" si="207"/>
        <v>37571.983611043688</v>
      </c>
      <c r="DG95" s="992">
        <f t="shared" si="207"/>
        <v>37571.983611043688</v>
      </c>
      <c r="DH95" s="992">
        <f t="shared" si="207"/>
        <v>37571.983611043688</v>
      </c>
      <c r="DI95" s="992">
        <f t="shared" si="207"/>
        <v>37571.983611043688</v>
      </c>
      <c r="DJ95" s="992">
        <f t="shared" si="207"/>
        <v>37571.983611043688</v>
      </c>
      <c r="DK95" s="992">
        <f t="shared" si="207"/>
        <v>37571.983611043688</v>
      </c>
      <c r="DL95" s="993">
        <f t="shared" si="208"/>
        <v>450863.80333252414</v>
      </c>
      <c r="DM95" s="1003">
        <f>683035/12</f>
        <v>56919.583333333336</v>
      </c>
      <c r="DN95" s="1004">
        <f t="shared" si="256"/>
        <v>56919.583333333336</v>
      </c>
      <c r="DO95" s="1004">
        <f t="shared" si="256"/>
        <v>56919.583333333336</v>
      </c>
      <c r="DP95" s="1004">
        <f t="shared" si="256"/>
        <v>56919.583333333336</v>
      </c>
      <c r="DQ95" s="1004">
        <f t="shared" si="256"/>
        <v>56919.583333333336</v>
      </c>
      <c r="DR95" s="1004">
        <f t="shared" si="256"/>
        <v>56919.583333333336</v>
      </c>
      <c r="DS95" s="1004">
        <f t="shared" si="256"/>
        <v>56919.583333333336</v>
      </c>
      <c r="DT95" s="1004">
        <f t="shared" si="256"/>
        <v>56919.583333333336</v>
      </c>
      <c r="DU95" s="1004">
        <f t="shared" si="256"/>
        <v>56919.583333333336</v>
      </c>
      <c r="DV95" s="1004">
        <f t="shared" si="256"/>
        <v>56919.583333333336</v>
      </c>
      <c r="DW95" s="1004">
        <f t="shared" si="256"/>
        <v>56919.583333333336</v>
      </c>
      <c r="DX95" s="1004">
        <f t="shared" si="256"/>
        <v>56919.583333333336</v>
      </c>
      <c r="DY95" s="1005">
        <f t="shared" si="217"/>
        <v>683035</v>
      </c>
      <c r="DZ95" s="992">
        <f t="shared" si="248"/>
        <v>34953.984018089977</v>
      </c>
      <c r="EA95" s="992">
        <f t="shared" si="248"/>
        <v>34953.984018089977</v>
      </c>
      <c r="EB95" s="992">
        <f t="shared" si="248"/>
        <v>34953.984018089977</v>
      </c>
      <c r="EC95" s="992">
        <f t="shared" si="248"/>
        <v>34953.984018089977</v>
      </c>
      <c r="ED95" s="992">
        <f t="shared" si="248"/>
        <v>34953.984018089977</v>
      </c>
      <c r="EE95" s="992">
        <f t="shared" si="248"/>
        <v>34953.984018089977</v>
      </c>
      <c r="EF95" s="992">
        <f t="shared" si="248"/>
        <v>34953.984018089977</v>
      </c>
      <c r="EG95" s="992">
        <f t="shared" si="248"/>
        <v>34953.984018089977</v>
      </c>
      <c r="EH95" s="992">
        <f t="shared" si="248"/>
        <v>34953.984018089977</v>
      </c>
      <c r="EI95" s="992">
        <f t="shared" si="248"/>
        <v>34953.984018089977</v>
      </c>
      <c r="EJ95" s="992">
        <f t="shared" si="248"/>
        <v>34953.984018089977</v>
      </c>
      <c r="EK95" s="992">
        <f t="shared" si="248"/>
        <v>34953.984018089977</v>
      </c>
      <c r="EL95" s="993">
        <f t="shared" si="210"/>
        <v>419447.80821707961</v>
      </c>
    </row>
    <row r="96" spans="1:142" ht="19.8" thickBot="1">
      <c r="A96" s="964" t="s">
        <v>713</v>
      </c>
      <c r="B96" s="1056" t="s">
        <v>90</v>
      </c>
      <c r="C96" s="1046"/>
      <c r="D96" s="1047"/>
      <c r="E96" s="1048"/>
      <c r="F96" s="1048"/>
      <c r="G96" s="1049"/>
      <c r="H96" s="1047"/>
      <c r="I96" s="1048"/>
      <c r="J96" s="1048"/>
      <c r="K96" s="1050"/>
      <c r="L96" s="875"/>
      <c r="M96" s="1057"/>
      <c r="N96" s="249"/>
      <c r="O96" s="249"/>
      <c r="P96" s="249"/>
      <c r="Q96" s="247"/>
      <c r="R96" s="247"/>
      <c r="S96" s="247"/>
      <c r="T96" s="247"/>
      <c r="U96" s="247"/>
      <c r="V96" s="247">
        <v>0</v>
      </c>
      <c r="W96" s="247"/>
      <c r="X96" s="247"/>
      <c r="Y96" s="876">
        <f>SUM(M96:X96)</f>
        <v>0</v>
      </c>
      <c r="Z96" s="877">
        <v>-3845.1899999999996</v>
      </c>
      <c r="AA96" s="248">
        <v>-8329.4</v>
      </c>
      <c r="AB96" s="248">
        <f>O96*D96</f>
        <v>0</v>
      </c>
      <c r="AC96" s="248">
        <f>P96*D96</f>
        <v>0</v>
      </c>
      <c r="AD96" s="248">
        <v>-960.68</v>
      </c>
      <c r="AE96" s="248">
        <f>R96*$E96</f>
        <v>0</v>
      </c>
      <c r="AF96" s="248">
        <f>S96*$F96</f>
        <v>0</v>
      </c>
      <c r="AG96" s="248">
        <f>T96*$F96</f>
        <v>0</v>
      </c>
      <c r="AH96" s="248">
        <f>U96*$F96</f>
        <v>0</v>
      </c>
      <c r="AI96" s="248">
        <f>V96*$G96</f>
        <v>0</v>
      </c>
      <c r="AJ96" s="248">
        <f>W96*$G96</f>
        <v>0</v>
      </c>
      <c r="AK96" s="248">
        <f>X96*$G96</f>
        <v>0</v>
      </c>
      <c r="AL96" s="878">
        <f>SUM(Z96:AK96)</f>
        <v>-13135.27</v>
      </c>
      <c r="AM96" s="1058"/>
      <c r="AN96" s="249"/>
      <c r="AO96" s="249"/>
      <c r="AP96" s="249"/>
      <c r="AQ96" s="247"/>
      <c r="AR96" s="247"/>
      <c r="AS96" s="247"/>
      <c r="AT96" s="247"/>
      <c r="AU96" s="247"/>
      <c r="AV96" s="247"/>
      <c r="AW96" s="247"/>
      <c r="AX96" s="247"/>
      <c r="AY96" s="876">
        <f t="shared" si="213"/>
        <v>0</v>
      </c>
      <c r="AZ96" s="877">
        <f t="shared" si="201"/>
        <v>0</v>
      </c>
      <c r="BA96" s="248">
        <f t="shared" si="201"/>
        <v>0</v>
      </c>
      <c r="BB96" s="248">
        <f t="shared" si="201"/>
        <v>0</v>
      </c>
      <c r="BC96" s="248">
        <f t="shared" ref="BC96:BK96" si="257">AP96*$H96</f>
        <v>0</v>
      </c>
      <c r="BD96" s="248">
        <f t="shared" si="257"/>
        <v>0</v>
      </c>
      <c r="BE96" s="248">
        <f t="shared" si="257"/>
        <v>0</v>
      </c>
      <c r="BF96" s="248">
        <f t="shared" si="257"/>
        <v>0</v>
      </c>
      <c r="BG96" s="248">
        <f t="shared" si="257"/>
        <v>0</v>
      </c>
      <c r="BH96" s="248">
        <f t="shared" si="257"/>
        <v>0</v>
      </c>
      <c r="BI96" s="248">
        <f t="shared" si="257"/>
        <v>0</v>
      </c>
      <c r="BJ96" s="248">
        <f t="shared" si="257"/>
        <v>0</v>
      </c>
      <c r="BK96" s="248">
        <f t="shared" si="257"/>
        <v>0</v>
      </c>
      <c r="BL96" s="878">
        <f t="shared" si="202"/>
        <v>0</v>
      </c>
      <c r="BM96" s="1058"/>
      <c r="BN96" s="249"/>
      <c r="BO96" s="249"/>
      <c r="BP96" s="249"/>
      <c r="BQ96" s="247"/>
      <c r="BR96" s="247"/>
      <c r="BS96" s="247"/>
      <c r="BT96" s="247"/>
      <c r="BU96" s="247"/>
      <c r="BV96" s="247"/>
      <c r="BW96" s="247"/>
      <c r="BX96" s="247"/>
      <c r="BY96" s="876">
        <f t="shared" si="215"/>
        <v>0</v>
      </c>
      <c r="BZ96" s="882">
        <f t="shared" si="204"/>
        <v>0</v>
      </c>
      <c r="CA96" s="248">
        <f t="shared" si="204"/>
        <v>0</v>
      </c>
      <c r="CB96" s="248">
        <f t="shared" si="204"/>
        <v>0</v>
      </c>
      <c r="CC96" s="248">
        <f t="shared" ref="CC96:CK96" si="258">BP96*$I96</f>
        <v>0</v>
      </c>
      <c r="CD96" s="248">
        <f t="shared" si="258"/>
        <v>0</v>
      </c>
      <c r="CE96" s="248">
        <f t="shared" si="258"/>
        <v>0</v>
      </c>
      <c r="CF96" s="248">
        <f t="shared" si="258"/>
        <v>0</v>
      </c>
      <c r="CG96" s="248">
        <f t="shared" si="258"/>
        <v>0</v>
      </c>
      <c r="CH96" s="248">
        <f t="shared" si="258"/>
        <v>0</v>
      </c>
      <c r="CI96" s="248">
        <f t="shared" si="258"/>
        <v>0</v>
      </c>
      <c r="CJ96" s="248">
        <f t="shared" si="258"/>
        <v>0</v>
      </c>
      <c r="CK96" s="248">
        <f t="shared" si="258"/>
        <v>0</v>
      </c>
      <c r="CL96" s="883">
        <f t="shared" si="205"/>
        <v>0</v>
      </c>
      <c r="CM96" s="1058"/>
      <c r="CN96" s="249"/>
      <c r="CO96" s="249"/>
      <c r="CP96" s="249"/>
      <c r="CQ96" s="247"/>
      <c r="CR96" s="247"/>
      <c r="CS96" s="247"/>
      <c r="CT96" s="247"/>
      <c r="CU96" s="247"/>
      <c r="CV96" s="247"/>
      <c r="CW96" s="247"/>
      <c r="CX96" s="247"/>
      <c r="CY96" s="876">
        <f t="shared" si="216"/>
        <v>0</v>
      </c>
      <c r="CZ96" s="877">
        <f t="shared" si="206"/>
        <v>0</v>
      </c>
      <c r="DA96" s="248">
        <f t="shared" si="207"/>
        <v>0</v>
      </c>
      <c r="DB96" s="248">
        <f t="shared" si="207"/>
        <v>0</v>
      </c>
      <c r="DC96" s="248">
        <f t="shared" si="207"/>
        <v>0</v>
      </c>
      <c r="DD96" s="248">
        <f t="shared" si="207"/>
        <v>0</v>
      </c>
      <c r="DE96" s="248">
        <f t="shared" si="207"/>
        <v>0</v>
      </c>
      <c r="DF96" s="248">
        <f t="shared" si="207"/>
        <v>0</v>
      </c>
      <c r="DG96" s="248">
        <f t="shared" si="207"/>
        <v>0</v>
      </c>
      <c r="DH96" s="248">
        <f t="shared" si="207"/>
        <v>0</v>
      </c>
      <c r="DI96" s="248">
        <f t="shared" si="207"/>
        <v>0</v>
      </c>
      <c r="DJ96" s="248">
        <f t="shared" si="207"/>
        <v>0</v>
      </c>
      <c r="DK96" s="248">
        <f t="shared" si="207"/>
        <v>0</v>
      </c>
      <c r="DL96" s="878">
        <f t="shared" si="208"/>
        <v>0</v>
      </c>
      <c r="DM96" s="1057"/>
      <c r="DN96" s="249"/>
      <c r="DO96" s="249"/>
      <c r="DP96" s="249"/>
      <c r="DQ96" s="247"/>
      <c r="DR96" s="247"/>
      <c r="DS96" s="247"/>
      <c r="DT96" s="247"/>
      <c r="DU96" s="247"/>
      <c r="DV96" s="247"/>
      <c r="DW96" s="247"/>
      <c r="DX96" s="247"/>
      <c r="DY96" s="876">
        <f t="shared" si="217"/>
        <v>0</v>
      </c>
      <c r="DZ96" s="248">
        <f t="shared" si="209"/>
        <v>0</v>
      </c>
      <c r="EA96" s="248">
        <f t="shared" si="209"/>
        <v>0</v>
      </c>
      <c r="EB96" s="248">
        <f t="shared" si="209"/>
        <v>0</v>
      </c>
      <c r="EC96" s="248">
        <f t="shared" si="209"/>
        <v>0</v>
      </c>
      <c r="ED96" s="248">
        <f t="shared" si="209"/>
        <v>0</v>
      </c>
      <c r="EE96" s="248">
        <f t="shared" si="209"/>
        <v>0</v>
      </c>
      <c r="EF96" s="248">
        <f t="shared" si="209"/>
        <v>0</v>
      </c>
      <c r="EG96" s="248">
        <f t="shared" si="209"/>
        <v>0</v>
      </c>
      <c r="EH96" s="248">
        <f t="shared" si="209"/>
        <v>0</v>
      </c>
      <c r="EI96" s="248">
        <f t="shared" si="209"/>
        <v>0</v>
      </c>
      <c r="EJ96" s="248">
        <f t="shared" si="209"/>
        <v>0</v>
      </c>
      <c r="EK96" s="248">
        <f t="shared" si="209"/>
        <v>0</v>
      </c>
      <c r="EL96" s="878">
        <f t="shared" si="210"/>
        <v>0</v>
      </c>
    </row>
    <row r="97" spans="1:142" ht="20.399999999999999" thickTop="1" thickBot="1">
      <c r="A97" s="7261" t="s">
        <v>78</v>
      </c>
      <c r="B97" s="7262"/>
      <c r="C97" s="7263"/>
      <c r="D97" s="889"/>
      <c r="E97" s="889"/>
      <c r="F97" s="889"/>
      <c r="G97" s="889"/>
      <c r="H97" s="889"/>
      <c r="I97" s="889"/>
      <c r="J97" s="889"/>
      <c r="K97" s="890"/>
      <c r="L97" s="891"/>
      <c r="M97" s="892">
        <f>SUM(M75:M96)</f>
        <v>258736</v>
      </c>
      <c r="N97" s="535">
        <f t="shared" ref="N97:BY97" si="259">SUM(N75:N96)</f>
        <v>193912</v>
      </c>
      <c r="O97" s="535">
        <f t="shared" si="259"/>
        <v>273812</v>
      </c>
      <c r="P97" s="535">
        <f t="shared" si="259"/>
        <v>247426</v>
      </c>
      <c r="Q97" s="535">
        <f t="shared" si="259"/>
        <v>148032</v>
      </c>
      <c r="R97" s="535">
        <f t="shared" si="259"/>
        <v>237883</v>
      </c>
      <c r="S97" s="535">
        <f t="shared" si="259"/>
        <v>248440</v>
      </c>
      <c r="T97" s="535">
        <f t="shared" si="259"/>
        <v>230000</v>
      </c>
      <c r="U97" s="535">
        <f t="shared" si="259"/>
        <v>263620</v>
      </c>
      <c r="V97" s="535">
        <f t="shared" si="259"/>
        <v>248760</v>
      </c>
      <c r="W97" s="535">
        <f t="shared" si="259"/>
        <v>252120</v>
      </c>
      <c r="X97" s="535">
        <f t="shared" si="259"/>
        <v>252120</v>
      </c>
      <c r="Y97" s="536">
        <f t="shared" si="259"/>
        <v>2854861</v>
      </c>
      <c r="Z97" s="537">
        <f t="shared" si="259"/>
        <v>498268.33</v>
      </c>
      <c r="AA97" s="537">
        <f t="shared" si="259"/>
        <v>346745.48</v>
      </c>
      <c r="AB97" s="537">
        <f t="shared" si="259"/>
        <v>479430.12</v>
      </c>
      <c r="AC97" s="537">
        <f>SUM(AC75:AC96)</f>
        <v>462484.76</v>
      </c>
      <c r="AD97" s="537">
        <f>SUM(AD75:AD96)+3694</f>
        <v>355653.44</v>
      </c>
      <c r="AE97" s="537">
        <f>SUM(AE75:AE96)</f>
        <v>476720.53</v>
      </c>
      <c r="AF97" s="537">
        <f t="shared" si="259"/>
        <v>453718</v>
      </c>
      <c r="AG97" s="537">
        <f t="shared" si="259"/>
        <v>436785</v>
      </c>
      <c r="AH97" s="537">
        <f t="shared" si="259"/>
        <v>528447.76</v>
      </c>
      <c r="AI97" s="537">
        <f t="shared" si="259"/>
        <v>505540.48</v>
      </c>
      <c r="AJ97" s="537">
        <f t="shared" si="259"/>
        <v>509481.76</v>
      </c>
      <c r="AK97" s="537">
        <f t="shared" si="259"/>
        <v>509481.76</v>
      </c>
      <c r="AL97" s="538">
        <f t="shared" si="259"/>
        <v>5559063.4200000009</v>
      </c>
      <c r="AM97" s="535">
        <f t="shared" si="259"/>
        <v>222210.83333333331</v>
      </c>
      <c r="AN97" s="535">
        <f t="shared" si="259"/>
        <v>182802.83333333331</v>
      </c>
      <c r="AO97" s="535">
        <f t="shared" si="259"/>
        <v>227210.83333333331</v>
      </c>
      <c r="AP97" s="535">
        <f t="shared" si="259"/>
        <v>227210.83333333331</v>
      </c>
      <c r="AQ97" s="535">
        <f t="shared" si="259"/>
        <v>227210.83333333331</v>
      </c>
      <c r="AR97" s="535">
        <f t="shared" si="259"/>
        <v>227210.83333333331</v>
      </c>
      <c r="AS97" s="535">
        <f t="shared" si="259"/>
        <v>271067.66666666663</v>
      </c>
      <c r="AT97" s="535">
        <f t="shared" si="259"/>
        <v>275454.66666666663</v>
      </c>
      <c r="AU97" s="535">
        <f t="shared" si="259"/>
        <v>275454.66666666663</v>
      </c>
      <c r="AV97" s="535">
        <f t="shared" si="259"/>
        <v>275454.66666666663</v>
      </c>
      <c r="AW97" s="535">
        <f t="shared" si="259"/>
        <v>275454.66666666663</v>
      </c>
      <c r="AX97" s="535">
        <f t="shared" si="259"/>
        <v>291898.66666666669</v>
      </c>
      <c r="AY97" s="536">
        <f t="shared" si="259"/>
        <v>2978642</v>
      </c>
      <c r="AZ97" s="537">
        <f t="shared" si="259"/>
        <v>477083.66499999998</v>
      </c>
      <c r="BA97" s="537">
        <f t="shared" si="259"/>
        <v>373308.38500000001</v>
      </c>
      <c r="BB97" s="537">
        <f t="shared" si="259"/>
        <v>490383.66499999998</v>
      </c>
      <c r="BC97" s="537">
        <f t="shared" si="259"/>
        <v>490383.66499999998</v>
      </c>
      <c r="BD97" s="537">
        <f t="shared" si="259"/>
        <v>490383.66499999998</v>
      </c>
      <c r="BE97" s="537">
        <f t="shared" si="259"/>
        <v>490383.66499999998</v>
      </c>
      <c r="BF97" s="537">
        <f t="shared" si="259"/>
        <v>618126.2583333333</v>
      </c>
      <c r="BG97" s="537">
        <f t="shared" si="259"/>
        <v>629795.67833333323</v>
      </c>
      <c r="BH97" s="537">
        <f t="shared" si="259"/>
        <v>629795.67833333323</v>
      </c>
      <c r="BI97" s="537">
        <f t="shared" si="259"/>
        <v>629795.67833333323</v>
      </c>
      <c r="BJ97" s="537">
        <f t="shared" si="259"/>
        <v>629795.67833333323</v>
      </c>
      <c r="BK97" s="537">
        <f t="shared" si="259"/>
        <v>659001.02818083332</v>
      </c>
      <c r="BL97" s="538">
        <f t="shared" si="259"/>
        <v>6608236.7098475005</v>
      </c>
      <c r="BM97" s="535">
        <f t="shared" si="259"/>
        <v>305778.66666666663</v>
      </c>
      <c r="BN97" s="535">
        <f t="shared" si="259"/>
        <v>296634.66666666663</v>
      </c>
      <c r="BO97" s="535">
        <f t="shared" si="259"/>
        <v>321042.66666666663</v>
      </c>
      <c r="BP97" s="535">
        <f t="shared" si="259"/>
        <v>327042.66666666663</v>
      </c>
      <c r="BQ97" s="535">
        <f t="shared" si="259"/>
        <v>331042.66666666663</v>
      </c>
      <c r="BR97" s="535">
        <f t="shared" si="259"/>
        <v>341042.66666666669</v>
      </c>
      <c r="BS97" s="535">
        <f t="shared" si="259"/>
        <v>347638.66666666669</v>
      </c>
      <c r="BT97" s="535">
        <f t="shared" si="259"/>
        <v>352025.66666666669</v>
      </c>
      <c r="BU97" s="535">
        <f t="shared" si="259"/>
        <v>352025.66666666669</v>
      </c>
      <c r="BV97" s="535">
        <f t="shared" si="259"/>
        <v>352025.66666666669</v>
      </c>
      <c r="BW97" s="535">
        <f t="shared" si="259"/>
        <v>352025.66666666669</v>
      </c>
      <c r="BX97" s="535">
        <f t="shared" si="259"/>
        <v>360703.66666666669</v>
      </c>
      <c r="BY97" s="536">
        <f t="shared" si="259"/>
        <v>4039029</v>
      </c>
      <c r="BZ97" s="893">
        <f t="shared" ref="BZ97:EK97" si="260">SUM(BZ75:BZ96)</f>
        <v>631430.53666374995</v>
      </c>
      <c r="CA97" s="537">
        <f t="shared" si="260"/>
        <v>618807.49666374992</v>
      </c>
      <c r="CB97" s="537">
        <f t="shared" si="260"/>
        <v>712982.77666374994</v>
      </c>
      <c r="CC97" s="537">
        <f t="shared" si="260"/>
        <v>734222.77666374994</v>
      </c>
      <c r="CD97" s="537">
        <f t="shared" si="260"/>
        <v>748382.77666374994</v>
      </c>
      <c r="CE97" s="537">
        <f t="shared" si="260"/>
        <v>783782.77666374994</v>
      </c>
      <c r="CF97" s="537">
        <f t="shared" si="260"/>
        <v>801328.13666374993</v>
      </c>
      <c r="CG97" s="537">
        <f t="shared" si="260"/>
        <v>812997.55666374997</v>
      </c>
      <c r="CH97" s="537">
        <f t="shared" si="260"/>
        <v>812997.55666374997</v>
      </c>
      <c r="CI97" s="537">
        <f t="shared" si="260"/>
        <v>812997.55666374997</v>
      </c>
      <c r="CJ97" s="537">
        <f t="shared" si="260"/>
        <v>812997.55666374997</v>
      </c>
      <c r="CK97" s="537">
        <f t="shared" si="260"/>
        <v>836081.03666374995</v>
      </c>
      <c r="CL97" s="894">
        <f t="shared" si="260"/>
        <v>9119008.539965</v>
      </c>
      <c r="CM97" s="535">
        <f t="shared" si="260"/>
        <v>454009.75</v>
      </c>
      <c r="CN97" s="535">
        <f t="shared" si="260"/>
        <v>454009.75</v>
      </c>
      <c r="CO97" s="535">
        <f t="shared" si="260"/>
        <v>454009.75</v>
      </c>
      <c r="CP97" s="535">
        <f t="shared" si="260"/>
        <v>454009.75</v>
      </c>
      <c r="CQ97" s="535">
        <f t="shared" si="260"/>
        <v>454009.75</v>
      </c>
      <c r="CR97" s="535">
        <f t="shared" si="260"/>
        <v>454009.75</v>
      </c>
      <c r="CS97" s="535">
        <f t="shared" si="260"/>
        <v>454009.75</v>
      </c>
      <c r="CT97" s="535">
        <f t="shared" si="260"/>
        <v>454009.75</v>
      </c>
      <c r="CU97" s="535">
        <f t="shared" si="260"/>
        <v>454009.75</v>
      </c>
      <c r="CV97" s="535">
        <f t="shared" si="260"/>
        <v>454009.75</v>
      </c>
      <c r="CW97" s="535">
        <f t="shared" si="260"/>
        <v>454009.75</v>
      </c>
      <c r="CX97" s="535">
        <f t="shared" si="260"/>
        <v>454009.75</v>
      </c>
      <c r="CY97" s="536">
        <f t="shared" si="260"/>
        <v>5448117</v>
      </c>
      <c r="CZ97" s="537">
        <f t="shared" si="260"/>
        <v>1110928.1852057041</v>
      </c>
      <c r="DA97" s="537">
        <f t="shared" si="260"/>
        <v>1110928.1852057041</v>
      </c>
      <c r="DB97" s="537">
        <f t="shared" si="260"/>
        <v>1110928.1852057041</v>
      </c>
      <c r="DC97" s="537">
        <f t="shared" si="260"/>
        <v>1110928.1852057041</v>
      </c>
      <c r="DD97" s="537">
        <f t="shared" si="260"/>
        <v>1110928.1852057041</v>
      </c>
      <c r="DE97" s="537">
        <f t="shared" si="260"/>
        <v>1110928.1852057041</v>
      </c>
      <c r="DF97" s="537">
        <f t="shared" si="260"/>
        <v>1110928.1852057041</v>
      </c>
      <c r="DG97" s="537">
        <f t="shared" si="260"/>
        <v>1110928.1852057041</v>
      </c>
      <c r="DH97" s="537">
        <f t="shared" si="260"/>
        <v>1110928.1852057041</v>
      </c>
      <c r="DI97" s="537">
        <f t="shared" si="260"/>
        <v>1110928.1852057041</v>
      </c>
      <c r="DJ97" s="537">
        <f t="shared" si="260"/>
        <v>1110928.1852057041</v>
      </c>
      <c r="DK97" s="537">
        <f t="shared" si="260"/>
        <v>1110928.1852057041</v>
      </c>
      <c r="DL97" s="538">
        <f t="shared" si="260"/>
        <v>13331138.222468445</v>
      </c>
      <c r="DM97" s="892">
        <f t="shared" si="260"/>
        <v>512793.91666666657</v>
      </c>
      <c r="DN97" s="535">
        <f t="shared" si="260"/>
        <v>512793.91666666657</v>
      </c>
      <c r="DO97" s="535">
        <f t="shared" si="260"/>
        <v>512793.91666666657</v>
      </c>
      <c r="DP97" s="535">
        <f t="shared" si="260"/>
        <v>512793.91666666657</v>
      </c>
      <c r="DQ97" s="535">
        <f t="shared" si="260"/>
        <v>512793.91666666657</v>
      </c>
      <c r="DR97" s="535">
        <f t="shared" si="260"/>
        <v>512793.91666666657</v>
      </c>
      <c r="DS97" s="535">
        <f t="shared" si="260"/>
        <v>512793.91666666657</v>
      </c>
      <c r="DT97" s="535">
        <f t="shared" si="260"/>
        <v>512793.91666666657</v>
      </c>
      <c r="DU97" s="535">
        <f t="shared" si="260"/>
        <v>512793.91666666657</v>
      </c>
      <c r="DV97" s="535">
        <f t="shared" si="260"/>
        <v>512793.91666666657</v>
      </c>
      <c r="DW97" s="535">
        <f t="shared" si="260"/>
        <v>512793.91666666657</v>
      </c>
      <c r="DX97" s="535">
        <f t="shared" si="260"/>
        <v>512793.91666666657</v>
      </c>
      <c r="DY97" s="536">
        <f t="shared" si="260"/>
        <v>6153527</v>
      </c>
      <c r="DZ97" s="537">
        <f t="shared" si="260"/>
        <v>1345818.2849660274</v>
      </c>
      <c r="EA97" s="537">
        <f t="shared" si="260"/>
        <v>1345818.2849660274</v>
      </c>
      <c r="EB97" s="537">
        <f t="shared" si="260"/>
        <v>1345818.2849660274</v>
      </c>
      <c r="EC97" s="537">
        <f t="shared" si="260"/>
        <v>1345818.2849660274</v>
      </c>
      <c r="ED97" s="537">
        <f t="shared" si="260"/>
        <v>1345818.2849660274</v>
      </c>
      <c r="EE97" s="537">
        <f t="shared" si="260"/>
        <v>1345818.2849660274</v>
      </c>
      <c r="EF97" s="537">
        <f t="shared" si="260"/>
        <v>1345818.2849660274</v>
      </c>
      <c r="EG97" s="537">
        <f t="shared" si="260"/>
        <v>1345818.2849660274</v>
      </c>
      <c r="EH97" s="537">
        <f t="shared" si="260"/>
        <v>1345818.2849660274</v>
      </c>
      <c r="EI97" s="537">
        <f t="shared" si="260"/>
        <v>1345818.2849660274</v>
      </c>
      <c r="EJ97" s="537">
        <f t="shared" si="260"/>
        <v>1345818.2849660274</v>
      </c>
      <c r="EK97" s="537">
        <f t="shared" si="260"/>
        <v>1345818.2849660274</v>
      </c>
      <c r="EL97" s="538">
        <f>SUM(EL75:EL96)</f>
        <v>16149819.419592328</v>
      </c>
    </row>
    <row r="98" spans="1:142" s="1076" customFormat="1" ht="19.8" thickTop="1">
      <c r="A98" s="961" t="s">
        <v>718</v>
      </c>
      <c r="B98" s="1059" t="s">
        <v>79</v>
      </c>
      <c r="C98" s="1060" t="s">
        <v>719</v>
      </c>
      <c r="D98" s="1061">
        <v>3.59</v>
      </c>
      <c r="E98" s="1062">
        <v>3.61</v>
      </c>
      <c r="F98" s="1063">
        <v>3.69</v>
      </c>
      <c r="G98" s="1064">
        <f t="shared" ref="F98:K113" si="261">F98</f>
        <v>3.69</v>
      </c>
      <c r="H98" s="1061">
        <f t="shared" si="261"/>
        <v>3.69</v>
      </c>
      <c r="I98" s="1062">
        <f t="shared" si="261"/>
        <v>3.69</v>
      </c>
      <c r="J98" s="1062">
        <f t="shared" si="261"/>
        <v>3.69</v>
      </c>
      <c r="K98" s="1065">
        <f t="shared" si="261"/>
        <v>3.69</v>
      </c>
      <c r="L98" s="1066"/>
      <c r="M98" s="1067">
        <v>18624</v>
      </c>
      <c r="N98" s="1068">
        <v>13296</v>
      </c>
      <c r="O98" s="1068">
        <v>0</v>
      </c>
      <c r="P98" s="1068">
        <v>5820</v>
      </c>
      <c r="Q98" s="1068">
        <v>3492</v>
      </c>
      <c r="R98" s="1068">
        <v>4656</v>
      </c>
      <c r="S98" s="1068">
        <v>4656</v>
      </c>
      <c r="T98" s="1068">
        <v>9312</v>
      </c>
      <c r="U98" s="1068">
        <v>4656</v>
      </c>
      <c r="V98" s="1068">
        <v>9312</v>
      </c>
      <c r="W98" s="1068">
        <v>9312</v>
      </c>
      <c r="X98" s="1068">
        <v>9312</v>
      </c>
      <c r="Y98" s="1069">
        <f t="shared" ref="Y98:Y117" si="262">SUM(M98:X98)</f>
        <v>92448</v>
      </c>
      <c r="Z98" s="1070">
        <v>66860.160000000003</v>
      </c>
      <c r="AA98" s="1071">
        <v>47732.639999999999</v>
      </c>
      <c r="AB98" s="1071">
        <v>0</v>
      </c>
      <c r="AC98" s="1071">
        <f>P98*$E98</f>
        <v>21010.2</v>
      </c>
      <c r="AD98" s="1071">
        <f>Q98*$E98+189.39</f>
        <v>12795.509999999998</v>
      </c>
      <c r="AE98" s="1071">
        <f>R98*E98</f>
        <v>16808.16</v>
      </c>
      <c r="AF98" s="1071">
        <f>S98*F98</f>
        <v>17180.64</v>
      </c>
      <c r="AG98" s="1071">
        <f>T98*F98</f>
        <v>34361.279999999999</v>
      </c>
      <c r="AH98" s="1071">
        <f>U98*F98</f>
        <v>17180.64</v>
      </c>
      <c r="AI98" s="1071">
        <f>V98*F98</f>
        <v>34361.279999999999</v>
      </c>
      <c r="AJ98" s="1071">
        <f>W98*F98</f>
        <v>34361.279999999999</v>
      </c>
      <c r="AK98" s="1071">
        <f>X98*F98</f>
        <v>34361.279999999999</v>
      </c>
      <c r="AL98" s="1072">
        <f t="shared" ref="AL98:AL120" si="263">SUM(Z98:AK98)</f>
        <v>337013.07000000007</v>
      </c>
      <c r="AM98" s="1067">
        <f>4656*3</f>
        <v>13968</v>
      </c>
      <c r="AN98" s="1067">
        <f>4656*3</f>
        <v>13968</v>
      </c>
      <c r="AO98" s="1068">
        <v>9312</v>
      </c>
      <c r="AP98" s="1067">
        <f>4656*3</f>
        <v>13968</v>
      </c>
      <c r="AQ98" s="1068">
        <v>9312</v>
      </c>
      <c r="AR98" s="1068">
        <v>9312</v>
      </c>
      <c r="AS98" s="1067">
        <f>4656*3</f>
        <v>13968</v>
      </c>
      <c r="AT98" s="1067">
        <f>4656*3</f>
        <v>13968</v>
      </c>
      <c r="AU98" s="1068">
        <v>9312</v>
      </c>
      <c r="AV98" s="1067">
        <f>4656*3</f>
        <v>13968</v>
      </c>
      <c r="AW98" s="1068">
        <v>9312</v>
      </c>
      <c r="AX98" s="1067">
        <f>4656*3</f>
        <v>13968</v>
      </c>
      <c r="AY98" s="1069">
        <f t="shared" si="213"/>
        <v>144336</v>
      </c>
      <c r="AZ98" s="1070">
        <f t="shared" ref="AZ98:BK121" si="264">AM98*$H98</f>
        <v>51541.919999999998</v>
      </c>
      <c r="BA98" s="1071">
        <f t="shared" si="264"/>
        <v>51541.919999999998</v>
      </c>
      <c r="BB98" s="1071">
        <f t="shared" si="264"/>
        <v>34361.279999999999</v>
      </c>
      <c r="BC98" s="1071">
        <f t="shared" si="264"/>
        <v>51541.919999999998</v>
      </c>
      <c r="BD98" s="1071">
        <f t="shared" si="264"/>
        <v>34361.279999999999</v>
      </c>
      <c r="BE98" s="1071">
        <f t="shared" si="264"/>
        <v>34361.279999999999</v>
      </c>
      <c r="BF98" s="1071">
        <f t="shared" si="264"/>
        <v>51541.919999999998</v>
      </c>
      <c r="BG98" s="1071">
        <f t="shared" si="264"/>
        <v>51541.919999999998</v>
      </c>
      <c r="BH98" s="1071">
        <f t="shared" si="264"/>
        <v>34361.279999999999</v>
      </c>
      <c r="BI98" s="1071">
        <f t="shared" si="264"/>
        <v>51541.919999999998</v>
      </c>
      <c r="BJ98" s="1071">
        <f t="shared" si="264"/>
        <v>34361.279999999999</v>
      </c>
      <c r="BK98" s="1071">
        <f t="shared" si="264"/>
        <v>51541.919999999998</v>
      </c>
      <c r="BL98" s="1072">
        <f t="shared" ref="BL98:BL121" si="265">SUM(AZ98:BK98)</f>
        <v>532599.84</v>
      </c>
      <c r="BM98" s="1073">
        <v>18624</v>
      </c>
      <c r="BN98" s="1068">
        <v>13296</v>
      </c>
      <c r="BO98" s="1068">
        <v>8000</v>
      </c>
      <c r="BP98" s="1068">
        <v>8000</v>
      </c>
      <c r="BQ98" s="1068">
        <v>8000</v>
      </c>
      <c r="BR98" s="1068">
        <v>8000</v>
      </c>
      <c r="BS98" s="1068">
        <v>8000</v>
      </c>
      <c r="BT98" s="1068">
        <v>8000</v>
      </c>
      <c r="BU98" s="1068">
        <v>8000</v>
      </c>
      <c r="BV98" s="1068">
        <v>8000</v>
      </c>
      <c r="BW98" s="1068">
        <v>8000</v>
      </c>
      <c r="BX98" s="1068">
        <v>8000</v>
      </c>
      <c r="BY98" s="1069">
        <f t="shared" si="215"/>
        <v>111920</v>
      </c>
      <c r="BZ98" s="1074">
        <f t="shared" ref="BZ98:CK119" si="266">BM98*$I98</f>
        <v>68722.559999999998</v>
      </c>
      <c r="CA98" s="1071">
        <f t="shared" si="266"/>
        <v>49062.239999999998</v>
      </c>
      <c r="CB98" s="1071">
        <f t="shared" si="266"/>
        <v>29520</v>
      </c>
      <c r="CC98" s="1071">
        <f t="shared" si="266"/>
        <v>29520</v>
      </c>
      <c r="CD98" s="1071">
        <f t="shared" si="266"/>
        <v>29520</v>
      </c>
      <c r="CE98" s="1071">
        <f t="shared" si="266"/>
        <v>29520</v>
      </c>
      <c r="CF98" s="1071">
        <f t="shared" si="266"/>
        <v>29520</v>
      </c>
      <c r="CG98" s="1071">
        <f t="shared" si="266"/>
        <v>29520</v>
      </c>
      <c r="CH98" s="1071">
        <f t="shared" si="266"/>
        <v>29520</v>
      </c>
      <c r="CI98" s="1071">
        <f t="shared" si="266"/>
        <v>29520</v>
      </c>
      <c r="CJ98" s="1071">
        <f t="shared" si="266"/>
        <v>29520</v>
      </c>
      <c r="CK98" s="1071">
        <f t="shared" si="266"/>
        <v>29520</v>
      </c>
      <c r="CL98" s="1075">
        <f t="shared" ref="CL98:CL121" si="267">SUM(BZ98:CK98)</f>
        <v>412984.8</v>
      </c>
      <c r="CM98" s="1073">
        <f>10000/12</f>
        <v>833.33333333333337</v>
      </c>
      <c r="CN98" s="1068">
        <f t="shared" ref="CN98:CX98" si="268">10000/12</f>
        <v>833.33333333333337</v>
      </c>
      <c r="CO98" s="1068">
        <f t="shared" si="268"/>
        <v>833.33333333333337</v>
      </c>
      <c r="CP98" s="1068">
        <f t="shared" si="268"/>
        <v>833.33333333333337</v>
      </c>
      <c r="CQ98" s="1068">
        <f t="shared" si="268"/>
        <v>833.33333333333337</v>
      </c>
      <c r="CR98" s="1068">
        <f t="shared" si="268"/>
        <v>833.33333333333337</v>
      </c>
      <c r="CS98" s="1068">
        <f t="shared" si="268"/>
        <v>833.33333333333337</v>
      </c>
      <c r="CT98" s="1068">
        <f t="shared" si="268"/>
        <v>833.33333333333337</v>
      </c>
      <c r="CU98" s="1068">
        <f t="shared" si="268"/>
        <v>833.33333333333337</v>
      </c>
      <c r="CV98" s="1068">
        <f t="shared" si="268"/>
        <v>833.33333333333337</v>
      </c>
      <c r="CW98" s="1068">
        <f t="shared" si="268"/>
        <v>833.33333333333337</v>
      </c>
      <c r="CX98" s="1068">
        <f t="shared" si="268"/>
        <v>833.33333333333337</v>
      </c>
      <c r="CY98" s="1069">
        <f t="shared" si="216"/>
        <v>10000</v>
      </c>
      <c r="CZ98" s="1070">
        <f t="shared" ref="CZ98:DK119" si="269">CM98*$J98</f>
        <v>3075</v>
      </c>
      <c r="DA98" s="1071">
        <f t="shared" si="269"/>
        <v>3075</v>
      </c>
      <c r="DB98" s="1071">
        <f t="shared" si="269"/>
        <v>3075</v>
      </c>
      <c r="DC98" s="1071">
        <f t="shared" si="269"/>
        <v>3075</v>
      </c>
      <c r="DD98" s="1071">
        <f t="shared" si="269"/>
        <v>3075</v>
      </c>
      <c r="DE98" s="1071">
        <f t="shared" si="269"/>
        <v>3075</v>
      </c>
      <c r="DF98" s="1071">
        <f t="shared" si="269"/>
        <v>3075</v>
      </c>
      <c r="DG98" s="1071">
        <f t="shared" si="269"/>
        <v>3075</v>
      </c>
      <c r="DH98" s="1071">
        <f t="shared" si="269"/>
        <v>3075</v>
      </c>
      <c r="DI98" s="1071">
        <f t="shared" si="269"/>
        <v>3075</v>
      </c>
      <c r="DJ98" s="1071">
        <f t="shared" si="269"/>
        <v>3075</v>
      </c>
      <c r="DK98" s="1071">
        <f t="shared" si="269"/>
        <v>3075</v>
      </c>
      <c r="DL98" s="1072">
        <f t="shared" ref="DL98:DL121" si="270">SUM(CZ98:DK98)</f>
        <v>36900</v>
      </c>
      <c r="DM98" s="1067">
        <f>10000/12</f>
        <v>833.33333333333337</v>
      </c>
      <c r="DN98" s="1068">
        <f t="shared" ref="DN98:DX98" si="271">10000/12</f>
        <v>833.33333333333337</v>
      </c>
      <c r="DO98" s="1068">
        <f t="shared" si="271"/>
        <v>833.33333333333337</v>
      </c>
      <c r="DP98" s="1068">
        <f t="shared" si="271"/>
        <v>833.33333333333337</v>
      </c>
      <c r="DQ98" s="1068">
        <f t="shared" si="271"/>
        <v>833.33333333333337</v>
      </c>
      <c r="DR98" s="1068">
        <f t="shared" si="271"/>
        <v>833.33333333333337</v>
      </c>
      <c r="DS98" s="1068">
        <f t="shared" si="271"/>
        <v>833.33333333333337</v>
      </c>
      <c r="DT98" s="1068">
        <f t="shared" si="271"/>
        <v>833.33333333333337</v>
      </c>
      <c r="DU98" s="1068">
        <f t="shared" si="271"/>
        <v>833.33333333333337</v>
      </c>
      <c r="DV98" s="1068">
        <f t="shared" si="271"/>
        <v>833.33333333333337</v>
      </c>
      <c r="DW98" s="1068">
        <f t="shared" si="271"/>
        <v>833.33333333333337</v>
      </c>
      <c r="DX98" s="1068">
        <f t="shared" si="271"/>
        <v>833.33333333333337</v>
      </c>
      <c r="DY98" s="1069">
        <f t="shared" si="217"/>
        <v>10000</v>
      </c>
      <c r="DZ98" s="1071">
        <f t="shared" ref="DZ98:EK119" si="272">DM98*$K98</f>
        <v>3075</v>
      </c>
      <c r="EA98" s="1071">
        <f t="shared" si="272"/>
        <v>3075</v>
      </c>
      <c r="EB98" s="1071">
        <f t="shared" si="272"/>
        <v>3075</v>
      </c>
      <c r="EC98" s="1071">
        <f t="shared" si="272"/>
        <v>3075</v>
      </c>
      <c r="ED98" s="1071">
        <f t="shared" si="272"/>
        <v>3075</v>
      </c>
      <c r="EE98" s="1071">
        <f t="shared" si="272"/>
        <v>3075</v>
      </c>
      <c r="EF98" s="1071">
        <f t="shared" si="272"/>
        <v>3075</v>
      </c>
      <c r="EG98" s="1071">
        <f t="shared" si="272"/>
        <v>3075</v>
      </c>
      <c r="EH98" s="1071">
        <f t="shared" si="272"/>
        <v>3075</v>
      </c>
      <c r="EI98" s="1071">
        <f t="shared" si="272"/>
        <v>3075</v>
      </c>
      <c r="EJ98" s="1071">
        <f t="shared" si="272"/>
        <v>3075</v>
      </c>
      <c r="EK98" s="1071">
        <f t="shared" si="272"/>
        <v>3075</v>
      </c>
      <c r="EL98" s="1072">
        <f t="shared" ref="EL98:EL121" si="273">SUM(DZ98:EK98)</f>
        <v>36900</v>
      </c>
    </row>
    <row r="99" spans="1:142" s="1076" customFormat="1">
      <c r="A99" s="964" t="s">
        <v>718</v>
      </c>
      <c r="B99" s="1059" t="s">
        <v>80</v>
      </c>
      <c r="C99" s="1060" t="s">
        <v>720</v>
      </c>
      <c r="D99" s="1077">
        <v>1.2</v>
      </c>
      <c r="E99" s="1078">
        <v>1.21</v>
      </c>
      <c r="F99" s="1079">
        <v>1.24</v>
      </c>
      <c r="G99" s="1080">
        <f t="shared" si="261"/>
        <v>1.24</v>
      </c>
      <c r="H99" s="1077">
        <f t="shared" si="261"/>
        <v>1.24</v>
      </c>
      <c r="I99" s="1081">
        <f t="shared" si="261"/>
        <v>1.24</v>
      </c>
      <c r="J99" s="1081">
        <f t="shared" si="261"/>
        <v>1.24</v>
      </c>
      <c r="K99" s="1082">
        <f t="shared" si="261"/>
        <v>1.24</v>
      </c>
      <c r="L99" s="1066"/>
      <c r="M99" s="1083"/>
      <c r="N99" s="1068">
        <v>96840</v>
      </c>
      <c r="O99" s="1068">
        <v>76800</v>
      </c>
      <c r="P99" s="1068">
        <v>51840</v>
      </c>
      <c r="Q99" s="1068">
        <v>48000</v>
      </c>
      <c r="R99" s="1068">
        <v>61360</v>
      </c>
      <c r="S99" s="1068">
        <v>26880</v>
      </c>
      <c r="T99" s="1068">
        <v>48000</v>
      </c>
      <c r="U99" s="1068">
        <v>61360</v>
      </c>
      <c r="V99" s="1068">
        <v>61360</v>
      </c>
      <c r="W99" s="1068">
        <v>48000</v>
      </c>
      <c r="X99" s="1068">
        <v>61360</v>
      </c>
      <c r="Y99" s="1069">
        <f t="shared" si="262"/>
        <v>641800</v>
      </c>
      <c r="Z99" s="1070">
        <v>0</v>
      </c>
      <c r="AA99" s="1071">
        <v>116208</v>
      </c>
      <c r="AB99" s="1071">
        <v>92160</v>
      </c>
      <c r="AC99" s="1071">
        <f>P99*$E99</f>
        <v>62726.400000000001</v>
      </c>
      <c r="AD99" s="1071">
        <f t="shared" ref="AD99:AD117" si="274">Q99*$E99</f>
        <v>58080</v>
      </c>
      <c r="AE99" s="1071">
        <f>R99*E99</f>
        <v>74245.599999999991</v>
      </c>
      <c r="AF99" s="1071">
        <f t="shared" ref="AF99:AF114" si="275">S99*F99</f>
        <v>33331.199999999997</v>
      </c>
      <c r="AG99" s="1071">
        <f t="shared" ref="AG99:AG121" si="276">T99*F99</f>
        <v>59520</v>
      </c>
      <c r="AH99" s="1071">
        <f t="shared" ref="AH99:AH121" si="277">U99*F99</f>
        <v>76086.399999999994</v>
      </c>
      <c r="AI99" s="1071">
        <f t="shared" ref="AI99:AI121" si="278">V99*F99</f>
        <v>76086.399999999994</v>
      </c>
      <c r="AJ99" s="1071">
        <f t="shared" ref="AJ99:AJ121" si="279">W99*F99</f>
        <v>59520</v>
      </c>
      <c r="AK99" s="1071">
        <f t="shared" ref="AK99:AK121" si="280">X99*F99</f>
        <v>76086.399999999994</v>
      </c>
      <c r="AL99" s="1072">
        <f t="shared" si="263"/>
        <v>784050.4</v>
      </c>
      <c r="AM99" s="1067">
        <v>90000</v>
      </c>
      <c r="AN99" s="1068">
        <v>36000</v>
      </c>
      <c r="AO99" s="1068">
        <v>66000</v>
      </c>
      <c r="AP99" s="1068">
        <v>66000</v>
      </c>
      <c r="AQ99" s="1068">
        <v>98000</v>
      </c>
      <c r="AR99" s="1068">
        <v>50000</v>
      </c>
      <c r="AS99" s="1068">
        <v>71000</v>
      </c>
      <c r="AT99" s="1068">
        <v>60000</v>
      </c>
      <c r="AU99" s="1068">
        <v>62000</v>
      </c>
      <c r="AV99" s="1068">
        <v>60000</v>
      </c>
      <c r="AW99" s="1068">
        <v>73000</v>
      </c>
      <c r="AX99" s="1068">
        <v>30000</v>
      </c>
      <c r="AY99" s="1069">
        <f t="shared" si="213"/>
        <v>762000</v>
      </c>
      <c r="AZ99" s="1070">
        <f t="shared" si="264"/>
        <v>111600</v>
      </c>
      <c r="BA99" s="1071">
        <f t="shared" si="264"/>
        <v>44640</v>
      </c>
      <c r="BB99" s="1071">
        <f t="shared" si="264"/>
        <v>81840</v>
      </c>
      <c r="BC99" s="1071">
        <f t="shared" si="264"/>
        <v>81840</v>
      </c>
      <c r="BD99" s="1071">
        <f t="shared" si="264"/>
        <v>121520</v>
      </c>
      <c r="BE99" s="1071">
        <f t="shared" si="264"/>
        <v>62000</v>
      </c>
      <c r="BF99" s="1071">
        <f t="shared" si="264"/>
        <v>88040</v>
      </c>
      <c r="BG99" s="1071">
        <f t="shared" si="264"/>
        <v>74400</v>
      </c>
      <c r="BH99" s="1071">
        <f t="shared" si="264"/>
        <v>76880</v>
      </c>
      <c r="BI99" s="1071">
        <f t="shared" si="264"/>
        <v>74400</v>
      </c>
      <c r="BJ99" s="1071">
        <f t="shared" si="264"/>
        <v>90520</v>
      </c>
      <c r="BK99" s="1071">
        <f t="shared" si="264"/>
        <v>37200</v>
      </c>
      <c r="BL99" s="1072">
        <f t="shared" si="265"/>
        <v>944880</v>
      </c>
      <c r="BM99" s="1073">
        <f>410297/12</f>
        <v>34191.416666666664</v>
      </c>
      <c r="BN99" s="1068">
        <f t="shared" ref="BN99:BX99" si="281">410297/12</f>
        <v>34191.416666666664</v>
      </c>
      <c r="BO99" s="1068">
        <f t="shared" si="281"/>
        <v>34191.416666666664</v>
      </c>
      <c r="BP99" s="1068">
        <f t="shared" si="281"/>
        <v>34191.416666666664</v>
      </c>
      <c r="BQ99" s="1068">
        <f t="shared" si="281"/>
        <v>34191.416666666664</v>
      </c>
      <c r="BR99" s="1068">
        <f t="shared" si="281"/>
        <v>34191.416666666664</v>
      </c>
      <c r="BS99" s="1068">
        <f t="shared" si="281"/>
        <v>34191.416666666664</v>
      </c>
      <c r="BT99" s="1068">
        <f t="shared" si="281"/>
        <v>34191.416666666664</v>
      </c>
      <c r="BU99" s="1068">
        <f t="shared" si="281"/>
        <v>34191.416666666664</v>
      </c>
      <c r="BV99" s="1068">
        <f t="shared" si="281"/>
        <v>34191.416666666664</v>
      </c>
      <c r="BW99" s="1068">
        <f t="shared" si="281"/>
        <v>34191.416666666664</v>
      </c>
      <c r="BX99" s="1068">
        <f t="shared" si="281"/>
        <v>34191.416666666664</v>
      </c>
      <c r="BY99" s="1069">
        <f t="shared" si="215"/>
        <v>410297.00000000006</v>
      </c>
      <c r="BZ99" s="1074">
        <f t="shared" si="266"/>
        <v>42397.356666666667</v>
      </c>
      <c r="CA99" s="1071">
        <f t="shared" si="266"/>
        <v>42397.356666666667</v>
      </c>
      <c r="CB99" s="1071">
        <f t="shared" si="266"/>
        <v>42397.356666666667</v>
      </c>
      <c r="CC99" s="1071">
        <f t="shared" si="266"/>
        <v>42397.356666666667</v>
      </c>
      <c r="CD99" s="1071">
        <f t="shared" si="266"/>
        <v>42397.356666666667</v>
      </c>
      <c r="CE99" s="1071">
        <f t="shared" si="266"/>
        <v>42397.356666666667</v>
      </c>
      <c r="CF99" s="1071">
        <f t="shared" si="266"/>
        <v>42397.356666666667</v>
      </c>
      <c r="CG99" s="1071">
        <f t="shared" si="266"/>
        <v>42397.356666666667</v>
      </c>
      <c r="CH99" s="1071">
        <f t="shared" si="266"/>
        <v>42397.356666666667</v>
      </c>
      <c r="CI99" s="1071">
        <f t="shared" si="266"/>
        <v>42397.356666666667</v>
      </c>
      <c r="CJ99" s="1071">
        <f t="shared" si="266"/>
        <v>42397.356666666667</v>
      </c>
      <c r="CK99" s="1071">
        <f t="shared" si="266"/>
        <v>42397.356666666667</v>
      </c>
      <c r="CL99" s="1075">
        <f t="shared" si="267"/>
        <v>508768.28000000009</v>
      </c>
      <c r="CM99" s="1073">
        <f>354920/12</f>
        <v>29576.666666666668</v>
      </c>
      <c r="CN99" s="1068">
        <f t="shared" ref="CN99:CX101" si="282">354920/12</f>
        <v>29576.666666666668</v>
      </c>
      <c r="CO99" s="1068">
        <f t="shared" si="282"/>
        <v>29576.666666666668</v>
      </c>
      <c r="CP99" s="1068">
        <f t="shared" si="282"/>
        <v>29576.666666666668</v>
      </c>
      <c r="CQ99" s="1068">
        <f t="shared" si="282"/>
        <v>29576.666666666668</v>
      </c>
      <c r="CR99" s="1068">
        <f t="shared" si="282"/>
        <v>29576.666666666668</v>
      </c>
      <c r="CS99" s="1068">
        <f t="shared" si="282"/>
        <v>29576.666666666668</v>
      </c>
      <c r="CT99" s="1068">
        <f t="shared" si="282"/>
        <v>29576.666666666668</v>
      </c>
      <c r="CU99" s="1068">
        <f t="shared" si="282"/>
        <v>29576.666666666668</v>
      </c>
      <c r="CV99" s="1068">
        <f t="shared" si="282"/>
        <v>29576.666666666668</v>
      </c>
      <c r="CW99" s="1068">
        <f t="shared" si="282"/>
        <v>29576.666666666668</v>
      </c>
      <c r="CX99" s="1068">
        <f t="shared" si="282"/>
        <v>29576.666666666668</v>
      </c>
      <c r="CY99" s="1069">
        <f t="shared" si="216"/>
        <v>354920.00000000006</v>
      </c>
      <c r="CZ99" s="1070">
        <f t="shared" si="269"/>
        <v>36675.066666666666</v>
      </c>
      <c r="DA99" s="1071">
        <f t="shared" si="269"/>
        <v>36675.066666666666</v>
      </c>
      <c r="DB99" s="1071">
        <f t="shared" si="269"/>
        <v>36675.066666666666</v>
      </c>
      <c r="DC99" s="1071">
        <f t="shared" si="269"/>
        <v>36675.066666666666</v>
      </c>
      <c r="DD99" s="1071">
        <f t="shared" si="269"/>
        <v>36675.066666666666</v>
      </c>
      <c r="DE99" s="1071">
        <f t="shared" si="269"/>
        <v>36675.066666666666</v>
      </c>
      <c r="DF99" s="1071">
        <f t="shared" si="269"/>
        <v>36675.066666666666</v>
      </c>
      <c r="DG99" s="1071">
        <f t="shared" si="269"/>
        <v>36675.066666666666</v>
      </c>
      <c r="DH99" s="1071">
        <f t="shared" si="269"/>
        <v>36675.066666666666</v>
      </c>
      <c r="DI99" s="1071">
        <f t="shared" si="269"/>
        <v>36675.066666666666</v>
      </c>
      <c r="DJ99" s="1071">
        <f t="shared" si="269"/>
        <v>36675.066666666666</v>
      </c>
      <c r="DK99" s="1071">
        <f t="shared" si="269"/>
        <v>36675.066666666666</v>
      </c>
      <c r="DL99" s="1072">
        <f t="shared" si="270"/>
        <v>440100.79999999987</v>
      </c>
      <c r="DM99" s="1067">
        <f>224924/12</f>
        <v>18743.666666666668</v>
      </c>
      <c r="DN99" s="1068">
        <f t="shared" ref="DN99:DX101" si="283">224924/12</f>
        <v>18743.666666666668</v>
      </c>
      <c r="DO99" s="1068">
        <f t="shared" si="283"/>
        <v>18743.666666666668</v>
      </c>
      <c r="DP99" s="1068">
        <f t="shared" si="283"/>
        <v>18743.666666666668</v>
      </c>
      <c r="DQ99" s="1068">
        <f t="shared" si="283"/>
        <v>18743.666666666668</v>
      </c>
      <c r="DR99" s="1068">
        <f t="shared" si="283"/>
        <v>18743.666666666668</v>
      </c>
      <c r="DS99" s="1068">
        <f t="shared" si="283"/>
        <v>18743.666666666668</v>
      </c>
      <c r="DT99" s="1068">
        <f t="shared" si="283"/>
        <v>18743.666666666668</v>
      </c>
      <c r="DU99" s="1068">
        <f t="shared" si="283"/>
        <v>18743.666666666668</v>
      </c>
      <c r="DV99" s="1068">
        <f t="shared" si="283"/>
        <v>18743.666666666668</v>
      </c>
      <c r="DW99" s="1068">
        <f t="shared" si="283"/>
        <v>18743.666666666668</v>
      </c>
      <c r="DX99" s="1068">
        <f t="shared" si="283"/>
        <v>18743.666666666668</v>
      </c>
      <c r="DY99" s="1069">
        <f t="shared" si="217"/>
        <v>224923.99999999997</v>
      </c>
      <c r="DZ99" s="1071">
        <f t="shared" si="272"/>
        <v>23242.146666666667</v>
      </c>
      <c r="EA99" s="1071">
        <f t="shared" si="272"/>
        <v>23242.146666666667</v>
      </c>
      <c r="EB99" s="1071">
        <f t="shared" si="272"/>
        <v>23242.146666666667</v>
      </c>
      <c r="EC99" s="1071">
        <f t="shared" si="272"/>
        <v>23242.146666666667</v>
      </c>
      <c r="ED99" s="1071">
        <f t="shared" si="272"/>
        <v>23242.146666666667</v>
      </c>
      <c r="EE99" s="1071">
        <f t="shared" si="272"/>
        <v>23242.146666666667</v>
      </c>
      <c r="EF99" s="1071">
        <f t="shared" si="272"/>
        <v>23242.146666666667</v>
      </c>
      <c r="EG99" s="1071">
        <f t="shared" si="272"/>
        <v>23242.146666666667</v>
      </c>
      <c r="EH99" s="1071">
        <f t="shared" si="272"/>
        <v>23242.146666666667</v>
      </c>
      <c r="EI99" s="1071">
        <f t="shared" si="272"/>
        <v>23242.146666666667</v>
      </c>
      <c r="EJ99" s="1071">
        <f t="shared" si="272"/>
        <v>23242.146666666667</v>
      </c>
      <c r="EK99" s="1071">
        <f t="shared" si="272"/>
        <v>23242.146666666667</v>
      </c>
      <c r="EL99" s="1072">
        <f t="shared" si="273"/>
        <v>278905.76</v>
      </c>
    </row>
    <row r="100" spans="1:142" s="1076" customFormat="1">
      <c r="A100" s="964" t="s">
        <v>718</v>
      </c>
      <c r="B100" s="1059" t="s">
        <v>81</v>
      </c>
      <c r="C100" s="1060" t="s">
        <v>265</v>
      </c>
      <c r="D100" s="1077">
        <v>1.1000000000000001</v>
      </c>
      <c r="E100" s="1078">
        <v>1.1100000000000001</v>
      </c>
      <c r="F100" s="1079">
        <v>1.1200000000000001</v>
      </c>
      <c r="G100" s="1080">
        <f t="shared" si="261"/>
        <v>1.1200000000000001</v>
      </c>
      <c r="H100" s="1077">
        <f t="shared" si="261"/>
        <v>1.1200000000000001</v>
      </c>
      <c r="I100" s="1081">
        <f t="shared" si="261"/>
        <v>1.1200000000000001</v>
      </c>
      <c r="J100" s="1081">
        <f t="shared" si="261"/>
        <v>1.1200000000000001</v>
      </c>
      <c r="K100" s="1082">
        <f t="shared" si="261"/>
        <v>1.1200000000000001</v>
      </c>
      <c r="L100" s="1066"/>
      <c r="M100" s="1083"/>
      <c r="N100" s="1068">
        <v>65280</v>
      </c>
      <c r="O100" s="1068">
        <v>65280</v>
      </c>
      <c r="P100" s="1068">
        <v>92160</v>
      </c>
      <c r="Q100" s="1068">
        <v>6880</v>
      </c>
      <c r="R100" s="1068">
        <v>72960</v>
      </c>
      <c r="S100" s="1068">
        <v>38400</v>
      </c>
      <c r="T100" s="1068">
        <v>48000</v>
      </c>
      <c r="U100" s="1068">
        <v>61360</v>
      </c>
      <c r="V100" s="1068">
        <v>61360</v>
      </c>
      <c r="W100" s="1068">
        <v>61360</v>
      </c>
      <c r="X100" s="1068">
        <v>72960</v>
      </c>
      <c r="Y100" s="1069">
        <f t="shared" si="262"/>
        <v>646000</v>
      </c>
      <c r="Z100" s="1070">
        <v>0</v>
      </c>
      <c r="AA100" s="1071">
        <v>71808</v>
      </c>
      <c r="AB100" s="1071">
        <v>71808</v>
      </c>
      <c r="AC100" s="1071">
        <f t="shared" ref="AC100:AC114" si="284">P100*$E100</f>
        <v>102297.60000000001</v>
      </c>
      <c r="AD100" s="1071">
        <f>Q100*$E100+855.6</f>
        <v>8492.4000000000015</v>
      </c>
      <c r="AE100" s="1071">
        <f t="shared" ref="AE100:AE120" si="285">R100*E100</f>
        <v>80985.600000000006</v>
      </c>
      <c r="AF100" s="1071">
        <f t="shared" si="275"/>
        <v>43008.000000000007</v>
      </c>
      <c r="AG100" s="1071">
        <f t="shared" si="276"/>
        <v>53760.000000000007</v>
      </c>
      <c r="AH100" s="1071">
        <f t="shared" si="277"/>
        <v>68723.200000000012</v>
      </c>
      <c r="AI100" s="1071">
        <f t="shared" si="278"/>
        <v>68723.200000000012</v>
      </c>
      <c r="AJ100" s="1071">
        <f t="shared" si="279"/>
        <v>68723.200000000012</v>
      </c>
      <c r="AK100" s="1071">
        <f t="shared" si="280"/>
        <v>81715.200000000012</v>
      </c>
      <c r="AL100" s="1072">
        <f t="shared" si="263"/>
        <v>720044.39999999991</v>
      </c>
      <c r="AM100" s="1067">
        <v>89000</v>
      </c>
      <c r="AN100" s="1068">
        <v>34000</v>
      </c>
      <c r="AO100" s="1068">
        <v>68000</v>
      </c>
      <c r="AP100" s="1068">
        <v>68000</v>
      </c>
      <c r="AQ100" s="1068">
        <v>87000</v>
      </c>
      <c r="AR100" s="1068">
        <v>68000</v>
      </c>
      <c r="AS100" s="1068">
        <v>41000</v>
      </c>
      <c r="AT100" s="1068">
        <v>85000</v>
      </c>
      <c r="AU100" s="1068">
        <v>68000</v>
      </c>
      <c r="AV100" s="1068">
        <v>51000</v>
      </c>
      <c r="AW100" s="1068">
        <v>51000</v>
      </c>
      <c r="AX100" s="1068">
        <v>34000</v>
      </c>
      <c r="AY100" s="1069">
        <f t="shared" si="213"/>
        <v>744000</v>
      </c>
      <c r="AZ100" s="1070">
        <f t="shared" si="264"/>
        <v>99680.000000000015</v>
      </c>
      <c r="BA100" s="1071">
        <f t="shared" si="264"/>
        <v>38080</v>
      </c>
      <c r="BB100" s="1071">
        <f t="shared" si="264"/>
        <v>76160</v>
      </c>
      <c r="BC100" s="1071">
        <f t="shared" si="264"/>
        <v>76160</v>
      </c>
      <c r="BD100" s="1071">
        <f t="shared" si="264"/>
        <v>97440.000000000015</v>
      </c>
      <c r="BE100" s="1071">
        <f t="shared" si="264"/>
        <v>76160</v>
      </c>
      <c r="BF100" s="1071">
        <f t="shared" si="264"/>
        <v>45920.000000000007</v>
      </c>
      <c r="BG100" s="1071">
        <f t="shared" si="264"/>
        <v>95200.000000000015</v>
      </c>
      <c r="BH100" s="1071">
        <f t="shared" si="264"/>
        <v>76160</v>
      </c>
      <c r="BI100" s="1071">
        <f t="shared" si="264"/>
        <v>57120.000000000007</v>
      </c>
      <c r="BJ100" s="1071">
        <f t="shared" si="264"/>
        <v>57120.000000000007</v>
      </c>
      <c r="BK100" s="1071">
        <f t="shared" si="264"/>
        <v>38080</v>
      </c>
      <c r="BL100" s="1072">
        <f t="shared" si="265"/>
        <v>833280</v>
      </c>
      <c r="BM100" s="1073">
        <f t="shared" ref="BM100:BX101" si="286">410297/12</f>
        <v>34191.416666666664</v>
      </c>
      <c r="BN100" s="1068">
        <f t="shared" si="286"/>
        <v>34191.416666666664</v>
      </c>
      <c r="BO100" s="1068">
        <f t="shared" si="286"/>
        <v>34191.416666666664</v>
      </c>
      <c r="BP100" s="1068">
        <f t="shared" si="286"/>
        <v>34191.416666666664</v>
      </c>
      <c r="BQ100" s="1068">
        <f t="shared" si="286"/>
        <v>34191.416666666664</v>
      </c>
      <c r="BR100" s="1068">
        <f t="shared" si="286"/>
        <v>34191.416666666664</v>
      </c>
      <c r="BS100" s="1068">
        <f t="shared" si="286"/>
        <v>34191.416666666664</v>
      </c>
      <c r="BT100" s="1068">
        <f t="shared" si="286"/>
        <v>34191.416666666664</v>
      </c>
      <c r="BU100" s="1068">
        <f t="shared" si="286"/>
        <v>34191.416666666664</v>
      </c>
      <c r="BV100" s="1068">
        <f t="shared" si="286"/>
        <v>34191.416666666664</v>
      </c>
      <c r="BW100" s="1068">
        <f t="shared" si="286"/>
        <v>34191.416666666664</v>
      </c>
      <c r="BX100" s="1068">
        <f t="shared" si="286"/>
        <v>34191.416666666664</v>
      </c>
      <c r="BY100" s="1069">
        <f t="shared" si="215"/>
        <v>410297.00000000006</v>
      </c>
      <c r="BZ100" s="1074">
        <f t="shared" si="266"/>
        <v>38294.386666666665</v>
      </c>
      <c r="CA100" s="1071">
        <f t="shared" si="266"/>
        <v>38294.386666666665</v>
      </c>
      <c r="CB100" s="1071">
        <f t="shared" si="266"/>
        <v>38294.386666666665</v>
      </c>
      <c r="CC100" s="1071">
        <f t="shared" si="266"/>
        <v>38294.386666666665</v>
      </c>
      <c r="CD100" s="1071">
        <f t="shared" si="266"/>
        <v>38294.386666666665</v>
      </c>
      <c r="CE100" s="1071">
        <f t="shared" si="266"/>
        <v>38294.386666666665</v>
      </c>
      <c r="CF100" s="1071">
        <f t="shared" si="266"/>
        <v>38294.386666666665</v>
      </c>
      <c r="CG100" s="1071">
        <f t="shared" si="266"/>
        <v>38294.386666666665</v>
      </c>
      <c r="CH100" s="1071">
        <f t="shared" si="266"/>
        <v>38294.386666666665</v>
      </c>
      <c r="CI100" s="1071">
        <f t="shared" si="266"/>
        <v>38294.386666666665</v>
      </c>
      <c r="CJ100" s="1071">
        <f t="shared" si="266"/>
        <v>38294.386666666665</v>
      </c>
      <c r="CK100" s="1071">
        <f t="shared" si="266"/>
        <v>38294.386666666665</v>
      </c>
      <c r="CL100" s="1075">
        <f t="shared" si="267"/>
        <v>459532.63999999996</v>
      </c>
      <c r="CM100" s="1073">
        <f>354920/12</f>
        <v>29576.666666666668</v>
      </c>
      <c r="CN100" s="1068">
        <f t="shared" si="282"/>
        <v>29576.666666666668</v>
      </c>
      <c r="CO100" s="1068">
        <f t="shared" si="282"/>
        <v>29576.666666666668</v>
      </c>
      <c r="CP100" s="1068">
        <f t="shared" si="282"/>
        <v>29576.666666666668</v>
      </c>
      <c r="CQ100" s="1068">
        <f t="shared" si="282"/>
        <v>29576.666666666668</v>
      </c>
      <c r="CR100" s="1068">
        <f t="shared" si="282"/>
        <v>29576.666666666668</v>
      </c>
      <c r="CS100" s="1068">
        <f t="shared" si="282"/>
        <v>29576.666666666668</v>
      </c>
      <c r="CT100" s="1068">
        <f t="shared" si="282"/>
        <v>29576.666666666668</v>
      </c>
      <c r="CU100" s="1068">
        <f t="shared" si="282"/>
        <v>29576.666666666668</v>
      </c>
      <c r="CV100" s="1068">
        <f t="shared" si="282"/>
        <v>29576.666666666668</v>
      </c>
      <c r="CW100" s="1068">
        <f t="shared" si="282"/>
        <v>29576.666666666668</v>
      </c>
      <c r="CX100" s="1068">
        <f t="shared" si="282"/>
        <v>29576.666666666668</v>
      </c>
      <c r="CY100" s="1069">
        <f t="shared" si="216"/>
        <v>354920.00000000006</v>
      </c>
      <c r="CZ100" s="1070">
        <f t="shared" si="269"/>
        <v>33125.866666666669</v>
      </c>
      <c r="DA100" s="1071">
        <f t="shared" si="269"/>
        <v>33125.866666666669</v>
      </c>
      <c r="DB100" s="1071">
        <f t="shared" si="269"/>
        <v>33125.866666666669</v>
      </c>
      <c r="DC100" s="1071">
        <f t="shared" si="269"/>
        <v>33125.866666666669</v>
      </c>
      <c r="DD100" s="1071">
        <f t="shared" si="269"/>
        <v>33125.866666666669</v>
      </c>
      <c r="DE100" s="1071">
        <f t="shared" si="269"/>
        <v>33125.866666666669</v>
      </c>
      <c r="DF100" s="1071">
        <f t="shared" si="269"/>
        <v>33125.866666666669</v>
      </c>
      <c r="DG100" s="1071">
        <f t="shared" si="269"/>
        <v>33125.866666666669</v>
      </c>
      <c r="DH100" s="1071">
        <f t="shared" si="269"/>
        <v>33125.866666666669</v>
      </c>
      <c r="DI100" s="1071">
        <f t="shared" si="269"/>
        <v>33125.866666666669</v>
      </c>
      <c r="DJ100" s="1071">
        <f t="shared" si="269"/>
        <v>33125.866666666669</v>
      </c>
      <c r="DK100" s="1071">
        <f t="shared" si="269"/>
        <v>33125.866666666669</v>
      </c>
      <c r="DL100" s="1072">
        <f t="shared" si="270"/>
        <v>397510.40000000014</v>
      </c>
      <c r="DM100" s="1067">
        <f>224924/12</f>
        <v>18743.666666666668</v>
      </c>
      <c r="DN100" s="1068">
        <f t="shared" si="283"/>
        <v>18743.666666666668</v>
      </c>
      <c r="DO100" s="1068">
        <f t="shared" si="283"/>
        <v>18743.666666666668</v>
      </c>
      <c r="DP100" s="1068">
        <f t="shared" si="283"/>
        <v>18743.666666666668</v>
      </c>
      <c r="DQ100" s="1068">
        <f t="shared" si="283"/>
        <v>18743.666666666668</v>
      </c>
      <c r="DR100" s="1068">
        <f t="shared" si="283"/>
        <v>18743.666666666668</v>
      </c>
      <c r="DS100" s="1068">
        <f t="shared" si="283"/>
        <v>18743.666666666668</v>
      </c>
      <c r="DT100" s="1068">
        <f t="shared" si="283"/>
        <v>18743.666666666668</v>
      </c>
      <c r="DU100" s="1068">
        <f t="shared" si="283"/>
        <v>18743.666666666668</v>
      </c>
      <c r="DV100" s="1068">
        <f t="shared" si="283"/>
        <v>18743.666666666668</v>
      </c>
      <c r="DW100" s="1068">
        <f t="shared" si="283"/>
        <v>18743.666666666668</v>
      </c>
      <c r="DX100" s="1068">
        <f t="shared" si="283"/>
        <v>18743.666666666668</v>
      </c>
      <c r="DY100" s="1069">
        <f t="shared" si="217"/>
        <v>224923.99999999997</v>
      </c>
      <c r="DZ100" s="1071">
        <f t="shared" si="272"/>
        <v>20992.906666666669</v>
      </c>
      <c r="EA100" s="1071">
        <f t="shared" si="272"/>
        <v>20992.906666666669</v>
      </c>
      <c r="EB100" s="1071">
        <f t="shared" si="272"/>
        <v>20992.906666666669</v>
      </c>
      <c r="EC100" s="1071">
        <f t="shared" si="272"/>
        <v>20992.906666666669</v>
      </c>
      <c r="ED100" s="1071">
        <f t="shared" si="272"/>
        <v>20992.906666666669</v>
      </c>
      <c r="EE100" s="1071">
        <f t="shared" si="272"/>
        <v>20992.906666666669</v>
      </c>
      <c r="EF100" s="1071">
        <f t="shared" si="272"/>
        <v>20992.906666666669</v>
      </c>
      <c r="EG100" s="1071">
        <f t="shared" si="272"/>
        <v>20992.906666666669</v>
      </c>
      <c r="EH100" s="1071">
        <f t="shared" si="272"/>
        <v>20992.906666666669</v>
      </c>
      <c r="EI100" s="1071">
        <f t="shared" si="272"/>
        <v>20992.906666666669</v>
      </c>
      <c r="EJ100" s="1071">
        <f t="shared" si="272"/>
        <v>20992.906666666669</v>
      </c>
      <c r="EK100" s="1071">
        <f t="shared" si="272"/>
        <v>20992.906666666669</v>
      </c>
      <c r="EL100" s="1072">
        <f t="shared" si="273"/>
        <v>251914.88000000009</v>
      </c>
    </row>
    <row r="101" spans="1:142" s="1076" customFormat="1">
      <c r="A101" s="964" t="s">
        <v>718</v>
      </c>
      <c r="B101" s="1059" t="s">
        <v>82</v>
      </c>
      <c r="C101" s="1060" t="s">
        <v>721</v>
      </c>
      <c r="D101" s="1084">
        <v>0.56000000000000005</v>
      </c>
      <c r="E101" s="1078">
        <v>0.56999999999999995</v>
      </c>
      <c r="F101" s="1079">
        <v>0.56999999999999995</v>
      </c>
      <c r="G101" s="1080">
        <f t="shared" si="261"/>
        <v>0.56999999999999995</v>
      </c>
      <c r="H101" s="1084">
        <f t="shared" si="261"/>
        <v>0.56999999999999995</v>
      </c>
      <c r="I101" s="1078">
        <f t="shared" si="261"/>
        <v>0.56999999999999995</v>
      </c>
      <c r="J101" s="1078">
        <f t="shared" si="261"/>
        <v>0.56999999999999995</v>
      </c>
      <c r="K101" s="1085">
        <f t="shared" si="261"/>
        <v>0.56999999999999995</v>
      </c>
      <c r="L101" s="1066"/>
      <c r="M101" s="1083"/>
      <c r="N101" s="1068">
        <v>86016</v>
      </c>
      <c r="O101" s="1068">
        <v>129024</v>
      </c>
      <c r="P101" s="1068">
        <v>64520</v>
      </c>
      <c r="Q101" s="1068">
        <f>21504+2688</f>
        <v>24192</v>
      </c>
      <c r="R101" s="1068">
        <f>21504*3</f>
        <v>64512</v>
      </c>
      <c r="S101" s="1068">
        <v>129024</v>
      </c>
      <c r="T101" s="1068">
        <v>129024</v>
      </c>
      <c r="U101" s="1068">
        <v>129024</v>
      </c>
      <c r="V101" s="1068">
        <v>129024</v>
      </c>
      <c r="W101" s="1068">
        <v>129024</v>
      </c>
      <c r="X101" s="1068">
        <v>107520</v>
      </c>
      <c r="Y101" s="1069">
        <f t="shared" si="262"/>
        <v>1120904</v>
      </c>
      <c r="Z101" s="1070">
        <v>0</v>
      </c>
      <c r="AA101" s="1071">
        <v>48168.960000000006</v>
      </c>
      <c r="AB101" s="1071">
        <v>72253.440000000002</v>
      </c>
      <c r="AC101" s="1071">
        <f>P101*$E101</f>
        <v>36776.399999999994</v>
      </c>
      <c r="AD101" s="1071">
        <f t="shared" si="274"/>
        <v>13789.439999999999</v>
      </c>
      <c r="AE101" s="1071">
        <f t="shared" si="285"/>
        <v>36771.839999999997</v>
      </c>
      <c r="AF101" s="1071">
        <f t="shared" si="275"/>
        <v>73543.679999999993</v>
      </c>
      <c r="AG101" s="1071">
        <f t="shared" si="276"/>
        <v>73543.679999999993</v>
      </c>
      <c r="AH101" s="1071">
        <f t="shared" si="277"/>
        <v>73543.679999999993</v>
      </c>
      <c r="AI101" s="1071">
        <f t="shared" si="278"/>
        <v>73543.679999999993</v>
      </c>
      <c r="AJ101" s="1071">
        <f t="shared" si="279"/>
        <v>73543.679999999993</v>
      </c>
      <c r="AK101" s="1071">
        <f t="shared" si="280"/>
        <v>61286.399999999994</v>
      </c>
      <c r="AL101" s="1072">
        <f t="shared" si="263"/>
        <v>636764.88</v>
      </c>
      <c r="AM101" s="1067">
        <v>150528</v>
      </c>
      <c r="AN101" s="1068">
        <v>64520</v>
      </c>
      <c r="AO101" s="1068">
        <v>107520</v>
      </c>
      <c r="AP101" s="1068">
        <v>129024</v>
      </c>
      <c r="AQ101" s="1068">
        <v>129024</v>
      </c>
      <c r="AR101" s="1068">
        <v>108520</v>
      </c>
      <c r="AS101" s="1068">
        <v>150528</v>
      </c>
      <c r="AT101" s="1068">
        <v>107520</v>
      </c>
      <c r="AU101" s="1068">
        <v>86016</v>
      </c>
      <c r="AV101" s="1068">
        <v>107520</v>
      </c>
      <c r="AW101" s="1068">
        <v>107520</v>
      </c>
      <c r="AX101" s="1068">
        <v>86016</v>
      </c>
      <c r="AY101" s="1069">
        <f t="shared" si="213"/>
        <v>1334256</v>
      </c>
      <c r="AZ101" s="1070">
        <f t="shared" si="264"/>
        <v>85800.959999999992</v>
      </c>
      <c r="BA101" s="1071">
        <f t="shared" si="264"/>
        <v>36776.399999999994</v>
      </c>
      <c r="BB101" s="1071">
        <f t="shared" si="264"/>
        <v>61286.399999999994</v>
      </c>
      <c r="BC101" s="1071">
        <f t="shared" si="264"/>
        <v>73543.679999999993</v>
      </c>
      <c r="BD101" s="1071">
        <f t="shared" si="264"/>
        <v>73543.679999999993</v>
      </c>
      <c r="BE101" s="1071">
        <f t="shared" si="264"/>
        <v>61856.399999999994</v>
      </c>
      <c r="BF101" s="1071">
        <f t="shared" si="264"/>
        <v>85800.959999999992</v>
      </c>
      <c r="BG101" s="1071">
        <f t="shared" si="264"/>
        <v>61286.399999999994</v>
      </c>
      <c r="BH101" s="1071">
        <f t="shared" si="264"/>
        <v>49029.119999999995</v>
      </c>
      <c r="BI101" s="1071">
        <f t="shared" si="264"/>
        <v>61286.399999999994</v>
      </c>
      <c r="BJ101" s="1071">
        <f t="shared" si="264"/>
        <v>61286.399999999994</v>
      </c>
      <c r="BK101" s="1071">
        <f t="shared" si="264"/>
        <v>49029.119999999995</v>
      </c>
      <c r="BL101" s="1072">
        <f t="shared" si="265"/>
        <v>760525.92</v>
      </c>
      <c r="BM101" s="1073">
        <f t="shared" si="286"/>
        <v>34191.416666666664</v>
      </c>
      <c r="BN101" s="1068">
        <f t="shared" si="286"/>
        <v>34191.416666666664</v>
      </c>
      <c r="BO101" s="1068">
        <f t="shared" si="286"/>
        <v>34191.416666666664</v>
      </c>
      <c r="BP101" s="1068">
        <f t="shared" si="286"/>
        <v>34191.416666666664</v>
      </c>
      <c r="BQ101" s="1068">
        <f t="shared" si="286"/>
        <v>34191.416666666664</v>
      </c>
      <c r="BR101" s="1068">
        <f t="shared" si="286"/>
        <v>34191.416666666664</v>
      </c>
      <c r="BS101" s="1068">
        <f t="shared" si="286"/>
        <v>34191.416666666664</v>
      </c>
      <c r="BT101" s="1068">
        <f t="shared" si="286"/>
        <v>34191.416666666664</v>
      </c>
      <c r="BU101" s="1068">
        <f t="shared" si="286"/>
        <v>34191.416666666664</v>
      </c>
      <c r="BV101" s="1068">
        <f t="shared" si="286"/>
        <v>34191.416666666664</v>
      </c>
      <c r="BW101" s="1068">
        <f t="shared" si="286"/>
        <v>34191.416666666664</v>
      </c>
      <c r="BX101" s="1068">
        <f t="shared" si="286"/>
        <v>34191.416666666664</v>
      </c>
      <c r="BY101" s="1069">
        <f t="shared" si="215"/>
        <v>410297.00000000006</v>
      </c>
      <c r="BZ101" s="1074">
        <f t="shared" si="266"/>
        <v>19489.107499999998</v>
      </c>
      <c r="CA101" s="1071">
        <f t="shared" si="266"/>
        <v>19489.107499999998</v>
      </c>
      <c r="CB101" s="1071">
        <f t="shared" si="266"/>
        <v>19489.107499999998</v>
      </c>
      <c r="CC101" s="1071">
        <f t="shared" si="266"/>
        <v>19489.107499999998</v>
      </c>
      <c r="CD101" s="1071">
        <f t="shared" si="266"/>
        <v>19489.107499999998</v>
      </c>
      <c r="CE101" s="1071">
        <f t="shared" si="266"/>
        <v>19489.107499999998</v>
      </c>
      <c r="CF101" s="1071">
        <f t="shared" si="266"/>
        <v>19489.107499999998</v>
      </c>
      <c r="CG101" s="1071">
        <f t="shared" si="266"/>
        <v>19489.107499999998</v>
      </c>
      <c r="CH101" s="1071">
        <f t="shared" si="266"/>
        <v>19489.107499999998</v>
      </c>
      <c r="CI101" s="1071">
        <f t="shared" si="266"/>
        <v>19489.107499999998</v>
      </c>
      <c r="CJ101" s="1071">
        <f t="shared" si="266"/>
        <v>19489.107499999998</v>
      </c>
      <c r="CK101" s="1071">
        <f t="shared" si="266"/>
        <v>19489.107499999998</v>
      </c>
      <c r="CL101" s="1075">
        <f t="shared" si="267"/>
        <v>233869.28999999992</v>
      </c>
      <c r="CM101" s="1073">
        <f>354920/12</f>
        <v>29576.666666666668</v>
      </c>
      <c r="CN101" s="1068">
        <f t="shared" si="282"/>
        <v>29576.666666666668</v>
      </c>
      <c r="CO101" s="1068">
        <f t="shared" si="282"/>
        <v>29576.666666666668</v>
      </c>
      <c r="CP101" s="1068">
        <f t="shared" si="282"/>
        <v>29576.666666666668</v>
      </c>
      <c r="CQ101" s="1068">
        <f t="shared" si="282"/>
        <v>29576.666666666668</v>
      </c>
      <c r="CR101" s="1068">
        <f t="shared" si="282"/>
        <v>29576.666666666668</v>
      </c>
      <c r="CS101" s="1068">
        <f t="shared" si="282"/>
        <v>29576.666666666668</v>
      </c>
      <c r="CT101" s="1068">
        <f t="shared" si="282"/>
        <v>29576.666666666668</v>
      </c>
      <c r="CU101" s="1068">
        <f t="shared" si="282"/>
        <v>29576.666666666668</v>
      </c>
      <c r="CV101" s="1068">
        <f t="shared" si="282"/>
        <v>29576.666666666668</v>
      </c>
      <c r="CW101" s="1068">
        <f t="shared" si="282"/>
        <v>29576.666666666668</v>
      </c>
      <c r="CX101" s="1068">
        <f t="shared" si="282"/>
        <v>29576.666666666668</v>
      </c>
      <c r="CY101" s="1069">
        <f t="shared" si="216"/>
        <v>354920.00000000006</v>
      </c>
      <c r="CZ101" s="1070">
        <f t="shared" si="269"/>
        <v>16858.7</v>
      </c>
      <c r="DA101" s="1071">
        <f t="shared" si="269"/>
        <v>16858.7</v>
      </c>
      <c r="DB101" s="1071">
        <f t="shared" si="269"/>
        <v>16858.7</v>
      </c>
      <c r="DC101" s="1071">
        <f t="shared" si="269"/>
        <v>16858.7</v>
      </c>
      <c r="DD101" s="1071">
        <f t="shared" si="269"/>
        <v>16858.7</v>
      </c>
      <c r="DE101" s="1071">
        <f t="shared" si="269"/>
        <v>16858.7</v>
      </c>
      <c r="DF101" s="1071">
        <f t="shared" si="269"/>
        <v>16858.7</v>
      </c>
      <c r="DG101" s="1071">
        <f t="shared" si="269"/>
        <v>16858.7</v>
      </c>
      <c r="DH101" s="1071">
        <f t="shared" si="269"/>
        <v>16858.7</v>
      </c>
      <c r="DI101" s="1071">
        <f t="shared" si="269"/>
        <v>16858.7</v>
      </c>
      <c r="DJ101" s="1071">
        <f t="shared" si="269"/>
        <v>16858.7</v>
      </c>
      <c r="DK101" s="1071">
        <f t="shared" si="269"/>
        <v>16858.7</v>
      </c>
      <c r="DL101" s="1072">
        <f t="shared" si="270"/>
        <v>202304.40000000005</v>
      </c>
      <c r="DM101" s="1067">
        <f>224924/12</f>
        <v>18743.666666666668</v>
      </c>
      <c r="DN101" s="1068">
        <f t="shared" si="283"/>
        <v>18743.666666666668</v>
      </c>
      <c r="DO101" s="1068">
        <f t="shared" si="283"/>
        <v>18743.666666666668</v>
      </c>
      <c r="DP101" s="1068">
        <f t="shared" si="283"/>
        <v>18743.666666666668</v>
      </c>
      <c r="DQ101" s="1068">
        <f t="shared" si="283"/>
        <v>18743.666666666668</v>
      </c>
      <c r="DR101" s="1068">
        <f t="shared" si="283"/>
        <v>18743.666666666668</v>
      </c>
      <c r="DS101" s="1068">
        <f t="shared" si="283"/>
        <v>18743.666666666668</v>
      </c>
      <c r="DT101" s="1068">
        <f t="shared" si="283"/>
        <v>18743.666666666668</v>
      </c>
      <c r="DU101" s="1068">
        <f t="shared" si="283"/>
        <v>18743.666666666668</v>
      </c>
      <c r="DV101" s="1068">
        <f t="shared" si="283"/>
        <v>18743.666666666668</v>
      </c>
      <c r="DW101" s="1068">
        <f t="shared" si="283"/>
        <v>18743.666666666668</v>
      </c>
      <c r="DX101" s="1068">
        <f t="shared" si="283"/>
        <v>18743.666666666668</v>
      </c>
      <c r="DY101" s="1069">
        <f t="shared" si="217"/>
        <v>224923.99999999997</v>
      </c>
      <c r="DZ101" s="1071">
        <f t="shared" si="272"/>
        <v>10683.89</v>
      </c>
      <c r="EA101" s="1071">
        <f t="shared" si="272"/>
        <v>10683.89</v>
      </c>
      <c r="EB101" s="1071">
        <f t="shared" si="272"/>
        <v>10683.89</v>
      </c>
      <c r="EC101" s="1071">
        <f t="shared" si="272"/>
        <v>10683.89</v>
      </c>
      <c r="ED101" s="1071">
        <f t="shared" si="272"/>
        <v>10683.89</v>
      </c>
      <c r="EE101" s="1071">
        <f t="shared" si="272"/>
        <v>10683.89</v>
      </c>
      <c r="EF101" s="1071">
        <f t="shared" si="272"/>
        <v>10683.89</v>
      </c>
      <c r="EG101" s="1071">
        <f t="shared" si="272"/>
        <v>10683.89</v>
      </c>
      <c r="EH101" s="1071">
        <f t="shared" si="272"/>
        <v>10683.89</v>
      </c>
      <c r="EI101" s="1071">
        <f t="shared" si="272"/>
        <v>10683.89</v>
      </c>
      <c r="EJ101" s="1071">
        <f t="shared" si="272"/>
        <v>10683.89</v>
      </c>
      <c r="EK101" s="1071">
        <f t="shared" si="272"/>
        <v>10683.89</v>
      </c>
      <c r="EL101" s="1072">
        <f t="shared" si="273"/>
        <v>128206.68</v>
      </c>
    </row>
    <row r="102" spans="1:142" s="1076" customFormat="1">
      <c r="A102" s="964" t="s">
        <v>718</v>
      </c>
      <c r="B102" s="1059" t="s">
        <v>287</v>
      </c>
      <c r="C102" s="1060" t="s">
        <v>722</v>
      </c>
      <c r="D102" s="1084">
        <v>0.57999999999999996</v>
      </c>
      <c r="E102" s="1078">
        <f>D102</f>
        <v>0.57999999999999996</v>
      </c>
      <c r="F102" s="1079">
        <f t="shared" si="261"/>
        <v>0.57999999999999996</v>
      </c>
      <c r="G102" s="1080">
        <f t="shared" si="261"/>
        <v>0.57999999999999996</v>
      </c>
      <c r="H102" s="1084">
        <f t="shared" si="261"/>
        <v>0.57999999999999996</v>
      </c>
      <c r="I102" s="1078">
        <f t="shared" si="261"/>
        <v>0.57999999999999996</v>
      </c>
      <c r="J102" s="1078">
        <f t="shared" si="261"/>
        <v>0.57999999999999996</v>
      </c>
      <c r="K102" s="1085">
        <f t="shared" si="261"/>
        <v>0.57999999999999996</v>
      </c>
      <c r="L102" s="1066"/>
      <c r="M102" s="1067">
        <v>13000</v>
      </c>
      <c r="N102" s="1068">
        <v>21000</v>
      </c>
      <c r="O102" s="1068">
        <v>30000</v>
      </c>
      <c r="P102" s="1068">
        <v>29000</v>
      </c>
      <c r="Q102" s="1068">
        <v>9800</v>
      </c>
      <c r="R102" s="1068">
        <v>0</v>
      </c>
      <c r="S102" s="1068">
        <v>800</v>
      </c>
      <c r="T102" s="1068">
        <v>10000</v>
      </c>
      <c r="U102" s="1068">
        <v>13000</v>
      </c>
      <c r="V102" s="1068">
        <v>12000</v>
      </c>
      <c r="W102" s="1068">
        <v>9000</v>
      </c>
      <c r="X102" s="1068">
        <v>17000</v>
      </c>
      <c r="Y102" s="1069">
        <f t="shared" si="262"/>
        <v>164600</v>
      </c>
      <c r="Z102" s="1070">
        <v>7539.9999999999991</v>
      </c>
      <c r="AA102" s="1071">
        <v>12180</v>
      </c>
      <c r="AB102" s="1071">
        <v>17400</v>
      </c>
      <c r="AC102" s="1071">
        <f t="shared" si="284"/>
        <v>16820</v>
      </c>
      <c r="AD102" s="1071">
        <f>Q102*$E102+299.1</f>
        <v>5983.1</v>
      </c>
      <c r="AE102" s="1071">
        <f t="shared" si="285"/>
        <v>0</v>
      </c>
      <c r="AF102" s="1071">
        <f t="shared" si="275"/>
        <v>463.99999999999994</v>
      </c>
      <c r="AG102" s="1071">
        <f t="shared" si="276"/>
        <v>5800</v>
      </c>
      <c r="AH102" s="1071">
        <f t="shared" si="277"/>
        <v>7539.9999999999991</v>
      </c>
      <c r="AI102" s="1071">
        <f t="shared" si="278"/>
        <v>6959.9999999999991</v>
      </c>
      <c r="AJ102" s="1071">
        <f t="shared" si="279"/>
        <v>5220</v>
      </c>
      <c r="AK102" s="1071">
        <f t="shared" si="280"/>
        <v>9860</v>
      </c>
      <c r="AL102" s="1072">
        <f t="shared" si="263"/>
        <v>95767.1</v>
      </c>
      <c r="AM102" s="1067">
        <v>12000</v>
      </c>
      <c r="AN102" s="1068">
        <v>16000</v>
      </c>
      <c r="AO102" s="1068">
        <v>18000</v>
      </c>
      <c r="AP102" s="1068">
        <v>9000</v>
      </c>
      <c r="AQ102" s="1068">
        <v>16000</v>
      </c>
      <c r="AR102" s="1068">
        <v>24000</v>
      </c>
      <c r="AS102" s="1068">
        <v>17000</v>
      </c>
      <c r="AT102" s="1068">
        <v>20000</v>
      </c>
      <c r="AU102" s="1068">
        <v>17000</v>
      </c>
      <c r="AV102" s="1068">
        <v>18000</v>
      </c>
      <c r="AW102" s="1068">
        <v>13000</v>
      </c>
      <c r="AX102" s="1068">
        <v>0</v>
      </c>
      <c r="AY102" s="1069">
        <f t="shared" si="213"/>
        <v>180000</v>
      </c>
      <c r="AZ102" s="1070">
        <f t="shared" si="264"/>
        <v>6959.9999999999991</v>
      </c>
      <c r="BA102" s="1071">
        <f t="shared" si="264"/>
        <v>9280</v>
      </c>
      <c r="BB102" s="1071">
        <f t="shared" si="264"/>
        <v>10440</v>
      </c>
      <c r="BC102" s="1071">
        <f t="shared" si="264"/>
        <v>5220</v>
      </c>
      <c r="BD102" s="1071">
        <f t="shared" si="264"/>
        <v>9280</v>
      </c>
      <c r="BE102" s="1071">
        <f t="shared" si="264"/>
        <v>13919.999999999998</v>
      </c>
      <c r="BF102" s="1071">
        <f t="shared" si="264"/>
        <v>9860</v>
      </c>
      <c r="BG102" s="1071">
        <f t="shared" si="264"/>
        <v>11600</v>
      </c>
      <c r="BH102" s="1071">
        <f t="shared" si="264"/>
        <v>9860</v>
      </c>
      <c r="BI102" s="1071">
        <f t="shared" si="264"/>
        <v>10440</v>
      </c>
      <c r="BJ102" s="1071">
        <f t="shared" si="264"/>
        <v>7539.9999999999991</v>
      </c>
      <c r="BK102" s="1071">
        <f t="shared" si="264"/>
        <v>0</v>
      </c>
      <c r="BL102" s="1072">
        <f t="shared" si="265"/>
        <v>104400</v>
      </c>
      <c r="BM102" s="1073">
        <v>13000</v>
      </c>
      <c r="BN102" s="1068">
        <v>21000</v>
      </c>
      <c r="BO102" s="1068">
        <v>16000</v>
      </c>
      <c r="BP102" s="1068">
        <v>20000</v>
      </c>
      <c r="BQ102" s="1068">
        <v>20000</v>
      </c>
      <c r="BR102" s="1068">
        <v>20000</v>
      </c>
      <c r="BS102" s="1068">
        <v>20000</v>
      </c>
      <c r="BT102" s="1068">
        <v>20000</v>
      </c>
      <c r="BU102" s="1068">
        <v>20000</v>
      </c>
      <c r="BV102" s="1068">
        <v>20000</v>
      </c>
      <c r="BW102" s="1068">
        <v>20000</v>
      </c>
      <c r="BX102" s="1068">
        <v>20000</v>
      </c>
      <c r="BY102" s="1069">
        <f t="shared" si="215"/>
        <v>230000</v>
      </c>
      <c r="BZ102" s="1074">
        <f t="shared" si="266"/>
        <v>7539.9999999999991</v>
      </c>
      <c r="CA102" s="1071">
        <f t="shared" si="266"/>
        <v>12180</v>
      </c>
      <c r="CB102" s="1071">
        <f t="shared" si="266"/>
        <v>9280</v>
      </c>
      <c r="CC102" s="1071">
        <f t="shared" si="266"/>
        <v>11600</v>
      </c>
      <c r="CD102" s="1071">
        <f t="shared" si="266"/>
        <v>11600</v>
      </c>
      <c r="CE102" s="1071">
        <f t="shared" si="266"/>
        <v>11600</v>
      </c>
      <c r="CF102" s="1071">
        <f t="shared" si="266"/>
        <v>11600</v>
      </c>
      <c r="CG102" s="1071">
        <f t="shared" si="266"/>
        <v>11600</v>
      </c>
      <c r="CH102" s="1071">
        <f t="shared" si="266"/>
        <v>11600</v>
      </c>
      <c r="CI102" s="1071">
        <f t="shared" si="266"/>
        <v>11600</v>
      </c>
      <c r="CJ102" s="1071">
        <f t="shared" si="266"/>
        <v>11600</v>
      </c>
      <c r="CK102" s="1071">
        <f t="shared" si="266"/>
        <v>11600</v>
      </c>
      <c r="CL102" s="1075">
        <f t="shared" si="267"/>
        <v>133400</v>
      </c>
      <c r="CM102" s="1073"/>
      <c r="CN102" s="1068"/>
      <c r="CO102" s="1068"/>
      <c r="CP102" s="1068"/>
      <c r="CQ102" s="1068"/>
      <c r="CR102" s="1068"/>
      <c r="CS102" s="1068"/>
      <c r="CT102" s="1068"/>
      <c r="CU102" s="1068"/>
      <c r="CV102" s="1068"/>
      <c r="CW102" s="1068"/>
      <c r="CX102" s="1068"/>
      <c r="CY102" s="1069">
        <f t="shared" si="216"/>
        <v>0</v>
      </c>
      <c r="CZ102" s="1070">
        <f t="shared" si="269"/>
        <v>0</v>
      </c>
      <c r="DA102" s="1071">
        <f t="shared" si="269"/>
        <v>0</v>
      </c>
      <c r="DB102" s="1071">
        <f t="shared" si="269"/>
        <v>0</v>
      </c>
      <c r="DC102" s="1071">
        <f t="shared" si="269"/>
        <v>0</v>
      </c>
      <c r="DD102" s="1071">
        <f t="shared" si="269"/>
        <v>0</v>
      </c>
      <c r="DE102" s="1071">
        <f t="shared" si="269"/>
        <v>0</v>
      </c>
      <c r="DF102" s="1071">
        <f t="shared" si="269"/>
        <v>0</v>
      </c>
      <c r="DG102" s="1071">
        <f t="shared" si="269"/>
        <v>0</v>
      </c>
      <c r="DH102" s="1071">
        <f t="shared" si="269"/>
        <v>0</v>
      </c>
      <c r="DI102" s="1071">
        <f t="shared" si="269"/>
        <v>0</v>
      </c>
      <c r="DJ102" s="1071">
        <f t="shared" si="269"/>
        <v>0</v>
      </c>
      <c r="DK102" s="1071">
        <f t="shared" si="269"/>
        <v>0</v>
      </c>
      <c r="DL102" s="1072">
        <f t="shared" si="270"/>
        <v>0</v>
      </c>
      <c r="DM102" s="1067"/>
      <c r="DN102" s="1068"/>
      <c r="DO102" s="1068"/>
      <c r="DP102" s="1068"/>
      <c r="DQ102" s="1068"/>
      <c r="DR102" s="1068"/>
      <c r="DS102" s="1068"/>
      <c r="DT102" s="1068"/>
      <c r="DU102" s="1068"/>
      <c r="DV102" s="1068"/>
      <c r="DW102" s="1068"/>
      <c r="DX102" s="1068"/>
      <c r="DY102" s="1069">
        <f t="shared" si="217"/>
        <v>0</v>
      </c>
      <c r="DZ102" s="1071">
        <f t="shared" si="272"/>
        <v>0</v>
      </c>
      <c r="EA102" s="1071">
        <f t="shared" si="272"/>
        <v>0</v>
      </c>
      <c r="EB102" s="1071">
        <f t="shared" si="272"/>
        <v>0</v>
      </c>
      <c r="EC102" s="1071">
        <f t="shared" si="272"/>
        <v>0</v>
      </c>
      <c r="ED102" s="1071">
        <f t="shared" si="272"/>
        <v>0</v>
      </c>
      <c r="EE102" s="1071">
        <f t="shared" si="272"/>
        <v>0</v>
      </c>
      <c r="EF102" s="1071">
        <f t="shared" si="272"/>
        <v>0</v>
      </c>
      <c r="EG102" s="1071">
        <f t="shared" si="272"/>
        <v>0</v>
      </c>
      <c r="EH102" s="1071">
        <f t="shared" si="272"/>
        <v>0</v>
      </c>
      <c r="EI102" s="1071">
        <f t="shared" si="272"/>
        <v>0</v>
      </c>
      <c r="EJ102" s="1071">
        <f t="shared" si="272"/>
        <v>0</v>
      </c>
      <c r="EK102" s="1071">
        <f t="shared" si="272"/>
        <v>0</v>
      </c>
      <c r="EL102" s="1072">
        <f t="shared" si="273"/>
        <v>0</v>
      </c>
    </row>
    <row r="103" spans="1:142" s="1076" customFormat="1">
      <c r="A103" s="964" t="s">
        <v>718</v>
      </c>
      <c r="B103" s="1059" t="s">
        <v>723</v>
      </c>
      <c r="C103" s="1060" t="s">
        <v>232</v>
      </c>
      <c r="D103" s="1084">
        <v>1.34</v>
      </c>
      <c r="E103" s="1078">
        <v>1.35</v>
      </c>
      <c r="F103" s="1079">
        <v>1.37</v>
      </c>
      <c r="G103" s="1080">
        <f t="shared" si="261"/>
        <v>1.37</v>
      </c>
      <c r="H103" s="1084">
        <f t="shared" si="261"/>
        <v>1.37</v>
      </c>
      <c r="I103" s="1078">
        <f t="shared" si="261"/>
        <v>1.37</v>
      </c>
      <c r="J103" s="1078">
        <f t="shared" si="261"/>
        <v>1.37</v>
      </c>
      <c r="K103" s="1085">
        <f t="shared" si="261"/>
        <v>1.37</v>
      </c>
      <c r="L103" s="1066"/>
      <c r="M103" s="1067"/>
      <c r="N103" s="1068">
        <v>3000</v>
      </c>
      <c r="O103" s="1068">
        <v>1000</v>
      </c>
      <c r="P103" s="1068">
        <v>5000</v>
      </c>
      <c r="Q103" s="1068">
        <v>1000</v>
      </c>
      <c r="R103" s="1068">
        <v>0</v>
      </c>
      <c r="S103" s="1068">
        <v>0</v>
      </c>
      <c r="T103" s="1068">
        <v>0</v>
      </c>
      <c r="U103" s="1068">
        <v>4000</v>
      </c>
      <c r="V103" s="1068">
        <v>4000</v>
      </c>
      <c r="W103" s="1068">
        <v>3000</v>
      </c>
      <c r="X103" s="1068">
        <v>7000</v>
      </c>
      <c r="Y103" s="1069">
        <f t="shared" si="262"/>
        <v>28000</v>
      </c>
      <c r="Z103" s="1070">
        <v>0</v>
      </c>
      <c r="AA103" s="1071">
        <v>4020.0000000000005</v>
      </c>
      <c r="AB103" s="1071">
        <v>1340</v>
      </c>
      <c r="AC103" s="1071">
        <f t="shared" si="284"/>
        <v>6750</v>
      </c>
      <c r="AD103" s="1071">
        <f t="shared" si="274"/>
        <v>1350</v>
      </c>
      <c r="AE103" s="1071">
        <f t="shared" si="285"/>
        <v>0</v>
      </c>
      <c r="AF103" s="1071">
        <f t="shared" si="275"/>
        <v>0</v>
      </c>
      <c r="AG103" s="1071">
        <f t="shared" si="276"/>
        <v>0</v>
      </c>
      <c r="AH103" s="1071">
        <f t="shared" si="277"/>
        <v>5480</v>
      </c>
      <c r="AI103" s="1071">
        <f t="shared" si="278"/>
        <v>5480</v>
      </c>
      <c r="AJ103" s="1071">
        <f t="shared" si="279"/>
        <v>4110</v>
      </c>
      <c r="AK103" s="1071">
        <f t="shared" si="280"/>
        <v>9590</v>
      </c>
      <c r="AL103" s="1072">
        <f t="shared" si="263"/>
        <v>38120</v>
      </c>
      <c r="AM103" s="1067">
        <v>6000</v>
      </c>
      <c r="AN103" s="1068">
        <v>5000</v>
      </c>
      <c r="AO103" s="1068">
        <v>5000</v>
      </c>
      <c r="AP103" s="1068">
        <v>6000</v>
      </c>
      <c r="AQ103" s="1068">
        <v>4000</v>
      </c>
      <c r="AR103" s="1068">
        <v>6000</v>
      </c>
      <c r="AS103" s="1068">
        <v>4000</v>
      </c>
      <c r="AT103" s="1068">
        <v>5000</v>
      </c>
      <c r="AU103" s="1068">
        <v>6000</v>
      </c>
      <c r="AV103" s="1068">
        <v>4000</v>
      </c>
      <c r="AW103" s="1068">
        <v>4000</v>
      </c>
      <c r="AX103" s="1068">
        <v>0</v>
      </c>
      <c r="AY103" s="1069">
        <f t="shared" si="213"/>
        <v>55000</v>
      </c>
      <c r="AZ103" s="1070">
        <f t="shared" si="264"/>
        <v>8220</v>
      </c>
      <c r="BA103" s="1071">
        <f t="shared" si="264"/>
        <v>6850.0000000000009</v>
      </c>
      <c r="BB103" s="1071">
        <f t="shared" si="264"/>
        <v>6850.0000000000009</v>
      </c>
      <c r="BC103" s="1071">
        <f t="shared" si="264"/>
        <v>8220</v>
      </c>
      <c r="BD103" s="1071">
        <f t="shared" si="264"/>
        <v>5480</v>
      </c>
      <c r="BE103" s="1071">
        <f t="shared" si="264"/>
        <v>8220</v>
      </c>
      <c r="BF103" s="1071">
        <f t="shared" si="264"/>
        <v>5480</v>
      </c>
      <c r="BG103" s="1071">
        <f t="shared" si="264"/>
        <v>6850.0000000000009</v>
      </c>
      <c r="BH103" s="1071">
        <f t="shared" si="264"/>
        <v>8220</v>
      </c>
      <c r="BI103" s="1071">
        <f t="shared" si="264"/>
        <v>5480</v>
      </c>
      <c r="BJ103" s="1071">
        <f t="shared" si="264"/>
        <v>5480</v>
      </c>
      <c r="BK103" s="1071">
        <f t="shared" si="264"/>
        <v>0</v>
      </c>
      <c r="BL103" s="1072">
        <f t="shared" si="265"/>
        <v>75350</v>
      </c>
      <c r="BM103" s="1073">
        <f>1527806/12</f>
        <v>127317.16666666667</v>
      </c>
      <c r="BN103" s="1068">
        <f t="shared" ref="BN103:BX104" si="287">1527806/12</f>
        <v>127317.16666666667</v>
      </c>
      <c r="BO103" s="1068">
        <f t="shared" si="287"/>
        <v>127317.16666666667</v>
      </c>
      <c r="BP103" s="1068">
        <f t="shared" si="287"/>
        <v>127317.16666666667</v>
      </c>
      <c r="BQ103" s="1068">
        <f t="shared" si="287"/>
        <v>127317.16666666667</v>
      </c>
      <c r="BR103" s="1068">
        <f t="shared" si="287"/>
        <v>127317.16666666667</v>
      </c>
      <c r="BS103" s="1068">
        <f t="shared" si="287"/>
        <v>127317.16666666667</v>
      </c>
      <c r="BT103" s="1068">
        <f t="shared" si="287"/>
        <v>127317.16666666667</v>
      </c>
      <c r="BU103" s="1068">
        <f t="shared" si="287"/>
        <v>127317.16666666667</v>
      </c>
      <c r="BV103" s="1068">
        <f t="shared" si="287"/>
        <v>127317.16666666667</v>
      </c>
      <c r="BW103" s="1068">
        <f t="shared" si="287"/>
        <v>127317.16666666667</v>
      </c>
      <c r="BX103" s="1068">
        <f t="shared" si="287"/>
        <v>127317.16666666667</v>
      </c>
      <c r="BY103" s="1069">
        <f t="shared" si="215"/>
        <v>1527806.0000000002</v>
      </c>
      <c r="BZ103" s="1074">
        <f t="shared" si="266"/>
        <v>174424.51833333334</v>
      </c>
      <c r="CA103" s="1071">
        <f t="shared" si="266"/>
        <v>174424.51833333334</v>
      </c>
      <c r="CB103" s="1071">
        <f t="shared" si="266"/>
        <v>174424.51833333334</v>
      </c>
      <c r="CC103" s="1071">
        <f t="shared" si="266"/>
        <v>174424.51833333334</v>
      </c>
      <c r="CD103" s="1071">
        <f t="shared" si="266"/>
        <v>174424.51833333334</v>
      </c>
      <c r="CE103" s="1071">
        <f t="shared" si="266"/>
        <v>174424.51833333334</v>
      </c>
      <c r="CF103" s="1071">
        <f t="shared" si="266"/>
        <v>174424.51833333334</v>
      </c>
      <c r="CG103" s="1071">
        <f t="shared" si="266"/>
        <v>174424.51833333334</v>
      </c>
      <c r="CH103" s="1071">
        <f t="shared" si="266"/>
        <v>174424.51833333334</v>
      </c>
      <c r="CI103" s="1071">
        <f t="shared" si="266"/>
        <v>174424.51833333334</v>
      </c>
      <c r="CJ103" s="1071">
        <f t="shared" si="266"/>
        <v>174424.51833333334</v>
      </c>
      <c r="CK103" s="1071">
        <f t="shared" si="266"/>
        <v>174424.51833333334</v>
      </c>
      <c r="CL103" s="1075">
        <f t="shared" si="267"/>
        <v>2093094.22</v>
      </c>
      <c r="CM103" s="1073"/>
      <c r="CN103" s="1068"/>
      <c r="CO103" s="1068"/>
      <c r="CP103" s="1068"/>
      <c r="CQ103" s="1068"/>
      <c r="CR103" s="1068"/>
      <c r="CS103" s="1068"/>
      <c r="CT103" s="1068"/>
      <c r="CU103" s="1068"/>
      <c r="CV103" s="1068"/>
      <c r="CW103" s="1068"/>
      <c r="CX103" s="1068"/>
      <c r="CY103" s="1069">
        <f t="shared" si="216"/>
        <v>0</v>
      </c>
      <c r="CZ103" s="1070">
        <f t="shared" si="269"/>
        <v>0</v>
      </c>
      <c r="DA103" s="1071">
        <f t="shared" si="269"/>
        <v>0</v>
      </c>
      <c r="DB103" s="1071">
        <f t="shared" si="269"/>
        <v>0</v>
      </c>
      <c r="DC103" s="1071">
        <f t="shared" si="269"/>
        <v>0</v>
      </c>
      <c r="DD103" s="1071">
        <f t="shared" si="269"/>
        <v>0</v>
      </c>
      <c r="DE103" s="1071">
        <f t="shared" si="269"/>
        <v>0</v>
      </c>
      <c r="DF103" s="1071">
        <f t="shared" si="269"/>
        <v>0</v>
      </c>
      <c r="DG103" s="1071">
        <f t="shared" si="269"/>
        <v>0</v>
      </c>
      <c r="DH103" s="1071">
        <f t="shared" si="269"/>
        <v>0</v>
      </c>
      <c r="DI103" s="1071">
        <f t="shared" si="269"/>
        <v>0</v>
      </c>
      <c r="DJ103" s="1071">
        <f t="shared" si="269"/>
        <v>0</v>
      </c>
      <c r="DK103" s="1071">
        <f t="shared" si="269"/>
        <v>0</v>
      </c>
      <c r="DL103" s="1072">
        <f t="shared" si="270"/>
        <v>0</v>
      </c>
      <c r="DM103" s="1067"/>
      <c r="DN103" s="1068"/>
      <c r="DO103" s="1068"/>
      <c r="DP103" s="1068"/>
      <c r="DQ103" s="1068"/>
      <c r="DR103" s="1068"/>
      <c r="DS103" s="1068"/>
      <c r="DT103" s="1068"/>
      <c r="DU103" s="1068"/>
      <c r="DV103" s="1068"/>
      <c r="DW103" s="1068"/>
      <c r="DX103" s="1068"/>
      <c r="DY103" s="1069">
        <f t="shared" si="217"/>
        <v>0</v>
      </c>
      <c r="DZ103" s="1071">
        <f t="shared" si="272"/>
        <v>0</v>
      </c>
      <c r="EA103" s="1071">
        <f t="shared" si="272"/>
        <v>0</v>
      </c>
      <c r="EB103" s="1071">
        <f t="shared" si="272"/>
        <v>0</v>
      </c>
      <c r="EC103" s="1071">
        <f t="shared" si="272"/>
        <v>0</v>
      </c>
      <c r="ED103" s="1071">
        <f t="shared" si="272"/>
        <v>0</v>
      </c>
      <c r="EE103" s="1071">
        <f t="shared" si="272"/>
        <v>0</v>
      </c>
      <c r="EF103" s="1071">
        <f t="shared" si="272"/>
        <v>0</v>
      </c>
      <c r="EG103" s="1071">
        <f t="shared" si="272"/>
        <v>0</v>
      </c>
      <c r="EH103" s="1071">
        <f t="shared" si="272"/>
        <v>0</v>
      </c>
      <c r="EI103" s="1071">
        <f t="shared" si="272"/>
        <v>0</v>
      </c>
      <c r="EJ103" s="1071">
        <f t="shared" si="272"/>
        <v>0</v>
      </c>
      <c r="EK103" s="1071">
        <f t="shared" si="272"/>
        <v>0</v>
      </c>
      <c r="EL103" s="1072">
        <f t="shared" si="273"/>
        <v>0</v>
      </c>
    </row>
    <row r="104" spans="1:142" s="1076" customFormat="1">
      <c r="A104" s="964" t="s">
        <v>718</v>
      </c>
      <c r="B104" s="1059" t="s">
        <v>266</v>
      </c>
      <c r="C104" s="1060" t="s">
        <v>233</v>
      </c>
      <c r="D104" s="1084">
        <v>1.21</v>
      </c>
      <c r="E104" s="1078">
        <v>1.21</v>
      </c>
      <c r="F104" s="1079">
        <v>1.23</v>
      </c>
      <c r="G104" s="1080">
        <f t="shared" si="261"/>
        <v>1.23</v>
      </c>
      <c r="H104" s="1084">
        <f t="shared" si="261"/>
        <v>1.23</v>
      </c>
      <c r="I104" s="1078">
        <f t="shared" si="261"/>
        <v>1.23</v>
      </c>
      <c r="J104" s="1078">
        <f t="shared" si="261"/>
        <v>1.23</v>
      </c>
      <c r="K104" s="1085">
        <f t="shared" si="261"/>
        <v>1.23</v>
      </c>
      <c r="L104" s="1066"/>
      <c r="M104" s="1067"/>
      <c r="N104" s="1068">
        <v>3400</v>
      </c>
      <c r="O104" s="1068">
        <v>1000</v>
      </c>
      <c r="P104" s="1068">
        <v>5000</v>
      </c>
      <c r="Q104" s="1068">
        <v>1000</v>
      </c>
      <c r="R104" s="1068">
        <v>0</v>
      </c>
      <c r="S104" s="1068">
        <v>0</v>
      </c>
      <c r="T104" s="1068">
        <v>0</v>
      </c>
      <c r="U104" s="1068">
        <v>4000</v>
      </c>
      <c r="V104" s="1068">
        <v>4000</v>
      </c>
      <c r="W104" s="1068">
        <v>3000</v>
      </c>
      <c r="X104" s="1068">
        <v>7000</v>
      </c>
      <c r="Y104" s="1069">
        <f t="shared" si="262"/>
        <v>28400</v>
      </c>
      <c r="Z104" s="1070">
        <v>0</v>
      </c>
      <c r="AA104" s="1071">
        <v>4114</v>
      </c>
      <c r="AB104" s="1071">
        <v>1210</v>
      </c>
      <c r="AC104" s="1071">
        <f t="shared" si="284"/>
        <v>6050</v>
      </c>
      <c r="AD104" s="1071">
        <f t="shared" si="274"/>
        <v>1210</v>
      </c>
      <c r="AE104" s="1071">
        <f t="shared" si="285"/>
        <v>0</v>
      </c>
      <c r="AF104" s="1071">
        <f t="shared" si="275"/>
        <v>0</v>
      </c>
      <c r="AG104" s="1071">
        <f t="shared" si="276"/>
        <v>0</v>
      </c>
      <c r="AH104" s="1071">
        <f t="shared" si="277"/>
        <v>4920</v>
      </c>
      <c r="AI104" s="1071">
        <f t="shared" si="278"/>
        <v>4920</v>
      </c>
      <c r="AJ104" s="1071">
        <f t="shared" si="279"/>
        <v>3690</v>
      </c>
      <c r="AK104" s="1071">
        <f t="shared" si="280"/>
        <v>8610</v>
      </c>
      <c r="AL104" s="1072">
        <f t="shared" si="263"/>
        <v>34724</v>
      </c>
      <c r="AM104" s="1067">
        <v>6000</v>
      </c>
      <c r="AN104" s="1068">
        <v>5000</v>
      </c>
      <c r="AO104" s="1068">
        <v>5000</v>
      </c>
      <c r="AP104" s="1068">
        <v>6000</v>
      </c>
      <c r="AQ104" s="1068">
        <v>4000</v>
      </c>
      <c r="AR104" s="1068">
        <v>6000</v>
      </c>
      <c r="AS104" s="1068">
        <v>4000</v>
      </c>
      <c r="AT104" s="1068">
        <v>5000</v>
      </c>
      <c r="AU104" s="1068">
        <v>6000</v>
      </c>
      <c r="AV104" s="1068">
        <v>4000</v>
      </c>
      <c r="AW104" s="1068">
        <v>4000</v>
      </c>
      <c r="AX104" s="1068">
        <v>0</v>
      </c>
      <c r="AY104" s="1069">
        <f t="shared" si="213"/>
        <v>55000</v>
      </c>
      <c r="AZ104" s="1070">
        <f t="shared" si="264"/>
        <v>7380</v>
      </c>
      <c r="BA104" s="1071">
        <f t="shared" si="264"/>
        <v>6150</v>
      </c>
      <c r="BB104" s="1071">
        <f t="shared" si="264"/>
        <v>6150</v>
      </c>
      <c r="BC104" s="1071">
        <f t="shared" si="264"/>
        <v>7380</v>
      </c>
      <c r="BD104" s="1071">
        <f t="shared" si="264"/>
        <v>4920</v>
      </c>
      <c r="BE104" s="1071">
        <f t="shared" si="264"/>
        <v>7380</v>
      </c>
      <c r="BF104" s="1071">
        <f t="shared" si="264"/>
        <v>4920</v>
      </c>
      <c r="BG104" s="1071">
        <f t="shared" si="264"/>
        <v>6150</v>
      </c>
      <c r="BH104" s="1071">
        <f t="shared" si="264"/>
        <v>7380</v>
      </c>
      <c r="BI104" s="1071">
        <f t="shared" si="264"/>
        <v>4920</v>
      </c>
      <c r="BJ104" s="1071">
        <f t="shared" si="264"/>
        <v>4920</v>
      </c>
      <c r="BK104" s="1071">
        <f t="shared" si="264"/>
        <v>0</v>
      </c>
      <c r="BL104" s="1072">
        <f t="shared" si="265"/>
        <v>67650</v>
      </c>
      <c r="BM104" s="1073">
        <f>1527806/12</f>
        <v>127317.16666666667</v>
      </c>
      <c r="BN104" s="1068">
        <f t="shared" si="287"/>
        <v>127317.16666666667</v>
      </c>
      <c r="BO104" s="1068">
        <f t="shared" si="287"/>
        <v>127317.16666666667</v>
      </c>
      <c r="BP104" s="1068">
        <f t="shared" si="287"/>
        <v>127317.16666666667</v>
      </c>
      <c r="BQ104" s="1068">
        <f t="shared" si="287"/>
        <v>127317.16666666667</v>
      </c>
      <c r="BR104" s="1068">
        <f t="shared" si="287"/>
        <v>127317.16666666667</v>
      </c>
      <c r="BS104" s="1068">
        <f t="shared" si="287"/>
        <v>127317.16666666667</v>
      </c>
      <c r="BT104" s="1068">
        <f t="shared" si="287"/>
        <v>127317.16666666667</v>
      </c>
      <c r="BU104" s="1068">
        <f t="shared" si="287"/>
        <v>127317.16666666667</v>
      </c>
      <c r="BV104" s="1068">
        <f t="shared" si="287"/>
        <v>127317.16666666667</v>
      </c>
      <c r="BW104" s="1068">
        <f t="shared" si="287"/>
        <v>127317.16666666667</v>
      </c>
      <c r="BX104" s="1068">
        <f t="shared" si="287"/>
        <v>127317.16666666667</v>
      </c>
      <c r="BY104" s="1069">
        <f t="shared" si="215"/>
        <v>1527806.0000000002</v>
      </c>
      <c r="BZ104" s="1074">
        <f t="shared" si="266"/>
        <v>156600.11499999999</v>
      </c>
      <c r="CA104" s="1071">
        <f t="shared" si="266"/>
        <v>156600.11499999999</v>
      </c>
      <c r="CB104" s="1071">
        <f t="shared" si="266"/>
        <v>156600.11499999999</v>
      </c>
      <c r="CC104" s="1071">
        <f t="shared" si="266"/>
        <v>156600.11499999999</v>
      </c>
      <c r="CD104" s="1071">
        <f t="shared" si="266"/>
        <v>156600.11499999999</v>
      </c>
      <c r="CE104" s="1071">
        <f t="shared" si="266"/>
        <v>156600.11499999999</v>
      </c>
      <c r="CF104" s="1071">
        <f t="shared" si="266"/>
        <v>156600.11499999999</v>
      </c>
      <c r="CG104" s="1071">
        <f t="shared" si="266"/>
        <v>156600.11499999999</v>
      </c>
      <c r="CH104" s="1071">
        <f t="shared" si="266"/>
        <v>156600.11499999999</v>
      </c>
      <c r="CI104" s="1071">
        <f t="shared" si="266"/>
        <v>156600.11499999999</v>
      </c>
      <c r="CJ104" s="1071">
        <f t="shared" si="266"/>
        <v>156600.11499999999</v>
      </c>
      <c r="CK104" s="1071">
        <f t="shared" si="266"/>
        <v>156600.11499999999</v>
      </c>
      <c r="CL104" s="1075">
        <f t="shared" si="267"/>
        <v>1879201.38</v>
      </c>
      <c r="CM104" s="1073"/>
      <c r="CN104" s="1068"/>
      <c r="CO104" s="1068"/>
      <c r="CP104" s="1068"/>
      <c r="CQ104" s="1068"/>
      <c r="CR104" s="1068"/>
      <c r="CS104" s="1068"/>
      <c r="CT104" s="1068"/>
      <c r="CU104" s="1068"/>
      <c r="CV104" s="1068"/>
      <c r="CW104" s="1068"/>
      <c r="CX104" s="1068"/>
      <c r="CY104" s="1069">
        <f t="shared" si="216"/>
        <v>0</v>
      </c>
      <c r="CZ104" s="1070">
        <f t="shared" si="269"/>
        <v>0</v>
      </c>
      <c r="DA104" s="1071">
        <f t="shared" si="269"/>
        <v>0</v>
      </c>
      <c r="DB104" s="1071">
        <f t="shared" si="269"/>
        <v>0</v>
      </c>
      <c r="DC104" s="1071">
        <f t="shared" si="269"/>
        <v>0</v>
      </c>
      <c r="DD104" s="1071">
        <f t="shared" si="269"/>
        <v>0</v>
      </c>
      <c r="DE104" s="1071">
        <f t="shared" si="269"/>
        <v>0</v>
      </c>
      <c r="DF104" s="1071">
        <f t="shared" si="269"/>
        <v>0</v>
      </c>
      <c r="DG104" s="1071">
        <f t="shared" si="269"/>
        <v>0</v>
      </c>
      <c r="DH104" s="1071">
        <f t="shared" si="269"/>
        <v>0</v>
      </c>
      <c r="DI104" s="1071">
        <f t="shared" si="269"/>
        <v>0</v>
      </c>
      <c r="DJ104" s="1071">
        <f t="shared" si="269"/>
        <v>0</v>
      </c>
      <c r="DK104" s="1071">
        <f t="shared" si="269"/>
        <v>0</v>
      </c>
      <c r="DL104" s="1072">
        <f t="shared" si="270"/>
        <v>0</v>
      </c>
      <c r="DM104" s="1067"/>
      <c r="DN104" s="1068"/>
      <c r="DO104" s="1068"/>
      <c r="DP104" s="1068"/>
      <c r="DQ104" s="1068"/>
      <c r="DR104" s="1068"/>
      <c r="DS104" s="1068"/>
      <c r="DT104" s="1068"/>
      <c r="DU104" s="1068"/>
      <c r="DV104" s="1068"/>
      <c r="DW104" s="1068"/>
      <c r="DX104" s="1068"/>
      <c r="DY104" s="1069">
        <f t="shared" si="217"/>
        <v>0</v>
      </c>
      <c r="DZ104" s="1071">
        <f t="shared" si="272"/>
        <v>0</v>
      </c>
      <c r="EA104" s="1071">
        <f t="shared" si="272"/>
        <v>0</v>
      </c>
      <c r="EB104" s="1071">
        <f t="shared" si="272"/>
        <v>0</v>
      </c>
      <c r="EC104" s="1071">
        <f t="shared" si="272"/>
        <v>0</v>
      </c>
      <c r="ED104" s="1071">
        <f t="shared" si="272"/>
        <v>0</v>
      </c>
      <c r="EE104" s="1071">
        <f t="shared" si="272"/>
        <v>0</v>
      </c>
      <c r="EF104" s="1071">
        <f t="shared" si="272"/>
        <v>0</v>
      </c>
      <c r="EG104" s="1071">
        <f t="shared" si="272"/>
        <v>0</v>
      </c>
      <c r="EH104" s="1071">
        <f t="shared" si="272"/>
        <v>0</v>
      </c>
      <c r="EI104" s="1071">
        <f t="shared" si="272"/>
        <v>0</v>
      </c>
      <c r="EJ104" s="1071">
        <f t="shared" si="272"/>
        <v>0</v>
      </c>
      <c r="EK104" s="1071">
        <f t="shared" si="272"/>
        <v>0</v>
      </c>
      <c r="EL104" s="1072">
        <f t="shared" si="273"/>
        <v>0</v>
      </c>
    </row>
    <row r="105" spans="1:142" s="1076" customFormat="1">
      <c r="A105" s="964" t="s">
        <v>718</v>
      </c>
      <c r="B105" s="1059" t="s">
        <v>724</v>
      </c>
      <c r="C105" s="1060" t="s">
        <v>232</v>
      </c>
      <c r="D105" s="1084">
        <v>1.32</v>
      </c>
      <c r="E105" s="1078">
        <v>1.33</v>
      </c>
      <c r="F105" s="1079">
        <v>1.35</v>
      </c>
      <c r="G105" s="1080">
        <f t="shared" si="261"/>
        <v>1.35</v>
      </c>
      <c r="H105" s="1084">
        <f t="shared" si="261"/>
        <v>1.35</v>
      </c>
      <c r="I105" s="1078">
        <f t="shared" si="261"/>
        <v>1.35</v>
      </c>
      <c r="J105" s="1078">
        <f t="shared" si="261"/>
        <v>1.35</v>
      </c>
      <c r="K105" s="1085">
        <f t="shared" si="261"/>
        <v>1.35</v>
      </c>
      <c r="L105" s="1066"/>
      <c r="M105" s="1067">
        <v>25320</v>
      </c>
      <c r="N105" s="1068">
        <v>28260</v>
      </c>
      <c r="O105" s="1068">
        <v>46527</v>
      </c>
      <c r="P105" s="1068">
        <f>38740+24000</f>
        <v>62740</v>
      </c>
      <c r="Q105" s="1068">
        <v>65000</v>
      </c>
      <c r="R105" s="1068">
        <v>30000</v>
      </c>
      <c r="S105" s="1068">
        <v>60000</v>
      </c>
      <c r="T105" s="1068">
        <v>60000</v>
      </c>
      <c r="U105" s="1068">
        <v>30000</v>
      </c>
      <c r="V105" s="1068">
        <v>45000</v>
      </c>
      <c r="W105" s="1068">
        <v>52000</v>
      </c>
      <c r="X105" s="1068">
        <v>47000</v>
      </c>
      <c r="Y105" s="1069">
        <f t="shared" si="262"/>
        <v>551847</v>
      </c>
      <c r="Z105" s="1070">
        <v>33422.400000000001</v>
      </c>
      <c r="AA105" s="1071">
        <v>37303.200000000004</v>
      </c>
      <c r="AB105" s="1071">
        <v>61415.64</v>
      </c>
      <c r="AC105" s="1071">
        <f t="shared" si="284"/>
        <v>83444.200000000012</v>
      </c>
      <c r="AD105" s="1071">
        <f t="shared" si="274"/>
        <v>86450</v>
      </c>
      <c r="AE105" s="1071">
        <f t="shared" si="285"/>
        <v>39900</v>
      </c>
      <c r="AF105" s="1071">
        <f>S105*F105</f>
        <v>81000</v>
      </c>
      <c r="AG105" s="1071">
        <f t="shared" si="276"/>
        <v>81000</v>
      </c>
      <c r="AH105" s="1071">
        <f t="shared" si="277"/>
        <v>40500</v>
      </c>
      <c r="AI105" s="1071">
        <f t="shared" si="278"/>
        <v>60750.000000000007</v>
      </c>
      <c r="AJ105" s="1071">
        <f t="shared" si="279"/>
        <v>70200</v>
      </c>
      <c r="AK105" s="1071">
        <f t="shared" si="280"/>
        <v>63450.000000000007</v>
      </c>
      <c r="AL105" s="1072">
        <f t="shared" si="263"/>
        <v>738835.44</v>
      </c>
      <c r="AM105" s="1067">
        <v>48000</v>
      </c>
      <c r="AN105" s="1068">
        <v>60000</v>
      </c>
      <c r="AO105" s="1068">
        <v>44000</v>
      </c>
      <c r="AP105" s="1068">
        <v>60000</v>
      </c>
      <c r="AQ105" s="1068">
        <v>60000</v>
      </c>
      <c r="AR105" s="1068">
        <v>45000</v>
      </c>
      <c r="AS105" s="1068">
        <v>44000</v>
      </c>
      <c r="AT105" s="1068">
        <v>46000</v>
      </c>
      <c r="AU105" s="1068">
        <v>36000</v>
      </c>
      <c r="AV105" s="1068">
        <v>63000</v>
      </c>
      <c r="AW105" s="1068">
        <v>39000</v>
      </c>
      <c r="AX105" s="1068">
        <v>38000</v>
      </c>
      <c r="AY105" s="1069">
        <f t="shared" si="213"/>
        <v>583000</v>
      </c>
      <c r="AZ105" s="1070">
        <f t="shared" si="264"/>
        <v>64800.000000000007</v>
      </c>
      <c r="BA105" s="1071">
        <f t="shared" si="264"/>
        <v>81000</v>
      </c>
      <c r="BB105" s="1071">
        <f t="shared" si="264"/>
        <v>59400.000000000007</v>
      </c>
      <c r="BC105" s="1071">
        <f t="shared" si="264"/>
        <v>81000</v>
      </c>
      <c r="BD105" s="1071">
        <f t="shared" si="264"/>
        <v>81000</v>
      </c>
      <c r="BE105" s="1071">
        <f t="shared" si="264"/>
        <v>60750.000000000007</v>
      </c>
      <c r="BF105" s="1071">
        <f t="shared" si="264"/>
        <v>59400.000000000007</v>
      </c>
      <c r="BG105" s="1071">
        <f t="shared" si="264"/>
        <v>62100.000000000007</v>
      </c>
      <c r="BH105" s="1071">
        <f t="shared" si="264"/>
        <v>48600</v>
      </c>
      <c r="BI105" s="1071">
        <f t="shared" si="264"/>
        <v>85050</v>
      </c>
      <c r="BJ105" s="1071">
        <f t="shared" si="264"/>
        <v>52650</v>
      </c>
      <c r="BK105" s="1071">
        <f t="shared" si="264"/>
        <v>51300</v>
      </c>
      <c r="BL105" s="1072">
        <f t="shared" si="265"/>
        <v>787050</v>
      </c>
      <c r="BM105" s="1073">
        <f>600483/12</f>
        <v>50040.25</v>
      </c>
      <c r="BN105" s="1068">
        <f t="shared" ref="BN105:BX107" si="288">600483/12</f>
        <v>50040.25</v>
      </c>
      <c r="BO105" s="1068">
        <f t="shared" si="288"/>
        <v>50040.25</v>
      </c>
      <c r="BP105" s="1068">
        <f t="shared" si="288"/>
        <v>50040.25</v>
      </c>
      <c r="BQ105" s="1068">
        <f t="shared" si="288"/>
        <v>50040.25</v>
      </c>
      <c r="BR105" s="1068">
        <f t="shared" si="288"/>
        <v>50040.25</v>
      </c>
      <c r="BS105" s="1068">
        <f t="shared" si="288"/>
        <v>50040.25</v>
      </c>
      <c r="BT105" s="1068">
        <f t="shared" si="288"/>
        <v>50040.25</v>
      </c>
      <c r="BU105" s="1068">
        <f t="shared" si="288"/>
        <v>50040.25</v>
      </c>
      <c r="BV105" s="1068">
        <f t="shared" si="288"/>
        <v>50040.25</v>
      </c>
      <c r="BW105" s="1068">
        <f t="shared" si="288"/>
        <v>50040.25</v>
      </c>
      <c r="BX105" s="1068">
        <f t="shared" si="288"/>
        <v>50040.25</v>
      </c>
      <c r="BY105" s="1069">
        <f t="shared" si="215"/>
        <v>600483</v>
      </c>
      <c r="BZ105" s="1074">
        <f t="shared" si="266"/>
        <v>67554.337500000009</v>
      </c>
      <c r="CA105" s="1071">
        <f t="shared" si="266"/>
        <v>67554.337500000009</v>
      </c>
      <c r="CB105" s="1071">
        <f t="shared" si="266"/>
        <v>67554.337500000009</v>
      </c>
      <c r="CC105" s="1071">
        <f t="shared" si="266"/>
        <v>67554.337500000009</v>
      </c>
      <c r="CD105" s="1071">
        <f t="shared" si="266"/>
        <v>67554.337500000009</v>
      </c>
      <c r="CE105" s="1071">
        <f t="shared" si="266"/>
        <v>67554.337500000009</v>
      </c>
      <c r="CF105" s="1071">
        <f t="shared" si="266"/>
        <v>67554.337500000009</v>
      </c>
      <c r="CG105" s="1071">
        <f t="shared" si="266"/>
        <v>67554.337500000009</v>
      </c>
      <c r="CH105" s="1071">
        <f t="shared" si="266"/>
        <v>67554.337500000009</v>
      </c>
      <c r="CI105" s="1071">
        <f t="shared" si="266"/>
        <v>67554.337500000009</v>
      </c>
      <c r="CJ105" s="1071">
        <f t="shared" si="266"/>
        <v>67554.337500000009</v>
      </c>
      <c r="CK105" s="1071">
        <f t="shared" si="266"/>
        <v>67554.337500000009</v>
      </c>
      <c r="CL105" s="1075">
        <f t="shared" si="267"/>
        <v>810652.05000000016</v>
      </c>
      <c r="CM105" s="1073"/>
      <c r="CN105" s="1068"/>
      <c r="CO105" s="1068"/>
      <c r="CP105" s="1068"/>
      <c r="CQ105" s="1068"/>
      <c r="CR105" s="1068"/>
      <c r="CS105" s="1068"/>
      <c r="CT105" s="1068"/>
      <c r="CU105" s="1068"/>
      <c r="CV105" s="1068"/>
      <c r="CW105" s="1068"/>
      <c r="CX105" s="1068"/>
      <c r="CY105" s="1069">
        <f t="shared" si="216"/>
        <v>0</v>
      </c>
      <c r="CZ105" s="1070">
        <f t="shared" si="269"/>
        <v>0</v>
      </c>
      <c r="DA105" s="1071">
        <f t="shared" si="269"/>
        <v>0</v>
      </c>
      <c r="DB105" s="1071">
        <f t="shared" si="269"/>
        <v>0</v>
      </c>
      <c r="DC105" s="1071">
        <f t="shared" si="269"/>
        <v>0</v>
      </c>
      <c r="DD105" s="1071">
        <f t="shared" si="269"/>
        <v>0</v>
      </c>
      <c r="DE105" s="1071">
        <f t="shared" si="269"/>
        <v>0</v>
      </c>
      <c r="DF105" s="1071">
        <f t="shared" si="269"/>
        <v>0</v>
      </c>
      <c r="DG105" s="1071">
        <f t="shared" si="269"/>
        <v>0</v>
      </c>
      <c r="DH105" s="1071">
        <f t="shared" si="269"/>
        <v>0</v>
      </c>
      <c r="DI105" s="1071">
        <f t="shared" si="269"/>
        <v>0</v>
      </c>
      <c r="DJ105" s="1071">
        <f t="shared" si="269"/>
        <v>0</v>
      </c>
      <c r="DK105" s="1071">
        <f t="shared" si="269"/>
        <v>0</v>
      </c>
      <c r="DL105" s="1072">
        <f t="shared" si="270"/>
        <v>0</v>
      </c>
      <c r="DM105" s="1067"/>
      <c r="DN105" s="1068"/>
      <c r="DO105" s="1068"/>
      <c r="DP105" s="1068"/>
      <c r="DQ105" s="1068"/>
      <c r="DR105" s="1068"/>
      <c r="DS105" s="1068"/>
      <c r="DT105" s="1068"/>
      <c r="DU105" s="1068"/>
      <c r="DV105" s="1068"/>
      <c r="DW105" s="1068"/>
      <c r="DX105" s="1068"/>
      <c r="DY105" s="1069">
        <f t="shared" si="217"/>
        <v>0</v>
      </c>
      <c r="DZ105" s="1071">
        <f t="shared" si="272"/>
        <v>0</v>
      </c>
      <c r="EA105" s="1071">
        <f t="shared" si="272"/>
        <v>0</v>
      </c>
      <c r="EB105" s="1071">
        <f t="shared" si="272"/>
        <v>0</v>
      </c>
      <c r="EC105" s="1071">
        <f t="shared" si="272"/>
        <v>0</v>
      </c>
      <c r="ED105" s="1071">
        <f t="shared" si="272"/>
        <v>0</v>
      </c>
      <c r="EE105" s="1071">
        <f t="shared" si="272"/>
        <v>0</v>
      </c>
      <c r="EF105" s="1071">
        <f t="shared" si="272"/>
        <v>0</v>
      </c>
      <c r="EG105" s="1071">
        <f t="shared" si="272"/>
        <v>0</v>
      </c>
      <c r="EH105" s="1071">
        <f t="shared" si="272"/>
        <v>0</v>
      </c>
      <c r="EI105" s="1071">
        <f t="shared" si="272"/>
        <v>0</v>
      </c>
      <c r="EJ105" s="1071">
        <f t="shared" si="272"/>
        <v>0</v>
      </c>
      <c r="EK105" s="1071">
        <f t="shared" si="272"/>
        <v>0</v>
      </c>
      <c r="EL105" s="1072">
        <f t="shared" si="273"/>
        <v>0</v>
      </c>
    </row>
    <row r="106" spans="1:142" s="1076" customFormat="1">
      <c r="A106" s="964" t="s">
        <v>718</v>
      </c>
      <c r="B106" s="1059" t="s">
        <v>725</v>
      </c>
      <c r="C106" s="1060" t="s">
        <v>233</v>
      </c>
      <c r="D106" s="1084">
        <v>1.1399999999999999</v>
      </c>
      <c r="E106" s="1078">
        <v>1.1499999999999999</v>
      </c>
      <c r="F106" s="1079">
        <v>1.17</v>
      </c>
      <c r="G106" s="1080">
        <f t="shared" si="261"/>
        <v>1.17</v>
      </c>
      <c r="H106" s="1084">
        <f t="shared" si="261"/>
        <v>1.17</v>
      </c>
      <c r="I106" s="1078">
        <f t="shared" si="261"/>
        <v>1.17</v>
      </c>
      <c r="J106" s="1078">
        <f t="shared" si="261"/>
        <v>1.17</v>
      </c>
      <c r="K106" s="1085">
        <f t="shared" si="261"/>
        <v>1.17</v>
      </c>
      <c r="L106" s="1066"/>
      <c r="M106" s="1067">
        <v>27240</v>
      </c>
      <c r="N106" s="1068">
        <v>26340</v>
      </c>
      <c r="O106" s="1068">
        <v>46527</v>
      </c>
      <c r="P106" s="1068">
        <f>38740+24000</f>
        <v>62740</v>
      </c>
      <c r="Q106" s="1068">
        <v>75000</v>
      </c>
      <c r="R106" s="1068">
        <v>30000</v>
      </c>
      <c r="S106" s="1068">
        <v>60000</v>
      </c>
      <c r="T106" s="1068">
        <v>60000</v>
      </c>
      <c r="U106" s="1068">
        <v>30000</v>
      </c>
      <c r="V106" s="1068">
        <v>45000</v>
      </c>
      <c r="W106" s="1068">
        <v>52000</v>
      </c>
      <c r="X106" s="1068">
        <v>47000</v>
      </c>
      <c r="Y106" s="1069">
        <f t="shared" si="262"/>
        <v>561847</v>
      </c>
      <c r="Z106" s="1070">
        <v>31053.599999999999</v>
      </c>
      <c r="AA106" s="1071">
        <v>30027.599999999999</v>
      </c>
      <c r="AB106" s="1071">
        <v>53040.78</v>
      </c>
      <c r="AC106" s="1071">
        <f t="shared" si="284"/>
        <v>72151</v>
      </c>
      <c r="AD106" s="1071">
        <f>Q106*$E106+1684.65</f>
        <v>87934.65</v>
      </c>
      <c r="AE106" s="1071">
        <f t="shared" si="285"/>
        <v>34500</v>
      </c>
      <c r="AF106" s="1071">
        <f t="shared" si="275"/>
        <v>70200</v>
      </c>
      <c r="AG106" s="1071">
        <f t="shared" si="276"/>
        <v>70200</v>
      </c>
      <c r="AH106" s="1071">
        <f t="shared" si="277"/>
        <v>35100</v>
      </c>
      <c r="AI106" s="1071">
        <f t="shared" si="278"/>
        <v>52650</v>
      </c>
      <c r="AJ106" s="1071">
        <f t="shared" si="279"/>
        <v>60839.999999999993</v>
      </c>
      <c r="AK106" s="1071">
        <f t="shared" si="280"/>
        <v>54990</v>
      </c>
      <c r="AL106" s="1072">
        <f t="shared" si="263"/>
        <v>652687.63</v>
      </c>
      <c r="AM106" s="1067">
        <v>48000</v>
      </c>
      <c r="AN106" s="1068">
        <v>60000</v>
      </c>
      <c r="AO106" s="1068">
        <v>44000</v>
      </c>
      <c r="AP106" s="1068">
        <v>60000</v>
      </c>
      <c r="AQ106" s="1068">
        <v>60000</v>
      </c>
      <c r="AR106" s="1068">
        <v>45000</v>
      </c>
      <c r="AS106" s="1068">
        <v>44000</v>
      </c>
      <c r="AT106" s="1068">
        <v>46000</v>
      </c>
      <c r="AU106" s="1068">
        <v>36000</v>
      </c>
      <c r="AV106" s="1068">
        <v>63000</v>
      </c>
      <c r="AW106" s="1068">
        <v>39000</v>
      </c>
      <c r="AX106" s="1068">
        <v>38000</v>
      </c>
      <c r="AY106" s="1069">
        <f t="shared" si="213"/>
        <v>583000</v>
      </c>
      <c r="AZ106" s="1070">
        <f t="shared" si="264"/>
        <v>56160</v>
      </c>
      <c r="BA106" s="1071">
        <f t="shared" si="264"/>
        <v>70200</v>
      </c>
      <c r="BB106" s="1071">
        <f t="shared" si="264"/>
        <v>51480</v>
      </c>
      <c r="BC106" s="1071">
        <f t="shared" si="264"/>
        <v>70200</v>
      </c>
      <c r="BD106" s="1071">
        <f t="shared" si="264"/>
        <v>70200</v>
      </c>
      <c r="BE106" s="1071">
        <f t="shared" si="264"/>
        <v>52650</v>
      </c>
      <c r="BF106" s="1071">
        <f t="shared" si="264"/>
        <v>51480</v>
      </c>
      <c r="BG106" s="1071">
        <f t="shared" si="264"/>
        <v>53820</v>
      </c>
      <c r="BH106" s="1071">
        <f t="shared" si="264"/>
        <v>42120</v>
      </c>
      <c r="BI106" s="1071">
        <f t="shared" si="264"/>
        <v>73710</v>
      </c>
      <c r="BJ106" s="1071">
        <f t="shared" si="264"/>
        <v>45630</v>
      </c>
      <c r="BK106" s="1071">
        <f t="shared" si="264"/>
        <v>44460</v>
      </c>
      <c r="BL106" s="1072">
        <f t="shared" si="265"/>
        <v>682110</v>
      </c>
      <c r="BM106" s="1073">
        <f>600483/12</f>
        <v>50040.25</v>
      </c>
      <c r="BN106" s="1068">
        <f t="shared" si="288"/>
        <v>50040.25</v>
      </c>
      <c r="BO106" s="1068">
        <f t="shared" si="288"/>
        <v>50040.25</v>
      </c>
      <c r="BP106" s="1068">
        <f t="shared" si="288"/>
        <v>50040.25</v>
      </c>
      <c r="BQ106" s="1068">
        <f t="shared" si="288"/>
        <v>50040.25</v>
      </c>
      <c r="BR106" s="1068">
        <f t="shared" si="288"/>
        <v>50040.25</v>
      </c>
      <c r="BS106" s="1068">
        <f t="shared" si="288"/>
        <v>50040.25</v>
      </c>
      <c r="BT106" s="1068">
        <f t="shared" si="288"/>
        <v>50040.25</v>
      </c>
      <c r="BU106" s="1068">
        <f t="shared" si="288"/>
        <v>50040.25</v>
      </c>
      <c r="BV106" s="1068">
        <f t="shared" si="288"/>
        <v>50040.25</v>
      </c>
      <c r="BW106" s="1068">
        <f t="shared" si="288"/>
        <v>50040.25</v>
      </c>
      <c r="BX106" s="1068">
        <f t="shared" si="288"/>
        <v>50040.25</v>
      </c>
      <c r="BY106" s="1069">
        <f t="shared" si="215"/>
        <v>600483</v>
      </c>
      <c r="BZ106" s="1074">
        <f t="shared" si="266"/>
        <v>58547.092499999999</v>
      </c>
      <c r="CA106" s="1071">
        <f t="shared" si="266"/>
        <v>58547.092499999999</v>
      </c>
      <c r="CB106" s="1071">
        <f t="shared" si="266"/>
        <v>58547.092499999999</v>
      </c>
      <c r="CC106" s="1071">
        <f t="shared" si="266"/>
        <v>58547.092499999999</v>
      </c>
      <c r="CD106" s="1071">
        <f t="shared" si="266"/>
        <v>58547.092499999999</v>
      </c>
      <c r="CE106" s="1071">
        <f t="shared" si="266"/>
        <v>58547.092499999999</v>
      </c>
      <c r="CF106" s="1071">
        <f t="shared" si="266"/>
        <v>58547.092499999999</v>
      </c>
      <c r="CG106" s="1071">
        <f t="shared" si="266"/>
        <v>58547.092499999999</v>
      </c>
      <c r="CH106" s="1071">
        <f t="shared" si="266"/>
        <v>58547.092499999999</v>
      </c>
      <c r="CI106" s="1071">
        <f t="shared" si="266"/>
        <v>58547.092499999999</v>
      </c>
      <c r="CJ106" s="1071">
        <f t="shared" si="266"/>
        <v>58547.092499999999</v>
      </c>
      <c r="CK106" s="1071">
        <f t="shared" si="266"/>
        <v>58547.092499999999</v>
      </c>
      <c r="CL106" s="1075">
        <f t="shared" si="267"/>
        <v>702565.11000000022</v>
      </c>
      <c r="CM106" s="1073"/>
      <c r="CN106" s="1068"/>
      <c r="CO106" s="1068"/>
      <c r="CP106" s="1068"/>
      <c r="CQ106" s="1068"/>
      <c r="CR106" s="1068"/>
      <c r="CS106" s="1068"/>
      <c r="CT106" s="1068"/>
      <c r="CU106" s="1068"/>
      <c r="CV106" s="1068"/>
      <c r="CW106" s="1068"/>
      <c r="CX106" s="1068"/>
      <c r="CY106" s="1069">
        <f t="shared" si="216"/>
        <v>0</v>
      </c>
      <c r="CZ106" s="1070">
        <f t="shared" si="269"/>
        <v>0</v>
      </c>
      <c r="DA106" s="1071">
        <f t="shared" si="269"/>
        <v>0</v>
      </c>
      <c r="DB106" s="1071">
        <f t="shared" si="269"/>
        <v>0</v>
      </c>
      <c r="DC106" s="1071">
        <f t="shared" si="269"/>
        <v>0</v>
      </c>
      <c r="DD106" s="1071">
        <f t="shared" si="269"/>
        <v>0</v>
      </c>
      <c r="DE106" s="1071">
        <f t="shared" si="269"/>
        <v>0</v>
      </c>
      <c r="DF106" s="1071">
        <f t="shared" si="269"/>
        <v>0</v>
      </c>
      <c r="DG106" s="1071">
        <f t="shared" si="269"/>
        <v>0</v>
      </c>
      <c r="DH106" s="1071">
        <f t="shared" si="269"/>
        <v>0</v>
      </c>
      <c r="DI106" s="1071">
        <f t="shared" si="269"/>
        <v>0</v>
      </c>
      <c r="DJ106" s="1071">
        <f t="shared" si="269"/>
        <v>0</v>
      </c>
      <c r="DK106" s="1071">
        <f t="shared" si="269"/>
        <v>0</v>
      </c>
      <c r="DL106" s="1072">
        <f t="shared" si="270"/>
        <v>0</v>
      </c>
      <c r="DM106" s="1067"/>
      <c r="DN106" s="1068"/>
      <c r="DO106" s="1068"/>
      <c r="DP106" s="1068"/>
      <c r="DQ106" s="1068"/>
      <c r="DR106" s="1068"/>
      <c r="DS106" s="1068"/>
      <c r="DT106" s="1068"/>
      <c r="DU106" s="1068"/>
      <c r="DV106" s="1068"/>
      <c r="DW106" s="1068"/>
      <c r="DX106" s="1068"/>
      <c r="DY106" s="1069">
        <f t="shared" si="217"/>
        <v>0</v>
      </c>
      <c r="DZ106" s="1071">
        <f t="shared" si="272"/>
        <v>0</v>
      </c>
      <c r="EA106" s="1071">
        <f t="shared" si="272"/>
        <v>0</v>
      </c>
      <c r="EB106" s="1071">
        <f t="shared" si="272"/>
        <v>0</v>
      </c>
      <c r="EC106" s="1071">
        <f t="shared" si="272"/>
        <v>0</v>
      </c>
      <c r="ED106" s="1071">
        <f t="shared" si="272"/>
        <v>0</v>
      </c>
      <c r="EE106" s="1071">
        <f t="shared" si="272"/>
        <v>0</v>
      </c>
      <c r="EF106" s="1071">
        <f t="shared" si="272"/>
        <v>0</v>
      </c>
      <c r="EG106" s="1071">
        <f t="shared" si="272"/>
        <v>0</v>
      </c>
      <c r="EH106" s="1071">
        <f t="shared" si="272"/>
        <v>0</v>
      </c>
      <c r="EI106" s="1071">
        <f t="shared" si="272"/>
        <v>0</v>
      </c>
      <c r="EJ106" s="1071">
        <f t="shared" si="272"/>
        <v>0</v>
      </c>
      <c r="EK106" s="1071">
        <f t="shared" si="272"/>
        <v>0</v>
      </c>
      <c r="EL106" s="1072">
        <f t="shared" si="273"/>
        <v>0</v>
      </c>
    </row>
    <row r="107" spans="1:142" s="1076" customFormat="1">
      <c r="A107" s="964" t="s">
        <v>718</v>
      </c>
      <c r="B107" s="1059" t="s">
        <v>726</v>
      </c>
      <c r="C107" s="1060" t="s">
        <v>721</v>
      </c>
      <c r="D107" s="1077">
        <v>0.57999999999999996</v>
      </c>
      <c r="E107" s="1078">
        <f>D107</f>
        <v>0.57999999999999996</v>
      </c>
      <c r="F107" s="1079">
        <v>0.56999999999999995</v>
      </c>
      <c r="G107" s="1080">
        <f t="shared" si="261"/>
        <v>0.56999999999999995</v>
      </c>
      <c r="H107" s="1077">
        <f t="shared" si="261"/>
        <v>0.56999999999999995</v>
      </c>
      <c r="I107" s="1081">
        <f t="shared" si="261"/>
        <v>0.56999999999999995</v>
      </c>
      <c r="J107" s="1081">
        <f t="shared" si="261"/>
        <v>0.56999999999999995</v>
      </c>
      <c r="K107" s="1082">
        <f t="shared" si="261"/>
        <v>0.56999999999999995</v>
      </c>
      <c r="L107" s="1066"/>
      <c r="M107" s="1067"/>
      <c r="N107" s="1068"/>
      <c r="O107" s="1068">
        <v>0</v>
      </c>
      <c r="P107" s="1068">
        <v>0</v>
      </c>
      <c r="Q107" s="1068">
        <v>0</v>
      </c>
      <c r="R107" s="1068">
        <v>0</v>
      </c>
      <c r="S107" s="1068">
        <v>0</v>
      </c>
      <c r="T107" s="1068">
        <v>0</v>
      </c>
      <c r="U107" s="1068">
        <v>0</v>
      </c>
      <c r="V107" s="1068">
        <v>0</v>
      </c>
      <c r="W107" s="1068">
        <v>0</v>
      </c>
      <c r="X107" s="1068">
        <v>0</v>
      </c>
      <c r="Y107" s="1069">
        <f t="shared" si="262"/>
        <v>0</v>
      </c>
      <c r="Z107" s="1070">
        <v>0</v>
      </c>
      <c r="AA107" s="1071">
        <v>0</v>
      </c>
      <c r="AB107" s="1071">
        <v>0</v>
      </c>
      <c r="AC107" s="1071">
        <f t="shared" si="284"/>
        <v>0</v>
      </c>
      <c r="AD107" s="1071">
        <f t="shared" si="274"/>
        <v>0</v>
      </c>
      <c r="AE107" s="1071">
        <f t="shared" si="285"/>
        <v>0</v>
      </c>
      <c r="AF107" s="1071">
        <f t="shared" si="275"/>
        <v>0</v>
      </c>
      <c r="AG107" s="1071">
        <f t="shared" si="276"/>
        <v>0</v>
      </c>
      <c r="AH107" s="1071">
        <f t="shared" si="277"/>
        <v>0</v>
      </c>
      <c r="AI107" s="1071">
        <f t="shared" si="278"/>
        <v>0</v>
      </c>
      <c r="AJ107" s="1071">
        <f t="shared" si="279"/>
        <v>0</v>
      </c>
      <c r="AK107" s="1071">
        <f t="shared" si="280"/>
        <v>0</v>
      </c>
      <c r="AL107" s="1072">
        <f t="shared" si="263"/>
        <v>0</v>
      </c>
      <c r="AM107" s="1083"/>
      <c r="AN107" s="1086"/>
      <c r="AO107" s="1086"/>
      <c r="AP107" s="1086"/>
      <c r="AQ107" s="1086"/>
      <c r="AR107" s="1086"/>
      <c r="AS107" s="1086"/>
      <c r="AT107" s="1086"/>
      <c r="AU107" s="1086"/>
      <c r="AV107" s="1086"/>
      <c r="AW107" s="1086"/>
      <c r="AX107" s="1086"/>
      <c r="AY107" s="1069">
        <f t="shared" si="213"/>
        <v>0</v>
      </c>
      <c r="AZ107" s="1070">
        <f t="shared" si="264"/>
        <v>0</v>
      </c>
      <c r="BA107" s="1071">
        <f t="shared" si="264"/>
        <v>0</v>
      </c>
      <c r="BB107" s="1071">
        <f t="shared" si="264"/>
        <v>0</v>
      </c>
      <c r="BC107" s="1071">
        <f t="shared" si="264"/>
        <v>0</v>
      </c>
      <c r="BD107" s="1071">
        <f t="shared" si="264"/>
        <v>0</v>
      </c>
      <c r="BE107" s="1071">
        <f t="shared" si="264"/>
        <v>0</v>
      </c>
      <c r="BF107" s="1071">
        <f t="shared" si="264"/>
        <v>0</v>
      </c>
      <c r="BG107" s="1071">
        <f t="shared" si="264"/>
        <v>0</v>
      </c>
      <c r="BH107" s="1071">
        <f t="shared" si="264"/>
        <v>0</v>
      </c>
      <c r="BI107" s="1071">
        <f t="shared" si="264"/>
        <v>0</v>
      </c>
      <c r="BJ107" s="1071">
        <f t="shared" si="264"/>
        <v>0</v>
      </c>
      <c r="BK107" s="1071">
        <f t="shared" si="264"/>
        <v>0</v>
      </c>
      <c r="BL107" s="1072">
        <f t="shared" si="265"/>
        <v>0</v>
      </c>
      <c r="BM107" s="1073">
        <f>600483/12</f>
        <v>50040.25</v>
      </c>
      <c r="BN107" s="1068">
        <f t="shared" si="288"/>
        <v>50040.25</v>
      </c>
      <c r="BO107" s="1068">
        <f t="shared" si="288"/>
        <v>50040.25</v>
      </c>
      <c r="BP107" s="1068">
        <f t="shared" si="288"/>
        <v>50040.25</v>
      </c>
      <c r="BQ107" s="1068">
        <f t="shared" si="288"/>
        <v>50040.25</v>
      </c>
      <c r="BR107" s="1068">
        <f t="shared" si="288"/>
        <v>50040.25</v>
      </c>
      <c r="BS107" s="1068">
        <f t="shared" si="288"/>
        <v>50040.25</v>
      </c>
      <c r="BT107" s="1068">
        <f t="shared" si="288"/>
        <v>50040.25</v>
      </c>
      <c r="BU107" s="1068">
        <f t="shared" si="288"/>
        <v>50040.25</v>
      </c>
      <c r="BV107" s="1068">
        <f t="shared" si="288"/>
        <v>50040.25</v>
      </c>
      <c r="BW107" s="1068">
        <f t="shared" si="288"/>
        <v>50040.25</v>
      </c>
      <c r="BX107" s="1068">
        <f t="shared" si="288"/>
        <v>50040.25</v>
      </c>
      <c r="BY107" s="1069">
        <f t="shared" si="215"/>
        <v>600483</v>
      </c>
      <c r="BZ107" s="1074">
        <f t="shared" si="266"/>
        <v>28522.942499999997</v>
      </c>
      <c r="CA107" s="1071">
        <f t="shared" si="266"/>
        <v>28522.942499999997</v>
      </c>
      <c r="CB107" s="1071">
        <f t="shared" si="266"/>
        <v>28522.942499999997</v>
      </c>
      <c r="CC107" s="1071">
        <f t="shared" si="266"/>
        <v>28522.942499999997</v>
      </c>
      <c r="CD107" s="1071">
        <f t="shared" si="266"/>
        <v>28522.942499999997</v>
      </c>
      <c r="CE107" s="1071">
        <f t="shared" si="266"/>
        <v>28522.942499999997</v>
      </c>
      <c r="CF107" s="1071">
        <f t="shared" si="266"/>
        <v>28522.942499999997</v>
      </c>
      <c r="CG107" s="1071">
        <f t="shared" si="266"/>
        <v>28522.942499999997</v>
      </c>
      <c r="CH107" s="1071">
        <f t="shared" si="266"/>
        <v>28522.942499999997</v>
      </c>
      <c r="CI107" s="1071">
        <f t="shared" si="266"/>
        <v>28522.942499999997</v>
      </c>
      <c r="CJ107" s="1071">
        <f t="shared" si="266"/>
        <v>28522.942499999997</v>
      </c>
      <c r="CK107" s="1071">
        <f t="shared" si="266"/>
        <v>28522.942499999997</v>
      </c>
      <c r="CL107" s="1075">
        <f t="shared" si="267"/>
        <v>342275.31</v>
      </c>
      <c r="CM107" s="1073">
        <f>400000/12</f>
        <v>33333.333333333336</v>
      </c>
      <c r="CN107" s="1068">
        <f t="shared" ref="CN107:CX107" si="289">400000/12</f>
        <v>33333.333333333336</v>
      </c>
      <c r="CO107" s="1068">
        <f t="shared" si="289"/>
        <v>33333.333333333336</v>
      </c>
      <c r="CP107" s="1068">
        <f t="shared" si="289"/>
        <v>33333.333333333336</v>
      </c>
      <c r="CQ107" s="1068">
        <f t="shared" si="289"/>
        <v>33333.333333333336</v>
      </c>
      <c r="CR107" s="1068">
        <f t="shared" si="289"/>
        <v>33333.333333333336</v>
      </c>
      <c r="CS107" s="1068">
        <f t="shared" si="289"/>
        <v>33333.333333333336</v>
      </c>
      <c r="CT107" s="1068">
        <f t="shared" si="289"/>
        <v>33333.333333333336</v>
      </c>
      <c r="CU107" s="1068">
        <f t="shared" si="289"/>
        <v>33333.333333333336</v>
      </c>
      <c r="CV107" s="1068">
        <f t="shared" si="289"/>
        <v>33333.333333333336</v>
      </c>
      <c r="CW107" s="1068">
        <f t="shared" si="289"/>
        <v>33333.333333333336</v>
      </c>
      <c r="CX107" s="1068">
        <f t="shared" si="289"/>
        <v>33333.333333333336</v>
      </c>
      <c r="CY107" s="1069">
        <f t="shared" si="216"/>
        <v>399999.99999999994</v>
      </c>
      <c r="CZ107" s="1070">
        <f t="shared" si="269"/>
        <v>19000</v>
      </c>
      <c r="DA107" s="1071">
        <f t="shared" si="269"/>
        <v>19000</v>
      </c>
      <c r="DB107" s="1071">
        <f t="shared" si="269"/>
        <v>19000</v>
      </c>
      <c r="DC107" s="1071">
        <f t="shared" si="269"/>
        <v>19000</v>
      </c>
      <c r="DD107" s="1071">
        <f t="shared" si="269"/>
        <v>19000</v>
      </c>
      <c r="DE107" s="1071">
        <f t="shared" si="269"/>
        <v>19000</v>
      </c>
      <c r="DF107" s="1071">
        <f t="shared" si="269"/>
        <v>19000</v>
      </c>
      <c r="DG107" s="1071">
        <f t="shared" si="269"/>
        <v>19000</v>
      </c>
      <c r="DH107" s="1071">
        <f t="shared" si="269"/>
        <v>19000</v>
      </c>
      <c r="DI107" s="1071">
        <f t="shared" si="269"/>
        <v>19000</v>
      </c>
      <c r="DJ107" s="1071">
        <f t="shared" si="269"/>
        <v>19000</v>
      </c>
      <c r="DK107" s="1071">
        <f t="shared" si="269"/>
        <v>19000</v>
      </c>
      <c r="DL107" s="1072">
        <f t="shared" si="270"/>
        <v>228000</v>
      </c>
      <c r="DM107" s="1067">
        <f>400000/12</f>
        <v>33333.333333333336</v>
      </c>
      <c r="DN107" s="1068">
        <f t="shared" ref="DN107:DX107" si="290">400000/12</f>
        <v>33333.333333333336</v>
      </c>
      <c r="DO107" s="1068">
        <f t="shared" si="290"/>
        <v>33333.333333333336</v>
      </c>
      <c r="DP107" s="1068">
        <f t="shared" si="290"/>
        <v>33333.333333333336</v>
      </c>
      <c r="DQ107" s="1068">
        <f t="shared" si="290"/>
        <v>33333.333333333336</v>
      </c>
      <c r="DR107" s="1068">
        <f t="shared" si="290"/>
        <v>33333.333333333336</v>
      </c>
      <c r="DS107" s="1068">
        <f t="shared" si="290"/>
        <v>33333.333333333336</v>
      </c>
      <c r="DT107" s="1068">
        <f t="shared" si="290"/>
        <v>33333.333333333336</v>
      </c>
      <c r="DU107" s="1068">
        <f t="shared" si="290"/>
        <v>33333.333333333336</v>
      </c>
      <c r="DV107" s="1068">
        <f t="shared" si="290"/>
        <v>33333.333333333336</v>
      </c>
      <c r="DW107" s="1068">
        <f t="shared" si="290"/>
        <v>33333.333333333336</v>
      </c>
      <c r="DX107" s="1068">
        <f t="shared" si="290"/>
        <v>33333.333333333336</v>
      </c>
      <c r="DY107" s="1069">
        <f t="shared" si="217"/>
        <v>399999.99999999994</v>
      </c>
      <c r="DZ107" s="1071">
        <f t="shared" si="272"/>
        <v>19000</v>
      </c>
      <c r="EA107" s="1071">
        <f t="shared" si="272"/>
        <v>19000</v>
      </c>
      <c r="EB107" s="1071">
        <f t="shared" si="272"/>
        <v>19000</v>
      </c>
      <c r="EC107" s="1071">
        <f t="shared" si="272"/>
        <v>19000</v>
      </c>
      <c r="ED107" s="1071">
        <f t="shared" si="272"/>
        <v>19000</v>
      </c>
      <c r="EE107" s="1071">
        <f t="shared" si="272"/>
        <v>19000</v>
      </c>
      <c r="EF107" s="1071">
        <f t="shared" si="272"/>
        <v>19000</v>
      </c>
      <c r="EG107" s="1071">
        <f t="shared" si="272"/>
        <v>19000</v>
      </c>
      <c r="EH107" s="1071">
        <f t="shared" si="272"/>
        <v>19000</v>
      </c>
      <c r="EI107" s="1071">
        <f t="shared" si="272"/>
        <v>19000</v>
      </c>
      <c r="EJ107" s="1071">
        <f t="shared" si="272"/>
        <v>19000</v>
      </c>
      <c r="EK107" s="1071">
        <f t="shared" si="272"/>
        <v>19000</v>
      </c>
      <c r="EL107" s="1072">
        <f t="shared" si="273"/>
        <v>228000</v>
      </c>
    </row>
    <row r="108" spans="1:142" s="1076" customFormat="1">
      <c r="A108" s="964" t="s">
        <v>718</v>
      </c>
      <c r="B108" s="1059" t="s">
        <v>727</v>
      </c>
      <c r="C108" s="1060" t="s">
        <v>721</v>
      </c>
      <c r="D108" s="1077">
        <v>0.57999999999999996</v>
      </c>
      <c r="E108" s="1078">
        <f>D108</f>
        <v>0.57999999999999996</v>
      </c>
      <c r="F108" s="1079">
        <v>0.56999999999999995</v>
      </c>
      <c r="G108" s="1080">
        <f t="shared" si="261"/>
        <v>0.56999999999999995</v>
      </c>
      <c r="H108" s="1077">
        <f t="shared" si="261"/>
        <v>0.56999999999999995</v>
      </c>
      <c r="I108" s="1081">
        <f t="shared" si="261"/>
        <v>0.56999999999999995</v>
      </c>
      <c r="J108" s="1081">
        <f t="shared" si="261"/>
        <v>0.56999999999999995</v>
      </c>
      <c r="K108" s="1082">
        <f t="shared" si="261"/>
        <v>0.56999999999999995</v>
      </c>
      <c r="L108" s="1066"/>
      <c r="M108" s="1067"/>
      <c r="N108" s="1068"/>
      <c r="O108" s="1068">
        <v>1000</v>
      </c>
      <c r="P108" s="1068">
        <v>0</v>
      </c>
      <c r="Q108" s="1068">
        <v>0</v>
      </c>
      <c r="R108" s="1068">
        <v>0</v>
      </c>
      <c r="S108" s="1068">
        <v>0</v>
      </c>
      <c r="T108" s="1068">
        <v>0</v>
      </c>
      <c r="U108" s="1068">
        <v>0</v>
      </c>
      <c r="V108" s="1068">
        <v>0</v>
      </c>
      <c r="W108" s="1068">
        <v>1344</v>
      </c>
      <c r="X108" s="1068">
        <v>672</v>
      </c>
      <c r="Y108" s="1069">
        <f t="shared" si="262"/>
        <v>3016</v>
      </c>
      <c r="Z108" s="1070">
        <v>0</v>
      </c>
      <c r="AA108" s="1071">
        <v>0</v>
      </c>
      <c r="AB108" s="1071">
        <v>580</v>
      </c>
      <c r="AC108" s="1071">
        <f t="shared" si="284"/>
        <v>0</v>
      </c>
      <c r="AD108" s="1071">
        <f t="shared" si="274"/>
        <v>0</v>
      </c>
      <c r="AE108" s="1071">
        <f t="shared" si="285"/>
        <v>0</v>
      </c>
      <c r="AF108" s="1071">
        <f t="shared" si="275"/>
        <v>0</v>
      </c>
      <c r="AG108" s="1071">
        <f t="shared" si="276"/>
        <v>0</v>
      </c>
      <c r="AH108" s="1071">
        <f t="shared" si="277"/>
        <v>0</v>
      </c>
      <c r="AI108" s="1071">
        <f t="shared" si="278"/>
        <v>0</v>
      </c>
      <c r="AJ108" s="1071">
        <f t="shared" si="279"/>
        <v>766.07999999999993</v>
      </c>
      <c r="AK108" s="1071">
        <f t="shared" si="280"/>
        <v>383.03999999999996</v>
      </c>
      <c r="AL108" s="1072">
        <f t="shared" si="263"/>
        <v>1729.12</v>
      </c>
      <c r="AM108" s="1067">
        <v>1344</v>
      </c>
      <c r="AN108" s="1068">
        <v>672</v>
      </c>
      <c r="AO108" s="1068">
        <v>1344</v>
      </c>
      <c r="AP108" s="1068">
        <v>2016</v>
      </c>
      <c r="AQ108" s="1068">
        <v>14112</v>
      </c>
      <c r="AR108" s="1068">
        <v>14112</v>
      </c>
      <c r="AS108" s="1068">
        <v>14112</v>
      </c>
      <c r="AT108" s="1068">
        <v>14112</v>
      </c>
      <c r="AU108" s="1068">
        <v>13393</v>
      </c>
      <c r="AV108" s="1068">
        <v>0</v>
      </c>
      <c r="AW108" s="1068">
        <v>0</v>
      </c>
      <c r="AX108" s="1068">
        <v>0</v>
      </c>
      <c r="AY108" s="1069">
        <f t="shared" si="213"/>
        <v>75217</v>
      </c>
      <c r="AZ108" s="1070">
        <f t="shared" si="264"/>
        <v>766.07999999999993</v>
      </c>
      <c r="BA108" s="1071">
        <f t="shared" si="264"/>
        <v>383.03999999999996</v>
      </c>
      <c r="BB108" s="1071">
        <f t="shared" si="264"/>
        <v>766.07999999999993</v>
      </c>
      <c r="BC108" s="1071">
        <f t="shared" si="264"/>
        <v>1149.1199999999999</v>
      </c>
      <c r="BD108" s="1071">
        <f t="shared" si="264"/>
        <v>8043.8399999999992</v>
      </c>
      <c r="BE108" s="1071">
        <f t="shared" si="264"/>
        <v>8043.8399999999992</v>
      </c>
      <c r="BF108" s="1071">
        <f t="shared" si="264"/>
        <v>8043.8399999999992</v>
      </c>
      <c r="BG108" s="1071">
        <f t="shared" si="264"/>
        <v>8043.8399999999992</v>
      </c>
      <c r="BH108" s="1071">
        <f t="shared" si="264"/>
        <v>7634.0099999999993</v>
      </c>
      <c r="BI108" s="1071">
        <f t="shared" si="264"/>
        <v>0</v>
      </c>
      <c r="BJ108" s="1071">
        <f t="shared" si="264"/>
        <v>0</v>
      </c>
      <c r="BK108" s="1071">
        <f t="shared" si="264"/>
        <v>0</v>
      </c>
      <c r="BL108" s="1072">
        <f t="shared" si="265"/>
        <v>42873.69</v>
      </c>
      <c r="BM108" s="1073">
        <f>446000/12</f>
        <v>37166.666666666664</v>
      </c>
      <c r="BN108" s="1068">
        <f t="shared" ref="BN108:BX108" si="291">446000/12</f>
        <v>37166.666666666664</v>
      </c>
      <c r="BO108" s="1068">
        <f t="shared" si="291"/>
        <v>37166.666666666664</v>
      </c>
      <c r="BP108" s="1068">
        <f t="shared" si="291"/>
        <v>37166.666666666664</v>
      </c>
      <c r="BQ108" s="1068">
        <f t="shared" si="291"/>
        <v>37166.666666666664</v>
      </c>
      <c r="BR108" s="1068">
        <f t="shared" si="291"/>
        <v>37166.666666666664</v>
      </c>
      <c r="BS108" s="1068">
        <f t="shared" si="291"/>
        <v>37166.666666666664</v>
      </c>
      <c r="BT108" s="1068">
        <f t="shared" si="291"/>
        <v>37166.666666666664</v>
      </c>
      <c r="BU108" s="1068">
        <f t="shared" si="291"/>
        <v>37166.666666666664</v>
      </c>
      <c r="BV108" s="1068">
        <f t="shared" si="291"/>
        <v>37166.666666666664</v>
      </c>
      <c r="BW108" s="1068">
        <f t="shared" si="291"/>
        <v>37166.666666666664</v>
      </c>
      <c r="BX108" s="1068">
        <f t="shared" si="291"/>
        <v>37166.666666666664</v>
      </c>
      <c r="BY108" s="1069">
        <f t="shared" si="215"/>
        <v>446000.00000000006</v>
      </c>
      <c r="BZ108" s="1074">
        <f t="shared" si="266"/>
        <v>21184.999999999996</v>
      </c>
      <c r="CA108" s="1071">
        <f t="shared" si="266"/>
        <v>21184.999999999996</v>
      </c>
      <c r="CB108" s="1071">
        <f t="shared" si="266"/>
        <v>21184.999999999996</v>
      </c>
      <c r="CC108" s="1071">
        <f t="shared" si="266"/>
        <v>21184.999999999996</v>
      </c>
      <c r="CD108" s="1071">
        <f t="shared" si="266"/>
        <v>21184.999999999996</v>
      </c>
      <c r="CE108" s="1071">
        <f t="shared" si="266"/>
        <v>21184.999999999996</v>
      </c>
      <c r="CF108" s="1071">
        <f t="shared" si="266"/>
        <v>21184.999999999996</v>
      </c>
      <c r="CG108" s="1071">
        <f t="shared" si="266"/>
        <v>21184.999999999996</v>
      </c>
      <c r="CH108" s="1071">
        <f t="shared" si="266"/>
        <v>21184.999999999996</v>
      </c>
      <c r="CI108" s="1071">
        <f t="shared" si="266"/>
        <v>21184.999999999996</v>
      </c>
      <c r="CJ108" s="1071">
        <f t="shared" si="266"/>
        <v>21184.999999999996</v>
      </c>
      <c r="CK108" s="1071">
        <f t="shared" si="266"/>
        <v>21184.999999999996</v>
      </c>
      <c r="CL108" s="1075">
        <f t="shared" si="267"/>
        <v>254219.99999999997</v>
      </c>
      <c r="CM108" s="1073">
        <f>245080/12</f>
        <v>20423.333333333332</v>
      </c>
      <c r="CN108" s="1068">
        <f t="shared" ref="CN108:CX108" si="292">245080/12</f>
        <v>20423.333333333332</v>
      </c>
      <c r="CO108" s="1068">
        <f t="shared" si="292"/>
        <v>20423.333333333332</v>
      </c>
      <c r="CP108" s="1068">
        <f t="shared" si="292"/>
        <v>20423.333333333332</v>
      </c>
      <c r="CQ108" s="1068">
        <f t="shared" si="292"/>
        <v>20423.333333333332</v>
      </c>
      <c r="CR108" s="1068">
        <f t="shared" si="292"/>
        <v>20423.333333333332</v>
      </c>
      <c r="CS108" s="1068">
        <f t="shared" si="292"/>
        <v>20423.333333333332</v>
      </c>
      <c r="CT108" s="1068">
        <f t="shared" si="292"/>
        <v>20423.333333333332</v>
      </c>
      <c r="CU108" s="1068">
        <f t="shared" si="292"/>
        <v>20423.333333333332</v>
      </c>
      <c r="CV108" s="1068">
        <f t="shared" si="292"/>
        <v>20423.333333333332</v>
      </c>
      <c r="CW108" s="1068">
        <f t="shared" si="292"/>
        <v>20423.333333333332</v>
      </c>
      <c r="CX108" s="1068">
        <f t="shared" si="292"/>
        <v>20423.333333333332</v>
      </c>
      <c r="CY108" s="1069">
        <f t="shared" si="216"/>
        <v>245080.00000000003</v>
      </c>
      <c r="CZ108" s="1070">
        <f t="shared" si="269"/>
        <v>11641.299999999997</v>
      </c>
      <c r="DA108" s="1071">
        <f t="shared" si="269"/>
        <v>11641.299999999997</v>
      </c>
      <c r="DB108" s="1071">
        <f t="shared" si="269"/>
        <v>11641.299999999997</v>
      </c>
      <c r="DC108" s="1071">
        <f t="shared" si="269"/>
        <v>11641.299999999997</v>
      </c>
      <c r="DD108" s="1071">
        <f t="shared" si="269"/>
        <v>11641.299999999997</v>
      </c>
      <c r="DE108" s="1071">
        <f t="shared" si="269"/>
        <v>11641.299999999997</v>
      </c>
      <c r="DF108" s="1071">
        <f t="shared" si="269"/>
        <v>11641.299999999997</v>
      </c>
      <c r="DG108" s="1071">
        <f t="shared" si="269"/>
        <v>11641.299999999997</v>
      </c>
      <c r="DH108" s="1071">
        <f t="shared" si="269"/>
        <v>11641.299999999997</v>
      </c>
      <c r="DI108" s="1071">
        <f t="shared" si="269"/>
        <v>11641.299999999997</v>
      </c>
      <c r="DJ108" s="1071">
        <f t="shared" si="269"/>
        <v>11641.299999999997</v>
      </c>
      <c r="DK108" s="1071">
        <f t="shared" si="269"/>
        <v>11641.299999999997</v>
      </c>
      <c r="DL108" s="1072">
        <f t="shared" si="270"/>
        <v>139695.6</v>
      </c>
      <c r="DM108" s="1067">
        <f>375076/12</f>
        <v>31256.333333333332</v>
      </c>
      <c r="DN108" s="1068">
        <f t="shared" ref="DN108:DX108" si="293">375076/12</f>
        <v>31256.333333333332</v>
      </c>
      <c r="DO108" s="1068">
        <f t="shared" si="293"/>
        <v>31256.333333333332</v>
      </c>
      <c r="DP108" s="1068">
        <f t="shared" si="293"/>
        <v>31256.333333333332</v>
      </c>
      <c r="DQ108" s="1068">
        <f t="shared" si="293"/>
        <v>31256.333333333332</v>
      </c>
      <c r="DR108" s="1068">
        <f t="shared" si="293"/>
        <v>31256.333333333332</v>
      </c>
      <c r="DS108" s="1068">
        <f t="shared" si="293"/>
        <v>31256.333333333332</v>
      </c>
      <c r="DT108" s="1068">
        <f t="shared" si="293"/>
        <v>31256.333333333332</v>
      </c>
      <c r="DU108" s="1068">
        <f t="shared" si="293"/>
        <v>31256.333333333332</v>
      </c>
      <c r="DV108" s="1068">
        <f t="shared" si="293"/>
        <v>31256.333333333332</v>
      </c>
      <c r="DW108" s="1068">
        <f t="shared" si="293"/>
        <v>31256.333333333332</v>
      </c>
      <c r="DX108" s="1068">
        <f t="shared" si="293"/>
        <v>31256.333333333332</v>
      </c>
      <c r="DY108" s="1069">
        <f t="shared" si="217"/>
        <v>375075.99999999994</v>
      </c>
      <c r="DZ108" s="1071">
        <f t="shared" si="272"/>
        <v>17816.109999999997</v>
      </c>
      <c r="EA108" s="1071">
        <f t="shared" si="272"/>
        <v>17816.109999999997</v>
      </c>
      <c r="EB108" s="1071">
        <f t="shared" si="272"/>
        <v>17816.109999999997</v>
      </c>
      <c r="EC108" s="1071">
        <f t="shared" si="272"/>
        <v>17816.109999999997</v>
      </c>
      <c r="ED108" s="1071">
        <f t="shared" si="272"/>
        <v>17816.109999999997</v>
      </c>
      <c r="EE108" s="1071">
        <f t="shared" si="272"/>
        <v>17816.109999999997</v>
      </c>
      <c r="EF108" s="1071">
        <f t="shared" si="272"/>
        <v>17816.109999999997</v>
      </c>
      <c r="EG108" s="1071">
        <f t="shared" si="272"/>
        <v>17816.109999999997</v>
      </c>
      <c r="EH108" s="1071">
        <f t="shared" si="272"/>
        <v>17816.109999999997</v>
      </c>
      <c r="EI108" s="1071">
        <f t="shared" si="272"/>
        <v>17816.109999999997</v>
      </c>
      <c r="EJ108" s="1071">
        <f t="shared" si="272"/>
        <v>17816.109999999997</v>
      </c>
      <c r="EK108" s="1071">
        <f t="shared" si="272"/>
        <v>17816.109999999997</v>
      </c>
      <c r="EL108" s="1072">
        <f t="shared" si="273"/>
        <v>213793.31999999992</v>
      </c>
    </row>
    <row r="109" spans="1:142" s="1076" customFormat="1">
      <c r="A109" s="964" t="s">
        <v>718</v>
      </c>
      <c r="B109" s="1059" t="s">
        <v>267</v>
      </c>
      <c r="C109" s="1060" t="s">
        <v>268</v>
      </c>
      <c r="D109" s="1077">
        <v>1.1200000000000001</v>
      </c>
      <c r="E109" s="1078">
        <f>D109</f>
        <v>1.1200000000000001</v>
      </c>
      <c r="F109" s="1079">
        <v>1.1499999999999999</v>
      </c>
      <c r="G109" s="1080">
        <f t="shared" si="261"/>
        <v>1.1499999999999999</v>
      </c>
      <c r="H109" s="1077">
        <f t="shared" si="261"/>
        <v>1.1499999999999999</v>
      </c>
      <c r="I109" s="1081">
        <f t="shared" si="261"/>
        <v>1.1499999999999999</v>
      </c>
      <c r="J109" s="1081">
        <f t="shared" si="261"/>
        <v>1.1499999999999999</v>
      </c>
      <c r="K109" s="1082">
        <f t="shared" si="261"/>
        <v>1.1499999999999999</v>
      </c>
      <c r="L109" s="1066"/>
      <c r="M109" s="1067">
        <v>28000</v>
      </c>
      <c r="N109" s="1068">
        <v>12000</v>
      </c>
      <c r="O109" s="1068">
        <v>44000</v>
      </c>
      <c r="P109" s="1068">
        <v>47000</v>
      </c>
      <c r="Q109" s="1068">
        <v>65000</v>
      </c>
      <c r="R109" s="1068">
        <v>45000</v>
      </c>
      <c r="S109" s="1068">
        <v>60000</v>
      </c>
      <c r="T109" s="1068">
        <v>60000</v>
      </c>
      <c r="U109" s="1068">
        <v>65000</v>
      </c>
      <c r="V109" s="1068">
        <v>64000</v>
      </c>
      <c r="W109" s="1068">
        <v>75000</v>
      </c>
      <c r="X109" s="1068">
        <v>70000</v>
      </c>
      <c r="Y109" s="1069">
        <f t="shared" si="262"/>
        <v>635000</v>
      </c>
      <c r="Z109" s="1070">
        <v>31360.000000000004</v>
      </c>
      <c r="AA109" s="1071">
        <v>13440.000000000002</v>
      </c>
      <c r="AB109" s="1071">
        <v>49280.000000000007</v>
      </c>
      <c r="AC109" s="1071">
        <f t="shared" si="284"/>
        <v>52640.000000000007</v>
      </c>
      <c r="AD109" s="1071">
        <f>Q109*$E109+1956.2</f>
        <v>74756.2</v>
      </c>
      <c r="AE109" s="1071">
        <f t="shared" si="285"/>
        <v>50400.000000000007</v>
      </c>
      <c r="AF109" s="1071">
        <f t="shared" si="275"/>
        <v>69000</v>
      </c>
      <c r="AG109" s="1071">
        <f t="shared" si="276"/>
        <v>69000</v>
      </c>
      <c r="AH109" s="1071">
        <f t="shared" si="277"/>
        <v>74750</v>
      </c>
      <c r="AI109" s="1071">
        <f t="shared" si="278"/>
        <v>73600</v>
      </c>
      <c r="AJ109" s="1071">
        <f t="shared" si="279"/>
        <v>86250</v>
      </c>
      <c r="AK109" s="1071">
        <f t="shared" si="280"/>
        <v>80500</v>
      </c>
      <c r="AL109" s="1072">
        <f t="shared" si="263"/>
        <v>724976.2</v>
      </c>
      <c r="AM109" s="1067">
        <v>80000</v>
      </c>
      <c r="AN109" s="1068">
        <v>92000</v>
      </c>
      <c r="AO109" s="1068">
        <v>78000</v>
      </c>
      <c r="AP109" s="1068">
        <v>90000</v>
      </c>
      <c r="AQ109" s="1068">
        <v>74000</v>
      </c>
      <c r="AR109" s="1068">
        <v>76000</v>
      </c>
      <c r="AS109" s="1068">
        <v>90000</v>
      </c>
      <c r="AT109" s="1068">
        <v>76000</v>
      </c>
      <c r="AU109" s="1068">
        <v>68000</v>
      </c>
      <c r="AV109" s="1068">
        <v>60000</v>
      </c>
      <c r="AW109" s="1068">
        <v>50000</v>
      </c>
      <c r="AX109" s="1068">
        <v>56000</v>
      </c>
      <c r="AY109" s="1069">
        <f t="shared" si="213"/>
        <v>890000</v>
      </c>
      <c r="AZ109" s="1070">
        <f t="shared" si="264"/>
        <v>92000</v>
      </c>
      <c r="BA109" s="1071">
        <f t="shared" si="264"/>
        <v>105799.99999999999</v>
      </c>
      <c r="BB109" s="1071">
        <f t="shared" si="264"/>
        <v>89700</v>
      </c>
      <c r="BC109" s="1071">
        <f t="shared" si="264"/>
        <v>103499.99999999999</v>
      </c>
      <c r="BD109" s="1071">
        <f t="shared" si="264"/>
        <v>85100</v>
      </c>
      <c r="BE109" s="1071">
        <f t="shared" si="264"/>
        <v>87400</v>
      </c>
      <c r="BF109" s="1071">
        <f t="shared" si="264"/>
        <v>103499.99999999999</v>
      </c>
      <c r="BG109" s="1071">
        <f t="shared" si="264"/>
        <v>87400</v>
      </c>
      <c r="BH109" s="1071">
        <f t="shared" si="264"/>
        <v>78200</v>
      </c>
      <c r="BI109" s="1071">
        <f t="shared" si="264"/>
        <v>69000</v>
      </c>
      <c r="BJ109" s="1071">
        <f t="shared" si="264"/>
        <v>57499.999999999993</v>
      </c>
      <c r="BK109" s="1071">
        <f t="shared" si="264"/>
        <v>64399.999999999993</v>
      </c>
      <c r="BL109" s="1072">
        <f t="shared" si="265"/>
        <v>1023500</v>
      </c>
      <c r="BM109" s="1073">
        <f>562087*55%/12</f>
        <v>25762.320833333335</v>
      </c>
      <c r="BN109" s="1068">
        <v>12000</v>
      </c>
      <c r="BO109" s="1068">
        <v>25000</v>
      </c>
      <c r="BP109" s="1068">
        <v>16000</v>
      </c>
      <c r="BQ109" s="1068">
        <v>16000</v>
      </c>
      <c r="BR109" s="1068">
        <v>16000</v>
      </c>
      <c r="BS109" s="1068">
        <v>16000</v>
      </c>
      <c r="BT109" s="1068">
        <v>16000</v>
      </c>
      <c r="BU109" s="1068">
        <v>16000</v>
      </c>
      <c r="BV109" s="1068">
        <v>16000</v>
      </c>
      <c r="BW109" s="1068">
        <v>16000</v>
      </c>
      <c r="BX109" s="1068">
        <v>16000</v>
      </c>
      <c r="BY109" s="1069">
        <f t="shared" si="215"/>
        <v>206762.32083333333</v>
      </c>
      <c r="BZ109" s="1074">
        <f t="shared" si="266"/>
        <v>29626.668958333332</v>
      </c>
      <c r="CA109" s="1071">
        <f t="shared" si="266"/>
        <v>13799.999999999998</v>
      </c>
      <c r="CB109" s="1071">
        <f t="shared" si="266"/>
        <v>28749.999999999996</v>
      </c>
      <c r="CC109" s="1071">
        <f t="shared" si="266"/>
        <v>18400</v>
      </c>
      <c r="CD109" s="1071">
        <f t="shared" si="266"/>
        <v>18400</v>
      </c>
      <c r="CE109" s="1071">
        <f t="shared" si="266"/>
        <v>18400</v>
      </c>
      <c r="CF109" s="1071">
        <f t="shared" si="266"/>
        <v>18400</v>
      </c>
      <c r="CG109" s="1071">
        <f t="shared" si="266"/>
        <v>18400</v>
      </c>
      <c r="CH109" s="1071">
        <f t="shared" si="266"/>
        <v>18400</v>
      </c>
      <c r="CI109" s="1071">
        <f t="shared" si="266"/>
        <v>18400</v>
      </c>
      <c r="CJ109" s="1071">
        <f t="shared" si="266"/>
        <v>18400</v>
      </c>
      <c r="CK109" s="1071">
        <f t="shared" si="266"/>
        <v>18400</v>
      </c>
      <c r="CL109" s="1075">
        <f t="shared" si="267"/>
        <v>237776.66895833332</v>
      </c>
      <c r="CM109" s="1073">
        <f>127849/12/2</f>
        <v>5327.041666666667</v>
      </c>
      <c r="CN109" s="1068">
        <f t="shared" ref="CN109:CX112" si="294">127849/12/2</f>
        <v>5327.041666666667</v>
      </c>
      <c r="CO109" s="1068">
        <f t="shared" si="294"/>
        <v>5327.041666666667</v>
      </c>
      <c r="CP109" s="1068">
        <f t="shared" si="294"/>
        <v>5327.041666666667</v>
      </c>
      <c r="CQ109" s="1068">
        <f t="shared" si="294"/>
        <v>5327.041666666667</v>
      </c>
      <c r="CR109" s="1068">
        <f t="shared" si="294"/>
        <v>5327.041666666667</v>
      </c>
      <c r="CS109" s="1068">
        <f t="shared" si="294"/>
        <v>5327.041666666667</v>
      </c>
      <c r="CT109" s="1068">
        <f t="shared" si="294"/>
        <v>5327.041666666667</v>
      </c>
      <c r="CU109" s="1068">
        <f t="shared" si="294"/>
        <v>5327.041666666667</v>
      </c>
      <c r="CV109" s="1068">
        <f t="shared" si="294"/>
        <v>5327.041666666667</v>
      </c>
      <c r="CW109" s="1068">
        <f t="shared" si="294"/>
        <v>5327.041666666667</v>
      </c>
      <c r="CX109" s="1068">
        <f t="shared" si="294"/>
        <v>5327.041666666667</v>
      </c>
      <c r="CY109" s="1069">
        <f t="shared" si="216"/>
        <v>63924.499999999993</v>
      </c>
      <c r="CZ109" s="1070">
        <f t="shared" si="269"/>
        <v>6126.0979166666666</v>
      </c>
      <c r="DA109" s="1071">
        <f t="shared" si="269"/>
        <v>6126.0979166666666</v>
      </c>
      <c r="DB109" s="1071">
        <f t="shared" si="269"/>
        <v>6126.0979166666666</v>
      </c>
      <c r="DC109" s="1071">
        <f t="shared" si="269"/>
        <v>6126.0979166666666</v>
      </c>
      <c r="DD109" s="1071">
        <f t="shared" si="269"/>
        <v>6126.0979166666666</v>
      </c>
      <c r="DE109" s="1071">
        <f t="shared" si="269"/>
        <v>6126.0979166666666</v>
      </c>
      <c r="DF109" s="1071">
        <f t="shared" si="269"/>
        <v>6126.0979166666666</v>
      </c>
      <c r="DG109" s="1071">
        <f t="shared" si="269"/>
        <v>6126.0979166666666</v>
      </c>
      <c r="DH109" s="1071">
        <f t="shared" si="269"/>
        <v>6126.0979166666666</v>
      </c>
      <c r="DI109" s="1071">
        <f t="shared" si="269"/>
        <v>6126.0979166666666</v>
      </c>
      <c r="DJ109" s="1071">
        <f t="shared" si="269"/>
        <v>6126.0979166666666</v>
      </c>
      <c r="DK109" s="1071">
        <f t="shared" si="269"/>
        <v>6126.0979166666666</v>
      </c>
      <c r="DL109" s="1072">
        <f t="shared" si="270"/>
        <v>73513.175000000003</v>
      </c>
      <c r="DM109" s="1067"/>
      <c r="DN109" s="1068"/>
      <c r="DO109" s="1068"/>
      <c r="DP109" s="1068"/>
      <c r="DQ109" s="1068"/>
      <c r="DR109" s="1068"/>
      <c r="DS109" s="1068"/>
      <c r="DT109" s="1068"/>
      <c r="DU109" s="1068"/>
      <c r="DV109" s="1068"/>
      <c r="DW109" s="1068"/>
      <c r="DX109" s="1068"/>
      <c r="DY109" s="1069">
        <f t="shared" si="217"/>
        <v>0</v>
      </c>
      <c r="DZ109" s="1071">
        <f t="shared" si="272"/>
        <v>0</v>
      </c>
      <c r="EA109" s="1071">
        <f t="shared" si="272"/>
        <v>0</v>
      </c>
      <c r="EB109" s="1071">
        <f t="shared" si="272"/>
        <v>0</v>
      </c>
      <c r="EC109" s="1071">
        <f t="shared" si="272"/>
        <v>0</v>
      </c>
      <c r="ED109" s="1071">
        <f t="shared" si="272"/>
        <v>0</v>
      </c>
      <c r="EE109" s="1071">
        <f t="shared" si="272"/>
        <v>0</v>
      </c>
      <c r="EF109" s="1071">
        <f t="shared" si="272"/>
        <v>0</v>
      </c>
      <c r="EG109" s="1071">
        <f t="shared" si="272"/>
        <v>0</v>
      </c>
      <c r="EH109" s="1071">
        <f t="shared" si="272"/>
        <v>0</v>
      </c>
      <c r="EI109" s="1071">
        <f t="shared" si="272"/>
        <v>0</v>
      </c>
      <c r="EJ109" s="1071">
        <f t="shared" si="272"/>
        <v>0</v>
      </c>
      <c r="EK109" s="1071">
        <f t="shared" si="272"/>
        <v>0</v>
      </c>
      <c r="EL109" s="1072">
        <f t="shared" si="273"/>
        <v>0</v>
      </c>
    </row>
    <row r="110" spans="1:142" s="1076" customFormat="1">
      <c r="A110" s="964" t="s">
        <v>718</v>
      </c>
      <c r="B110" s="1059" t="s">
        <v>269</v>
      </c>
      <c r="C110" s="1060" t="s">
        <v>270</v>
      </c>
      <c r="D110" s="1077">
        <v>1.74</v>
      </c>
      <c r="E110" s="1078">
        <v>1.73</v>
      </c>
      <c r="F110" s="1079">
        <v>1.76</v>
      </c>
      <c r="G110" s="1080">
        <f t="shared" si="261"/>
        <v>1.76</v>
      </c>
      <c r="H110" s="1077">
        <f t="shared" si="261"/>
        <v>1.76</v>
      </c>
      <c r="I110" s="1081">
        <f t="shared" si="261"/>
        <v>1.76</v>
      </c>
      <c r="J110" s="1081">
        <f t="shared" si="261"/>
        <v>1.76</v>
      </c>
      <c r="K110" s="1082">
        <f t="shared" si="261"/>
        <v>1.76</v>
      </c>
      <c r="L110" s="1066"/>
      <c r="M110" s="1067">
        <v>28000</v>
      </c>
      <c r="N110" s="1068">
        <v>12000</v>
      </c>
      <c r="O110" s="1068">
        <v>44000</v>
      </c>
      <c r="P110" s="1068">
        <v>47000</v>
      </c>
      <c r="Q110" s="1068">
        <v>65000</v>
      </c>
      <c r="R110" s="1068">
        <v>45000</v>
      </c>
      <c r="S110" s="1068">
        <v>60000</v>
      </c>
      <c r="T110" s="1068">
        <v>60000</v>
      </c>
      <c r="U110" s="1068">
        <v>65000</v>
      </c>
      <c r="V110" s="1068">
        <v>64000</v>
      </c>
      <c r="W110" s="1068">
        <v>75000</v>
      </c>
      <c r="X110" s="1068">
        <v>70000</v>
      </c>
      <c r="Y110" s="1069">
        <f t="shared" si="262"/>
        <v>635000</v>
      </c>
      <c r="Z110" s="1070">
        <v>48720</v>
      </c>
      <c r="AA110" s="1071">
        <v>20880</v>
      </c>
      <c r="AB110" s="1071">
        <v>76560</v>
      </c>
      <c r="AC110" s="1071">
        <f t="shared" si="284"/>
        <v>81310</v>
      </c>
      <c r="AD110" s="1071">
        <f t="shared" si="274"/>
        <v>112450</v>
      </c>
      <c r="AE110" s="1071">
        <f t="shared" si="285"/>
        <v>77850</v>
      </c>
      <c r="AF110" s="1071">
        <f t="shared" si="275"/>
        <v>105600</v>
      </c>
      <c r="AG110" s="1071">
        <f t="shared" si="276"/>
        <v>105600</v>
      </c>
      <c r="AH110" s="1071">
        <f t="shared" si="277"/>
        <v>114400</v>
      </c>
      <c r="AI110" s="1071">
        <f t="shared" si="278"/>
        <v>112640</v>
      </c>
      <c r="AJ110" s="1071">
        <f t="shared" si="279"/>
        <v>132000</v>
      </c>
      <c r="AK110" s="1071">
        <f t="shared" si="280"/>
        <v>123200</v>
      </c>
      <c r="AL110" s="1072">
        <f t="shared" si="263"/>
        <v>1111210</v>
      </c>
      <c r="AM110" s="1067">
        <v>80000</v>
      </c>
      <c r="AN110" s="1068">
        <v>92000</v>
      </c>
      <c r="AO110" s="1068">
        <v>78000</v>
      </c>
      <c r="AP110" s="1068">
        <v>90000</v>
      </c>
      <c r="AQ110" s="1068">
        <v>74000</v>
      </c>
      <c r="AR110" s="1068">
        <v>76000</v>
      </c>
      <c r="AS110" s="1068">
        <v>90000</v>
      </c>
      <c r="AT110" s="1068">
        <v>76000</v>
      </c>
      <c r="AU110" s="1068">
        <v>68000</v>
      </c>
      <c r="AV110" s="1068">
        <v>60000</v>
      </c>
      <c r="AW110" s="1068">
        <v>50000</v>
      </c>
      <c r="AX110" s="1068">
        <v>56000</v>
      </c>
      <c r="AY110" s="1069">
        <f t="shared" si="213"/>
        <v>890000</v>
      </c>
      <c r="AZ110" s="1070">
        <f t="shared" si="264"/>
        <v>140800</v>
      </c>
      <c r="BA110" s="1071">
        <f t="shared" si="264"/>
        <v>161920</v>
      </c>
      <c r="BB110" s="1071">
        <f t="shared" si="264"/>
        <v>137280</v>
      </c>
      <c r="BC110" s="1071">
        <f t="shared" si="264"/>
        <v>158400</v>
      </c>
      <c r="BD110" s="1071">
        <f t="shared" si="264"/>
        <v>130240</v>
      </c>
      <c r="BE110" s="1071">
        <f t="shared" si="264"/>
        <v>133760</v>
      </c>
      <c r="BF110" s="1071">
        <f t="shared" si="264"/>
        <v>158400</v>
      </c>
      <c r="BG110" s="1071">
        <f t="shared" si="264"/>
        <v>133760</v>
      </c>
      <c r="BH110" s="1071">
        <f t="shared" si="264"/>
        <v>119680</v>
      </c>
      <c r="BI110" s="1071">
        <f t="shared" si="264"/>
        <v>105600</v>
      </c>
      <c r="BJ110" s="1071">
        <f t="shared" si="264"/>
        <v>88000</v>
      </c>
      <c r="BK110" s="1071">
        <f t="shared" si="264"/>
        <v>98560</v>
      </c>
      <c r="BL110" s="1072">
        <f t="shared" si="265"/>
        <v>1566400</v>
      </c>
      <c r="BM110" s="1073">
        <f>562087*55%/12</f>
        <v>25762.320833333335</v>
      </c>
      <c r="BN110" s="1068">
        <v>12000</v>
      </c>
      <c r="BO110" s="1068">
        <v>25000</v>
      </c>
      <c r="BP110" s="1068">
        <v>16000</v>
      </c>
      <c r="BQ110" s="1068">
        <v>16000</v>
      </c>
      <c r="BR110" s="1068">
        <v>16000</v>
      </c>
      <c r="BS110" s="1068">
        <v>16000</v>
      </c>
      <c r="BT110" s="1068">
        <v>16000</v>
      </c>
      <c r="BU110" s="1068">
        <v>16000</v>
      </c>
      <c r="BV110" s="1068">
        <v>16000</v>
      </c>
      <c r="BW110" s="1068">
        <v>16000</v>
      </c>
      <c r="BX110" s="1068">
        <v>16000</v>
      </c>
      <c r="BY110" s="1069">
        <f t="shared" si="215"/>
        <v>206762.32083333333</v>
      </c>
      <c r="BZ110" s="1074">
        <f t="shared" si="266"/>
        <v>45341.684666666668</v>
      </c>
      <c r="CA110" s="1071">
        <f t="shared" si="266"/>
        <v>21120</v>
      </c>
      <c r="CB110" s="1071">
        <f t="shared" si="266"/>
        <v>44000</v>
      </c>
      <c r="CC110" s="1071">
        <f t="shared" si="266"/>
        <v>28160</v>
      </c>
      <c r="CD110" s="1071">
        <f t="shared" si="266"/>
        <v>28160</v>
      </c>
      <c r="CE110" s="1071">
        <f t="shared" si="266"/>
        <v>28160</v>
      </c>
      <c r="CF110" s="1071">
        <f t="shared" si="266"/>
        <v>28160</v>
      </c>
      <c r="CG110" s="1071">
        <f t="shared" si="266"/>
        <v>28160</v>
      </c>
      <c r="CH110" s="1071">
        <f t="shared" si="266"/>
        <v>28160</v>
      </c>
      <c r="CI110" s="1071">
        <f t="shared" si="266"/>
        <v>28160</v>
      </c>
      <c r="CJ110" s="1071">
        <f t="shared" si="266"/>
        <v>28160</v>
      </c>
      <c r="CK110" s="1071">
        <f t="shared" si="266"/>
        <v>28160</v>
      </c>
      <c r="CL110" s="1075">
        <f t="shared" si="267"/>
        <v>363901.68466666667</v>
      </c>
      <c r="CM110" s="1073">
        <f>127849/12/2</f>
        <v>5327.041666666667</v>
      </c>
      <c r="CN110" s="1068">
        <f t="shared" si="294"/>
        <v>5327.041666666667</v>
      </c>
      <c r="CO110" s="1068">
        <f t="shared" si="294"/>
        <v>5327.041666666667</v>
      </c>
      <c r="CP110" s="1068">
        <f t="shared" si="294"/>
        <v>5327.041666666667</v>
      </c>
      <c r="CQ110" s="1068">
        <f t="shared" si="294"/>
        <v>5327.041666666667</v>
      </c>
      <c r="CR110" s="1068">
        <f t="shared" si="294"/>
        <v>5327.041666666667</v>
      </c>
      <c r="CS110" s="1068">
        <f t="shared" si="294"/>
        <v>5327.041666666667</v>
      </c>
      <c r="CT110" s="1068">
        <f t="shared" si="294"/>
        <v>5327.041666666667</v>
      </c>
      <c r="CU110" s="1068">
        <f t="shared" si="294"/>
        <v>5327.041666666667</v>
      </c>
      <c r="CV110" s="1068">
        <f t="shared" si="294"/>
        <v>5327.041666666667</v>
      </c>
      <c r="CW110" s="1068">
        <f t="shared" si="294"/>
        <v>5327.041666666667</v>
      </c>
      <c r="CX110" s="1068">
        <f t="shared" si="294"/>
        <v>5327.041666666667</v>
      </c>
      <c r="CY110" s="1069">
        <f t="shared" si="216"/>
        <v>63924.499999999993</v>
      </c>
      <c r="CZ110" s="1070">
        <f t="shared" si="269"/>
        <v>9375.5933333333342</v>
      </c>
      <c r="DA110" s="1071">
        <f t="shared" si="269"/>
        <v>9375.5933333333342</v>
      </c>
      <c r="DB110" s="1071">
        <f t="shared" si="269"/>
        <v>9375.5933333333342</v>
      </c>
      <c r="DC110" s="1071">
        <f t="shared" si="269"/>
        <v>9375.5933333333342</v>
      </c>
      <c r="DD110" s="1071">
        <f t="shared" si="269"/>
        <v>9375.5933333333342</v>
      </c>
      <c r="DE110" s="1071">
        <f t="shared" si="269"/>
        <v>9375.5933333333342</v>
      </c>
      <c r="DF110" s="1071">
        <f t="shared" si="269"/>
        <v>9375.5933333333342</v>
      </c>
      <c r="DG110" s="1071">
        <f t="shared" si="269"/>
        <v>9375.5933333333342</v>
      </c>
      <c r="DH110" s="1071">
        <f t="shared" si="269"/>
        <v>9375.5933333333342</v>
      </c>
      <c r="DI110" s="1071">
        <f t="shared" si="269"/>
        <v>9375.5933333333342</v>
      </c>
      <c r="DJ110" s="1071">
        <f t="shared" si="269"/>
        <v>9375.5933333333342</v>
      </c>
      <c r="DK110" s="1071">
        <f t="shared" si="269"/>
        <v>9375.5933333333342</v>
      </c>
      <c r="DL110" s="1072">
        <f t="shared" si="270"/>
        <v>112507.12000000004</v>
      </c>
      <c r="DM110" s="1067"/>
      <c r="DN110" s="1068"/>
      <c r="DO110" s="1068"/>
      <c r="DP110" s="1068"/>
      <c r="DQ110" s="1068"/>
      <c r="DR110" s="1068"/>
      <c r="DS110" s="1068"/>
      <c r="DT110" s="1068"/>
      <c r="DU110" s="1068"/>
      <c r="DV110" s="1068"/>
      <c r="DW110" s="1068"/>
      <c r="DX110" s="1068"/>
      <c r="DY110" s="1069">
        <f t="shared" si="217"/>
        <v>0</v>
      </c>
      <c r="DZ110" s="1071">
        <f t="shared" si="272"/>
        <v>0</v>
      </c>
      <c r="EA110" s="1071">
        <f t="shared" si="272"/>
        <v>0</v>
      </c>
      <c r="EB110" s="1071">
        <f t="shared" si="272"/>
        <v>0</v>
      </c>
      <c r="EC110" s="1071">
        <f t="shared" si="272"/>
        <v>0</v>
      </c>
      <c r="ED110" s="1071">
        <f t="shared" si="272"/>
        <v>0</v>
      </c>
      <c r="EE110" s="1071">
        <f t="shared" si="272"/>
        <v>0</v>
      </c>
      <c r="EF110" s="1071">
        <f t="shared" si="272"/>
        <v>0</v>
      </c>
      <c r="EG110" s="1071">
        <f t="shared" si="272"/>
        <v>0</v>
      </c>
      <c r="EH110" s="1071">
        <f t="shared" si="272"/>
        <v>0</v>
      </c>
      <c r="EI110" s="1071">
        <f t="shared" si="272"/>
        <v>0</v>
      </c>
      <c r="EJ110" s="1071">
        <f t="shared" si="272"/>
        <v>0</v>
      </c>
      <c r="EK110" s="1071">
        <f t="shared" si="272"/>
        <v>0</v>
      </c>
      <c r="EL110" s="1072">
        <f t="shared" si="273"/>
        <v>0</v>
      </c>
    </row>
    <row r="111" spans="1:142" s="1076" customFormat="1">
      <c r="A111" s="964" t="s">
        <v>718</v>
      </c>
      <c r="B111" s="1059" t="s">
        <v>271</v>
      </c>
      <c r="C111" s="1060" t="s">
        <v>268</v>
      </c>
      <c r="D111" s="1077">
        <v>1.34</v>
      </c>
      <c r="E111" s="1078">
        <v>1.33</v>
      </c>
      <c r="F111" s="1079">
        <v>1.36</v>
      </c>
      <c r="G111" s="1080">
        <f t="shared" si="261"/>
        <v>1.36</v>
      </c>
      <c r="H111" s="1077">
        <f t="shared" si="261"/>
        <v>1.36</v>
      </c>
      <c r="I111" s="1081">
        <f t="shared" si="261"/>
        <v>1.36</v>
      </c>
      <c r="J111" s="1081">
        <f t="shared" si="261"/>
        <v>1.36</v>
      </c>
      <c r="K111" s="1082">
        <f t="shared" si="261"/>
        <v>1.36</v>
      </c>
      <c r="L111" s="1066"/>
      <c r="M111" s="1067">
        <v>13800</v>
      </c>
      <c r="N111" s="1068">
        <v>18960</v>
      </c>
      <c r="O111" s="1068">
        <v>27720</v>
      </c>
      <c r="P111" s="1068">
        <v>19380</v>
      </c>
      <c r="Q111" s="1068">
        <v>9640</v>
      </c>
      <c r="R111" s="1068">
        <v>0</v>
      </c>
      <c r="S111" s="1068"/>
      <c r="T111" s="1068">
        <v>7000</v>
      </c>
      <c r="U111" s="1068">
        <v>8000</v>
      </c>
      <c r="V111" s="1068">
        <v>8000</v>
      </c>
      <c r="W111" s="1068">
        <v>6000</v>
      </c>
      <c r="X111" s="1068">
        <v>10000</v>
      </c>
      <c r="Y111" s="1069">
        <f t="shared" si="262"/>
        <v>128500</v>
      </c>
      <c r="Z111" s="1070">
        <v>18492</v>
      </c>
      <c r="AA111" s="1071">
        <v>25406.400000000001</v>
      </c>
      <c r="AB111" s="1071">
        <v>37144.800000000003</v>
      </c>
      <c r="AC111" s="1071">
        <f t="shared" si="284"/>
        <v>25775.4</v>
      </c>
      <c r="AD111" s="1071">
        <f t="shared" si="274"/>
        <v>12821.2</v>
      </c>
      <c r="AE111" s="1071">
        <f t="shared" si="285"/>
        <v>0</v>
      </c>
      <c r="AF111" s="1071">
        <f t="shared" si="275"/>
        <v>0</v>
      </c>
      <c r="AG111" s="1071">
        <f t="shared" si="276"/>
        <v>9520</v>
      </c>
      <c r="AH111" s="1071">
        <f t="shared" si="277"/>
        <v>10880</v>
      </c>
      <c r="AI111" s="1071">
        <f t="shared" si="278"/>
        <v>10880</v>
      </c>
      <c r="AJ111" s="1071">
        <f t="shared" si="279"/>
        <v>8160.0000000000009</v>
      </c>
      <c r="AK111" s="1071">
        <f t="shared" si="280"/>
        <v>13600.000000000002</v>
      </c>
      <c r="AL111" s="1072">
        <f t="shared" si="263"/>
        <v>172679.8</v>
      </c>
      <c r="AM111" s="1067">
        <v>10000</v>
      </c>
      <c r="AN111" s="1068">
        <v>10000</v>
      </c>
      <c r="AO111" s="1068">
        <v>10000</v>
      </c>
      <c r="AP111" s="1068">
        <v>10000</v>
      </c>
      <c r="AQ111" s="1068">
        <v>10000</v>
      </c>
      <c r="AR111" s="1068">
        <v>14000</v>
      </c>
      <c r="AS111" s="1068">
        <v>14000</v>
      </c>
      <c r="AT111" s="1068">
        <v>14000</v>
      </c>
      <c r="AU111" s="1068">
        <v>12000</v>
      </c>
      <c r="AV111" s="1068">
        <v>12000</v>
      </c>
      <c r="AW111" s="1068">
        <v>9000</v>
      </c>
      <c r="AX111" s="1068">
        <v>0</v>
      </c>
      <c r="AY111" s="1069">
        <f t="shared" si="213"/>
        <v>125000</v>
      </c>
      <c r="AZ111" s="1070">
        <f t="shared" si="264"/>
        <v>13600.000000000002</v>
      </c>
      <c r="BA111" s="1071">
        <f t="shared" si="264"/>
        <v>13600.000000000002</v>
      </c>
      <c r="BB111" s="1071">
        <f t="shared" si="264"/>
        <v>13600.000000000002</v>
      </c>
      <c r="BC111" s="1071">
        <f t="shared" si="264"/>
        <v>13600.000000000002</v>
      </c>
      <c r="BD111" s="1071">
        <f t="shared" si="264"/>
        <v>13600.000000000002</v>
      </c>
      <c r="BE111" s="1071">
        <f t="shared" si="264"/>
        <v>19040</v>
      </c>
      <c r="BF111" s="1071">
        <f t="shared" si="264"/>
        <v>19040</v>
      </c>
      <c r="BG111" s="1071">
        <f t="shared" si="264"/>
        <v>19040</v>
      </c>
      <c r="BH111" s="1071">
        <f t="shared" si="264"/>
        <v>16320.000000000002</v>
      </c>
      <c r="BI111" s="1071">
        <f t="shared" si="264"/>
        <v>16320.000000000002</v>
      </c>
      <c r="BJ111" s="1071">
        <f t="shared" si="264"/>
        <v>12240</v>
      </c>
      <c r="BK111" s="1071">
        <f t="shared" si="264"/>
        <v>0</v>
      </c>
      <c r="BL111" s="1072">
        <f t="shared" si="265"/>
        <v>170000.00000000003</v>
      </c>
      <c r="BM111" s="1073">
        <f>562087*45%/12</f>
        <v>21078.262500000001</v>
      </c>
      <c r="BN111" s="1068">
        <f t="shared" ref="BN111:BX112" si="295">562087*45%/12</f>
        <v>21078.262500000001</v>
      </c>
      <c r="BO111" s="1068">
        <f t="shared" si="295"/>
        <v>21078.262500000001</v>
      </c>
      <c r="BP111" s="1068">
        <f t="shared" si="295"/>
        <v>21078.262500000001</v>
      </c>
      <c r="BQ111" s="1068">
        <f t="shared" si="295"/>
        <v>21078.262500000001</v>
      </c>
      <c r="BR111" s="1068">
        <f t="shared" si="295"/>
        <v>21078.262500000001</v>
      </c>
      <c r="BS111" s="1068">
        <f t="shared" si="295"/>
        <v>21078.262500000001</v>
      </c>
      <c r="BT111" s="1068">
        <f t="shared" si="295"/>
        <v>21078.262500000001</v>
      </c>
      <c r="BU111" s="1068">
        <f t="shared" si="295"/>
        <v>21078.262500000001</v>
      </c>
      <c r="BV111" s="1068">
        <f t="shared" si="295"/>
        <v>21078.262500000001</v>
      </c>
      <c r="BW111" s="1068">
        <f t="shared" si="295"/>
        <v>21078.262500000001</v>
      </c>
      <c r="BX111" s="1068">
        <f t="shared" si="295"/>
        <v>21078.262500000001</v>
      </c>
      <c r="BY111" s="1069">
        <f t="shared" si="215"/>
        <v>252939.15000000005</v>
      </c>
      <c r="BZ111" s="1074">
        <f t="shared" si="266"/>
        <v>28666.437000000002</v>
      </c>
      <c r="CA111" s="1071">
        <f t="shared" si="266"/>
        <v>28666.437000000002</v>
      </c>
      <c r="CB111" s="1071">
        <f t="shared" si="266"/>
        <v>28666.437000000002</v>
      </c>
      <c r="CC111" s="1071">
        <f t="shared" si="266"/>
        <v>28666.437000000002</v>
      </c>
      <c r="CD111" s="1071">
        <f t="shared" si="266"/>
        <v>28666.437000000002</v>
      </c>
      <c r="CE111" s="1071">
        <f t="shared" si="266"/>
        <v>28666.437000000002</v>
      </c>
      <c r="CF111" s="1071">
        <f t="shared" si="266"/>
        <v>28666.437000000002</v>
      </c>
      <c r="CG111" s="1071">
        <f t="shared" si="266"/>
        <v>28666.437000000002</v>
      </c>
      <c r="CH111" s="1071">
        <f t="shared" si="266"/>
        <v>28666.437000000002</v>
      </c>
      <c r="CI111" s="1071">
        <f t="shared" si="266"/>
        <v>28666.437000000002</v>
      </c>
      <c r="CJ111" s="1071">
        <f t="shared" si="266"/>
        <v>28666.437000000002</v>
      </c>
      <c r="CK111" s="1071">
        <f t="shared" si="266"/>
        <v>28666.437000000002</v>
      </c>
      <c r="CL111" s="1075">
        <f t="shared" si="267"/>
        <v>343997.24399999995</v>
      </c>
      <c r="CM111" s="1073">
        <f>127849/12/2</f>
        <v>5327.041666666667</v>
      </c>
      <c r="CN111" s="1068">
        <f t="shared" si="294"/>
        <v>5327.041666666667</v>
      </c>
      <c r="CO111" s="1068">
        <f t="shared" si="294"/>
        <v>5327.041666666667</v>
      </c>
      <c r="CP111" s="1068">
        <f t="shared" si="294"/>
        <v>5327.041666666667</v>
      </c>
      <c r="CQ111" s="1068">
        <f t="shared" si="294"/>
        <v>5327.041666666667</v>
      </c>
      <c r="CR111" s="1068">
        <f t="shared" si="294"/>
        <v>5327.041666666667</v>
      </c>
      <c r="CS111" s="1068">
        <f t="shared" si="294"/>
        <v>5327.041666666667</v>
      </c>
      <c r="CT111" s="1068">
        <f t="shared" si="294"/>
        <v>5327.041666666667</v>
      </c>
      <c r="CU111" s="1068">
        <f t="shared" si="294"/>
        <v>5327.041666666667</v>
      </c>
      <c r="CV111" s="1068">
        <f t="shared" si="294"/>
        <v>5327.041666666667</v>
      </c>
      <c r="CW111" s="1068">
        <f t="shared" si="294"/>
        <v>5327.041666666667</v>
      </c>
      <c r="CX111" s="1068">
        <f t="shared" si="294"/>
        <v>5327.041666666667</v>
      </c>
      <c r="CY111" s="1069">
        <f t="shared" si="216"/>
        <v>63924.499999999993</v>
      </c>
      <c r="CZ111" s="1070">
        <f t="shared" si="269"/>
        <v>7244.7766666666676</v>
      </c>
      <c r="DA111" s="1071">
        <f t="shared" si="269"/>
        <v>7244.7766666666676</v>
      </c>
      <c r="DB111" s="1071">
        <f t="shared" si="269"/>
        <v>7244.7766666666676</v>
      </c>
      <c r="DC111" s="1071">
        <f t="shared" si="269"/>
        <v>7244.7766666666676</v>
      </c>
      <c r="DD111" s="1071">
        <f t="shared" si="269"/>
        <v>7244.7766666666676</v>
      </c>
      <c r="DE111" s="1071">
        <f t="shared" si="269"/>
        <v>7244.7766666666676</v>
      </c>
      <c r="DF111" s="1071">
        <f t="shared" si="269"/>
        <v>7244.7766666666676</v>
      </c>
      <c r="DG111" s="1071">
        <f t="shared" si="269"/>
        <v>7244.7766666666676</v>
      </c>
      <c r="DH111" s="1071">
        <f t="shared" si="269"/>
        <v>7244.7766666666676</v>
      </c>
      <c r="DI111" s="1071">
        <f t="shared" si="269"/>
        <v>7244.7766666666676</v>
      </c>
      <c r="DJ111" s="1071">
        <f t="shared" si="269"/>
        <v>7244.7766666666676</v>
      </c>
      <c r="DK111" s="1071">
        <f t="shared" si="269"/>
        <v>7244.7766666666676</v>
      </c>
      <c r="DL111" s="1072">
        <f t="shared" si="270"/>
        <v>86937.32</v>
      </c>
      <c r="DM111" s="1067"/>
      <c r="DN111" s="1068"/>
      <c r="DO111" s="1068"/>
      <c r="DP111" s="1068"/>
      <c r="DQ111" s="1068"/>
      <c r="DR111" s="1068"/>
      <c r="DS111" s="1068"/>
      <c r="DT111" s="1068"/>
      <c r="DU111" s="1068"/>
      <c r="DV111" s="1068"/>
      <c r="DW111" s="1068"/>
      <c r="DX111" s="1068"/>
      <c r="DY111" s="1069">
        <f t="shared" si="217"/>
        <v>0</v>
      </c>
      <c r="DZ111" s="1071">
        <f t="shared" si="272"/>
        <v>0</v>
      </c>
      <c r="EA111" s="1071">
        <f t="shared" si="272"/>
        <v>0</v>
      </c>
      <c r="EB111" s="1071">
        <f t="shared" si="272"/>
        <v>0</v>
      </c>
      <c r="EC111" s="1071">
        <f t="shared" si="272"/>
        <v>0</v>
      </c>
      <c r="ED111" s="1071">
        <f t="shared" si="272"/>
        <v>0</v>
      </c>
      <c r="EE111" s="1071">
        <f t="shared" si="272"/>
        <v>0</v>
      </c>
      <c r="EF111" s="1071">
        <f t="shared" si="272"/>
        <v>0</v>
      </c>
      <c r="EG111" s="1071">
        <f t="shared" si="272"/>
        <v>0</v>
      </c>
      <c r="EH111" s="1071">
        <f t="shared" si="272"/>
        <v>0</v>
      </c>
      <c r="EI111" s="1071">
        <f t="shared" si="272"/>
        <v>0</v>
      </c>
      <c r="EJ111" s="1071">
        <f t="shared" si="272"/>
        <v>0</v>
      </c>
      <c r="EK111" s="1071">
        <f t="shared" si="272"/>
        <v>0</v>
      </c>
      <c r="EL111" s="1072">
        <f t="shared" si="273"/>
        <v>0</v>
      </c>
    </row>
    <row r="112" spans="1:142" s="1076" customFormat="1">
      <c r="A112" s="964" t="s">
        <v>718</v>
      </c>
      <c r="B112" s="1059" t="s">
        <v>272</v>
      </c>
      <c r="C112" s="1060" t="s">
        <v>270</v>
      </c>
      <c r="D112" s="1077">
        <v>1.9</v>
      </c>
      <c r="E112" s="1078">
        <v>1.89</v>
      </c>
      <c r="F112" s="1079">
        <v>1.9</v>
      </c>
      <c r="G112" s="1080">
        <f t="shared" si="261"/>
        <v>1.9</v>
      </c>
      <c r="H112" s="1077">
        <f t="shared" si="261"/>
        <v>1.9</v>
      </c>
      <c r="I112" s="1081">
        <f t="shared" si="261"/>
        <v>1.9</v>
      </c>
      <c r="J112" s="1081">
        <f t="shared" si="261"/>
        <v>1.9</v>
      </c>
      <c r="K112" s="1082">
        <f t="shared" si="261"/>
        <v>1.9</v>
      </c>
      <c r="L112" s="1066"/>
      <c r="M112" s="1067">
        <v>9660</v>
      </c>
      <c r="N112" s="1068">
        <v>22860</v>
      </c>
      <c r="O112" s="1068">
        <v>27720</v>
      </c>
      <c r="P112" s="1068">
        <v>19380</v>
      </c>
      <c r="Q112" s="1068">
        <v>9640</v>
      </c>
      <c r="R112" s="1068">
        <v>0</v>
      </c>
      <c r="S112" s="1068"/>
      <c r="T112" s="1068">
        <v>7000</v>
      </c>
      <c r="U112" s="1068">
        <v>8000</v>
      </c>
      <c r="V112" s="1068">
        <v>8000</v>
      </c>
      <c r="W112" s="1068">
        <v>6000</v>
      </c>
      <c r="X112" s="1068">
        <v>10000</v>
      </c>
      <c r="Y112" s="1069">
        <f t="shared" si="262"/>
        <v>128260</v>
      </c>
      <c r="Z112" s="1070">
        <v>18354</v>
      </c>
      <c r="AA112" s="1071">
        <v>43434</v>
      </c>
      <c r="AB112" s="1071">
        <v>52668</v>
      </c>
      <c r="AC112" s="1071">
        <f t="shared" si="284"/>
        <v>36628.199999999997</v>
      </c>
      <c r="AD112" s="1071">
        <f t="shared" si="274"/>
        <v>18219.599999999999</v>
      </c>
      <c r="AE112" s="1071">
        <f t="shared" si="285"/>
        <v>0</v>
      </c>
      <c r="AF112" s="1071">
        <f t="shared" si="275"/>
        <v>0</v>
      </c>
      <c r="AG112" s="1071">
        <f t="shared" si="276"/>
        <v>13300</v>
      </c>
      <c r="AH112" s="1071">
        <f t="shared" si="277"/>
        <v>15200</v>
      </c>
      <c r="AI112" s="1071">
        <f t="shared" si="278"/>
        <v>15200</v>
      </c>
      <c r="AJ112" s="1071">
        <f t="shared" si="279"/>
        <v>11400</v>
      </c>
      <c r="AK112" s="1071">
        <f t="shared" si="280"/>
        <v>19000</v>
      </c>
      <c r="AL112" s="1072">
        <f t="shared" si="263"/>
        <v>243403.80000000002</v>
      </c>
      <c r="AM112" s="1067">
        <v>10000</v>
      </c>
      <c r="AN112" s="1068">
        <v>10000</v>
      </c>
      <c r="AO112" s="1068">
        <v>10000</v>
      </c>
      <c r="AP112" s="1068">
        <v>10000</v>
      </c>
      <c r="AQ112" s="1068">
        <v>10000</v>
      </c>
      <c r="AR112" s="1068">
        <v>14000</v>
      </c>
      <c r="AS112" s="1068">
        <v>14000</v>
      </c>
      <c r="AT112" s="1068">
        <v>14000</v>
      </c>
      <c r="AU112" s="1068">
        <v>12000</v>
      </c>
      <c r="AV112" s="1068">
        <v>12000</v>
      </c>
      <c r="AW112" s="1068">
        <v>9000</v>
      </c>
      <c r="AX112" s="1068">
        <v>0</v>
      </c>
      <c r="AY112" s="1069">
        <f t="shared" si="213"/>
        <v>125000</v>
      </c>
      <c r="AZ112" s="1070">
        <f t="shared" si="264"/>
        <v>19000</v>
      </c>
      <c r="BA112" s="1071">
        <f t="shared" si="264"/>
        <v>19000</v>
      </c>
      <c r="BB112" s="1071">
        <f t="shared" si="264"/>
        <v>19000</v>
      </c>
      <c r="BC112" s="1071">
        <f t="shared" si="264"/>
        <v>19000</v>
      </c>
      <c r="BD112" s="1071">
        <f t="shared" si="264"/>
        <v>19000</v>
      </c>
      <c r="BE112" s="1071">
        <f t="shared" si="264"/>
        <v>26600</v>
      </c>
      <c r="BF112" s="1071">
        <f t="shared" si="264"/>
        <v>26600</v>
      </c>
      <c r="BG112" s="1071">
        <f t="shared" si="264"/>
        <v>26600</v>
      </c>
      <c r="BH112" s="1071">
        <f t="shared" si="264"/>
        <v>22800</v>
      </c>
      <c r="BI112" s="1071">
        <f t="shared" si="264"/>
        <v>22800</v>
      </c>
      <c r="BJ112" s="1071">
        <f t="shared" si="264"/>
        <v>17100</v>
      </c>
      <c r="BK112" s="1071">
        <f t="shared" si="264"/>
        <v>0</v>
      </c>
      <c r="BL112" s="1072">
        <f t="shared" si="265"/>
        <v>237500</v>
      </c>
      <c r="BM112" s="1073">
        <f>562087*45%/12</f>
        <v>21078.262500000001</v>
      </c>
      <c r="BN112" s="1068">
        <f t="shared" si="295"/>
        <v>21078.262500000001</v>
      </c>
      <c r="BO112" s="1068">
        <f t="shared" si="295"/>
        <v>21078.262500000001</v>
      </c>
      <c r="BP112" s="1068">
        <f t="shared" si="295"/>
        <v>21078.262500000001</v>
      </c>
      <c r="BQ112" s="1068">
        <f t="shared" si="295"/>
        <v>21078.262500000001</v>
      </c>
      <c r="BR112" s="1068">
        <f t="shared" si="295"/>
        <v>21078.262500000001</v>
      </c>
      <c r="BS112" s="1068">
        <f t="shared" si="295"/>
        <v>21078.262500000001</v>
      </c>
      <c r="BT112" s="1068">
        <f t="shared" si="295"/>
        <v>21078.262500000001</v>
      </c>
      <c r="BU112" s="1068">
        <f t="shared" si="295"/>
        <v>21078.262500000001</v>
      </c>
      <c r="BV112" s="1068">
        <f t="shared" si="295"/>
        <v>21078.262500000001</v>
      </c>
      <c r="BW112" s="1068">
        <f t="shared" si="295"/>
        <v>21078.262500000001</v>
      </c>
      <c r="BX112" s="1068">
        <f t="shared" si="295"/>
        <v>21078.262500000001</v>
      </c>
      <c r="BY112" s="1069">
        <f t="shared" si="215"/>
        <v>252939.15000000005</v>
      </c>
      <c r="BZ112" s="1074">
        <f t="shared" si="266"/>
        <v>40048.698749999996</v>
      </c>
      <c r="CA112" s="1071">
        <f t="shared" si="266"/>
        <v>40048.698749999996</v>
      </c>
      <c r="CB112" s="1071">
        <f t="shared" si="266"/>
        <v>40048.698749999996</v>
      </c>
      <c r="CC112" s="1071">
        <f t="shared" si="266"/>
        <v>40048.698749999996</v>
      </c>
      <c r="CD112" s="1071">
        <f t="shared" si="266"/>
        <v>40048.698749999996</v>
      </c>
      <c r="CE112" s="1071">
        <f t="shared" si="266"/>
        <v>40048.698749999996</v>
      </c>
      <c r="CF112" s="1071">
        <f t="shared" si="266"/>
        <v>40048.698749999996</v>
      </c>
      <c r="CG112" s="1071">
        <f t="shared" si="266"/>
        <v>40048.698749999996</v>
      </c>
      <c r="CH112" s="1071">
        <f t="shared" si="266"/>
        <v>40048.698749999996</v>
      </c>
      <c r="CI112" s="1071">
        <f t="shared" si="266"/>
        <v>40048.698749999996</v>
      </c>
      <c r="CJ112" s="1071">
        <f t="shared" si="266"/>
        <v>40048.698749999996</v>
      </c>
      <c r="CK112" s="1071">
        <f t="shared" si="266"/>
        <v>40048.698749999996</v>
      </c>
      <c r="CL112" s="1075">
        <f t="shared" si="267"/>
        <v>480584.38499999983</v>
      </c>
      <c r="CM112" s="1073">
        <f>127849/12/2</f>
        <v>5327.041666666667</v>
      </c>
      <c r="CN112" s="1068">
        <f t="shared" si="294"/>
        <v>5327.041666666667</v>
      </c>
      <c r="CO112" s="1068">
        <f t="shared" si="294"/>
        <v>5327.041666666667</v>
      </c>
      <c r="CP112" s="1068">
        <f t="shared" si="294"/>
        <v>5327.041666666667</v>
      </c>
      <c r="CQ112" s="1068">
        <f t="shared" si="294"/>
        <v>5327.041666666667</v>
      </c>
      <c r="CR112" s="1068">
        <f t="shared" si="294"/>
        <v>5327.041666666667</v>
      </c>
      <c r="CS112" s="1068">
        <f t="shared" si="294"/>
        <v>5327.041666666667</v>
      </c>
      <c r="CT112" s="1068">
        <f t="shared" si="294"/>
        <v>5327.041666666667</v>
      </c>
      <c r="CU112" s="1068">
        <f t="shared" si="294"/>
        <v>5327.041666666667</v>
      </c>
      <c r="CV112" s="1068">
        <f t="shared" si="294"/>
        <v>5327.041666666667</v>
      </c>
      <c r="CW112" s="1068">
        <f t="shared" si="294"/>
        <v>5327.041666666667</v>
      </c>
      <c r="CX112" s="1068">
        <f t="shared" si="294"/>
        <v>5327.041666666667</v>
      </c>
      <c r="CY112" s="1069">
        <f t="shared" si="216"/>
        <v>63924.499999999993</v>
      </c>
      <c r="CZ112" s="1070">
        <f t="shared" si="269"/>
        <v>10121.379166666668</v>
      </c>
      <c r="DA112" s="1071">
        <f t="shared" si="269"/>
        <v>10121.379166666668</v>
      </c>
      <c r="DB112" s="1071">
        <f t="shared" si="269"/>
        <v>10121.379166666668</v>
      </c>
      <c r="DC112" s="1071">
        <f t="shared" si="269"/>
        <v>10121.379166666668</v>
      </c>
      <c r="DD112" s="1071">
        <f t="shared" si="269"/>
        <v>10121.379166666668</v>
      </c>
      <c r="DE112" s="1071">
        <f t="shared" si="269"/>
        <v>10121.379166666668</v>
      </c>
      <c r="DF112" s="1071">
        <f t="shared" si="269"/>
        <v>10121.379166666668</v>
      </c>
      <c r="DG112" s="1071">
        <f t="shared" si="269"/>
        <v>10121.379166666668</v>
      </c>
      <c r="DH112" s="1071">
        <f t="shared" si="269"/>
        <v>10121.379166666668</v>
      </c>
      <c r="DI112" s="1071">
        <f t="shared" si="269"/>
        <v>10121.379166666668</v>
      </c>
      <c r="DJ112" s="1071">
        <f t="shared" si="269"/>
        <v>10121.379166666668</v>
      </c>
      <c r="DK112" s="1071">
        <f t="shared" si="269"/>
        <v>10121.379166666668</v>
      </c>
      <c r="DL112" s="1072">
        <f t="shared" si="270"/>
        <v>121456.55</v>
      </c>
      <c r="DM112" s="1067"/>
      <c r="DN112" s="1068"/>
      <c r="DO112" s="1068"/>
      <c r="DP112" s="1068"/>
      <c r="DQ112" s="1068"/>
      <c r="DR112" s="1068"/>
      <c r="DS112" s="1068"/>
      <c r="DT112" s="1068"/>
      <c r="DU112" s="1068"/>
      <c r="DV112" s="1068"/>
      <c r="DW112" s="1068"/>
      <c r="DX112" s="1068"/>
      <c r="DY112" s="1069">
        <f t="shared" si="217"/>
        <v>0</v>
      </c>
      <c r="DZ112" s="1071">
        <f t="shared" si="272"/>
        <v>0</v>
      </c>
      <c r="EA112" s="1071">
        <f t="shared" si="272"/>
        <v>0</v>
      </c>
      <c r="EB112" s="1071">
        <f t="shared" si="272"/>
        <v>0</v>
      </c>
      <c r="EC112" s="1071">
        <f t="shared" si="272"/>
        <v>0</v>
      </c>
      <c r="ED112" s="1071">
        <f t="shared" si="272"/>
        <v>0</v>
      </c>
      <c r="EE112" s="1071">
        <f t="shared" si="272"/>
        <v>0</v>
      </c>
      <c r="EF112" s="1071">
        <f t="shared" si="272"/>
        <v>0</v>
      </c>
      <c r="EG112" s="1071">
        <f t="shared" si="272"/>
        <v>0</v>
      </c>
      <c r="EH112" s="1071">
        <f t="shared" si="272"/>
        <v>0</v>
      </c>
      <c r="EI112" s="1071">
        <f t="shared" si="272"/>
        <v>0</v>
      </c>
      <c r="EJ112" s="1071">
        <f t="shared" si="272"/>
        <v>0</v>
      </c>
      <c r="EK112" s="1071">
        <f t="shared" si="272"/>
        <v>0</v>
      </c>
      <c r="EL112" s="1072">
        <f t="shared" si="273"/>
        <v>0</v>
      </c>
    </row>
    <row r="113" spans="1:142" s="1076" customFormat="1">
      <c r="A113" s="964" t="s">
        <v>718</v>
      </c>
      <c r="B113" s="1059" t="s">
        <v>83</v>
      </c>
      <c r="C113" s="1060"/>
      <c r="D113" s="1084">
        <v>4.34</v>
      </c>
      <c r="E113" s="1078">
        <f>D113</f>
        <v>4.34</v>
      </c>
      <c r="F113" s="1079">
        <v>4.3899999999999997</v>
      </c>
      <c r="G113" s="1080">
        <f t="shared" si="261"/>
        <v>4.3899999999999997</v>
      </c>
      <c r="H113" s="1084">
        <f t="shared" si="261"/>
        <v>4.3899999999999997</v>
      </c>
      <c r="I113" s="1078">
        <f t="shared" si="261"/>
        <v>4.3899999999999997</v>
      </c>
      <c r="J113" s="1078">
        <f t="shared" si="261"/>
        <v>4.3899999999999997</v>
      </c>
      <c r="K113" s="1085">
        <f t="shared" si="261"/>
        <v>4.3899999999999997</v>
      </c>
      <c r="L113" s="1066"/>
      <c r="M113" s="1067">
        <v>0</v>
      </c>
      <c r="N113" s="1068">
        <v>3200</v>
      </c>
      <c r="O113" s="1068">
        <v>4000</v>
      </c>
      <c r="P113" s="1068">
        <v>4000</v>
      </c>
      <c r="Q113" s="1068">
        <v>2000</v>
      </c>
      <c r="R113" s="1068">
        <v>3000</v>
      </c>
      <c r="S113" s="1068"/>
      <c r="T113" s="1068"/>
      <c r="U113" s="1068"/>
      <c r="V113" s="1068"/>
      <c r="W113" s="1068"/>
      <c r="X113" s="1068"/>
      <c r="Y113" s="1069">
        <f t="shared" si="262"/>
        <v>16200</v>
      </c>
      <c r="Z113" s="1070">
        <v>0</v>
      </c>
      <c r="AA113" s="1071">
        <v>13888</v>
      </c>
      <c r="AB113" s="1071">
        <v>19360</v>
      </c>
      <c r="AC113" s="1071">
        <f t="shared" si="284"/>
        <v>17360</v>
      </c>
      <c r="AD113" s="1071">
        <f t="shared" si="274"/>
        <v>8680</v>
      </c>
      <c r="AE113" s="1071">
        <f t="shared" si="285"/>
        <v>13020</v>
      </c>
      <c r="AF113" s="1071">
        <f t="shared" si="275"/>
        <v>0</v>
      </c>
      <c r="AG113" s="1071">
        <f t="shared" si="276"/>
        <v>0</v>
      </c>
      <c r="AH113" s="1071">
        <f t="shared" si="277"/>
        <v>0</v>
      </c>
      <c r="AI113" s="1071">
        <f t="shared" si="278"/>
        <v>0</v>
      </c>
      <c r="AJ113" s="1071">
        <f t="shared" si="279"/>
        <v>0</v>
      </c>
      <c r="AK113" s="1071">
        <f t="shared" si="280"/>
        <v>0</v>
      </c>
      <c r="AL113" s="1072">
        <f t="shared" si="263"/>
        <v>72308</v>
      </c>
      <c r="AM113" s="1067"/>
      <c r="AN113" s="1068"/>
      <c r="AO113" s="1068"/>
      <c r="AP113" s="1068"/>
      <c r="AQ113" s="1068"/>
      <c r="AR113" s="1068"/>
      <c r="AS113" s="1068"/>
      <c r="AT113" s="1068"/>
      <c r="AU113" s="1068"/>
      <c r="AV113" s="1068"/>
      <c r="AW113" s="1068"/>
      <c r="AX113" s="1068"/>
      <c r="AY113" s="1069">
        <f t="shared" si="213"/>
        <v>0</v>
      </c>
      <c r="AZ113" s="1070">
        <f t="shared" si="264"/>
        <v>0</v>
      </c>
      <c r="BA113" s="1071">
        <f t="shared" si="264"/>
        <v>0</v>
      </c>
      <c r="BB113" s="1071">
        <f t="shared" si="264"/>
        <v>0</v>
      </c>
      <c r="BC113" s="1071">
        <f t="shared" si="264"/>
        <v>0</v>
      </c>
      <c r="BD113" s="1071">
        <f t="shared" si="264"/>
        <v>0</v>
      </c>
      <c r="BE113" s="1071">
        <f t="shared" si="264"/>
        <v>0</v>
      </c>
      <c r="BF113" s="1071">
        <f t="shared" si="264"/>
        <v>0</v>
      </c>
      <c r="BG113" s="1071">
        <f t="shared" si="264"/>
        <v>0</v>
      </c>
      <c r="BH113" s="1071">
        <f t="shared" si="264"/>
        <v>0</v>
      </c>
      <c r="BI113" s="1071">
        <f t="shared" si="264"/>
        <v>0</v>
      </c>
      <c r="BJ113" s="1071">
        <f t="shared" si="264"/>
        <v>0</v>
      </c>
      <c r="BK113" s="1071">
        <f t="shared" si="264"/>
        <v>0</v>
      </c>
      <c r="BL113" s="1072">
        <f t="shared" si="265"/>
        <v>0</v>
      </c>
      <c r="BM113" s="1073"/>
      <c r="BN113" s="1068"/>
      <c r="BO113" s="1068"/>
      <c r="BP113" s="1068"/>
      <c r="BQ113" s="1068"/>
      <c r="BR113" s="1068"/>
      <c r="BS113" s="1068"/>
      <c r="BT113" s="1068"/>
      <c r="BU113" s="1068"/>
      <c r="BV113" s="1068"/>
      <c r="BW113" s="1068"/>
      <c r="BX113" s="1068"/>
      <c r="BY113" s="1069">
        <f t="shared" si="215"/>
        <v>0</v>
      </c>
      <c r="BZ113" s="1074">
        <f t="shared" si="266"/>
        <v>0</v>
      </c>
      <c r="CA113" s="1071">
        <f t="shared" si="266"/>
        <v>0</v>
      </c>
      <c r="CB113" s="1071">
        <f t="shared" si="266"/>
        <v>0</v>
      </c>
      <c r="CC113" s="1071">
        <f t="shared" si="266"/>
        <v>0</v>
      </c>
      <c r="CD113" s="1071">
        <f t="shared" si="266"/>
        <v>0</v>
      </c>
      <c r="CE113" s="1071">
        <f t="shared" si="266"/>
        <v>0</v>
      </c>
      <c r="CF113" s="1071">
        <f t="shared" si="266"/>
        <v>0</v>
      </c>
      <c r="CG113" s="1071">
        <f t="shared" si="266"/>
        <v>0</v>
      </c>
      <c r="CH113" s="1071">
        <f t="shared" si="266"/>
        <v>0</v>
      </c>
      <c r="CI113" s="1071">
        <f t="shared" si="266"/>
        <v>0</v>
      </c>
      <c r="CJ113" s="1071">
        <f t="shared" si="266"/>
        <v>0</v>
      </c>
      <c r="CK113" s="1071">
        <f t="shared" si="266"/>
        <v>0</v>
      </c>
      <c r="CL113" s="1075">
        <f t="shared" si="267"/>
        <v>0</v>
      </c>
      <c r="CM113" s="1073"/>
      <c r="CN113" s="1068"/>
      <c r="CO113" s="1068"/>
      <c r="CP113" s="1068"/>
      <c r="CQ113" s="1068"/>
      <c r="CR113" s="1068"/>
      <c r="CS113" s="1068"/>
      <c r="CT113" s="1068"/>
      <c r="CU113" s="1068"/>
      <c r="CV113" s="1068"/>
      <c r="CW113" s="1068"/>
      <c r="CX113" s="1068"/>
      <c r="CY113" s="1069">
        <f t="shared" si="216"/>
        <v>0</v>
      </c>
      <c r="CZ113" s="1070">
        <f t="shared" si="269"/>
        <v>0</v>
      </c>
      <c r="DA113" s="1071">
        <f t="shared" si="269"/>
        <v>0</v>
      </c>
      <c r="DB113" s="1071">
        <f t="shared" si="269"/>
        <v>0</v>
      </c>
      <c r="DC113" s="1071">
        <f t="shared" si="269"/>
        <v>0</v>
      </c>
      <c r="DD113" s="1071">
        <f t="shared" si="269"/>
        <v>0</v>
      </c>
      <c r="DE113" s="1071">
        <f t="shared" si="269"/>
        <v>0</v>
      </c>
      <c r="DF113" s="1071">
        <f t="shared" si="269"/>
        <v>0</v>
      </c>
      <c r="DG113" s="1071">
        <f t="shared" si="269"/>
        <v>0</v>
      </c>
      <c r="DH113" s="1071">
        <f t="shared" si="269"/>
        <v>0</v>
      </c>
      <c r="DI113" s="1071">
        <f t="shared" si="269"/>
        <v>0</v>
      </c>
      <c r="DJ113" s="1071">
        <f t="shared" si="269"/>
        <v>0</v>
      </c>
      <c r="DK113" s="1071">
        <f t="shared" si="269"/>
        <v>0</v>
      </c>
      <c r="DL113" s="1072">
        <f t="shared" si="270"/>
        <v>0</v>
      </c>
      <c r="DM113" s="1067"/>
      <c r="DN113" s="1068"/>
      <c r="DO113" s="1068"/>
      <c r="DP113" s="1068"/>
      <c r="DQ113" s="1068"/>
      <c r="DR113" s="1068"/>
      <c r="DS113" s="1068"/>
      <c r="DT113" s="1068"/>
      <c r="DU113" s="1068"/>
      <c r="DV113" s="1068"/>
      <c r="DW113" s="1068"/>
      <c r="DX113" s="1068"/>
      <c r="DY113" s="1069">
        <f t="shared" si="217"/>
        <v>0</v>
      </c>
      <c r="DZ113" s="1071">
        <f t="shared" si="272"/>
        <v>0</v>
      </c>
      <c r="EA113" s="1071">
        <f t="shared" si="272"/>
        <v>0</v>
      </c>
      <c r="EB113" s="1071">
        <f t="shared" si="272"/>
        <v>0</v>
      </c>
      <c r="EC113" s="1071">
        <f t="shared" si="272"/>
        <v>0</v>
      </c>
      <c r="ED113" s="1071">
        <f t="shared" si="272"/>
        <v>0</v>
      </c>
      <c r="EE113" s="1071">
        <f t="shared" si="272"/>
        <v>0</v>
      </c>
      <c r="EF113" s="1071">
        <f t="shared" si="272"/>
        <v>0</v>
      </c>
      <c r="EG113" s="1071">
        <f t="shared" si="272"/>
        <v>0</v>
      </c>
      <c r="EH113" s="1071">
        <f t="shared" si="272"/>
        <v>0</v>
      </c>
      <c r="EI113" s="1071">
        <f t="shared" si="272"/>
        <v>0</v>
      </c>
      <c r="EJ113" s="1071">
        <f t="shared" si="272"/>
        <v>0</v>
      </c>
      <c r="EK113" s="1071">
        <f t="shared" si="272"/>
        <v>0</v>
      </c>
      <c r="EL113" s="1072">
        <f t="shared" si="273"/>
        <v>0</v>
      </c>
    </row>
    <row r="114" spans="1:142" s="1076" customFormat="1">
      <c r="A114" s="964" t="s">
        <v>718</v>
      </c>
      <c r="B114" s="1059" t="s">
        <v>273</v>
      </c>
      <c r="C114" s="1060" t="s">
        <v>274</v>
      </c>
      <c r="D114" s="1084">
        <v>4.8600000000000003</v>
      </c>
      <c r="E114" s="1078">
        <v>4.88</v>
      </c>
      <c r="F114" s="1079">
        <v>5.01</v>
      </c>
      <c r="G114" s="1080">
        <f t="shared" ref="G114:K115" si="296">F114</f>
        <v>5.01</v>
      </c>
      <c r="H114" s="1084">
        <f t="shared" si="296"/>
        <v>5.01</v>
      </c>
      <c r="I114" s="1078">
        <f t="shared" si="296"/>
        <v>5.01</v>
      </c>
      <c r="J114" s="1078">
        <f t="shared" si="296"/>
        <v>5.01</v>
      </c>
      <c r="K114" s="1085">
        <f t="shared" si="296"/>
        <v>5.01</v>
      </c>
      <c r="L114" s="1066"/>
      <c r="M114" s="1067">
        <v>2688</v>
      </c>
      <c r="N114" s="1068">
        <v>4998</v>
      </c>
      <c r="O114" s="1068">
        <v>1000</v>
      </c>
      <c r="P114" s="1068">
        <v>4536</v>
      </c>
      <c r="Q114" s="1068">
        <v>1650</v>
      </c>
      <c r="R114" s="1068">
        <f>1650*2</f>
        <v>3300</v>
      </c>
      <c r="S114" s="1068">
        <v>1650</v>
      </c>
      <c r="T114" s="1068">
        <f>1650*2</f>
        <v>3300</v>
      </c>
      <c r="U114" s="1068">
        <v>1650</v>
      </c>
      <c r="V114" s="1068">
        <f>1650+1100</f>
        <v>2750</v>
      </c>
      <c r="W114" s="1068">
        <v>6050</v>
      </c>
      <c r="X114" s="1068">
        <v>5500</v>
      </c>
      <c r="Y114" s="1069">
        <f t="shared" si="262"/>
        <v>39072</v>
      </c>
      <c r="Z114" s="1070">
        <v>13063.68</v>
      </c>
      <c r="AA114" s="1071">
        <v>24290.280000000002</v>
      </c>
      <c r="AB114" s="1071">
        <v>4860</v>
      </c>
      <c r="AC114" s="1071">
        <f t="shared" si="284"/>
        <v>22135.68</v>
      </c>
      <c r="AD114" s="1071">
        <f t="shared" si="274"/>
        <v>8052</v>
      </c>
      <c r="AE114" s="1071">
        <f t="shared" si="285"/>
        <v>16104</v>
      </c>
      <c r="AF114" s="1071">
        <f t="shared" si="275"/>
        <v>8266.5</v>
      </c>
      <c r="AG114" s="1071">
        <f t="shared" si="276"/>
        <v>16533</v>
      </c>
      <c r="AH114" s="1071">
        <f t="shared" si="277"/>
        <v>8266.5</v>
      </c>
      <c r="AI114" s="1071">
        <f t="shared" si="278"/>
        <v>13777.5</v>
      </c>
      <c r="AJ114" s="1071">
        <f t="shared" si="279"/>
        <v>30310.5</v>
      </c>
      <c r="AK114" s="1071">
        <f t="shared" si="280"/>
        <v>27555</v>
      </c>
      <c r="AL114" s="1072">
        <f t="shared" si="263"/>
        <v>193214.64</v>
      </c>
      <c r="AM114" s="1067">
        <f>1650*3+550</f>
        <v>5500</v>
      </c>
      <c r="AN114" s="1068">
        <v>6600</v>
      </c>
      <c r="AO114" s="1068">
        <v>5500</v>
      </c>
      <c r="AP114" s="1068">
        <v>4300</v>
      </c>
      <c r="AQ114" s="1068">
        <v>5300</v>
      </c>
      <c r="AR114" s="1068">
        <v>5300</v>
      </c>
      <c r="AS114" s="1068">
        <v>5300</v>
      </c>
      <c r="AT114" s="1068">
        <v>5300</v>
      </c>
      <c r="AU114" s="1068">
        <v>5300</v>
      </c>
      <c r="AV114" s="1068">
        <v>3300</v>
      </c>
      <c r="AW114" s="1068">
        <v>3800</v>
      </c>
      <c r="AX114" s="1068">
        <v>3800</v>
      </c>
      <c r="AY114" s="1069">
        <f t="shared" si="213"/>
        <v>59300</v>
      </c>
      <c r="AZ114" s="1070">
        <f t="shared" si="264"/>
        <v>27555</v>
      </c>
      <c r="BA114" s="1071">
        <f t="shared" si="264"/>
        <v>33066</v>
      </c>
      <c r="BB114" s="1071">
        <f t="shared" si="264"/>
        <v>27555</v>
      </c>
      <c r="BC114" s="1071">
        <f t="shared" si="264"/>
        <v>21543</v>
      </c>
      <c r="BD114" s="1071">
        <f t="shared" si="264"/>
        <v>26553</v>
      </c>
      <c r="BE114" s="1071">
        <f t="shared" si="264"/>
        <v>26553</v>
      </c>
      <c r="BF114" s="1071">
        <f t="shared" si="264"/>
        <v>26553</v>
      </c>
      <c r="BG114" s="1071">
        <f t="shared" si="264"/>
        <v>26553</v>
      </c>
      <c r="BH114" s="1071">
        <f t="shared" si="264"/>
        <v>26553</v>
      </c>
      <c r="BI114" s="1071">
        <f t="shared" si="264"/>
        <v>16533</v>
      </c>
      <c r="BJ114" s="1071">
        <f t="shared" si="264"/>
        <v>19038</v>
      </c>
      <c r="BK114" s="1071">
        <f t="shared" si="264"/>
        <v>19038</v>
      </c>
      <c r="BL114" s="1072">
        <f t="shared" si="265"/>
        <v>297093</v>
      </c>
      <c r="BM114" s="1073">
        <f>13090/12</f>
        <v>1090.8333333333333</v>
      </c>
      <c r="BN114" s="1068">
        <f t="shared" ref="BN114:BX114" si="297">13090/12</f>
        <v>1090.8333333333333</v>
      </c>
      <c r="BO114" s="1068">
        <f t="shared" si="297"/>
        <v>1090.8333333333333</v>
      </c>
      <c r="BP114" s="1068">
        <f t="shared" si="297"/>
        <v>1090.8333333333333</v>
      </c>
      <c r="BQ114" s="1068">
        <f t="shared" si="297"/>
        <v>1090.8333333333333</v>
      </c>
      <c r="BR114" s="1068">
        <f t="shared" si="297"/>
        <v>1090.8333333333333</v>
      </c>
      <c r="BS114" s="1068">
        <f t="shared" si="297"/>
        <v>1090.8333333333333</v>
      </c>
      <c r="BT114" s="1068">
        <f t="shared" si="297"/>
        <v>1090.8333333333333</v>
      </c>
      <c r="BU114" s="1068">
        <f t="shared" si="297"/>
        <v>1090.8333333333333</v>
      </c>
      <c r="BV114" s="1068">
        <f t="shared" si="297"/>
        <v>1090.8333333333333</v>
      </c>
      <c r="BW114" s="1068">
        <f t="shared" si="297"/>
        <v>1090.8333333333333</v>
      </c>
      <c r="BX114" s="1068">
        <f t="shared" si="297"/>
        <v>1090.8333333333333</v>
      </c>
      <c r="BY114" s="1069">
        <f t="shared" si="215"/>
        <v>13090.000000000002</v>
      </c>
      <c r="BZ114" s="1074">
        <f t="shared" si="266"/>
        <v>5465.0749999999998</v>
      </c>
      <c r="CA114" s="1071">
        <f t="shared" si="266"/>
        <v>5465.0749999999998</v>
      </c>
      <c r="CB114" s="1071">
        <f t="shared" si="266"/>
        <v>5465.0749999999998</v>
      </c>
      <c r="CC114" s="1071">
        <f t="shared" si="266"/>
        <v>5465.0749999999998</v>
      </c>
      <c r="CD114" s="1071">
        <f t="shared" si="266"/>
        <v>5465.0749999999998</v>
      </c>
      <c r="CE114" s="1071">
        <f t="shared" si="266"/>
        <v>5465.0749999999998</v>
      </c>
      <c r="CF114" s="1071">
        <f t="shared" si="266"/>
        <v>5465.0749999999998</v>
      </c>
      <c r="CG114" s="1071">
        <f t="shared" si="266"/>
        <v>5465.0749999999998</v>
      </c>
      <c r="CH114" s="1071">
        <f t="shared" si="266"/>
        <v>5465.0749999999998</v>
      </c>
      <c r="CI114" s="1071">
        <f t="shared" si="266"/>
        <v>5465.0749999999998</v>
      </c>
      <c r="CJ114" s="1071">
        <f t="shared" si="266"/>
        <v>5465.0749999999998</v>
      </c>
      <c r="CK114" s="1071">
        <f t="shared" si="266"/>
        <v>5465.0749999999998</v>
      </c>
      <c r="CL114" s="1075">
        <f t="shared" si="267"/>
        <v>65580.89999999998</v>
      </c>
      <c r="CM114" s="1073"/>
      <c r="CN114" s="1068"/>
      <c r="CO114" s="1068"/>
      <c r="CP114" s="1068"/>
      <c r="CQ114" s="1068"/>
      <c r="CR114" s="1068"/>
      <c r="CS114" s="1068"/>
      <c r="CT114" s="1068"/>
      <c r="CU114" s="1068"/>
      <c r="CV114" s="1068"/>
      <c r="CW114" s="1068"/>
      <c r="CX114" s="1068"/>
      <c r="CY114" s="1069">
        <f t="shared" si="216"/>
        <v>0</v>
      </c>
      <c r="CZ114" s="1070">
        <f t="shared" si="269"/>
        <v>0</v>
      </c>
      <c r="DA114" s="1071">
        <f t="shared" si="269"/>
        <v>0</v>
      </c>
      <c r="DB114" s="1071">
        <f t="shared" si="269"/>
        <v>0</v>
      </c>
      <c r="DC114" s="1071">
        <f t="shared" si="269"/>
        <v>0</v>
      </c>
      <c r="DD114" s="1071">
        <f t="shared" si="269"/>
        <v>0</v>
      </c>
      <c r="DE114" s="1071">
        <f t="shared" si="269"/>
        <v>0</v>
      </c>
      <c r="DF114" s="1071">
        <f t="shared" si="269"/>
        <v>0</v>
      </c>
      <c r="DG114" s="1071">
        <f t="shared" si="269"/>
        <v>0</v>
      </c>
      <c r="DH114" s="1071">
        <f t="shared" si="269"/>
        <v>0</v>
      </c>
      <c r="DI114" s="1071">
        <f t="shared" si="269"/>
        <v>0</v>
      </c>
      <c r="DJ114" s="1071">
        <f t="shared" si="269"/>
        <v>0</v>
      </c>
      <c r="DK114" s="1071">
        <f t="shared" si="269"/>
        <v>0</v>
      </c>
      <c r="DL114" s="1072">
        <f t="shared" si="270"/>
        <v>0</v>
      </c>
      <c r="DM114" s="1067"/>
      <c r="DN114" s="1068"/>
      <c r="DO114" s="1068"/>
      <c r="DP114" s="1068"/>
      <c r="DQ114" s="1068"/>
      <c r="DR114" s="1068"/>
      <c r="DS114" s="1068"/>
      <c r="DT114" s="1068"/>
      <c r="DU114" s="1068"/>
      <c r="DV114" s="1068"/>
      <c r="DW114" s="1068"/>
      <c r="DX114" s="1068"/>
      <c r="DY114" s="1069">
        <f t="shared" si="217"/>
        <v>0</v>
      </c>
      <c r="DZ114" s="1071">
        <f t="shared" si="272"/>
        <v>0</v>
      </c>
      <c r="EA114" s="1071">
        <f t="shared" si="272"/>
        <v>0</v>
      </c>
      <c r="EB114" s="1071">
        <f t="shared" si="272"/>
        <v>0</v>
      </c>
      <c r="EC114" s="1071">
        <f t="shared" si="272"/>
        <v>0</v>
      </c>
      <c r="ED114" s="1071">
        <f t="shared" si="272"/>
        <v>0</v>
      </c>
      <c r="EE114" s="1071">
        <f t="shared" si="272"/>
        <v>0</v>
      </c>
      <c r="EF114" s="1071">
        <f t="shared" si="272"/>
        <v>0</v>
      </c>
      <c r="EG114" s="1071">
        <f t="shared" si="272"/>
        <v>0</v>
      </c>
      <c r="EH114" s="1071">
        <f t="shared" si="272"/>
        <v>0</v>
      </c>
      <c r="EI114" s="1071">
        <f t="shared" si="272"/>
        <v>0</v>
      </c>
      <c r="EJ114" s="1071">
        <f t="shared" si="272"/>
        <v>0</v>
      </c>
      <c r="EK114" s="1071">
        <f t="shared" si="272"/>
        <v>0</v>
      </c>
      <c r="EL114" s="1072">
        <f t="shared" si="273"/>
        <v>0</v>
      </c>
    </row>
    <row r="115" spans="1:142" s="1076" customFormat="1">
      <c r="A115" s="964" t="s">
        <v>718</v>
      </c>
      <c r="B115" s="1059" t="s">
        <v>275</v>
      </c>
      <c r="C115" s="1060" t="s">
        <v>276</v>
      </c>
      <c r="D115" s="1084">
        <v>5.14</v>
      </c>
      <c r="E115" s="1078">
        <v>5.1100000000000003</v>
      </c>
      <c r="F115" s="1079">
        <v>5.25</v>
      </c>
      <c r="G115" s="1080">
        <f t="shared" si="296"/>
        <v>5.25</v>
      </c>
      <c r="H115" s="1084">
        <f t="shared" si="296"/>
        <v>5.25</v>
      </c>
      <c r="I115" s="1078">
        <f t="shared" si="296"/>
        <v>5.25</v>
      </c>
      <c r="J115" s="1078">
        <f t="shared" si="296"/>
        <v>5.25</v>
      </c>
      <c r="K115" s="1085">
        <f t="shared" si="296"/>
        <v>5.25</v>
      </c>
      <c r="L115" s="1066"/>
      <c r="M115" s="1067"/>
      <c r="N115" s="1068"/>
      <c r="O115" s="1068">
        <v>0</v>
      </c>
      <c r="P115" s="1068">
        <v>0</v>
      </c>
      <c r="Q115" s="1068">
        <v>0</v>
      </c>
      <c r="R115" s="1068">
        <v>0</v>
      </c>
      <c r="S115" s="1068">
        <v>0</v>
      </c>
      <c r="T115" s="1068"/>
      <c r="U115" s="1068">
        <v>0</v>
      </c>
      <c r="V115" s="1068">
        <v>0</v>
      </c>
      <c r="W115" s="1068"/>
      <c r="X115" s="1068">
        <v>0</v>
      </c>
      <c r="Y115" s="1069">
        <f t="shared" si="262"/>
        <v>0</v>
      </c>
      <c r="Z115" s="1070">
        <v>0</v>
      </c>
      <c r="AA115" s="1071">
        <v>0</v>
      </c>
      <c r="AB115" s="1071">
        <v>0</v>
      </c>
      <c r="AC115" s="1071">
        <f>P115*$E115</f>
        <v>0</v>
      </c>
      <c r="AD115" s="1071">
        <f t="shared" si="274"/>
        <v>0</v>
      </c>
      <c r="AE115" s="1071">
        <f t="shared" si="285"/>
        <v>0</v>
      </c>
      <c r="AF115" s="1071">
        <f t="shared" ref="AF115:AF121" si="298">S115*E115</f>
        <v>0</v>
      </c>
      <c r="AG115" s="1071">
        <f t="shared" si="276"/>
        <v>0</v>
      </c>
      <c r="AH115" s="1071">
        <f t="shared" si="277"/>
        <v>0</v>
      </c>
      <c r="AI115" s="1071">
        <f t="shared" si="278"/>
        <v>0</v>
      </c>
      <c r="AJ115" s="1071">
        <f t="shared" si="279"/>
        <v>0</v>
      </c>
      <c r="AK115" s="1071">
        <f t="shared" si="280"/>
        <v>0</v>
      </c>
      <c r="AL115" s="1072">
        <f t="shared" si="263"/>
        <v>0</v>
      </c>
      <c r="AM115" s="1067">
        <v>2397</v>
      </c>
      <c r="AN115" s="1068">
        <v>2397</v>
      </c>
      <c r="AO115" s="1068">
        <v>2397</v>
      </c>
      <c r="AP115" s="1068">
        <v>2397</v>
      </c>
      <c r="AQ115" s="1068">
        <v>2397</v>
      </c>
      <c r="AR115" s="1068">
        <v>2397</v>
      </c>
      <c r="AS115" s="1068">
        <v>2397</v>
      </c>
      <c r="AT115" s="1068">
        <v>2397</v>
      </c>
      <c r="AU115" s="1068">
        <v>2397</v>
      </c>
      <c r="AV115" s="1068">
        <v>2397</v>
      </c>
      <c r="AW115" s="1068">
        <v>2397</v>
      </c>
      <c r="AX115" s="1068">
        <v>2397</v>
      </c>
      <c r="AY115" s="1069">
        <f t="shared" si="213"/>
        <v>28764</v>
      </c>
      <c r="AZ115" s="1070">
        <f t="shared" si="264"/>
        <v>12584.25</v>
      </c>
      <c r="BA115" s="1071">
        <f t="shared" si="264"/>
        <v>12584.25</v>
      </c>
      <c r="BB115" s="1071">
        <f t="shared" si="264"/>
        <v>12584.25</v>
      </c>
      <c r="BC115" s="1071">
        <f t="shared" si="264"/>
        <v>12584.25</v>
      </c>
      <c r="BD115" s="1071">
        <f t="shared" si="264"/>
        <v>12584.25</v>
      </c>
      <c r="BE115" s="1071">
        <f t="shared" si="264"/>
        <v>12584.25</v>
      </c>
      <c r="BF115" s="1071">
        <f t="shared" si="264"/>
        <v>12584.25</v>
      </c>
      <c r="BG115" s="1071">
        <f t="shared" si="264"/>
        <v>12584.25</v>
      </c>
      <c r="BH115" s="1071">
        <f t="shared" si="264"/>
        <v>12584.25</v>
      </c>
      <c r="BI115" s="1071">
        <f t="shared" si="264"/>
        <v>12584.25</v>
      </c>
      <c r="BJ115" s="1071">
        <f t="shared" si="264"/>
        <v>12584.25</v>
      </c>
      <c r="BK115" s="1071">
        <f t="shared" si="264"/>
        <v>12584.25</v>
      </c>
      <c r="BL115" s="1072">
        <f t="shared" si="265"/>
        <v>151011</v>
      </c>
      <c r="BM115" s="1073">
        <f>4363/12</f>
        <v>363.58333333333331</v>
      </c>
      <c r="BN115" s="1068">
        <f t="shared" ref="BN115:BX115" si="299">4363/12</f>
        <v>363.58333333333331</v>
      </c>
      <c r="BO115" s="1068">
        <f t="shared" si="299"/>
        <v>363.58333333333331</v>
      </c>
      <c r="BP115" s="1068">
        <f t="shared" si="299"/>
        <v>363.58333333333331</v>
      </c>
      <c r="BQ115" s="1068">
        <f t="shared" si="299"/>
        <v>363.58333333333331</v>
      </c>
      <c r="BR115" s="1068">
        <f t="shared" si="299"/>
        <v>363.58333333333331</v>
      </c>
      <c r="BS115" s="1068">
        <f t="shared" si="299"/>
        <v>363.58333333333331</v>
      </c>
      <c r="BT115" s="1068">
        <f t="shared" si="299"/>
        <v>363.58333333333331</v>
      </c>
      <c r="BU115" s="1068">
        <f t="shared" si="299"/>
        <v>363.58333333333331</v>
      </c>
      <c r="BV115" s="1068">
        <f t="shared" si="299"/>
        <v>363.58333333333331</v>
      </c>
      <c r="BW115" s="1068">
        <f t="shared" si="299"/>
        <v>363.58333333333331</v>
      </c>
      <c r="BX115" s="1068">
        <f t="shared" si="299"/>
        <v>363.58333333333331</v>
      </c>
      <c r="BY115" s="1069">
        <f t="shared" si="215"/>
        <v>4363.0000000000009</v>
      </c>
      <c r="BZ115" s="1074">
        <f t="shared" si="266"/>
        <v>1908.8125</v>
      </c>
      <c r="CA115" s="1071">
        <f t="shared" si="266"/>
        <v>1908.8125</v>
      </c>
      <c r="CB115" s="1071">
        <f t="shared" si="266"/>
        <v>1908.8125</v>
      </c>
      <c r="CC115" s="1071">
        <f t="shared" si="266"/>
        <v>1908.8125</v>
      </c>
      <c r="CD115" s="1071">
        <f t="shared" si="266"/>
        <v>1908.8125</v>
      </c>
      <c r="CE115" s="1071">
        <f t="shared" si="266"/>
        <v>1908.8125</v>
      </c>
      <c r="CF115" s="1071">
        <f t="shared" si="266"/>
        <v>1908.8125</v>
      </c>
      <c r="CG115" s="1071">
        <f t="shared" si="266"/>
        <v>1908.8125</v>
      </c>
      <c r="CH115" s="1071">
        <f t="shared" si="266"/>
        <v>1908.8125</v>
      </c>
      <c r="CI115" s="1071">
        <f t="shared" si="266"/>
        <v>1908.8125</v>
      </c>
      <c r="CJ115" s="1071">
        <f t="shared" si="266"/>
        <v>1908.8125</v>
      </c>
      <c r="CK115" s="1071">
        <f t="shared" si="266"/>
        <v>1908.8125</v>
      </c>
      <c r="CL115" s="1075">
        <f t="shared" si="267"/>
        <v>22905.75</v>
      </c>
      <c r="CM115" s="1073"/>
      <c r="CN115" s="1068"/>
      <c r="CO115" s="1068"/>
      <c r="CP115" s="1068"/>
      <c r="CQ115" s="1068"/>
      <c r="CR115" s="1068"/>
      <c r="CS115" s="1068"/>
      <c r="CT115" s="1068"/>
      <c r="CU115" s="1068"/>
      <c r="CV115" s="1068"/>
      <c r="CW115" s="1068"/>
      <c r="CX115" s="1068"/>
      <c r="CY115" s="1069">
        <f t="shared" si="216"/>
        <v>0</v>
      </c>
      <c r="CZ115" s="1070">
        <f t="shared" si="269"/>
        <v>0</v>
      </c>
      <c r="DA115" s="1071">
        <f t="shared" si="269"/>
        <v>0</v>
      </c>
      <c r="DB115" s="1071">
        <f t="shared" si="269"/>
        <v>0</v>
      </c>
      <c r="DC115" s="1071">
        <f t="shared" si="269"/>
        <v>0</v>
      </c>
      <c r="DD115" s="1071">
        <f t="shared" si="269"/>
        <v>0</v>
      </c>
      <c r="DE115" s="1071">
        <f t="shared" si="269"/>
        <v>0</v>
      </c>
      <c r="DF115" s="1071">
        <f t="shared" si="269"/>
        <v>0</v>
      </c>
      <c r="DG115" s="1071">
        <f t="shared" si="269"/>
        <v>0</v>
      </c>
      <c r="DH115" s="1071">
        <f t="shared" si="269"/>
        <v>0</v>
      </c>
      <c r="DI115" s="1071">
        <f t="shared" si="269"/>
        <v>0</v>
      </c>
      <c r="DJ115" s="1071">
        <f t="shared" si="269"/>
        <v>0</v>
      </c>
      <c r="DK115" s="1071">
        <f t="shared" si="269"/>
        <v>0</v>
      </c>
      <c r="DL115" s="1072">
        <f t="shared" si="270"/>
        <v>0</v>
      </c>
      <c r="DM115" s="1067"/>
      <c r="DN115" s="1068"/>
      <c r="DO115" s="1068"/>
      <c r="DP115" s="1068"/>
      <c r="DQ115" s="1068"/>
      <c r="DR115" s="1068"/>
      <c r="DS115" s="1068"/>
      <c r="DT115" s="1068"/>
      <c r="DU115" s="1068"/>
      <c r="DV115" s="1068"/>
      <c r="DW115" s="1068"/>
      <c r="DX115" s="1068"/>
      <c r="DY115" s="1069">
        <f t="shared" si="217"/>
        <v>0</v>
      </c>
      <c r="DZ115" s="1071">
        <f t="shared" si="272"/>
        <v>0</v>
      </c>
      <c r="EA115" s="1071">
        <f t="shared" si="272"/>
        <v>0</v>
      </c>
      <c r="EB115" s="1071">
        <f t="shared" si="272"/>
        <v>0</v>
      </c>
      <c r="EC115" s="1071">
        <f t="shared" si="272"/>
        <v>0</v>
      </c>
      <c r="ED115" s="1071">
        <f t="shared" si="272"/>
        <v>0</v>
      </c>
      <c r="EE115" s="1071">
        <f t="shared" si="272"/>
        <v>0</v>
      </c>
      <c r="EF115" s="1071">
        <f t="shared" si="272"/>
        <v>0</v>
      </c>
      <c r="EG115" s="1071">
        <f t="shared" si="272"/>
        <v>0</v>
      </c>
      <c r="EH115" s="1071">
        <f t="shared" si="272"/>
        <v>0</v>
      </c>
      <c r="EI115" s="1071">
        <f t="shared" si="272"/>
        <v>0</v>
      </c>
      <c r="EJ115" s="1071">
        <f t="shared" si="272"/>
        <v>0</v>
      </c>
      <c r="EK115" s="1071">
        <f t="shared" si="272"/>
        <v>0</v>
      </c>
      <c r="EL115" s="1072">
        <f t="shared" si="273"/>
        <v>0</v>
      </c>
    </row>
    <row r="116" spans="1:142">
      <c r="A116" s="964" t="s">
        <v>718</v>
      </c>
      <c r="B116" s="896" t="s">
        <v>728</v>
      </c>
      <c r="C116" s="908"/>
      <c r="D116" s="549">
        <v>4.79</v>
      </c>
      <c r="E116" s="550">
        <f>D116</f>
        <v>4.79</v>
      </c>
      <c r="F116" s="1079">
        <v>5.01</v>
      </c>
      <c r="G116" s="551">
        <f>F116</f>
        <v>5.01</v>
      </c>
      <c r="H116" s="549">
        <v>4.79</v>
      </c>
      <c r="I116" s="550">
        <f t="shared" ref="I116:K120" si="300">H116</f>
        <v>4.79</v>
      </c>
      <c r="J116" s="550">
        <f t="shared" si="300"/>
        <v>4.79</v>
      </c>
      <c r="K116" s="973">
        <f t="shared" si="300"/>
        <v>4.79</v>
      </c>
      <c r="L116" s="974"/>
      <c r="M116" s="556"/>
      <c r="N116" s="247"/>
      <c r="O116" s="247"/>
      <c r="P116" s="247"/>
      <c r="Q116" s="247"/>
      <c r="R116" s="247"/>
      <c r="S116" s="247"/>
      <c r="T116" s="247"/>
      <c r="U116" s="247"/>
      <c r="V116" s="247"/>
      <c r="W116" s="247"/>
      <c r="X116" s="247"/>
      <c r="Y116" s="876">
        <f t="shared" si="262"/>
        <v>0</v>
      </c>
      <c r="Z116" s="877">
        <v>0</v>
      </c>
      <c r="AA116" s="248">
        <v>0</v>
      </c>
      <c r="AB116" s="248">
        <v>0</v>
      </c>
      <c r="AC116" s="248">
        <f>P116*$E116</f>
        <v>0</v>
      </c>
      <c r="AD116" s="248">
        <f t="shared" si="274"/>
        <v>0</v>
      </c>
      <c r="AE116" s="1071">
        <f t="shared" si="285"/>
        <v>0</v>
      </c>
      <c r="AF116" s="1071">
        <f t="shared" si="298"/>
        <v>0</v>
      </c>
      <c r="AG116" s="1071">
        <f t="shared" si="276"/>
        <v>0</v>
      </c>
      <c r="AH116" s="1071">
        <f t="shared" si="277"/>
        <v>0</v>
      </c>
      <c r="AI116" s="1071">
        <f t="shared" si="278"/>
        <v>0</v>
      </c>
      <c r="AJ116" s="1071">
        <f t="shared" si="279"/>
        <v>0</v>
      </c>
      <c r="AK116" s="1071">
        <f t="shared" si="280"/>
        <v>0</v>
      </c>
      <c r="AL116" s="878">
        <f t="shared" si="263"/>
        <v>0</v>
      </c>
      <c r="AM116" s="556">
        <v>218.16666666666666</v>
      </c>
      <c r="AN116" s="247">
        <v>218.16666666666666</v>
      </c>
      <c r="AO116" s="247">
        <v>218.16666666666666</v>
      </c>
      <c r="AP116" s="247">
        <v>218.16666666666666</v>
      </c>
      <c r="AQ116" s="247">
        <v>218.16666666666666</v>
      </c>
      <c r="AR116" s="247">
        <v>218.16666666666666</v>
      </c>
      <c r="AS116" s="247">
        <v>218.16666666666666</v>
      </c>
      <c r="AT116" s="247">
        <v>218.16666666666666</v>
      </c>
      <c r="AU116" s="247">
        <v>218.16666666666666</v>
      </c>
      <c r="AV116" s="247">
        <v>218.16666666666666</v>
      </c>
      <c r="AW116" s="247">
        <v>218.16666666666666</v>
      </c>
      <c r="AX116" s="247">
        <v>218.16666666666666</v>
      </c>
      <c r="AY116" s="876">
        <f t="shared" si="213"/>
        <v>2618</v>
      </c>
      <c r="AZ116" s="877">
        <f t="shared" si="264"/>
        <v>1045.0183333333332</v>
      </c>
      <c r="BA116" s="248">
        <f t="shared" si="264"/>
        <v>1045.0183333333332</v>
      </c>
      <c r="BB116" s="248">
        <f t="shared" si="264"/>
        <v>1045.0183333333332</v>
      </c>
      <c r="BC116" s="248">
        <f t="shared" si="264"/>
        <v>1045.0183333333332</v>
      </c>
      <c r="BD116" s="248">
        <f t="shared" si="264"/>
        <v>1045.0183333333332</v>
      </c>
      <c r="BE116" s="248">
        <f t="shared" si="264"/>
        <v>1045.0183333333332</v>
      </c>
      <c r="BF116" s="248">
        <f t="shared" si="264"/>
        <v>1045.0183333333332</v>
      </c>
      <c r="BG116" s="248">
        <f t="shared" si="264"/>
        <v>1045.0183333333332</v>
      </c>
      <c r="BH116" s="248">
        <f t="shared" si="264"/>
        <v>1045.0183333333332</v>
      </c>
      <c r="BI116" s="248">
        <f t="shared" si="264"/>
        <v>1045.0183333333332</v>
      </c>
      <c r="BJ116" s="248">
        <f t="shared" si="264"/>
        <v>1045.0183333333332</v>
      </c>
      <c r="BK116" s="248">
        <f t="shared" si="264"/>
        <v>1045.0183333333332</v>
      </c>
      <c r="BL116" s="878">
        <f t="shared" si="265"/>
        <v>12540.22</v>
      </c>
      <c r="BM116" s="888">
        <f>43811/12</f>
        <v>3650.9166666666665</v>
      </c>
      <c r="BN116" s="247">
        <f t="shared" ref="BN116:BX116" si="301">43811/12</f>
        <v>3650.9166666666665</v>
      </c>
      <c r="BO116" s="247">
        <f t="shared" si="301"/>
        <v>3650.9166666666665</v>
      </c>
      <c r="BP116" s="247">
        <f t="shared" si="301"/>
        <v>3650.9166666666665</v>
      </c>
      <c r="BQ116" s="247">
        <f t="shared" si="301"/>
        <v>3650.9166666666665</v>
      </c>
      <c r="BR116" s="247">
        <f t="shared" si="301"/>
        <v>3650.9166666666665</v>
      </c>
      <c r="BS116" s="247">
        <f t="shared" si="301"/>
        <v>3650.9166666666665</v>
      </c>
      <c r="BT116" s="247">
        <f t="shared" si="301"/>
        <v>3650.9166666666665</v>
      </c>
      <c r="BU116" s="247">
        <f t="shared" si="301"/>
        <v>3650.9166666666665</v>
      </c>
      <c r="BV116" s="247">
        <f t="shared" si="301"/>
        <v>3650.9166666666665</v>
      </c>
      <c r="BW116" s="247">
        <f t="shared" si="301"/>
        <v>3650.9166666666665</v>
      </c>
      <c r="BX116" s="247">
        <f t="shared" si="301"/>
        <v>3650.9166666666665</v>
      </c>
      <c r="BY116" s="876">
        <f t="shared" si="215"/>
        <v>43810.999999999993</v>
      </c>
      <c r="BZ116" s="882">
        <f t="shared" si="266"/>
        <v>17487.890833333331</v>
      </c>
      <c r="CA116" s="248">
        <f t="shared" si="266"/>
        <v>17487.890833333331</v>
      </c>
      <c r="CB116" s="248">
        <f t="shared" si="266"/>
        <v>17487.890833333331</v>
      </c>
      <c r="CC116" s="248">
        <f t="shared" si="266"/>
        <v>17487.890833333331</v>
      </c>
      <c r="CD116" s="248">
        <f t="shared" si="266"/>
        <v>17487.890833333331</v>
      </c>
      <c r="CE116" s="248">
        <f t="shared" si="266"/>
        <v>17487.890833333331</v>
      </c>
      <c r="CF116" s="248">
        <f t="shared" si="266"/>
        <v>17487.890833333331</v>
      </c>
      <c r="CG116" s="248">
        <f t="shared" si="266"/>
        <v>17487.890833333331</v>
      </c>
      <c r="CH116" s="248">
        <f t="shared" si="266"/>
        <v>17487.890833333331</v>
      </c>
      <c r="CI116" s="248">
        <f t="shared" si="266"/>
        <v>17487.890833333331</v>
      </c>
      <c r="CJ116" s="248">
        <f t="shared" si="266"/>
        <v>17487.890833333331</v>
      </c>
      <c r="CK116" s="248">
        <f t="shared" si="266"/>
        <v>17487.890833333331</v>
      </c>
      <c r="CL116" s="883">
        <f t="shared" si="267"/>
        <v>209854.69000000003</v>
      </c>
      <c r="CM116" s="888">
        <f>86885/12</f>
        <v>7240.416666666667</v>
      </c>
      <c r="CN116" s="247">
        <f t="shared" ref="CN116:CX116" si="302">86885/12</f>
        <v>7240.416666666667</v>
      </c>
      <c r="CO116" s="247">
        <f t="shared" si="302"/>
        <v>7240.416666666667</v>
      </c>
      <c r="CP116" s="247">
        <f t="shared" si="302"/>
        <v>7240.416666666667</v>
      </c>
      <c r="CQ116" s="247">
        <f t="shared" si="302"/>
        <v>7240.416666666667</v>
      </c>
      <c r="CR116" s="247">
        <f t="shared" si="302"/>
        <v>7240.416666666667</v>
      </c>
      <c r="CS116" s="247">
        <f t="shared" si="302"/>
        <v>7240.416666666667</v>
      </c>
      <c r="CT116" s="247">
        <f t="shared" si="302"/>
        <v>7240.416666666667</v>
      </c>
      <c r="CU116" s="247">
        <f t="shared" si="302"/>
        <v>7240.416666666667</v>
      </c>
      <c r="CV116" s="247">
        <f t="shared" si="302"/>
        <v>7240.416666666667</v>
      </c>
      <c r="CW116" s="247">
        <f t="shared" si="302"/>
        <v>7240.416666666667</v>
      </c>
      <c r="CX116" s="247">
        <f t="shared" si="302"/>
        <v>7240.416666666667</v>
      </c>
      <c r="CY116" s="876">
        <f t="shared" si="216"/>
        <v>86885</v>
      </c>
      <c r="CZ116" s="877">
        <f t="shared" si="269"/>
        <v>34681.595833333333</v>
      </c>
      <c r="DA116" s="248">
        <f t="shared" si="269"/>
        <v>34681.595833333333</v>
      </c>
      <c r="DB116" s="248">
        <f t="shared" si="269"/>
        <v>34681.595833333333</v>
      </c>
      <c r="DC116" s="248">
        <f t="shared" si="269"/>
        <v>34681.595833333333</v>
      </c>
      <c r="DD116" s="248">
        <f t="shared" si="269"/>
        <v>34681.595833333333</v>
      </c>
      <c r="DE116" s="248">
        <f t="shared" si="269"/>
        <v>34681.595833333333</v>
      </c>
      <c r="DF116" s="248">
        <f t="shared" si="269"/>
        <v>34681.595833333333</v>
      </c>
      <c r="DG116" s="248">
        <f t="shared" si="269"/>
        <v>34681.595833333333</v>
      </c>
      <c r="DH116" s="248">
        <f t="shared" si="269"/>
        <v>34681.595833333333</v>
      </c>
      <c r="DI116" s="248">
        <f t="shared" si="269"/>
        <v>34681.595833333333</v>
      </c>
      <c r="DJ116" s="248">
        <f t="shared" si="269"/>
        <v>34681.595833333333</v>
      </c>
      <c r="DK116" s="248">
        <f t="shared" si="269"/>
        <v>34681.595833333333</v>
      </c>
      <c r="DL116" s="878">
        <f t="shared" si="270"/>
        <v>416179.14999999997</v>
      </c>
      <c r="DM116" s="556">
        <f>86885/12</f>
        <v>7240.416666666667</v>
      </c>
      <c r="DN116" s="247">
        <f t="shared" ref="DN116:DX116" si="303">86885/12</f>
        <v>7240.416666666667</v>
      </c>
      <c r="DO116" s="247">
        <f t="shared" si="303"/>
        <v>7240.416666666667</v>
      </c>
      <c r="DP116" s="247">
        <f t="shared" si="303"/>
        <v>7240.416666666667</v>
      </c>
      <c r="DQ116" s="247">
        <f t="shared" si="303"/>
        <v>7240.416666666667</v>
      </c>
      <c r="DR116" s="247">
        <f t="shared" si="303"/>
        <v>7240.416666666667</v>
      </c>
      <c r="DS116" s="247">
        <f t="shared" si="303"/>
        <v>7240.416666666667</v>
      </c>
      <c r="DT116" s="247">
        <f t="shared" si="303"/>
        <v>7240.416666666667</v>
      </c>
      <c r="DU116" s="247">
        <f t="shared" si="303"/>
        <v>7240.416666666667</v>
      </c>
      <c r="DV116" s="247">
        <f t="shared" si="303"/>
        <v>7240.416666666667</v>
      </c>
      <c r="DW116" s="247">
        <f t="shared" si="303"/>
        <v>7240.416666666667</v>
      </c>
      <c r="DX116" s="247">
        <f t="shared" si="303"/>
        <v>7240.416666666667</v>
      </c>
      <c r="DY116" s="876">
        <f t="shared" si="217"/>
        <v>86885</v>
      </c>
      <c r="DZ116" s="248">
        <f t="shared" si="272"/>
        <v>34681.595833333333</v>
      </c>
      <c r="EA116" s="248">
        <f t="shared" si="272"/>
        <v>34681.595833333333</v>
      </c>
      <c r="EB116" s="248">
        <f t="shared" si="272"/>
        <v>34681.595833333333</v>
      </c>
      <c r="EC116" s="248">
        <f t="shared" si="272"/>
        <v>34681.595833333333</v>
      </c>
      <c r="ED116" s="248">
        <f t="shared" si="272"/>
        <v>34681.595833333333</v>
      </c>
      <c r="EE116" s="248">
        <f t="shared" si="272"/>
        <v>34681.595833333333</v>
      </c>
      <c r="EF116" s="248">
        <f t="shared" si="272"/>
        <v>34681.595833333333</v>
      </c>
      <c r="EG116" s="248">
        <f t="shared" si="272"/>
        <v>34681.595833333333</v>
      </c>
      <c r="EH116" s="248">
        <f t="shared" si="272"/>
        <v>34681.595833333333</v>
      </c>
      <c r="EI116" s="248">
        <f t="shared" si="272"/>
        <v>34681.595833333333</v>
      </c>
      <c r="EJ116" s="248">
        <f t="shared" si="272"/>
        <v>34681.595833333333</v>
      </c>
      <c r="EK116" s="248">
        <f t="shared" si="272"/>
        <v>34681.595833333333</v>
      </c>
      <c r="EL116" s="878">
        <f t="shared" si="273"/>
        <v>416179.14999999997</v>
      </c>
    </row>
    <row r="117" spans="1:142">
      <c r="A117" s="964" t="s">
        <v>718</v>
      </c>
      <c r="B117" s="896" t="s">
        <v>729</v>
      </c>
      <c r="C117" s="908"/>
      <c r="D117" s="549">
        <v>5.0199999999999996</v>
      </c>
      <c r="E117" s="550">
        <f>D117</f>
        <v>5.0199999999999996</v>
      </c>
      <c r="F117" s="1079">
        <v>5.25</v>
      </c>
      <c r="G117" s="551">
        <f>F117</f>
        <v>5.25</v>
      </c>
      <c r="H117" s="549">
        <v>5.0199999999999996</v>
      </c>
      <c r="I117" s="550">
        <f t="shared" si="300"/>
        <v>5.0199999999999996</v>
      </c>
      <c r="J117" s="550">
        <f t="shared" si="300"/>
        <v>5.0199999999999996</v>
      </c>
      <c r="K117" s="973">
        <f t="shared" si="300"/>
        <v>5.0199999999999996</v>
      </c>
      <c r="L117" s="974"/>
      <c r="M117" s="556"/>
      <c r="N117" s="247"/>
      <c r="O117" s="247"/>
      <c r="P117" s="247"/>
      <c r="Q117" s="247"/>
      <c r="R117" s="247"/>
      <c r="S117" s="247"/>
      <c r="T117" s="247"/>
      <c r="U117" s="247"/>
      <c r="V117" s="247"/>
      <c r="W117" s="247"/>
      <c r="X117" s="247"/>
      <c r="Y117" s="876">
        <f t="shared" si="262"/>
        <v>0</v>
      </c>
      <c r="Z117" s="877">
        <v>0</v>
      </c>
      <c r="AA117" s="248">
        <v>0</v>
      </c>
      <c r="AB117" s="248">
        <v>0</v>
      </c>
      <c r="AC117" s="248">
        <f>P117*$E117</f>
        <v>0</v>
      </c>
      <c r="AD117" s="248">
        <f t="shared" si="274"/>
        <v>0</v>
      </c>
      <c r="AE117" s="1071">
        <f t="shared" si="285"/>
        <v>0</v>
      </c>
      <c r="AF117" s="1071">
        <f t="shared" si="298"/>
        <v>0</v>
      </c>
      <c r="AG117" s="1071">
        <f t="shared" si="276"/>
        <v>0</v>
      </c>
      <c r="AH117" s="1071">
        <f t="shared" si="277"/>
        <v>0</v>
      </c>
      <c r="AI117" s="1071">
        <f t="shared" si="278"/>
        <v>0</v>
      </c>
      <c r="AJ117" s="1071">
        <f t="shared" si="279"/>
        <v>0</v>
      </c>
      <c r="AK117" s="1071">
        <f t="shared" si="280"/>
        <v>0</v>
      </c>
      <c r="AL117" s="878">
        <f t="shared" si="263"/>
        <v>0</v>
      </c>
      <c r="AM117" s="556">
        <v>1809</v>
      </c>
      <c r="AN117" s="247">
        <v>1809</v>
      </c>
      <c r="AO117" s="247">
        <v>1809</v>
      </c>
      <c r="AP117" s="247">
        <v>1809</v>
      </c>
      <c r="AQ117" s="247">
        <v>1809</v>
      </c>
      <c r="AR117" s="247">
        <v>1809</v>
      </c>
      <c r="AS117" s="247">
        <v>1809</v>
      </c>
      <c r="AT117" s="247">
        <v>1809</v>
      </c>
      <c r="AU117" s="247">
        <v>1809</v>
      </c>
      <c r="AV117" s="247">
        <v>1809</v>
      </c>
      <c r="AW117" s="247">
        <v>1809</v>
      </c>
      <c r="AX117" s="247">
        <v>1809</v>
      </c>
      <c r="AY117" s="876">
        <f t="shared" si="213"/>
        <v>21708</v>
      </c>
      <c r="AZ117" s="877">
        <f t="shared" si="264"/>
        <v>9081.1799999999985</v>
      </c>
      <c r="BA117" s="248">
        <f t="shared" si="264"/>
        <v>9081.1799999999985</v>
      </c>
      <c r="BB117" s="248">
        <f t="shared" si="264"/>
        <v>9081.1799999999985</v>
      </c>
      <c r="BC117" s="248">
        <f t="shared" si="264"/>
        <v>9081.1799999999985</v>
      </c>
      <c r="BD117" s="248">
        <f t="shared" si="264"/>
        <v>9081.1799999999985</v>
      </c>
      <c r="BE117" s="248">
        <f t="shared" si="264"/>
        <v>9081.1799999999985</v>
      </c>
      <c r="BF117" s="248">
        <f t="shared" si="264"/>
        <v>9081.1799999999985</v>
      </c>
      <c r="BG117" s="248">
        <f t="shared" si="264"/>
        <v>9081.1799999999985</v>
      </c>
      <c r="BH117" s="248">
        <f t="shared" si="264"/>
        <v>9081.1799999999985</v>
      </c>
      <c r="BI117" s="248">
        <f t="shared" si="264"/>
        <v>9081.1799999999985</v>
      </c>
      <c r="BJ117" s="248">
        <f t="shared" si="264"/>
        <v>9081.1799999999985</v>
      </c>
      <c r="BK117" s="248">
        <f t="shared" si="264"/>
        <v>9081.1799999999985</v>
      </c>
      <c r="BL117" s="878">
        <f t="shared" si="265"/>
        <v>108974.15999999996</v>
      </c>
      <c r="BM117" s="888">
        <f>89362/12</f>
        <v>7446.833333333333</v>
      </c>
      <c r="BN117" s="247">
        <f t="shared" ref="BN117:BX117" si="304">89362/12</f>
        <v>7446.833333333333</v>
      </c>
      <c r="BO117" s="247">
        <f t="shared" si="304"/>
        <v>7446.833333333333</v>
      </c>
      <c r="BP117" s="247">
        <f t="shared" si="304"/>
        <v>7446.833333333333</v>
      </c>
      <c r="BQ117" s="247">
        <f t="shared" si="304"/>
        <v>7446.833333333333</v>
      </c>
      <c r="BR117" s="247">
        <f t="shared" si="304"/>
        <v>7446.833333333333</v>
      </c>
      <c r="BS117" s="247">
        <f t="shared" si="304"/>
        <v>7446.833333333333</v>
      </c>
      <c r="BT117" s="247">
        <f t="shared" si="304"/>
        <v>7446.833333333333</v>
      </c>
      <c r="BU117" s="247">
        <f t="shared" si="304"/>
        <v>7446.833333333333</v>
      </c>
      <c r="BV117" s="247">
        <f t="shared" si="304"/>
        <v>7446.833333333333</v>
      </c>
      <c r="BW117" s="247">
        <f t="shared" si="304"/>
        <v>7446.833333333333</v>
      </c>
      <c r="BX117" s="247">
        <f t="shared" si="304"/>
        <v>7446.833333333333</v>
      </c>
      <c r="BY117" s="876">
        <f t="shared" si="215"/>
        <v>89361.999999999985</v>
      </c>
      <c r="BZ117" s="882">
        <f t="shared" si="266"/>
        <v>37383.103333333325</v>
      </c>
      <c r="CA117" s="248">
        <f t="shared" si="266"/>
        <v>37383.103333333325</v>
      </c>
      <c r="CB117" s="248">
        <f t="shared" si="266"/>
        <v>37383.103333333325</v>
      </c>
      <c r="CC117" s="248">
        <f t="shared" si="266"/>
        <v>37383.103333333325</v>
      </c>
      <c r="CD117" s="248">
        <f t="shared" si="266"/>
        <v>37383.103333333325</v>
      </c>
      <c r="CE117" s="248">
        <f t="shared" si="266"/>
        <v>37383.103333333325</v>
      </c>
      <c r="CF117" s="248">
        <f t="shared" si="266"/>
        <v>37383.103333333325</v>
      </c>
      <c r="CG117" s="248">
        <f t="shared" si="266"/>
        <v>37383.103333333325</v>
      </c>
      <c r="CH117" s="248">
        <f t="shared" si="266"/>
        <v>37383.103333333325</v>
      </c>
      <c r="CI117" s="248">
        <f t="shared" si="266"/>
        <v>37383.103333333325</v>
      </c>
      <c r="CJ117" s="248">
        <f t="shared" si="266"/>
        <v>37383.103333333325</v>
      </c>
      <c r="CK117" s="248">
        <f t="shared" si="266"/>
        <v>37383.103333333325</v>
      </c>
      <c r="CL117" s="883">
        <f t="shared" si="267"/>
        <v>448597.23999999993</v>
      </c>
      <c r="CM117" s="888">
        <f>134455/12</f>
        <v>11204.583333333334</v>
      </c>
      <c r="CN117" s="247">
        <f t="shared" ref="CN117:CX117" si="305">134455/12</f>
        <v>11204.583333333334</v>
      </c>
      <c r="CO117" s="247">
        <f t="shared" si="305"/>
        <v>11204.583333333334</v>
      </c>
      <c r="CP117" s="247">
        <f t="shared" si="305"/>
        <v>11204.583333333334</v>
      </c>
      <c r="CQ117" s="247">
        <f t="shared" si="305"/>
        <v>11204.583333333334</v>
      </c>
      <c r="CR117" s="247">
        <f t="shared" si="305"/>
        <v>11204.583333333334</v>
      </c>
      <c r="CS117" s="247">
        <f t="shared" si="305"/>
        <v>11204.583333333334</v>
      </c>
      <c r="CT117" s="247">
        <f t="shared" si="305"/>
        <v>11204.583333333334</v>
      </c>
      <c r="CU117" s="247">
        <f t="shared" si="305"/>
        <v>11204.583333333334</v>
      </c>
      <c r="CV117" s="247">
        <f t="shared" si="305"/>
        <v>11204.583333333334</v>
      </c>
      <c r="CW117" s="247">
        <f t="shared" si="305"/>
        <v>11204.583333333334</v>
      </c>
      <c r="CX117" s="247">
        <f t="shared" si="305"/>
        <v>11204.583333333334</v>
      </c>
      <c r="CY117" s="876">
        <f t="shared" si="216"/>
        <v>134454.99999999997</v>
      </c>
      <c r="CZ117" s="877">
        <f t="shared" si="269"/>
        <v>56247.008333333331</v>
      </c>
      <c r="DA117" s="248">
        <f t="shared" si="269"/>
        <v>56247.008333333331</v>
      </c>
      <c r="DB117" s="248">
        <f t="shared" si="269"/>
        <v>56247.008333333331</v>
      </c>
      <c r="DC117" s="248">
        <f t="shared" si="269"/>
        <v>56247.008333333331</v>
      </c>
      <c r="DD117" s="248">
        <f t="shared" si="269"/>
        <v>56247.008333333331</v>
      </c>
      <c r="DE117" s="248">
        <f t="shared" si="269"/>
        <v>56247.008333333331</v>
      </c>
      <c r="DF117" s="248">
        <f t="shared" si="269"/>
        <v>56247.008333333331</v>
      </c>
      <c r="DG117" s="248">
        <f t="shared" si="269"/>
        <v>56247.008333333331</v>
      </c>
      <c r="DH117" s="248">
        <f t="shared" si="269"/>
        <v>56247.008333333331</v>
      </c>
      <c r="DI117" s="248">
        <f t="shared" si="269"/>
        <v>56247.008333333331</v>
      </c>
      <c r="DJ117" s="248">
        <f t="shared" si="269"/>
        <v>56247.008333333331</v>
      </c>
      <c r="DK117" s="248">
        <f t="shared" si="269"/>
        <v>56247.008333333331</v>
      </c>
      <c r="DL117" s="878">
        <f t="shared" si="270"/>
        <v>674964.09999999974</v>
      </c>
      <c r="DM117" s="556">
        <f>134455/12</f>
        <v>11204.583333333334</v>
      </c>
      <c r="DN117" s="247">
        <f t="shared" ref="DN117:DX117" si="306">134455/12</f>
        <v>11204.583333333334</v>
      </c>
      <c r="DO117" s="247">
        <f t="shared" si="306"/>
        <v>11204.583333333334</v>
      </c>
      <c r="DP117" s="247">
        <f t="shared" si="306"/>
        <v>11204.583333333334</v>
      </c>
      <c r="DQ117" s="247">
        <f t="shared" si="306"/>
        <v>11204.583333333334</v>
      </c>
      <c r="DR117" s="247">
        <f t="shared" si="306"/>
        <v>11204.583333333334</v>
      </c>
      <c r="DS117" s="247">
        <f t="shared" si="306"/>
        <v>11204.583333333334</v>
      </c>
      <c r="DT117" s="247">
        <f t="shared" si="306"/>
        <v>11204.583333333334</v>
      </c>
      <c r="DU117" s="247">
        <f t="shared" si="306"/>
        <v>11204.583333333334</v>
      </c>
      <c r="DV117" s="247">
        <f t="shared" si="306"/>
        <v>11204.583333333334</v>
      </c>
      <c r="DW117" s="247">
        <f t="shared" si="306"/>
        <v>11204.583333333334</v>
      </c>
      <c r="DX117" s="247">
        <f t="shared" si="306"/>
        <v>11204.583333333334</v>
      </c>
      <c r="DY117" s="876">
        <f t="shared" si="217"/>
        <v>134454.99999999997</v>
      </c>
      <c r="DZ117" s="248">
        <f t="shared" si="272"/>
        <v>56247.008333333331</v>
      </c>
      <c r="EA117" s="248">
        <f t="shared" si="272"/>
        <v>56247.008333333331</v>
      </c>
      <c r="EB117" s="248">
        <f t="shared" si="272"/>
        <v>56247.008333333331</v>
      </c>
      <c r="EC117" s="248">
        <f t="shared" si="272"/>
        <v>56247.008333333331</v>
      </c>
      <c r="ED117" s="248">
        <f t="shared" si="272"/>
        <v>56247.008333333331</v>
      </c>
      <c r="EE117" s="248">
        <f t="shared" si="272"/>
        <v>56247.008333333331</v>
      </c>
      <c r="EF117" s="248">
        <f t="shared" si="272"/>
        <v>56247.008333333331</v>
      </c>
      <c r="EG117" s="248">
        <f t="shared" si="272"/>
        <v>56247.008333333331</v>
      </c>
      <c r="EH117" s="248">
        <f t="shared" si="272"/>
        <v>56247.008333333331</v>
      </c>
      <c r="EI117" s="248">
        <f t="shared" si="272"/>
        <v>56247.008333333331</v>
      </c>
      <c r="EJ117" s="248">
        <f t="shared" si="272"/>
        <v>56247.008333333331</v>
      </c>
      <c r="EK117" s="248">
        <f t="shared" si="272"/>
        <v>56247.008333333331</v>
      </c>
      <c r="EL117" s="878">
        <f t="shared" si="273"/>
        <v>674964.09999999974</v>
      </c>
    </row>
    <row r="118" spans="1:142" s="927" customFormat="1">
      <c r="A118" s="1087" t="s">
        <v>718</v>
      </c>
      <c r="B118" s="904" t="s">
        <v>730</v>
      </c>
      <c r="C118" s="912"/>
      <c r="D118" s="913"/>
      <c r="E118" s="1088"/>
      <c r="F118" s="1088"/>
      <c r="G118" s="1089"/>
      <c r="H118" s="913">
        <v>2</v>
      </c>
      <c r="I118" s="1090">
        <f t="shared" si="300"/>
        <v>2</v>
      </c>
      <c r="J118" s="1090">
        <f t="shared" si="300"/>
        <v>2</v>
      </c>
      <c r="K118" s="1091">
        <f t="shared" si="300"/>
        <v>2</v>
      </c>
      <c r="L118" s="984"/>
      <c r="M118" s="918"/>
      <c r="N118" s="919"/>
      <c r="O118" s="919"/>
      <c r="P118" s="919"/>
      <c r="Q118" s="919"/>
      <c r="R118" s="919"/>
      <c r="S118" s="919"/>
      <c r="T118" s="919"/>
      <c r="U118" s="919"/>
      <c r="V118" s="919"/>
      <c r="W118" s="919"/>
      <c r="X118" s="919"/>
      <c r="Y118" s="1092"/>
      <c r="Z118" s="921"/>
      <c r="AA118" s="922"/>
      <c r="AB118" s="922"/>
      <c r="AC118" s="922"/>
      <c r="AD118" s="922"/>
      <c r="AE118" s="1071">
        <f t="shared" si="285"/>
        <v>0</v>
      </c>
      <c r="AF118" s="1071">
        <f t="shared" si="298"/>
        <v>0</v>
      </c>
      <c r="AG118" s="1071">
        <f t="shared" si="276"/>
        <v>0</v>
      </c>
      <c r="AH118" s="1071">
        <f t="shared" si="277"/>
        <v>0</v>
      </c>
      <c r="AI118" s="1071">
        <f t="shared" si="278"/>
        <v>0</v>
      </c>
      <c r="AJ118" s="1071">
        <f t="shared" si="279"/>
        <v>0</v>
      </c>
      <c r="AK118" s="1071">
        <f t="shared" si="280"/>
        <v>0</v>
      </c>
      <c r="AL118" s="878">
        <f t="shared" si="263"/>
        <v>0</v>
      </c>
      <c r="AM118" s="918"/>
      <c r="AN118" s="919"/>
      <c r="AO118" s="919"/>
      <c r="AP118" s="919"/>
      <c r="AQ118" s="919"/>
      <c r="AR118" s="919"/>
      <c r="AS118" s="919"/>
      <c r="AT118" s="919"/>
      <c r="AU118" s="919"/>
      <c r="AV118" s="919"/>
      <c r="AW118" s="919"/>
      <c r="AX118" s="919"/>
      <c r="AY118" s="1092"/>
      <c r="AZ118" s="921"/>
      <c r="BA118" s="922"/>
      <c r="BB118" s="922"/>
      <c r="BC118" s="922"/>
      <c r="BD118" s="922"/>
      <c r="BE118" s="922"/>
      <c r="BF118" s="922"/>
      <c r="BG118" s="922"/>
      <c r="BH118" s="922"/>
      <c r="BI118" s="922"/>
      <c r="BJ118" s="922"/>
      <c r="BK118" s="922"/>
      <c r="BL118" s="987"/>
      <c r="BM118" s="918"/>
      <c r="BN118" s="919"/>
      <c r="BO118" s="919"/>
      <c r="BP118" s="919"/>
      <c r="BQ118" s="919"/>
      <c r="BR118" s="919"/>
      <c r="BS118" s="919">
        <f>100000/12</f>
        <v>8333.3333333333339</v>
      </c>
      <c r="BT118" s="919">
        <f t="shared" ref="BT118:BX119" si="307">100000/12</f>
        <v>8333.3333333333339</v>
      </c>
      <c r="BU118" s="919">
        <f t="shared" si="307"/>
        <v>8333.3333333333339</v>
      </c>
      <c r="BV118" s="919">
        <f t="shared" si="307"/>
        <v>8333.3333333333339</v>
      </c>
      <c r="BW118" s="919">
        <f t="shared" si="307"/>
        <v>8333.3333333333339</v>
      </c>
      <c r="BX118" s="919">
        <f t="shared" si="307"/>
        <v>8333.3333333333339</v>
      </c>
      <c r="BY118" s="1092">
        <f t="shared" si="215"/>
        <v>50000.000000000007</v>
      </c>
      <c r="BZ118" s="921">
        <f t="shared" si="266"/>
        <v>0</v>
      </c>
      <c r="CA118" s="922">
        <f t="shared" si="266"/>
        <v>0</v>
      </c>
      <c r="CB118" s="922">
        <f t="shared" si="266"/>
        <v>0</v>
      </c>
      <c r="CC118" s="922">
        <f t="shared" si="266"/>
        <v>0</v>
      </c>
      <c r="CD118" s="922">
        <f t="shared" si="266"/>
        <v>0</v>
      </c>
      <c r="CE118" s="922">
        <f t="shared" si="266"/>
        <v>0</v>
      </c>
      <c r="CF118" s="922">
        <f t="shared" si="266"/>
        <v>16666.666666666668</v>
      </c>
      <c r="CG118" s="922">
        <f t="shared" si="266"/>
        <v>16666.666666666668</v>
      </c>
      <c r="CH118" s="922">
        <f t="shared" si="266"/>
        <v>16666.666666666668</v>
      </c>
      <c r="CI118" s="922">
        <f t="shared" si="266"/>
        <v>16666.666666666668</v>
      </c>
      <c r="CJ118" s="922">
        <f t="shared" si="266"/>
        <v>16666.666666666668</v>
      </c>
      <c r="CK118" s="922">
        <f t="shared" si="266"/>
        <v>16666.666666666668</v>
      </c>
      <c r="CL118" s="987">
        <f>SUM(BZ118:CK118)</f>
        <v>100000.00000000001</v>
      </c>
      <c r="CM118" s="918">
        <f>1500000/12</f>
        <v>125000</v>
      </c>
      <c r="CN118" s="918">
        <f t="shared" ref="CN118:CX119" si="308">1500000/12</f>
        <v>125000</v>
      </c>
      <c r="CO118" s="918">
        <f t="shared" si="308"/>
        <v>125000</v>
      </c>
      <c r="CP118" s="918">
        <f t="shared" si="308"/>
        <v>125000</v>
      </c>
      <c r="CQ118" s="918">
        <f t="shared" si="308"/>
        <v>125000</v>
      </c>
      <c r="CR118" s="918">
        <f t="shared" si="308"/>
        <v>125000</v>
      </c>
      <c r="CS118" s="918">
        <f t="shared" si="308"/>
        <v>125000</v>
      </c>
      <c r="CT118" s="918">
        <f t="shared" si="308"/>
        <v>125000</v>
      </c>
      <c r="CU118" s="918">
        <f t="shared" si="308"/>
        <v>125000</v>
      </c>
      <c r="CV118" s="918">
        <f t="shared" si="308"/>
        <v>125000</v>
      </c>
      <c r="CW118" s="918">
        <f t="shared" si="308"/>
        <v>125000</v>
      </c>
      <c r="CX118" s="918">
        <f t="shared" si="308"/>
        <v>125000</v>
      </c>
      <c r="CY118" s="990">
        <f>SUM(CM118:CX118)</f>
        <v>1500000</v>
      </c>
      <c r="CZ118" s="991">
        <f t="shared" si="269"/>
        <v>250000</v>
      </c>
      <c r="DA118" s="992">
        <f t="shared" si="269"/>
        <v>250000</v>
      </c>
      <c r="DB118" s="992">
        <f t="shared" si="269"/>
        <v>250000</v>
      </c>
      <c r="DC118" s="992">
        <f t="shared" si="269"/>
        <v>250000</v>
      </c>
      <c r="DD118" s="992">
        <f t="shared" si="269"/>
        <v>250000</v>
      </c>
      <c r="DE118" s="992">
        <f t="shared" si="269"/>
        <v>250000</v>
      </c>
      <c r="DF118" s="992">
        <f t="shared" si="269"/>
        <v>250000</v>
      </c>
      <c r="DG118" s="992">
        <f t="shared" si="269"/>
        <v>250000</v>
      </c>
      <c r="DH118" s="992">
        <f t="shared" si="269"/>
        <v>250000</v>
      </c>
      <c r="DI118" s="992">
        <f t="shared" si="269"/>
        <v>250000</v>
      </c>
      <c r="DJ118" s="992">
        <f t="shared" si="269"/>
        <v>250000</v>
      </c>
      <c r="DK118" s="992">
        <f t="shared" si="269"/>
        <v>250000</v>
      </c>
      <c r="DL118" s="993">
        <f>SUM(CZ118:DK118)</f>
        <v>3000000</v>
      </c>
      <c r="DM118" s="918">
        <f>1800000/12</f>
        <v>150000</v>
      </c>
      <c r="DN118" s="918">
        <f t="shared" ref="DN118:DX119" si="309">1800000/12</f>
        <v>150000</v>
      </c>
      <c r="DO118" s="918">
        <f t="shared" si="309"/>
        <v>150000</v>
      </c>
      <c r="DP118" s="918">
        <f t="shared" si="309"/>
        <v>150000</v>
      </c>
      <c r="DQ118" s="918">
        <f t="shared" si="309"/>
        <v>150000</v>
      </c>
      <c r="DR118" s="918">
        <f t="shared" si="309"/>
        <v>150000</v>
      </c>
      <c r="DS118" s="918">
        <f t="shared" si="309"/>
        <v>150000</v>
      </c>
      <c r="DT118" s="918">
        <f t="shared" si="309"/>
        <v>150000</v>
      </c>
      <c r="DU118" s="918">
        <f t="shared" si="309"/>
        <v>150000</v>
      </c>
      <c r="DV118" s="918">
        <f t="shared" si="309"/>
        <v>150000</v>
      </c>
      <c r="DW118" s="918">
        <f t="shared" si="309"/>
        <v>150000</v>
      </c>
      <c r="DX118" s="918">
        <f t="shared" si="309"/>
        <v>150000</v>
      </c>
      <c r="DY118" s="990">
        <f>SUM(DM118:DX118)</f>
        <v>1800000</v>
      </c>
      <c r="DZ118" s="991">
        <f t="shared" si="272"/>
        <v>300000</v>
      </c>
      <c r="EA118" s="992">
        <f t="shared" si="272"/>
        <v>300000</v>
      </c>
      <c r="EB118" s="992">
        <f t="shared" si="272"/>
        <v>300000</v>
      </c>
      <c r="EC118" s="992">
        <f t="shared" si="272"/>
        <v>300000</v>
      </c>
      <c r="ED118" s="992">
        <f t="shared" si="272"/>
        <v>300000</v>
      </c>
      <c r="EE118" s="992">
        <f t="shared" si="272"/>
        <v>300000</v>
      </c>
      <c r="EF118" s="992">
        <f t="shared" si="272"/>
        <v>300000</v>
      </c>
      <c r="EG118" s="992">
        <f t="shared" si="272"/>
        <v>300000</v>
      </c>
      <c r="EH118" s="992">
        <f t="shared" si="272"/>
        <v>300000</v>
      </c>
      <c r="EI118" s="992">
        <f t="shared" si="272"/>
        <v>300000</v>
      </c>
      <c r="EJ118" s="992">
        <f t="shared" si="272"/>
        <v>300000</v>
      </c>
      <c r="EK118" s="992">
        <f t="shared" si="272"/>
        <v>300000</v>
      </c>
      <c r="EL118" s="993">
        <f>SUM(DZ118:EK118)</f>
        <v>3600000</v>
      </c>
    </row>
    <row r="119" spans="1:142" s="927" customFormat="1">
      <c r="A119" s="1087" t="s">
        <v>718</v>
      </c>
      <c r="B119" s="904" t="s">
        <v>731</v>
      </c>
      <c r="C119" s="912"/>
      <c r="D119" s="913"/>
      <c r="E119" s="1088"/>
      <c r="F119" s="1088"/>
      <c r="G119" s="1089"/>
      <c r="H119" s="913">
        <v>1.5</v>
      </c>
      <c r="I119" s="1090">
        <f t="shared" si="300"/>
        <v>1.5</v>
      </c>
      <c r="J119" s="1090">
        <f t="shared" si="300"/>
        <v>1.5</v>
      </c>
      <c r="K119" s="1091">
        <f t="shared" si="300"/>
        <v>1.5</v>
      </c>
      <c r="L119" s="984"/>
      <c r="M119" s="918"/>
      <c r="N119" s="919"/>
      <c r="O119" s="919"/>
      <c r="P119" s="919"/>
      <c r="Q119" s="919"/>
      <c r="R119" s="919"/>
      <c r="S119" s="919"/>
      <c r="T119" s="919"/>
      <c r="U119" s="919"/>
      <c r="V119" s="919"/>
      <c r="W119" s="919"/>
      <c r="X119" s="919"/>
      <c r="Y119" s="1092"/>
      <c r="Z119" s="921"/>
      <c r="AA119" s="922"/>
      <c r="AB119" s="922"/>
      <c r="AC119" s="922"/>
      <c r="AD119" s="922"/>
      <c r="AE119" s="1071">
        <f t="shared" si="285"/>
        <v>0</v>
      </c>
      <c r="AF119" s="1071">
        <f t="shared" si="298"/>
        <v>0</v>
      </c>
      <c r="AG119" s="1071">
        <f t="shared" si="276"/>
        <v>0</v>
      </c>
      <c r="AH119" s="1071">
        <f t="shared" si="277"/>
        <v>0</v>
      </c>
      <c r="AI119" s="1071">
        <f t="shared" si="278"/>
        <v>0</v>
      </c>
      <c r="AJ119" s="1071">
        <f t="shared" si="279"/>
        <v>0</v>
      </c>
      <c r="AK119" s="1071">
        <f t="shared" si="280"/>
        <v>0</v>
      </c>
      <c r="AL119" s="878">
        <f t="shared" si="263"/>
        <v>0</v>
      </c>
      <c r="AM119" s="918"/>
      <c r="AN119" s="919"/>
      <c r="AO119" s="919"/>
      <c r="AP119" s="919"/>
      <c r="AQ119" s="919"/>
      <c r="AR119" s="919"/>
      <c r="AS119" s="919"/>
      <c r="AT119" s="919"/>
      <c r="AU119" s="919"/>
      <c r="AV119" s="919"/>
      <c r="AW119" s="919"/>
      <c r="AX119" s="919"/>
      <c r="AY119" s="1092"/>
      <c r="AZ119" s="921"/>
      <c r="BA119" s="922"/>
      <c r="BB119" s="922"/>
      <c r="BC119" s="922"/>
      <c r="BD119" s="922"/>
      <c r="BE119" s="922"/>
      <c r="BF119" s="922"/>
      <c r="BG119" s="922"/>
      <c r="BH119" s="922"/>
      <c r="BI119" s="922"/>
      <c r="BJ119" s="922"/>
      <c r="BK119" s="922"/>
      <c r="BL119" s="987"/>
      <c r="BM119" s="918"/>
      <c r="BN119" s="919"/>
      <c r="BO119" s="919"/>
      <c r="BP119" s="919"/>
      <c r="BQ119" s="919"/>
      <c r="BR119" s="919"/>
      <c r="BS119" s="919">
        <f>100000/12</f>
        <v>8333.3333333333339</v>
      </c>
      <c r="BT119" s="919">
        <f t="shared" si="307"/>
        <v>8333.3333333333339</v>
      </c>
      <c r="BU119" s="919">
        <f t="shared" si="307"/>
        <v>8333.3333333333339</v>
      </c>
      <c r="BV119" s="919">
        <f t="shared" si="307"/>
        <v>8333.3333333333339</v>
      </c>
      <c r="BW119" s="919">
        <f t="shared" si="307"/>
        <v>8333.3333333333339</v>
      </c>
      <c r="BX119" s="919">
        <f t="shared" si="307"/>
        <v>8333.3333333333339</v>
      </c>
      <c r="BY119" s="1092">
        <f t="shared" si="215"/>
        <v>50000.000000000007</v>
      </c>
      <c r="BZ119" s="921">
        <f t="shared" si="266"/>
        <v>0</v>
      </c>
      <c r="CA119" s="922">
        <f t="shared" si="266"/>
        <v>0</v>
      </c>
      <c r="CB119" s="922">
        <f t="shared" si="266"/>
        <v>0</v>
      </c>
      <c r="CC119" s="922">
        <f t="shared" ref="BZ119:CK121" si="310">BP119*$I119</f>
        <v>0</v>
      </c>
      <c r="CD119" s="922">
        <f t="shared" si="310"/>
        <v>0</v>
      </c>
      <c r="CE119" s="922">
        <f t="shared" si="310"/>
        <v>0</v>
      </c>
      <c r="CF119" s="922">
        <f t="shared" si="310"/>
        <v>12500</v>
      </c>
      <c r="CG119" s="922">
        <f t="shared" si="310"/>
        <v>12500</v>
      </c>
      <c r="CH119" s="922">
        <f t="shared" si="310"/>
        <v>12500</v>
      </c>
      <c r="CI119" s="922">
        <f t="shared" si="310"/>
        <v>12500</v>
      </c>
      <c r="CJ119" s="922">
        <f t="shared" si="310"/>
        <v>12500</v>
      </c>
      <c r="CK119" s="922">
        <f t="shared" si="310"/>
        <v>12500</v>
      </c>
      <c r="CL119" s="987">
        <f>SUM(BZ119:CK119)</f>
        <v>75000</v>
      </c>
      <c r="CM119" s="918">
        <f>1500000/12</f>
        <v>125000</v>
      </c>
      <c r="CN119" s="918">
        <f t="shared" si="308"/>
        <v>125000</v>
      </c>
      <c r="CO119" s="918">
        <f t="shared" si="308"/>
        <v>125000</v>
      </c>
      <c r="CP119" s="918">
        <f t="shared" si="308"/>
        <v>125000</v>
      </c>
      <c r="CQ119" s="918">
        <f t="shared" si="308"/>
        <v>125000</v>
      </c>
      <c r="CR119" s="918">
        <f t="shared" si="308"/>
        <v>125000</v>
      </c>
      <c r="CS119" s="918">
        <f t="shared" si="308"/>
        <v>125000</v>
      </c>
      <c r="CT119" s="918">
        <f t="shared" si="308"/>
        <v>125000</v>
      </c>
      <c r="CU119" s="918">
        <f t="shared" si="308"/>
        <v>125000</v>
      </c>
      <c r="CV119" s="918">
        <f t="shared" si="308"/>
        <v>125000</v>
      </c>
      <c r="CW119" s="918">
        <f t="shared" si="308"/>
        <v>125000</v>
      </c>
      <c r="CX119" s="918">
        <f t="shared" si="308"/>
        <v>125000</v>
      </c>
      <c r="CY119" s="990">
        <f>SUM(CM119:CX119)</f>
        <v>1500000</v>
      </c>
      <c r="CZ119" s="991">
        <f t="shared" si="269"/>
        <v>187500</v>
      </c>
      <c r="DA119" s="992">
        <f t="shared" si="269"/>
        <v>187500</v>
      </c>
      <c r="DB119" s="992">
        <f t="shared" si="269"/>
        <v>187500</v>
      </c>
      <c r="DC119" s="992">
        <f t="shared" ref="DC119:DK121" si="311">CP119*$J119</f>
        <v>187500</v>
      </c>
      <c r="DD119" s="992">
        <f t="shared" si="311"/>
        <v>187500</v>
      </c>
      <c r="DE119" s="992">
        <f t="shared" si="311"/>
        <v>187500</v>
      </c>
      <c r="DF119" s="992">
        <f t="shared" si="311"/>
        <v>187500</v>
      </c>
      <c r="DG119" s="992">
        <f t="shared" si="311"/>
        <v>187500</v>
      </c>
      <c r="DH119" s="992">
        <f t="shared" si="311"/>
        <v>187500</v>
      </c>
      <c r="DI119" s="992">
        <f t="shared" si="311"/>
        <v>187500</v>
      </c>
      <c r="DJ119" s="992">
        <f t="shared" si="311"/>
        <v>187500</v>
      </c>
      <c r="DK119" s="992">
        <f t="shared" si="311"/>
        <v>187500</v>
      </c>
      <c r="DL119" s="993">
        <f>SUM(CZ119:DK119)</f>
        <v>2250000</v>
      </c>
      <c r="DM119" s="918">
        <f>1800000/12</f>
        <v>150000</v>
      </c>
      <c r="DN119" s="918">
        <f t="shared" si="309"/>
        <v>150000</v>
      </c>
      <c r="DO119" s="918">
        <f t="shared" si="309"/>
        <v>150000</v>
      </c>
      <c r="DP119" s="918">
        <f t="shared" si="309"/>
        <v>150000</v>
      </c>
      <c r="DQ119" s="918">
        <f t="shared" si="309"/>
        <v>150000</v>
      </c>
      <c r="DR119" s="918">
        <f t="shared" si="309"/>
        <v>150000</v>
      </c>
      <c r="DS119" s="918">
        <f t="shared" si="309"/>
        <v>150000</v>
      </c>
      <c r="DT119" s="918">
        <f t="shared" si="309"/>
        <v>150000</v>
      </c>
      <c r="DU119" s="918">
        <f t="shared" si="309"/>
        <v>150000</v>
      </c>
      <c r="DV119" s="918">
        <f t="shared" si="309"/>
        <v>150000</v>
      </c>
      <c r="DW119" s="918">
        <f t="shared" si="309"/>
        <v>150000</v>
      </c>
      <c r="DX119" s="918">
        <f t="shared" si="309"/>
        <v>150000</v>
      </c>
      <c r="DY119" s="990">
        <f>SUM(DM119:DX119)</f>
        <v>1800000</v>
      </c>
      <c r="DZ119" s="991">
        <f t="shared" si="272"/>
        <v>225000</v>
      </c>
      <c r="EA119" s="992">
        <f t="shared" si="272"/>
        <v>225000</v>
      </c>
      <c r="EB119" s="992">
        <f t="shared" si="272"/>
        <v>225000</v>
      </c>
      <c r="EC119" s="992">
        <f t="shared" ref="EC119:EK121" si="312">DP119*$K119</f>
        <v>225000</v>
      </c>
      <c r="ED119" s="992">
        <f t="shared" si="312"/>
        <v>225000</v>
      </c>
      <c r="EE119" s="992">
        <f t="shared" si="312"/>
        <v>225000</v>
      </c>
      <c r="EF119" s="992">
        <f t="shared" si="312"/>
        <v>225000</v>
      </c>
      <c r="EG119" s="992">
        <f t="shared" si="312"/>
        <v>225000</v>
      </c>
      <c r="EH119" s="992">
        <f t="shared" si="312"/>
        <v>225000</v>
      </c>
      <c r="EI119" s="992">
        <f t="shared" si="312"/>
        <v>225000</v>
      </c>
      <c r="EJ119" s="992">
        <f t="shared" si="312"/>
        <v>225000</v>
      </c>
      <c r="EK119" s="992">
        <f t="shared" si="312"/>
        <v>225000</v>
      </c>
      <c r="EL119" s="993">
        <f>SUM(DZ119:EK119)</f>
        <v>2700000</v>
      </c>
    </row>
    <row r="120" spans="1:142" s="927" customFormat="1">
      <c r="A120" s="1087" t="s">
        <v>718</v>
      </c>
      <c r="B120" s="904" t="s">
        <v>732</v>
      </c>
      <c r="C120" s="912"/>
      <c r="D120" s="913"/>
      <c r="E120" s="1088"/>
      <c r="F120" s="1088"/>
      <c r="G120" s="1089"/>
      <c r="H120" s="913">
        <v>3</v>
      </c>
      <c r="I120" s="1090">
        <f t="shared" si="300"/>
        <v>3</v>
      </c>
      <c r="J120" s="1090">
        <f t="shared" si="300"/>
        <v>3</v>
      </c>
      <c r="K120" s="1091">
        <f t="shared" si="300"/>
        <v>3</v>
      </c>
      <c r="L120" s="984"/>
      <c r="M120" s="918"/>
      <c r="N120" s="919"/>
      <c r="O120" s="919"/>
      <c r="P120" s="919"/>
      <c r="Q120" s="919"/>
      <c r="R120" s="919"/>
      <c r="S120" s="919"/>
      <c r="T120" s="919"/>
      <c r="U120" s="919"/>
      <c r="V120" s="919"/>
      <c r="W120" s="919"/>
      <c r="X120" s="919"/>
      <c r="Y120" s="1092"/>
      <c r="Z120" s="921"/>
      <c r="AA120" s="922"/>
      <c r="AB120" s="922"/>
      <c r="AC120" s="922"/>
      <c r="AD120" s="922"/>
      <c r="AE120" s="1071">
        <f t="shared" si="285"/>
        <v>0</v>
      </c>
      <c r="AF120" s="1071">
        <f t="shared" si="298"/>
        <v>0</v>
      </c>
      <c r="AG120" s="1071">
        <f t="shared" si="276"/>
        <v>0</v>
      </c>
      <c r="AH120" s="1071">
        <f t="shared" si="277"/>
        <v>0</v>
      </c>
      <c r="AI120" s="1071">
        <f t="shared" si="278"/>
        <v>0</v>
      </c>
      <c r="AJ120" s="1071">
        <f t="shared" si="279"/>
        <v>0</v>
      </c>
      <c r="AK120" s="1071">
        <f t="shared" si="280"/>
        <v>0</v>
      </c>
      <c r="AL120" s="878">
        <f t="shared" si="263"/>
        <v>0</v>
      </c>
      <c r="AM120" s="918"/>
      <c r="AN120" s="919"/>
      <c r="AO120" s="919"/>
      <c r="AP120" s="919"/>
      <c r="AQ120" s="919"/>
      <c r="AR120" s="919"/>
      <c r="AS120" s="919"/>
      <c r="AT120" s="919"/>
      <c r="AU120" s="919"/>
      <c r="AV120" s="919"/>
      <c r="AW120" s="919"/>
      <c r="AX120" s="919"/>
      <c r="AY120" s="1092"/>
      <c r="AZ120" s="921"/>
      <c r="BA120" s="922"/>
      <c r="BB120" s="922"/>
      <c r="BC120" s="922"/>
      <c r="BD120" s="922"/>
      <c r="BE120" s="922"/>
      <c r="BF120" s="922"/>
      <c r="BG120" s="922"/>
      <c r="BH120" s="922"/>
      <c r="BI120" s="922"/>
      <c r="BJ120" s="922"/>
      <c r="BK120" s="922"/>
      <c r="BL120" s="987"/>
      <c r="BM120" s="918"/>
      <c r="BN120" s="919"/>
      <c r="BO120" s="919"/>
      <c r="BP120" s="919"/>
      <c r="BQ120" s="919"/>
      <c r="BR120" s="919"/>
      <c r="BS120" s="919">
        <f t="shared" ref="BS120:BX120" si="313">100000/6</f>
        <v>16666.666666666668</v>
      </c>
      <c r="BT120" s="919">
        <f t="shared" si="313"/>
        <v>16666.666666666668</v>
      </c>
      <c r="BU120" s="919">
        <f t="shared" si="313"/>
        <v>16666.666666666668</v>
      </c>
      <c r="BV120" s="919">
        <f t="shared" si="313"/>
        <v>16666.666666666668</v>
      </c>
      <c r="BW120" s="919">
        <f t="shared" si="313"/>
        <v>16666.666666666668</v>
      </c>
      <c r="BX120" s="919">
        <f t="shared" si="313"/>
        <v>16666.666666666668</v>
      </c>
      <c r="BY120" s="1092">
        <f t="shared" si="215"/>
        <v>100000.00000000001</v>
      </c>
      <c r="BZ120" s="921">
        <f t="shared" si="310"/>
        <v>0</v>
      </c>
      <c r="CA120" s="922">
        <f t="shared" si="310"/>
        <v>0</v>
      </c>
      <c r="CB120" s="922">
        <f t="shared" si="310"/>
        <v>0</v>
      </c>
      <c r="CC120" s="922">
        <f t="shared" si="310"/>
        <v>0</v>
      </c>
      <c r="CD120" s="922">
        <f t="shared" si="310"/>
        <v>0</v>
      </c>
      <c r="CE120" s="922">
        <f t="shared" si="310"/>
        <v>0</v>
      </c>
      <c r="CF120" s="922">
        <f t="shared" si="310"/>
        <v>50000</v>
      </c>
      <c r="CG120" s="922">
        <f t="shared" si="310"/>
        <v>50000</v>
      </c>
      <c r="CH120" s="922">
        <f t="shared" si="310"/>
        <v>50000</v>
      </c>
      <c r="CI120" s="922">
        <f t="shared" si="310"/>
        <v>50000</v>
      </c>
      <c r="CJ120" s="922">
        <f t="shared" si="310"/>
        <v>50000</v>
      </c>
      <c r="CK120" s="922">
        <f t="shared" si="310"/>
        <v>50000</v>
      </c>
      <c r="CL120" s="987">
        <f>SUM(BZ120:CK120)</f>
        <v>300000</v>
      </c>
      <c r="CM120" s="918">
        <f>1000000/12</f>
        <v>83333.333333333328</v>
      </c>
      <c r="CN120" s="918">
        <f t="shared" ref="CN120:CX120" si="314">1000000/12</f>
        <v>83333.333333333328</v>
      </c>
      <c r="CO120" s="918">
        <f t="shared" si="314"/>
        <v>83333.333333333328</v>
      </c>
      <c r="CP120" s="918">
        <f t="shared" si="314"/>
        <v>83333.333333333328</v>
      </c>
      <c r="CQ120" s="918">
        <f t="shared" si="314"/>
        <v>83333.333333333328</v>
      </c>
      <c r="CR120" s="918">
        <f t="shared" si="314"/>
        <v>83333.333333333328</v>
      </c>
      <c r="CS120" s="918">
        <f t="shared" si="314"/>
        <v>83333.333333333328</v>
      </c>
      <c r="CT120" s="918">
        <f t="shared" si="314"/>
        <v>83333.333333333328</v>
      </c>
      <c r="CU120" s="918">
        <f t="shared" si="314"/>
        <v>83333.333333333328</v>
      </c>
      <c r="CV120" s="918">
        <f t="shared" si="314"/>
        <v>83333.333333333328</v>
      </c>
      <c r="CW120" s="918">
        <f t="shared" si="314"/>
        <v>83333.333333333328</v>
      </c>
      <c r="CX120" s="918">
        <f t="shared" si="314"/>
        <v>83333.333333333328</v>
      </c>
      <c r="CY120" s="990">
        <f>SUM(CM120:CX120)</f>
        <v>1000000.0000000001</v>
      </c>
      <c r="CZ120" s="991">
        <f t="shared" ref="CZ120:DB121" si="315">CM120*$J120</f>
        <v>250000</v>
      </c>
      <c r="DA120" s="992">
        <f t="shared" si="315"/>
        <v>250000</v>
      </c>
      <c r="DB120" s="992">
        <f t="shared" si="315"/>
        <v>250000</v>
      </c>
      <c r="DC120" s="992">
        <f t="shared" si="311"/>
        <v>250000</v>
      </c>
      <c r="DD120" s="992">
        <f t="shared" si="311"/>
        <v>250000</v>
      </c>
      <c r="DE120" s="992">
        <f t="shared" si="311"/>
        <v>250000</v>
      </c>
      <c r="DF120" s="992">
        <f t="shared" si="311"/>
        <v>250000</v>
      </c>
      <c r="DG120" s="992">
        <f t="shared" si="311"/>
        <v>250000</v>
      </c>
      <c r="DH120" s="992">
        <f t="shared" si="311"/>
        <v>250000</v>
      </c>
      <c r="DI120" s="992">
        <f t="shared" si="311"/>
        <v>250000</v>
      </c>
      <c r="DJ120" s="992">
        <f t="shared" si="311"/>
        <v>250000</v>
      </c>
      <c r="DK120" s="992">
        <f t="shared" si="311"/>
        <v>250000</v>
      </c>
      <c r="DL120" s="993">
        <f>SUM(CZ120:DK120)</f>
        <v>3000000</v>
      </c>
      <c r="DM120" s="918">
        <f>1500000/12</f>
        <v>125000</v>
      </c>
      <c r="DN120" s="918">
        <f t="shared" ref="DN120:DX120" si="316">1500000/12</f>
        <v>125000</v>
      </c>
      <c r="DO120" s="918">
        <f t="shared" si="316"/>
        <v>125000</v>
      </c>
      <c r="DP120" s="918">
        <f t="shared" si="316"/>
        <v>125000</v>
      </c>
      <c r="DQ120" s="918">
        <f t="shared" si="316"/>
        <v>125000</v>
      </c>
      <c r="DR120" s="918">
        <f t="shared" si="316"/>
        <v>125000</v>
      </c>
      <c r="DS120" s="918">
        <f t="shared" si="316"/>
        <v>125000</v>
      </c>
      <c r="DT120" s="918">
        <f t="shared" si="316"/>
        <v>125000</v>
      </c>
      <c r="DU120" s="918">
        <f t="shared" si="316"/>
        <v>125000</v>
      </c>
      <c r="DV120" s="918">
        <f t="shared" si="316"/>
        <v>125000</v>
      </c>
      <c r="DW120" s="918">
        <f t="shared" si="316"/>
        <v>125000</v>
      </c>
      <c r="DX120" s="918">
        <f t="shared" si="316"/>
        <v>125000</v>
      </c>
      <c r="DY120" s="990">
        <f>SUM(DM120:DX120)</f>
        <v>1500000</v>
      </c>
      <c r="DZ120" s="991">
        <f t="shared" ref="DZ120:EB121" si="317">DM120*$K120</f>
        <v>375000</v>
      </c>
      <c r="EA120" s="992">
        <f t="shared" si="317"/>
        <v>375000</v>
      </c>
      <c r="EB120" s="992">
        <f t="shared" si="317"/>
        <v>375000</v>
      </c>
      <c r="EC120" s="992">
        <f t="shared" si="312"/>
        <v>375000</v>
      </c>
      <c r="ED120" s="992">
        <f t="shared" si="312"/>
        <v>375000</v>
      </c>
      <c r="EE120" s="992">
        <f t="shared" si="312"/>
        <v>375000</v>
      </c>
      <c r="EF120" s="992">
        <f t="shared" si="312"/>
        <v>375000</v>
      </c>
      <c r="EG120" s="992">
        <f t="shared" si="312"/>
        <v>375000</v>
      </c>
      <c r="EH120" s="992">
        <f t="shared" si="312"/>
        <v>375000</v>
      </c>
      <c r="EI120" s="992">
        <f t="shared" si="312"/>
        <v>375000</v>
      </c>
      <c r="EJ120" s="992">
        <f t="shared" si="312"/>
        <v>375000</v>
      </c>
      <c r="EK120" s="992">
        <f t="shared" si="312"/>
        <v>375000</v>
      </c>
      <c r="EL120" s="993">
        <f>SUM(DZ120:EK120)</f>
        <v>4500000</v>
      </c>
    </row>
    <row r="121" spans="1:142" ht="19.8" thickBot="1">
      <c r="A121" s="965" t="s">
        <v>718</v>
      </c>
      <c r="B121" s="896" t="s">
        <v>733</v>
      </c>
      <c r="C121" s="908"/>
      <c r="D121" s="549"/>
      <c r="E121" s="557"/>
      <c r="F121" s="557"/>
      <c r="G121" s="558"/>
      <c r="H121" s="549"/>
      <c r="I121" s="550"/>
      <c r="J121" s="550"/>
      <c r="K121" s="973"/>
      <c r="L121" s="974"/>
      <c r="M121" s="556"/>
      <c r="N121" s="247"/>
      <c r="O121" s="247"/>
      <c r="P121" s="247"/>
      <c r="Q121" s="247"/>
      <c r="R121" s="247"/>
      <c r="S121" s="247"/>
      <c r="T121" s="247"/>
      <c r="U121" s="247"/>
      <c r="V121" s="247"/>
      <c r="W121" s="247"/>
      <c r="X121" s="247"/>
      <c r="Y121" s="876">
        <f>SUM(M121:X121)</f>
        <v>0</v>
      </c>
      <c r="Z121" s="877">
        <v>-23375</v>
      </c>
      <c r="AA121" s="248">
        <v>-23375</v>
      </c>
      <c r="AB121" s="248">
        <v>-23375</v>
      </c>
      <c r="AC121" s="248"/>
      <c r="AD121" s="248"/>
      <c r="AE121" s="248">
        <f>-23375-1578.07</f>
        <v>-24953.07</v>
      </c>
      <c r="AF121" s="1071">
        <f t="shared" si="298"/>
        <v>0</v>
      </c>
      <c r="AG121" s="1071">
        <f t="shared" si="276"/>
        <v>0</v>
      </c>
      <c r="AH121" s="1071">
        <f t="shared" si="277"/>
        <v>0</v>
      </c>
      <c r="AI121" s="1071">
        <f t="shared" si="278"/>
        <v>0</v>
      </c>
      <c r="AJ121" s="1071">
        <f t="shared" si="279"/>
        <v>0</v>
      </c>
      <c r="AK121" s="1071">
        <f t="shared" si="280"/>
        <v>0</v>
      </c>
      <c r="AL121" s="878">
        <f>SUM(Z121:AK121)</f>
        <v>-95078.07</v>
      </c>
      <c r="AM121" s="556"/>
      <c r="AN121" s="247"/>
      <c r="AO121" s="247"/>
      <c r="AP121" s="247"/>
      <c r="AQ121" s="247"/>
      <c r="AR121" s="247"/>
      <c r="AS121" s="247"/>
      <c r="AT121" s="247"/>
      <c r="AU121" s="247"/>
      <c r="AV121" s="247"/>
      <c r="AW121" s="247"/>
      <c r="AX121" s="247"/>
      <c r="AY121" s="876">
        <f t="shared" si="213"/>
        <v>0</v>
      </c>
      <c r="AZ121" s="877">
        <f t="shared" si="264"/>
        <v>0</v>
      </c>
      <c r="BA121" s="248">
        <f t="shared" si="264"/>
        <v>0</v>
      </c>
      <c r="BB121" s="248">
        <f t="shared" si="264"/>
        <v>0</v>
      </c>
      <c r="BC121" s="248">
        <f t="shared" si="264"/>
        <v>0</v>
      </c>
      <c r="BD121" s="248">
        <f t="shared" si="264"/>
        <v>0</v>
      </c>
      <c r="BE121" s="248">
        <f t="shared" si="264"/>
        <v>0</v>
      </c>
      <c r="BF121" s="248">
        <f t="shared" si="264"/>
        <v>0</v>
      </c>
      <c r="BG121" s="248">
        <f t="shared" si="264"/>
        <v>0</v>
      </c>
      <c r="BH121" s="248">
        <f t="shared" si="264"/>
        <v>0</v>
      </c>
      <c r="BI121" s="248">
        <f t="shared" si="264"/>
        <v>0</v>
      </c>
      <c r="BJ121" s="248">
        <f t="shared" si="264"/>
        <v>0</v>
      </c>
      <c r="BK121" s="248">
        <f t="shared" si="264"/>
        <v>0</v>
      </c>
      <c r="BL121" s="878">
        <f t="shared" si="265"/>
        <v>0</v>
      </c>
      <c r="BM121" s="888"/>
      <c r="BN121" s="247"/>
      <c r="BO121" s="247"/>
      <c r="BP121" s="247"/>
      <c r="BQ121" s="247"/>
      <c r="BR121" s="247"/>
      <c r="BS121" s="247"/>
      <c r="BT121" s="247"/>
      <c r="BU121" s="247"/>
      <c r="BV121" s="247"/>
      <c r="BW121" s="247"/>
      <c r="BX121" s="247"/>
      <c r="BY121" s="876">
        <f t="shared" si="215"/>
        <v>0</v>
      </c>
      <c r="BZ121" s="882">
        <f t="shared" si="310"/>
        <v>0</v>
      </c>
      <c r="CA121" s="248">
        <f t="shared" si="310"/>
        <v>0</v>
      </c>
      <c r="CB121" s="248">
        <f t="shared" si="310"/>
        <v>0</v>
      </c>
      <c r="CC121" s="248">
        <f t="shared" si="310"/>
        <v>0</v>
      </c>
      <c r="CD121" s="248">
        <f t="shared" si="310"/>
        <v>0</v>
      </c>
      <c r="CE121" s="248">
        <f t="shared" si="310"/>
        <v>0</v>
      </c>
      <c r="CF121" s="248">
        <f t="shared" si="310"/>
        <v>0</v>
      </c>
      <c r="CG121" s="248">
        <f t="shared" si="310"/>
        <v>0</v>
      </c>
      <c r="CH121" s="248">
        <f t="shared" si="310"/>
        <v>0</v>
      </c>
      <c r="CI121" s="248">
        <f t="shared" si="310"/>
        <v>0</v>
      </c>
      <c r="CJ121" s="248">
        <f t="shared" si="310"/>
        <v>0</v>
      </c>
      <c r="CK121" s="248">
        <f t="shared" si="310"/>
        <v>0</v>
      </c>
      <c r="CL121" s="883">
        <f t="shared" si="267"/>
        <v>0</v>
      </c>
      <c r="CM121" s="888"/>
      <c r="CN121" s="247"/>
      <c r="CO121" s="247"/>
      <c r="CP121" s="247"/>
      <c r="CQ121" s="247"/>
      <c r="CR121" s="247"/>
      <c r="CS121" s="247"/>
      <c r="CT121" s="247"/>
      <c r="CU121" s="247"/>
      <c r="CV121" s="247"/>
      <c r="CW121" s="247"/>
      <c r="CX121" s="247"/>
      <c r="CY121" s="876">
        <f t="shared" si="216"/>
        <v>0</v>
      </c>
      <c r="CZ121" s="877">
        <f t="shared" si="315"/>
        <v>0</v>
      </c>
      <c r="DA121" s="248">
        <f t="shared" si="315"/>
        <v>0</v>
      </c>
      <c r="DB121" s="248">
        <f t="shared" si="315"/>
        <v>0</v>
      </c>
      <c r="DC121" s="248">
        <f t="shared" si="311"/>
        <v>0</v>
      </c>
      <c r="DD121" s="248">
        <f t="shared" si="311"/>
        <v>0</v>
      </c>
      <c r="DE121" s="248">
        <f t="shared" si="311"/>
        <v>0</v>
      </c>
      <c r="DF121" s="248">
        <f t="shared" si="311"/>
        <v>0</v>
      </c>
      <c r="DG121" s="248">
        <f t="shared" si="311"/>
        <v>0</v>
      </c>
      <c r="DH121" s="248">
        <f t="shared" si="311"/>
        <v>0</v>
      </c>
      <c r="DI121" s="248">
        <f t="shared" si="311"/>
        <v>0</v>
      </c>
      <c r="DJ121" s="248">
        <f t="shared" si="311"/>
        <v>0</v>
      </c>
      <c r="DK121" s="248">
        <f t="shared" si="311"/>
        <v>0</v>
      </c>
      <c r="DL121" s="878">
        <f t="shared" si="270"/>
        <v>0</v>
      </c>
      <c r="DM121" s="556"/>
      <c r="DN121" s="247"/>
      <c r="DO121" s="247"/>
      <c r="DP121" s="247"/>
      <c r="DQ121" s="247"/>
      <c r="DR121" s="247"/>
      <c r="DS121" s="247"/>
      <c r="DT121" s="247"/>
      <c r="DU121" s="247"/>
      <c r="DV121" s="247"/>
      <c r="DW121" s="247"/>
      <c r="DX121" s="247"/>
      <c r="DY121" s="876">
        <f t="shared" si="217"/>
        <v>0</v>
      </c>
      <c r="DZ121" s="248">
        <f t="shared" si="317"/>
        <v>0</v>
      </c>
      <c r="EA121" s="248">
        <f t="shared" si="317"/>
        <v>0</v>
      </c>
      <c r="EB121" s="248">
        <f t="shared" si="317"/>
        <v>0</v>
      </c>
      <c r="EC121" s="248">
        <f t="shared" si="312"/>
        <v>0</v>
      </c>
      <c r="ED121" s="248">
        <f t="shared" si="312"/>
        <v>0</v>
      </c>
      <c r="EE121" s="248">
        <f t="shared" si="312"/>
        <v>0</v>
      </c>
      <c r="EF121" s="248">
        <f t="shared" si="312"/>
        <v>0</v>
      </c>
      <c r="EG121" s="248">
        <f t="shared" si="312"/>
        <v>0</v>
      </c>
      <c r="EH121" s="248">
        <f t="shared" si="312"/>
        <v>0</v>
      </c>
      <c r="EI121" s="248">
        <f t="shared" si="312"/>
        <v>0</v>
      </c>
      <c r="EJ121" s="248">
        <f t="shared" si="312"/>
        <v>0</v>
      </c>
      <c r="EK121" s="248">
        <f t="shared" si="312"/>
        <v>0</v>
      </c>
      <c r="EL121" s="878">
        <f t="shared" si="273"/>
        <v>0</v>
      </c>
    </row>
    <row r="122" spans="1:142" ht="20.399999999999999" thickTop="1" thickBot="1">
      <c r="A122" s="7261" t="s">
        <v>84</v>
      </c>
      <c r="B122" s="7262"/>
      <c r="C122" s="7263"/>
      <c r="D122" s="889"/>
      <c r="E122" s="889"/>
      <c r="F122" s="889"/>
      <c r="G122" s="889"/>
      <c r="H122" s="889"/>
      <c r="I122" s="889"/>
      <c r="J122" s="889"/>
      <c r="K122" s="890"/>
      <c r="L122" s="891"/>
      <c r="M122" s="892">
        <f t="shared" ref="M122:BX122" si="318">SUM(M98:M121)</f>
        <v>166332</v>
      </c>
      <c r="N122" s="535">
        <f t="shared" si="318"/>
        <v>417450</v>
      </c>
      <c r="O122" s="535">
        <f t="shared" si="318"/>
        <v>545598</v>
      </c>
      <c r="P122" s="535">
        <f t="shared" si="318"/>
        <v>520116</v>
      </c>
      <c r="Q122" s="535">
        <f t="shared" si="318"/>
        <v>387294</v>
      </c>
      <c r="R122" s="535">
        <f t="shared" si="318"/>
        <v>359788</v>
      </c>
      <c r="S122" s="535">
        <f>SUM(S98:S121)</f>
        <v>441410</v>
      </c>
      <c r="T122" s="535">
        <f t="shared" si="318"/>
        <v>501636</v>
      </c>
      <c r="U122" s="535">
        <f t="shared" si="318"/>
        <v>485050</v>
      </c>
      <c r="V122" s="535">
        <f t="shared" si="318"/>
        <v>517806</v>
      </c>
      <c r="W122" s="535">
        <f t="shared" si="318"/>
        <v>536090</v>
      </c>
      <c r="X122" s="535">
        <f t="shared" si="318"/>
        <v>542324</v>
      </c>
      <c r="Y122" s="536">
        <f t="shared" si="318"/>
        <v>5420894</v>
      </c>
      <c r="Z122" s="537">
        <f t="shared" si="318"/>
        <v>245490.84000000003</v>
      </c>
      <c r="AA122" s="537">
        <f t="shared" si="318"/>
        <v>489526.08000000007</v>
      </c>
      <c r="AB122" s="537">
        <f t="shared" si="318"/>
        <v>587705.66</v>
      </c>
      <c r="AC122" s="537">
        <f>SUM(AC98:AC121)</f>
        <v>643875.08000000007</v>
      </c>
      <c r="AD122" s="537">
        <f>SUM(AD98:AD121)</f>
        <v>511064.1</v>
      </c>
      <c r="AE122" s="537">
        <f>SUM(AE98:AE121)</f>
        <v>415632.12999999995</v>
      </c>
      <c r="AF122" s="537">
        <f>SUM(AF98:AF121)</f>
        <v>501594.02</v>
      </c>
      <c r="AG122" s="537">
        <f t="shared" si="318"/>
        <v>592137.96</v>
      </c>
      <c r="AH122" s="537">
        <f t="shared" si="318"/>
        <v>552570.41999999993</v>
      </c>
      <c r="AI122" s="537">
        <f t="shared" si="318"/>
        <v>609572.06000000006</v>
      </c>
      <c r="AJ122" s="537">
        <f t="shared" si="318"/>
        <v>649094.74</v>
      </c>
      <c r="AK122" s="537">
        <f t="shared" si="318"/>
        <v>664187.32000000007</v>
      </c>
      <c r="AL122" s="538">
        <f t="shared" si="318"/>
        <v>6462450.4099999992</v>
      </c>
      <c r="AM122" s="535">
        <f t="shared" si="318"/>
        <v>654764.16666666663</v>
      </c>
      <c r="AN122" s="535">
        <f t="shared" si="318"/>
        <v>510184.16666666669</v>
      </c>
      <c r="AO122" s="535">
        <f t="shared" si="318"/>
        <v>554100.16666666663</v>
      </c>
      <c r="AP122" s="535">
        <f t="shared" si="318"/>
        <v>628732.16666666663</v>
      </c>
      <c r="AQ122" s="535">
        <f t="shared" si="318"/>
        <v>659172.16666666663</v>
      </c>
      <c r="AR122" s="535">
        <f t="shared" si="318"/>
        <v>565668.16666666663</v>
      </c>
      <c r="AS122" s="535">
        <f t="shared" si="318"/>
        <v>621332.16666666663</v>
      </c>
      <c r="AT122" s="535">
        <f t="shared" si="318"/>
        <v>592324.16666666663</v>
      </c>
      <c r="AU122" s="535">
        <f t="shared" si="318"/>
        <v>509445.16666666669</v>
      </c>
      <c r="AV122" s="535">
        <f t="shared" si="318"/>
        <v>536212.16666666663</v>
      </c>
      <c r="AW122" s="535">
        <f t="shared" si="318"/>
        <v>466056.16666666669</v>
      </c>
      <c r="AX122" s="535">
        <f t="shared" si="318"/>
        <v>360208.16666666669</v>
      </c>
      <c r="AY122" s="536">
        <f t="shared" si="318"/>
        <v>6658199</v>
      </c>
      <c r="AZ122" s="537">
        <f t="shared" si="318"/>
        <v>808574.40833333333</v>
      </c>
      <c r="BA122" s="537">
        <f t="shared" si="318"/>
        <v>700997.80833333323</v>
      </c>
      <c r="BB122" s="537">
        <f t="shared" si="318"/>
        <v>698579.20833333337</v>
      </c>
      <c r="BC122" s="537">
        <f t="shared" si="318"/>
        <v>795008.16833333333</v>
      </c>
      <c r="BD122" s="537">
        <f t="shared" si="318"/>
        <v>802992.24833333341</v>
      </c>
      <c r="BE122" s="537">
        <f t="shared" si="318"/>
        <v>701404.96833333338</v>
      </c>
      <c r="BF122" s="537">
        <f t="shared" si="318"/>
        <v>767290.16833333333</v>
      </c>
      <c r="BG122" s="537">
        <f t="shared" si="318"/>
        <v>747055.6083333334</v>
      </c>
      <c r="BH122" s="537">
        <f t="shared" si="318"/>
        <v>646507.8583333334</v>
      </c>
      <c r="BI122" s="537">
        <f t="shared" si="318"/>
        <v>676911.76833333343</v>
      </c>
      <c r="BJ122" s="537">
        <f t="shared" si="318"/>
        <v>576096.1283333333</v>
      </c>
      <c r="BK122" s="537">
        <f t="shared" si="318"/>
        <v>476319.48833333328</v>
      </c>
      <c r="BL122" s="538">
        <f t="shared" si="318"/>
        <v>8397737.8300000001</v>
      </c>
      <c r="BM122" s="535">
        <f t="shared" si="318"/>
        <v>682353.33333333326</v>
      </c>
      <c r="BN122" s="535">
        <f t="shared" si="318"/>
        <v>657500.69166666665</v>
      </c>
      <c r="BO122" s="535">
        <f t="shared" si="318"/>
        <v>673204.69166666665</v>
      </c>
      <c r="BP122" s="535">
        <f t="shared" si="318"/>
        <v>659204.69166666665</v>
      </c>
      <c r="BQ122" s="535">
        <f t="shared" si="318"/>
        <v>659204.69166666665</v>
      </c>
      <c r="BR122" s="535">
        <f t="shared" si="318"/>
        <v>659204.69166666665</v>
      </c>
      <c r="BS122" s="535">
        <f t="shared" si="318"/>
        <v>692538.02500000002</v>
      </c>
      <c r="BT122" s="535">
        <f t="shared" si="318"/>
        <v>692538.02500000002</v>
      </c>
      <c r="BU122" s="535">
        <f t="shared" si="318"/>
        <v>692538.02500000002</v>
      </c>
      <c r="BV122" s="535">
        <f t="shared" si="318"/>
        <v>692538.02500000002</v>
      </c>
      <c r="BW122" s="535">
        <f t="shared" si="318"/>
        <v>692538.02500000002</v>
      </c>
      <c r="BX122" s="535">
        <f t="shared" si="318"/>
        <v>692538.02500000002</v>
      </c>
      <c r="BY122" s="536">
        <f t="shared" ref="BY122:EJ122" si="319">SUM(BY98:BY121)</f>
        <v>8145900.9416666692</v>
      </c>
      <c r="BZ122" s="893">
        <f t="shared" si="319"/>
        <v>889205.78770833334</v>
      </c>
      <c r="CA122" s="537">
        <f t="shared" si="319"/>
        <v>834137.11408333329</v>
      </c>
      <c r="CB122" s="537">
        <f t="shared" si="319"/>
        <v>849524.8740833333</v>
      </c>
      <c r="CC122" s="537">
        <f t="shared" si="319"/>
        <v>825654.8740833333</v>
      </c>
      <c r="CD122" s="537">
        <f t="shared" si="319"/>
        <v>825654.8740833333</v>
      </c>
      <c r="CE122" s="537">
        <f t="shared" si="319"/>
        <v>825654.8740833333</v>
      </c>
      <c r="CF122" s="537">
        <f t="shared" si="319"/>
        <v>904821.54074999993</v>
      </c>
      <c r="CG122" s="537">
        <f t="shared" si="319"/>
        <v>904821.54074999993</v>
      </c>
      <c r="CH122" s="537">
        <f t="shared" si="319"/>
        <v>904821.54074999993</v>
      </c>
      <c r="CI122" s="537">
        <f t="shared" si="319"/>
        <v>904821.54074999993</v>
      </c>
      <c r="CJ122" s="537">
        <f t="shared" si="319"/>
        <v>904821.54074999993</v>
      </c>
      <c r="CK122" s="537">
        <f t="shared" si="319"/>
        <v>904821.54074999993</v>
      </c>
      <c r="CL122" s="894">
        <f t="shared" si="319"/>
        <v>10478761.642625</v>
      </c>
      <c r="CM122" s="535">
        <f t="shared" si="319"/>
        <v>516406.49999999994</v>
      </c>
      <c r="CN122" s="535">
        <f t="shared" si="319"/>
        <v>516406.49999999994</v>
      </c>
      <c r="CO122" s="535">
        <f t="shared" si="319"/>
        <v>516406.49999999994</v>
      </c>
      <c r="CP122" s="535">
        <f t="shared" si="319"/>
        <v>516406.49999999994</v>
      </c>
      <c r="CQ122" s="535">
        <f t="shared" si="319"/>
        <v>516406.49999999994</v>
      </c>
      <c r="CR122" s="535">
        <f t="shared" si="319"/>
        <v>516406.49999999994</v>
      </c>
      <c r="CS122" s="535">
        <f t="shared" si="319"/>
        <v>516406.49999999994</v>
      </c>
      <c r="CT122" s="535">
        <f t="shared" si="319"/>
        <v>516406.49999999994</v>
      </c>
      <c r="CU122" s="535">
        <f t="shared" si="319"/>
        <v>516406.49999999994</v>
      </c>
      <c r="CV122" s="535">
        <f t="shared" si="319"/>
        <v>516406.49999999994</v>
      </c>
      <c r="CW122" s="535">
        <f t="shared" si="319"/>
        <v>516406.49999999994</v>
      </c>
      <c r="CX122" s="535">
        <f t="shared" si="319"/>
        <v>516406.49999999994</v>
      </c>
      <c r="CY122" s="536">
        <f t="shared" si="319"/>
        <v>6196878</v>
      </c>
      <c r="CZ122" s="537">
        <f t="shared" si="319"/>
        <v>931672.38458333327</v>
      </c>
      <c r="DA122" s="537">
        <f t="shared" si="319"/>
        <v>931672.38458333327</v>
      </c>
      <c r="DB122" s="537">
        <f t="shared" si="319"/>
        <v>931672.38458333327</v>
      </c>
      <c r="DC122" s="537">
        <f t="shared" si="319"/>
        <v>931672.38458333327</v>
      </c>
      <c r="DD122" s="537">
        <f t="shared" si="319"/>
        <v>931672.38458333327</v>
      </c>
      <c r="DE122" s="537">
        <f t="shared" si="319"/>
        <v>931672.38458333327</v>
      </c>
      <c r="DF122" s="537">
        <f t="shared" si="319"/>
        <v>931672.38458333327</v>
      </c>
      <c r="DG122" s="537">
        <f t="shared" si="319"/>
        <v>931672.38458333327</v>
      </c>
      <c r="DH122" s="537">
        <f t="shared" si="319"/>
        <v>931672.38458333327</v>
      </c>
      <c r="DI122" s="537">
        <f t="shared" si="319"/>
        <v>931672.38458333327</v>
      </c>
      <c r="DJ122" s="537">
        <f t="shared" si="319"/>
        <v>931672.38458333327</v>
      </c>
      <c r="DK122" s="537">
        <f t="shared" si="319"/>
        <v>931672.38458333327</v>
      </c>
      <c r="DL122" s="538">
        <f t="shared" si="319"/>
        <v>11180068.615</v>
      </c>
      <c r="DM122" s="892">
        <f t="shared" si="319"/>
        <v>565099</v>
      </c>
      <c r="DN122" s="535">
        <f t="shared" si="319"/>
        <v>565099</v>
      </c>
      <c r="DO122" s="535">
        <f t="shared" si="319"/>
        <v>565099</v>
      </c>
      <c r="DP122" s="535">
        <f t="shared" si="319"/>
        <v>565099</v>
      </c>
      <c r="DQ122" s="535">
        <f t="shared" si="319"/>
        <v>565099</v>
      </c>
      <c r="DR122" s="535">
        <f t="shared" si="319"/>
        <v>565099</v>
      </c>
      <c r="DS122" s="535">
        <f t="shared" si="319"/>
        <v>565099</v>
      </c>
      <c r="DT122" s="535">
        <f t="shared" si="319"/>
        <v>565099</v>
      </c>
      <c r="DU122" s="535">
        <f t="shared" si="319"/>
        <v>565099</v>
      </c>
      <c r="DV122" s="535">
        <f t="shared" si="319"/>
        <v>565099</v>
      </c>
      <c r="DW122" s="535">
        <f t="shared" si="319"/>
        <v>565099</v>
      </c>
      <c r="DX122" s="535">
        <f t="shared" si="319"/>
        <v>565099</v>
      </c>
      <c r="DY122" s="536">
        <f t="shared" si="319"/>
        <v>6781188</v>
      </c>
      <c r="DZ122" s="537">
        <f t="shared" si="319"/>
        <v>1085738.6575</v>
      </c>
      <c r="EA122" s="537">
        <f t="shared" si="319"/>
        <v>1085738.6575</v>
      </c>
      <c r="EB122" s="537">
        <f t="shared" si="319"/>
        <v>1085738.6575</v>
      </c>
      <c r="EC122" s="537">
        <f t="shared" si="319"/>
        <v>1085738.6575</v>
      </c>
      <c r="ED122" s="537">
        <f t="shared" si="319"/>
        <v>1085738.6575</v>
      </c>
      <c r="EE122" s="537">
        <f t="shared" si="319"/>
        <v>1085738.6575</v>
      </c>
      <c r="EF122" s="537">
        <f t="shared" si="319"/>
        <v>1085738.6575</v>
      </c>
      <c r="EG122" s="537">
        <f t="shared" si="319"/>
        <v>1085738.6575</v>
      </c>
      <c r="EH122" s="537">
        <f t="shared" si="319"/>
        <v>1085738.6575</v>
      </c>
      <c r="EI122" s="537">
        <f t="shared" si="319"/>
        <v>1085738.6575</v>
      </c>
      <c r="EJ122" s="537">
        <f t="shared" si="319"/>
        <v>1085738.6575</v>
      </c>
      <c r="EK122" s="537">
        <f>SUM(EK98:EK121)</f>
        <v>1085738.6575</v>
      </c>
      <c r="EL122" s="538">
        <f>SUM(EL98:EL121)</f>
        <v>13028863.890000001</v>
      </c>
    </row>
    <row r="123" spans="1:142" ht="19.8" thickTop="1">
      <c r="A123" s="1093" t="s">
        <v>734</v>
      </c>
      <c r="B123" s="1094" t="s">
        <v>735</v>
      </c>
      <c r="C123" s="948"/>
      <c r="D123" s="563">
        <v>0.97</v>
      </c>
      <c r="E123" s="564">
        <v>1.08</v>
      </c>
      <c r="F123" s="564">
        <v>0.97</v>
      </c>
      <c r="G123" s="565">
        <v>0.97</v>
      </c>
      <c r="H123" s="563">
        <v>0.97</v>
      </c>
      <c r="I123" s="564">
        <v>0.97</v>
      </c>
      <c r="J123" s="564">
        <v>0.97</v>
      </c>
      <c r="K123" s="1095">
        <v>0.97</v>
      </c>
      <c r="L123" s="875"/>
      <c r="M123" s="940">
        <v>0</v>
      </c>
      <c r="N123" s="247"/>
      <c r="O123" s="247">
        <v>0</v>
      </c>
      <c r="P123" s="247">
        <v>0</v>
      </c>
      <c r="Q123" s="247"/>
      <c r="R123" s="247">
        <f>9072+37800</f>
        <v>46872</v>
      </c>
      <c r="S123" s="247">
        <f>7560+15288+12964</f>
        <v>35812</v>
      </c>
      <c r="T123" s="247">
        <f>1512*7+50000+9548</f>
        <v>70132</v>
      </c>
      <c r="U123" s="247">
        <v>50000</v>
      </c>
      <c r="V123" s="247">
        <v>75000</v>
      </c>
      <c r="W123" s="247">
        <v>75000</v>
      </c>
      <c r="X123" s="247">
        <v>75000</v>
      </c>
      <c r="Y123" s="876">
        <f>SUM(M123:X123)</f>
        <v>427816</v>
      </c>
      <c r="Z123" s="877">
        <f t="shared" ref="Z123:AB126" si="320">M123*$D123</f>
        <v>0</v>
      </c>
      <c r="AA123" s="248">
        <f t="shared" si="320"/>
        <v>0</v>
      </c>
      <c r="AB123" s="248">
        <f t="shared" si="320"/>
        <v>0</v>
      </c>
      <c r="AC123" s="248">
        <f t="shared" ref="AC123:AD126" si="321">P123*$E123</f>
        <v>0</v>
      </c>
      <c r="AD123" s="248">
        <f t="shared" si="321"/>
        <v>0</v>
      </c>
      <c r="AE123" s="248">
        <f>R123*$E123</f>
        <v>50621.760000000002</v>
      </c>
      <c r="AF123" s="248">
        <f>S123*$E123</f>
        <v>38676.959999999999</v>
      </c>
      <c r="AG123" s="248">
        <f>50000*0.97+6584*1.08+9548*1.08</f>
        <v>65922.559999999998</v>
      </c>
      <c r="AH123" s="248">
        <f>U123*$F123</f>
        <v>48500</v>
      </c>
      <c r="AI123" s="248">
        <f>V123*$G123</f>
        <v>72750</v>
      </c>
      <c r="AJ123" s="248">
        <f t="shared" ref="AI123:AK126" si="322">W123*$G123</f>
        <v>72750</v>
      </c>
      <c r="AK123" s="248">
        <f t="shared" si="322"/>
        <v>72750</v>
      </c>
      <c r="AL123" s="878">
        <f>SUM(Z123:AK123)</f>
        <v>421971.28</v>
      </c>
      <c r="AM123" s="942">
        <f>4315200/12*50%</f>
        <v>179800</v>
      </c>
      <c r="AN123" s="566">
        <f t="shared" ref="AN123:AX123" si="323">4315200/12*50%</f>
        <v>179800</v>
      </c>
      <c r="AO123" s="566">
        <f t="shared" si="323"/>
        <v>179800</v>
      </c>
      <c r="AP123" s="566">
        <f t="shared" si="323"/>
        <v>179800</v>
      </c>
      <c r="AQ123" s="566">
        <f t="shared" si="323"/>
        <v>179800</v>
      </c>
      <c r="AR123" s="566">
        <f t="shared" si="323"/>
        <v>179800</v>
      </c>
      <c r="AS123" s="566">
        <f t="shared" si="323"/>
        <v>179800</v>
      </c>
      <c r="AT123" s="566">
        <f t="shared" si="323"/>
        <v>179800</v>
      </c>
      <c r="AU123" s="566">
        <f t="shared" si="323"/>
        <v>179800</v>
      </c>
      <c r="AV123" s="566">
        <f t="shared" si="323"/>
        <v>179800</v>
      </c>
      <c r="AW123" s="566">
        <f t="shared" si="323"/>
        <v>179800</v>
      </c>
      <c r="AX123" s="566">
        <f t="shared" si="323"/>
        <v>179800</v>
      </c>
      <c r="AY123" s="876">
        <f t="shared" si="213"/>
        <v>2157600</v>
      </c>
      <c r="AZ123" s="877">
        <f t="shared" ref="AZ123:BK126" si="324">AM123*$H123</f>
        <v>174406</v>
      </c>
      <c r="BA123" s="248">
        <f t="shared" si="324"/>
        <v>174406</v>
      </c>
      <c r="BB123" s="248">
        <f t="shared" si="324"/>
        <v>174406</v>
      </c>
      <c r="BC123" s="248">
        <f t="shared" si="324"/>
        <v>174406</v>
      </c>
      <c r="BD123" s="248">
        <f t="shared" si="324"/>
        <v>174406</v>
      </c>
      <c r="BE123" s="248">
        <f t="shared" si="324"/>
        <v>174406</v>
      </c>
      <c r="BF123" s="248">
        <f t="shared" si="324"/>
        <v>174406</v>
      </c>
      <c r="BG123" s="248">
        <f t="shared" si="324"/>
        <v>174406</v>
      </c>
      <c r="BH123" s="248">
        <f t="shared" si="324"/>
        <v>174406</v>
      </c>
      <c r="BI123" s="248">
        <f t="shared" si="324"/>
        <v>174406</v>
      </c>
      <c r="BJ123" s="248">
        <f t="shared" si="324"/>
        <v>174406</v>
      </c>
      <c r="BK123" s="248">
        <f t="shared" si="324"/>
        <v>174406</v>
      </c>
      <c r="BL123" s="878">
        <f t="shared" ref="BL123:BL129" si="325">SUM(AZ123:BK123)</f>
        <v>2092872</v>
      </c>
      <c r="BM123" s="942">
        <f t="shared" ref="BM123:BX123" si="326">4315200/12*50%</f>
        <v>179800</v>
      </c>
      <c r="BN123" s="566">
        <f t="shared" si="326"/>
        <v>179800</v>
      </c>
      <c r="BO123" s="566">
        <f t="shared" si="326"/>
        <v>179800</v>
      </c>
      <c r="BP123" s="566">
        <f t="shared" si="326"/>
        <v>179800</v>
      </c>
      <c r="BQ123" s="566">
        <f t="shared" si="326"/>
        <v>179800</v>
      </c>
      <c r="BR123" s="566">
        <f t="shared" si="326"/>
        <v>179800</v>
      </c>
      <c r="BS123" s="566">
        <f t="shared" si="326"/>
        <v>179800</v>
      </c>
      <c r="BT123" s="566">
        <f t="shared" si="326"/>
        <v>179800</v>
      </c>
      <c r="BU123" s="566">
        <f t="shared" si="326"/>
        <v>179800</v>
      </c>
      <c r="BV123" s="566">
        <f t="shared" si="326"/>
        <v>179800</v>
      </c>
      <c r="BW123" s="566">
        <f t="shared" si="326"/>
        <v>179800</v>
      </c>
      <c r="BX123" s="566">
        <f t="shared" si="326"/>
        <v>179800</v>
      </c>
      <c r="BY123" s="876">
        <f t="shared" si="215"/>
        <v>2157600</v>
      </c>
      <c r="BZ123" s="882">
        <f t="shared" ref="BZ123:CK126" si="327">BM123*$I123</f>
        <v>174406</v>
      </c>
      <c r="CA123" s="248">
        <f t="shared" si="327"/>
        <v>174406</v>
      </c>
      <c r="CB123" s="248">
        <f t="shared" si="327"/>
        <v>174406</v>
      </c>
      <c r="CC123" s="248">
        <f t="shared" si="327"/>
        <v>174406</v>
      </c>
      <c r="CD123" s="248">
        <f t="shared" si="327"/>
        <v>174406</v>
      </c>
      <c r="CE123" s="248">
        <f t="shared" si="327"/>
        <v>174406</v>
      </c>
      <c r="CF123" s="248">
        <f t="shared" si="327"/>
        <v>174406</v>
      </c>
      <c r="CG123" s="248">
        <f t="shared" si="327"/>
        <v>174406</v>
      </c>
      <c r="CH123" s="248">
        <f t="shared" si="327"/>
        <v>174406</v>
      </c>
      <c r="CI123" s="248">
        <f t="shared" si="327"/>
        <v>174406</v>
      </c>
      <c r="CJ123" s="248">
        <f t="shared" si="327"/>
        <v>174406</v>
      </c>
      <c r="CK123" s="248">
        <f t="shared" si="327"/>
        <v>174406</v>
      </c>
      <c r="CL123" s="883">
        <f t="shared" ref="CL123:CL129" si="328">SUM(BZ123:CK123)</f>
        <v>2092872</v>
      </c>
      <c r="CM123" s="942">
        <f>2000000/12</f>
        <v>166666.66666666666</v>
      </c>
      <c r="CN123" s="566">
        <f t="shared" ref="CN123:CX123" si="329">2000000/12</f>
        <v>166666.66666666666</v>
      </c>
      <c r="CO123" s="566">
        <f t="shared" si="329"/>
        <v>166666.66666666666</v>
      </c>
      <c r="CP123" s="566">
        <f t="shared" si="329"/>
        <v>166666.66666666666</v>
      </c>
      <c r="CQ123" s="566">
        <f t="shared" si="329"/>
        <v>166666.66666666666</v>
      </c>
      <c r="CR123" s="566">
        <f t="shared" si="329"/>
        <v>166666.66666666666</v>
      </c>
      <c r="CS123" s="566">
        <f t="shared" si="329"/>
        <v>166666.66666666666</v>
      </c>
      <c r="CT123" s="566">
        <f t="shared" si="329"/>
        <v>166666.66666666666</v>
      </c>
      <c r="CU123" s="566">
        <f t="shared" si="329"/>
        <v>166666.66666666666</v>
      </c>
      <c r="CV123" s="566">
        <f t="shared" si="329"/>
        <v>166666.66666666666</v>
      </c>
      <c r="CW123" s="566">
        <f t="shared" si="329"/>
        <v>166666.66666666666</v>
      </c>
      <c r="CX123" s="566">
        <f t="shared" si="329"/>
        <v>166666.66666666666</v>
      </c>
      <c r="CY123" s="876">
        <f t="shared" si="216"/>
        <v>2000000.0000000002</v>
      </c>
      <c r="CZ123" s="877">
        <f t="shared" ref="CZ123:DK126" si="330">CM123*$J123</f>
        <v>161666.66666666666</v>
      </c>
      <c r="DA123" s="248">
        <f t="shared" si="330"/>
        <v>161666.66666666666</v>
      </c>
      <c r="DB123" s="248">
        <f t="shared" si="330"/>
        <v>161666.66666666666</v>
      </c>
      <c r="DC123" s="248">
        <f t="shared" si="330"/>
        <v>161666.66666666666</v>
      </c>
      <c r="DD123" s="248">
        <f t="shared" si="330"/>
        <v>161666.66666666666</v>
      </c>
      <c r="DE123" s="248">
        <f t="shared" si="330"/>
        <v>161666.66666666666</v>
      </c>
      <c r="DF123" s="248">
        <f t="shared" si="330"/>
        <v>161666.66666666666</v>
      </c>
      <c r="DG123" s="248">
        <f t="shared" si="330"/>
        <v>161666.66666666666</v>
      </c>
      <c r="DH123" s="248">
        <f t="shared" si="330"/>
        <v>161666.66666666666</v>
      </c>
      <c r="DI123" s="248">
        <f t="shared" si="330"/>
        <v>161666.66666666666</v>
      </c>
      <c r="DJ123" s="248">
        <f t="shared" si="330"/>
        <v>161666.66666666666</v>
      </c>
      <c r="DK123" s="248">
        <f t="shared" si="330"/>
        <v>161666.66666666666</v>
      </c>
      <c r="DL123" s="878">
        <f t="shared" ref="DL123:DL129" si="331">SUM(CZ123:DK123)</f>
        <v>1940000.0000000002</v>
      </c>
      <c r="DM123" s="940">
        <f>2000000/12</f>
        <v>166666.66666666666</v>
      </c>
      <c r="DN123" s="566">
        <f t="shared" ref="DN123:DX123" si="332">2000000/12</f>
        <v>166666.66666666666</v>
      </c>
      <c r="DO123" s="566">
        <f t="shared" si="332"/>
        <v>166666.66666666666</v>
      </c>
      <c r="DP123" s="566">
        <f t="shared" si="332"/>
        <v>166666.66666666666</v>
      </c>
      <c r="DQ123" s="566">
        <f t="shared" si="332"/>
        <v>166666.66666666666</v>
      </c>
      <c r="DR123" s="566">
        <f t="shared" si="332"/>
        <v>166666.66666666666</v>
      </c>
      <c r="DS123" s="566">
        <f t="shared" si="332"/>
        <v>166666.66666666666</v>
      </c>
      <c r="DT123" s="566">
        <f t="shared" si="332"/>
        <v>166666.66666666666</v>
      </c>
      <c r="DU123" s="566">
        <f t="shared" si="332"/>
        <v>166666.66666666666</v>
      </c>
      <c r="DV123" s="566">
        <f t="shared" si="332"/>
        <v>166666.66666666666</v>
      </c>
      <c r="DW123" s="566">
        <f t="shared" si="332"/>
        <v>166666.66666666666</v>
      </c>
      <c r="DX123" s="566">
        <f t="shared" si="332"/>
        <v>166666.66666666666</v>
      </c>
      <c r="DY123" s="876">
        <f t="shared" si="217"/>
        <v>2000000.0000000002</v>
      </c>
      <c r="DZ123" s="248">
        <f t="shared" ref="DZ123:EK126" si="333">DM123*$K123</f>
        <v>161666.66666666666</v>
      </c>
      <c r="EA123" s="248">
        <f t="shared" si="333"/>
        <v>161666.66666666666</v>
      </c>
      <c r="EB123" s="248">
        <f t="shared" si="333"/>
        <v>161666.66666666666</v>
      </c>
      <c r="EC123" s="248">
        <f t="shared" si="333"/>
        <v>161666.66666666666</v>
      </c>
      <c r="ED123" s="248">
        <f t="shared" si="333"/>
        <v>161666.66666666666</v>
      </c>
      <c r="EE123" s="248">
        <f t="shared" si="333"/>
        <v>161666.66666666666</v>
      </c>
      <c r="EF123" s="248">
        <f t="shared" si="333"/>
        <v>161666.66666666666</v>
      </c>
      <c r="EG123" s="248">
        <f t="shared" si="333"/>
        <v>161666.66666666666</v>
      </c>
      <c r="EH123" s="248">
        <f t="shared" si="333"/>
        <v>161666.66666666666</v>
      </c>
      <c r="EI123" s="248">
        <f t="shared" si="333"/>
        <v>161666.66666666666</v>
      </c>
      <c r="EJ123" s="248">
        <f t="shared" si="333"/>
        <v>161666.66666666666</v>
      </c>
      <c r="EK123" s="248">
        <f t="shared" si="333"/>
        <v>161666.66666666666</v>
      </c>
      <c r="EL123" s="878">
        <f t="shared" ref="EL123:EL129" si="334">SUM(DZ123:EK123)</f>
        <v>1940000.0000000002</v>
      </c>
    </row>
    <row r="124" spans="1:142">
      <c r="A124" s="1093" t="s">
        <v>734</v>
      </c>
      <c r="B124" s="904" t="s">
        <v>736</v>
      </c>
      <c r="C124" s="908"/>
      <c r="D124" s="527">
        <v>1.67</v>
      </c>
      <c r="E124" s="528">
        <v>1.67</v>
      </c>
      <c r="F124" s="528">
        <v>1.67</v>
      </c>
      <c r="G124" s="529">
        <v>1.67</v>
      </c>
      <c r="H124" s="527">
        <v>1.67</v>
      </c>
      <c r="I124" s="528">
        <v>1.67</v>
      </c>
      <c r="J124" s="528">
        <v>1.67</v>
      </c>
      <c r="K124" s="874">
        <v>1.67</v>
      </c>
      <c r="L124" s="875"/>
      <c r="M124" s="556">
        <v>0</v>
      </c>
      <c r="N124" s="247">
        <v>0</v>
      </c>
      <c r="O124" s="247">
        <v>0</v>
      </c>
      <c r="P124" s="247">
        <v>0</v>
      </c>
      <c r="Q124" s="247">
        <v>0</v>
      </c>
      <c r="R124" s="247"/>
      <c r="S124" s="247"/>
      <c r="T124" s="247"/>
      <c r="U124" s="247"/>
      <c r="V124" s="247"/>
      <c r="W124" s="247"/>
      <c r="X124" s="247"/>
      <c r="Y124" s="876">
        <f>SUM(M124:X124)</f>
        <v>0</v>
      </c>
      <c r="Z124" s="877">
        <f t="shared" si="320"/>
        <v>0</v>
      </c>
      <c r="AA124" s="248">
        <f t="shared" si="320"/>
        <v>0</v>
      </c>
      <c r="AB124" s="248">
        <f t="shared" si="320"/>
        <v>0</v>
      </c>
      <c r="AC124" s="248">
        <f t="shared" si="321"/>
        <v>0</v>
      </c>
      <c r="AD124" s="248">
        <f t="shared" si="321"/>
        <v>0</v>
      </c>
      <c r="AE124" s="248">
        <f>R124*$E124</f>
        <v>0</v>
      </c>
      <c r="AF124" s="248">
        <f t="shared" ref="AF124:AH126" si="335">S124*$F124</f>
        <v>0</v>
      </c>
      <c r="AG124" s="248">
        <f t="shared" si="335"/>
        <v>0</v>
      </c>
      <c r="AH124" s="248">
        <f t="shared" si="335"/>
        <v>0</v>
      </c>
      <c r="AI124" s="248">
        <f t="shared" si="322"/>
        <v>0</v>
      </c>
      <c r="AJ124" s="248">
        <f t="shared" si="322"/>
        <v>0</v>
      </c>
      <c r="AK124" s="248">
        <f t="shared" si="322"/>
        <v>0</v>
      </c>
      <c r="AL124" s="878">
        <f>SUM(Z124:AK124)</f>
        <v>0</v>
      </c>
      <c r="AM124" s="888">
        <f>720000/12*50%</f>
        <v>30000</v>
      </c>
      <c r="AN124" s="247">
        <f t="shared" ref="AN124:AX124" si="336">720000/12*50%</f>
        <v>30000</v>
      </c>
      <c r="AO124" s="247">
        <f t="shared" si="336"/>
        <v>30000</v>
      </c>
      <c r="AP124" s="247">
        <f t="shared" si="336"/>
        <v>30000</v>
      </c>
      <c r="AQ124" s="247">
        <f t="shared" si="336"/>
        <v>30000</v>
      </c>
      <c r="AR124" s="247">
        <f t="shared" si="336"/>
        <v>30000</v>
      </c>
      <c r="AS124" s="247">
        <f t="shared" si="336"/>
        <v>30000</v>
      </c>
      <c r="AT124" s="247">
        <f t="shared" si="336"/>
        <v>30000</v>
      </c>
      <c r="AU124" s="247">
        <f t="shared" si="336"/>
        <v>30000</v>
      </c>
      <c r="AV124" s="247">
        <f t="shared" si="336"/>
        <v>30000</v>
      </c>
      <c r="AW124" s="247">
        <f t="shared" si="336"/>
        <v>30000</v>
      </c>
      <c r="AX124" s="247">
        <f t="shared" si="336"/>
        <v>30000</v>
      </c>
      <c r="AY124" s="876">
        <f>SUM(AM124:AX124)</f>
        <v>360000</v>
      </c>
      <c r="AZ124" s="877">
        <f t="shared" si="324"/>
        <v>50100</v>
      </c>
      <c r="BA124" s="248">
        <f t="shared" si="324"/>
        <v>50100</v>
      </c>
      <c r="BB124" s="248">
        <f t="shared" si="324"/>
        <v>50100</v>
      </c>
      <c r="BC124" s="248">
        <f t="shared" si="324"/>
        <v>50100</v>
      </c>
      <c r="BD124" s="248">
        <f t="shared" si="324"/>
        <v>50100</v>
      </c>
      <c r="BE124" s="248">
        <f t="shared" si="324"/>
        <v>50100</v>
      </c>
      <c r="BF124" s="248">
        <f t="shared" si="324"/>
        <v>50100</v>
      </c>
      <c r="BG124" s="248">
        <f t="shared" si="324"/>
        <v>50100</v>
      </c>
      <c r="BH124" s="248">
        <f t="shared" si="324"/>
        <v>50100</v>
      </c>
      <c r="BI124" s="248">
        <f t="shared" si="324"/>
        <v>50100</v>
      </c>
      <c r="BJ124" s="248">
        <f t="shared" si="324"/>
        <v>50100</v>
      </c>
      <c r="BK124" s="248">
        <f t="shared" si="324"/>
        <v>50100</v>
      </c>
      <c r="BL124" s="878">
        <f t="shared" si="325"/>
        <v>601200</v>
      </c>
      <c r="BM124" s="888">
        <f t="shared" ref="BM124:BX124" si="337">720000/12*50%</f>
        <v>30000</v>
      </c>
      <c r="BN124" s="247">
        <f t="shared" si="337"/>
        <v>30000</v>
      </c>
      <c r="BO124" s="247">
        <f t="shared" si="337"/>
        <v>30000</v>
      </c>
      <c r="BP124" s="247">
        <f t="shared" si="337"/>
        <v>30000</v>
      </c>
      <c r="BQ124" s="247">
        <f t="shared" si="337"/>
        <v>30000</v>
      </c>
      <c r="BR124" s="247">
        <f t="shared" si="337"/>
        <v>30000</v>
      </c>
      <c r="BS124" s="247">
        <f t="shared" si="337"/>
        <v>30000</v>
      </c>
      <c r="BT124" s="247">
        <f t="shared" si="337"/>
        <v>30000</v>
      </c>
      <c r="BU124" s="247">
        <f t="shared" si="337"/>
        <v>30000</v>
      </c>
      <c r="BV124" s="247">
        <f t="shared" si="337"/>
        <v>30000</v>
      </c>
      <c r="BW124" s="247">
        <f t="shared" si="337"/>
        <v>30000</v>
      </c>
      <c r="BX124" s="247">
        <f t="shared" si="337"/>
        <v>30000</v>
      </c>
      <c r="BY124" s="876">
        <f>SUM(BM124:BX124)</f>
        <v>360000</v>
      </c>
      <c r="BZ124" s="882">
        <f t="shared" si="327"/>
        <v>50100</v>
      </c>
      <c r="CA124" s="248">
        <f t="shared" si="327"/>
        <v>50100</v>
      </c>
      <c r="CB124" s="248">
        <f t="shared" si="327"/>
        <v>50100</v>
      </c>
      <c r="CC124" s="248">
        <f t="shared" si="327"/>
        <v>50100</v>
      </c>
      <c r="CD124" s="248">
        <f t="shared" si="327"/>
        <v>50100</v>
      </c>
      <c r="CE124" s="248">
        <f t="shared" si="327"/>
        <v>50100</v>
      </c>
      <c r="CF124" s="248">
        <f t="shared" si="327"/>
        <v>50100</v>
      </c>
      <c r="CG124" s="248">
        <f t="shared" si="327"/>
        <v>50100</v>
      </c>
      <c r="CH124" s="248">
        <f t="shared" si="327"/>
        <v>50100</v>
      </c>
      <c r="CI124" s="248">
        <f t="shared" si="327"/>
        <v>50100</v>
      </c>
      <c r="CJ124" s="248">
        <f t="shared" si="327"/>
        <v>50100</v>
      </c>
      <c r="CK124" s="248">
        <f t="shared" si="327"/>
        <v>50100</v>
      </c>
      <c r="CL124" s="883">
        <f t="shared" si="328"/>
        <v>601200</v>
      </c>
      <c r="CM124" s="888">
        <f>360000/12</f>
        <v>30000</v>
      </c>
      <c r="CN124" s="247">
        <f t="shared" ref="CN124:CX124" si="338">360000/12</f>
        <v>30000</v>
      </c>
      <c r="CO124" s="247">
        <f t="shared" si="338"/>
        <v>30000</v>
      </c>
      <c r="CP124" s="247">
        <f t="shared" si="338"/>
        <v>30000</v>
      </c>
      <c r="CQ124" s="247">
        <f t="shared" si="338"/>
        <v>30000</v>
      </c>
      <c r="CR124" s="247">
        <f t="shared" si="338"/>
        <v>30000</v>
      </c>
      <c r="CS124" s="247">
        <f t="shared" si="338"/>
        <v>30000</v>
      </c>
      <c r="CT124" s="247">
        <f t="shared" si="338"/>
        <v>30000</v>
      </c>
      <c r="CU124" s="247">
        <f t="shared" si="338"/>
        <v>30000</v>
      </c>
      <c r="CV124" s="247">
        <f t="shared" si="338"/>
        <v>30000</v>
      </c>
      <c r="CW124" s="247">
        <f t="shared" si="338"/>
        <v>30000</v>
      </c>
      <c r="CX124" s="247">
        <f t="shared" si="338"/>
        <v>30000</v>
      </c>
      <c r="CY124" s="876">
        <f>SUM(CM124:CX124)</f>
        <v>360000</v>
      </c>
      <c r="CZ124" s="877">
        <f t="shared" si="330"/>
        <v>50100</v>
      </c>
      <c r="DA124" s="248">
        <f t="shared" si="330"/>
        <v>50100</v>
      </c>
      <c r="DB124" s="248">
        <f t="shared" si="330"/>
        <v>50100</v>
      </c>
      <c r="DC124" s="248">
        <f t="shared" si="330"/>
        <v>50100</v>
      </c>
      <c r="DD124" s="248">
        <f t="shared" si="330"/>
        <v>50100</v>
      </c>
      <c r="DE124" s="248">
        <f t="shared" si="330"/>
        <v>50100</v>
      </c>
      <c r="DF124" s="248">
        <f t="shared" si="330"/>
        <v>50100</v>
      </c>
      <c r="DG124" s="248">
        <f t="shared" si="330"/>
        <v>50100</v>
      </c>
      <c r="DH124" s="248">
        <f t="shared" si="330"/>
        <v>50100</v>
      </c>
      <c r="DI124" s="248">
        <f t="shared" si="330"/>
        <v>50100</v>
      </c>
      <c r="DJ124" s="248">
        <f t="shared" si="330"/>
        <v>50100</v>
      </c>
      <c r="DK124" s="248">
        <f t="shared" si="330"/>
        <v>50100</v>
      </c>
      <c r="DL124" s="878">
        <f t="shared" si="331"/>
        <v>601200</v>
      </c>
      <c r="DM124" s="556">
        <f>360000/12</f>
        <v>30000</v>
      </c>
      <c r="DN124" s="247">
        <f t="shared" ref="DN124:DX124" si="339">360000/12</f>
        <v>30000</v>
      </c>
      <c r="DO124" s="247">
        <f t="shared" si="339"/>
        <v>30000</v>
      </c>
      <c r="DP124" s="247">
        <f t="shared" si="339"/>
        <v>30000</v>
      </c>
      <c r="DQ124" s="247">
        <f t="shared" si="339"/>
        <v>30000</v>
      </c>
      <c r="DR124" s="247">
        <f t="shared" si="339"/>
        <v>30000</v>
      </c>
      <c r="DS124" s="247">
        <f t="shared" si="339"/>
        <v>30000</v>
      </c>
      <c r="DT124" s="247">
        <f t="shared" si="339"/>
        <v>30000</v>
      </c>
      <c r="DU124" s="247">
        <f t="shared" si="339"/>
        <v>30000</v>
      </c>
      <c r="DV124" s="247">
        <f t="shared" si="339"/>
        <v>30000</v>
      </c>
      <c r="DW124" s="247">
        <f t="shared" si="339"/>
        <v>30000</v>
      </c>
      <c r="DX124" s="247">
        <f t="shared" si="339"/>
        <v>30000</v>
      </c>
      <c r="DY124" s="876">
        <f>SUM(DM124:DX124)</f>
        <v>360000</v>
      </c>
      <c r="DZ124" s="248">
        <f t="shared" si="333"/>
        <v>50100</v>
      </c>
      <c r="EA124" s="248">
        <f t="shared" si="333"/>
        <v>50100</v>
      </c>
      <c r="EB124" s="248">
        <f t="shared" si="333"/>
        <v>50100</v>
      </c>
      <c r="EC124" s="248">
        <f t="shared" si="333"/>
        <v>50100</v>
      </c>
      <c r="ED124" s="248">
        <f t="shared" si="333"/>
        <v>50100</v>
      </c>
      <c r="EE124" s="248">
        <f t="shared" si="333"/>
        <v>50100</v>
      </c>
      <c r="EF124" s="248">
        <f t="shared" si="333"/>
        <v>50100</v>
      </c>
      <c r="EG124" s="248">
        <f t="shared" si="333"/>
        <v>50100</v>
      </c>
      <c r="EH124" s="248">
        <f t="shared" si="333"/>
        <v>50100</v>
      </c>
      <c r="EI124" s="248">
        <f t="shared" si="333"/>
        <v>50100</v>
      </c>
      <c r="EJ124" s="248">
        <f t="shared" si="333"/>
        <v>50100</v>
      </c>
      <c r="EK124" s="248">
        <f t="shared" si="333"/>
        <v>50100</v>
      </c>
      <c r="EL124" s="878">
        <f t="shared" si="334"/>
        <v>601200</v>
      </c>
    </row>
    <row r="125" spans="1:142">
      <c r="A125" s="1096" t="s">
        <v>734</v>
      </c>
      <c r="B125" s="1097" t="s">
        <v>737</v>
      </c>
      <c r="C125" s="979"/>
      <c r="D125" s="1098"/>
      <c r="E125" s="1099"/>
      <c r="F125" s="1099"/>
      <c r="G125" s="1100"/>
      <c r="H125" s="1098"/>
      <c r="I125" s="1099">
        <v>4.95</v>
      </c>
      <c r="J125" s="1099">
        <v>4.84</v>
      </c>
      <c r="K125" s="1101">
        <v>4.7300000000000004</v>
      </c>
      <c r="L125" s="1002"/>
      <c r="M125" s="1102">
        <v>0</v>
      </c>
      <c r="N125" s="1103">
        <v>0</v>
      </c>
      <c r="O125" s="1103">
        <v>0</v>
      </c>
      <c r="P125" s="1103">
        <v>0</v>
      </c>
      <c r="Q125" s="1103">
        <v>0</v>
      </c>
      <c r="R125" s="1103">
        <v>0</v>
      </c>
      <c r="S125" s="1103">
        <v>0</v>
      </c>
      <c r="T125" s="1103">
        <v>0</v>
      </c>
      <c r="U125" s="1103">
        <v>0</v>
      </c>
      <c r="V125" s="1103">
        <v>0</v>
      </c>
      <c r="W125" s="1103">
        <v>0</v>
      </c>
      <c r="X125" s="1103">
        <v>0</v>
      </c>
      <c r="Y125" s="990">
        <f>SUM(M125:X125)</f>
        <v>0</v>
      </c>
      <c r="Z125" s="991">
        <f t="shared" si="320"/>
        <v>0</v>
      </c>
      <c r="AA125" s="992">
        <f t="shared" si="320"/>
        <v>0</v>
      </c>
      <c r="AB125" s="992">
        <f t="shared" si="320"/>
        <v>0</v>
      </c>
      <c r="AC125" s="992">
        <f t="shared" si="321"/>
        <v>0</v>
      </c>
      <c r="AD125" s="992">
        <f t="shared" si="321"/>
        <v>0</v>
      </c>
      <c r="AE125" s="992">
        <f>R125*$E125</f>
        <v>0</v>
      </c>
      <c r="AF125" s="992">
        <f t="shared" si="335"/>
        <v>0</v>
      </c>
      <c r="AG125" s="992">
        <f t="shared" si="335"/>
        <v>0</v>
      </c>
      <c r="AH125" s="992">
        <f t="shared" si="335"/>
        <v>0</v>
      </c>
      <c r="AI125" s="992">
        <f t="shared" si="322"/>
        <v>0</v>
      </c>
      <c r="AJ125" s="992">
        <f t="shared" si="322"/>
        <v>0</v>
      </c>
      <c r="AK125" s="992">
        <f t="shared" si="322"/>
        <v>0</v>
      </c>
      <c r="AL125" s="993">
        <f>SUM(Z125:AK125)</f>
        <v>0</v>
      </c>
      <c r="AM125" s="1102"/>
      <c r="AN125" s="1103"/>
      <c r="AO125" s="1103"/>
      <c r="AP125" s="1103"/>
      <c r="AQ125" s="1103"/>
      <c r="AR125" s="1103"/>
      <c r="AS125" s="1103"/>
      <c r="AT125" s="1103"/>
      <c r="AU125" s="1103"/>
      <c r="AV125" s="1103"/>
      <c r="AW125" s="1103"/>
      <c r="AX125" s="1103"/>
      <c r="AY125" s="990">
        <f>SUM(AM125:AX125)</f>
        <v>0</v>
      </c>
      <c r="AZ125" s="991">
        <f t="shared" si="324"/>
        <v>0</v>
      </c>
      <c r="BA125" s="992">
        <f t="shared" si="324"/>
        <v>0</v>
      </c>
      <c r="BB125" s="992">
        <f t="shared" si="324"/>
        <v>0</v>
      </c>
      <c r="BC125" s="992">
        <f t="shared" si="324"/>
        <v>0</v>
      </c>
      <c r="BD125" s="992">
        <f t="shared" si="324"/>
        <v>0</v>
      </c>
      <c r="BE125" s="992">
        <f t="shared" si="324"/>
        <v>0</v>
      </c>
      <c r="BF125" s="992">
        <f t="shared" si="324"/>
        <v>0</v>
      </c>
      <c r="BG125" s="992">
        <f t="shared" si="324"/>
        <v>0</v>
      </c>
      <c r="BH125" s="992">
        <f t="shared" si="324"/>
        <v>0</v>
      </c>
      <c r="BI125" s="992">
        <f t="shared" si="324"/>
        <v>0</v>
      </c>
      <c r="BJ125" s="992">
        <f t="shared" si="324"/>
        <v>0</v>
      </c>
      <c r="BK125" s="992">
        <f t="shared" si="324"/>
        <v>0</v>
      </c>
      <c r="BL125" s="993">
        <f t="shared" si="325"/>
        <v>0</v>
      </c>
      <c r="BM125" s="1102">
        <f>234000/12</f>
        <v>19500</v>
      </c>
      <c r="BN125" s="1103">
        <f t="shared" ref="BN125:BX126" si="340">234000/12</f>
        <v>19500</v>
      </c>
      <c r="BO125" s="1103">
        <f t="shared" si="340"/>
        <v>19500</v>
      </c>
      <c r="BP125" s="1103">
        <f t="shared" si="340"/>
        <v>19500</v>
      </c>
      <c r="BQ125" s="1103">
        <f t="shared" si="340"/>
        <v>19500</v>
      </c>
      <c r="BR125" s="1103">
        <f t="shared" si="340"/>
        <v>19500</v>
      </c>
      <c r="BS125" s="1103">
        <f t="shared" si="340"/>
        <v>19500</v>
      </c>
      <c r="BT125" s="1103">
        <f t="shared" si="340"/>
        <v>19500</v>
      </c>
      <c r="BU125" s="1103">
        <f t="shared" si="340"/>
        <v>19500</v>
      </c>
      <c r="BV125" s="1103">
        <f t="shared" si="340"/>
        <v>19500</v>
      </c>
      <c r="BW125" s="1103">
        <f t="shared" si="340"/>
        <v>19500</v>
      </c>
      <c r="BX125" s="1103">
        <f t="shared" si="340"/>
        <v>19500</v>
      </c>
      <c r="BY125" s="990">
        <f>SUM(BM125:BX125)</f>
        <v>234000</v>
      </c>
      <c r="BZ125" s="991">
        <f t="shared" si="327"/>
        <v>96525</v>
      </c>
      <c r="CA125" s="992">
        <f t="shared" si="327"/>
        <v>96525</v>
      </c>
      <c r="CB125" s="992">
        <f t="shared" si="327"/>
        <v>96525</v>
      </c>
      <c r="CC125" s="992">
        <f t="shared" si="327"/>
        <v>96525</v>
      </c>
      <c r="CD125" s="992">
        <f t="shared" si="327"/>
        <v>96525</v>
      </c>
      <c r="CE125" s="992">
        <f t="shared" si="327"/>
        <v>96525</v>
      </c>
      <c r="CF125" s="992">
        <f t="shared" si="327"/>
        <v>96525</v>
      </c>
      <c r="CG125" s="992">
        <f t="shared" si="327"/>
        <v>96525</v>
      </c>
      <c r="CH125" s="992">
        <f t="shared" si="327"/>
        <v>96525</v>
      </c>
      <c r="CI125" s="992">
        <f t="shared" si="327"/>
        <v>96525</v>
      </c>
      <c r="CJ125" s="992">
        <f t="shared" si="327"/>
        <v>96525</v>
      </c>
      <c r="CK125" s="992">
        <f t="shared" si="327"/>
        <v>96525</v>
      </c>
      <c r="CL125" s="993">
        <f t="shared" si="328"/>
        <v>1158300</v>
      </c>
      <c r="CM125" s="1102">
        <f>312000/12</f>
        <v>26000</v>
      </c>
      <c r="CN125" s="1103">
        <f t="shared" ref="CN125:CX126" si="341">312000/12</f>
        <v>26000</v>
      </c>
      <c r="CO125" s="1103">
        <f t="shared" si="341"/>
        <v>26000</v>
      </c>
      <c r="CP125" s="1103">
        <f t="shared" si="341"/>
        <v>26000</v>
      </c>
      <c r="CQ125" s="1103">
        <f t="shared" si="341"/>
        <v>26000</v>
      </c>
      <c r="CR125" s="1103">
        <f t="shared" si="341"/>
        <v>26000</v>
      </c>
      <c r="CS125" s="1103">
        <f t="shared" si="341"/>
        <v>26000</v>
      </c>
      <c r="CT125" s="1103">
        <f t="shared" si="341"/>
        <v>26000</v>
      </c>
      <c r="CU125" s="1103">
        <f t="shared" si="341"/>
        <v>26000</v>
      </c>
      <c r="CV125" s="1103">
        <f t="shared" si="341"/>
        <v>26000</v>
      </c>
      <c r="CW125" s="1103">
        <f t="shared" si="341"/>
        <v>26000</v>
      </c>
      <c r="CX125" s="1103">
        <f t="shared" si="341"/>
        <v>26000</v>
      </c>
      <c r="CY125" s="990">
        <f>SUM(CM125:CX125)</f>
        <v>312000</v>
      </c>
      <c r="CZ125" s="991">
        <f t="shared" si="330"/>
        <v>125840</v>
      </c>
      <c r="DA125" s="992">
        <f t="shared" si="330"/>
        <v>125840</v>
      </c>
      <c r="DB125" s="992">
        <f t="shared" si="330"/>
        <v>125840</v>
      </c>
      <c r="DC125" s="992">
        <f t="shared" si="330"/>
        <v>125840</v>
      </c>
      <c r="DD125" s="992">
        <f t="shared" si="330"/>
        <v>125840</v>
      </c>
      <c r="DE125" s="992">
        <f t="shared" si="330"/>
        <v>125840</v>
      </c>
      <c r="DF125" s="992">
        <f t="shared" si="330"/>
        <v>125840</v>
      </c>
      <c r="DG125" s="992">
        <f t="shared" si="330"/>
        <v>125840</v>
      </c>
      <c r="DH125" s="992">
        <f t="shared" si="330"/>
        <v>125840</v>
      </c>
      <c r="DI125" s="992">
        <f t="shared" si="330"/>
        <v>125840</v>
      </c>
      <c r="DJ125" s="992">
        <f t="shared" si="330"/>
        <v>125840</v>
      </c>
      <c r="DK125" s="992">
        <f t="shared" si="330"/>
        <v>125840</v>
      </c>
      <c r="DL125" s="993">
        <f t="shared" si="331"/>
        <v>1510080</v>
      </c>
      <c r="DM125" s="1102">
        <f>312000/12</f>
        <v>26000</v>
      </c>
      <c r="DN125" s="1103">
        <f t="shared" ref="DN125:DX126" si="342">312000/12</f>
        <v>26000</v>
      </c>
      <c r="DO125" s="1103">
        <f t="shared" si="342"/>
        <v>26000</v>
      </c>
      <c r="DP125" s="1103">
        <f t="shared" si="342"/>
        <v>26000</v>
      </c>
      <c r="DQ125" s="1103">
        <f t="shared" si="342"/>
        <v>26000</v>
      </c>
      <c r="DR125" s="1103">
        <f t="shared" si="342"/>
        <v>26000</v>
      </c>
      <c r="DS125" s="1103">
        <f t="shared" si="342"/>
        <v>26000</v>
      </c>
      <c r="DT125" s="1103">
        <f t="shared" si="342"/>
        <v>26000</v>
      </c>
      <c r="DU125" s="1103">
        <f t="shared" si="342"/>
        <v>26000</v>
      </c>
      <c r="DV125" s="1103">
        <f t="shared" si="342"/>
        <v>26000</v>
      </c>
      <c r="DW125" s="1103">
        <f t="shared" si="342"/>
        <v>26000</v>
      </c>
      <c r="DX125" s="1103">
        <f t="shared" si="342"/>
        <v>26000</v>
      </c>
      <c r="DY125" s="990">
        <f>SUM(DM125:DX125)</f>
        <v>312000</v>
      </c>
      <c r="DZ125" s="991">
        <f t="shared" si="333"/>
        <v>122980.00000000001</v>
      </c>
      <c r="EA125" s="992">
        <f t="shared" si="333"/>
        <v>122980.00000000001</v>
      </c>
      <c r="EB125" s="992">
        <f t="shared" si="333"/>
        <v>122980.00000000001</v>
      </c>
      <c r="EC125" s="992">
        <f t="shared" si="333"/>
        <v>122980.00000000001</v>
      </c>
      <c r="ED125" s="992">
        <f t="shared" si="333"/>
        <v>122980.00000000001</v>
      </c>
      <c r="EE125" s="992">
        <f t="shared" si="333"/>
        <v>122980.00000000001</v>
      </c>
      <c r="EF125" s="992">
        <f t="shared" si="333"/>
        <v>122980.00000000001</v>
      </c>
      <c r="EG125" s="992">
        <f t="shared" si="333"/>
        <v>122980.00000000001</v>
      </c>
      <c r="EH125" s="992">
        <f t="shared" si="333"/>
        <v>122980.00000000001</v>
      </c>
      <c r="EI125" s="992">
        <f t="shared" si="333"/>
        <v>122980.00000000001</v>
      </c>
      <c r="EJ125" s="992">
        <f t="shared" si="333"/>
        <v>122980.00000000001</v>
      </c>
      <c r="EK125" s="992">
        <f t="shared" si="333"/>
        <v>122980.00000000001</v>
      </c>
      <c r="EL125" s="993">
        <f t="shared" si="334"/>
        <v>1475760.0000000002</v>
      </c>
    </row>
    <row r="126" spans="1:142" ht="19.8" thickBot="1">
      <c r="A126" s="1096" t="s">
        <v>734</v>
      </c>
      <c r="B126" s="1097" t="s">
        <v>738</v>
      </c>
      <c r="C126" s="979"/>
      <c r="D126" s="1098"/>
      <c r="E126" s="1099"/>
      <c r="F126" s="1099"/>
      <c r="G126" s="1100"/>
      <c r="H126" s="1098"/>
      <c r="I126" s="1099">
        <v>2.4300000000000002</v>
      </c>
      <c r="J126" s="1099">
        <v>2.38</v>
      </c>
      <c r="K126" s="1101">
        <v>2.3199999999999998</v>
      </c>
      <c r="L126" s="1002"/>
      <c r="M126" s="1102">
        <v>0</v>
      </c>
      <c r="N126" s="1103">
        <v>0</v>
      </c>
      <c r="O126" s="1103">
        <v>0</v>
      </c>
      <c r="P126" s="1103">
        <v>0</v>
      </c>
      <c r="Q126" s="1103">
        <v>0</v>
      </c>
      <c r="R126" s="1103">
        <v>0</v>
      </c>
      <c r="S126" s="1103">
        <v>0</v>
      </c>
      <c r="T126" s="1103">
        <v>0</v>
      </c>
      <c r="U126" s="1103">
        <v>0</v>
      </c>
      <c r="V126" s="1103">
        <v>0</v>
      </c>
      <c r="W126" s="1103">
        <v>0</v>
      </c>
      <c r="X126" s="1103">
        <v>0</v>
      </c>
      <c r="Y126" s="990">
        <f>SUM(M126:X126)</f>
        <v>0</v>
      </c>
      <c r="Z126" s="991">
        <f t="shared" si="320"/>
        <v>0</v>
      </c>
      <c r="AA126" s="992">
        <f t="shared" si="320"/>
        <v>0</v>
      </c>
      <c r="AB126" s="992">
        <f t="shared" si="320"/>
        <v>0</v>
      </c>
      <c r="AC126" s="992">
        <f t="shared" si="321"/>
        <v>0</v>
      </c>
      <c r="AD126" s="992">
        <f t="shared" si="321"/>
        <v>0</v>
      </c>
      <c r="AE126" s="992">
        <f>R126*$E126</f>
        <v>0</v>
      </c>
      <c r="AF126" s="992">
        <f t="shared" si="335"/>
        <v>0</v>
      </c>
      <c r="AG126" s="992">
        <f t="shared" si="335"/>
        <v>0</v>
      </c>
      <c r="AH126" s="992">
        <f t="shared" si="335"/>
        <v>0</v>
      </c>
      <c r="AI126" s="992">
        <f t="shared" si="322"/>
        <v>0</v>
      </c>
      <c r="AJ126" s="992">
        <f t="shared" si="322"/>
        <v>0</v>
      </c>
      <c r="AK126" s="992">
        <f t="shared" si="322"/>
        <v>0</v>
      </c>
      <c r="AL126" s="993">
        <f>SUM(Z126:AK126)</f>
        <v>0</v>
      </c>
      <c r="AM126" s="1104"/>
      <c r="AN126" s="1105"/>
      <c r="AO126" s="1103"/>
      <c r="AP126" s="1103"/>
      <c r="AQ126" s="1103"/>
      <c r="AR126" s="1103"/>
      <c r="AS126" s="1103"/>
      <c r="AT126" s="1103"/>
      <c r="AU126" s="1103"/>
      <c r="AV126" s="1103"/>
      <c r="AW126" s="1103"/>
      <c r="AX126" s="1103"/>
      <c r="AY126" s="990">
        <f>SUM(AM126:AX126)</f>
        <v>0</v>
      </c>
      <c r="AZ126" s="991">
        <f t="shared" si="324"/>
        <v>0</v>
      </c>
      <c r="BA126" s="992">
        <f t="shared" si="324"/>
        <v>0</v>
      </c>
      <c r="BB126" s="992">
        <f t="shared" si="324"/>
        <v>0</v>
      </c>
      <c r="BC126" s="992">
        <f t="shared" si="324"/>
        <v>0</v>
      </c>
      <c r="BD126" s="992">
        <f t="shared" si="324"/>
        <v>0</v>
      </c>
      <c r="BE126" s="992">
        <f t="shared" si="324"/>
        <v>0</v>
      </c>
      <c r="BF126" s="992">
        <f t="shared" si="324"/>
        <v>0</v>
      </c>
      <c r="BG126" s="992">
        <f t="shared" si="324"/>
        <v>0</v>
      </c>
      <c r="BH126" s="992">
        <f t="shared" si="324"/>
        <v>0</v>
      </c>
      <c r="BI126" s="992">
        <f t="shared" si="324"/>
        <v>0</v>
      </c>
      <c r="BJ126" s="992">
        <f t="shared" si="324"/>
        <v>0</v>
      </c>
      <c r="BK126" s="992">
        <f t="shared" si="324"/>
        <v>0</v>
      </c>
      <c r="BL126" s="993">
        <f t="shared" si="325"/>
        <v>0</v>
      </c>
      <c r="BM126" s="1102">
        <f>234000/12</f>
        <v>19500</v>
      </c>
      <c r="BN126" s="1103">
        <f t="shared" si="340"/>
        <v>19500</v>
      </c>
      <c r="BO126" s="1103">
        <f t="shared" si="340"/>
        <v>19500</v>
      </c>
      <c r="BP126" s="1103">
        <f t="shared" si="340"/>
        <v>19500</v>
      </c>
      <c r="BQ126" s="1103">
        <f t="shared" si="340"/>
        <v>19500</v>
      </c>
      <c r="BR126" s="1103">
        <f t="shared" si="340"/>
        <v>19500</v>
      </c>
      <c r="BS126" s="1103">
        <f t="shared" si="340"/>
        <v>19500</v>
      </c>
      <c r="BT126" s="1103">
        <f t="shared" si="340"/>
        <v>19500</v>
      </c>
      <c r="BU126" s="1103">
        <f t="shared" si="340"/>
        <v>19500</v>
      </c>
      <c r="BV126" s="1103">
        <f t="shared" si="340"/>
        <v>19500</v>
      </c>
      <c r="BW126" s="1103">
        <f t="shared" si="340"/>
        <v>19500</v>
      </c>
      <c r="BX126" s="1103">
        <f t="shared" si="340"/>
        <v>19500</v>
      </c>
      <c r="BY126" s="990">
        <f>SUM(BM126:BX126)</f>
        <v>234000</v>
      </c>
      <c r="BZ126" s="991">
        <f t="shared" si="327"/>
        <v>47385</v>
      </c>
      <c r="CA126" s="992">
        <f t="shared" si="327"/>
        <v>47385</v>
      </c>
      <c r="CB126" s="992">
        <f t="shared" si="327"/>
        <v>47385</v>
      </c>
      <c r="CC126" s="992">
        <f t="shared" si="327"/>
        <v>47385</v>
      </c>
      <c r="CD126" s="992">
        <f t="shared" si="327"/>
        <v>47385</v>
      </c>
      <c r="CE126" s="992">
        <f t="shared" si="327"/>
        <v>47385</v>
      </c>
      <c r="CF126" s="992">
        <f t="shared" si="327"/>
        <v>47385</v>
      </c>
      <c r="CG126" s="992">
        <f t="shared" si="327"/>
        <v>47385</v>
      </c>
      <c r="CH126" s="992">
        <f t="shared" si="327"/>
        <v>47385</v>
      </c>
      <c r="CI126" s="992">
        <f t="shared" si="327"/>
        <v>47385</v>
      </c>
      <c r="CJ126" s="992">
        <f t="shared" si="327"/>
        <v>47385</v>
      </c>
      <c r="CK126" s="992">
        <f t="shared" si="327"/>
        <v>47385</v>
      </c>
      <c r="CL126" s="993">
        <f t="shared" si="328"/>
        <v>568620</v>
      </c>
      <c r="CM126" s="1102">
        <f>312000/12</f>
        <v>26000</v>
      </c>
      <c r="CN126" s="1103">
        <f t="shared" si="341"/>
        <v>26000</v>
      </c>
      <c r="CO126" s="1103">
        <f t="shared" si="341"/>
        <v>26000</v>
      </c>
      <c r="CP126" s="1103">
        <f t="shared" si="341"/>
        <v>26000</v>
      </c>
      <c r="CQ126" s="1103">
        <f t="shared" si="341"/>
        <v>26000</v>
      </c>
      <c r="CR126" s="1103">
        <f t="shared" si="341"/>
        <v>26000</v>
      </c>
      <c r="CS126" s="1103">
        <f t="shared" si="341"/>
        <v>26000</v>
      </c>
      <c r="CT126" s="1103">
        <f t="shared" si="341"/>
        <v>26000</v>
      </c>
      <c r="CU126" s="1103">
        <f t="shared" si="341"/>
        <v>26000</v>
      </c>
      <c r="CV126" s="1103">
        <f t="shared" si="341"/>
        <v>26000</v>
      </c>
      <c r="CW126" s="1103">
        <f t="shared" si="341"/>
        <v>26000</v>
      </c>
      <c r="CX126" s="1103">
        <f t="shared" si="341"/>
        <v>26000</v>
      </c>
      <c r="CY126" s="990">
        <f>SUM(CM126:CX126)</f>
        <v>312000</v>
      </c>
      <c r="CZ126" s="991">
        <f t="shared" si="330"/>
        <v>61880</v>
      </c>
      <c r="DA126" s="992">
        <f t="shared" si="330"/>
        <v>61880</v>
      </c>
      <c r="DB126" s="992">
        <f t="shared" si="330"/>
        <v>61880</v>
      </c>
      <c r="DC126" s="992">
        <f t="shared" si="330"/>
        <v>61880</v>
      </c>
      <c r="DD126" s="992">
        <f t="shared" si="330"/>
        <v>61880</v>
      </c>
      <c r="DE126" s="992">
        <f t="shared" si="330"/>
        <v>61880</v>
      </c>
      <c r="DF126" s="992">
        <f t="shared" si="330"/>
        <v>61880</v>
      </c>
      <c r="DG126" s="992">
        <f t="shared" si="330"/>
        <v>61880</v>
      </c>
      <c r="DH126" s="992">
        <f t="shared" si="330"/>
        <v>61880</v>
      </c>
      <c r="DI126" s="992">
        <f t="shared" si="330"/>
        <v>61880</v>
      </c>
      <c r="DJ126" s="992">
        <f t="shared" si="330"/>
        <v>61880</v>
      </c>
      <c r="DK126" s="992">
        <f t="shared" si="330"/>
        <v>61880</v>
      </c>
      <c r="DL126" s="993">
        <f t="shared" si="331"/>
        <v>742560</v>
      </c>
      <c r="DM126" s="1102">
        <f>312000/12</f>
        <v>26000</v>
      </c>
      <c r="DN126" s="1103">
        <f t="shared" si="342"/>
        <v>26000</v>
      </c>
      <c r="DO126" s="1103">
        <f t="shared" si="342"/>
        <v>26000</v>
      </c>
      <c r="DP126" s="1103">
        <f t="shared" si="342"/>
        <v>26000</v>
      </c>
      <c r="DQ126" s="1103">
        <f t="shared" si="342"/>
        <v>26000</v>
      </c>
      <c r="DR126" s="1103">
        <f t="shared" si="342"/>
        <v>26000</v>
      </c>
      <c r="DS126" s="1103">
        <f t="shared" si="342"/>
        <v>26000</v>
      </c>
      <c r="DT126" s="1103">
        <f t="shared" si="342"/>
        <v>26000</v>
      </c>
      <c r="DU126" s="1103">
        <f t="shared" si="342"/>
        <v>26000</v>
      </c>
      <c r="DV126" s="1103">
        <f t="shared" si="342"/>
        <v>26000</v>
      </c>
      <c r="DW126" s="1103">
        <f t="shared" si="342"/>
        <v>26000</v>
      </c>
      <c r="DX126" s="1103">
        <f t="shared" si="342"/>
        <v>26000</v>
      </c>
      <c r="DY126" s="990">
        <f>SUM(DM126:DX126)</f>
        <v>312000</v>
      </c>
      <c r="DZ126" s="991">
        <f t="shared" si="333"/>
        <v>60319.999999999993</v>
      </c>
      <c r="EA126" s="992">
        <f t="shared" si="333"/>
        <v>60319.999999999993</v>
      </c>
      <c r="EB126" s="992">
        <f t="shared" si="333"/>
        <v>60319.999999999993</v>
      </c>
      <c r="EC126" s="992">
        <f t="shared" si="333"/>
        <v>60319.999999999993</v>
      </c>
      <c r="ED126" s="992">
        <f t="shared" si="333"/>
        <v>60319.999999999993</v>
      </c>
      <c r="EE126" s="992">
        <f t="shared" si="333"/>
        <v>60319.999999999993</v>
      </c>
      <c r="EF126" s="992">
        <f t="shared" si="333"/>
        <v>60319.999999999993</v>
      </c>
      <c r="EG126" s="992">
        <f t="shared" si="333"/>
        <v>60319.999999999993</v>
      </c>
      <c r="EH126" s="992">
        <f t="shared" si="333"/>
        <v>60319.999999999993</v>
      </c>
      <c r="EI126" s="992">
        <f t="shared" si="333"/>
        <v>60319.999999999993</v>
      </c>
      <c r="EJ126" s="992">
        <f t="shared" si="333"/>
        <v>60319.999999999993</v>
      </c>
      <c r="EK126" s="992">
        <f t="shared" si="333"/>
        <v>60319.999999999993</v>
      </c>
      <c r="EL126" s="993">
        <f t="shared" si="334"/>
        <v>723839.99999999988</v>
      </c>
    </row>
    <row r="127" spans="1:142" ht="20.399999999999999" thickTop="1" thickBot="1">
      <c r="A127" s="7261" t="s">
        <v>739</v>
      </c>
      <c r="B127" s="7262"/>
      <c r="C127" s="7263"/>
      <c r="D127" s="889"/>
      <c r="E127" s="889"/>
      <c r="F127" s="889"/>
      <c r="G127" s="889"/>
      <c r="H127" s="889"/>
      <c r="I127" s="889"/>
      <c r="J127" s="889"/>
      <c r="K127" s="890"/>
      <c r="L127" s="891"/>
      <c r="M127" s="892">
        <f>SUM(M123:M126)</f>
        <v>0</v>
      </c>
      <c r="N127" s="567">
        <f t="shared" ref="N127:BY127" si="343">SUM(N123:N126)</f>
        <v>0</v>
      </c>
      <c r="O127" s="567">
        <f t="shared" si="343"/>
        <v>0</v>
      </c>
      <c r="P127" s="567">
        <f t="shared" si="343"/>
        <v>0</v>
      </c>
      <c r="Q127" s="1106">
        <f t="shared" si="343"/>
        <v>0</v>
      </c>
      <c r="R127" s="567">
        <f t="shared" si="343"/>
        <v>46872</v>
      </c>
      <c r="S127" s="567">
        <f t="shared" si="343"/>
        <v>35812</v>
      </c>
      <c r="T127" s="567">
        <f t="shared" si="343"/>
        <v>70132</v>
      </c>
      <c r="U127" s="567">
        <f t="shared" si="343"/>
        <v>50000</v>
      </c>
      <c r="V127" s="567">
        <f t="shared" si="343"/>
        <v>75000</v>
      </c>
      <c r="W127" s="567">
        <f t="shared" si="343"/>
        <v>75000</v>
      </c>
      <c r="X127" s="567">
        <f t="shared" si="343"/>
        <v>75000</v>
      </c>
      <c r="Y127" s="536">
        <f t="shared" si="343"/>
        <v>427816</v>
      </c>
      <c r="Z127" s="541">
        <f t="shared" si="343"/>
        <v>0</v>
      </c>
      <c r="AA127" s="541">
        <f t="shared" si="343"/>
        <v>0</v>
      </c>
      <c r="AB127" s="541">
        <f t="shared" si="343"/>
        <v>0</v>
      </c>
      <c r="AC127" s="541">
        <f t="shared" si="343"/>
        <v>0</v>
      </c>
      <c r="AD127" s="541">
        <f t="shared" si="343"/>
        <v>0</v>
      </c>
      <c r="AE127" s="541">
        <f t="shared" si="343"/>
        <v>50621.760000000002</v>
      </c>
      <c r="AF127" s="541">
        <f t="shared" si="343"/>
        <v>38676.959999999999</v>
      </c>
      <c r="AG127" s="541">
        <f t="shared" si="343"/>
        <v>65922.559999999998</v>
      </c>
      <c r="AH127" s="541">
        <f t="shared" si="343"/>
        <v>48500</v>
      </c>
      <c r="AI127" s="541">
        <f t="shared" si="343"/>
        <v>72750</v>
      </c>
      <c r="AJ127" s="541">
        <f t="shared" si="343"/>
        <v>72750</v>
      </c>
      <c r="AK127" s="541">
        <f t="shared" si="343"/>
        <v>72750</v>
      </c>
      <c r="AL127" s="538">
        <f t="shared" si="343"/>
        <v>421971.28</v>
      </c>
      <c r="AM127" s="535">
        <f t="shared" si="343"/>
        <v>209800</v>
      </c>
      <c r="AN127" s="567">
        <f t="shared" si="343"/>
        <v>209800</v>
      </c>
      <c r="AO127" s="567">
        <f t="shared" si="343"/>
        <v>209800</v>
      </c>
      <c r="AP127" s="567">
        <f t="shared" si="343"/>
        <v>209800</v>
      </c>
      <c r="AQ127" s="567">
        <f t="shared" si="343"/>
        <v>209800</v>
      </c>
      <c r="AR127" s="567">
        <f t="shared" si="343"/>
        <v>209800</v>
      </c>
      <c r="AS127" s="567">
        <f t="shared" si="343"/>
        <v>209800</v>
      </c>
      <c r="AT127" s="567">
        <f t="shared" si="343"/>
        <v>209800</v>
      </c>
      <c r="AU127" s="567">
        <f t="shared" si="343"/>
        <v>209800</v>
      </c>
      <c r="AV127" s="567">
        <f t="shared" si="343"/>
        <v>209800</v>
      </c>
      <c r="AW127" s="567">
        <f t="shared" si="343"/>
        <v>209800</v>
      </c>
      <c r="AX127" s="567">
        <f t="shared" si="343"/>
        <v>209800</v>
      </c>
      <c r="AY127" s="536">
        <f t="shared" si="343"/>
        <v>2517600</v>
      </c>
      <c r="AZ127" s="541">
        <f t="shared" si="343"/>
        <v>224506</v>
      </c>
      <c r="BA127" s="541">
        <f t="shared" si="343"/>
        <v>224506</v>
      </c>
      <c r="BB127" s="541">
        <f t="shared" si="343"/>
        <v>224506</v>
      </c>
      <c r="BC127" s="541">
        <f t="shared" si="343"/>
        <v>224506</v>
      </c>
      <c r="BD127" s="541">
        <f t="shared" si="343"/>
        <v>224506</v>
      </c>
      <c r="BE127" s="541">
        <f t="shared" si="343"/>
        <v>224506</v>
      </c>
      <c r="BF127" s="541">
        <f t="shared" si="343"/>
        <v>224506</v>
      </c>
      <c r="BG127" s="541">
        <f t="shared" si="343"/>
        <v>224506</v>
      </c>
      <c r="BH127" s="541">
        <f t="shared" si="343"/>
        <v>224506</v>
      </c>
      <c r="BI127" s="541">
        <f t="shared" si="343"/>
        <v>224506</v>
      </c>
      <c r="BJ127" s="541">
        <f t="shared" si="343"/>
        <v>224506</v>
      </c>
      <c r="BK127" s="541">
        <f t="shared" si="343"/>
        <v>224506</v>
      </c>
      <c r="BL127" s="538">
        <f t="shared" si="343"/>
        <v>2694072</v>
      </c>
      <c r="BM127" s="535">
        <f t="shared" si="343"/>
        <v>248800</v>
      </c>
      <c r="BN127" s="567">
        <f t="shared" si="343"/>
        <v>248800</v>
      </c>
      <c r="BO127" s="567">
        <f t="shared" si="343"/>
        <v>248800</v>
      </c>
      <c r="BP127" s="567">
        <f t="shared" si="343"/>
        <v>248800</v>
      </c>
      <c r="BQ127" s="567">
        <f t="shared" si="343"/>
        <v>248800</v>
      </c>
      <c r="BR127" s="567">
        <f t="shared" si="343"/>
        <v>248800</v>
      </c>
      <c r="BS127" s="567">
        <f t="shared" si="343"/>
        <v>248800</v>
      </c>
      <c r="BT127" s="567">
        <f t="shared" si="343"/>
        <v>248800</v>
      </c>
      <c r="BU127" s="567">
        <f t="shared" si="343"/>
        <v>248800</v>
      </c>
      <c r="BV127" s="567">
        <f t="shared" si="343"/>
        <v>248800</v>
      </c>
      <c r="BW127" s="567">
        <f t="shared" si="343"/>
        <v>248800</v>
      </c>
      <c r="BX127" s="567">
        <f t="shared" si="343"/>
        <v>248800</v>
      </c>
      <c r="BY127" s="536">
        <f t="shared" si="343"/>
        <v>2985600</v>
      </c>
      <c r="BZ127" s="937">
        <f t="shared" ref="BZ127:EK127" si="344">SUM(BZ123:BZ126)</f>
        <v>368416</v>
      </c>
      <c r="CA127" s="541">
        <f t="shared" si="344"/>
        <v>368416</v>
      </c>
      <c r="CB127" s="541">
        <f t="shared" si="344"/>
        <v>368416</v>
      </c>
      <c r="CC127" s="541">
        <f t="shared" si="344"/>
        <v>368416</v>
      </c>
      <c r="CD127" s="541">
        <f t="shared" si="344"/>
        <v>368416</v>
      </c>
      <c r="CE127" s="541">
        <f t="shared" si="344"/>
        <v>368416</v>
      </c>
      <c r="CF127" s="541">
        <f t="shared" si="344"/>
        <v>368416</v>
      </c>
      <c r="CG127" s="541">
        <f t="shared" si="344"/>
        <v>368416</v>
      </c>
      <c r="CH127" s="541">
        <f t="shared" si="344"/>
        <v>368416</v>
      </c>
      <c r="CI127" s="541">
        <f t="shared" si="344"/>
        <v>368416</v>
      </c>
      <c r="CJ127" s="541">
        <f t="shared" si="344"/>
        <v>368416</v>
      </c>
      <c r="CK127" s="541">
        <f t="shared" si="344"/>
        <v>368416</v>
      </c>
      <c r="CL127" s="894">
        <f t="shared" si="344"/>
        <v>4420992</v>
      </c>
      <c r="CM127" s="535">
        <f t="shared" si="344"/>
        <v>248666.66666666666</v>
      </c>
      <c r="CN127" s="567">
        <f t="shared" si="344"/>
        <v>248666.66666666666</v>
      </c>
      <c r="CO127" s="567">
        <f t="shared" si="344"/>
        <v>248666.66666666666</v>
      </c>
      <c r="CP127" s="567">
        <f t="shared" si="344"/>
        <v>248666.66666666666</v>
      </c>
      <c r="CQ127" s="567">
        <f t="shared" si="344"/>
        <v>248666.66666666666</v>
      </c>
      <c r="CR127" s="567">
        <f t="shared" si="344"/>
        <v>248666.66666666666</v>
      </c>
      <c r="CS127" s="567">
        <f t="shared" si="344"/>
        <v>248666.66666666666</v>
      </c>
      <c r="CT127" s="567">
        <f t="shared" si="344"/>
        <v>248666.66666666666</v>
      </c>
      <c r="CU127" s="567">
        <f t="shared" si="344"/>
        <v>248666.66666666666</v>
      </c>
      <c r="CV127" s="567">
        <f t="shared" si="344"/>
        <v>248666.66666666666</v>
      </c>
      <c r="CW127" s="567">
        <f t="shared" si="344"/>
        <v>248666.66666666666</v>
      </c>
      <c r="CX127" s="567">
        <f t="shared" si="344"/>
        <v>248666.66666666666</v>
      </c>
      <c r="CY127" s="536">
        <f t="shared" si="344"/>
        <v>2984000</v>
      </c>
      <c r="CZ127" s="541">
        <f t="shared" si="344"/>
        <v>399486.66666666663</v>
      </c>
      <c r="DA127" s="541">
        <f t="shared" si="344"/>
        <v>399486.66666666663</v>
      </c>
      <c r="DB127" s="541">
        <f t="shared" si="344"/>
        <v>399486.66666666663</v>
      </c>
      <c r="DC127" s="541">
        <f t="shared" si="344"/>
        <v>399486.66666666663</v>
      </c>
      <c r="DD127" s="541">
        <f t="shared" si="344"/>
        <v>399486.66666666663</v>
      </c>
      <c r="DE127" s="541">
        <f t="shared" si="344"/>
        <v>399486.66666666663</v>
      </c>
      <c r="DF127" s="541">
        <f t="shared" si="344"/>
        <v>399486.66666666663</v>
      </c>
      <c r="DG127" s="541">
        <f t="shared" si="344"/>
        <v>399486.66666666663</v>
      </c>
      <c r="DH127" s="541">
        <f t="shared" si="344"/>
        <v>399486.66666666663</v>
      </c>
      <c r="DI127" s="541">
        <f t="shared" si="344"/>
        <v>399486.66666666663</v>
      </c>
      <c r="DJ127" s="541">
        <f t="shared" si="344"/>
        <v>399486.66666666663</v>
      </c>
      <c r="DK127" s="541">
        <f t="shared" si="344"/>
        <v>399486.66666666663</v>
      </c>
      <c r="DL127" s="538">
        <f t="shared" si="344"/>
        <v>4793840</v>
      </c>
      <c r="DM127" s="892">
        <f t="shared" si="344"/>
        <v>248666.66666666666</v>
      </c>
      <c r="DN127" s="567">
        <f t="shared" si="344"/>
        <v>248666.66666666666</v>
      </c>
      <c r="DO127" s="567">
        <f t="shared" si="344"/>
        <v>248666.66666666666</v>
      </c>
      <c r="DP127" s="567">
        <f t="shared" si="344"/>
        <v>248666.66666666666</v>
      </c>
      <c r="DQ127" s="567">
        <f t="shared" si="344"/>
        <v>248666.66666666666</v>
      </c>
      <c r="DR127" s="567">
        <f t="shared" si="344"/>
        <v>248666.66666666666</v>
      </c>
      <c r="DS127" s="567">
        <f t="shared" si="344"/>
        <v>248666.66666666666</v>
      </c>
      <c r="DT127" s="567">
        <f t="shared" si="344"/>
        <v>248666.66666666666</v>
      </c>
      <c r="DU127" s="567">
        <f t="shared" si="344"/>
        <v>248666.66666666666</v>
      </c>
      <c r="DV127" s="567">
        <f t="shared" si="344"/>
        <v>248666.66666666666</v>
      </c>
      <c r="DW127" s="567">
        <f t="shared" si="344"/>
        <v>248666.66666666666</v>
      </c>
      <c r="DX127" s="567">
        <f t="shared" si="344"/>
        <v>248666.66666666666</v>
      </c>
      <c r="DY127" s="536">
        <f t="shared" si="344"/>
        <v>2984000</v>
      </c>
      <c r="DZ127" s="541">
        <f t="shared" si="344"/>
        <v>395066.66666666669</v>
      </c>
      <c r="EA127" s="541">
        <f t="shared" si="344"/>
        <v>395066.66666666669</v>
      </c>
      <c r="EB127" s="541">
        <f t="shared" si="344"/>
        <v>395066.66666666669</v>
      </c>
      <c r="EC127" s="541">
        <f t="shared" si="344"/>
        <v>395066.66666666669</v>
      </c>
      <c r="ED127" s="541">
        <f t="shared" si="344"/>
        <v>395066.66666666669</v>
      </c>
      <c r="EE127" s="541">
        <f t="shared" si="344"/>
        <v>395066.66666666669</v>
      </c>
      <c r="EF127" s="541">
        <f t="shared" si="344"/>
        <v>395066.66666666669</v>
      </c>
      <c r="EG127" s="541">
        <f t="shared" si="344"/>
        <v>395066.66666666669</v>
      </c>
      <c r="EH127" s="541">
        <f t="shared" si="344"/>
        <v>395066.66666666669</v>
      </c>
      <c r="EI127" s="541">
        <f t="shared" si="344"/>
        <v>395066.66666666669</v>
      </c>
      <c r="EJ127" s="541">
        <f t="shared" si="344"/>
        <v>395066.66666666669</v>
      </c>
      <c r="EK127" s="541">
        <f t="shared" si="344"/>
        <v>395066.66666666669</v>
      </c>
      <c r="EL127" s="538">
        <f>SUM(EL123:EL126)</f>
        <v>4740800</v>
      </c>
    </row>
    <row r="128" spans="1:142" ht="20.399999999999999" thickTop="1" thickBot="1">
      <c r="A128" s="1107" t="s">
        <v>740</v>
      </c>
      <c r="B128" s="1108" t="s">
        <v>741</v>
      </c>
      <c r="C128" s="1109"/>
      <c r="D128" s="527">
        <v>1.3220000000000001</v>
      </c>
      <c r="E128" s="527">
        <v>1.3220000000000001</v>
      </c>
      <c r="F128" s="527">
        <v>1.3220000000000001</v>
      </c>
      <c r="G128" s="527">
        <v>1.3220000000000001</v>
      </c>
      <c r="H128" s="527">
        <v>1.3220000000000001</v>
      </c>
      <c r="I128" s="527">
        <v>1.3220000000000001</v>
      </c>
      <c r="J128" s="527">
        <v>1.3220000000000001</v>
      </c>
      <c r="K128" s="1110">
        <v>1.3220000000000001</v>
      </c>
      <c r="L128" s="875"/>
      <c r="M128" s="1111">
        <v>10000</v>
      </c>
      <c r="N128" s="1112">
        <v>20000</v>
      </c>
      <c r="O128" s="1112">
        <v>20000</v>
      </c>
      <c r="P128" s="1112">
        <v>20000</v>
      </c>
      <c r="Q128" s="1112">
        <v>36000</v>
      </c>
      <c r="R128" s="1112">
        <f>4014+5986</f>
        <v>10000</v>
      </c>
      <c r="S128" s="1112">
        <v>26000</v>
      </c>
      <c r="T128" s="1112">
        <v>30000</v>
      </c>
      <c r="U128" s="1112">
        <v>30000</v>
      </c>
      <c r="V128" s="1112"/>
      <c r="W128" s="574"/>
      <c r="X128" s="575"/>
      <c r="Y128" s="536">
        <f>SUM(M128:X128)</f>
        <v>202000</v>
      </c>
      <c r="Z128" s="570">
        <f>M128*$D$128</f>
        <v>13220</v>
      </c>
      <c r="AA128" s="571">
        <f>N128*$D$128</f>
        <v>26440</v>
      </c>
      <c r="AB128" s="571">
        <f>O128*$D$128</f>
        <v>26440</v>
      </c>
      <c r="AC128" s="571">
        <f>P128*$D$128</f>
        <v>26440</v>
      </c>
      <c r="AD128" s="571">
        <f>Q128*$D$128</f>
        <v>47592</v>
      </c>
      <c r="AE128" s="571">
        <f>R128*$D$128+2</f>
        <v>13222</v>
      </c>
      <c r="AF128" s="571">
        <f t="shared" ref="AF128:AK128" si="345">S128*$D$128</f>
        <v>34372</v>
      </c>
      <c r="AG128" s="571">
        <f t="shared" si="345"/>
        <v>39660</v>
      </c>
      <c r="AH128" s="571">
        <f t="shared" si="345"/>
        <v>39660</v>
      </c>
      <c r="AI128" s="571">
        <f t="shared" si="345"/>
        <v>0</v>
      </c>
      <c r="AJ128" s="571">
        <f t="shared" si="345"/>
        <v>0</v>
      </c>
      <c r="AK128" s="572">
        <f t="shared" si="345"/>
        <v>0</v>
      </c>
      <c r="AL128" s="538">
        <f>SUM(Z128:AK128)</f>
        <v>267046</v>
      </c>
      <c r="AM128" s="1113"/>
      <c r="AN128" s="1112"/>
      <c r="AO128" s="1112"/>
      <c r="AP128" s="1112"/>
      <c r="AQ128" s="1112"/>
      <c r="AR128" s="1112"/>
      <c r="AS128" s="1112"/>
      <c r="AT128" s="1112"/>
      <c r="AU128" s="1112"/>
      <c r="AV128" s="574"/>
      <c r="AW128" s="574"/>
      <c r="AX128" s="575"/>
      <c r="AY128" s="536">
        <f>SUM(AM128:AX128)</f>
        <v>0</v>
      </c>
      <c r="AZ128" s="1114">
        <f t="shared" ref="AZ128:BK128" si="346">AM128*$H128</f>
        <v>0</v>
      </c>
      <c r="BA128" s="1115">
        <f t="shared" si="346"/>
        <v>0</v>
      </c>
      <c r="BB128" s="1115">
        <f t="shared" si="346"/>
        <v>0</v>
      </c>
      <c r="BC128" s="1115">
        <f t="shared" si="346"/>
        <v>0</v>
      </c>
      <c r="BD128" s="1115">
        <f t="shared" si="346"/>
        <v>0</v>
      </c>
      <c r="BE128" s="1115">
        <f t="shared" si="346"/>
        <v>0</v>
      </c>
      <c r="BF128" s="1115">
        <f t="shared" si="346"/>
        <v>0</v>
      </c>
      <c r="BG128" s="1115">
        <f t="shared" si="346"/>
        <v>0</v>
      </c>
      <c r="BH128" s="1115">
        <f t="shared" si="346"/>
        <v>0</v>
      </c>
      <c r="BI128" s="1115">
        <f t="shared" si="346"/>
        <v>0</v>
      </c>
      <c r="BJ128" s="1115">
        <f t="shared" si="346"/>
        <v>0</v>
      </c>
      <c r="BK128" s="1115">
        <f t="shared" si="346"/>
        <v>0</v>
      </c>
      <c r="BL128" s="538">
        <f t="shared" si="325"/>
        <v>0</v>
      </c>
      <c r="BM128" s="1113"/>
      <c r="BN128" s="1112"/>
      <c r="BO128" s="1112"/>
      <c r="BP128" s="1112"/>
      <c r="BQ128" s="1112"/>
      <c r="BR128" s="1112"/>
      <c r="BS128" s="1112"/>
      <c r="BT128" s="1112"/>
      <c r="BU128" s="1112"/>
      <c r="BV128" s="574"/>
      <c r="BW128" s="574"/>
      <c r="BX128" s="575"/>
      <c r="BY128" s="536">
        <f>SUM(BM128:BX128)</f>
        <v>0</v>
      </c>
      <c r="BZ128" s="882">
        <f t="shared" ref="BZ128:CK128" si="347">BM128*$I128</f>
        <v>0</v>
      </c>
      <c r="CA128" s="248">
        <f t="shared" si="347"/>
        <v>0</v>
      </c>
      <c r="CB128" s="248">
        <f t="shared" si="347"/>
        <v>0</v>
      </c>
      <c r="CC128" s="248">
        <f t="shared" si="347"/>
        <v>0</v>
      </c>
      <c r="CD128" s="248">
        <f t="shared" si="347"/>
        <v>0</v>
      </c>
      <c r="CE128" s="248">
        <f t="shared" si="347"/>
        <v>0</v>
      </c>
      <c r="CF128" s="248">
        <f t="shared" si="347"/>
        <v>0</v>
      </c>
      <c r="CG128" s="248">
        <f t="shared" si="347"/>
        <v>0</v>
      </c>
      <c r="CH128" s="248">
        <f t="shared" si="347"/>
        <v>0</v>
      </c>
      <c r="CI128" s="248">
        <f t="shared" si="347"/>
        <v>0</v>
      </c>
      <c r="CJ128" s="248">
        <f t="shared" si="347"/>
        <v>0</v>
      </c>
      <c r="CK128" s="248">
        <f t="shared" si="347"/>
        <v>0</v>
      </c>
      <c r="CL128" s="894">
        <f t="shared" si="328"/>
        <v>0</v>
      </c>
      <c r="CM128" s="1113"/>
      <c r="CN128" s="1112"/>
      <c r="CO128" s="1112"/>
      <c r="CP128" s="1112"/>
      <c r="CQ128" s="1112"/>
      <c r="CR128" s="1112"/>
      <c r="CS128" s="1112"/>
      <c r="CT128" s="1112"/>
      <c r="CU128" s="1112"/>
      <c r="CV128" s="574"/>
      <c r="CW128" s="574"/>
      <c r="CX128" s="575"/>
      <c r="CY128" s="536">
        <f>SUM(CM128:CX128)</f>
        <v>0</v>
      </c>
      <c r="CZ128" s="877">
        <f t="shared" ref="CZ128:DK128" si="348">CM128*$J128</f>
        <v>0</v>
      </c>
      <c r="DA128" s="248">
        <f t="shared" si="348"/>
        <v>0</v>
      </c>
      <c r="DB128" s="248">
        <f t="shared" si="348"/>
        <v>0</v>
      </c>
      <c r="DC128" s="248">
        <f t="shared" si="348"/>
        <v>0</v>
      </c>
      <c r="DD128" s="248">
        <f t="shared" si="348"/>
        <v>0</v>
      </c>
      <c r="DE128" s="248">
        <f t="shared" si="348"/>
        <v>0</v>
      </c>
      <c r="DF128" s="248">
        <f t="shared" si="348"/>
        <v>0</v>
      </c>
      <c r="DG128" s="248">
        <f t="shared" si="348"/>
        <v>0</v>
      </c>
      <c r="DH128" s="248">
        <f t="shared" si="348"/>
        <v>0</v>
      </c>
      <c r="DI128" s="248">
        <f t="shared" si="348"/>
        <v>0</v>
      </c>
      <c r="DJ128" s="248">
        <f t="shared" si="348"/>
        <v>0</v>
      </c>
      <c r="DK128" s="248">
        <f t="shared" si="348"/>
        <v>0</v>
      </c>
      <c r="DL128" s="538">
        <f t="shared" si="331"/>
        <v>0</v>
      </c>
      <c r="DM128" s="1111"/>
      <c r="DN128" s="1112"/>
      <c r="DO128" s="1112"/>
      <c r="DP128" s="1112"/>
      <c r="DQ128" s="1112"/>
      <c r="DR128" s="1112"/>
      <c r="DS128" s="1112"/>
      <c r="DT128" s="1112"/>
      <c r="DU128" s="1112"/>
      <c r="DV128" s="574"/>
      <c r="DW128" s="574"/>
      <c r="DX128" s="575"/>
      <c r="DY128" s="536">
        <f>SUM(DM128:DX128)</f>
        <v>0</v>
      </c>
      <c r="DZ128" s="248">
        <f t="shared" ref="DZ128:EK128" si="349">DM128*$K128</f>
        <v>0</v>
      </c>
      <c r="EA128" s="248">
        <f t="shared" si="349"/>
        <v>0</v>
      </c>
      <c r="EB128" s="248">
        <f t="shared" si="349"/>
        <v>0</v>
      </c>
      <c r="EC128" s="248">
        <f t="shared" si="349"/>
        <v>0</v>
      </c>
      <c r="ED128" s="248">
        <f t="shared" si="349"/>
        <v>0</v>
      </c>
      <c r="EE128" s="248">
        <f t="shared" si="349"/>
        <v>0</v>
      </c>
      <c r="EF128" s="248">
        <f t="shared" si="349"/>
        <v>0</v>
      </c>
      <c r="EG128" s="248">
        <f t="shared" si="349"/>
        <v>0</v>
      </c>
      <c r="EH128" s="248">
        <f t="shared" si="349"/>
        <v>0</v>
      </c>
      <c r="EI128" s="248">
        <f t="shared" si="349"/>
        <v>0</v>
      </c>
      <c r="EJ128" s="248">
        <f t="shared" si="349"/>
        <v>0</v>
      </c>
      <c r="EK128" s="248">
        <f t="shared" si="349"/>
        <v>0</v>
      </c>
      <c r="EL128" s="538">
        <f t="shared" si="334"/>
        <v>0</v>
      </c>
    </row>
    <row r="129" spans="1:142" ht="20.399999999999999" thickTop="1" thickBot="1">
      <c r="A129" s="1116" t="s">
        <v>742</v>
      </c>
      <c r="B129" s="1117" t="s">
        <v>743</v>
      </c>
      <c r="C129" s="1118"/>
      <c r="D129" s="889"/>
      <c r="E129" s="889"/>
      <c r="F129" s="889"/>
      <c r="G129" s="889"/>
      <c r="H129" s="889"/>
      <c r="I129" s="889"/>
      <c r="J129" s="889"/>
      <c r="K129" s="890"/>
      <c r="L129" s="891"/>
      <c r="M129" s="1119">
        <v>0</v>
      </c>
      <c r="N129" s="574"/>
      <c r="O129" s="574"/>
      <c r="P129" s="574"/>
      <c r="Q129" s="574"/>
      <c r="R129" s="574"/>
      <c r="S129" s="574"/>
      <c r="T129" s="574"/>
      <c r="U129" s="574"/>
      <c r="V129" s="574"/>
      <c r="W129" s="574"/>
      <c r="X129" s="575"/>
      <c r="Y129" s="536">
        <f>SUM(M129:X129)</f>
        <v>0</v>
      </c>
      <c r="Z129" s="1120">
        <f>102995+155000+4864+26137</f>
        <v>288996</v>
      </c>
      <c r="AA129" s="576">
        <f>11965+65380+44396</f>
        <v>121741</v>
      </c>
      <c r="AB129" s="576">
        <f>100290+19818</f>
        <v>120108</v>
      </c>
      <c r="AC129" s="576">
        <f>2157751999/24500+34536</f>
        <v>122607.51016326531</v>
      </c>
      <c r="AD129" s="576">
        <f>68021+1596</f>
        <v>69617</v>
      </c>
      <c r="AE129" s="576">
        <f>2377359786/25000-2+36625</f>
        <v>131717.39144000001</v>
      </c>
      <c r="AF129" s="576">
        <v>80000</v>
      </c>
      <c r="AG129" s="576">
        <v>80000</v>
      </c>
      <c r="AH129" s="576">
        <v>75000</v>
      </c>
      <c r="AI129" s="576">
        <v>75000</v>
      </c>
      <c r="AJ129" s="576">
        <v>75000</v>
      </c>
      <c r="AK129" s="576">
        <v>75000</v>
      </c>
      <c r="AL129" s="538">
        <f>SUM(Z129:AK129)</f>
        <v>1314786.9016032652</v>
      </c>
      <c r="AM129" s="573">
        <v>0</v>
      </c>
      <c r="AN129" s="574"/>
      <c r="AO129" s="574"/>
      <c r="AP129" s="574"/>
      <c r="AQ129" s="574"/>
      <c r="AR129" s="574"/>
      <c r="AS129" s="574"/>
      <c r="AT129" s="574"/>
      <c r="AU129" s="574"/>
      <c r="AV129" s="574"/>
      <c r="AW129" s="574"/>
      <c r="AX129" s="575"/>
      <c r="AY129" s="536">
        <f>SUM(AM129:AX129)</f>
        <v>0</v>
      </c>
      <c r="AZ129" s="1114">
        <v>50000</v>
      </c>
      <c r="BA129" s="1115">
        <v>50000</v>
      </c>
      <c r="BB129" s="1115">
        <v>50000</v>
      </c>
      <c r="BC129" s="1115">
        <v>50000</v>
      </c>
      <c r="BD129" s="1115">
        <v>50000</v>
      </c>
      <c r="BE129" s="1115">
        <v>50000</v>
      </c>
      <c r="BF129" s="1115">
        <v>50000</v>
      </c>
      <c r="BG129" s="1115">
        <v>50000</v>
      </c>
      <c r="BH129" s="1115">
        <v>50000</v>
      </c>
      <c r="BI129" s="1115">
        <v>50000</v>
      </c>
      <c r="BJ129" s="1115">
        <v>50000</v>
      </c>
      <c r="BK129" s="1115">
        <v>50000</v>
      </c>
      <c r="BL129" s="538">
        <f t="shared" si="325"/>
        <v>600000</v>
      </c>
      <c r="BM129" s="573">
        <v>0</v>
      </c>
      <c r="BN129" s="574"/>
      <c r="BO129" s="574"/>
      <c r="BP129" s="574"/>
      <c r="BQ129" s="574"/>
      <c r="BR129" s="574"/>
      <c r="BS129" s="574"/>
      <c r="BT129" s="574"/>
      <c r="BU129" s="574"/>
      <c r="BV129" s="574"/>
      <c r="BW129" s="574"/>
      <c r="BX129" s="575"/>
      <c r="BY129" s="536">
        <f>SUM(BM129:BX129)</f>
        <v>0</v>
      </c>
      <c r="BZ129" s="1121">
        <v>50000</v>
      </c>
      <c r="CA129" s="1115">
        <v>50000</v>
      </c>
      <c r="CB129" s="1115">
        <v>50000</v>
      </c>
      <c r="CC129" s="1115">
        <v>50000</v>
      </c>
      <c r="CD129" s="1115">
        <v>50000</v>
      </c>
      <c r="CE129" s="1115">
        <v>50000</v>
      </c>
      <c r="CF129" s="1115">
        <v>50000</v>
      </c>
      <c r="CG129" s="1115">
        <v>50000</v>
      </c>
      <c r="CH129" s="1115">
        <v>50000</v>
      </c>
      <c r="CI129" s="1115">
        <v>50000</v>
      </c>
      <c r="CJ129" s="1115">
        <v>50000</v>
      </c>
      <c r="CK129" s="1115">
        <v>50000</v>
      </c>
      <c r="CL129" s="894">
        <f t="shared" si="328"/>
        <v>600000</v>
      </c>
      <c r="CM129" s="573">
        <v>0</v>
      </c>
      <c r="CN129" s="574"/>
      <c r="CO129" s="574"/>
      <c r="CP129" s="574"/>
      <c r="CQ129" s="574"/>
      <c r="CR129" s="574"/>
      <c r="CS129" s="574"/>
      <c r="CT129" s="574"/>
      <c r="CU129" s="574"/>
      <c r="CV129" s="574"/>
      <c r="CW129" s="574"/>
      <c r="CX129" s="575"/>
      <c r="CY129" s="536">
        <f>SUM(CM129:CX129)</f>
        <v>0</v>
      </c>
      <c r="CZ129" s="1114">
        <v>50000</v>
      </c>
      <c r="DA129" s="1115">
        <v>50000</v>
      </c>
      <c r="DB129" s="1115">
        <v>50000</v>
      </c>
      <c r="DC129" s="1115">
        <v>50000</v>
      </c>
      <c r="DD129" s="1115">
        <v>50000</v>
      </c>
      <c r="DE129" s="1115">
        <v>50000</v>
      </c>
      <c r="DF129" s="1115">
        <v>50000</v>
      </c>
      <c r="DG129" s="1115">
        <v>50000</v>
      </c>
      <c r="DH129" s="1115">
        <v>50000</v>
      </c>
      <c r="DI129" s="1115">
        <v>50000</v>
      </c>
      <c r="DJ129" s="1115">
        <v>50000</v>
      </c>
      <c r="DK129" s="1115">
        <v>50000</v>
      </c>
      <c r="DL129" s="538">
        <f t="shared" si="331"/>
        <v>600000</v>
      </c>
      <c r="DM129" s="1119">
        <v>0</v>
      </c>
      <c r="DN129" s="574"/>
      <c r="DO129" s="574"/>
      <c r="DP129" s="574"/>
      <c r="DQ129" s="574"/>
      <c r="DR129" s="574"/>
      <c r="DS129" s="574"/>
      <c r="DT129" s="574"/>
      <c r="DU129" s="574"/>
      <c r="DV129" s="574"/>
      <c r="DW129" s="574"/>
      <c r="DX129" s="575"/>
      <c r="DY129" s="536">
        <f>SUM(DM129:DX129)</f>
        <v>0</v>
      </c>
      <c r="DZ129" s="1114">
        <v>50000</v>
      </c>
      <c r="EA129" s="1115">
        <v>50000</v>
      </c>
      <c r="EB129" s="1115">
        <v>50000</v>
      </c>
      <c r="EC129" s="1115">
        <v>50000</v>
      </c>
      <c r="ED129" s="1115">
        <v>50000</v>
      </c>
      <c r="EE129" s="1115">
        <v>50000</v>
      </c>
      <c r="EF129" s="1115">
        <v>50000</v>
      </c>
      <c r="EG129" s="1115">
        <v>50000</v>
      </c>
      <c r="EH129" s="1115">
        <v>50000</v>
      </c>
      <c r="EI129" s="1115">
        <v>50000</v>
      </c>
      <c r="EJ129" s="1115">
        <v>50000</v>
      </c>
      <c r="EK129" s="1115">
        <v>50000</v>
      </c>
      <c r="EL129" s="538">
        <f t="shared" si="334"/>
        <v>600000</v>
      </c>
    </row>
    <row r="130" spans="1:142" ht="20.399999999999999" thickTop="1" thickBot="1">
      <c r="A130" s="7261" t="s">
        <v>44</v>
      </c>
      <c r="B130" s="7262"/>
      <c r="C130" s="7263"/>
      <c r="D130" s="889"/>
      <c r="E130" s="889"/>
      <c r="F130" s="889"/>
      <c r="G130" s="889"/>
      <c r="H130" s="889"/>
      <c r="I130" s="889"/>
      <c r="J130" s="889"/>
      <c r="K130" s="890"/>
      <c r="L130" s="1122"/>
      <c r="M130" s="892">
        <f t="shared" ref="M130:BX130" si="350">M14+M24+M29+M74+M122+M127+M129+M97+M5+M128</f>
        <v>2553263</v>
      </c>
      <c r="N130" s="535">
        <f t="shared" si="350"/>
        <v>2469346</v>
      </c>
      <c r="O130" s="535">
        <f t="shared" si="350"/>
        <v>3336440</v>
      </c>
      <c r="P130" s="535">
        <f t="shared" si="350"/>
        <v>2791346</v>
      </c>
      <c r="Q130" s="535">
        <f t="shared" si="350"/>
        <v>2504531</v>
      </c>
      <c r="R130" s="535">
        <f t="shared" si="350"/>
        <v>2626469</v>
      </c>
      <c r="S130" s="535">
        <f t="shared" si="350"/>
        <v>2668942</v>
      </c>
      <c r="T130" s="535">
        <f t="shared" si="350"/>
        <v>2763305</v>
      </c>
      <c r="U130" s="535">
        <f t="shared" si="350"/>
        <v>2727272</v>
      </c>
      <c r="V130" s="535">
        <f t="shared" si="350"/>
        <v>2703221</v>
      </c>
      <c r="W130" s="535">
        <f t="shared" si="350"/>
        <v>2533904</v>
      </c>
      <c r="X130" s="535">
        <f t="shared" si="350"/>
        <v>2384411</v>
      </c>
      <c r="Y130" s="536">
        <f t="shared" si="350"/>
        <v>32062450</v>
      </c>
      <c r="Z130" s="537">
        <f t="shared" si="350"/>
        <v>3721227.8727516667</v>
      </c>
      <c r="AA130" s="537">
        <f t="shared" si="350"/>
        <v>3617053.8699166663</v>
      </c>
      <c r="AB130" s="537">
        <f t="shared" si="350"/>
        <v>4320015.8805020414</v>
      </c>
      <c r="AC130" s="537">
        <f t="shared" si="350"/>
        <v>4106069.399877551</v>
      </c>
      <c r="AD130" s="537">
        <f t="shared" si="350"/>
        <v>4005553.6236979589</v>
      </c>
      <c r="AE130" s="537">
        <f>AE14+AE24+AE29+AE74+AE122+AE127+AE129+AE97+AE5+AE128</f>
        <v>3994843.7938399995</v>
      </c>
      <c r="AF130" s="537">
        <f t="shared" si="350"/>
        <v>4020468.3603181532</v>
      </c>
      <c r="AG130" s="537">
        <f t="shared" si="350"/>
        <v>4229394.378852753</v>
      </c>
      <c r="AH130" s="537">
        <f>AH14+AH24+AH29+AH74+AH122+AH127+AH129+AH97+AH5+AH128</f>
        <v>3968189.5170930624</v>
      </c>
      <c r="AI130" s="537">
        <f t="shared" si="350"/>
        <v>4064086.92</v>
      </c>
      <c r="AJ130" s="537">
        <f t="shared" si="350"/>
        <v>3968526.7</v>
      </c>
      <c r="AK130" s="537">
        <f t="shared" si="350"/>
        <v>3805981.12</v>
      </c>
      <c r="AL130" s="537">
        <f t="shared" si="350"/>
        <v>47790671.236849859</v>
      </c>
      <c r="AM130" s="535">
        <f t="shared" si="350"/>
        <v>2103357.333333333</v>
      </c>
      <c r="AN130" s="535">
        <f t="shared" si="350"/>
        <v>1708054.9333333331</v>
      </c>
      <c r="AO130" s="535">
        <f t="shared" si="350"/>
        <v>1868542.3333333333</v>
      </c>
      <c r="AP130" s="535">
        <f t="shared" si="350"/>
        <v>1901090.533333333</v>
      </c>
      <c r="AQ130" s="535">
        <f t="shared" si="350"/>
        <v>1913734.7333333332</v>
      </c>
      <c r="AR130" s="535">
        <f t="shared" si="350"/>
        <v>1859302.9333333331</v>
      </c>
      <c r="AS130" s="535">
        <f t="shared" si="350"/>
        <v>2135599.0166666666</v>
      </c>
      <c r="AT130" s="535">
        <f t="shared" si="350"/>
        <v>2141675.7166666668</v>
      </c>
      <c r="AU130" s="535">
        <f t="shared" si="350"/>
        <v>2040488.416666667</v>
      </c>
      <c r="AV130" s="535">
        <f t="shared" si="350"/>
        <v>2058761.4166666665</v>
      </c>
      <c r="AW130" s="535">
        <f t="shared" si="350"/>
        <v>2012699.416666667</v>
      </c>
      <c r="AX130" s="535">
        <f t="shared" si="350"/>
        <v>1933201.416666667</v>
      </c>
      <c r="AY130" s="536">
        <f t="shared" si="350"/>
        <v>23676508.199999999</v>
      </c>
      <c r="AZ130" s="537">
        <f t="shared" si="350"/>
        <v>3249544.1204421767</v>
      </c>
      <c r="BA130" s="537">
        <f t="shared" si="350"/>
        <v>2792624.3730952376</v>
      </c>
      <c r="BB130" s="537">
        <f t="shared" si="350"/>
        <v>3057332.2081972789</v>
      </c>
      <c r="BC130" s="537">
        <f t="shared" si="350"/>
        <v>3225351.5355442176</v>
      </c>
      <c r="BD130" s="537">
        <f t="shared" si="350"/>
        <v>3085977.6155442176</v>
      </c>
      <c r="BE130" s="537">
        <f t="shared" si="350"/>
        <v>2954862.10085034</v>
      </c>
      <c r="BF130" s="537">
        <f t="shared" si="350"/>
        <v>3596122.4775170069</v>
      </c>
      <c r="BG130" s="537">
        <f t="shared" si="350"/>
        <v>3798514.3375170073</v>
      </c>
      <c r="BH130" s="537">
        <f t="shared" si="350"/>
        <v>3633284.9548639464</v>
      </c>
      <c r="BI130" s="537">
        <f t="shared" si="350"/>
        <v>3700058.8648639461</v>
      </c>
      <c r="BJ130" s="537">
        <f t="shared" si="350"/>
        <v>3606191.224863946</v>
      </c>
      <c r="BK130" s="537">
        <f t="shared" si="350"/>
        <v>3623661.9347114465</v>
      </c>
      <c r="BL130" s="537">
        <f t="shared" si="350"/>
        <v>40323525.748010769</v>
      </c>
      <c r="BM130" s="535">
        <f t="shared" si="350"/>
        <v>3050918.9166666665</v>
      </c>
      <c r="BN130" s="535">
        <f t="shared" si="350"/>
        <v>2638423.2749999999</v>
      </c>
      <c r="BO130" s="535">
        <f t="shared" si="350"/>
        <v>2952137.2749999999</v>
      </c>
      <c r="BP130" s="535">
        <f t="shared" si="350"/>
        <v>3132850.855</v>
      </c>
      <c r="BQ130" s="535">
        <f t="shared" si="350"/>
        <v>3236039.2749999999</v>
      </c>
      <c r="BR130" s="535">
        <f t="shared" si="350"/>
        <v>3346041.3249999997</v>
      </c>
      <c r="BS130" s="535">
        <f t="shared" si="350"/>
        <v>3473468.6083333334</v>
      </c>
      <c r="BT130" s="535">
        <f t="shared" si="350"/>
        <v>3295359.2783333333</v>
      </c>
      <c r="BU130" s="535">
        <f t="shared" si="350"/>
        <v>3211901.6083333334</v>
      </c>
      <c r="BV130" s="535">
        <f t="shared" si="350"/>
        <v>3149857.6083333334</v>
      </c>
      <c r="BW130" s="535">
        <f t="shared" si="350"/>
        <v>3111141.6083333334</v>
      </c>
      <c r="BX130" s="535">
        <f t="shared" si="350"/>
        <v>3101535.6083333334</v>
      </c>
      <c r="BY130" s="536">
        <f t="shared" ref="BY130:CM130" si="351">BY14+BY24+BY29+BY74+BY122+BY127+BY129+BY97+BY5+BY128</f>
        <v>37699675.241666675</v>
      </c>
      <c r="BZ130" s="893">
        <f t="shared" si="351"/>
        <v>4499338.7454936821</v>
      </c>
      <c r="CA130" s="537">
        <f t="shared" si="351"/>
        <v>4073869.9951339876</v>
      </c>
      <c r="CB130" s="537">
        <f t="shared" si="351"/>
        <v>4521006.8718686821</v>
      </c>
      <c r="CC130" s="537">
        <f t="shared" si="351"/>
        <v>4585049.3718686812</v>
      </c>
      <c r="CD130" s="537">
        <f t="shared" si="351"/>
        <v>4670839.6718686819</v>
      </c>
      <c r="CE130" s="537">
        <f t="shared" si="351"/>
        <v>4823571.6718686819</v>
      </c>
      <c r="CF130" s="537">
        <f t="shared" si="351"/>
        <v>4945633.378535348</v>
      </c>
      <c r="CG130" s="537">
        <f t="shared" si="351"/>
        <v>4938438.7985353479</v>
      </c>
      <c r="CH130" s="537">
        <f t="shared" si="351"/>
        <v>4824156.7985353479</v>
      </c>
      <c r="CI130" s="537">
        <f t="shared" si="351"/>
        <v>4805490.7985353479</v>
      </c>
      <c r="CJ130" s="537">
        <f t="shared" si="351"/>
        <v>4743524.7985353479</v>
      </c>
      <c r="CK130" s="537">
        <f t="shared" si="351"/>
        <v>4755158.2785353484</v>
      </c>
      <c r="CL130" s="1123">
        <f t="shared" si="351"/>
        <v>56186079.179314494</v>
      </c>
      <c r="CM130" s="535">
        <f t="shared" si="351"/>
        <v>2989568.0833333335</v>
      </c>
      <c r="CN130" s="535">
        <f>CN14+CN24+CN29+CL43+CN122+CN127+CN129+CN97+CN5+CN128</f>
        <v>3498863.396666666</v>
      </c>
      <c r="CO130" s="535">
        <f t="shared" ref="CO130:EL130" si="352">CO14+CO24+CO29+CO74+CO122+CO127+CO129+CO97+CO5+CO128</f>
        <v>2893370.0833333335</v>
      </c>
      <c r="CP130" s="535">
        <f t="shared" si="352"/>
        <v>3083082.2053333335</v>
      </c>
      <c r="CQ130" s="535">
        <f t="shared" si="352"/>
        <v>3175572.0833333335</v>
      </c>
      <c r="CR130" s="535">
        <f t="shared" si="352"/>
        <v>3279473.7283333335</v>
      </c>
      <c r="CS130" s="535">
        <f t="shared" si="352"/>
        <v>3359972.0833333335</v>
      </c>
      <c r="CT130" s="535">
        <f t="shared" si="352"/>
        <v>3174074.1863333336</v>
      </c>
      <c r="CU130" s="535">
        <f t="shared" si="352"/>
        <v>3079213.0833333335</v>
      </c>
      <c r="CV130" s="535">
        <f t="shared" si="352"/>
        <v>3024573.0833333335</v>
      </c>
      <c r="CW130" s="535">
        <f t="shared" si="352"/>
        <v>2970129.0833333335</v>
      </c>
      <c r="CX130" s="535">
        <f t="shared" si="352"/>
        <v>2958073.0833333335</v>
      </c>
      <c r="CY130" s="536">
        <f t="shared" si="352"/>
        <v>36600668.869999997</v>
      </c>
      <c r="CZ130" s="537">
        <f t="shared" si="352"/>
        <v>5010520.2759314692</v>
      </c>
      <c r="DA130" s="537">
        <f t="shared" si="352"/>
        <v>4647893.9431967754</v>
      </c>
      <c r="DB130" s="537">
        <f t="shared" si="352"/>
        <v>5014931.1399314692</v>
      </c>
      <c r="DC130" s="537">
        <f t="shared" si="352"/>
        <v>5083734.3579314686</v>
      </c>
      <c r="DD130" s="537">
        <f t="shared" si="352"/>
        <v>5120757.8839314692</v>
      </c>
      <c r="DE130" s="537">
        <f t="shared" si="352"/>
        <v>5252003.2439314695</v>
      </c>
      <c r="DF130" s="537">
        <f t="shared" si="352"/>
        <v>5259653.9303314695</v>
      </c>
      <c r="DG130" s="537">
        <f t="shared" si="352"/>
        <v>5210593.2103314688</v>
      </c>
      <c r="DH130" s="537">
        <f t="shared" si="352"/>
        <v>5089992.8503314694</v>
      </c>
      <c r="DI130" s="537">
        <f t="shared" si="352"/>
        <v>5089120.1703314688</v>
      </c>
      <c r="DJ130" s="537">
        <f t="shared" si="352"/>
        <v>4969277.4903314691</v>
      </c>
      <c r="DK130" s="537">
        <f t="shared" si="352"/>
        <v>4968972.4903314691</v>
      </c>
      <c r="DL130" s="537">
        <f t="shared" si="352"/>
        <v>60717450.98684293</v>
      </c>
      <c r="DM130" s="892">
        <f t="shared" si="352"/>
        <v>3133770.833333333</v>
      </c>
      <c r="DN130" s="535">
        <f t="shared" si="352"/>
        <v>2770569.833333333</v>
      </c>
      <c r="DO130" s="535">
        <f t="shared" si="352"/>
        <v>3049451.833333333</v>
      </c>
      <c r="DP130" s="535">
        <f t="shared" si="352"/>
        <v>3241284.643133333</v>
      </c>
      <c r="DQ130" s="535">
        <f t="shared" si="352"/>
        <v>3333024.833333333</v>
      </c>
      <c r="DR130" s="535">
        <f t="shared" si="352"/>
        <v>3436535.1138333334</v>
      </c>
      <c r="DS130" s="535">
        <f t="shared" si="352"/>
        <v>3517034.833333333</v>
      </c>
      <c r="DT130" s="535">
        <f t="shared" si="352"/>
        <v>3332276.4260333329</v>
      </c>
      <c r="DU130" s="535">
        <f t="shared" si="352"/>
        <v>3238551.333333333</v>
      </c>
      <c r="DV130" s="535">
        <f t="shared" si="352"/>
        <v>3177275.833333333</v>
      </c>
      <c r="DW130" s="535">
        <f t="shared" si="352"/>
        <v>3129175.7333333329</v>
      </c>
      <c r="DX130" s="535">
        <f t="shared" si="352"/>
        <v>3115525.833333333</v>
      </c>
      <c r="DY130" s="536">
        <f t="shared" si="352"/>
        <v>38474477.083000004</v>
      </c>
      <c r="DZ130" s="537">
        <f t="shared" si="352"/>
        <v>5540557.1941493601</v>
      </c>
      <c r="EA130" s="537">
        <f t="shared" si="352"/>
        <v>5279274.3880693614</v>
      </c>
      <c r="EB130" s="537">
        <f t="shared" si="352"/>
        <v>5482532.8408693597</v>
      </c>
      <c r="EC130" s="537">
        <f t="shared" si="352"/>
        <v>5599124.7457093606</v>
      </c>
      <c r="ED130" s="537">
        <f t="shared" si="352"/>
        <v>5611313.0499893604</v>
      </c>
      <c r="EE130" s="537">
        <f t="shared" si="352"/>
        <v>5715457.5027893605</v>
      </c>
      <c r="EF130" s="537">
        <f t="shared" si="352"/>
        <v>5745921.1754613612</v>
      </c>
      <c r="EG130" s="537">
        <f t="shared" si="352"/>
        <v>5700469.269861361</v>
      </c>
      <c r="EH130" s="537">
        <f t="shared" si="352"/>
        <v>5592155.3170613609</v>
      </c>
      <c r="EI130" s="537">
        <f t="shared" si="352"/>
        <v>5558858.09066136</v>
      </c>
      <c r="EJ130" s="537">
        <f t="shared" si="352"/>
        <v>5471487.8642613608</v>
      </c>
      <c r="EK130" s="537">
        <f t="shared" si="352"/>
        <v>5463213.3642613608</v>
      </c>
      <c r="EL130" s="537">
        <f t="shared" si="352"/>
        <v>66760364.803144328</v>
      </c>
    </row>
    <row r="131" spans="1:142" ht="19.8" thickTop="1">
      <c r="Z131" s="1125">
        <v>3721228</v>
      </c>
      <c r="AA131" s="1125">
        <v>3617054</v>
      </c>
      <c r="AB131" s="1125">
        <v>4320016</v>
      </c>
      <c r="AC131" s="1125">
        <v>4106069</v>
      </c>
      <c r="AD131" s="1125">
        <v>4005554</v>
      </c>
      <c r="AE131" s="1125">
        <v>3994844</v>
      </c>
      <c r="AF131" s="553"/>
      <c r="AG131" s="553"/>
      <c r="AH131" s="553"/>
      <c r="AI131" s="553"/>
      <c r="AJ131" s="553"/>
      <c r="AK131" s="553"/>
      <c r="AZ131" s="553"/>
      <c r="BA131" s="553"/>
      <c r="BB131" s="553"/>
      <c r="BC131" s="553"/>
      <c r="BD131" s="553"/>
      <c r="BE131" s="553"/>
      <c r="BF131" s="553"/>
      <c r="BG131" s="553"/>
      <c r="BH131" s="553"/>
      <c r="BI131" s="553"/>
      <c r="BJ131" s="553"/>
      <c r="BK131" s="553"/>
      <c r="BL131" s="1126"/>
      <c r="BM131" s="1127"/>
      <c r="BN131" s="1127"/>
      <c r="BO131" s="1127"/>
      <c r="BP131" s="1127"/>
      <c r="BQ131" s="1127"/>
      <c r="BR131" s="1127"/>
      <c r="BS131" s="1127"/>
      <c r="BT131" s="1127"/>
      <c r="BU131" s="1127"/>
      <c r="BV131" s="1127"/>
      <c r="BW131" s="1127"/>
      <c r="BX131" s="1127"/>
      <c r="BY131" s="1127"/>
      <c r="BZ131" s="1127"/>
      <c r="CA131" s="1127"/>
      <c r="CB131" s="1127"/>
      <c r="CC131" s="1127"/>
      <c r="CD131" s="1127"/>
      <c r="CE131" s="1127"/>
      <c r="CF131" s="1127"/>
      <c r="CG131" s="1127"/>
      <c r="CH131" s="1127"/>
      <c r="CI131" s="1127"/>
      <c r="CJ131" s="1127"/>
      <c r="CK131" s="1127"/>
      <c r="CL131" s="1126">
        <f>(CL130-BL130)/BL130</f>
        <v>0.39338210478993774</v>
      </c>
      <c r="CM131" s="1127"/>
      <c r="CN131" s="1127"/>
      <c r="CO131" s="1127"/>
      <c r="CP131" s="1127"/>
      <c r="CQ131" s="1127"/>
      <c r="CR131" s="1127"/>
      <c r="CS131" s="1127"/>
      <c r="CT131" s="1127"/>
      <c r="CU131" s="1127"/>
      <c r="CV131" s="1127"/>
      <c r="CW131" s="1127"/>
      <c r="CX131" s="1127"/>
      <c r="CY131" s="1127"/>
      <c r="CZ131" s="1127"/>
      <c r="DA131" s="1127"/>
      <c r="DB131" s="1127"/>
      <c r="DC131" s="1127"/>
      <c r="DD131" s="1127"/>
      <c r="DE131" s="1127"/>
      <c r="DF131" s="1127"/>
      <c r="DG131" s="1127"/>
      <c r="DH131" s="1127"/>
      <c r="DI131" s="1127"/>
      <c r="DJ131" s="1127"/>
      <c r="DK131" s="1127"/>
      <c r="DL131" s="1126">
        <f>(DL130-CL130)/CL130</f>
        <v>8.0649368557411449E-2</v>
      </c>
      <c r="DM131" s="1127"/>
      <c r="DN131" s="1127"/>
      <c r="DO131" s="1127"/>
      <c r="DP131" s="1127"/>
      <c r="DQ131" s="1127"/>
      <c r="DR131" s="1127"/>
      <c r="DS131" s="1127"/>
      <c r="DT131" s="1127"/>
      <c r="DU131" s="1127"/>
      <c r="DV131" s="1127"/>
      <c r="DW131" s="1127"/>
      <c r="DX131" s="1127"/>
      <c r="DY131" s="1127"/>
      <c r="DZ131" s="1127"/>
      <c r="EA131" s="1127"/>
      <c r="EB131" s="1127"/>
      <c r="EC131" s="1127"/>
      <c r="ED131" s="1127"/>
      <c r="EE131" s="1127"/>
      <c r="EF131" s="1127"/>
      <c r="EG131" s="1127"/>
      <c r="EH131" s="1127"/>
      <c r="EI131" s="1127"/>
      <c r="EJ131" s="1127"/>
      <c r="EK131" s="1127"/>
      <c r="EL131" s="1126">
        <f>(EL130-DL130)/DL130</f>
        <v>9.9525156575015927E-2</v>
      </c>
    </row>
    <row r="132" spans="1:142">
      <c r="Z132" s="1125">
        <f t="shared" ref="Z132:AE132" si="353">Z131-Z130</f>
        <v>0.12724833330139518</v>
      </c>
      <c r="AA132" s="1125">
        <f t="shared" si="353"/>
        <v>0.13008333370089531</v>
      </c>
      <c r="AB132" s="1125">
        <f t="shared" si="353"/>
        <v>0.11949795857071877</v>
      </c>
      <c r="AC132" s="1125">
        <f t="shared" si="353"/>
        <v>-0.39987755101174116</v>
      </c>
      <c r="AD132" s="1125">
        <f t="shared" si="353"/>
        <v>0.37630204111337662</v>
      </c>
      <c r="AE132" s="1125">
        <f t="shared" si="353"/>
        <v>0.20616000052541494</v>
      </c>
      <c r="AF132" s="553"/>
      <c r="AG132" s="553"/>
      <c r="AH132" s="553"/>
      <c r="AI132" s="553"/>
      <c r="AJ132" s="553"/>
      <c r="AK132" s="553"/>
      <c r="AL132" s="553"/>
      <c r="AZ132" s="553"/>
      <c r="BA132" s="553"/>
      <c r="BB132" s="553"/>
      <c r="BC132" s="553"/>
      <c r="BD132" s="553"/>
      <c r="BE132" s="553"/>
      <c r="BF132" s="553"/>
      <c r="BG132" s="553"/>
      <c r="BH132" s="553"/>
      <c r="BI132" s="553"/>
      <c r="BJ132" s="553"/>
      <c r="BK132" s="553"/>
      <c r="BL132" s="1128"/>
      <c r="BZ132" s="553"/>
      <c r="CA132" s="553"/>
      <c r="CB132" s="553"/>
      <c r="CC132" s="553"/>
      <c r="CD132" s="553"/>
      <c r="CE132" s="553"/>
      <c r="CF132" s="553"/>
      <c r="CG132" s="553"/>
      <c r="CH132" s="553"/>
      <c r="CI132" s="553"/>
      <c r="CJ132" s="553"/>
      <c r="CK132" s="553"/>
      <c r="CL132" s="1128"/>
      <c r="CZ132" s="553"/>
      <c r="DA132" s="553"/>
      <c r="DB132" s="553"/>
      <c r="DC132" s="553"/>
      <c r="DD132" s="553"/>
      <c r="DE132" s="553"/>
      <c r="DF132" s="553"/>
      <c r="DG132" s="553"/>
      <c r="DH132" s="553"/>
      <c r="DI132" s="553"/>
      <c r="DJ132" s="553"/>
      <c r="DK132" s="553"/>
      <c r="DL132" s="1128"/>
      <c r="DZ132" s="553"/>
      <c r="EA132" s="553"/>
      <c r="EB132" s="553"/>
      <c r="EC132" s="553"/>
      <c r="ED132" s="553"/>
      <c r="EE132" s="553"/>
      <c r="EF132" s="553"/>
      <c r="EG132" s="553"/>
      <c r="EH132" s="553"/>
      <c r="EI132" s="553"/>
      <c r="EJ132" s="553"/>
      <c r="EK132" s="553"/>
      <c r="EL132" s="1128"/>
    </row>
    <row r="133" spans="1:142" hidden="1">
      <c r="O133" s="553">
        <f>O98*80%</f>
        <v>0</v>
      </c>
      <c r="P133" s="553">
        <f t="shared" ref="P133:X133" si="354">P98*80%</f>
        <v>4656</v>
      </c>
      <c r="Q133" s="553">
        <f t="shared" si="354"/>
        <v>2793.6000000000004</v>
      </c>
      <c r="R133" s="553">
        <f t="shared" si="354"/>
        <v>3724.8</v>
      </c>
      <c r="S133" s="553">
        <f t="shared" si="354"/>
        <v>3724.8</v>
      </c>
      <c r="T133" s="553">
        <f t="shared" si="354"/>
        <v>7449.6</v>
      </c>
      <c r="U133" s="553">
        <f t="shared" si="354"/>
        <v>3724.8</v>
      </c>
      <c r="V133" s="553">
        <f t="shared" si="354"/>
        <v>7449.6</v>
      </c>
      <c r="W133" s="553">
        <f t="shared" si="354"/>
        <v>7449.6</v>
      </c>
      <c r="X133" s="553">
        <f t="shared" si="354"/>
        <v>7449.6</v>
      </c>
      <c r="BO133" s="553">
        <f>BO98*80%</f>
        <v>6400</v>
      </c>
      <c r="BP133" s="553">
        <f t="shared" ref="BP133:BX133" si="355">BP98*80%</f>
        <v>6400</v>
      </c>
      <c r="BQ133" s="553">
        <f t="shared" si="355"/>
        <v>6400</v>
      </c>
      <c r="BR133" s="553">
        <f t="shared" si="355"/>
        <v>6400</v>
      </c>
      <c r="BS133" s="553">
        <f t="shared" si="355"/>
        <v>6400</v>
      </c>
      <c r="BT133" s="553">
        <f t="shared" si="355"/>
        <v>6400</v>
      </c>
      <c r="BU133" s="553">
        <f t="shared" si="355"/>
        <v>6400</v>
      </c>
      <c r="BV133" s="553">
        <f t="shared" si="355"/>
        <v>6400</v>
      </c>
      <c r="BW133" s="553">
        <f t="shared" si="355"/>
        <v>6400</v>
      </c>
      <c r="BX133" s="553">
        <f t="shared" si="355"/>
        <v>6400</v>
      </c>
      <c r="CO133" s="553">
        <f>CO98*80%</f>
        <v>666.66666666666674</v>
      </c>
      <c r="CP133" s="553">
        <f t="shared" ref="CP133:CX133" si="356">CP98*80%</f>
        <v>666.66666666666674</v>
      </c>
      <c r="CQ133" s="553">
        <f t="shared" si="356"/>
        <v>666.66666666666674</v>
      </c>
      <c r="CR133" s="553">
        <f t="shared" si="356"/>
        <v>666.66666666666674</v>
      </c>
      <c r="CS133" s="553">
        <f t="shared" si="356"/>
        <v>666.66666666666674</v>
      </c>
      <c r="CT133" s="553">
        <f t="shared" si="356"/>
        <v>666.66666666666674</v>
      </c>
      <c r="CU133" s="553">
        <f t="shared" si="356"/>
        <v>666.66666666666674</v>
      </c>
      <c r="CV133" s="553">
        <f t="shared" si="356"/>
        <v>666.66666666666674</v>
      </c>
      <c r="CW133" s="553">
        <f t="shared" si="356"/>
        <v>666.66666666666674</v>
      </c>
      <c r="CX133" s="553">
        <f t="shared" si="356"/>
        <v>666.66666666666674</v>
      </c>
      <c r="DO133" s="553">
        <f>DO98*80%</f>
        <v>666.66666666666674</v>
      </c>
      <c r="DP133" s="553">
        <f t="shared" ref="DP133:DX133" si="357">DP98*80%</f>
        <v>666.66666666666674</v>
      </c>
      <c r="DQ133" s="553">
        <f t="shared" si="357"/>
        <v>666.66666666666674</v>
      </c>
      <c r="DR133" s="553">
        <f t="shared" si="357"/>
        <v>666.66666666666674</v>
      </c>
      <c r="DS133" s="553">
        <f t="shared" si="357"/>
        <v>666.66666666666674</v>
      </c>
      <c r="DT133" s="553">
        <f t="shared" si="357"/>
        <v>666.66666666666674</v>
      </c>
      <c r="DU133" s="553">
        <f t="shared" si="357"/>
        <v>666.66666666666674</v>
      </c>
      <c r="DV133" s="553">
        <f t="shared" si="357"/>
        <v>666.66666666666674</v>
      </c>
      <c r="DW133" s="553">
        <f t="shared" si="357"/>
        <v>666.66666666666674</v>
      </c>
      <c r="DX133" s="553">
        <f t="shared" si="357"/>
        <v>666.66666666666674</v>
      </c>
    </row>
    <row r="134" spans="1:142" hidden="1">
      <c r="O134" s="553">
        <f t="shared" ref="O134:X149" si="358">O99*80%</f>
        <v>61440</v>
      </c>
      <c r="P134" s="553">
        <f t="shared" si="358"/>
        <v>41472</v>
      </c>
      <c r="Q134" s="553">
        <f t="shared" si="358"/>
        <v>38400</v>
      </c>
      <c r="R134" s="553">
        <f t="shared" si="358"/>
        <v>49088</v>
      </c>
      <c r="S134" s="553">
        <f t="shared" si="358"/>
        <v>21504</v>
      </c>
      <c r="T134" s="553">
        <f t="shared" si="358"/>
        <v>38400</v>
      </c>
      <c r="U134" s="553">
        <f t="shared" si="358"/>
        <v>49088</v>
      </c>
      <c r="V134" s="553">
        <f t="shared" si="358"/>
        <v>49088</v>
      </c>
      <c r="W134" s="553">
        <f t="shared" si="358"/>
        <v>38400</v>
      </c>
      <c r="X134" s="553">
        <f t="shared" si="358"/>
        <v>49088</v>
      </c>
      <c r="BO134" s="553">
        <f t="shared" ref="BO134:BX149" si="359">BO99*80%</f>
        <v>27353.133333333331</v>
      </c>
      <c r="BP134" s="553">
        <f t="shared" si="359"/>
        <v>27353.133333333331</v>
      </c>
      <c r="BQ134" s="553">
        <f t="shared" si="359"/>
        <v>27353.133333333331</v>
      </c>
      <c r="BR134" s="553">
        <f t="shared" si="359"/>
        <v>27353.133333333331</v>
      </c>
      <c r="BS134" s="553">
        <f t="shared" si="359"/>
        <v>27353.133333333331</v>
      </c>
      <c r="BT134" s="553">
        <f t="shared" si="359"/>
        <v>27353.133333333331</v>
      </c>
      <c r="BU134" s="553">
        <f t="shared" si="359"/>
        <v>27353.133333333331</v>
      </c>
      <c r="BV134" s="553">
        <f t="shared" si="359"/>
        <v>27353.133333333331</v>
      </c>
      <c r="BW134" s="553">
        <f t="shared" si="359"/>
        <v>27353.133333333331</v>
      </c>
      <c r="BX134" s="553">
        <f t="shared" si="359"/>
        <v>27353.133333333331</v>
      </c>
      <c r="CO134" s="553">
        <f t="shared" ref="CO134:CX149" si="360">CO99*80%</f>
        <v>23661.333333333336</v>
      </c>
      <c r="CP134" s="553">
        <f t="shared" si="360"/>
        <v>23661.333333333336</v>
      </c>
      <c r="CQ134" s="553">
        <f t="shared" si="360"/>
        <v>23661.333333333336</v>
      </c>
      <c r="CR134" s="553">
        <f t="shared" si="360"/>
        <v>23661.333333333336</v>
      </c>
      <c r="CS134" s="553">
        <f t="shared" si="360"/>
        <v>23661.333333333336</v>
      </c>
      <c r="CT134" s="553">
        <f t="shared" si="360"/>
        <v>23661.333333333336</v>
      </c>
      <c r="CU134" s="553">
        <f t="shared" si="360"/>
        <v>23661.333333333336</v>
      </c>
      <c r="CV134" s="553">
        <f t="shared" si="360"/>
        <v>23661.333333333336</v>
      </c>
      <c r="CW134" s="553">
        <f t="shared" si="360"/>
        <v>23661.333333333336</v>
      </c>
      <c r="CX134" s="553">
        <f t="shared" si="360"/>
        <v>23661.333333333336</v>
      </c>
      <c r="DO134" s="553">
        <f t="shared" ref="DO134:DX149" si="361">DO99*80%</f>
        <v>14994.933333333334</v>
      </c>
      <c r="DP134" s="553">
        <f t="shared" si="361"/>
        <v>14994.933333333334</v>
      </c>
      <c r="DQ134" s="553">
        <f t="shared" si="361"/>
        <v>14994.933333333334</v>
      </c>
      <c r="DR134" s="553">
        <f t="shared" si="361"/>
        <v>14994.933333333334</v>
      </c>
      <c r="DS134" s="553">
        <f t="shared" si="361"/>
        <v>14994.933333333334</v>
      </c>
      <c r="DT134" s="553">
        <f t="shared" si="361"/>
        <v>14994.933333333334</v>
      </c>
      <c r="DU134" s="553">
        <f t="shared" si="361"/>
        <v>14994.933333333334</v>
      </c>
      <c r="DV134" s="553">
        <f t="shared" si="361"/>
        <v>14994.933333333334</v>
      </c>
      <c r="DW134" s="553">
        <f t="shared" si="361"/>
        <v>14994.933333333334</v>
      </c>
      <c r="DX134" s="553">
        <f t="shared" si="361"/>
        <v>14994.933333333334</v>
      </c>
    </row>
    <row r="135" spans="1:142" hidden="1">
      <c r="O135" s="553">
        <f t="shared" si="358"/>
        <v>52224</v>
      </c>
      <c r="P135" s="553">
        <f t="shared" si="358"/>
        <v>73728</v>
      </c>
      <c r="Q135" s="553">
        <f t="shared" si="358"/>
        <v>5504</v>
      </c>
      <c r="R135" s="553">
        <f t="shared" si="358"/>
        <v>58368</v>
      </c>
      <c r="S135" s="553">
        <f t="shared" si="358"/>
        <v>30720</v>
      </c>
      <c r="T135" s="553">
        <f t="shared" si="358"/>
        <v>38400</v>
      </c>
      <c r="U135" s="553">
        <f t="shared" si="358"/>
        <v>49088</v>
      </c>
      <c r="V135" s="553">
        <f t="shared" si="358"/>
        <v>49088</v>
      </c>
      <c r="W135" s="553">
        <f t="shared" si="358"/>
        <v>49088</v>
      </c>
      <c r="X135" s="553">
        <f t="shared" si="358"/>
        <v>58368</v>
      </c>
      <c r="BO135" s="553">
        <f t="shared" si="359"/>
        <v>27353.133333333331</v>
      </c>
      <c r="BP135" s="553">
        <f t="shared" si="359"/>
        <v>27353.133333333331</v>
      </c>
      <c r="BQ135" s="553">
        <f t="shared" si="359"/>
        <v>27353.133333333331</v>
      </c>
      <c r="BR135" s="553">
        <f t="shared" si="359"/>
        <v>27353.133333333331</v>
      </c>
      <c r="BS135" s="553">
        <f t="shared" si="359"/>
        <v>27353.133333333331</v>
      </c>
      <c r="BT135" s="553">
        <f t="shared" si="359"/>
        <v>27353.133333333331</v>
      </c>
      <c r="BU135" s="553">
        <f t="shared" si="359"/>
        <v>27353.133333333331</v>
      </c>
      <c r="BV135" s="553">
        <f t="shared" si="359"/>
        <v>27353.133333333331</v>
      </c>
      <c r="BW135" s="553">
        <f t="shared" si="359"/>
        <v>27353.133333333331</v>
      </c>
      <c r="BX135" s="553">
        <f t="shared" si="359"/>
        <v>27353.133333333331</v>
      </c>
      <c r="CO135" s="553">
        <f t="shared" si="360"/>
        <v>23661.333333333336</v>
      </c>
      <c r="CP135" s="553">
        <f t="shared" si="360"/>
        <v>23661.333333333336</v>
      </c>
      <c r="CQ135" s="553">
        <f t="shared" si="360"/>
        <v>23661.333333333336</v>
      </c>
      <c r="CR135" s="553">
        <f t="shared" si="360"/>
        <v>23661.333333333336</v>
      </c>
      <c r="CS135" s="553">
        <f t="shared" si="360"/>
        <v>23661.333333333336</v>
      </c>
      <c r="CT135" s="553">
        <f t="shared" si="360"/>
        <v>23661.333333333336</v>
      </c>
      <c r="CU135" s="553">
        <f t="shared" si="360"/>
        <v>23661.333333333336</v>
      </c>
      <c r="CV135" s="553">
        <f t="shared" si="360"/>
        <v>23661.333333333336</v>
      </c>
      <c r="CW135" s="553">
        <f t="shared" si="360"/>
        <v>23661.333333333336</v>
      </c>
      <c r="CX135" s="553">
        <f t="shared" si="360"/>
        <v>23661.333333333336</v>
      </c>
      <c r="DO135" s="553">
        <f t="shared" si="361"/>
        <v>14994.933333333334</v>
      </c>
      <c r="DP135" s="553">
        <f t="shared" si="361"/>
        <v>14994.933333333334</v>
      </c>
      <c r="DQ135" s="553">
        <f t="shared" si="361"/>
        <v>14994.933333333334</v>
      </c>
      <c r="DR135" s="553">
        <f t="shared" si="361"/>
        <v>14994.933333333334</v>
      </c>
      <c r="DS135" s="553">
        <f t="shared" si="361"/>
        <v>14994.933333333334</v>
      </c>
      <c r="DT135" s="553">
        <f t="shared" si="361"/>
        <v>14994.933333333334</v>
      </c>
      <c r="DU135" s="553">
        <f t="shared" si="361"/>
        <v>14994.933333333334</v>
      </c>
      <c r="DV135" s="553">
        <f t="shared" si="361"/>
        <v>14994.933333333334</v>
      </c>
      <c r="DW135" s="553">
        <f t="shared" si="361"/>
        <v>14994.933333333334</v>
      </c>
      <c r="DX135" s="553">
        <f t="shared" si="361"/>
        <v>14994.933333333334</v>
      </c>
    </row>
    <row r="136" spans="1:142" hidden="1">
      <c r="O136" s="553">
        <f t="shared" si="358"/>
        <v>103219.20000000001</v>
      </c>
      <c r="P136" s="553">
        <f t="shared" si="358"/>
        <v>51616</v>
      </c>
      <c r="Q136" s="553">
        <f t="shared" si="358"/>
        <v>19353.600000000002</v>
      </c>
      <c r="R136" s="553">
        <f t="shared" si="358"/>
        <v>51609.600000000006</v>
      </c>
      <c r="S136" s="553">
        <f t="shared" si="358"/>
        <v>103219.20000000001</v>
      </c>
      <c r="T136" s="553">
        <f t="shared" si="358"/>
        <v>103219.20000000001</v>
      </c>
      <c r="U136" s="553">
        <f t="shared" si="358"/>
        <v>103219.20000000001</v>
      </c>
      <c r="V136" s="553">
        <f t="shared" si="358"/>
        <v>103219.20000000001</v>
      </c>
      <c r="W136" s="553">
        <f t="shared" si="358"/>
        <v>103219.20000000001</v>
      </c>
      <c r="X136" s="553">
        <f t="shared" si="358"/>
        <v>86016</v>
      </c>
      <c r="BO136" s="553">
        <f t="shared" si="359"/>
        <v>27353.133333333331</v>
      </c>
      <c r="BP136" s="553">
        <f t="shared" si="359"/>
        <v>27353.133333333331</v>
      </c>
      <c r="BQ136" s="553">
        <f t="shared" si="359"/>
        <v>27353.133333333331</v>
      </c>
      <c r="BR136" s="553">
        <f t="shared" si="359"/>
        <v>27353.133333333331</v>
      </c>
      <c r="BS136" s="553">
        <f t="shared" si="359"/>
        <v>27353.133333333331</v>
      </c>
      <c r="BT136" s="553">
        <f t="shared" si="359"/>
        <v>27353.133333333331</v>
      </c>
      <c r="BU136" s="553">
        <f t="shared" si="359"/>
        <v>27353.133333333331</v>
      </c>
      <c r="BV136" s="553">
        <f t="shared" si="359"/>
        <v>27353.133333333331</v>
      </c>
      <c r="BW136" s="553">
        <f t="shared" si="359"/>
        <v>27353.133333333331</v>
      </c>
      <c r="BX136" s="553">
        <f t="shared" si="359"/>
        <v>27353.133333333331</v>
      </c>
      <c r="CO136" s="553">
        <f t="shared" si="360"/>
        <v>23661.333333333336</v>
      </c>
      <c r="CP136" s="553">
        <f t="shared" si="360"/>
        <v>23661.333333333336</v>
      </c>
      <c r="CQ136" s="553">
        <f t="shared" si="360"/>
        <v>23661.333333333336</v>
      </c>
      <c r="CR136" s="553">
        <f t="shared" si="360"/>
        <v>23661.333333333336</v>
      </c>
      <c r="CS136" s="553">
        <f t="shared" si="360"/>
        <v>23661.333333333336</v>
      </c>
      <c r="CT136" s="553">
        <f t="shared" si="360"/>
        <v>23661.333333333336</v>
      </c>
      <c r="CU136" s="553">
        <f t="shared" si="360"/>
        <v>23661.333333333336</v>
      </c>
      <c r="CV136" s="553">
        <f t="shared" si="360"/>
        <v>23661.333333333336</v>
      </c>
      <c r="CW136" s="553">
        <f t="shared" si="360"/>
        <v>23661.333333333336</v>
      </c>
      <c r="CX136" s="553">
        <f t="shared" si="360"/>
        <v>23661.333333333336</v>
      </c>
      <c r="DO136" s="553">
        <f t="shared" si="361"/>
        <v>14994.933333333334</v>
      </c>
      <c r="DP136" s="553">
        <f t="shared" si="361"/>
        <v>14994.933333333334</v>
      </c>
      <c r="DQ136" s="553">
        <f t="shared" si="361"/>
        <v>14994.933333333334</v>
      </c>
      <c r="DR136" s="553">
        <f t="shared" si="361"/>
        <v>14994.933333333334</v>
      </c>
      <c r="DS136" s="553">
        <f t="shared" si="361"/>
        <v>14994.933333333334</v>
      </c>
      <c r="DT136" s="553">
        <f t="shared" si="361"/>
        <v>14994.933333333334</v>
      </c>
      <c r="DU136" s="553">
        <f t="shared" si="361"/>
        <v>14994.933333333334</v>
      </c>
      <c r="DV136" s="553">
        <f t="shared" si="361"/>
        <v>14994.933333333334</v>
      </c>
      <c r="DW136" s="553">
        <f t="shared" si="361"/>
        <v>14994.933333333334</v>
      </c>
      <c r="DX136" s="553">
        <f t="shared" si="361"/>
        <v>14994.933333333334</v>
      </c>
    </row>
    <row r="137" spans="1:142" hidden="1">
      <c r="A137" s="860"/>
      <c r="D137" s="860"/>
      <c r="E137" s="860"/>
      <c r="F137" s="860"/>
      <c r="G137" s="860"/>
      <c r="H137" s="860"/>
      <c r="I137" s="860"/>
      <c r="J137" s="860"/>
      <c r="K137" s="860"/>
      <c r="L137" s="860"/>
      <c r="O137" s="553">
        <f t="shared" si="358"/>
        <v>24000</v>
      </c>
      <c r="P137" s="553">
        <f t="shared" si="358"/>
        <v>23200</v>
      </c>
      <c r="Q137" s="553">
        <f t="shared" si="358"/>
        <v>7840</v>
      </c>
      <c r="R137" s="553">
        <f t="shared" si="358"/>
        <v>0</v>
      </c>
      <c r="S137" s="553">
        <f t="shared" si="358"/>
        <v>640</v>
      </c>
      <c r="T137" s="553">
        <f t="shared" si="358"/>
        <v>8000</v>
      </c>
      <c r="U137" s="553">
        <f t="shared" si="358"/>
        <v>10400</v>
      </c>
      <c r="V137" s="553">
        <f t="shared" si="358"/>
        <v>9600</v>
      </c>
      <c r="W137" s="553">
        <f t="shared" si="358"/>
        <v>7200</v>
      </c>
      <c r="X137" s="553">
        <f t="shared" si="358"/>
        <v>13600</v>
      </c>
      <c r="AL137" s="860"/>
      <c r="BL137" s="860"/>
      <c r="BO137" s="553">
        <f t="shared" si="359"/>
        <v>12800</v>
      </c>
      <c r="BP137" s="553">
        <f t="shared" si="359"/>
        <v>16000</v>
      </c>
      <c r="BQ137" s="553">
        <f t="shared" si="359"/>
        <v>16000</v>
      </c>
      <c r="BR137" s="553">
        <f t="shared" si="359"/>
        <v>16000</v>
      </c>
      <c r="BS137" s="553">
        <f t="shared" si="359"/>
        <v>16000</v>
      </c>
      <c r="BT137" s="553">
        <f t="shared" si="359"/>
        <v>16000</v>
      </c>
      <c r="BU137" s="553">
        <f t="shared" si="359"/>
        <v>16000</v>
      </c>
      <c r="BV137" s="553">
        <f t="shared" si="359"/>
        <v>16000</v>
      </c>
      <c r="BW137" s="553">
        <f t="shared" si="359"/>
        <v>16000</v>
      </c>
      <c r="BX137" s="553">
        <f t="shared" si="359"/>
        <v>16000</v>
      </c>
      <c r="CL137" s="860"/>
      <c r="CO137" s="553">
        <f t="shared" si="360"/>
        <v>0</v>
      </c>
      <c r="CP137" s="553">
        <f t="shared" si="360"/>
        <v>0</v>
      </c>
      <c r="CQ137" s="553">
        <f t="shared" si="360"/>
        <v>0</v>
      </c>
      <c r="CR137" s="553">
        <f t="shared" si="360"/>
        <v>0</v>
      </c>
      <c r="CS137" s="553">
        <f t="shared" si="360"/>
        <v>0</v>
      </c>
      <c r="CT137" s="553">
        <f t="shared" si="360"/>
        <v>0</v>
      </c>
      <c r="CU137" s="553">
        <f t="shared" si="360"/>
        <v>0</v>
      </c>
      <c r="CV137" s="553">
        <f t="shared" si="360"/>
        <v>0</v>
      </c>
      <c r="CW137" s="553">
        <f t="shared" si="360"/>
        <v>0</v>
      </c>
      <c r="CX137" s="553">
        <f t="shared" si="360"/>
        <v>0</v>
      </c>
      <c r="DL137" s="860"/>
      <c r="DO137" s="553">
        <f t="shared" si="361"/>
        <v>0</v>
      </c>
      <c r="DP137" s="553">
        <f t="shared" si="361"/>
        <v>0</v>
      </c>
      <c r="DQ137" s="553">
        <f t="shared" si="361"/>
        <v>0</v>
      </c>
      <c r="DR137" s="553">
        <f t="shared" si="361"/>
        <v>0</v>
      </c>
      <c r="DS137" s="553">
        <f t="shared" si="361"/>
        <v>0</v>
      </c>
      <c r="DT137" s="553">
        <f t="shared" si="361"/>
        <v>0</v>
      </c>
      <c r="DU137" s="553">
        <f t="shared" si="361"/>
        <v>0</v>
      </c>
      <c r="DV137" s="553">
        <f t="shared" si="361"/>
        <v>0</v>
      </c>
      <c r="DW137" s="553">
        <f t="shared" si="361"/>
        <v>0</v>
      </c>
      <c r="DX137" s="553">
        <f t="shared" si="361"/>
        <v>0</v>
      </c>
      <c r="EL137" s="860"/>
    </row>
    <row r="138" spans="1:142" hidden="1">
      <c r="A138" s="860"/>
      <c r="D138" s="860"/>
      <c r="E138" s="860"/>
      <c r="F138" s="860"/>
      <c r="G138" s="860"/>
      <c r="H138" s="860"/>
      <c r="I138" s="860"/>
      <c r="J138" s="860"/>
      <c r="K138" s="860"/>
      <c r="L138" s="860"/>
      <c r="O138" s="553">
        <f t="shared" si="358"/>
        <v>800</v>
      </c>
      <c r="P138" s="553">
        <f t="shared" si="358"/>
        <v>4000</v>
      </c>
      <c r="Q138" s="553">
        <f t="shared" si="358"/>
        <v>800</v>
      </c>
      <c r="R138" s="553">
        <f t="shared" si="358"/>
        <v>0</v>
      </c>
      <c r="S138" s="553">
        <f t="shared" si="358"/>
        <v>0</v>
      </c>
      <c r="T138" s="553">
        <f t="shared" si="358"/>
        <v>0</v>
      </c>
      <c r="U138" s="553">
        <f t="shared" si="358"/>
        <v>3200</v>
      </c>
      <c r="V138" s="553">
        <f t="shared" si="358"/>
        <v>3200</v>
      </c>
      <c r="W138" s="553">
        <f t="shared" si="358"/>
        <v>2400</v>
      </c>
      <c r="X138" s="553">
        <f t="shared" si="358"/>
        <v>5600</v>
      </c>
      <c r="AL138" s="860"/>
      <c r="BL138" s="860"/>
      <c r="BO138" s="553">
        <f t="shared" si="359"/>
        <v>101853.73333333334</v>
      </c>
      <c r="BP138" s="553">
        <f t="shared" si="359"/>
        <v>101853.73333333334</v>
      </c>
      <c r="BQ138" s="553">
        <f t="shared" si="359"/>
        <v>101853.73333333334</v>
      </c>
      <c r="BR138" s="553">
        <f t="shared" si="359"/>
        <v>101853.73333333334</v>
      </c>
      <c r="BS138" s="553">
        <f t="shared" si="359"/>
        <v>101853.73333333334</v>
      </c>
      <c r="BT138" s="553">
        <f t="shared" si="359"/>
        <v>101853.73333333334</v>
      </c>
      <c r="BU138" s="553">
        <f t="shared" si="359"/>
        <v>101853.73333333334</v>
      </c>
      <c r="BV138" s="553">
        <f t="shared" si="359"/>
        <v>101853.73333333334</v>
      </c>
      <c r="BW138" s="553">
        <f t="shared" si="359"/>
        <v>101853.73333333334</v>
      </c>
      <c r="BX138" s="553">
        <f t="shared" si="359"/>
        <v>101853.73333333334</v>
      </c>
      <c r="CL138" s="860"/>
      <c r="CO138" s="553">
        <f t="shared" si="360"/>
        <v>0</v>
      </c>
      <c r="CP138" s="553">
        <f t="shared" si="360"/>
        <v>0</v>
      </c>
      <c r="CQ138" s="553">
        <f t="shared" si="360"/>
        <v>0</v>
      </c>
      <c r="CR138" s="553">
        <f t="shared" si="360"/>
        <v>0</v>
      </c>
      <c r="CS138" s="553">
        <f t="shared" si="360"/>
        <v>0</v>
      </c>
      <c r="CT138" s="553">
        <f t="shared" si="360"/>
        <v>0</v>
      </c>
      <c r="CU138" s="553">
        <f t="shared" si="360"/>
        <v>0</v>
      </c>
      <c r="CV138" s="553">
        <f t="shared" si="360"/>
        <v>0</v>
      </c>
      <c r="CW138" s="553">
        <f t="shared" si="360"/>
        <v>0</v>
      </c>
      <c r="CX138" s="553">
        <f t="shared" si="360"/>
        <v>0</v>
      </c>
      <c r="DL138" s="860"/>
      <c r="DO138" s="553">
        <f t="shared" si="361"/>
        <v>0</v>
      </c>
      <c r="DP138" s="553">
        <f t="shared" si="361"/>
        <v>0</v>
      </c>
      <c r="DQ138" s="553">
        <f t="shared" si="361"/>
        <v>0</v>
      </c>
      <c r="DR138" s="553">
        <f t="shared" si="361"/>
        <v>0</v>
      </c>
      <c r="DS138" s="553">
        <f t="shared" si="361"/>
        <v>0</v>
      </c>
      <c r="DT138" s="553">
        <f t="shared" si="361"/>
        <v>0</v>
      </c>
      <c r="DU138" s="553">
        <f t="shared" si="361"/>
        <v>0</v>
      </c>
      <c r="DV138" s="553">
        <f t="shared" si="361"/>
        <v>0</v>
      </c>
      <c r="DW138" s="553">
        <f t="shared" si="361"/>
        <v>0</v>
      </c>
      <c r="DX138" s="553">
        <f t="shared" si="361"/>
        <v>0</v>
      </c>
      <c r="EL138" s="860"/>
    </row>
    <row r="139" spans="1:142" hidden="1">
      <c r="A139" s="860"/>
      <c r="D139" s="860"/>
      <c r="E139" s="860"/>
      <c r="F139" s="860"/>
      <c r="G139" s="860"/>
      <c r="H139" s="860"/>
      <c r="I139" s="860"/>
      <c r="J139" s="860"/>
      <c r="K139" s="860"/>
      <c r="L139" s="860"/>
      <c r="O139" s="553">
        <f t="shared" si="358"/>
        <v>800</v>
      </c>
      <c r="P139" s="553">
        <f t="shared" si="358"/>
        <v>4000</v>
      </c>
      <c r="Q139" s="553">
        <f t="shared" si="358"/>
        <v>800</v>
      </c>
      <c r="R139" s="553">
        <f t="shared" si="358"/>
        <v>0</v>
      </c>
      <c r="S139" s="553">
        <f t="shared" si="358"/>
        <v>0</v>
      </c>
      <c r="T139" s="553">
        <f t="shared" si="358"/>
        <v>0</v>
      </c>
      <c r="U139" s="553">
        <f t="shared" si="358"/>
        <v>3200</v>
      </c>
      <c r="V139" s="553">
        <f t="shared" si="358"/>
        <v>3200</v>
      </c>
      <c r="W139" s="553">
        <f t="shared" si="358"/>
        <v>2400</v>
      </c>
      <c r="X139" s="553">
        <f t="shared" si="358"/>
        <v>5600</v>
      </c>
      <c r="AL139" s="860"/>
      <c r="BL139" s="860"/>
      <c r="BO139" s="553">
        <f t="shared" si="359"/>
        <v>101853.73333333334</v>
      </c>
      <c r="BP139" s="553">
        <f t="shared" si="359"/>
        <v>101853.73333333334</v>
      </c>
      <c r="BQ139" s="553">
        <f t="shared" si="359"/>
        <v>101853.73333333334</v>
      </c>
      <c r="BR139" s="553">
        <f t="shared" si="359"/>
        <v>101853.73333333334</v>
      </c>
      <c r="BS139" s="553">
        <f t="shared" si="359"/>
        <v>101853.73333333334</v>
      </c>
      <c r="BT139" s="553">
        <f t="shared" si="359"/>
        <v>101853.73333333334</v>
      </c>
      <c r="BU139" s="553">
        <f t="shared" si="359"/>
        <v>101853.73333333334</v>
      </c>
      <c r="BV139" s="553">
        <f t="shared" si="359"/>
        <v>101853.73333333334</v>
      </c>
      <c r="BW139" s="553">
        <f t="shared" si="359"/>
        <v>101853.73333333334</v>
      </c>
      <c r="BX139" s="553">
        <f t="shared" si="359"/>
        <v>101853.73333333334</v>
      </c>
      <c r="CL139" s="860"/>
      <c r="CO139" s="553">
        <f t="shared" si="360"/>
        <v>0</v>
      </c>
      <c r="CP139" s="553">
        <f t="shared" si="360"/>
        <v>0</v>
      </c>
      <c r="CQ139" s="553">
        <f t="shared" si="360"/>
        <v>0</v>
      </c>
      <c r="CR139" s="553">
        <f t="shared" si="360"/>
        <v>0</v>
      </c>
      <c r="CS139" s="553">
        <f t="shared" si="360"/>
        <v>0</v>
      </c>
      <c r="CT139" s="553">
        <f t="shared" si="360"/>
        <v>0</v>
      </c>
      <c r="CU139" s="553">
        <f t="shared" si="360"/>
        <v>0</v>
      </c>
      <c r="CV139" s="553">
        <f t="shared" si="360"/>
        <v>0</v>
      </c>
      <c r="CW139" s="553">
        <f t="shared" si="360"/>
        <v>0</v>
      </c>
      <c r="CX139" s="553">
        <f t="shared" si="360"/>
        <v>0</v>
      </c>
      <c r="DL139" s="860"/>
      <c r="DO139" s="553">
        <f t="shared" si="361"/>
        <v>0</v>
      </c>
      <c r="DP139" s="553">
        <f t="shared" si="361"/>
        <v>0</v>
      </c>
      <c r="DQ139" s="553">
        <f t="shared" si="361"/>
        <v>0</v>
      </c>
      <c r="DR139" s="553">
        <f t="shared" si="361"/>
        <v>0</v>
      </c>
      <c r="DS139" s="553">
        <f t="shared" si="361"/>
        <v>0</v>
      </c>
      <c r="DT139" s="553">
        <f t="shared" si="361"/>
        <v>0</v>
      </c>
      <c r="DU139" s="553">
        <f t="shared" si="361"/>
        <v>0</v>
      </c>
      <c r="DV139" s="553">
        <f t="shared" si="361"/>
        <v>0</v>
      </c>
      <c r="DW139" s="553">
        <f t="shared" si="361"/>
        <v>0</v>
      </c>
      <c r="DX139" s="553">
        <f t="shared" si="361"/>
        <v>0</v>
      </c>
      <c r="EL139" s="860"/>
    </row>
    <row r="140" spans="1:142" hidden="1">
      <c r="A140" s="860"/>
      <c r="D140" s="860"/>
      <c r="E140" s="860"/>
      <c r="F140" s="860"/>
      <c r="G140" s="860"/>
      <c r="H140" s="860"/>
      <c r="I140" s="860"/>
      <c r="J140" s="860"/>
      <c r="K140" s="860"/>
      <c r="L140" s="860"/>
      <c r="O140" s="553">
        <f t="shared" si="358"/>
        <v>37221.599999999999</v>
      </c>
      <c r="P140" s="553">
        <f t="shared" si="358"/>
        <v>50192</v>
      </c>
      <c r="Q140" s="553">
        <f t="shared" si="358"/>
        <v>52000</v>
      </c>
      <c r="R140" s="553">
        <f t="shared" si="358"/>
        <v>24000</v>
      </c>
      <c r="S140" s="553">
        <f t="shared" si="358"/>
        <v>48000</v>
      </c>
      <c r="T140" s="553">
        <f t="shared" si="358"/>
        <v>48000</v>
      </c>
      <c r="U140" s="553">
        <f t="shared" si="358"/>
        <v>24000</v>
      </c>
      <c r="V140" s="553">
        <f t="shared" si="358"/>
        <v>36000</v>
      </c>
      <c r="W140" s="553">
        <f t="shared" si="358"/>
        <v>41600</v>
      </c>
      <c r="X140" s="553">
        <f t="shared" si="358"/>
        <v>37600</v>
      </c>
      <c r="AL140" s="860"/>
      <c r="BL140" s="860"/>
      <c r="BO140" s="553">
        <f t="shared" si="359"/>
        <v>40032.200000000004</v>
      </c>
      <c r="BP140" s="553">
        <f t="shared" si="359"/>
        <v>40032.200000000004</v>
      </c>
      <c r="BQ140" s="553">
        <f t="shared" si="359"/>
        <v>40032.200000000004</v>
      </c>
      <c r="BR140" s="553">
        <f t="shared" si="359"/>
        <v>40032.200000000004</v>
      </c>
      <c r="BS140" s="553">
        <f t="shared" si="359"/>
        <v>40032.200000000004</v>
      </c>
      <c r="BT140" s="553">
        <f t="shared" si="359"/>
        <v>40032.200000000004</v>
      </c>
      <c r="BU140" s="553">
        <f t="shared" si="359"/>
        <v>40032.200000000004</v>
      </c>
      <c r="BV140" s="553">
        <f t="shared" si="359"/>
        <v>40032.200000000004</v>
      </c>
      <c r="BW140" s="553">
        <f t="shared" si="359"/>
        <v>40032.200000000004</v>
      </c>
      <c r="BX140" s="553">
        <f t="shared" si="359"/>
        <v>40032.200000000004</v>
      </c>
      <c r="CL140" s="860"/>
      <c r="CO140" s="553">
        <f t="shared" si="360"/>
        <v>0</v>
      </c>
      <c r="CP140" s="553">
        <f t="shared" si="360"/>
        <v>0</v>
      </c>
      <c r="CQ140" s="553">
        <f t="shared" si="360"/>
        <v>0</v>
      </c>
      <c r="CR140" s="553">
        <f t="shared" si="360"/>
        <v>0</v>
      </c>
      <c r="CS140" s="553">
        <f t="shared" si="360"/>
        <v>0</v>
      </c>
      <c r="CT140" s="553">
        <f t="shared" si="360"/>
        <v>0</v>
      </c>
      <c r="CU140" s="553">
        <f t="shared" si="360"/>
        <v>0</v>
      </c>
      <c r="CV140" s="553">
        <f t="shared" si="360"/>
        <v>0</v>
      </c>
      <c r="CW140" s="553">
        <f t="shared" si="360"/>
        <v>0</v>
      </c>
      <c r="CX140" s="553">
        <f t="shared" si="360"/>
        <v>0</v>
      </c>
      <c r="DL140" s="860"/>
      <c r="DO140" s="553">
        <f t="shared" si="361"/>
        <v>0</v>
      </c>
      <c r="DP140" s="553">
        <f t="shared" si="361"/>
        <v>0</v>
      </c>
      <c r="DQ140" s="553">
        <f t="shared" si="361"/>
        <v>0</v>
      </c>
      <c r="DR140" s="553">
        <f t="shared" si="361"/>
        <v>0</v>
      </c>
      <c r="DS140" s="553">
        <f t="shared" si="361"/>
        <v>0</v>
      </c>
      <c r="DT140" s="553">
        <f t="shared" si="361"/>
        <v>0</v>
      </c>
      <c r="DU140" s="553">
        <f t="shared" si="361"/>
        <v>0</v>
      </c>
      <c r="DV140" s="553">
        <f t="shared" si="361"/>
        <v>0</v>
      </c>
      <c r="DW140" s="553">
        <f t="shared" si="361"/>
        <v>0</v>
      </c>
      <c r="DX140" s="553">
        <f t="shared" si="361"/>
        <v>0</v>
      </c>
      <c r="EL140" s="860"/>
    </row>
    <row r="141" spans="1:142" hidden="1">
      <c r="A141" s="860"/>
      <c r="D141" s="860"/>
      <c r="E141" s="860"/>
      <c r="F141" s="860"/>
      <c r="G141" s="860"/>
      <c r="H141" s="860"/>
      <c r="I141" s="860"/>
      <c r="J141" s="860"/>
      <c r="K141" s="860"/>
      <c r="L141" s="860"/>
      <c r="O141" s="553">
        <f t="shared" si="358"/>
        <v>37221.599999999999</v>
      </c>
      <c r="P141" s="553">
        <f t="shared" si="358"/>
        <v>50192</v>
      </c>
      <c r="Q141" s="553">
        <f t="shared" si="358"/>
        <v>60000</v>
      </c>
      <c r="R141" s="553">
        <f t="shared" si="358"/>
        <v>24000</v>
      </c>
      <c r="S141" s="553">
        <f t="shared" si="358"/>
        <v>48000</v>
      </c>
      <c r="T141" s="553">
        <f t="shared" si="358"/>
        <v>48000</v>
      </c>
      <c r="U141" s="553">
        <f t="shared" si="358"/>
        <v>24000</v>
      </c>
      <c r="V141" s="553">
        <f t="shared" si="358"/>
        <v>36000</v>
      </c>
      <c r="W141" s="553">
        <f t="shared" si="358"/>
        <v>41600</v>
      </c>
      <c r="X141" s="553">
        <f t="shared" si="358"/>
        <v>37600</v>
      </c>
      <c r="AL141" s="860"/>
      <c r="BL141" s="860"/>
      <c r="BO141" s="553">
        <f t="shared" si="359"/>
        <v>40032.200000000004</v>
      </c>
      <c r="BP141" s="553">
        <f t="shared" si="359"/>
        <v>40032.200000000004</v>
      </c>
      <c r="BQ141" s="553">
        <f t="shared" si="359"/>
        <v>40032.200000000004</v>
      </c>
      <c r="BR141" s="553">
        <f t="shared" si="359"/>
        <v>40032.200000000004</v>
      </c>
      <c r="BS141" s="553">
        <f t="shared" si="359"/>
        <v>40032.200000000004</v>
      </c>
      <c r="BT141" s="553">
        <f t="shared" si="359"/>
        <v>40032.200000000004</v>
      </c>
      <c r="BU141" s="553">
        <f t="shared" si="359"/>
        <v>40032.200000000004</v>
      </c>
      <c r="BV141" s="553">
        <f t="shared" si="359"/>
        <v>40032.200000000004</v>
      </c>
      <c r="BW141" s="553">
        <f t="shared" si="359"/>
        <v>40032.200000000004</v>
      </c>
      <c r="BX141" s="553">
        <f t="shared" si="359"/>
        <v>40032.200000000004</v>
      </c>
      <c r="CL141" s="860"/>
      <c r="CO141" s="553">
        <f t="shared" si="360"/>
        <v>0</v>
      </c>
      <c r="CP141" s="553">
        <f t="shared" si="360"/>
        <v>0</v>
      </c>
      <c r="CQ141" s="553">
        <f t="shared" si="360"/>
        <v>0</v>
      </c>
      <c r="CR141" s="553">
        <f t="shared" si="360"/>
        <v>0</v>
      </c>
      <c r="CS141" s="553">
        <f t="shared" si="360"/>
        <v>0</v>
      </c>
      <c r="CT141" s="553">
        <f t="shared" si="360"/>
        <v>0</v>
      </c>
      <c r="CU141" s="553">
        <f t="shared" si="360"/>
        <v>0</v>
      </c>
      <c r="CV141" s="553">
        <f t="shared" si="360"/>
        <v>0</v>
      </c>
      <c r="CW141" s="553">
        <f t="shared" si="360"/>
        <v>0</v>
      </c>
      <c r="CX141" s="553">
        <f t="shared" si="360"/>
        <v>0</v>
      </c>
      <c r="DL141" s="860"/>
      <c r="DO141" s="553">
        <f t="shared" si="361"/>
        <v>0</v>
      </c>
      <c r="DP141" s="553">
        <f t="shared" si="361"/>
        <v>0</v>
      </c>
      <c r="DQ141" s="553">
        <f t="shared" si="361"/>
        <v>0</v>
      </c>
      <c r="DR141" s="553">
        <f t="shared" si="361"/>
        <v>0</v>
      </c>
      <c r="DS141" s="553">
        <f t="shared" si="361"/>
        <v>0</v>
      </c>
      <c r="DT141" s="553">
        <f t="shared" si="361"/>
        <v>0</v>
      </c>
      <c r="DU141" s="553">
        <f t="shared" si="361"/>
        <v>0</v>
      </c>
      <c r="DV141" s="553">
        <f t="shared" si="361"/>
        <v>0</v>
      </c>
      <c r="DW141" s="553">
        <f t="shared" si="361"/>
        <v>0</v>
      </c>
      <c r="DX141" s="553">
        <f t="shared" si="361"/>
        <v>0</v>
      </c>
      <c r="EL141" s="860"/>
    </row>
    <row r="142" spans="1:142" hidden="1">
      <c r="A142" s="860"/>
      <c r="D142" s="860"/>
      <c r="E142" s="860"/>
      <c r="F142" s="860"/>
      <c r="G142" s="860"/>
      <c r="H142" s="860"/>
      <c r="I142" s="860"/>
      <c r="J142" s="860"/>
      <c r="K142" s="860"/>
      <c r="L142" s="860"/>
      <c r="O142" s="553">
        <f t="shared" si="358"/>
        <v>0</v>
      </c>
      <c r="P142" s="553">
        <f t="shared" si="358"/>
        <v>0</v>
      </c>
      <c r="Q142" s="553">
        <f t="shared" si="358"/>
        <v>0</v>
      </c>
      <c r="R142" s="553">
        <f t="shared" si="358"/>
        <v>0</v>
      </c>
      <c r="S142" s="553">
        <f t="shared" si="358"/>
        <v>0</v>
      </c>
      <c r="T142" s="553">
        <f t="shared" si="358"/>
        <v>0</v>
      </c>
      <c r="U142" s="553">
        <f t="shared" si="358"/>
        <v>0</v>
      </c>
      <c r="V142" s="553">
        <f t="shared" si="358"/>
        <v>0</v>
      </c>
      <c r="W142" s="553">
        <f t="shared" si="358"/>
        <v>0</v>
      </c>
      <c r="X142" s="553">
        <f t="shared" si="358"/>
        <v>0</v>
      </c>
      <c r="AL142" s="860"/>
      <c r="BL142" s="860"/>
      <c r="BO142" s="553">
        <f t="shared" si="359"/>
        <v>40032.200000000004</v>
      </c>
      <c r="BP142" s="553">
        <f t="shared" si="359"/>
        <v>40032.200000000004</v>
      </c>
      <c r="BQ142" s="553">
        <f t="shared" si="359"/>
        <v>40032.200000000004</v>
      </c>
      <c r="BR142" s="553">
        <f t="shared" si="359"/>
        <v>40032.200000000004</v>
      </c>
      <c r="BS142" s="553">
        <f t="shared" si="359"/>
        <v>40032.200000000004</v>
      </c>
      <c r="BT142" s="553">
        <f t="shared" si="359"/>
        <v>40032.200000000004</v>
      </c>
      <c r="BU142" s="553">
        <f t="shared" si="359"/>
        <v>40032.200000000004</v>
      </c>
      <c r="BV142" s="553">
        <f t="shared" si="359"/>
        <v>40032.200000000004</v>
      </c>
      <c r="BW142" s="553">
        <f t="shared" si="359"/>
        <v>40032.200000000004</v>
      </c>
      <c r="BX142" s="553">
        <f t="shared" si="359"/>
        <v>40032.200000000004</v>
      </c>
      <c r="CL142" s="860"/>
      <c r="CO142" s="553">
        <f t="shared" si="360"/>
        <v>26666.666666666672</v>
      </c>
      <c r="CP142" s="553">
        <f t="shared" si="360"/>
        <v>26666.666666666672</v>
      </c>
      <c r="CQ142" s="553">
        <f t="shared" si="360"/>
        <v>26666.666666666672</v>
      </c>
      <c r="CR142" s="553">
        <f t="shared" si="360"/>
        <v>26666.666666666672</v>
      </c>
      <c r="CS142" s="553">
        <f t="shared" si="360"/>
        <v>26666.666666666672</v>
      </c>
      <c r="CT142" s="553">
        <f t="shared" si="360"/>
        <v>26666.666666666672</v>
      </c>
      <c r="CU142" s="553">
        <f t="shared" si="360"/>
        <v>26666.666666666672</v>
      </c>
      <c r="CV142" s="553">
        <f t="shared" si="360"/>
        <v>26666.666666666672</v>
      </c>
      <c r="CW142" s="553">
        <f t="shared" si="360"/>
        <v>26666.666666666672</v>
      </c>
      <c r="CX142" s="553">
        <f t="shared" si="360"/>
        <v>26666.666666666672</v>
      </c>
      <c r="DL142" s="860"/>
      <c r="DO142" s="553">
        <f t="shared" si="361"/>
        <v>26666.666666666672</v>
      </c>
      <c r="DP142" s="553">
        <f t="shared" si="361"/>
        <v>26666.666666666672</v>
      </c>
      <c r="DQ142" s="553">
        <f t="shared" si="361"/>
        <v>26666.666666666672</v>
      </c>
      <c r="DR142" s="553">
        <f t="shared" si="361"/>
        <v>26666.666666666672</v>
      </c>
      <c r="DS142" s="553">
        <f t="shared" si="361"/>
        <v>26666.666666666672</v>
      </c>
      <c r="DT142" s="553">
        <f t="shared" si="361"/>
        <v>26666.666666666672</v>
      </c>
      <c r="DU142" s="553">
        <f t="shared" si="361"/>
        <v>26666.666666666672</v>
      </c>
      <c r="DV142" s="553">
        <f t="shared" si="361"/>
        <v>26666.666666666672</v>
      </c>
      <c r="DW142" s="553">
        <f t="shared" si="361"/>
        <v>26666.666666666672</v>
      </c>
      <c r="DX142" s="553">
        <f t="shared" si="361"/>
        <v>26666.666666666672</v>
      </c>
      <c r="EL142" s="860"/>
    </row>
    <row r="143" spans="1:142" hidden="1">
      <c r="A143" s="860"/>
      <c r="D143" s="860"/>
      <c r="E143" s="860"/>
      <c r="F143" s="860"/>
      <c r="G143" s="860"/>
      <c r="H143" s="860"/>
      <c r="I143" s="860"/>
      <c r="J143" s="860"/>
      <c r="K143" s="860"/>
      <c r="L143" s="860"/>
      <c r="O143" s="553">
        <f t="shared" si="358"/>
        <v>800</v>
      </c>
      <c r="P143" s="553">
        <f t="shared" si="358"/>
        <v>0</v>
      </c>
      <c r="Q143" s="553">
        <f t="shared" si="358"/>
        <v>0</v>
      </c>
      <c r="R143" s="553">
        <f t="shared" si="358"/>
        <v>0</v>
      </c>
      <c r="S143" s="553">
        <f t="shared" si="358"/>
        <v>0</v>
      </c>
      <c r="T143" s="553">
        <f t="shared" si="358"/>
        <v>0</v>
      </c>
      <c r="U143" s="553">
        <f t="shared" si="358"/>
        <v>0</v>
      </c>
      <c r="V143" s="553">
        <f t="shared" si="358"/>
        <v>0</v>
      </c>
      <c r="W143" s="553">
        <f t="shared" si="358"/>
        <v>1075.2</v>
      </c>
      <c r="X143" s="553">
        <f t="shared" si="358"/>
        <v>537.6</v>
      </c>
      <c r="AL143" s="860"/>
      <c r="BL143" s="860"/>
      <c r="BO143" s="553">
        <f t="shared" si="359"/>
        <v>29733.333333333332</v>
      </c>
      <c r="BP143" s="553">
        <f t="shared" si="359"/>
        <v>29733.333333333332</v>
      </c>
      <c r="BQ143" s="553">
        <f t="shared" si="359"/>
        <v>29733.333333333332</v>
      </c>
      <c r="BR143" s="553">
        <f t="shared" si="359"/>
        <v>29733.333333333332</v>
      </c>
      <c r="BS143" s="553">
        <f t="shared" si="359"/>
        <v>29733.333333333332</v>
      </c>
      <c r="BT143" s="553">
        <f t="shared" si="359"/>
        <v>29733.333333333332</v>
      </c>
      <c r="BU143" s="553">
        <f t="shared" si="359"/>
        <v>29733.333333333332</v>
      </c>
      <c r="BV143" s="553">
        <f t="shared" si="359"/>
        <v>29733.333333333332</v>
      </c>
      <c r="BW143" s="553">
        <f t="shared" si="359"/>
        <v>29733.333333333332</v>
      </c>
      <c r="BX143" s="553">
        <f t="shared" si="359"/>
        <v>29733.333333333332</v>
      </c>
      <c r="CL143" s="860"/>
      <c r="CO143" s="553">
        <f t="shared" si="360"/>
        <v>16338.666666666666</v>
      </c>
      <c r="CP143" s="553">
        <f t="shared" si="360"/>
        <v>16338.666666666666</v>
      </c>
      <c r="CQ143" s="553">
        <f t="shared" si="360"/>
        <v>16338.666666666666</v>
      </c>
      <c r="CR143" s="553">
        <f t="shared" si="360"/>
        <v>16338.666666666666</v>
      </c>
      <c r="CS143" s="553">
        <f t="shared" si="360"/>
        <v>16338.666666666666</v>
      </c>
      <c r="CT143" s="553">
        <f t="shared" si="360"/>
        <v>16338.666666666666</v>
      </c>
      <c r="CU143" s="553">
        <f t="shared" si="360"/>
        <v>16338.666666666666</v>
      </c>
      <c r="CV143" s="553">
        <f t="shared" si="360"/>
        <v>16338.666666666666</v>
      </c>
      <c r="CW143" s="553">
        <f t="shared" si="360"/>
        <v>16338.666666666666</v>
      </c>
      <c r="CX143" s="553">
        <f t="shared" si="360"/>
        <v>16338.666666666666</v>
      </c>
      <c r="DL143" s="860"/>
      <c r="DO143" s="553">
        <f t="shared" si="361"/>
        <v>25005.066666666666</v>
      </c>
      <c r="DP143" s="553">
        <f t="shared" si="361"/>
        <v>25005.066666666666</v>
      </c>
      <c r="DQ143" s="553">
        <f t="shared" si="361"/>
        <v>25005.066666666666</v>
      </c>
      <c r="DR143" s="553">
        <f t="shared" si="361"/>
        <v>25005.066666666666</v>
      </c>
      <c r="DS143" s="553">
        <f t="shared" si="361"/>
        <v>25005.066666666666</v>
      </c>
      <c r="DT143" s="553">
        <f t="shared" si="361"/>
        <v>25005.066666666666</v>
      </c>
      <c r="DU143" s="553">
        <f t="shared" si="361"/>
        <v>25005.066666666666</v>
      </c>
      <c r="DV143" s="553">
        <f t="shared" si="361"/>
        <v>25005.066666666666</v>
      </c>
      <c r="DW143" s="553">
        <f t="shared" si="361"/>
        <v>25005.066666666666</v>
      </c>
      <c r="DX143" s="553">
        <f t="shared" si="361"/>
        <v>25005.066666666666</v>
      </c>
      <c r="EL143" s="860"/>
    </row>
    <row r="144" spans="1:142" hidden="1">
      <c r="A144" s="860"/>
      <c r="D144" s="860"/>
      <c r="E144" s="860"/>
      <c r="F144" s="860"/>
      <c r="G144" s="860"/>
      <c r="H144" s="860"/>
      <c r="I144" s="860"/>
      <c r="J144" s="860"/>
      <c r="K144" s="860"/>
      <c r="L144" s="860"/>
      <c r="O144" s="553">
        <f t="shared" si="358"/>
        <v>35200</v>
      </c>
      <c r="P144" s="553">
        <f t="shared" si="358"/>
        <v>37600</v>
      </c>
      <c r="Q144" s="553">
        <f t="shared" si="358"/>
        <v>52000</v>
      </c>
      <c r="R144" s="553">
        <f t="shared" si="358"/>
        <v>36000</v>
      </c>
      <c r="S144" s="553">
        <f t="shared" si="358"/>
        <v>48000</v>
      </c>
      <c r="T144" s="553">
        <f t="shared" si="358"/>
        <v>48000</v>
      </c>
      <c r="U144" s="553">
        <f t="shared" si="358"/>
        <v>52000</v>
      </c>
      <c r="V144" s="553">
        <f t="shared" si="358"/>
        <v>51200</v>
      </c>
      <c r="W144" s="553">
        <f t="shared" si="358"/>
        <v>60000</v>
      </c>
      <c r="X144" s="553">
        <f t="shared" si="358"/>
        <v>56000</v>
      </c>
      <c r="AL144" s="860"/>
      <c r="BL144" s="860"/>
      <c r="BO144" s="553">
        <f t="shared" si="359"/>
        <v>20000</v>
      </c>
      <c r="BP144" s="553">
        <f t="shared" si="359"/>
        <v>12800</v>
      </c>
      <c r="BQ144" s="553">
        <f t="shared" si="359"/>
        <v>12800</v>
      </c>
      <c r="BR144" s="553">
        <f t="shared" si="359"/>
        <v>12800</v>
      </c>
      <c r="BS144" s="553">
        <f t="shared" si="359"/>
        <v>12800</v>
      </c>
      <c r="BT144" s="553">
        <f t="shared" si="359"/>
        <v>12800</v>
      </c>
      <c r="BU144" s="553">
        <f t="shared" si="359"/>
        <v>12800</v>
      </c>
      <c r="BV144" s="553">
        <f t="shared" si="359"/>
        <v>12800</v>
      </c>
      <c r="BW144" s="553">
        <f t="shared" si="359"/>
        <v>12800</v>
      </c>
      <c r="BX144" s="553">
        <f t="shared" si="359"/>
        <v>12800</v>
      </c>
      <c r="CL144" s="860"/>
      <c r="CO144" s="553">
        <f t="shared" si="360"/>
        <v>4261.6333333333341</v>
      </c>
      <c r="CP144" s="553">
        <f t="shared" si="360"/>
        <v>4261.6333333333341</v>
      </c>
      <c r="CQ144" s="553">
        <f t="shared" si="360"/>
        <v>4261.6333333333341</v>
      </c>
      <c r="CR144" s="553">
        <f t="shared" si="360"/>
        <v>4261.6333333333341</v>
      </c>
      <c r="CS144" s="553">
        <f t="shared" si="360"/>
        <v>4261.6333333333341</v>
      </c>
      <c r="CT144" s="553">
        <f t="shared" si="360"/>
        <v>4261.6333333333341</v>
      </c>
      <c r="CU144" s="553">
        <f t="shared" si="360"/>
        <v>4261.6333333333341</v>
      </c>
      <c r="CV144" s="553">
        <f t="shared" si="360"/>
        <v>4261.6333333333341</v>
      </c>
      <c r="CW144" s="553">
        <f t="shared" si="360"/>
        <v>4261.6333333333341</v>
      </c>
      <c r="CX144" s="553">
        <f t="shared" si="360"/>
        <v>4261.6333333333341</v>
      </c>
      <c r="DL144" s="860"/>
      <c r="DO144" s="553">
        <f t="shared" si="361"/>
        <v>0</v>
      </c>
      <c r="DP144" s="553">
        <f t="shared" si="361"/>
        <v>0</v>
      </c>
      <c r="DQ144" s="553">
        <f t="shared" si="361"/>
        <v>0</v>
      </c>
      <c r="DR144" s="553">
        <f t="shared" si="361"/>
        <v>0</v>
      </c>
      <c r="DS144" s="553">
        <f t="shared" si="361"/>
        <v>0</v>
      </c>
      <c r="DT144" s="553">
        <f t="shared" si="361"/>
        <v>0</v>
      </c>
      <c r="DU144" s="553">
        <f t="shared" si="361"/>
        <v>0</v>
      </c>
      <c r="DV144" s="553">
        <f t="shared" si="361"/>
        <v>0</v>
      </c>
      <c r="DW144" s="553">
        <f t="shared" si="361"/>
        <v>0</v>
      </c>
      <c r="DX144" s="553">
        <f t="shared" si="361"/>
        <v>0</v>
      </c>
      <c r="EL144" s="860"/>
    </row>
    <row r="145" spans="1:142" hidden="1">
      <c r="A145" s="860"/>
      <c r="D145" s="860"/>
      <c r="E145" s="860"/>
      <c r="F145" s="860"/>
      <c r="G145" s="860"/>
      <c r="H145" s="860"/>
      <c r="I145" s="860"/>
      <c r="J145" s="860"/>
      <c r="K145" s="860"/>
      <c r="L145" s="860"/>
      <c r="M145" s="860"/>
      <c r="N145" s="860"/>
      <c r="O145" s="553">
        <f t="shared" si="358"/>
        <v>35200</v>
      </c>
      <c r="P145" s="553">
        <f t="shared" si="358"/>
        <v>37600</v>
      </c>
      <c r="Q145" s="553">
        <f t="shared" si="358"/>
        <v>52000</v>
      </c>
      <c r="R145" s="553">
        <f t="shared" si="358"/>
        <v>36000</v>
      </c>
      <c r="S145" s="553">
        <f t="shared" si="358"/>
        <v>48000</v>
      </c>
      <c r="T145" s="553">
        <f t="shared" si="358"/>
        <v>48000</v>
      </c>
      <c r="U145" s="553">
        <f t="shared" si="358"/>
        <v>52000</v>
      </c>
      <c r="V145" s="553">
        <f t="shared" si="358"/>
        <v>51200</v>
      </c>
      <c r="W145" s="553">
        <f t="shared" si="358"/>
        <v>60000</v>
      </c>
      <c r="X145" s="553">
        <f t="shared" si="358"/>
        <v>56000</v>
      </c>
      <c r="Y145" s="860"/>
      <c r="AL145" s="860"/>
      <c r="AM145" s="860"/>
      <c r="AN145" s="860"/>
      <c r="AY145" s="860"/>
      <c r="BL145" s="860"/>
      <c r="BM145" s="860"/>
      <c r="BN145" s="860"/>
      <c r="BO145" s="553">
        <f t="shared" si="359"/>
        <v>20000</v>
      </c>
      <c r="BP145" s="553">
        <f t="shared" si="359"/>
        <v>12800</v>
      </c>
      <c r="BQ145" s="553">
        <f t="shared" si="359"/>
        <v>12800</v>
      </c>
      <c r="BR145" s="553">
        <f t="shared" si="359"/>
        <v>12800</v>
      </c>
      <c r="BS145" s="553">
        <f t="shared" si="359"/>
        <v>12800</v>
      </c>
      <c r="BT145" s="553">
        <f t="shared" si="359"/>
        <v>12800</v>
      </c>
      <c r="BU145" s="553">
        <f t="shared" si="359"/>
        <v>12800</v>
      </c>
      <c r="BV145" s="553">
        <f t="shared" si="359"/>
        <v>12800</v>
      </c>
      <c r="BW145" s="553">
        <f t="shared" si="359"/>
        <v>12800</v>
      </c>
      <c r="BX145" s="553">
        <f t="shared" si="359"/>
        <v>12800</v>
      </c>
      <c r="BY145" s="860"/>
      <c r="CL145" s="860"/>
      <c r="CM145" s="860"/>
      <c r="CN145" s="860"/>
      <c r="CO145" s="553">
        <f t="shared" si="360"/>
        <v>4261.6333333333341</v>
      </c>
      <c r="CP145" s="553">
        <f t="shared" si="360"/>
        <v>4261.6333333333341</v>
      </c>
      <c r="CQ145" s="553">
        <f t="shared" si="360"/>
        <v>4261.6333333333341</v>
      </c>
      <c r="CR145" s="553">
        <f t="shared" si="360"/>
        <v>4261.6333333333341</v>
      </c>
      <c r="CS145" s="553">
        <f t="shared" si="360"/>
        <v>4261.6333333333341</v>
      </c>
      <c r="CT145" s="553">
        <f t="shared" si="360"/>
        <v>4261.6333333333341</v>
      </c>
      <c r="CU145" s="553">
        <f t="shared" si="360"/>
        <v>4261.6333333333341</v>
      </c>
      <c r="CV145" s="553">
        <f t="shared" si="360"/>
        <v>4261.6333333333341</v>
      </c>
      <c r="CW145" s="553">
        <f t="shared" si="360"/>
        <v>4261.6333333333341</v>
      </c>
      <c r="CX145" s="553">
        <f t="shared" si="360"/>
        <v>4261.6333333333341</v>
      </c>
      <c r="CY145" s="860"/>
      <c r="DL145" s="860"/>
      <c r="DM145" s="860"/>
      <c r="DN145" s="860"/>
      <c r="DO145" s="553">
        <f t="shared" si="361"/>
        <v>0</v>
      </c>
      <c r="DP145" s="553">
        <f t="shared" si="361"/>
        <v>0</v>
      </c>
      <c r="DQ145" s="553">
        <f t="shared" si="361"/>
        <v>0</v>
      </c>
      <c r="DR145" s="553">
        <f t="shared" si="361"/>
        <v>0</v>
      </c>
      <c r="DS145" s="553">
        <f t="shared" si="361"/>
        <v>0</v>
      </c>
      <c r="DT145" s="553">
        <f t="shared" si="361"/>
        <v>0</v>
      </c>
      <c r="DU145" s="553">
        <f t="shared" si="361"/>
        <v>0</v>
      </c>
      <c r="DV145" s="553">
        <f t="shared" si="361"/>
        <v>0</v>
      </c>
      <c r="DW145" s="553">
        <f t="shared" si="361"/>
        <v>0</v>
      </c>
      <c r="DX145" s="553">
        <f t="shared" si="361"/>
        <v>0</v>
      </c>
      <c r="DY145" s="860"/>
      <c r="EL145" s="860"/>
    </row>
    <row r="146" spans="1:142" hidden="1">
      <c r="A146" s="860"/>
      <c r="D146" s="860"/>
      <c r="E146" s="860"/>
      <c r="F146" s="860"/>
      <c r="G146" s="860"/>
      <c r="H146" s="860"/>
      <c r="I146" s="860"/>
      <c r="J146" s="860"/>
      <c r="K146" s="860"/>
      <c r="L146" s="860"/>
      <c r="M146" s="860"/>
      <c r="N146" s="860"/>
      <c r="O146" s="553">
        <f t="shared" si="358"/>
        <v>22176</v>
      </c>
      <c r="P146" s="553">
        <f t="shared" si="358"/>
        <v>15504</v>
      </c>
      <c r="Q146" s="553">
        <f t="shared" si="358"/>
        <v>7712</v>
      </c>
      <c r="R146" s="553">
        <f t="shared" si="358"/>
        <v>0</v>
      </c>
      <c r="S146" s="553">
        <f t="shared" si="358"/>
        <v>0</v>
      </c>
      <c r="T146" s="553">
        <f t="shared" si="358"/>
        <v>5600</v>
      </c>
      <c r="U146" s="553">
        <f t="shared" si="358"/>
        <v>6400</v>
      </c>
      <c r="V146" s="553">
        <f t="shared" si="358"/>
        <v>6400</v>
      </c>
      <c r="W146" s="553">
        <f t="shared" si="358"/>
        <v>4800</v>
      </c>
      <c r="X146" s="553">
        <f t="shared" si="358"/>
        <v>8000</v>
      </c>
      <c r="Y146" s="860"/>
      <c r="AL146" s="860"/>
      <c r="AM146" s="860"/>
      <c r="AN146" s="860"/>
      <c r="AY146" s="860"/>
      <c r="BL146" s="860"/>
      <c r="BM146" s="860"/>
      <c r="BN146" s="860"/>
      <c r="BO146" s="553">
        <f t="shared" si="359"/>
        <v>16862.61</v>
      </c>
      <c r="BP146" s="553">
        <f t="shared" si="359"/>
        <v>16862.61</v>
      </c>
      <c r="BQ146" s="553">
        <f t="shared" si="359"/>
        <v>16862.61</v>
      </c>
      <c r="BR146" s="553">
        <f t="shared" si="359"/>
        <v>16862.61</v>
      </c>
      <c r="BS146" s="553">
        <f t="shared" si="359"/>
        <v>16862.61</v>
      </c>
      <c r="BT146" s="553">
        <f t="shared" si="359"/>
        <v>16862.61</v>
      </c>
      <c r="BU146" s="553">
        <f t="shared" si="359"/>
        <v>16862.61</v>
      </c>
      <c r="BV146" s="553">
        <f t="shared" si="359"/>
        <v>16862.61</v>
      </c>
      <c r="BW146" s="553">
        <f t="shared" si="359"/>
        <v>16862.61</v>
      </c>
      <c r="BX146" s="553">
        <f t="shared" si="359"/>
        <v>16862.61</v>
      </c>
      <c r="BY146" s="860"/>
      <c r="CL146" s="860"/>
      <c r="CM146" s="860"/>
      <c r="CN146" s="860"/>
      <c r="CO146" s="553">
        <f t="shared" si="360"/>
        <v>4261.6333333333341</v>
      </c>
      <c r="CP146" s="553">
        <f t="shared" si="360"/>
        <v>4261.6333333333341</v>
      </c>
      <c r="CQ146" s="553">
        <f t="shared" si="360"/>
        <v>4261.6333333333341</v>
      </c>
      <c r="CR146" s="553">
        <f t="shared" si="360"/>
        <v>4261.6333333333341</v>
      </c>
      <c r="CS146" s="553">
        <f t="shared" si="360"/>
        <v>4261.6333333333341</v>
      </c>
      <c r="CT146" s="553">
        <f t="shared" si="360"/>
        <v>4261.6333333333341</v>
      </c>
      <c r="CU146" s="553">
        <f t="shared" si="360"/>
        <v>4261.6333333333341</v>
      </c>
      <c r="CV146" s="553">
        <f t="shared" si="360"/>
        <v>4261.6333333333341</v>
      </c>
      <c r="CW146" s="553">
        <f t="shared" si="360"/>
        <v>4261.6333333333341</v>
      </c>
      <c r="CX146" s="553">
        <f t="shared" si="360"/>
        <v>4261.6333333333341</v>
      </c>
      <c r="CY146" s="860"/>
      <c r="DL146" s="860"/>
      <c r="DM146" s="860"/>
      <c r="DN146" s="860"/>
      <c r="DO146" s="553">
        <f t="shared" si="361"/>
        <v>0</v>
      </c>
      <c r="DP146" s="553">
        <f t="shared" si="361"/>
        <v>0</v>
      </c>
      <c r="DQ146" s="553">
        <f t="shared" si="361"/>
        <v>0</v>
      </c>
      <c r="DR146" s="553">
        <f t="shared" si="361"/>
        <v>0</v>
      </c>
      <c r="DS146" s="553">
        <f t="shared" si="361"/>
        <v>0</v>
      </c>
      <c r="DT146" s="553">
        <f t="shared" si="361"/>
        <v>0</v>
      </c>
      <c r="DU146" s="553">
        <f t="shared" si="361"/>
        <v>0</v>
      </c>
      <c r="DV146" s="553">
        <f t="shared" si="361"/>
        <v>0</v>
      </c>
      <c r="DW146" s="553">
        <f t="shared" si="361"/>
        <v>0</v>
      </c>
      <c r="DX146" s="553">
        <f t="shared" si="361"/>
        <v>0</v>
      </c>
      <c r="DY146" s="860"/>
      <c r="EL146" s="860"/>
    </row>
    <row r="147" spans="1:142" hidden="1">
      <c r="A147" s="860"/>
      <c r="D147" s="860"/>
      <c r="E147" s="860"/>
      <c r="F147" s="860"/>
      <c r="G147" s="860"/>
      <c r="H147" s="860"/>
      <c r="I147" s="860"/>
      <c r="J147" s="860"/>
      <c r="K147" s="860"/>
      <c r="L147" s="860"/>
      <c r="M147" s="860"/>
      <c r="N147" s="860"/>
      <c r="O147" s="553">
        <f t="shared" si="358"/>
        <v>22176</v>
      </c>
      <c r="P147" s="553">
        <f t="shared" si="358"/>
        <v>15504</v>
      </c>
      <c r="Q147" s="553">
        <f t="shared" si="358"/>
        <v>7712</v>
      </c>
      <c r="R147" s="553">
        <f t="shared" si="358"/>
        <v>0</v>
      </c>
      <c r="S147" s="553">
        <f t="shared" si="358"/>
        <v>0</v>
      </c>
      <c r="T147" s="553">
        <f t="shared" si="358"/>
        <v>5600</v>
      </c>
      <c r="U147" s="553">
        <f t="shared" si="358"/>
        <v>6400</v>
      </c>
      <c r="V147" s="553">
        <f t="shared" si="358"/>
        <v>6400</v>
      </c>
      <c r="W147" s="553">
        <f t="shared" si="358"/>
        <v>4800</v>
      </c>
      <c r="X147" s="553">
        <f t="shared" si="358"/>
        <v>8000</v>
      </c>
      <c r="Y147" s="860"/>
      <c r="AL147" s="860"/>
      <c r="AM147" s="860"/>
      <c r="AN147" s="860"/>
      <c r="AY147" s="860"/>
      <c r="BL147" s="860"/>
      <c r="BM147" s="860"/>
      <c r="BN147" s="860"/>
      <c r="BO147" s="553">
        <f t="shared" si="359"/>
        <v>16862.61</v>
      </c>
      <c r="BP147" s="553">
        <f t="shared" si="359"/>
        <v>16862.61</v>
      </c>
      <c r="BQ147" s="553">
        <f t="shared" si="359"/>
        <v>16862.61</v>
      </c>
      <c r="BR147" s="553">
        <f t="shared" si="359"/>
        <v>16862.61</v>
      </c>
      <c r="BS147" s="553">
        <f t="shared" si="359"/>
        <v>16862.61</v>
      </c>
      <c r="BT147" s="553">
        <f t="shared" si="359"/>
        <v>16862.61</v>
      </c>
      <c r="BU147" s="553">
        <f t="shared" si="359"/>
        <v>16862.61</v>
      </c>
      <c r="BV147" s="553">
        <f t="shared" si="359"/>
        <v>16862.61</v>
      </c>
      <c r="BW147" s="553">
        <f t="shared" si="359"/>
        <v>16862.61</v>
      </c>
      <c r="BX147" s="553">
        <f t="shared" si="359"/>
        <v>16862.61</v>
      </c>
      <c r="BY147" s="860"/>
      <c r="CL147" s="860"/>
      <c r="CM147" s="860"/>
      <c r="CN147" s="860"/>
      <c r="CO147" s="553">
        <f t="shared" si="360"/>
        <v>4261.6333333333341</v>
      </c>
      <c r="CP147" s="553">
        <f t="shared" si="360"/>
        <v>4261.6333333333341</v>
      </c>
      <c r="CQ147" s="553">
        <f t="shared" si="360"/>
        <v>4261.6333333333341</v>
      </c>
      <c r="CR147" s="553">
        <f t="shared" si="360"/>
        <v>4261.6333333333341</v>
      </c>
      <c r="CS147" s="553">
        <f t="shared" si="360"/>
        <v>4261.6333333333341</v>
      </c>
      <c r="CT147" s="553">
        <f t="shared" si="360"/>
        <v>4261.6333333333341</v>
      </c>
      <c r="CU147" s="553">
        <f t="shared" si="360"/>
        <v>4261.6333333333341</v>
      </c>
      <c r="CV147" s="553">
        <f t="shared" si="360"/>
        <v>4261.6333333333341</v>
      </c>
      <c r="CW147" s="553">
        <f t="shared" si="360"/>
        <v>4261.6333333333341</v>
      </c>
      <c r="CX147" s="553">
        <f t="shared" si="360"/>
        <v>4261.6333333333341</v>
      </c>
      <c r="CY147" s="860"/>
      <c r="DL147" s="860"/>
      <c r="DM147" s="860"/>
      <c r="DN147" s="860"/>
      <c r="DO147" s="553">
        <f t="shared" si="361"/>
        <v>0</v>
      </c>
      <c r="DP147" s="553">
        <f t="shared" si="361"/>
        <v>0</v>
      </c>
      <c r="DQ147" s="553">
        <f t="shared" si="361"/>
        <v>0</v>
      </c>
      <c r="DR147" s="553">
        <f t="shared" si="361"/>
        <v>0</v>
      </c>
      <c r="DS147" s="553">
        <f t="shared" si="361"/>
        <v>0</v>
      </c>
      <c r="DT147" s="553">
        <f t="shared" si="361"/>
        <v>0</v>
      </c>
      <c r="DU147" s="553">
        <f t="shared" si="361"/>
        <v>0</v>
      </c>
      <c r="DV147" s="553">
        <f t="shared" si="361"/>
        <v>0</v>
      </c>
      <c r="DW147" s="553">
        <f t="shared" si="361"/>
        <v>0</v>
      </c>
      <c r="DX147" s="553">
        <f t="shared" si="361"/>
        <v>0</v>
      </c>
      <c r="DY147" s="860"/>
      <c r="EL147" s="860"/>
    </row>
    <row r="148" spans="1:142" hidden="1">
      <c r="A148" s="860"/>
      <c r="D148" s="860"/>
      <c r="E148" s="860"/>
      <c r="F148" s="860"/>
      <c r="G148" s="860"/>
      <c r="H148" s="860"/>
      <c r="I148" s="860"/>
      <c r="J148" s="860"/>
      <c r="K148" s="860"/>
      <c r="L148" s="860"/>
      <c r="M148" s="860"/>
      <c r="N148" s="860"/>
      <c r="O148" s="553">
        <f t="shared" si="358"/>
        <v>3200</v>
      </c>
      <c r="P148" s="553">
        <f t="shared" si="358"/>
        <v>3200</v>
      </c>
      <c r="Q148" s="553">
        <f t="shared" si="358"/>
        <v>1600</v>
      </c>
      <c r="R148" s="553">
        <f t="shared" si="358"/>
        <v>2400</v>
      </c>
      <c r="S148" s="553">
        <f t="shared" si="358"/>
        <v>0</v>
      </c>
      <c r="T148" s="553">
        <f t="shared" si="358"/>
        <v>0</v>
      </c>
      <c r="U148" s="553">
        <f t="shared" si="358"/>
        <v>0</v>
      </c>
      <c r="V148" s="553">
        <f t="shared" si="358"/>
        <v>0</v>
      </c>
      <c r="W148" s="553">
        <f t="shared" si="358"/>
        <v>0</v>
      </c>
      <c r="X148" s="553">
        <f t="shared" si="358"/>
        <v>0</v>
      </c>
      <c r="Y148" s="860"/>
      <c r="AL148" s="860"/>
      <c r="AM148" s="860"/>
      <c r="AN148" s="860"/>
      <c r="AY148" s="860"/>
      <c r="BL148" s="860"/>
      <c r="BM148" s="860"/>
      <c r="BN148" s="860"/>
      <c r="BO148" s="553">
        <f t="shared" si="359"/>
        <v>0</v>
      </c>
      <c r="BP148" s="553">
        <f t="shared" si="359"/>
        <v>0</v>
      </c>
      <c r="BQ148" s="553">
        <f t="shared" si="359"/>
        <v>0</v>
      </c>
      <c r="BR148" s="553">
        <f t="shared" si="359"/>
        <v>0</v>
      </c>
      <c r="BS148" s="553">
        <f t="shared" si="359"/>
        <v>0</v>
      </c>
      <c r="BT148" s="553">
        <f t="shared" si="359"/>
        <v>0</v>
      </c>
      <c r="BU148" s="553">
        <f t="shared" si="359"/>
        <v>0</v>
      </c>
      <c r="BV148" s="553">
        <f t="shared" si="359"/>
        <v>0</v>
      </c>
      <c r="BW148" s="553">
        <f t="shared" si="359"/>
        <v>0</v>
      </c>
      <c r="BX148" s="553">
        <f t="shared" si="359"/>
        <v>0</v>
      </c>
      <c r="BY148" s="860"/>
      <c r="CL148" s="860"/>
      <c r="CM148" s="860"/>
      <c r="CN148" s="860"/>
      <c r="CO148" s="553">
        <f t="shared" si="360"/>
        <v>0</v>
      </c>
      <c r="CP148" s="553">
        <f t="shared" si="360"/>
        <v>0</v>
      </c>
      <c r="CQ148" s="553">
        <f t="shared" si="360"/>
        <v>0</v>
      </c>
      <c r="CR148" s="553">
        <f t="shared" si="360"/>
        <v>0</v>
      </c>
      <c r="CS148" s="553">
        <f t="shared" si="360"/>
        <v>0</v>
      </c>
      <c r="CT148" s="553">
        <f t="shared" si="360"/>
        <v>0</v>
      </c>
      <c r="CU148" s="553">
        <f t="shared" si="360"/>
        <v>0</v>
      </c>
      <c r="CV148" s="553">
        <f t="shared" si="360"/>
        <v>0</v>
      </c>
      <c r="CW148" s="553">
        <f t="shared" si="360"/>
        <v>0</v>
      </c>
      <c r="CX148" s="553">
        <f t="shared" si="360"/>
        <v>0</v>
      </c>
      <c r="CY148" s="860"/>
      <c r="DL148" s="860"/>
      <c r="DM148" s="860"/>
      <c r="DN148" s="860"/>
      <c r="DO148" s="553">
        <f t="shared" si="361"/>
        <v>0</v>
      </c>
      <c r="DP148" s="553">
        <f t="shared" si="361"/>
        <v>0</v>
      </c>
      <c r="DQ148" s="553">
        <f t="shared" si="361"/>
        <v>0</v>
      </c>
      <c r="DR148" s="553">
        <f t="shared" si="361"/>
        <v>0</v>
      </c>
      <c r="DS148" s="553">
        <f t="shared" si="361"/>
        <v>0</v>
      </c>
      <c r="DT148" s="553">
        <f t="shared" si="361"/>
        <v>0</v>
      </c>
      <c r="DU148" s="553">
        <f t="shared" si="361"/>
        <v>0</v>
      </c>
      <c r="DV148" s="553">
        <f t="shared" si="361"/>
        <v>0</v>
      </c>
      <c r="DW148" s="553">
        <f t="shared" si="361"/>
        <v>0</v>
      </c>
      <c r="DX148" s="553">
        <f t="shared" si="361"/>
        <v>0</v>
      </c>
      <c r="DY148" s="860"/>
      <c r="EL148" s="860"/>
    </row>
    <row r="149" spans="1:142" hidden="1">
      <c r="A149" s="860"/>
      <c r="D149" s="860"/>
      <c r="E149" s="860"/>
      <c r="F149" s="860"/>
      <c r="G149" s="860"/>
      <c r="H149" s="860"/>
      <c r="I149" s="860"/>
      <c r="J149" s="860"/>
      <c r="K149" s="860"/>
      <c r="L149" s="860"/>
      <c r="M149" s="860"/>
      <c r="N149" s="860"/>
      <c r="O149" s="553">
        <f t="shared" si="358"/>
        <v>800</v>
      </c>
      <c r="P149" s="553">
        <f t="shared" si="358"/>
        <v>3628.8</v>
      </c>
      <c r="Q149" s="553">
        <f t="shared" si="358"/>
        <v>1320</v>
      </c>
      <c r="R149" s="553">
        <f t="shared" si="358"/>
        <v>2640</v>
      </c>
      <c r="S149" s="553">
        <f t="shared" si="358"/>
        <v>1320</v>
      </c>
      <c r="T149" s="553">
        <f t="shared" si="358"/>
        <v>2640</v>
      </c>
      <c r="U149" s="553">
        <f t="shared" si="358"/>
        <v>1320</v>
      </c>
      <c r="V149" s="553">
        <f t="shared" si="358"/>
        <v>2200</v>
      </c>
      <c r="W149" s="553">
        <f t="shared" si="358"/>
        <v>4840</v>
      </c>
      <c r="X149" s="553">
        <f t="shared" si="358"/>
        <v>4400</v>
      </c>
      <c r="Y149" s="860"/>
      <c r="AL149" s="860"/>
      <c r="AM149" s="860"/>
      <c r="AN149" s="860"/>
      <c r="AY149" s="860"/>
      <c r="BL149" s="860"/>
      <c r="BM149" s="860"/>
      <c r="BN149" s="860"/>
      <c r="BO149" s="553">
        <f t="shared" si="359"/>
        <v>872.66666666666663</v>
      </c>
      <c r="BP149" s="553">
        <f t="shared" si="359"/>
        <v>872.66666666666663</v>
      </c>
      <c r="BQ149" s="553">
        <f t="shared" si="359"/>
        <v>872.66666666666663</v>
      </c>
      <c r="BR149" s="553">
        <f t="shared" si="359"/>
        <v>872.66666666666663</v>
      </c>
      <c r="BS149" s="553">
        <f t="shared" si="359"/>
        <v>872.66666666666663</v>
      </c>
      <c r="BT149" s="553">
        <f t="shared" si="359"/>
        <v>872.66666666666663</v>
      </c>
      <c r="BU149" s="553">
        <f t="shared" si="359"/>
        <v>872.66666666666663</v>
      </c>
      <c r="BV149" s="553">
        <f t="shared" si="359"/>
        <v>872.66666666666663</v>
      </c>
      <c r="BW149" s="553">
        <f t="shared" si="359"/>
        <v>872.66666666666663</v>
      </c>
      <c r="BX149" s="553">
        <f t="shared" si="359"/>
        <v>872.66666666666663</v>
      </c>
      <c r="BY149" s="860"/>
      <c r="CL149" s="860"/>
      <c r="CM149" s="860"/>
      <c r="CN149" s="860"/>
      <c r="CO149" s="553">
        <f t="shared" si="360"/>
        <v>0</v>
      </c>
      <c r="CP149" s="553">
        <f t="shared" si="360"/>
        <v>0</v>
      </c>
      <c r="CQ149" s="553">
        <f t="shared" si="360"/>
        <v>0</v>
      </c>
      <c r="CR149" s="553">
        <f t="shared" si="360"/>
        <v>0</v>
      </c>
      <c r="CS149" s="553">
        <f t="shared" si="360"/>
        <v>0</v>
      </c>
      <c r="CT149" s="553">
        <f t="shared" si="360"/>
        <v>0</v>
      </c>
      <c r="CU149" s="553">
        <f t="shared" si="360"/>
        <v>0</v>
      </c>
      <c r="CV149" s="553">
        <f t="shared" si="360"/>
        <v>0</v>
      </c>
      <c r="CW149" s="553">
        <f t="shared" si="360"/>
        <v>0</v>
      </c>
      <c r="CX149" s="553">
        <f t="shared" si="360"/>
        <v>0</v>
      </c>
      <c r="CY149" s="860"/>
      <c r="DL149" s="860"/>
      <c r="DM149" s="860"/>
      <c r="DN149" s="860"/>
      <c r="DO149" s="553">
        <f t="shared" si="361"/>
        <v>0</v>
      </c>
      <c r="DP149" s="553">
        <f t="shared" si="361"/>
        <v>0</v>
      </c>
      <c r="DQ149" s="553">
        <f t="shared" si="361"/>
        <v>0</v>
      </c>
      <c r="DR149" s="553">
        <f t="shared" si="361"/>
        <v>0</v>
      </c>
      <c r="DS149" s="553">
        <f t="shared" si="361"/>
        <v>0</v>
      </c>
      <c r="DT149" s="553">
        <f t="shared" si="361"/>
        <v>0</v>
      </c>
      <c r="DU149" s="553">
        <f t="shared" si="361"/>
        <v>0</v>
      </c>
      <c r="DV149" s="553">
        <f t="shared" si="361"/>
        <v>0</v>
      </c>
      <c r="DW149" s="553">
        <f t="shared" si="361"/>
        <v>0</v>
      </c>
      <c r="DX149" s="553">
        <f t="shared" si="361"/>
        <v>0</v>
      </c>
      <c r="DY149" s="860"/>
      <c r="EL149" s="860"/>
    </row>
    <row r="150" spans="1:142" hidden="1">
      <c r="A150" s="860"/>
      <c r="D150" s="860"/>
      <c r="E150" s="860"/>
      <c r="F150" s="860"/>
      <c r="G150" s="860"/>
      <c r="H150" s="860"/>
      <c r="I150" s="860"/>
      <c r="J150" s="860"/>
      <c r="K150" s="860"/>
      <c r="L150" s="860"/>
      <c r="M150" s="860"/>
      <c r="N150" s="860"/>
      <c r="O150" s="553">
        <f t="shared" ref="O150:X150" si="362">O115*80%</f>
        <v>0</v>
      </c>
      <c r="P150" s="553">
        <f t="shared" si="362"/>
        <v>0</v>
      </c>
      <c r="Q150" s="553">
        <f t="shared" si="362"/>
        <v>0</v>
      </c>
      <c r="R150" s="553">
        <f t="shared" si="362"/>
        <v>0</v>
      </c>
      <c r="S150" s="553">
        <f t="shared" si="362"/>
        <v>0</v>
      </c>
      <c r="T150" s="553">
        <f t="shared" si="362"/>
        <v>0</v>
      </c>
      <c r="U150" s="553">
        <f t="shared" si="362"/>
        <v>0</v>
      </c>
      <c r="V150" s="553">
        <f t="shared" si="362"/>
        <v>0</v>
      </c>
      <c r="W150" s="553">
        <f t="shared" si="362"/>
        <v>0</v>
      </c>
      <c r="X150" s="553">
        <f t="shared" si="362"/>
        <v>0</v>
      </c>
      <c r="Y150" s="860"/>
      <c r="AL150" s="860"/>
      <c r="AM150" s="860"/>
      <c r="AN150" s="860"/>
      <c r="AY150" s="860"/>
      <c r="BL150" s="860"/>
      <c r="BM150" s="860"/>
      <c r="BN150" s="860"/>
      <c r="BO150" s="553">
        <f t="shared" ref="BO150:BX150" si="363">BO115*80%</f>
        <v>290.86666666666667</v>
      </c>
      <c r="BP150" s="553">
        <f t="shared" si="363"/>
        <v>290.86666666666667</v>
      </c>
      <c r="BQ150" s="553">
        <f t="shared" si="363"/>
        <v>290.86666666666667</v>
      </c>
      <c r="BR150" s="553">
        <f t="shared" si="363"/>
        <v>290.86666666666667</v>
      </c>
      <c r="BS150" s="553">
        <f t="shared" si="363"/>
        <v>290.86666666666667</v>
      </c>
      <c r="BT150" s="553">
        <f t="shared" si="363"/>
        <v>290.86666666666667</v>
      </c>
      <c r="BU150" s="553">
        <f t="shared" si="363"/>
        <v>290.86666666666667</v>
      </c>
      <c r="BV150" s="553">
        <f t="shared" si="363"/>
        <v>290.86666666666667</v>
      </c>
      <c r="BW150" s="553">
        <f t="shared" si="363"/>
        <v>290.86666666666667</v>
      </c>
      <c r="BX150" s="553">
        <f t="shared" si="363"/>
        <v>290.86666666666667</v>
      </c>
      <c r="BY150" s="860"/>
      <c r="CL150" s="860"/>
      <c r="CM150" s="860"/>
      <c r="CN150" s="860"/>
      <c r="CO150" s="553">
        <f t="shared" ref="CO150:CX150" si="364">CO115*80%</f>
        <v>0</v>
      </c>
      <c r="CP150" s="553">
        <f t="shared" si="364"/>
        <v>0</v>
      </c>
      <c r="CQ150" s="553">
        <f t="shared" si="364"/>
        <v>0</v>
      </c>
      <c r="CR150" s="553">
        <f t="shared" si="364"/>
        <v>0</v>
      </c>
      <c r="CS150" s="553">
        <f t="shared" si="364"/>
        <v>0</v>
      </c>
      <c r="CT150" s="553">
        <f t="shared" si="364"/>
        <v>0</v>
      </c>
      <c r="CU150" s="553">
        <f t="shared" si="364"/>
        <v>0</v>
      </c>
      <c r="CV150" s="553">
        <f t="shared" si="364"/>
        <v>0</v>
      </c>
      <c r="CW150" s="553">
        <f t="shared" si="364"/>
        <v>0</v>
      </c>
      <c r="CX150" s="553">
        <f t="shared" si="364"/>
        <v>0</v>
      </c>
      <c r="CY150" s="860"/>
      <c r="DL150" s="860"/>
      <c r="DM150" s="860"/>
      <c r="DN150" s="860"/>
      <c r="DO150" s="553">
        <f t="shared" ref="DO150:DX150" si="365">DO115*80%</f>
        <v>0</v>
      </c>
      <c r="DP150" s="553">
        <f t="shared" si="365"/>
        <v>0</v>
      </c>
      <c r="DQ150" s="553">
        <f t="shared" si="365"/>
        <v>0</v>
      </c>
      <c r="DR150" s="553">
        <f t="shared" si="365"/>
        <v>0</v>
      </c>
      <c r="DS150" s="553">
        <f t="shared" si="365"/>
        <v>0</v>
      </c>
      <c r="DT150" s="553">
        <f t="shared" si="365"/>
        <v>0</v>
      </c>
      <c r="DU150" s="553">
        <f t="shared" si="365"/>
        <v>0</v>
      </c>
      <c r="DV150" s="553">
        <f t="shared" si="365"/>
        <v>0</v>
      </c>
      <c r="DW150" s="553">
        <f t="shared" si="365"/>
        <v>0</v>
      </c>
      <c r="DX150" s="553">
        <f t="shared" si="365"/>
        <v>0</v>
      </c>
      <c r="DY150" s="860"/>
      <c r="EL150" s="860"/>
    </row>
    <row r="151" spans="1:142">
      <c r="A151" s="860"/>
      <c r="D151" s="860"/>
      <c r="E151" s="860"/>
      <c r="F151" s="860"/>
      <c r="G151" s="860"/>
      <c r="H151" s="860"/>
      <c r="I151" s="860"/>
      <c r="J151" s="860"/>
      <c r="K151" s="860"/>
      <c r="L151" s="860"/>
      <c r="M151" s="860"/>
      <c r="N151" s="860"/>
      <c r="O151" s="860"/>
      <c r="P151" s="860"/>
      <c r="Q151" s="860"/>
      <c r="R151" s="860"/>
      <c r="S151" s="860"/>
      <c r="T151" s="1129"/>
      <c r="U151" s="860"/>
      <c r="V151" s="860"/>
      <c r="W151" s="860"/>
      <c r="X151" s="860"/>
      <c r="Y151" s="860"/>
      <c r="AC151" s="1128"/>
      <c r="AD151" s="1128"/>
      <c r="AE151" s="1128"/>
      <c r="AL151" s="860"/>
      <c r="AM151" s="860"/>
      <c r="AN151" s="860"/>
      <c r="AO151" s="860"/>
      <c r="AP151" s="860"/>
      <c r="AQ151" s="860"/>
      <c r="AR151" s="860"/>
      <c r="AS151" s="860"/>
      <c r="AT151" s="860"/>
      <c r="AU151" s="860"/>
      <c r="AV151" s="860"/>
      <c r="AW151" s="860"/>
      <c r="AX151" s="860"/>
      <c r="AY151" s="860"/>
      <c r="BL151" s="860"/>
      <c r="BM151" s="860"/>
      <c r="BN151" s="860"/>
      <c r="BO151" s="860"/>
      <c r="BP151" s="860"/>
      <c r="BQ151" s="860"/>
      <c r="BR151" s="860"/>
      <c r="BS151" s="860"/>
      <c r="BT151" s="860"/>
      <c r="BU151" s="860"/>
      <c r="BV151" s="860"/>
      <c r="BW151" s="860"/>
      <c r="BX151" s="860"/>
      <c r="BY151" s="860"/>
      <c r="CL151" s="860"/>
      <c r="CM151" s="860"/>
      <c r="CN151" s="860"/>
      <c r="CO151" s="860"/>
      <c r="CP151" s="860"/>
      <c r="CQ151" s="860"/>
      <c r="CR151" s="860"/>
      <c r="CS151" s="860"/>
      <c r="CT151" s="860"/>
      <c r="CU151" s="860"/>
      <c r="CV151" s="860"/>
      <c r="CW151" s="860"/>
      <c r="CX151" s="860"/>
      <c r="CY151" s="860"/>
      <c r="DL151" s="860"/>
      <c r="DM151" s="860"/>
      <c r="DN151" s="860"/>
      <c r="DO151" s="860"/>
      <c r="DP151" s="860"/>
      <c r="DQ151" s="860"/>
      <c r="DR151" s="860"/>
      <c r="DS151" s="860"/>
      <c r="DT151" s="860"/>
      <c r="DU151" s="860"/>
      <c r="DV151" s="860"/>
      <c r="DW151" s="860"/>
      <c r="DX151" s="860"/>
      <c r="DY151" s="860"/>
      <c r="EL151" s="860"/>
    </row>
    <row r="152" spans="1:142">
      <c r="A152" s="860"/>
      <c r="D152" s="860"/>
      <c r="E152" s="860"/>
      <c r="F152" s="860"/>
      <c r="G152" s="860"/>
      <c r="H152" s="860"/>
      <c r="I152" s="860"/>
      <c r="J152" s="860"/>
      <c r="K152" s="860"/>
      <c r="L152" s="860"/>
      <c r="M152" s="860"/>
      <c r="N152" s="860"/>
      <c r="O152" s="860"/>
      <c r="P152" s="860"/>
      <c r="Q152" s="860"/>
      <c r="R152" s="860"/>
      <c r="S152" s="860"/>
      <c r="T152" s="860"/>
      <c r="U152" s="860"/>
      <c r="V152" s="860"/>
      <c r="W152" s="860"/>
      <c r="X152" s="860"/>
      <c r="Y152" s="860"/>
      <c r="AL152" s="553"/>
      <c r="BL152" s="553"/>
      <c r="BM152" s="553">
        <v>4595428.13353875</v>
      </c>
      <c r="BN152" s="553">
        <v>4134789.2359554167</v>
      </c>
      <c r="BO152" s="553">
        <v>4591737.1759554166</v>
      </c>
      <c r="BP152" s="553">
        <v>4665057.1759554166</v>
      </c>
      <c r="BQ152" s="553">
        <v>4753857.1759554166</v>
      </c>
      <c r="BR152" s="553">
        <v>4860917.1759554166</v>
      </c>
      <c r="BS152" s="553">
        <v>5041829.202622083</v>
      </c>
      <c r="BT152" s="553">
        <v>4979598.6226220829</v>
      </c>
      <c r="BU152" s="553">
        <v>4922848.6226220829</v>
      </c>
      <c r="BV152" s="553">
        <v>4904598.6226220829</v>
      </c>
      <c r="BW152" s="553">
        <v>4826848.6226220829</v>
      </c>
      <c r="BX152" s="553">
        <v>4854682.1026220834</v>
      </c>
      <c r="CL152" s="553">
        <v>57132191.869048327</v>
      </c>
      <c r="CM152" s="553">
        <v>5070199.1381848706</v>
      </c>
      <c r="CN152" s="553">
        <v>4691603.4161848705</v>
      </c>
      <c r="CO152" s="553">
        <v>5053199.1381848706</v>
      </c>
      <c r="CP152" s="553">
        <v>5133699.1381848706</v>
      </c>
      <c r="CQ152" s="553">
        <v>5192199.1381848706</v>
      </c>
      <c r="CR152" s="553">
        <v>5287699.1381848706</v>
      </c>
      <c r="CS152" s="553">
        <v>5350999.1381848706</v>
      </c>
      <c r="CT152" s="553">
        <v>5249499.1381848706</v>
      </c>
      <c r="CU152" s="553">
        <v>5179224.1381848706</v>
      </c>
      <c r="CV152" s="553">
        <v>5177999.1381848706</v>
      </c>
      <c r="CW152" s="553">
        <v>5043224.1381848706</v>
      </c>
      <c r="CX152" s="553">
        <v>5057499.1381848706</v>
      </c>
      <c r="DL152" s="553">
        <v>61487043.936218455</v>
      </c>
      <c r="DM152" s="553">
        <v>5612762.6478826934</v>
      </c>
      <c r="DN152" s="553">
        <v>5332789.8403226938</v>
      </c>
      <c r="DO152" s="553">
        <v>5532235.6478826934</v>
      </c>
      <c r="DP152" s="553">
        <v>5663335.6478826934</v>
      </c>
      <c r="DQ152" s="553">
        <v>5698085.6478826934</v>
      </c>
      <c r="DR152" s="553">
        <v>5771635.6478826934</v>
      </c>
      <c r="DS152" s="553">
        <v>5854935.6478826934</v>
      </c>
      <c r="DT152" s="553">
        <v>5759135.6478826934</v>
      </c>
      <c r="DU152" s="553">
        <v>5694538.1478826934</v>
      </c>
      <c r="DV152" s="553">
        <v>5660135.6478826934</v>
      </c>
      <c r="DW152" s="553">
        <v>5558538.1478826934</v>
      </c>
      <c r="DX152" s="553">
        <v>5563385.6478826934</v>
      </c>
      <c r="EL152" s="553">
        <v>67701513.967032328</v>
      </c>
    </row>
    <row r="153" spans="1:142">
      <c r="A153" s="860"/>
      <c r="D153" s="860"/>
      <c r="E153" s="860"/>
      <c r="F153" s="860"/>
      <c r="G153" s="860"/>
      <c r="H153" s="860"/>
      <c r="I153" s="860"/>
      <c r="J153" s="860"/>
      <c r="K153" s="860"/>
      <c r="L153" s="860"/>
      <c r="M153" s="860"/>
      <c r="N153" s="860"/>
      <c r="O153" s="860"/>
      <c r="P153" s="860"/>
      <c r="Q153" s="860"/>
      <c r="R153" s="860"/>
      <c r="S153" s="860"/>
      <c r="T153" s="860"/>
      <c r="U153" s="860"/>
      <c r="V153" s="860"/>
      <c r="W153" s="860"/>
      <c r="X153" s="860"/>
      <c r="Y153" s="860"/>
      <c r="AD153" s="1128"/>
      <c r="AF153" s="553"/>
      <c r="AL153" s="860"/>
      <c r="AM153" s="860"/>
      <c r="AN153" s="860"/>
      <c r="AO153" s="860"/>
      <c r="AP153" s="860"/>
      <c r="AQ153" s="860"/>
      <c r="AR153" s="860"/>
      <c r="AS153" s="860"/>
      <c r="AT153" s="860"/>
      <c r="AU153" s="860"/>
      <c r="AV153" s="860"/>
      <c r="AW153" s="860"/>
      <c r="AX153" s="860"/>
      <c r="AY153" s="860"/>
      <c r="BL153" s="860"/>
      <c r="BM153" s="860"/>
      <c r="BN153" s="860"/>
      <c r="BO153" s="860"/>
      <c r="BP153" s="860"/>
      <c r="BQ153" s="860"/>
      <c r="BR153" s="860"/>
      <c r="BS153" s="860"/>
      <c r="BT153" s="860"/>
      <c r="BU153" s="860"/>
      <c r="BV153" s="860"/>
      <c r="BW153" s="860"/>
      <c r="BX153" s="860"/>
      <c r="BY153" s="860"/>
      <c r="CL153" s="860"/>
      <c r="CM153" s="860"/>
      <c r="CN153" s="860"/>
      <c r="CO153" s="860"/>
      <c r="CP153" s="860"/>
      <c r="CQ153" s="860"/>
      <c r="CR153" s="860"/>
      <c r="CS153" s="860"/>
      <c r="CT153" s="860"/>
      <c r="CU153" s="860"/>
      <c r="CV153" s="860"/>
      <c r="CW153" s="860"/>
      <c r="CX153" s="860"/>
      <c r="CY153" s="860"/>
      <c r="DL153" s="860"/>
      <c r="DM153" s="860"/>
      <c r="DN153" s="860"/>
      <c r="DO153" s="860"/>
      <c r="DP153" s="860"/>
      <c r="DQ153" s="860"/>
      <c r="DR153" s="860"/>
      <c r="DS153" s="860"/>
      <c r="DT153" s="860"/>
      <c r="DU153" s="860"/>
      <c r="DV153" s="860"/>
      <c r="DW153" s="860"/>
      <c r="DX153" s="860"/>
      <c r="DY153" s="860"/>
      <c r="EL153" s="860"/>
    </row>
    <row r="154" spans="1:142">
      <c r="A154" s="860"/>
      <c r="D154" s="860"/>
      <c r="E154" s="860"/>
      <c r="F154" s="860"/>
      <c r="G154" s="860"/>
      <c r="H154" s="860"/>
      <c r="I154" s="860"/>
      <c r="J154" s="860"/>
      <c r="K154" s="860"/>
      <c r="L154" s="860"/>
      <c r="M154" s="860"/>
      <c r="N154" s="860"/>
      <c r="O154" s="860"/>
      <c r="P154" s="860"/>
      <c r="Q154" s="860"/>
      <c r="R154" s="860"/>
      <c r="S154" s="860"/>
      <c r="T154" s="860"/>
      <c r="U154" s="860"/>
      <c r="V154" s="860"/>
      <c r="W154" s="860"/>
      <c r="X154" s="860"/>
      <c r="Y154" s="860"/>
      <c r="AL154" s="860"/>
      <c r="AM154" s="860"/>
      <c r="AN154" s="860"/>
      <c r="AO154" s="860"/>
      <c r="AP154" s="860"/>
      <c r="AQ154" s="860"/>
      <c r="AR154" s="860"/>
      <c r="AS154" s="860"/>
      <c r="AT154" s="860"/>
      <c r="AU154" s="860"/>
      <c r="AV154" s="860"/>
      <c r="AW154" s="860"/>
      <c r="AX154" s="860"/>
      <c r="AY154" s="860"/>
      <c r="BL154" s="860"/>
      <c r="BM154" s="860"/>
      <c r="BN154" s="860"/>
      <c r="BO154" s="860"/>
      <c r="BP154" s="860"/>
      <c r="BQ154" s="860"/>
      <c r="BR154" s="860"/>
      <c r="BS154" s="860"/>
      <c r="BT154" s="860"/>
      <c r="BU154" s="860"/>
      <c r="BV154" s="860"/>
      <c r="BW154" s="860"/>
      <c r="BX154" s="860"/>
      <c r="BY154" s="860"/>
      <c r="CL154" s="860"/>
      <c r="CM154" s="860"/>
      <c r="CN154" s="860"/>
      <c r="CO154" s="860"/>
      <c r="CP154" s="860"/>
      <c r="CQ154" s="860"/>
      <c r="CR154" s="860"/>
      <c r="CS154" s="860"/>
      <c r="CT154" s="860"/>
      <c r="CU154" s="860"/>
      <c r="CV154" s="860"/>
      <c r="CW154" s="860"/>
      <c r="CX154" s="860"/>
      <c r="CY154" s="860"/>
      <c r="DL154" s="860"/>
      <c r="DM154" s="860"/>
      <c r="DN154" s="860"/>
      <c r="DO154" s="860"/>
      <c r="DP154" s="860"/>
      <c r="DQ154" s="860"/>
      <c r="DR154" s="860"/>
      <c r="DS154" s="860"/>
      <c r="DT154" s="860"/>
      <c r="DU154" s="860"/>
      <c r="DV154" s="860"/>
      <c r="DW154" s="860"/>
      <c r="DX154" s="860"/>
      <c r="DY154" s="860"/>
      <c r="EL154" s="860"/>
    </row>
    <row r="155" spans="1:142">
      <c r="A155" s="860"/>
      <c r="D155" s="860"/>
      <c r="E155" s="860"/>
      <c r="F155" s="860"/>
      <c r="G155" s="860"/>
      <c r="H155" s="860"/>
      <c r="I155" s="860"/>
      <c r="J155" s="860"/>
      <c r="K155" s="860"/>
      <c r="L155" s="860"/>
      <c r="M155" s="860"/>
      <c r="N155" s="860"/>
      <c r="O155" s="860"/>
      <c r="P155" s="860"/>
      <c r="Q155" s="860"/>
      <c r="R155" s="860"/>
      <c r="S155" s="860"/>
      <c r="T155" s="860"/>
      <c r="U155" s="860"/>
      <c r="V155" s="860"/>
      <c r="W155" s="860"/>
      <c r="X155" s="860"/>
      <c r="Y155" s="860"/>
      <c r="AL155" s="860"/>
      <c r="AM155" s="860"/>
      <c r="AN155" s="860"/>
      <c r="AO155" s="860"/>
      <c r="AP155" s="860"/>
      <c r="AQ155" s="860"/>
      <c r="AR155" s="860"/>
      <c r="AS155" s="860"/>
      <c r="AT155" s="860"/>
      <c r="AU155" s="860"/>
      <c r="AV155" s="860"/>
      <c r="AW155" s="860"/>
      <c r="AX155" s="860"/>
      <c r="AY155" s="860"/>
      <c r="BL155" s="860"/>
      <c r="BM155" s="860"/>
      <c r="BN155" s="860"/>
      <c r="BO155" s="860"/>
      <c r="BP155" s="860"/>
      <c r="BQ155" s="860"/>
      <c r="BR155" s="860"/>
      <c r="BS155" s="860"/>
      <c r="BT155" s="860"/>
      <c r="BU155" s="860"/>
      <c r="BV155" s="860"/>
      <c r="BW155" s="860"/>
      <c r="BX155" s="860"/>
      <c r="BY155" s="860"/>
      <c r="CL155" s="860"/>
      <c r="CM155" s="860"/>
      <c r="CN155" s="860"/>
      <c r="CO155" s="860"/>
      <c r="CP155" s="860"/>
      <c r="CQ155" s="860"/>
      <c r="CR155" s="860"/>
      <c r="CS155" s="860"/>
      <c r="CT155" s="860"/>
      <c r="CU155" s="860"/>
      <c r="CV155" s="860"/>
      <c r="CW155" s="860"/>
      <c r="CX155" s="860"/>
      <c r="CY155" s="860"/>
      <c r="DL155" s="860"/>
      <c r="DM155" s="860"/>
      <c r="DN155" s="860"/>
      <c r="DO155" s="860"/>
      <c r="DP155" s="860"/>
      <c r="DQ155" s="860"/>
      <c r="DR155" s="860"/>
      <c r="DS155" s="860"/>
      <c r="DT155" s="860"/>
      <c r="DU155" s="860"/>
      <c r="DV155" s="860"/>
      <c r="DW155" s="860"/>
      <c r="DX155" s="860"/>
      <c r="DY155" s="860"/>
      <c r="EL155" s="860"/>
    </row>
    <row r="156" spans="1:142">
      <c r="A156" s="860"/>
      <c r="D156" s="860"/>
      <c r="E156" s="860"/>
      <c r="F156" s="860"/>
      <c r="G156" s="860"/>
      <c r="H156" s="860"/>
      <c r="I156" s="860"/>
      <c r="J156" s="860"/>
      <c r="K156" s="860"/>
      <c r="L156" s="860"/>
      <c r="M156" s="860"/>
      <c r="N156" s="860"/>
      <c r="O156" s="860"/>
      <c r="P156" s="860"/>
      <c r="Q156" s="860"/>
      <c r="R156" s="860"/>
      <c r="S156" s="860"/>
      <c r="T156" s="860"/>
      <c r="U156" s="860"/>
      <c r="V156" s="860"/>
      <c r="W156" s="860"/>
      <c r="X156" s="860"/>
      <c r="Y156" s="860"/>
      <c r="AL156" s="860"/>
      <c r="AM156" s="860"/>
      <c r="AN156" s="860"/>
      <c r="AO156" s="860"/>
      <c r="AP156" s="860"/>
      <c r="AQ156" s="860"/>
      <c r="AR156" s="860"/>
      <c r="AS156" s="860"/>
      <c r="AT156" s="860"/>
      <c r="AU156" s="860"/>
      <c r="AV156" s="860"/>
      <c r="AW156" s="860"/>
      <c r="AX156" s="860"/>
      <c r="AY156" s="860"/>
      <c r="BL156" s="860"/>
      <c r="BM156" s="860"/>
      <c r="BN156" s="860"/>
      <c r="BO156" s="860"/>
      <c r="BP156" s="860"/>
      <c r="BQ156" s="860"/>
      <c r="BR156" s="860"/>
      <c r="BS156" s="860"/>
      <c r="BT156" s="860"/>
      <c r="BU156" s="860"/>
      <c r="BV156" s="860"/>
      <c r="BW156" s="860"/>
      <c r="BX156" s="860"/>
      <c r="BY156" s="860"/>
      <c r="CL156" s="860"/>
      <c r="CM156" s="860"/>
      <c r="CN156" s="860"/>
      <c r="CO156" s="860"/>
      <c r="CP156" s="860"/>
      <c r="CQ156" s="860"/>
      <c r="CR156" s="860"/>
      <c r="CS156" s="860"/>
      <c r="CT156" s="860"/>
      <c r="CU156" s="860"/>
      <c r="CV156" s="860"/>
      <c r="CW156" s="860"/>
      <c r="CX156" s="860"/>
      <c r="CY156" s="860"/>
      <c r="DL156" s="860"/>
      <c r="DM156" s="860"/>
      <c r="DN156" s="860"/>
      <c r="DO156" s="860"/>
      <c r="DP156" s="860"/>
      <c r="DQ156" s="860"/>
      <c r="DR156" s="860"/>
      <c r="DS156" s="860"/>
      <c r="DT156" s="860"/>
      <c r="DU156" s="860"/>
      <c r="DV156" s="860"/>
      <c r="DW156" s="860"/>
      <c r="DX156" s="860"/>
      <c r="DY156" s="860"/>
      <c r="EL156" s="860"/>
    </row>
    <row r="157" spans="1:142">
      <c r="A157" s="860"/>
      <c r="D157" s="860"/>
      <c r="E157" s="860"/>
      <c r="F157" s="860"/>
      <c r="G157" s="860"/>
      <c r="H157" s="860"/>
      <c r="I157" s="860"/>
      <c r="J157" s="860"/>
      <c r="K157" s="860"/>
      <c r="L157" s="860"/>
      <c r="M157" s="860"/>
      <c r="N157" s="860"/>
      <c r="O157" s="860"/>
      <c r="P157" s="860"/>
      <c r="Q157" s="860"/>
      <c r="R157" s="860"/>
      <c r="S157" s="860"/>
      <c r="T157" s="860"/>
      <c r="U157" s="860"/>
      <c r="V157" s="860"/>
      <c r="W157" s="860"/>
      <c r="X157" s="860"/>
      <c r="Y157" s="860"/>
      <c r="AL157" s="860"/>
      <c r="AM157" s="860"/>
      <c r="AN157" s="860"/>
      <c r="AO157" s="860"/>
      <c r="AP157" s="860"/>
      <c r="AQ157" s="860"/>
      <c r="AR157" s="860"/>
      <c r="AS157" s="860"/>
      <c r="AT157" s="860"/>
      <c r="AU157" s="860"/>
      <c r="AV157" s="860"/>
      <c r="AW157" s="860"/>
      <c r="AX157" s="860"/>
      <c r="AY157" s="860"/>
      <c r="BL157" s="860"/>
      <c r="BM157" s="860"/>
      <c r="BN157" s="860"/>
      <c r="BO157" s="860"/>
      <c r="BP157" s="860"/>
      <c r="BQ157" s="860"/>
      <c r="BR157" s="860"/>
      <c r="BS157" s="860"/>
      <c r="BT157" s="860"/>
      <c r="BU157" s="860"/>
      <c r="BV157" s="860"/>
      <c r="BW157" s="860"/>
      <c r="BX157" s="860"/>
      <c r="BY157" s="860"/>
      <c r="CL157" s="860"/>
      <c r="CM157" s="860"/>
      <c r="CN157" s="860"/>
      <c r="CO157" s="860"/>
      <c r="CP157" s="860"/>
      <c r="CQ157" s="860"/>
      <c r="CR157" s="860"/>
      <c r="CS157" s="860"/>
      <c r="CT157" s="860"/>
      <c r="CU157" s="860"/>
      <c r="CV157" s="860"/>
      <c r="CW157" s="860"/>
      <c r="CX157" s="860"/>
      <c r="CY157" s="860"/>
      <c r="DL157" s="860"/>
      <c r="DM157" s="860"/>
      <c r="DN157" s="860"/>
      <c r="DO157" s="860"/>
      <c r="DP157" s="860"/>
      <c r="DQ157" s="860"/>
      <c r="DR157" s="860"/>
      <c r="DS157" s="860"/>
      <c r="DT157" s="860"/>
      <c r="DU157" s="860"/>
      <c r="DV157" s="860"/>
      <c r="DW157" s="860"/>
      <c r="DX157" s="860"/>
      <c r="DY157" s="860"/>
      <c r="EL157" s="860"/>
    </row>
    <row r="158" spans="1:142">
      <c r="A158" s="860"/>
      <c r="D158" s="860"/>
      <c r="E158" s="860"/>
      <c r="F158" s="860"/>
      <c r="G158" s="860"/>
      <c r="H158" s="860"/>
      <c r="I158" s="860"/>
      <c r="J158" s="860"/>
      <c r="K158" s="860"/>
      <c r="L158" s="860"/>
      <c r="M158" s="860"/>
      <c r="N158" s="860"/>
      <c r="O158" s="860"/>
      <c r="P158" s="860"/>
      <c r="Q158" s="860"/>
      <c r="R158" s="860"/>
      <c r="S158" s="860"/>
      <c r="T158" s="860"/>
      <c r="U158" s="860"/>
      <c r="V158" s="860"/>
      <c r="W158" s="860"/>
      <c r="X158" s="860"/>
      <c r="Y158" s="860"/>
      <c r="AL158" s="860"/>
      <c r="AM158" s="860"/>
      <c r="AN158" s="860"/>
      <c r="AO158" s="860"/>
      <c r="AP158" s="860"/>
      <c r="AQ158" s="860"/>
      <c r="AR158" s="860"/>
      <c r="AS158" s="860"/>
      <c r="AT158" s="860"/>
      <c r="AU158" s="860"/>
      <c r="AV158" s="860"/>
      <c r="AW158" s="860"/>
      <c r="AX158" s="860"/>
      <c r="AY158" s="860"/>
      <c r="BL158" s="860"/>
      <c r="BM158" s="860"/>
      <c r="BN158" s="860"/>
      <c r="BO158" s="860"/>
      <c r="BP158" s="860"/>
      <c r="BQ158" s="860"/>
      <c r="BR158" s="860"/>
      <c r="BS158" s="860"/>
      <c r="BT158" s="860"/>
      <c r="BU158" s="860"/>
      <c r="BV158" s="860"/>
      <c r="BW158" s="860"/>
      <c r="BX158" s="860"/>
      <c r="BY158" s="860"/>
      <c r="CL158" s="860"/>
      <c r="CM158" s="860"/>
      <c r="CN158" s="860"/>
      <c r="CO158" s="860"/>
      <c r="CP158" s="860"/>
      <c r="CQ158" s="860"/>
      <c r="CR158" s="860"/>
      <c r="CS158" s="860"/>
      <c r="CT158" s="860"/>
      <c r="CU158" s="860"/>
      <c r="CV158" s="860"/>
      <c r="CW158" s="860"/>
      <c r="CX158" s="860"/>
      <c r="CY158" s="860"/>
      <c r="DL158" s="860"/>
      <c r="DM158" s="860"/>
      <c r="DN158" s="860"/>
      <c r="DO158" s="860"/>
      <c r="DP158" s="860"/>
      <c r="DQ158" s="860"/>
      <c r="DR158" s="860"/>
      <c r="DS158" s="860"/>
      <c r="DT158" s="860"/>
      <c r="DU158" s="860"/>
      <c r="DV158" s="860"/>
      <c r="DW158" s="860"/>
      <c r="DX158" s="860"/>
      <c r="DY158" s="860"/>
      <c r="EL158" s="860"/>
    </row>
    <row r="159" spans="1:142">
      <c r="A159" s="860"/>
      <c r="D159" s="860"/>
      <c r="E159" s="860"/>
      <c r="F159" s="860"/>
      <c r="G159" s="860"/>
      <c r="H159" s="860"/>
      <c r="I159" s="860"/>
      <c r="J159" s="860"/>
      <c r="K159" s="860"/>
      <c r="L159" s="860"/>
      <c r="M159" s="860"/>
      <c r="N159" s="860"/>
      <c r="O159" s="860"/>
      <c r="P159" s="860"/>
      <c r="Q159" s="860"/>
      <c r="R159" s="860"/>
      <c r="S159" s="860"/>
      <c r="T159" s="860"/>
      <c r="U159" s="860"/>
      <c r="V159" s="860"/>
      <c r="W159" s="860"/>
      <c r="X159" s="860"/>
      <c r="Y159" s="860"/>
      <c r="AL159" s="860"/>
      <c r="AM159" s="860"/>
      <c r="AN159" s="860"/>
      <c r="AO159" s="860"/>
      <c r="AP159" s="860"/>
      <c r="AQ159" s="860"/>
      <c r="AR159" s="860"/>
      <c r="AS159" s="860"/>
      <c r="AT159" s="860"/>
      <c r="AU159" s="860"/>
      <c r="AV159" s="860"/>
      <c r="AW159" s="860"/>
      <c r="AX159" s="860"/>
      <c r="AY159" s="860"/>
      <c r="BL159" s="860"/>
      <c r="BM159" s="860"/>
      <c r="BN159" s="860"/>
      <c r="BO159" s="860"/>
      <c r="BP159" s="860"/>
      <c r="BQ159" s="860"/>
      <c r="BR159" s="860"/>
      <c r="BS159" s="860"/>
      <c r="BT159" s="860"/>
      <c r="BU159" s="860"/>
      <c r="BV159" s="860"/>
      <c r="BW159" s="860"/>
      <c r="BX159" s="860"/>
      <c r="BY159" s="860"/>
      <c r="CL159" s="860"/>
      <c r="CM159" s="860"/>
      <c r="CN159" s="860"/>
      <c r="CO159" s="860"/>
      <c r="CP159" s="860"/>
      <c r="CQ159" s="860"/>
      <c r="CR159" s="860"/>
      <c r="CS159" s="860"/>
      <c r="CT159" s="860"/>
      <c r="CU159" s="860"/>
      <c r="CV159" s="860"/>
      <c r="CW159" s="860"/>
      <c r="CX159" s="860"/>
      <c r="CY159" s="860"/>
      <c r="DL159" s="860"/>
      <c r="DM159" s="860"/>
      <c r="DN159" s="860"/>
      <c r="DO159" s="860"/>
      <c r="DP159" s="860"/>
      <c r="DQ159" s="860"/>
      <c r="DR159" s="860"/>
      <c r="DS159" s="860"/>
      <c r="DT159" s="860"/>
      <c r="DU159" s="860"/>
      <c r="DV159" s="860"/>
      <c r="DW159" s="860"/>
      <c r="DX159" s="860"/>
      <c r="DY159" s="860"/>
      <c r="EL159" s="860"/>
    </row>
    <row r="160" spans="1:142">
      <c r="A160" s="860"/>
      <c r="D160" s="860"/>
      <c r="E160" s="860"/>
      <c r="F160" s="860"/>
      <c r="G160" s="860"/>
      <c r="H160" s="860"/>
      <c r="I160" s="860"/>
      <c r="J160" s="860"/>
      <c r="K160" s="860"/>
      <c r="L160" s="860"/>
      <c r="M160" s="860"/>
      <c r="N160" s="860"/>
      <c r="O160" s="860"/>
      <c r="P160" s="860"/>
      <c r="Q160" s="860"/>
      <c r="R160" s="860"/>
      <c r="S160" s="860"/>
      <c r="T160" s="860"/>
      <c r="U160" s="860"/>
      <c r="V160" s="860"/>
      <c r="W160" s="860"/>
      <c r="X160" s="860"/>
      <c r="Y160" s="860"/>
      <c r="AL160" s="860"/>
      <c r="AM160" s="860"/>
      <c r="AN160" s="860"/>
      <c r="AO160" s="860"/>
      <c r="AP160" s="860"/>
      <c r="AQ160" s="860"/>
      <c r="AR160" s="860"/>
      <c r="AS160" s="860"/>
      <c r="AT160" s="860"/>
      <c r="AU160" s="860"/>
      <c r="AV160" s="860"/>
      <c r="AW160" s="860"/>
      <c r="AX160" s="860"/>
      <c r="AY160" s="860"/>
      <c r="BL160" s="860"/>
      <c r="BM160" s="860"/>
      <c r="BN160" s="860"/>
      <c r="BO160" s="860"/>
      <c r="BP160" s="860"/>
      <c r="BQ160" s="860"/>
      <c r="BR160" s="860"/>
      <c r="BS160" s="860"/>
      <c r="BT160" s="860"/>
      <c r="BU160" s="860"/>
      <c r="BV160" s="860"/>
      <c r="BW160" s="860"/>
      <c r="BX160" s="860"/>
      <c r="BY160" s="860"/>
      <c r="CL160" s="860"/>
      <c r="CM160" s="860"/>
      <c r="CN160" s="860"/>
      <c r="CO160" s="860"/>
      <c r="CP160" s="860"/>
      <c r="CQ160" s="860"/>
      <c r="CR160" s="860"/>
      <c r="CS160" s="860"/>
      <c r="CT160" s="860"/>
      <c r="CU160" s="860"/>
      <c r="CV160" s="860"/>
      <c r="CW160" s="860"/>
      <c r="CX160" s="860"/>
      <c r="CY160" s="860"/>
      <c r="DL160" s="860"/>
      <c r="DM160" s="860"/>
      <c r="DN160" s="860"/>
      <c r="DO160" s="860"/>
      <c r="DP160" s="860"/>
      <c r="DQ160" s="860"/>
      <c r="DR160" s="860"/>
      <c r="DS160" s="860"/>
      <c r="DT160" s="860"/>
      <c r="DU160" s="860"/>
      <c r="DV160" s="860"/>
      <c r="DW160" s="860"/>
      <c r="DX160" s="860"/>
      <c r="DY160" s="860"/>
      <c r="EL160" s="860"/>
    </row>
    <row r="161" s="860" customFormat="1"/>
    <row r="162" s="860" customFormat="1"/>
    <row r="163" s="860" customFormat="1"/>
    <row r="164" s="860" customFormat="1"/>
    <row r="165" s="860" customFormat="1"/>
    <row r="166" s="860" customFormat="1"/>
    <row r="167" s="860" customFormat="1"/>
    <row r="168" s="860" customFormat="1"/>
    <row r="169" s="860" customFormat="1"/>
    <row r="170" s="860" customFormat="1"/>
    <row r="171" s="860" customFormat="1"/>
    <row r="172" s="860" customFormat="1"/>
    <row r="173" s="860" customFormat="1"/>
    <row r="174" s="860" customFormat="1"/>
    <row r="175" s="860" customFormat="1"/>
    <row r="176" s="860" customFormat="1"/>
    <row r="177" s="860" customFormat="1"/>
    <row r="178" s="860" customFormat="1"/>
    <row r="179" s="860" customFormat="1"/>
    <row r="180" s="860" customFormat="1"/>
    <row r="181" s="860" customFormat="1"/>
    <row r="182" s="860" customFormat="1"/>
    <row r="183" s="860" customFormat="1"/>
    <row r="184" s="860" customFormat="1"/>
    <row r="185" s="860" customFormat="1"/>
    <row r="186" s="860" customFormat="1"/>
    <row r="187" s="860" customFormat="1"/>
    <row r="188" s="860" customFormat="1"/>
    <row r="189" s="860" customFormat="1"/>
    <row r="190" s="860" customFormat="1"/>
    <row r="191" s="860" customFormat="1"/>
    <row r="192" s="860" customFormat="1"/>
    <row r="193" s="860" customFormat="1"/>
    <row r="194" s="860" customFormat="1"/>
    <row r="195" s="860" customFormat="1"/>
    <row r="196" s="860" customFormat="1"/>
    <row r="197" s="860" customFormat="1"/>
    <row r="198" s="860" customFormat="1"/>
    <row r="199" s="860" customFormat="1"/>
    <row r="200" s="860" customFormat="1"/>
    <row r="201" s="860" customFormat="1"/>
    <row r="202" s="860" customFormat="1"/>
    <row r="203" s="860" customFormat="1"/>
    <row r="204" s="860" customFormat="1"/>
    <row r="205" s="860" customFormat="1"/>
    <row r="206" s="860" customFormat="1"/>
    <row r="207" s="860" customFormat="1"/>
    <row r="208" s="860" customFormat="1"/>
    <row r="209" s="860" customFormat="1"/>
    <row r="210" s="860" customFormat="1"/>
    <row r="211" s="860" customFormat="1"/>
    <row r="212" s="860" customFormat="1"/>
    <row r="213" s="860" customFormat="1"/>
    <row r="214" s="860" customFormat="1"/>
    <row r="215" s="860" customFormat="1"/>
    <row r="216" s="860" customFormat="1"/>
    <row r="217" s="860" customFormat="1"/>
    <row r="218" s="860" customFormat="1"/>
    <row r="219" s="860" customFormat="1"/>
    <row r="220" s="860" customFormat="1"/>
    <row r="221" s="860" customFormat="1"/>
    <row r="222" s="860" customFormat="1"/>
    <row r="223" s="860" customFormat="1"/>
    <row r="224" s="860" customFormat="1"/>
    <row r="225" s="860" customFormat="1"/>
    <row r="226" s="860" customFormat="1"/>
    <row r="227" s="860" customFormat="1"/>
    <row r="228" s="860" customFormat="1"/>
    <row r="229" s="860" customFormat="1"/>
    <row r="230" s="860" customFormat="1"/>
    <row r="231" s="860" customFormat="1"/>
    <row r="232" s="860" customFormat="1"/>
    <row r="233" s="860" customFormat="1"/>
    <row r="234" s="860" customFormat="1"/>
    <row r="235" s="860" customFormat="1"/>
    <row r="236" s="860" customFormat="1"/>
    <row r="237" s="860" customFormat="1"/>
    <row r="238" s="860" customFormat="1"/>
    <row r="239" s="860" customFormat="1"/>
    <row r="240" s="860" customFormat="1"/>
    <row r="241" s="860" customFormat="1"/>
    <row r="242" s="860" customFormat="1"/>
    <row r="243" s="860" customFormat="1"/>
    <row r="244" s="860" customFormat="1"/>
    <row r="245" s="860" customFormat="1"/>
    <row r="246" s="860" customFormat="1"/>
    <row r="247" s="860" customFormat="1"/>
    <row r="248" s="860" customFormat="1"/>
    <row r="249" s="860" customFormat="1"/>
    <row r="250" s="860" customFormat="1"/>
    <row r="251" s="860" customFormat="1"/>
    <row r="252" s="860" customFormat="1"/>
    <row r="253" s="860" customFormat="1"/>
    <row r="254" s="860" customFormat="1"/>
    <row r="255" s="860" customFormat="1"/>
    <row r="256" s="860" customFormat="1"/>
    <row r="257" s="860" customFormat="1"/>
    <row r="258" s="860" customFormat="1"/>
    <row r="259" s="860" customFormat="1"/>
    <row r="260" s="860" customFormat="1"/>
    <row r="261" s="860" customFormat="1"/>
    <row r="262" s="860" customFormat="1"/>
    <row r="263" s="860" customFormat="1"/>
    <row r="264" s="860" customFormat="1"/>
    <row r="265" s="860" customFormat="1"/>
    <row r="266" s="860" customFormat="1"/>
    <row r="267" s="860" customFormat="1"/>
    <row r="268" s="860" customFormat="1"/>
    <row r="269" s="860" customFormat="1"/>
    <row r="270" s="860" customFormat="1"/>
    <row r="271" s="860" customFormat="1"/>
    <row r="272" s="860" customFormat="1"/>
    <row r="273" s="860" customFormat="1"/>
    <row r="274" s="860" customFormat="1"/>
    <row r="275" s="860" customFormat="1"/>
    <row r="276" s="860" customFormat="1"/>
    <row r="277" s="860" customFormat="1"/>
    <row r="278" s="860" customFormat="1"/>
    <row r="279" s="860" customFormat="1"/>
    <row r="280" s="860" customFormat="1"/>
    <row r="281" s="860" customFormat="1"/>
    <row r="282" s="860" customFormat="1"/>
    <row r="283" s="860" customFormat="1"/>
    <row r="284" s="860" customFormat="1"/>
    <row r="285" s="860" customFormat="1"/>
  </sheetData>
  <mergeCells count="30">
    <mergeCell ref="J1:J2"/>
    <mergeCell ref="K1:K2"/>
    <mergeCell ref="M1:Y1"/>
    <mergeCell ref="A1:A2"/>
    <mergeCell ref="B1:B2"/>
    <mergeCell ref="C1:C2"/>
    <mergeCell ref="D1:D2"/>
    <mergeCell ref="E1:E2"/>
    <mergeCell ref="F1:F2"/>
    <mergeCell ref="A130:C130"/>
    <mergeCell ref="CZ1:DL1"/>
    <mergeCell ref="DM1:DY1"/>
    <mergeCell ref="DZ1:EL1"/>
    <mergeCell ref="A5:C5"/>
    <mergeCell ref="A14:C14"/>
    <mergeCell ref="A24:C24"/>
    <mergeCell ref="Z1:AL1"/>
    <mergeCell ref="AM1:AY1"/>
    <mergeCell ref="AZ1:BL1"/>
    <mergeCell ref="BM1:BY1"/>
    <mergeCell ref="BZ1:CL1"/>
    <mergeCell ref="CM1:CY1"/>
    <mergeCell ref="G1:G2"/>
    <mergeCell ref="H1:H2"/>
    <mergeCell ref="I1:I2"/>
    <mergeCell ref="A29:C29"/>
    <mergeCell ref="A74:C74"/>
    <mergeCell ref="A97:C97"/>
    <mergeCell ref="A122:C122"/>
    <mergeCell ref="A127:C127"/>
  </mergeCells>
  <phoneticPr fontId="10" type="noConversion"/>
  <pageMargins left="0.75" right="0.75" top="1" bottom="1" header="0.5" footer="0.5"/>
  <pageSetup orientation="portrait" horizontalDpi="1200" verticalDpi="1200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U474"/>
  <sheetViews>
    <sheetView showGridLines="0" topLeftCell="A418" zoomScale="70" zoomScaleNormal="70" workbookViewId="0">
      <selection activeCell="N450" sqref="N450"/>
    </sheetView>
  </sheetViews>
  <sheetFormatPr defaultColWidth="9" defaultRowHeight="15.6"/>
  <cols>
    <col min="1" max="1" width="4.09765625" style="1528" customWidth="1"/>
    <col min="2" max="2" width="16.09765625" style="5" customWidth="1"/>
    <col min="3" max="3" width="14.09765625" style="5" customWidth="1"/>
    <col min="4" max="4" width="6.8984375" style="5" customWidth="1"/>
    <col min="5" max="5" width="6.3984375" style="5" hidden="1" customWidth="1"/>
    <col min="6" max="6" width="27.09765625" style="5" customWidth="1"/>
    <col min="7" max="7" width="9.09765625" style="5" customWidth="1"/>
    <col min="8" max="8" width="11.59765625" style="1695" customWidth="1"/>
    <col min="9" max="9" width="11.59765625" style="2491" customWidth="1"/>
    <col min="10" max="10" width="14.3984375" style="5" customWidth="1"/>
    <col min="11" max="13" width="14.3984375" style="1536" customWidth="1"/>
    <col min="14" max="21" width="14.3984375" style="5" customWidth="1"/>
    <col min="22" max="22" width="19.09765625" style="5" customWidth="1"/>
    <col min="23" max="23" width="11" style="1535" hidden="1" customWidth="1"/>
    <col min="24" max="26" width="10.09765625" style="1535" hidden="1" customWidth="1"/>
    <col min="27" max="27" width="8.8984375" style="5" hidden="1" customWidth="1"/>
    <col min="28" max="28" width="8.8984375" style="1695" hidden="1" customWidth="1"/>
    <col min="29" max="29" width="8.8984375" style="1696" hidden="1" customWidth="1"/>
    <col min="30" max="32" width="10.09765625" style="1535" hidden="1" customWidth="1"/>
    <col min="33" max="33" width="10.09765625" style="1535" customWidth="1"/>
    <col min="34" max="34" width="9" style="1535" customWidth="1"/>
    <col min="35" max="35" width="10.3984375" style="5" bestFit="1" customWidth="1"/>
    <col min="36" max="16384" width="9" style="5"/>
  </cols>
  <sheetData>
    <row r="1" spans="1:32" ht="23.25" customHeight="1">
      <c r="A1" s="1529" t="s">
        <v>33</v>
      </c>
      <c r="B1" s="1530"/>
      <c r="C1" s="1530"/>
      <c r="D1" s="1530"/>
      <c r="E1" s="1530"/>
      <c r="F1" s="1530"/>
      <c r="G1" s="1532"/>
      <c r="J1" s="1532"/>
      <c r="K1" s="1534"/>
      <c r="L1" s="1534"/>
      <c r="M1" s="1534"/>
      <c r="N1" s="1532"/>
      <c r="O1" s="1532"/>
      <c r="P1" s="1532"/>
      <c r="Q1" s="1532"/>
      <c r="R1" s="1532"/>
      <c r="S1" s="1532"/>
      <c r="T1" s="1532"/>
      <c r="U1" s="1532"/>
      <c r="AA1" s="1532"/>
    </row>
    <row r="2" spans="1:32" ht="23.25" customHeight="1">
      <c r="A2" s="1697"/>
      <c r="F2" s="1698"/>
      <c r="G2" s="1698"/>
      <c r="H2" s="1698"/>
      <c r="I2" s="1698"/>
      <c r="J2" s="1698"/>
      <c r="K2" s="5366"/>
      <c r="L2" s="5366"/>
      <c r="M2" s="5366"/>
      <c r="N2" s="1698"/>
      <c r="O2" s="1698"/>
      <c r="P2" s="1698"/>
      <c r="Q2" s="1698"/>
      <c r="R2" s="1698"/>
      <c r="S2" s="1698"/>
      <c r="T2" s="1698"/>
      <c r="U2" s="1698"/>
      <c r="AA2" s="1698"/>
      <c r="AB2" s="1698"/>
      <c r="AC2" s="1698"/>
    </row>
    <row r="3" spans="1:32" ht="23.25" customHeight="1" thickBot="1">
      <c r="A3" s="1538" t="s">
        <v>432</v>
      </c>
      <c r="B3" s="1993"/>
      <c r="G3" s="1699">
        <v>7</v>
      </c>
      <c r="H3" s="1699">
        <v>10</v>
      </c>
      <c r="I3" s="3660">
        <v>15</v>
      </c>
      <c r="U3" s="1537"/>
      <c r="V3" s="1537" t="s">
        <v>104</v>
      </c>
    </row>
    <row r="4" spans="1:32" ht="27" customHeight="1" thickBot="1">
      <c r="A4" s="1539" t="s">
        <v>40</v>
      </c>
      <c r="B4" s="74" t="s">
        <v>106</v>
      </c>
      <c r="C4" s="74" t="s">
        <v>105</v>
      </c>
      <c r="D4" s="74" t="s">
        <v>990</v>
      </c>
      <c r="E4" s="74" t="s">
        <v>1010</v>
      </c>
      <c r="F4" s="74" t="s">
        <v>107</v>
      </c>
      <c r="G4" s="1680" t="s">
        <v>384</v>
      </c>
      <c r="H4" s="3781" t="s">
        <v>283</v>
      </c>
      <c r="I4" s="1702" t="s">
        <v>186</v>
      </c>
      <c r="J4" s="4490" t="str">
        <f>'2. S Plan'!L4</f>
        <v>Jan.26</v>
      </c>
      <c r="K4" s="5005" t="str">
        <f>'2. S Plan'!M4</f>
        <v>Feb.26</v>
      </c>
      <c r="L4" s="5494" t="str">
        <f>'2. S Plan'!N4</f>
        <v>Mar.26</v>
      </c>
      <c r="M4" s="4490" t="str">
        <f>'2. S Plan'!O4</f>
        <v>Apr.26</v>
      </c>
      <c r="N4" s="74" t="str">
        <f>'2. S Plan'!P4</f>
        <v>May.26</v>
      </c>
      <c r="O4" s="1540" t="str">
        <f>'2. S Plan'!Q4</f>
        <v>Jun.26</v>
      </c>
      <c r="P4" s="1539" t="str">
        <f>'2. S Plan'!R4</f>
        <v>Jul.26</v>
      </c>
      <c r="Q4" s="74" t="str">
        <f>'2. S Plan'!S4</f>
        <v>Aug.26</v>
      </c>
      <c r="R4" s="1540" t="str">
        <f>'2. S Plan'!T4</f>
        <v>Sep.26</v>
      </c>
      <c r="S4" s="1539" t="str">
        <f>'2. S Plan'!U4</f>
        <v>Oct.26</v>
      </c>
      <c r="T4" s="74" t="str">
        <f>'2. S Plan'!V4</f>
        <v>Nov.26</v>
      </c>
      <c r="U4" s="1540" t="str">
        <f>'2. S Plan'!W4</f>
        <v>Dec.26</v>
      </c>
      <c r="V4" s="1541" t="str">
        <f>'2. S Plan'!X4</f>
        <v>2026
Total</v>
      </c>
      <c r="AA4" s="1700" t="s">
        <v>384</v>
      </c>
      <c r="AB4" s="1701" t="s">
        <v>283</v>
      </c>
      <c r="AC4" s="1702" t="s">
        <v>186</v>
      </c>
    </row>
    <row r="5" spans="1:32" ht="15.75" customHeight="1">
      <c r="A5" s="7224">
        <v>1</v>
      </c>
      <c r="B5" s="7299" t="s">
        <v>16</v>
      </c>
      <c r="C5" s="7302" t="s">
        <v>19</v>
      </c>
      <c r="D5" s="7218" t="s">
        <v>844</v>
      </c>
      <c r="E5" s="1615"/>
      <c r="F5" s="1670" t="str">
        <f>'2. S Plan'!F5</f>
        <v>Galaxy Tap</v>
      </c>
      <c r="G5" s="3792">
        <f>IFERROR(VLOOKUP(F5,B.BasicInfomation!$B:$O,6,0),"")</f>
        <v>0.79</v>
      </c>
      <c r="H5" s="3782">
        <f>IFERROR(VLOOKUP(F5,B.BasicInfomation!$B:$O,9,0),"")</f>
        <v>4.1500000000000002E-2</v>
      </c>
      <c r="I5" s="3661" t="str">
        <f>IFERROR(VLOOKUP(F5,B.BasicInfomation!$B:$O,14,0),"")</f>
        <v>S36</v>
      </c>
      <c r="J5" s="4678">
        <f>'2. S Plan'!L5</f>
        <v>0</v>
      </c>
      <c r="K5" s="5235">
        <f>'2. S Plan'!M5</f>
        <v>0</v>
      </c>
      <c r="L5" s="5601">
        <f>'2. S Plan'!N5</f>
        <v>0</v>
      </c>
      <c r="M5" s="4678">
        <f>'2. S Plan'!O5</f>
        <v>0</v>
      </c>
      <c r="N5" s="1543">
        <f>'2. S Plan'!P5</f>
        <v>0</v>
      </c>
      <c r="O5" s="1708">
        <f>'2. S Plan'!Q5</f>
        <v>0</v>
      </c>
      <c r="P5" s="1640">
        <f>'2. S Plan'!R5</f>
        <v>0</v>
      </c>
      <c r="Q5" s="1543">
        <f>'2. S Plan'!S5</f>
        <v>0</v>
      </c>
      <c r="R5" s="1544">
        <f>'2. S Plan'!T5</f>
        <v>0</v>
      </c>
      <c r="S5" s="1709">
        <f>'2. S Plan'!U5</f>
        <v>0</v>
      </c>
      <c r="T5" s="1543">
        <f>'2. S Plan'!V5</f>
        <v>10000</v>
      </c>
      <c r="U5" s="1544">
        <f>'2. S Plan'!W5</f>
        <v>50000</v>
      </c>
      <c r="V5" s="1545">
        <f>SUM(J5:U5)</f>
        <v>60000</v>
      </c>
      <c r="W5" s="1710"/>
      <c r="X5" s="1711">
        <v>0.19</v>
      </c>
      <c r="Y5" s="1711">
        <f>_xlfn.XLOOKUP(F5,B.BasicInfomation!B:B,B.BasicInfomation!J:J,"",0)</f>
        <v>4.1500000000000002E-2</v>
      </c>
      <c r="AA5" s="1703">
        <f t="shared" ref="AA5:AA18" si="0">G5</f>
        <v>0.79</v>
      </c>
      <c r="AB5" s="1712">
        <f t="shared" ref="AB5:AB18" si="1">H5</f>
        <v>4.1500000000000002E-2</v>
      </c>
      <c r="AC5" s="1704" t="str">
        <f t="shared" ref="AC5:AC18" si="2">I5</f>
        <v>S36</v>
      </c>
      <c r="AD5" s="1535" t="b">
        <f t="shared" ref="AD5:AD40" si="3">AA5=G5</f>
        <v>1</v>
      </c>
      <c r="AE5" s="1535" t="b">
        <f t="shared" ref="AE5:AE40" si="4">AB5=H5</f>
        <v>1</v>
      </c>
      <c r="AF5" s="1535" t="b">
        <f t="shared" ref="AF5:AF40" si="5">AC5=I5</f>
        <v>1</v>
      </c>
    </row>
    <row r="6" spans="1:32" ht="15.75" customHeight="1">
      <c r="A6" s="7225"/>
      <c r="B6" s="7300"/>
      <c r="C6" s="7303"/>
      <c r="D6" s="7201"/>
      <c r="E6" s="77">
        <v>1</v>
      </c>
      <c r="F6" s="1658" t="str">
        <f>'2. S Plan'!F6</f>
        <v>A15/17</v>
      </c>
      <c r="G6" s="3571">
        <f>IFERROR(VLOOKUP(F6,B.BasicInfomation!$B:$O,6,0),"")</f>
        <v>0.95</v>
      </c>
      <c r="H6" s="3783">
        <f>IFERROR(VLOOKUP(F6,B.BasicInfomation!$B:$O,9,0),"")</f>
        <v>3.7560000000000003E-2</v>
      </c>
      <c r="I6" s="3662" t="str">
        <f>IFERROR(VLOOKUP(F6,B.BasicInfomation!$B:$O,14,0),"")</f>
        <v>S36</v>
      </c>
      <c r="J6" s="2649">
        <f>'2. S Plan'!L6</f>
        <v>1134160</v>
      </c>
      <c r="K6" s="5006">
        <f>'2. S Plan'!M6</f>
        <v>804560</v>
      </c>
      <c r="L6" s="5498">
        <f>'2. S Plan'!N6</f>
        <v>887570</v>
      </c>
      <c r="M6" s="2649">
        <f>'2. S Plan'!O6</f>
        <v>972545</v>
      </c>
      <c r="N6" s="1554">
        <f>'2. S Plan'!P6</f>
        <v>970800</v>
      </c>
      <c r="O6" s="3180">
        <f>'2. S Plan'!Q6</f>
        <v>1160000</v>
      </c>
      <c r="P6" s="1722">
        <f>'2. S Plan'!R6</f>
        <v>1200000</v>
      </c>
      <c r="Q6" s="1554">
        <f>'2. S Plan'!S6</f>
        <v>1200000</v>
      </c>
      <c r="R6" s="1555">
        <f>'2. S Plan'!T6</f>
        <v>800000</v>
      </c>
      <c r="S6" s="1613">
        <f>'2. S Plan'!U6</f>
        <v>750000</v>
      </c>
      <c r="T6" s="1554">
        <f>'2. S Plan'!V6</f>
        <v>750000</v>
      </c>
      <c r="U6" s="1645">
        <f>'2. S Plan'!W6</f>
        <v>750000</v>
      </c>
      <c r="V6" s="1557">
        <f>SUM(J6:U6)</f>
        <v>11379635</v>
      </c>
      <c r="W6" s="1710"/>
      <c r="X6" s="1711">
        <v>1.19</v>
      </c>
      <c r="Y6" s="1711">
        <f>_xlfn.XLOOKUP(F6,B.BasicInfomation!B:B,B.BasicInfomation!J:J,"",0)</f>
        <v>3.7560000000000003E-2</v>
      </c>
      <c r="AA6" s="1719">
        <f t="shared" si="0"/>
        <v>0.95</v>
      </c>
      <c r="AB6" s="1720">
        <f t="shared" si="1"/>
        <v>3.7560000000000003E-2</v>
      </c>
      <c r="AC6" s="3179" t="str">
        <f t="shared" si="2"/>
        <v>S36</v>
      </c>
      <c r="AD6" s="1535" t="b">
        <f t="shared" si="3"/>
        <v>1</v>
      </c>
      <c r="AE6" s="1535" t="b">
        <f t="shared" si="4"/>
        <v>1</v>
      </c>
      <c r="AF6" s="1535" t="b">
        <f t="shared" si="5"/>
        <v>1</v>
      </c>
    </row>
    <row r="7" spans="1:32" ht="15.75" customHeight="1">
      <c r="A7" s="7225"/>
      <c r="B7" s="7300"/>
      <c r="C7" s="7303"/>
      <c r="D7" s="7201"/>
      <c r="E7" s="77">
        <v>2</v>
      </c>
      <c r="F7" s="1658" t="str">
        <f>'2. S Plan'!F7</f>
        <v>A36</v>
      </c>
      <c r="G7" s="3571">
        <f>IFERROR(VLOOKUP(F7,B.BasicInfomation!$B:$O,6,0),"")</f>
        <v>0.95</v>
      </c>
      <c r="H7" s="3783">
        <f>IFERROR(VLOOKUP(F7,B.BasicInfomation!$B:$O,9,0),"")</f>
        <v>3.7560000000000003E-2</v>
      </c>
      <c r="I7" s="3662" t="str">
        <f>IFERROR(VLOOKUP(F7,B.BasicInfomation!$B:$O,14,0),"")</f>
        <v>S36</v>
      </c>
      <c r="J7" s="2649">
        <f>'2. S Plan'!L7</f>
        <v>46320</v>
      </c>
      <c r="K7" s="5006">
        <f>'2. S Plan'!M7</f>
        <v>0</v>
      </c>
      <c r="L7" s="5498">
        <f>'2. S Plan'!N7</f>
        <v>60960</v>
      </c>
      <c r="M7" s="2649">
        <f>'2. S Plan'!O7</f>
        <v>80640</v>
      </c>
      <c r="N7" s="1554">
        <f>'2. S Plan'!P7</f>
        <v>20160</v>
      </c>
      <c r="O7" s="3180">
        <f>'2. S Plan'!Q7</f>
        <v>15000</v>
      </c>
      <c r="P7" s="1722">
        <f>'2. S Plan'!R7</f>
        <v>0</v>
      </c>
      <c r="Q7" s="1554">
        <f>'2. S Plan'!S7</f>
        <v>0</v>
      </c>
      <c r="R7" s="1555">
        <f>'2. S Plan'!T7</f>
        <v>0</v>
      </c>
      <c r="S7" s="1613">
        <f>'2. S Plan'!U7</f>
        <v>0</v>
      </c>
      <c r="T7" s="1554">
        <f>'2. S Plan'!V7</f>
        <v>0</v>
      </c>
      <c r="U7" s="1645">
        <f>'2. S Plan'!W7</f>
        <v>0</v>
      </c>
      <c r="V7" s="1557">
        <f>SUM(J7:U7)</f>
        <v>223080</v>
      </c>
      <c r="W7" s="1710"/>
      <c r="X7" s="1711">
        <v>2.19</v>
      </c>
      <c r="Y7" s="1711">
        <f>_xlfn.XLOOKUP(F7,B.BasicInfomation!B:B,B.BasicInfomation!J:J,"",0)</f>
        <v>3.7560000000000003E-2</v>
      </c>
      <c r="AA7" s="1719">
        <f t="shared" si="0"/>
        <v>0.95</v>
      </c>
      <c r="AB7" s="1720">
        <f t="shared" si="1"/>
        <v>3.7560000000000003E-2</v>
      </c>
      <c r="AC7" s="3179" t="str">
        <f t="shared" si="2"/>
        <v>S36</v>
      </c>
      <c r="AD7" s="1535" t="b">
        <f t="shared" si="3"/>
        <v>1</v>
      </c>
      <c r="AE7" s="1535" t="b">
        <f t="shared" si="4"/>
        <v>1</v>
      </c>
      <c r="AF7" s="1535" t="b">
        <f t="shared" si="5"/>
        <v>1</v>
      </c>
    </row>
    <row r="8" spans="1:32" ht="15.75" customHeight="1">
      <c r="A8" s="7225"/>
      <c r="B8" s="7300"/>
      <c r="C8" s="7303"/>
      <c r="D8" s="7201"/>
      <c r="E8" s="77">
        <v>3</v>
      </c>
      <c r="F8" s="1658" t="str">
        <f>'2. S Plan'!F8</f>
        <v>A26</v>
      </c>
      <c r="G8" s="3571">
        <f>IFERROR(VLOOKUP(F8,B.BasicInfomation!$B:$O,6,0),"")</f>
        <v>0.95</v>
      </c>
      <c r="H8" s="3783">
        <f>IFERROR(VLOOKUP(F8,B.BasicInfomation!$B:$O,9,0),"")</f>
        <v>3.7560000000000003E-2</v>
      </c>
      <c r="I8" s="3662" t="str">
        <f>IFERROR(VLOOKUP(F8,B.BasicInfomation!$B:$O,14,0),"")</f>
        <v>S36</v>
      </c>
      <c r="J8" s="2649">
        <f>'2. S Plan'!L8</f>
        <v>209040</v>
      </c>
      <c r="K8" s="5006">
        <f>'2. S Plan'!M8</f>
        <v>55293</v>
      </c>
      <c r="L8" s="5498">
        <f>'2. S Plan'!N8</f>
        <v>0</v>
      </c>
      <c r="M8" s="2649">
        <f>'2. S Plan'!O8</f>
        <v>9876</v>
      </c>
      <c r="N8" s="1554">
        <f>'2. S Plan'!P8</f>
        <v>83280</v>
      </c>
      <c r="O8" s="3180">
        <f>'2. S Plan'!Q8</f>
        <v>0</v>
      </c>
      <c r="P8" s="1722">
        <f>'2. S Plan'!R8</f>
        <v>0</v>
      </c>
      <c r="Q8" s="1554">
        <f>'2. S Plan'!S8</f>
        <v>0</v>
      </c>
      <c r="R8" s="1555">
        <f>'2. S Plan'!T8</f>
        <v>0</v>
      </c>
      <c r="S8" s="1613">
        <f>'2. S Plan'!U8</f>
        <v>0</v>
      </c>
      <c r="T8" s="1554">
        <f>'2. S Plan'!V8</f>
        <v>0</v>
      </c>
      <c r="U8" s="1645">
        <f>'2. S Plan'!W8</f>
        <v>0</v>
      </c>
      <c r="V8" s="1557">
        <f>SUM(J8:U8)</f>
        <v>357489</v>
      </c>
      <c r="W8" s="1710"/>
      <c r="X8" s="1711">
        <v>3.19</v>
      </c>
      <c r="Y8" s="1711">
        <f>_xlfn.XLOOKUP(F8,B.BasicInfomation!B:B,B.BasicInfomation!J:J,"",0)</f>
        <v>3.7560000000000003E-2</v>
      </c>
      <c r="AA8" s="1719">
        <f t="shared" si="0"/>
        <v>0.95</v>
      </c>
      <c r="AB8" s="1720">
        <f t="shared" si="1"/>
        <v>3.7560000000000003E-2</v>
      </c>
      <c r="AC8" s="3179" t="str">
        <f t="shared" si="2"/>
        <v>S36</v>
      </c>
      <c r="AD8" s="1535" t="b">
        <f t="shared" si="3"/>
        <v>1</v>
      </c>
      <c r="AE8" s="1535" t="b">
        <f t="shared" si="4"/>
        <v>1</v>
      </c>
      <c r="AF8" s="1535" t="b">
        <f t="shared" si="5"/>
        <v>1</v>
      </c>
    </row>
    <row r="9" spans="1:32" ht="15.75" customHeight="1">
      <c r="A9" s="7225"/>
      <c r="B9" s="7300"/>
      <c r="C9" s="7303"/>
      <c r="D9" s="7201"/>
      <c r="E9" s="77">
        <v>4</v>
      </c>
      <c r="F9" s="1658" t="str">
        <f>'2. S Plan'!F9</f>
        <v>A27</v>
      </c>
      <c r="G9" s="3571">
        <f>IFERROR(VLOOKUP(F9,B.BasicInfomation!$B:$O,6,0),"")</f>
        <v>0.95</v>
      </c>
      <c r="H9" s="3783">
        <f>IFERROR(VLOOKUP(F9,B.BasicInfomation!$B:$O,9,0),"")</f>
        <v>3.7560000000000003E-2</v>
      </c>
      <c r="I9" s="3662" t="str">
        <f>IFERROR(VLOOKUP(F9,B.BasicInfomation!$B:$O,14,0),"")</f>
        <v>S36</v>
      </c>
      <c r="J9" s="2649">
        <f>'2. S Plan'!L9</f>
        <v>0</v>
      </c>
      <c r="K9" s="5006">
        <f>'2. S Plan'!M9</f>
        <v>0</v>
      </c>
      <c r="L9" s="5498">
        <f>'2. S Plan'!N9</f>
        <v>0</v>
      </c>
      <c r="M9" s="2649">
        <f>'2. S Plan'!O9</f>
        <v>0</v>
      </c>
      <c r="N9" s="1554">
        <f>'2. S Plan'!P9</f>
        <v>101760</v>
      </c>
      <c r="O9" s="3180">
        <f>'2. S Plan'!Q9</f>
        <v>790000</v>
      </c>
      <c r="P9" s="1722">
        <f>'2. S Plan'!R9</f>
        <v>1000000</v>
      </c>
      <c r="Q9" s="1554">
        <f>'2. S Plan'!S9</f>
        <v>1000000</v>
      </c>
      <c r="R9" s="1555">
        <f>'2. S Plan'!T9</f>
        <v>700000</v>
      </c>
      <c r="S9" s="1613">
        <f>'2. S Plan'!U9</f>
        <v>500000</v>
      </c>
      <c r="T9" s="1554">
        <f>'2. S Plan'!V9</f>
        <v>500000</v>
      </c>
      <c r="U9" s="1645">
        <f>'2. S Plan'!W9</f>
        <v>400000</v>
      </c>
      <c r="V9" s="1557">
        <f t="shared" ref="V9:V13" si="6">SUM(J9:U9)</f>
        <v>4991760</v>
      </c>
      <c r="W9" s="1710"/>
      <c r="X9" s="1711"/>
      <c r="Y9" s="1711"/>
      <c r="AA9" s="1719">
        <f t="shared" si="0"/>
        <v>0.95</v>
      </c>
      <c r="AB9" s="1720">
        <f t="shared" si="1"/>
        <v>3.7560000000000003E-2</v>
      </c>
      <c r="AC9" s="3179" t="str">
        <f t="shared" si="2"/>
        <v>S36</v>
      </c>
      <c r="AD9" s="1535" t="b">
        <f t="shared" si="3"/>
        <v>1</v>
      </c>
      <c r="AE9" s="1535" t="b">
        <f t="shared" si="4"/>
        <v>1</v>
      </c>
      <c r="AF9" s="1535" t="b">
        <f t="shared" si="5"/>
        <v>1</v>
      </c>
    </row>
    <row r="10" spans="1:32" ht="15.75" customHeight="1">
      <c r="A10" s="7225"/>
      <c r="B10" s="7300"/>
      <c r="C10" s="7303"/>
      <c r="D10" s="7201"/>
      <c r="E10" s="77">
        <v>5</v>
      </c>
      <c r="F10" s="1658" t="str">
        <f>'2. S Plan'!F10</f>
        <v>A37</v>
      </c>
      <c r="G10" s="3571">
        <f>IFERROR(VLOOKUP(F10,B.BasicInfomation!$B:$O,6,0),"")</f>
        <v>0.95</v>
      </c>
      <c r="H10" s="3783">
        <f>IFERROR(VLOOKUP(F10,B.BasicInfomation!$B:$O,9,0),"")</f>
        <v>3.7560000000000003E-2</v>
      </c>
      <c r="I10" s="3662" t="str">
        <f>IFERROR(VLOOKUP(F10,B.BasicInfomation!$B:$O,14,0),"")</f>
        <v>S36</v>
      </c>
      <c r="J10" s="2649">
        <f>'2. S Plan'!L10</f>
        <v>69200</v>
      </c>
      <c r="K10" s="5006">
        <f>'2. S Plan'!M10</f>
        <v>411900</v>
      </c>
      <c r="L10" s="5498">
        <f>'2. S Plan'!N10</f>
        <v>222600</v>
      </c>
      <c r="M10" s="2649">
        <f>'2. S Plan'!O10</f>
        <v>0</v>
      </c>
      <c r="N10" s="1554">
        <f>'2. S Plan'!P10</f>
        <v>48600</v>
      </c>
      <c r="O10" s="3180">
        <v>100000</v>
      </c>
      <c r="P10" s="1722">
        <v>100000</v>
      </c>
      <c r="Q10" s="1554">
        <v>50000</v>
      </c>
      <c r="R10" s="1555">
        <v>50000</v>
      </c>
      <c r="S10" s="1613">
        <v>5000</v>
      </c>
      <c r="T10" s="1554">
        <f>'2. S Plan'!V10</f>
        <v>0</v>
      </c>
      <c r="U10" s="1645">
        <f>'2. S Plan'!W10</f>
        <v>0</v>
      </c>
      <c r="V10" s="1557">
        <f t="shared" si="6"/>
        <v>1057300</v>
      </c>
      <c r="W10" s="1710"/>
      <c r="X10" s="1711"/>
      <c r="Y10" s="1711"/>
      <c r="AA10" s="1719">
        <f t="shared" si="0"/>
        <v>0.95</v>
      </c>
      <c r="AB10" s="1720">
        <f t="shared" si="1"/>
        <v>3.7560000000000003E-2</v>
      </c>
      <c r="AC10" s="3179" t="str">
        <f t="shared" si="2"/>
        <v>S36</v>
      </c>
      <c r="AD10" s="1535" t="b">
        <f t="shared" si="3"/>
        <v>1</v>
      </c>
      <c r="AE10" s="1535" t="b">
        <f t="shared" si="4"/>
        <v>1</v>
      </c>
      <c r="AF10" s="1535" t="b">
        <f t="shared" si="5"/>
        <v>1</v>
      </c>
    </row>
    <row r="11" spans="1:32" ht="15.75" customHeight="1">
      <c r="A11" s="7225"/>
      <c r="B11" s="7300"/>
      <c r="C11" s="7303"/>
      <c r="D11" s="7201"/>
      <c r="E11" s="77">
        <v>6</v>
      </c>
      <c r="F11" s="1658" t="str">
        <f>'2. S Plan'!F11</f>
        <v>A18</v>
      </c>
      <c r="G11" s="3571">
        <f>IFERROR(VLOOKUP(F11,B.BasicInfomation!$B:$O,6,0),"")</f>
        <v>0.95</v>
      </c>
      <c r="H11" s="3783">
        <f>IFERROR(VLOOKUP(F11,B.BasicInfomation!$B:$O,9,0),"")</f>
        <v>3.7560000000000003E-2</v>
      </c>
      <c r="I11" s="3662" t="str">
        <f>IFERROR(VLOOKUP(F11,B.BasicInfomation!$B:$O,14,0),"")</f>
        <v>S36</v>
      </c>
      <c r="J11" s="2649">
        <f>'2. S Plan'!L11</f>
        <v>0</v>
      </c>
      <c r="K11" s="5006">
        <f>'2. S Plan'!M11</f>
        <v>0</v>
      </c>
      <c r="L11" s="5498">
        <f>'2. S Plan'!N11</f>
        <v>0</v>
      </c>
      <c r="M11" s="2649">
        <f>'2. S Plan'!O11</f>
        <v>0</v>
      </c>
      <c r="N11" s="1554">
        <f>'2. S Plan'!P11</f>
        <v>0</v>
      </c>
      <c r="O11" s="3180">
        <f>'2. S Plan'!Q11</f>
        <v>0</v>
      </c>
      <c r="P11" s="1722">
        <f>'2. S Plan'!R11</f>
        <v>0</v>
      </c>
      <c r="Q11" s="1554">
        <f>'2. S Plan'!S11</f>
        <v>0</v>
      </c>
      <c r="R11" s="1555">
        <f>'2. S Plan'!T11</f>
        <v>0</v>
      </c>
      <c r="S11" s="1613">
        <f>'2. S Plan'!U11</f>
        <v>50000</v>
      </c>
      <c r="T11" s="1554">
        <f>'2. S Plan'!V11</f>
        <v>400000</v>
      </c>
      <c r="U11" s="1645">
        <f>'2. S Plan'!W11</f>
        <v>400000</v>
      </c>
      <c r="V11" s="1557">
        <f t="shared" si="6"/>
        <v>850000</v>
      </c>
      <c r="W11" s="1710"/>
      <c r="X11" s="1711"/>
      <c r="Y11" s="1711"/>
      <c r="AA11" s="1719">
        <f t="shared" si="0"/>
        <v>0.95</v>
      </c>
      <c r="AB11" s="1720">
        <f t="shared" si="1"/>
        <v>3.7560000000000003E-2</v>
      </c>
      <c r="AC11" s="3179" t="str">
        <f t="shared" si="2"/>
        <v>S36</v>
      </c>
      <c r="AD11" s="1535" t="b">
        <f t="shared" si="3"/>
        <v>1</v>
      </c>
      <c r="AE11" s="1535" t="b">
        <f t="shared" si="4"/>
        <v>1</v>
      </c>
      <c r="AF11" s="1535" t="b">
        <f t="shared" si="5"/>
        <v>1</v>
      </c>
    </row>
    <row r="12" spans="1:32" ht="15.75" customHeight="1">
      <c r="A12" s="7225"/>
      <c r="B12" s="7300"/>
      <c r="C12" s="7304"/>
      <c r="D12" s="7219"/>
      <c r="E12" s="76"/>
      <c r="F12" s="1713" t="str">
        <f>'2. S Plan'!F13</f>
        <v>CNC</v>
      </c>
      <c r="G12" s="3793">
        <f>IFERROR(VLOOKUP(F12,B.BasicInfomation!$B:$O,6,0),"")</f>
        <v>0.95</v>
      </c>
      <c r="H12" s="3784">
        <f>IFERROR(VLOOKUP(F12,B.BasicInfomation!$B:$O,9,0),"")</f>
        <v>0</v>
      </c>
      <c r="I12" s="3663">
        <f>IFERROR(VLOOKUP(F12,B.BasicInfomation!$B:$O,14,0),"")</f>
        <v>0</v>
      </c>
      <c r="J12" s="4679">
        <f>'2. S Plan'!L13</f>
        <v>481641</v>
      </c>
      <c r="K12" s="5007">
        <f>'2. S Plan'!M13</f>
        <v>309968</v>
      </c>
      <c r="L12" s="5499">
        <f>'2. S Plan'!N13</f>
        <v>520149</v>
      </c>
      <c r="M12" s="4679">
        <f>'2. S Plan'!O13</f>
        <v>384822</v>
      </c>
      <c r="N12" s="1549">
        <f>'2. S Plan'!P13</f>
        <v>393686</v>
      </c>
      <c r="O12" s="1558">
        <f>'2. S Plan'!Q13</f>
        <v>450000</v>
      </c>
      <c r="P12" s="1648">
        <f>'2. S Plan'!R13</f>
        <v>480000</v>
      </c>
      <c r="Q12" s="1549">
        <f>'2. S Plan'!S13</f>
        <v>566500</v>
      </c>
      <c r="R12" s="1550">
        <f>'2. S Plan'!T13</f>
        <v>550000</v>
      </c>
      <c r="S12" s="1661">
        <f>'2. S Plan'!U13</f>
        <v>561000</v>
      </c>
      <c r="T12" s="1549">
        <f>'2. S Plan'!V13</f>
        <v>517000</v>
      </c>
      <c r="U12" s="1649">
        <f>'2. S Plan'!W13</f>
        <v>495000</v>
      </c>
      <c r="V12" s="1551">
        <f t="shared" si="6"/>
        <v>5709766</v>
      </c>
      <c r="W12" s="1710"/>
      <c r="X12" s="1711">
        <v>4.1900000000000004</v>
      </c>
      <c r="Y12" s="1711">
        <f>_xlfn.XLOOKUP(F12,B.BasicInfomation!B:B,B.BasicInfomation!J:J,"",0)</f>
        <v>0</v>
      </c>
      <c r="AA12" s="1719">
        <f t="shared" si="0"/>
        <v>0.95</v>
      </c>
      <c r="AB12" s="1720">
        <f t="shared" si="1"/>
        <v>0</v>
      </c>
      <c r="AC12" s="3179">
        <f t="shared" si="2"/>
        <v>0</v>
      </c>
      <c r="AD12" s="1535" t="b">
        <f t="shared" si="3"/>
        <v>1</v>
      </c>
      <c r="AE12" s="1535" t="b">
        <f t="shared" si="4"/>
        <v>1</v>
      </c>
      <c r="AF12" s="1535" t="b">
        <f t="shared" si="5"/>
        <v>1</v>
      </c>
    </row>
    <row r="13" spans="1:32" ht="15.75" customHeight="1">
      <c r="A13" s="7225"/>
      <c r="B13" s="7300"/>
      <c r="C13" s="7303" t="s">
        <v>24</v>
      </c>
      <c r="D13" s="1616" t="s">
        <v>844</v>
      </c>
      <c r="E13" s="1616">
        <v>7</v>
      </c>
      <c r="F13" s="1658" t="str">
        <f>'2. S Plan'!F15</f>
        <v>MTP+IDP+ADP</v>
      </c>
      <c r="G13" s="3571">
        <f>IFERROR(VLOOKUP(F13,B.BasicInfomation!$B:$O,6,0),"")</f>
        <v>1</v>
      </c>
      <c r="H13" s="3785">
        <f>IFERROR(VLOOKUP(F13,B.BasicInfomation!$B:$O,9,0),"")</f>
        <v>0.1</v>
      </c>
      <c r="I13" s="3662" t="str">
        <f>IFERROR(VLOOKUP(F13,B.BasicInfomation!$B:$O,14,0),"")</f>
        <v>ADC12</v>
      </c>
      <c r="J13" s="2649">
        <f>'2. S Plan'!L15</f>
        <v>18000</v>
      </c>
      <c r="K13" s="5006">
        <f>'2. S Plan'!M15</f>
        <v>6109.2</v>
      </c>
      <c r="L13" s="5498">
        <f>'2. S Plan'!N15</f>
        <v>17266.409266409268</v>
      </c>
      <c r="M13" s="2649">
        <f>'2. S Plan'!O15</f>
        <v>16000</v>
      </c>
      <c r="N13" s="1554">
        <f>'2. S Plan'!P15</f>
        <v>14559.845559845562</v>
      </c>
      <c r="O13" s="1556">
        <f>'2. S Plan'!Q15</f>
        <v>18266.409266409268</v>
      </c>
      <c r="P13" s="1722">
        <f>'2. S Plan'!R15</f>
        <v>18266.409266409268</v>
      </c>
      <c r="Q13" s="1554">
        <f>'2. S Plan'!S15</f>
        <v>18266.409266409268</v>
      </c>
      <c r="R13" s="1555">
        <f>'2. S Plan'!T15</f>
        <v>18266.409266409268</v>
      </c>
      <c r="S13" s="1613">
        <f>'2. S Plan'!U15</f>
        <v>18266.409266409268</v>
      </c>
      <c r="T13" s="1554">
        <f>'2. S Plan'!V15</f>
        <v>13633.204633204634</v>
      </c>
      <c r="U13" s="1645">
        <f>'2. S Plan'!W15</f>
        <v>13633.204633204634</v>
      </c>
      <c r="V13" s="1557">
        <f t="shared" si="6"/>
        <v>190533.91042471043</v>
      </c>
      <c r="W13" s="1710"/>
      <c r="X13" s="1711">
        <v>5.19</v>
      </c>
      <c r="Y13" s="1711">
        <f>_xlfn.XLOOKUP(F13,B.BasicInfomation!B:B,B.BasicInfomation!J:J,"",0)</f>
        <v>0.1</v>
      </c>
      <c r="AA13" s="1719">
        <f t="shared" si="0"/>
        <v>1</v>
      </c>
      <c r="AB13" s="1720">
        <f t="shared" si="1"/>
        <v>0.1</v>
      </c>
      <c r="AC13" s="1721" t="str">
        <f t="shared" si="2"/>
        <v>ADC12</v>
      </c>
      <c r="AD13" s="1535" t="b">
        <f t="shared" si="3"/>
        <v>1</v>
      </c>
      <c r="AE13" s="1535" t="b">
        <f t="shared" si="4"/>
        <v>1</v>
      </c>
      <c r="AF13" s="1535" t="b">
        <f t="shared" si="5"/>
        <v>1</v>
      </c>
    </row>
    <row r="14" spans="1:32" ht="15.75" customHeight="1">
      <c r="A14" s="7225"/>
      <c r="B14" s="7300"/>
      <c r="C14" s="7303"/>
      <c r="D14" s="1616"/>
      <c r="E14" s="1616">
        <v>8</v>
      </c>
      <c r="F14" s="1658" t="str">
        <f>'2. S Plan'!F16</f>
        <v>Ride5</v>
      </c>
      <c r="G14" s="3571">
        <f>IFERROR(VLOOKUP(F14,B.BasicInfomation!$B:$O,6,0),"")</f>
        <v>1</v>
      </c>
      <c r="H14" s="3785">
        <f>IFERROR(VLOOKUP(F14,B.BasicInfomation!$B:$O,9,0),"")</f>
        <v>0.51861000000000002</v>
      </c>
      <c r="I14" s="3662" t="str">
        <f>IFERROR(VLOOKUP(F14,B.BasicInfomation!$B:$O,14,0),"")</f>
        <v>ADC12</v>
      </c>
      <c r="J14" s="2649">
        <f>'2. S Plan'!L16</f>
        <v>200</v>
      </c>
      <c r="K14" s="5006">
        <f>'2. S Plan'!M16</f>
        <v>200</v>
      </c>
      <c r="L14" s="5498">
        <f>'2. S Plan'!N16</f>
        <v>0</v>
      </c>
      <c r="M14" s="2649">
        <f>'2. S Plan'!O16</f>
        <v>141.99916001679966</v>
      </c>
      <c r="N14" s="1554">
        <f>'2. S Plan'!P16</f>
        <v>200</v>
      </c>
      <c r="O14" s="1556">
        <f>'2. S Plan'!Q16</f>
        <v>200</v>
      </c>
      <c r="P14" s="1722">
        <f>'2. S Plan'!R16</f>
        <v>249.99999999999997</v>
      </c>
      <c r="Q14" s="1554">
        <f>'2. S Plan'!S16</f>
        <v>249.99999999999997</v>
      </c>
      <c r="R14" s="1555">
        <f>'2. S Plan'!T16</f>
        <v>249.99999999999997</v>
      </c>
      <c r="S14" s="1613">
        <f>'2. S Plan'!U16</f>
        <v>200</v>
      </c>
      <c r="T14" s="1554">
        <f>'2. S Plan'!V16</f>
        <v>100</v>
      </c>
      <c r="U14" s="1645">
        <f>'2. S Plan'!W16</f>
        <v>100</v>
      </c>
      <c r="V14" s="1557">
        <f>SUM(J14:U14)</f>
        <v>2091.9991600167996</v>
      </c>
      <c r="W14" s="1710"/>
      <c r="X14" s="1711">
        <v>6.19</v>
      </c>
      <c r="Y14" s="1711">
        <f>_xlfn.XLOOKUP(F14,B.BasicInfomation!B:B,B.BasicInfomation!J:J,"",0)</f>
        <v>0.51861000000000002</v>
      </c>
      <c r="AA14" s="1723">
        <f t="shared" si="0"/>
        <v>1</v>
      </c>
      <c r="AB14" s="1720">
        <f t="shared" si="1"/>
        <v>0.51861000000000002</v>
      </c>
      <c r="AC14" s="1724" t="str">
        <f t="shared" si="2"/>
        <v>ADC12</v>
      </c>
      <c r="AD14" s="1535" t="b">
        <f t="shared" si="3"/>
        <v>1</v>
      </c>
      <c r="AE14" s="1535" t="b">
        <f t="shared" si="4"/>
        <v>1</v>
      </c>
      <c r="AF14" s="1535" t="b">
        <f t="shared" si="5"/>
        <v>1</v>
      </c>
    </row>
    <row r="15" spans="1:32" ht="15.75" customHeight="1">
      <c r="A15" s="7225"/>
      <c r="B15" s="7300"/>
      <c r="C15" s="7303"/>
      <c r="D15" s="1616"/>
      <c r="E15" s="1616"/>
      <c r="F15" s="1658" t="str">
        <f>'2. S Plan'!F17</f>
        <v>Glymur</v>
      </c>
      <c r="G15" s="3571">
        <f>IFERROR(VLOOKUP(F15,B.BasicInfomation!$B:$O,6,0),"")</f>
        <v>1</v>
      </c>
      <c r="H15" s="3785">
        <f>IFERROR(VLOOKUP(F15,B.BasicInfomation!$B:$O,9,0),"")</f>
        <v>1.51861</v>
      </c>
      <c r="I15" s="3662" t="str">
        <f>IFERROR(VLOOKUP(F15,B.BasicInfomation!$B:$O,14,0),"")</f>
        <v>ADC12</v>
      </c>
      <c r="J15" s="2649">
        <f>'2. S Plan'!L17</f>
        <v>0</v>
      </c>
      <c r="K15" s="5006">
        <f>'2. S Plan'!M17</f>
        <v>0</v>
      </c>
      <c r="L15" s="5498">
        <f>'2. S Plan'!N17</f>
        <v>0</v>
      </c>
      <c r="M15" s="2649">
        <f>'2. S Plan'!O17</f>
        <v>0</v>
      </c>
      <c r="N15" s="1554">
        <f>'2. S Plan'!P17</f>
        <v>0</v>
      </c>
      <c r="O15" s="1556">
        <f>'2. S Plan'!Q17</f>
        <v>0</v>
      </c>
      <c r="P15" s="1722">
        <f>'2. S Plan'!R17</f>
        <v>0</v>
      </c>
      <c r="Q15" s="1554">
        <f>'2. S Plan'!S17</f>
        <v>0</v>
      </c>
      <c r="R15" s="1555">
        <f>'2. S Plan'!T17</f>
        <v>0</v>
      </c>
      <c r="S15" s="1613">
        <f>'2. S Plan'!U17</f>
        <v>0</v>
      </c>
      <c r="T15" s="1554">
        <f>'2. S Plan'!V17</f>
        <v>0</v>
      </c>
      <c r="U15" s="1645">
        <f>'2. S Plan'!W17</f>
        <v>0</v>
      </c>
      <c r="V15" s="1557">
        <f>SUM(J15:U15)</f>
        <v>0</v>
      </c>
      <c r="W15" s="1710"/>
      <c r="X15" s="1711">
        <v>7.19</v>
      </c>
      <c r="Y15" s="1711">
        <f>_xlfn.XLOOKUP(F15,B.BasicInfomation!B:B,B.BasicInfomation!J:J,"",0)</f>
        <v>1.51861</v>
      </c>
      <c r="AA15" s="1723">
        <f t="shared" si="0"/>
        <v>1</v>
      </c>
      <c r="AB15" s="1720">
        <f t="shared" si="1"/>
        <v>1.51861</v>
      </c>
      <c r="AC15" s="1724" t="str">
        <f t="shared" si="2"/>
        <v>ADC12</v>
      </c>
      <c r="AD15" s="1535" t="b">
        <f t="shared" si="3"/>
        <v>1</v>
      </c>
      <c r="AE15" s="1535" t="b">
        <f t="shared" si="4"/>
        <v>1</v>
      </c>
      <c r="AF15" s="1535" t="b">
        <f t="shared" si="5"/>
        <v>1</v>
      </c>
    </row>
    <row r="16" spans="1:32" ht="15.75" customHeight="1">
      <c r="A16" s="7225"/>
      <c r="B16" s="7300"/>
      <c r="C16" s="7303"/>
      <c r="D16" s="1616"/>
      <c r="E16" s="1616">
        <v>9</v>
      </c>
      <c r="F16" s="1658" t="str">
        <f>'2. S Plan'!F18</f>
        <v>MTP Hawi</v>
      </c>
      <c r="G16" s="3571">
        <f>IFERROR(VLOOKUP(F16,B.BasicInfomation!$B:$O,6,0),"")</f>
        <v>1</v>
      </c>
      <c r="H16" s="3785">
        <f>IFERROR(VLOOKUP(F16,B.BasicInfomation!$B:$O,9,0),"")</f>
        <v>0.51861000000000002</v>
      </c>
      <c r="I16" s="3662" t="str">
        <f>IFERROR(VLOOKUP(F16,B.BasicInfomation!$B:$O,14,0),"")</f>
        <v>S3Y</v>
      </c>
      <c r="J16" s="2649">
        <f>'2. S Plan'!L18</f>
        <v>1000</v>
      </c>
      <c r="K16" s="5006">
        <f>'2. S Plan'!M18</f>
        <v>812.0675577156743</v>
      </c>
      <c r="L16" s="5498">
        <f>'2. S Plan'!N18</f>
        <v>1000</v>
      </c>
      <c r="M16" s="2649">
        <f>'2. S Plan'!O18</f>
        <v>1000</v>
      </c>
      <c r="N16" s="1554">
        <f>'2. S Plan'!P18</f>
        <v>1000</v>
      </c>
      <c r="O16" s="1556">
        <f>'2. S Plan'!Q18</f>
        <v>1000</v>
      </c>
      <c r="P16" s="1722">
        <f>'2. S Plan'!R18</f>
        <v>1000</v>
      </c>
      <c r="Q16" s="1554">
        <f>'2. S Plan'!S18</f>
        <v>1000</v>
      </c>
      <c r="R16" s="1555">
        <f>'2. S Plan'!T18</f>
        <v>1000</v>
      </c>
      <c r="S16" s="1613">
        <f>'2. S Plan'!U18</f>
        <v>1000</v>
      </c>
      <c r="T16" s="1554">
        <f>'2. S Plan'!V18</f>
        <v>1000</v>
      </c>
      <c r="U16" s="1645">
        <f>'2. S Plan'!W18</f>
        <v>1000</v>
      </c>
      <c r="V16" s="1557">
        <f>SUM(J16:U16)</f>
        <v>11812.067557715674</v>
      </c>
      <c r="W16" s="1710"/>
      <c r="X16" s="1711">
        <v>8.19</v>
      </c>
      <c r="Y16" s="1711">
        <f>_xlfn.XLOOKUP(F16,B.BasicInfomation!B:B,B.BasicInfomation!J:J,"",0)</f>
        <v>0.51861000000000002</v>
      </c>
      <c r="AA16" s="1723">
        <f t="shared" si="0"/>
        <v>1</v>
      </c>
      <c r="AB16" s="1720">
        <f t="shared" si="1"/>
        <v>0.51861000000000002</v>
      </c>
      <c r="AC16" s="1724" t="str">
        <f t="shared" si="2"/>
        <v>S3Y</v>
      </c>
      <c r="AD16" s="1535" t="b">
        <f t="shared" si="3"/>
        <v>1</v>
      </c>
      <c r="AE16" s="1535" t="b">
        <f t="shared" si="4"/>
        <v>1</v>
      </c>
      <c r="AF16" s="1535" t="b">
        <f t="shared" si="5"/>
        <v>1</v>
      </c>
    </row>
    <row r="17" spans="1:32" ht="15.75" customHeight="1">
      <c r="A17" s="7225"/>
      <c r="B17" s="7300"/>
      <c r="C17" s="7303"/>
      <c r="D17" s="1616"/>
      <c r="E17" s="1616">
        <v>10</v>
      </c>
      <c r="F17" s="1658" t="str">
        <f>'2. S Plan'!F19</f>
        <v>QMP Amboseli</v>
      </c>
      <c r="G17" s="3571">
        <f>IFERROR(VLOOKUP(F17,B.BasicInfomation!$B:$O,6,0),"")</f>
        <v>1</v>
      </c>
      <c r="H17" s="3785">
        <f>IFERROR(VLOOKUP(F17,B.BasicInfomation!$B:$O,9,0),"")</f>
        <v>0.51861000000000002</v>
      </c>
      <c r="I17" s="3662" t="str">
        <f>IFERROR(VLOOKUP(F17,B.BasicInfomation!$B:$O,14,0),"")</f>
        <v>S3Y</v>
      </c>
      <c r="J17" s="2649">
        <f>'2. S Plan'!L19</f>
        <v>500</v>
      </c>
      <c r="K17" s="5006">
        <f>'2. S Plan'!M19</f>
        <v>500</v>
      </c>
      <c r="L17" s="5498">
        <f>'2. S Plan'!N19</f>
        <v>531.22721749696234</v>
      </c>
      <c r="M17" s="2649">
        <f>'2. S Plan'!O19</f>
        <v>0</v>
      </c>
      <c r="N17" s="1554">
        <f>'2. S Plan'!P19</f>
        <v>500</v>
      </c>
      <c r="O17" s="1556">
        <f>'2. S Plan'!Q19</f>
        <v>0</v>
      </c>
      <c r="P17" s="1722">
        <f>'2. S Plan'!R19</f>
        <v>500</v>
      </c>
      <c r="Q17" s="1554">
        <f>'2. S Plan'!S19</f>
        <v>0</v>
      </c>
      <c r="R17" s="1555">
        <f>'2. S Plan'!T19</f>
        <v>500</v>
      </c>
      <c r="S17" s="1613">
        <f>'2. S Plan'!U19</f>
        <v>0</v>
      </c>
      <c r="T17" s="1554">
        <f>'2. S Plan'!V19</f>
        <v>500</v>
      </c>
      <c r="U17" s="1645">
        <f>'2. S Plan'!W19</f>
        <v>0</v>
      </c>
      <c r="V17" s="1557">
        <f>SUM(J17:U17)</f>
        <v>3531.2272174969621</v>
      </c>
      <c r="W17" s="1710"/>
      <c r="X17" s="1711">
        <v>9.19</v>
      </c>
      <c r="Y17" s="1711">
        <f>_xlfn.XLOOKUP(F17,B.BasicInfomation!B:B,B.BasicInfomation!J:J,"",0)</f>
        <v>0.51861000000000002</v>
      </c>
      <c r="AA17" s="1723">
        <f t="shared" si="0"/>
        <v>1</v>
      </c>
      <c r="AB17" s="1720">
        <f t="shared" si="1"/>
        <v>0.51861000000000002</v>
      </c>
      <c r="AC17" s="1724" t="str">
        <f t="shared" si="2"/>
        <v>S3Y</v>
      </c>
      <c r="AD17" s="1535" t="b">
        <f t="shared" si="3"/>
        <v>1</v>
      </c>
      <c r="AE17" s="1535" t="b">
        <f t="shared" si="4"/>
        <v>1</v>
      </c>
      <c r="AF17" s="1535" t="b">
        <f t="shared" si="5"/>
        <v>1</v>
      </c>
    </row>
    <row r="18" spans="1:32" ht="15.75" customHeight="1">
      <c r="A18" s="7225"/>
      <c r="B18" s="7300"/>
      <c r="C18" s="7304"/>
      <c r="D18" s="1616"/>
      <c r="E18" s="1616"/>
      <c r="F18" s="1713" t="str">
        <f>'2. S Plan'!F20</f>
        <v>LDS Antenna</v>
      </c>
      <c r="G18" s="3793">
        <f>IFERROR(VLOOKUP(F18,B.BasicInfomation!$B:$O,6,0),"")</f>
        <v>1</v>
      </c>
      <c r="H18" s="3785">
        <f>IFERROR(VLOOKUP(F18,B.BasicInfomation!$B:$O,9,0),"")</f>
        <v>0.51861000000000002</v>
      </c>
      <c r="I18" s="3662" t="str">
        <f>IFERROR(VLOOKUP(F18,B.BasicInfomation!$B:$O,14,0),"")</f>
        <v>ADC12</v>
      </c>
      <c r="J18" s="4679">
        <f>'2. S Plan'!L20</f>
        <v>3604.4776119402982</v>
      </c>
      <c r="K18" s="5007">
        <f>'2. S Plan'!M20</f>
        <v>1999.9999999999998</v>
      </c>
      <c r="L18" s="5499">
        <f>'2. S Plan'!N20</f>
        <v>1999.9999999999998</v>
      </c>
      <c r="M18" s="4679">
        <f>'2. S Plan'!O20</f>
        <v>4500</v>
      </c>
      <c r="N18" s="1549">
        <f>'2. S Plan'!P20</f>
        <v>2500</v>
      </c>
      <c r="O18" s="1558">
        <f>'2. S Plan'!Q20</f>
        <v>1200</v>
      </c>
      <c r="P18" s="1648">
        <f>'2. S Plan'!R20</f>
        <v>2500</v>
      </c>
      <c r="Q18" s="1549">
        <f>'2. S Plan'!S20</f>
        <v>1200</v>
      </c>
      <c r="R18" s="1550">
        <f>'2. S Plan'!T20</f>
        <v>1200</v>
      </c>
      <c r="S18" s="1661">
        <f>'2. S Plan'!U20</f>
        <v>1200</v>
      </c>
      <c r="T18" s="1549">
        <f>'2. S Plan'!V20</f>
        <v>1200</v>
      </c>
      <c r="U18" s="1649">
        <f>'2. S Plan'!W20</f>
        <v>1200</v>
      </c>
      <c r="V18" s="1551">
        <f t="shared" ref="V18" si="7">SUM(J18:U18)</f>
        <v>24304.477611940296</v>
      </c>
      <c r="W18" s="1710"/>
      <c r="X18" s="1711">
        <v>10.19</v>
      </c>
      <c r="Y18" s="1711">
        <f>_xlfn.XLOOKUP(F18,B.BasicInfomation!B:B,B.BasicInfomation!J:J,"",0)</f>
        <v>0.51861000000000002</v>
      </c>
      <c r="AA18" s="1725">
        <f t="shared" si="0"/>
        <v>1</v>
      </c>
      <c r="AB18" s="1715">
        <f t="shared" si="1"/>
        <v>0.51861000000000002</v>
      </c>
      <c r="AC18" s="1716" t="str">
        <f t="shared" si="2"/>
        <v>ADC12</v>
      </c>
      <c r="AD18" s="1535" t="b">
        <f t="shared" si="3"/>
        <v>1</v>
      </c>
      <c r="AE18" s="1535" t="b">
        <f t="shared" si="4"/>
        <v>1</v>
      </c>
      <c r="AF18" s="1535" t="b">
        <f t="shared" si="5"/>
        <v>1</v>
      </c>
    </row>
    <row r="19" spans="1:32" ht="15.75" customHeight="1">
      <c r="A19" s="7298"/>
      <c r="B19" s="7301"/>
      <c r="C19" s="1726" t="s">
        <v>43</v>
      </c>
      <c r="D19" s="1726"/>
      <c r="E19" s="1726"/>
      <c r="F19" s="1727"/>
      <c r="G19" s="3794" t="str">
        <f>IFERROR(VLOOKUP(E19,B.BasicInfomation!$A$10:$O$69,7,0),"")</f>
        <v/>
      </c>
      <c r="H19" s="3786"/>
      <c r="I19" s="1967">
        <v>0</v>
      </c>
      <c r="J19" s="4680">
        <f t="shared" ref="J19:V19" si="8">SUM(J5:J18)</f>
        <v>1963665.4776119404</v>
      </c>
      <c r="K19" s="4734">
        <f t="shared" si="8"/>
        <v>1591342.2675577155</v>
      </c>
      <c r="L19" s="5510">
        <f t="shared" si="8"/>
        <v>1712076.6364839063</v>
      </c>
      <c r="M19" s="4680">
        <f t="shared" si="8"/>
        <v>1469524.9991600169</v>
      </c>
      <c r="N19" s="1620">
        <f t="shared" si="8"/>
        <v>1637045.8455598457</v>
      </c>
      <c r="O19" s="1625">
        <f t="shared" si="8"/>
        <v>2535666.4092664095</v>
      </c>
      <c r="P19" s="1734">
        <f t="shared" si="8"/>
        <v>2802516.4092664095</v>
      </c>
      <c r="Q19" s="1620">
        <f t="shared" si="8"/>
        <v>2837216.4092664095</v>
      </c>
      <c r="R19" s="1621">
        <f t="shared" si="8"/>
        <v>2121216.4092664095</v>
      </c>
      <c r="S19" s="1650">
        <f t="shared" si="8"/>
        <v>1886666.4092664092</v>
      </c>
      <c r="T19" s="1620">
        <f t="shared" si="8"/>
        <v>2193433.2046332047</v>
      </c>
      <c r="U19" s="1651">
        <f t="shared" si="8"/>
        <v>2110933.2046332047</v>
      </c>
      <c r="V19" s="1566">
        <f t="shared" si="8"/>
        <v>24861303.681971878</v>
      </c>
      <c r="W19" s="1710"/>
      <c r="AA19" s="1728"/>
      <c r="AB19" s="1729"/>
      <c r="AC19" s="1730">
        <v>0</v>
      </c>
      <c r="AD19" s="1535" t="b">
        <f t="shared" si="3"/>
        <v>1</v>
      </c>
      <c r="AE19" s="1535" t="b">
        <f t="shared" si="4"/>
        <v>1</v>
      </c>
      <c r="AF19" s="1535" t="b">
        <f t="shared" si="5"/>
        <v>1</v>
      </c>
    </row>
    <row r="20" spans="1:32" ht="15.75" customHeight="1">
      <c r="A20" s="7305">
        <v>2</v>
      </c>
      <c r="B20" s="7306" t="s">
        <v>23</v>
      </c>
      <c r="C20" s="1582" t="s">
        <v>544</v>
      </c>
      <c r="D20" s="1582" t="s">
        <v>848</v>
      </c>
      <c r="E20" s="1582">
        <v>11</v>
      </c>
      <c r="F20" s="1735" t="str">
        <f>'2. S Plan'!F23</f>
        <v>GEN3 AL5 Housing (YT)</v>
      </c>
      <c r="G20" s="3570">
        <f>IFERROR(VLOOKUP(F20,B.BasicInfomation!$B:$O,6,0),"")</f>
        <v>0.68</v>
      </c>
      <c r="H20" s="3787">
        <f>IFERROR(VLOOKUP(F20,B.BasicInfomation!$B:$O,9,0),"")</f>
        <v>0.33662999999999998</v>
      </c>
      <c r="I20" s="2786" t="str">
        <f>IFERROR(VLOOKUP(F20,B.BasicInfomation!$B:$O,14,0),"")</f>
        <v>ADC12</v>
      </c>
      <c r="J20" s="4681">
        <f>'2. S Plan'!L23</f>
        <v>38642.124227152017</v>
      </c>
      <c r="K20" s="4655">
        <f>'2. S Plan'!M23</f>
        <v>37783.410355437532</v>
      </c>
      <c r="L20" s="5582">
        <f>'2. S Plan'!N23</f>
        <v>54957.687789727323</v>
      </c>
      <c r="M20" s="4681">
        <f>'2. S Plan'!O23</f>
        <v>54473.685425670061</v>
      </c>
      <c r="N20" s="1584">
        <f>'2. S Plan'!P23</f>
        <v>47343.107586380276</v>
      </c>
      <c r="O20" s="1586">
        <f>'2. S Plan'!Q23</f>
        <v>69934.438361402295</v>
      </c>
      <c r="P20" s="1742">
        <f>'2. S Plan'!R23</f>
        <v>56323.823494727643</v>
      </c>
      <c r="Q20" s="1584">
        <f>'2. S Plan'!S23</f>
        <v>53208.763028655281</v>
      </c>
      <c r="R20" s="1585">
        <f>'2. S Plan'!T23</f>
        <v>0</v>
      </c>
      <c r="S20" s="1743">
        <f>'2. S Plan'!U23</f>
        <v>0</v>
      </c>
      <c r="T20" s="1584">
        <f>'2. S Plan'!V23</f>
        <v>0</v>
      </c>
      <c r="U20" s="1744">
        <f>'2. S Plan'!W23</f>
        <v>0</v>
      </c>
      <c r="V20" s="1587">
        <f>SUM(J20:U20)</f>
        <v>412667.04026915244</v>
      </c>
      <c r="W20" s="1710"/>
      <c r="X20" s="1535">
        <v>0.71501000000000003</v>
      </c>
      <c r="Y20" s="1711">
        <f>_xlfn.XLOOKUP(F20,B.BasicInfomation!B:B,B.BasicInfomation!J:J,"",0)</f>
        <v>0.33662999999999998</v>
      </c>
      <c r="AA20" s="1736">
        <f t="shared" ref="AA20:AA55" si="9">G20</f>
        <v>0.68</v>
      </c>
      <c r="AB20" s="1737">
        <f t="shared" ref="AB20:AB55" si="10">H20</f>
        <v>0.33662999999999998</v>
      </c>
      <c r="AC20" s="1738" t="str">
        <f t="shared" ref="AC20:AC55" si="11">I20</f>
        <v>ADC12</v>
      </c>
      <c r="AD20" s="1535" t="b">
        <f t="shared" si="3"/>
        <v>1</v>
      </c>
      <c r="AE20" s="1535" t="b">
        <f t="shared" si="4"/>
        <v>1</v>
      </c>
      <c r="AF20" s="1535" t="b">
        <f t="shared" si="5"/>
        <v>1</v>
      </c>
    </row>
    <row r="21" spans="1:32" ht="15.75" customHeight="1">
      <c r="A21" s="7225"/>
      <c r="B21" s="7300"/>
      <c r="C21" s="10"/>
      <c r="D21" s="10"/>
      <c r="E21" s="10">
        <v>12</v>
      </c>
      <c r="F21" s="1658" t="str">
        <f>'2. S Plan'!F24</f>
        <v>GEN3 AL6 Housing (YT)</v>
      </c>
      <c r="G21" s="3571">
        <f>IFERROR(VLOOKUP(F21,B.BasicInfomation!$B:$O,6,0),"")</f>
        <v>0.68</v>
      </c>
      <c r="H21" s="3785">
        <f>IFERROR(VLOOKUP(F21,B.BasicInfomation!$B:$O,9,0),"")</f>
        <v>0.33662999999999998</v>
      </c>
      <c r="I21" s="1938" t="str">
        <f>IFERROR(VLOOKUP(F21,B.BasicInfomation!$B:$O,14,0),"")</f>
        <v>ADC12</v>
      </c>
      <c r="J21" s="2649">
        <f>'2. S Plan'!L24</f>
        <v>0</v>
      </c>
      <c r="K21" s="5006">
        <f>'2. S Plan'!M24</f>
        <v>0</v>
      </c>
      <c r="L21" s="5498">
        <f>'2. S Plan'!N24</f>
        <v>3436.950112556367</v>
      </c>
      <c r="M21" s="2649">
        <f>'2. S Plan'!O24</f>
        <v>5550.8265092171423</v>
      </c>
      <c r="N21" s="1554">
        <f>'2. S Plan'!P24</f>
        <v>520.07315724200566</v>
      </c>
      <c r="O21" s="1556">
        <f>'2. S Plan'!Q24</f>
        <v>0</v>
      </c>
      <c r="P21" s="1722">
        <f>'2. S Plan'!R24</f>
        <v>0</v>
      </c>
      <c r="Q21" s="1554">
        <f>'2. S Plan'!S24</f>
        <v>0</v>
      </c>
      <c r="R21" s="1555">
        <f>'2. S Plan'!T24</f>
        <v>0</v>
      </c>
      <c r="S21" s="1599">
        <f>'2. S Plan'!U24</f>
        <v>0</v>
      </c>
      <c r="T21" s="1554">
        <f>'2. S Plan'!V24</f>
        <v>0</v>
      </c>
      <c r="U21" s="1555">
        <f>'2. S Plan'!W24</f>
        <v>0</v>
      </c>
      <c r="V21" s="1557">
        <f>SUM(J21:U21)</f>
        <v>9507.8497790155161</v>
      </c>
      <c r="W21" s="1710"/>
      <c r="X21" s="1535">
        <v>0.74354999999999993</v>
      </c>
      <c r="Y21" s="1711">
        <f>_xlfn.XLOOKUP(F21,B.BasicInfomation!B:B,B.BasicInfomation!J:J,"",0)</f>
        <v>0.33662999999999998</v>
      </c>
      <c r="AA21" s="1723">
        <f t="shared" si="9"/>
        <v>0.68</v>
      </c>
      <c r="AB21" s="1720">
        <f t="shared" si="10"/>
        <v>0.33662999999999998</v>
      </c>
      <c r="AC21" s="1724" t="str">
        <f t="shared" si="11"/>
        <v>ADC12</v>
      </c>
      <c r="AD21" s="1535" t="b">
        <f t="shared" si="3"/>
        <v>1</v>
      </c>
      <c r="AE21" s="1535" t="b">
        <f t="shared" si="4"/>
        <v>1</v>
      </c>
      <c r="AF21" s="1535" t="b">
        <f t="shared" si="5"/>
        <v>1</v>
      </c>
    </row>
    <row r="22" spans="1:32" ht="15.75" customHeight="1">
      <c r="A22" s="7225"/>
      <c r="B22" s="7300"/>
      <c r="C22" s="10"/>
      <c r="D22" s="10"/>
      <c r="E22" s="10"/>
      <c r="F22" s="1658" t="str">
        <f>'2. S Plan'!F25</f>
        <v>GEN3 AL5  Housing (MX)</v>
      </c>
      <c r="G22" s="3571">
        <f>IFERROR(VLOOKUP(F22,B.BasicInfomation!$B:$O,6,0),"")</f>
        <v>0.68</v>
      </c>
      <c r="H22" s="3785">
        <f>IFERROR(VLOOKUP(F22,B.BasicInfomation!$B:$O,9,0),"")</f>
        <v>0.33662999999999998</v>
      </c>
      <c r="I22" s="1938" t="str">
        <f>IFERROR(VLOOKUP(F22,B.BasicInfomation!$B:$O,14,0),"")</f>
        <v>ADC12</v>
      </c>
      <c r="J22" s="2649">
        <f>'2. S Plan'!L25</f>
        <v>0</v>
      </c>
      <c r="K22" s="5006">
        <f>'2. S Plan'!M25</f>
        <v>0</v>
      </c>
      <c r="L22" s="5498">
        <f>'2. S Plan'!N25</f>
        <v>0</v>
      </c>
      <c r="M22" s="2649">
        <f>'2. S Plan'!O25</f>
        <v>0</v>
      </c>
      <c r="N22" s="1554">
        <f>'2. S Plan'!P25</f>
        <v>0</v>
      </c>
      <c r="O22" s="1556">
        <f>'2. S Plan'!Q25</f>
        <v>0</v>
      </c>
      <c r="P22" s="1722">
        <f>'2. S Plan'!R25</f>
        <v>0</v>
      </c>
      <c r="Q22" s="1554">
        <f>'2. S Plan'!S25</f>
        <v>0</v>
      </c>
      <c r="R22" s="1555">
        <f>'2. S Plan'!T25</f>
        <v>0</v>
      </c>
      <c r="S22" s="1599">
        <f>'2. S Plan'!U25</f>
        <v>0</v>
      </c>
      <c r="T22" s="1554">
        <f>'2. S Plan'!V25</f>
        <v>0</v>
      </c>
      <c r="U22" s="1555">
        <f>'2. S Plan'!W25</f>
        <v>0</v>
      </c>
      <c r="V22" s="1557">
        <f>SUM(J22:U22)</f>
        <v>0</v>
      </c>
      <c r="W22" s="1710"/>
      <c r="X22" s="1535">
        <v>0.71501000000000003</v>
      </c>
      <c r="Y22" s="1711">
        <f>_xlfn.XLOOKUP(F22,B.BasicInfomation!B:B,B.BasicInfomation!J:J,"",0)</f>
        <v>0.33662999999999998</v>
      </c>
      <c r="AA22" s="1723">
        <f t="shared" si="9"/>
        <v>0.68</v>
      </c>
      <c r="AB22" s="1720">
        <f t="shared" si="10"/>
        <v>0.33662999999999998</v>
      </c>
      <c r="AC22" s="1724" t="str">
        <f t="shared" si="11"/>
        <v>ADC12</v>
      </c>
      <c r="AD22" s="1535" t="b">
        <f t="shared" si="3"/>
        <v>1</v>
      </c>
      <c r="AE22" s="1535" t="b">
        <f t="shared" si="4"/>
        <v>1</v>
      </c>
      <c r="AF22" s="1535" t="b">
        <f t="shared" si="5"/>
        <v>1</v>
      </c>
    </row>
    <row r="23" spans="1:32" ht="15.75" customHeight="1">
      <c r="A23" s="7225"/>
      <c r="B23" s="7300"/>
      <c r="C23" s="10"/>
      <c r="D23" s="10"/>
      <c r="E23" s="10"/>
      <c r="F23" s="1658" t="str">
        <f>'2. S Plan'!F26</f>
        <v>GEN3 AL6  Housing (MX)</v>
      </c>
      <c r="G23" s="3571">
        <f>IFERROR(VLOOKUP(F23,B.BasicInfomation!$B:$O,6,0),"")</f>
        <v>0.68</v>
      </c>
      <c r="H23" s="3785">
        <f>IFERROR(VLOOKUP(F23,B.BasicInfomation!$B:$O,9,0),"")</f>
        <v>0.33662999999999998</v>
      </c>
      <c r="I23" s="1938" t="str">
        <f>IFERROR(VLOOKUP(F23,B.BasicInfomation!$B:$O,14,0),"")</f>
        <v>ADC12</v>
      </c>
      <c r="J23" s="2649">
        <f>'2. S Plan'!L26</f>
        <v>0</v>
      </c>
      <c r="K23" s="5006">
        <f>'2. S Plan'!M26</f>
        <v>0</v>
      </c>
      <c r="L23" s="5498">
        <f>'2. S Plan'!N26</f>
        <v>0</v>
      </c>
      <c r="M23" s="2649">
        <f>'2. S Plan'!O26</f>
        <v>0</v>
      </c>
      <c r="N23" s="1554">
        <f>'2. S Plan'!P26</f>
        <v>0</v>
      </c>
      <c r="O23" s="1556">
        <f>'2. S Plan'!Q26</f>
        <v>0</v>
      </c>
      <c r="P23" s="1722">
        <f>'2. S Plan'!R26</f>
        <v>0</v>
      </c>
      <c r="Q23" s="1554">
        <f>'2. S Plan'!S26</f>
        <v>0</v>
      </c>
      <c r="R23" s="1555">
        <f>'2. S Plan'!T26</f>
        <v>0</v>
      </c>
      <c r="S23" s="1599">
        <f>'2. S Plan'!U26</f>
        <v>0</v>
      </c>
      <c r="T23" s="1554">
        <f>'2. S Plan'!V26</f>
        <v>0</v>
      </c>
      <c r="U23" s="1555">
        <f>'2. S Plan'!W26</f>
        <v>0</v>
      </c>
      <c r="V23" s="1557">
        <f t="shared" ref="V23:V72" si="12">SUM(J23:U23)</f>
        <v>0</v>
      </c>
      <c r="W23" s="1710"/>
      <c r="Y23" s="1711"/>
      <c r="AA23" s="1723">
        <f t="shared" si="9"/>
        <v>0.68</v>
      </c>
      <c r="AB23" s="1720">
        <f t="shared" si="10"/>
        <v>0.33662999999999998</v>
      </c>
      <c r="AC23" s="1724" t="str">
        <f t="shared" si="11"/>
        <v>ADC12</v>
      </c>
      <c r="AD23" s="1535" t="b">
        <f t="shared" si="3"/>
        <v>1</v>
      </c>
      <c r="AE23" s="1535" t="b">
        <f t="shared" si="4"/>
        <v>1</v>
      </c>
      <c r="AF23" s="1535" t="b">
        <f t="shared" si="5"/>
        <v>1</v>
      </c>
    </row>
    <row r="24" spans="1:32" ht="15.75" customHeight="1">
      <c r="A24" s="7225"/>
      <c r="B24" s="7300"/>
      <c r="C24" s="10"/>
      <c r="D24" s="10"/>
      <c r="E24" s="10"/>
      <c r="F24" s="1658" t="str">
        <f>'2. S Plan'!F27</f>
        <v>T6 Housing</v>
      </c>
      <c r="G24" s="3571">
        <f>IFERROR(VLOOKUP(F24,B.BasicInfomation!$B:$O,6,0),"")</f>
        <v>0.7</v>
      </c>
      <c r="H24" s="3785">
        <f>IFERROR(VLOOKUP(F24,B.BasicInfomation!$B:$O,9,0),"")</f>
        <v>0.44851999999999997</v>
      </c>
      <c r="I24" s="1938" t="str">
        <f>IFERROR(VLOOKUP(F24,B.BasicInfomation!$B:$O,14,0),"")</f>
        <v>ADC12</v>
      </c>
      <c r="J24" s="2649">
        <f>'2. S Plan'!L27</f>
        <v>0</v>
      </c>
      <c r="K24" s="5006">
        <f>'2. S Plan'!M27</f>
        <v>0</v>
      </c>
      <c r="L24" s="5498">
        <f>'2. S Plan'!N27</f>
        <v>24602.654579495818</v>
      </c>
      <c r="M24" s="2649">
        <f>'2. S Plan'!O27</f>
        <v>12914.396900594151</v>
      </c>
      <c r="N24" s="1554">
        <f>'2. S Plan'!P27</f>
        <v>0</v>
      </c>
      <c r="O24" s="1556">
        <f>'2. S Plan'!Q27</f>
        <v>0</v>
      </c>
      <c r="P24" s="1722">
        <f>'2. S Plan'!R27</f>
        <v>0</v>
      </c>
      <c r="Q24" s="1554">
        <f>'2. S Plan'!S27</f>
        <v>0</v>
      </c>
      <c r="R24" s="1555">
        <f>'2. S Plan'!T27</f>
        <v>0</v>
      </c>
      <c r="S24" s="1599">
        <f>'2. S Plan'!U27</f>
        <v>0</v>
      </c>
      <c r="T24" s="1554">
        <f>'2. S Plan'!V27</f>
        <v>0</v>
      </c>
      <c r="U24" s="1555">
        <f>'2. S Plan'!W27</f>
        <v>0</v>
      </c>
      <c r="V24" s="1557">
        <f t="shared" si="12"/>
        <v>37517.051480089969</v>
      </c>
      <c r="W24" s="1710"/>
      <c r="X24" s="1535">
        <v>1.6369100000000001</v>
      </c>
      <c r="Y24" s="1711">
        <f>_xlfn.XLOOKUP(F24,B.BasicInfomation!B:B,B.BasicInfomation!J:J,"",0)</f>
        <v>0.44851999999999997</v>
      </c>
      <c r="AA24" s="1723">
        <f t="shared" si="9"/>
        <v>0.7</v>
      </c>
      <c r="AB24" s="1720">
        <f t="shared" si="10"/>
        <v>0.44851999999999997</v>
      </c>
      <c r="AC24" s="1724" t="str">
        <f t="shared" si="11"/>
        <v>ADC12</v>
      </c>
      <c r="AD24" s="1535" t="b">
        <f t="shared" si="3"/>
        <v>1</v>
      </c>
      <c r="AE24" s="1535" t="b">
        <f t="shared" si="4"/>
        <v>1</v>
      </c>
      <c r="AF24" s="1535" t="b">
        <f t="shared" si="5"/>
        <v>1</v>
      </c>
    </row>
    <row r="25" spans="1:32" s="1569" customFormat="1" ht="15.75" customHeight="1">
      <c r="A25" s="7225"/>
      <c r="B25" s="7300"/>
      <c r="C25" s="10"/>
      <c r="D25" s="10"/>
      <c r="E25" s="10">
        <v>13</v>
      </c>
      <c r="F25" s="1658" t="str">
        <f>'2. S Plan'!F28</f>
        <v>CL4 Housing (YT)</v>
      </c>
      <c r="G25" s="3571">
        <f>IFERROR(VLOOKUP(F25,B.BasicInfomation!$B:$O,6,0),"")</f>
        <v>0.79</v>
      </c>
      <c r="H25" s="3785">
        <f>IFERROR(VLOOKUP(F25,B.BasicInfomation!$B:$O,9,0),"")</f>
        <v>0.44851999999999997</v>
      </c>
      <c r="I25" s="1938" t="str">
        <f>IFERROR(VLOOKUP(F25,B.BasicInfomation!$B:$O,14,0),"")</f>
        <v>ADC12</v>
      </c>
      <c r="J25" s="2649">
        <f>'2. S Plan'!L28</f>
        <v>47052.918085911486</v>
      </c>
      <c r="K25" s="5006">
        <f>'2. S Plan'!M28</f>
        <v>31690.773969784212</v>
      </c>
      <c r="L25" s="5498">
        <f>'2. S Plan'!N28</f>
        <v>37461.34484528457</v>
      </c>
      <c r="M25" s="2649">
        <f>'2. S Plan'!O28</f>
        <v>44492.255706628639</v>
      </c>
      <c r="N25" s="1554">
        <f>'2. S Plan'!P28</f>
        <v>47519.124322210249</v>
      </c>
      <c r="O25" s="1556">
        <f>'2. S Plan'!Q28</f>
        <v>28507.534367428787</v>
      </c>
      <c r="P25" s="1722">
        <f>'2. S Plan'!R28</f>
        <v>0</v>
      </c>
      <c r="Q25" s="1554">
        <f>'2. S Plan'!S28</f>
        <v>0</v>
      </c>
      <c r="R25" s="1555">
        <f>'2. S Plan'!T28</f>
        <v>0</v>
      </c>
      <c r="S25" s="1599">
        <f>'2. S Plan'!U28</f>
        <v>0</v>
      </c>
      <c r="T25" s="1554">
        <f>'2. S Plan'!V28</f>
        <v>0</v>
      </c>
      <c r="U25" s="1555">
        <f>'2. S Plan'!W28</f>
        <v>0</v>
      </c>
      <c r="V25" s="1557">
        <f t="shared" si="12"/>
        <v>236723.95129724796</v>
      </c>
      <c r="W25" s="1745"/>
      <c r="X25" s="1569">
        <v>1.0222</v>
      </c>
      <c r="Y25" s="1711">
        <f>_xlfn.XLOOKUP(F25,B.BasicInfomation!B:B,B.BasicInfomation!J:J,"",0)</f>
        <v>0.44851999999999997</v>
      </c>
      <c r="AA25" s="1723">
        <f t="shared" si="9"/>
        <v>0.79</v>
      </c>
      <c r="AB25" s="1720">
        <f t="shared" si="10"/>
        <v>0.44851999999999997</v>
      </c>
      <c r="AC25" s="1724" t="str">
        <f t="shared" si="11"/>
        <v>ADC12</v>
      </c>
      <c r="AD25" s="1535" t="b">
        <f t="shared" si="3"/>
        <v>1</v>
      </c>
      <c r="AE25" s="1535" t="b">
        <f t="shared" si="4"/>
        <v>1</v>
      </c>
      <c r="AF25" s="1535" t="b">
        <f t="shared" si="5"/>
        <v>1</v>
      </c>
    </row>
    <row r="26" spans="1:32" s="1569" customFormat="1" ht="15.75" customHeight="1">
      <c r="A26" s="7225"/>
      <c r="B26" s="7300"/>
      <c r="C26" s="10"/>
      <c r="D26" s="10"/>
      <c r="E26" s="10"/>
      <c r="F26" s="1658" t="str">
        <f>'2. S Plan'!F29</f>
        <v>CL4 Housing (MX)</v>
      </c>
      <c r="G26" s="3571">
        <f>IFERROR(VLOOKUP(F26,B.BasicInfomation!$B:$O,6,0),"")</f>
        <v>0.79</v>
      </c>
      <c r="H26" s="3785">
        <f>IFERROR(VLOOKUP(F26,B.BasicInfomation!$B:$O,9,0),"")</f>
        <v>0.44851999999999997</v>
      </c>
      <c r="I26" s="1938" t="str">
        <f>IFERROR(VLOOKUP(F26,B.BasicInfomation!$B:$O,14,0),"")</f>
        <v>ADC12</v>
      </c>
      <c r="J26" s="2649">
        <f>'2. S Plan'!L29</f>
        <v>0</v>
      </c>
      <c r="K26" s="5006">
        <f>'2. S Plan'!M29</f>
        <v>19698.795180722893</v>
      </c>
      <c r="L26" s="5498">
        <f>'2. S Plan'!N29</f>
        <v>0</v>
      </c>
      <c r="M26" s="2649">
        <f>'2. S Plan'!O29</f>
        <v>19698.795180722893</v>
      </c>
      <c r="N26" s="1554">
        <f>'2. S Plan'!P29</f>
        <v>26807.22891566265</v>
      </c>
      <c r="O26" s="1556">
        <f>'2. S Plan'!Q29</f>
        <v>23590.361445783135</v>
      </c>
      <c r="P26" s="1722">
        <f>'2. S Plan'!R29</f>
        <v>19698.795180722893</v>
      </c>
      <c r="Q26" s="1554">
        <f>'2. S Plan'!S29</f>
        <v>0</v>
      </c>
      <c r="R26" s="1555">
        <f>'2. S Plan'!T29</f>
        <v>0</v>
      </c>
      <c r="S26" s="1599">
        <f>'2. S Plan'!U29</f>
        <v>0</v>
      </c>
      <c r="T26" s="1554">
        <f>'2. S Plan'!V29</f>
        <v>0</v>
      </c>
      <c r="U26" s="1555">
        <f>'2. S Plan'!W29</f>
        <v>0</v>
      </c>
      <c r="V26" s="1557">
        <f t="shared" si="12"/>
        <v>109493.97590361448</v>
      </c>
      <c r="W26" s="1745"/>
      <c r="Y26" s="1711"/>
      <c r="AA26" s="1723"/>
      <c r="AB26" s="1720"/>
      <c r="AC26" s="1724"/>
      <c r="AD26" s="1535"/>
      <c r="AE26" s="1535"/>
      <c r="AF26" s="1535"/>
    </row>
    <row r="27" spans="1:32" s="1569" customFormat="1" ht="15.75" customHeight="1">
      <c r="A27" s="7225"/>
      <c r="B27" s="7300"/>
      <c r="C27" s="10"/>
      <c r="D27" s="10"/>
      <c r="E27" s="10">
        <v>14</v>
      </c>
      <c r="F27" s="1658" t="str">
        <f>'2. S Plan'!F30</f>
        <v>MQ4a PE Housing (YT)</v>
      </c>
      <c r="G27" s="3571">
        <f>IFERROR(VLOOKUP(F27,B.BasicInfomation!$B:$O,6,0),"")</f>
        <v>0.79</v>
      </c>
      <c r="H27" s="3785">
        <f>IFERROR(VLOOKUP(F27,B.BasicInfomation!$B:$O,9,0),"")</f>
        <v>0.44851999999999997</v>
      </c>
      <c r="I27" s="1938" t="str">
        <f>IFERROR(VLOOKUP(F27,B.BasicInfomation!$B:$O,14,0),"")</f>
        <v>ADC12</v>
      </c>
      <c r="J27" s="2649">
        <f>'2. S Plan'!L30</f>
        <v>588.7689382912979</v>
      </c>
      <c r="K27" s="5006">
        <f>'2. S Plan'!M30</f>
        <v>15896.761333865043</v>
      </c>
      <c r="L27" s="5498">
        <f>'2. S Plan'!N30</f>
        <v>26916.5532955505</v>
      </c>
      <c r="M27" s="2649">
        <f>'2. S Plan'!O30</f>
        <v>21502.775474412101</v>
      </c>
      <c r="N27" s="1554">
        <f>'2. S Plan'!P30</f>
        <v>27132.204001034817</v>
      </c>
      <c r="O27" s="1556">
        <f>'2. S Plan'!Q30</f>
        <v>10171.365841978342</v>
      </c>
      <c r="P27" s="1722">
        <f>'2. S Plan'!R30</f>
        <v>16644.05319596456</v>
      </c>
      <c r="Q27" s="1554">
        <f>'2. S Plan'!S30</f>
        <v>30004.673058260181</v>
      </c>
      <c r="R27" s="1555">
        <f>'2. S Plan'!T30</f>
        <v>10286.949544728095</v>
      </c>
      <c r="S27" s="1599">
        <f>'2. S Plan'!U30</f>
        <v>0</v>
      </c>
      <c r="T27" s="1554">
        <f>'2. S Plan'!V30</f>
        <v>0</v>
      </c>
      <c r="U27" s="1555">
        <f>'2. S Plan'!W30</f>
        <v>0</v>
      </c>
      <c r="V27" s="1557">
        <f t="shared" si="12"/>
        <v>159144.10468408494</v>
      </c>
      <c r="W27" s="1745"/>
      <c r="X27" s="1569">
        <v>1.07331</v>
      </c>
      <c r="Y27" s="1711">
        <f>_xlfn.XLOOKUP(F27,B.BasicInfomation!B:B,B.BasicInfomation!J:J,"",0)</f>
        <v>0.44851999999999997</v>
      </c>
      <c r="AA27" s="1723">
        <f t="shared" si="9"/>
        <v>0.79</v>
      </c>
      <c r="AB27" s="1720">
        <f t="shared" si="10"/>
        <v>0.44851999999999997</v>
      </c>
      <c r="AC27" s="1724" t="str">
        <f t="shared" si="11"/>
        <v>ADC12</v>
      </c>
      <c r="AD27" s="1535" t="b">
        <f t="shared" si="3"/>
        <v>1</v>
      </c>
      <c r="AE27" s="1535" t="b">
        <f t="shared" si="4"/>
        <v>1</v>
      </c>
      <c r="AF27" s="1535" t="b">
        <f t="shared" si="5"/>
        <v>1</v>
      </c>
    </row>
    <row r="28" spans="1:32" s="1569" customFormat="1" ht="15.75" customHeight="1">
      <c r="A28" s="7225"/>
      <c r="B28" s="7300"/>
      <c r="C28" s="10"/>
      <c r="D28" s="10"/>
      <c r="E28" s="10"/>
      <c r="F28" s="1658" t="str">
        <f>'2. S Plan'!F31</f>
        <v>MQ4a PE Housing (MX)</v>
      </c>
      <c r="G28" s="3571">
        <f>IFERROR(VLOOKUP(F28,B.BasicInfomation!$B:$O,6,0),"")</f>
        <v>0.79</v>
      </c>
      <c r="H28" s="3785">
        <f>IFERROR(VLOOKUP(F28,B.BasicInfomation!$B:$O,9,0),"")</f>
        <v>0.44851999999999997</v>
      </c>
      <c r="I28" s="1938" t="str">
        <f>IFERROR(VLOOKUP(F28,B.BasicInfomation!$B:$O,14,0),"")</f>
        <v>ADC12</v>
      </c>
      <c r="J28" s="2649">
        <f>'2. S Plan'!L31</f>
        <v>0</v>
      </c>
      <c r="K28" s="5006">
        <f>'2. S Plan'!M31</f>
        <v>19693.251533742332</v>
      </c>
      <c r="L28" s="5498">
        <f>'2. S Plan'!N31</f>
        <v>0</v>
      </c>
      <c r="M28" s="2649">
        <f>'2. S Plan'!O31</f>
        <v>19693.251533742332</v>
      </c>
      <c r="N28" s="1554">
        <f>'2. S Plan'!P31</f>
        <v>24763.803680981597</v>
      </c>
      <c r="O28" s="1556">
        <f>'2. S Plan'!Q31</f>
        <v>21533.742331288344</v>
      </c>
      <c r="P28" s="1722">
        <f>'2. S Plan'!R31</f>
        <v>19693.251533742332</v>
      </c>
      <c r="Q28" s="1554">
        <f>'2. S Plan'!S31</f>
        <v>0</v>
      </c>
      <c r="R28" s="1555">
        <f>'2. S Plan'!T31</f>
        <v>0</v>
      </c>
      <c r="S28" s="1599">
        <f>'2. S Plan'!U31</f>
        <v>0</v>
      </c>
      <c r="T28" s="1554">
        <f>'2. S Plan'!V31</f>
        <v>0</v>
      </c>
      <c r="U28" s="1555">
        <f>'2. S Plan'!W31</f>
        <v>0</v>
      </c>
      <c r="V28" s="1557">
        <f t="shared" si="12"/>
        <v>105377.30061349695</v>
      </c>
      <c r="W28" s="1745"/>
      <c r="Y28" s="1711"/>
      <c r="AA28" s="1723"/>
      <c r="AB28" s="1720"/>
      <c r="AC28" s="1724"/>
      <c r="AD28" s="1535"/>
      <c r="AE28" s="1535"/>
      <c r="AF28" s="1535"/>
    </row>
    <row r="29" spans="1:32" s="1569" customFormat="1" ht="15.75" customHeight="1">
      <c r="A29" s="7225"/>
      <c r="B29" s="7300"/>
      <c r="C29" s="10"/>
      <c r="D29" s="10"/>
      <c r="E29" s="10"/>
      <c r="F29" s="1658" t="str">
        <f>'2. S Plan'!F32</f>
        <v>BYD Housing</v>
      </c>
      <c r="G29" s="3571">
        <f>IFERROR(VLOOKUP(F29,B.BasicInfomation!$B:$O,6,0),"")</f>
        <v>0.8</v>
      </c>
      <c r="H29" s="3785">
        <f>IFERROR(VLOOKUP(F29,B.BasicInfomation!$B:$O,9,0),"")</f>
        <v>0.44851999999999997</v>
      </c>
      <c r="I29" s="1938" t="str">
        <f>IFERROR(VLOOKUP(F29,B.BasicInfomation!$B:$O,14,0),"")</f>
        <v>ADC12</v>
      </c>
      <c r="J29" s="2649">
        <f>'2. S Plan'!L32</f>
        <v>0</v>
      </c>
      <c r="K29" s="5006">
        <f>'2. S Plan'!M32</f>
        <v>0</v>
      </c>
      <c r="L29" s="5498">
        <f>'2. S Plan'!N32</f>
        <v>0</v>
      </c>
      <c r="M29" s="2649">
        <f>'2. S Plan'!O32</f>
        <v>0</v>
      </c>
      <c r="N29" s="1554">
        <f>'2. S Plan'!P32</f>
        <v>0</v>
      </c>
      <c r="O29" s="1556">
        <f>'2. S Plan'!Q32</f>
        <v>0</v>
      </c>
      <c r="P29" s="1722">
        <f>'2. S Plan'!R32</f>
        <v>0</v>
      </c>
      <c r="Q29" s="1554">
        <f>'2. S Plan'!S32</f>
        <v>0</v>
      </c>
      <c r="R29" s="1555">
        <f>'2. S Plan'!T32</f>
        <v>0</v>
      </c>
      <c r="S29" s="1599">
        <f>'2. S Plan'!U32</f>
        <v>0</v>
      </c>
      <c r="T29" s="1554">
        <f>'2. S Plan'!V32</f>
        <v>0</v>
      </c>
      <c r="U29" s="1555">
        <f>'2. S Plan'!W32</f>
        <v>0</v>
      </c>
      <c r="V29" s="1557">
        <f t="shared" si="12"/>
        <v>0</v>
      </c>
      <c r="W29" s="1745"/>
      <c r="Y29" s="1711"/>
      <c r="AA29" s="1723">
        <f t="shared" si="9"/>
        <v>0.8</v>
      </c>
      <c r="AB29" s="1720">
        <f t="shared" si="10"/>
        <v>0.44851999999999997</v>
      </c>
      <c r="AC29" s="1724" t="str">
        <f t="shared" si="11"/>
        <v>ADC12</v>
      </c>
      <c r="AD29" s="1535" t="b">
        <f t="shared" si="3"/>
        <v>1</v>
      </c>
      <c r="AE29" s="1535" t="b">
        <f t="shared" si="4"/>
        <v>1</v>
      </c>
      <c r="AF29" s="1535" t="b">
        <f t="shared" si="5"/>
        <v>1</v>
      </c>
    </row>
    <row r="30" spans="1:32" s="1569" customFormat="1" ht="15.75" customHeight="1">
      <c r="A30" s="7225"/>
      <c r="B30" s="7300"/>
      <c r="C30" s="10"/>
      <c r="D30" s="10"/>
      <c r="E30" s="10">
        <v>15</v>
      </c>
      <c r="F30" s="1658" t="str">
        <f>'2. S Plan'!F33</f>
        <v>MX5 Housing</v>
      </c>
      <c r="G30" s="3571">
        <f>IFERROR(VLOOKUP(F30,B.BasicInfomation!$B:$O,6,0),"")</f>
        <v>0.8</v>
      </c>
      <c r="H30" s="3785">
        <f>IFERROR(VLOOKUP(F30,B.BasicInfomation!$B:$O,9,0),"")</f>
        <v>0.44569999999999999</v>
      </c>
      <c r="I30" s="1938" t="str">
        <f>IFERROR(VLOOKUP(F30,B.BasicInfomation!$B:$O,14,0),"")</f>
        <v>ADC12</v>
      </c>
      <c r="J30" s="2649">
        <f>'2. S Plan'!L33</f>
        <v>0</v>
      </c>
      <c r="K30" s="5006">
        <f>'2. S Plan'!M33</f>
        <v>0</v>
      </c>
      <c r="L30" s="5498">
        <f>'2. S Plan'!N33</f>
        <v>0</v>
      </c>
      <c r="M30" s="2649">
        <f>'2. S Plan'!O33</f>
        <v>0</v>
      </c>
      <c r="N30" s="1554">
        <f>'2. S Plan'!P33</f>
        <v>0</v>
      </c>
      <c r="O30" s="1556">
        <f>'2. S Plan'!Q33</f>
        <v>0</v>
      </c>
      <c r="P30" s="1722">
        <f>'2. S Plan'!R33</f>
        <v>0</v>
      </c>
      <c r="Q30" s="1554">
        <f>'2. S Plan'!S33</f>
        <v>0</v>
      </c>
      <c r="R30" s="1555">
        <f>'2. S Plan'!T33</f>
        <v>0</v>
      </c>
      <c r="S30" s="1599">
        <f>'2. S Plan'!U33</f>
        <v>0</v>
      </c>
      <c r="T30" s="1554">
        <f>'2. S Plan'!V33</f>
        <v>0</v>
      </c>
      <c r="U30" s="1555">
        <f>'2. S Plan'!W33</f>
        <v>0</v>
      </c>
      <c r="V30" s="1557">
        <f t="shared" si="12"/>
        <v>0</v>
      </c>
      <c r="W30" s="1745"/>
      <c r="Y30" s="1711"/>
      <c r="AA30" s="1723">
        <f t="shared" si="9"/>
        <v>0.8</v>
      </c>
      <c r="AB30" s="1720">
        <f t="shared" si="10"/>
        <v>0.44569999999999999</v>
      </c>
      <c r="AC30" s="1724" t="str">
        <f t="shared" si="11"/>
        <v>ADC12</v>
      </c>
      <c r="AD30" s="1535" t="b">
        <f t="shared" si="3"/>
        <v>1</v>
      </c>
      <c r="AE30" s="1535" t="b">
        <f t="shared" si="4"/>
        <v>1</v>
      </c>
      <c r="AF30" s="1535" t="b">
        <f t="shared" si="5"/>
        <v>1</v>
      </c>
    </row>
    <row r="31" spans="1:32" s="1569" customFormat="1" ht="15.75" customHeight="1">
      <c r="A31" s="7225"/>
      <c r="B31" s="7300"/>
      <c r="C31" s="10"/>
      <c r="D31" s="7" t="s">
        <v>857</v>
      </c>
      <c r="E31" s="7"/>
      <c r="F31" s="1746" t="str">
        <f>'2. S Plan'!F35</f>
        <v>Gen2 Cover</v>
      </c>
      <c r="G31" s="3795">
        <f>IFERROR(VLOOKUP(F31,B.BasicInfomation!$B:$O,6,0),"")</f>
        <v>0.85</v>
      </c>
      <c r="H31" s="3788">
        <f>IFERROR(VLOOKUP(F31,B.BasicInfomation!$B:$O,9,0),"")</f>
        <v>0.1162</v>
      </c>
      <c r="I31" s="1954" t="str">
        <f>IFERROR(VLOOKUP(F31,B.BasicInfomation!$B:$O,14,0),"")</f>
        <v>ADC12</v>
      </c>
      <c r="J31" s="4682">
        <f>'2. S Plan'!L35</f>
        <v>3579.0353829901842</v>
      </c>
      <c r="K31" s="5056">
        <f>'2. S Plan'!M35</f>
        <v>0</v>
      </c>
      <c r="L31" s="5533">
        <f>'2. S Plan'!N35</f>
        <v>0</v>
      </c>
      <c r="M31" s="4682">
        <f>'2. S Plan'!O35</f>
        <v>0</v>
      </c>
      <c r="N31" s="1572">
        <f>'2. S Plan'!P35</f>
        <v>0</v>
      </c>
      <c r="O31" s="1574">
        <f>'2. S Plan'!Q35</f>
        <v>0</v>
      </c>
      <c r="P31" s="1646">
        <f>'2. S Plan'!R35</f>
        <v>21960.081347140331</v>
      </c>
      <c r="Q31" s="1572">
        <f>'2. S Plan'!S35</f>
        <v>0</v>
      </c>
      <c r="R31" s="1573">
        <f>'2. S Plan'!T35</f>
        <v>0</v>
      </c>
      <c r="S31" s="1751">
        <f>'2. S Plan'!U35</f>
        <v>0</v>
      </c>
      <c r="T31" s="1572">
        <f>'2. S Plan'!V35</f>
        <v>0</v>
      </c>
      <c r="U31" s="1573">
        <f>'2. S Plan'!W35</f>
        <v>0</v>
      </c>
      <c r="V31" s="1575">
        <f t="shared" si="12"/>
        <v>25539.116730130514</v>
      </c>
      <c r="W31" s="1745"/>
      <c r="X31" s="1569">
        <v>0.48707499999999998</v>
      </c>
      <c r="Y31" s="1711">
        <f>_xlfn.XLOOKUP(F31,B.BasicInfomation!B:B,B.BasicInfomation!J:J,"",0)</f>
        <v>0.1162</v>
      </c>
      <c r="AA31" s="1723">
        <f t="shared" si="9"/>
        <v>0.85</v>
      </c>
      <c r="AB31" s="1720">
        <f t="shared" si="10"/>
        <v>0.1162</v>
      </c>
      <c r="AC31" s="1724" t="str">
        <f t="shared" si="11"/>
        <v>ADC12</v>
      </c>
      <c r="AD31" s="1535" t="b">
        <f t="shared" si="3"/>
        <v>1</v>
      </c>
      <c r="AE31" s="1535" t="b">
        <f t="shared" si="4"/>
        <v>1</v>
      </c>
      <c r="AF31" s="1535" t="b">
        <f t="shared" si="5"/>
        <v>1</v>
      </c>
    </row>
    <row r="32" spans="1:32" s="1569" customFormat="1" ht="15.75" customHeight="1">
      <c r="A32" s="7225"/>
      <c r="B32" s="7300"/>
      <c r="C32" s="10"/>
      <c r="D32" s="10"/>
      <c r="E32" s="10"/>
      <c r="F32" s="1658" t="str">
        <f>'2. S Plan'!F36</f>
        <v>T6 Cover</v>
      </c>
      <c r="G32" s="3571">
        <f>IFERROR(VLOOKUP(F32,B.BasicInfomation!$B:$O,6,0),"")</f>
        <v>0.85</v>
      </c>
      <c r="H32" s="3785">
        <f>IFERROR(VLOOKUP(F32,B.BasicInfomation!$B:$O,9,0),"")</f>
        <v>0.1162</v>
      </c>
      <c r="I32" s="1938" t="str">
        <f>IFERROR(VLOOKUP(F32,B.BasicInfomation!$B:$O,14,0),"")</f>
        <v>ADC12</v>
      </c>
      <c r="J32" s="2649">
        <f>'2. S Plan'!L36</f>
        <v>0</v>
      </c>
      <c r="K32" s="5006">
        <f>'2. S Plan'!M36</f>
        <v>0</v>
      </c>
      <c r="L32" s="5498">
        <f>'2. S Plan'!N36</f>
        <v>14112.347678025739</v>
      </c>
      <c r="M32" s="2649">
        <f>'2. S Plan'!O36</f>
        <v>26901.406389381584</v>
      </c>
      <c r="N32" s="1554">
        <f>'2. S Plan'!P36</f>
        <v>0</v>
      </c>
      <c r="O32" s="1556">
        <f>'2. S Plan'!Q36</f>
        <v>0</v>
      </c>
      <c r="P32" s="1722">
        <f>'2. S Plan'!R36</f>
        <v>0</v>
      </c>
      <c r="Q32" s="1554">
        <f>'2. S Plan'!S36</f>
        <v>0</v>
      </c>
      <c r="R32" s="1555">
        <f>'2. S Plan'!T36</f>
        <v>0</v>
      </c>
      <c r="S32" s="1599">
        <f>'2. S Plan'!U36</f>
        <v>0</v>
      </c>
      <c r="T32" s="1554">
        <f>'2. S Plan'!V36</f>
        <v>0</v>
      </c>
      <c r="U32" s="1555">
        <f>'2. S Plan'!W36</f>
        <v>0</v>
      </c>
      <c r="V32" s="1557">
        <f t="shared" si="12"/>
        <v>41013.754067407324</v>
      </c>
      <c r="W32" s="1745"/>
      <c r="X32" s="1569">
        <v>0.30774499999999999</v>
      </c>
      <c r="Y32" s="1711">
        <f>_xlfn.XLOOKUP(F32,B.BasicInfomation!B:B,B.BasicInfomation!J:J,"",0)</f>
        <v>0.1162</v>
      </c>
      <c r="AA32" s="1723">
        <f t="shared" si="9"/>
        <v>0.85</v>
      </c>
      <c r="AB32" s="1720">
        <f t="shared" si="10"/>
        <v>0.1162</v>
      </c>
      <c r="AC32" s="1724" t="str">
        <f t="shared" si="11"/>
        <v>ADC12</v>
      </c>
      <c r="AD32" s="1535" t="b">
        <f t="shared" si="3"/>
        <v>1</v>
      </c>
      <c r="AE32" s="1535" t="b">
        <f t="shared" si="4"/>
        <v>1</v>
      </c>
      <c r="AF32" s="1535" t="b">
        <f t="shared" si="5"/>
        <v>1</v>
      </c>
    </row>
    <row r="33" spans="1:32" s="1569" customFormat="1" ht="15.75" customHeight="1">
      <c r="A33" s="7225"/>
      <c r="B33" s="7300"/>
      <c r="C33" s="10"/>
      <c r="D33" s="10"/>
      <c r="E33" s="10">
        <v>16</v>
      </c>
      <c r="F33" s="1658" t="str">
        <f>'2. S Plan'!F37</f>
        <v>EK_Part Cover</v>
      </c>
      <c r="G33" s="3571">
        <f>IFERROR(VLOOKUP(F33,B.BasicInfomation!$B:$O,6,0),"")</f>
        <v>0.79</v>
      </c>
      <c r="H33" s="3785">
        <f>IFERROR(VLOOKUP(F33,B.BasicInfomation!$B:$O,9,0),"")</f>
        <v>0.1162</v>
      </c>
      <c r="I33" s="1938" t="str">
        <f>IFERROR(VLOOKUP(F33,B.BasicInfomation!$B:$O,14,0),"")</f>
        <v>ADC12</v>
      </c>
      <c r="J33" s="2649">
        <f>'2. S Plan'!L37</f>
        <v>20264.151509729174</v>
      </c>
      <c r="K33" s="5006">
        <f>'2. S Plan'!M37</f>
        <v>14474.39393552084</v>
      </c>
      <c r="L33" s="5498">
        <f>'2. S Plan'!N37</f>
        <v>13026.954541968757</v>
      </c>
      <c r="M33" s="2649">
        <f>'2. S Plan'!O37</f>
        <v>16520.146570455236</v>
      </c>
      <c r="N33" s="1554">
        <f>'2. S Plan'!P37</f>
        <v>18736.263793321181</v>
      </c>
      <c r="O33" s="1556">
        <f>'2. S Plan'!Q37</f>
        <v>16520.146570455236</v>
      </c>
      <c r="P33" s="1722">
        <f>'2. S Plan'!R37</f>
        <v>16520.146570455236</v>
      </c>
      <c r="Q33" s="1554">
        <f>'2. S Plan'!S37</f>
        <v>13528.580363543684</v>
      </c>
      <c r="R33" s="1555">
        <f>'2. S Plan'!T37</f>
        <v>0</v>
      </c>
      <c r="S33" s="1599">
        <f>'2. S Plan'!U37</f>
        <v>0</v>
      </c>
      <c r="T33" s="1554">
        <f>'2. S Plan'!V37</f>
        <v>0</v>
      </c>
      <c r="U33" s="1555">
        <f>'2. S Plan'!W37</f>
        <v>0</v>
      </c>
      <c r="V33" s="1557">
        <f t="shared" si="12"/>
        <v>129590.78385544935</v>
      </c>
      <c r="W33" s="1745"/>
      <c r="X33" s="1569">
        <v>0.97</v>
      </c>
      <c r="Y33" s="1711">
        <f>_xlfn.XLOOKUP(F33,B.BasicInfomation!B:B,B.BasicInfomation!J:J,"",0)</f>
        <v>0.1162</v>
      </c>
      <c r="AA33" s="1723">
        <f t="shared" si="9"/>
        <v>0.79</v>
      </c>
      <c r="AB33" s="1720">
        <f t="shared" si="10"/>
        <v>0.1162</v>
      </c>
      <c r="AC33" s="1724" t="str">
        <f t="shared" si="11"/>
        <v>ADC12</v>
      </c>
      <c r="AD33" s="1535" t="b">
        <f t="shared" si="3"/>
        <v>1</v>
      </c>
      <c r="AE33" s="1535" t="b">
        <f t="shared" si="4"/>
        <v>1</v>
      </c>
      <c r="AF33" s="1535" t="b">
        <f t="shared" si="5"/>
        <v>1</v>
      </c>
    </row>
    <row r="34" spans="1:32" s="1569" customFormat="1" ht="15.75" customHeight="1">
      <c r="A34" s="7225"/>
      <c r="B34" s="7300"/>
      <c r="C34" s="10"/>
      <c r="D34" s="10"/>
      <c r="E34" s="1752"/>
      <c r="F34" s="1658" t="str">
        <f>'2. S Plan'!F38</f>
        <v>570W Cover</v>
      </c>
      <c r="G34" s="3571">
        <f>IFERROR(VLOOKUP(F34,B.BasicInfomation!$B:$O,6,0),"")</f>
        <v>0.85</v>
      </c>
      <c r="H34" s="3785">
        <f>IFERROR(VLOOKUP(F34,B.BasicInfomation!$B:$O,9,0),"")</f>
        <v>0.1162</v>
      </c>
      <c r="I34" s="1938" t="str">
        <f>IFERROR(VLOOKUP(F34,B.BasicInfomation!$B:$O,14,0),"")</f>
        <v>ADC12</v>
      </c>
      <c r="J34" s="2649">
        <f>'2. S Plan'!L38</f>
        <v>0</v>
      </c>
      <c r="K34" s="5006">
        <f>'2. S Plan'!M38</f>
        <v>0</v>
      </c>
      <c r="L34" s="5498">
        <f>'2. S Plan'!N38</f>
        <v>0</v>
      </c>
      <c r="M34" s="2649">
        <f>'2. S Plan'!O38</f>
        <v>0</v>
      </c>
      <c r="N34" s="1554">
        <f>'2. S Plan'!P38</f>
        <v>0</v>
      </c>
      <c r="O34" s="1556">
        <f>'2. S Plan'!Q38</f>
        <v>0</v>
      </c>
      <c r="P34" s="1722">
        <f>'2. S Plan'!R38</f>
        <v>0</v>
      </c>
      <c r="Q34" s="1554">
        <f>'2. S Plan'!S38</f>
        <v>0</v>
      </c>
      <c r="R34" s="1555">
        <f>'2. S Plan'!T38</f>
        <v>0</v>
      </c>
      <c r="S34" s="1599">
        <f>'2. S Plan'!U38</f>
        <v>0</v>
      </c>
      <c r="T34" s="1554">
        <f>'2. S Plan'!V38</f>
        <v>0</v>
      </c>
      <c r="U34" s="1555">
        <f>'2. S Plan'!W38</f>
        <v>0</v>
      </c>
      <c r="V34" s="1557">
        <f t="shared" si="12"/>
        <v>0</v>
      </c>
      <c r="W34" s="1745"/>
      <c r="Y34" s="1711"/>
      <c r="AA34" s="1723">
        <f t="shared" si="9"/>
        <v>0.85</v>
      </c>
      <c r="AB34" s="1720">
        <f t="shared" si="10"/>
        <v>0.1162</v>
      </c>
      <c r="AC34" s="1724" t="str">
        <f t="shared" si="11"/>
        <v>ADC12</v>
      </c>
      <c r="AD34" s="1535" t="b">
        <f t="shared" si="3"/>
        <v>1</v>
      </c>
      <c r="AE34" s="1535" t="b">
        <f t="shared" si="4"/>
        <v>1</v>
      </c>
      <c r="AF34" s="1535" t="b">
        <f t="shared" si="5"/>
        <v>1</v>
      </c>
    </row>
    <row r="35" spans="1:32" ht="15.75" customHeight="1">
      <c r="A35" s="7225"/>
      <c r="B35" s="7300"/>
      <c r="C35" s="10"/>
      <c r="D35" s="10"/>
      <c r="E35" s="10">
        <v>17</v>
      </c>
      <c r="F35" s="1658" t="str">
        <f>'2. S Plan'!F39</f>
        <v>CL4 Cover (YT)</v>
      </c>
      <c r="G35" s="3571">
        <f>IFERROR(VLOOKUP(F35,B.BasicInfomation!$B:$O,6,0),"")</f>
        <v>0.87</v>
      </c>
      <c r="H35" s="3785">
        <f>IFERROR(VLOOKUP(F35,B.BasicInfomation!$B:$O,9,0),"")</f>
        <v>0.1162</v>
      </c>
      <c r="I35" s="1938" t="str">
        <f>IFERROR(VLOOKUP(F35,B.BasicInfomation!$B:$O,14,0),"")</f>
        <v>ADC12</v>
      </c>
      <c r="J35" s="2649">
        <f>'2. S Plan'!L39</f>
        <v>7552.4730026973966</v>
      </c>
      <c r="K35" s="5006">
        <f>'2. S Plan'!M39</f>
        <v>18888.681102043738</v>
      </c>
      <c r="L35" s="5498">
        <f>'2. S Plan'!N39</f>
        <v>19225.92599736794</v>
      </c>
      <c r="M35" s="2649">
        <f>'2. S Plan'!O39</f>
        <v>7460.8071034562154</v>
      </c>
      <c r="N35" s="1554">
        <f>'2. S Plan'!P39</f>
        <v>13586.037626664094</v>
      </c>
      <c r="O35" s="1556">
        <f>'2. S Plan'!Q39</f>
        <v>12319.542593669983</v>
      </c>
      <c r="P35" s="1722">
        <f>'2. S Plan'!R39</f>
        <v>0</v>
      </c>
      <c r="Q35" s="1554">
        <f>'2. S Plan'!S39</f>
        <v>0</v>
      </c>
      <c r="R35" s="1555">
        <f>'2. S Plan'!T39</f>
        <v>0</v>
      </c>
      <c r="S35" s="1599">
        <f>'2. S Plan'!U39</f>
        <v>0</v>
      </c>
      <c r="T35" s="1554">
        <f>'2. S Plan'!V39</f>
        <v>0</v>
      </c>
      <c r="U35" s="1555">
        <f>'2. S Plan'!W39</f>
        <v>0</v>
      </c>
      <c r="V35" s="1557">
        <f t="shared" si="12"/>
        <v>79033.467425899376</v>
      </c>
      <c r="W35" s="1710"/>
      <c r="X35" s="1535">
        <v>0.346225</v>
      </c>
      <c r="Y35" s="1711">
        <f>_xlfn.XLOOKUP(F35,B.BasicInfomation!B:B,B.BasicInfomation!J:J,"",0)</f>
        <v>0.1162</v>
      </c>
      <c r="AA35" s="1723">
        <f t="shared" si="9"/>
        <v>0.87</v>
      </c>
      <c r="AB35" s="1720">
        <f t="shared" si="10"/>
        <v>0.1162</v>
      </c>
      <c r="AC35" s="1724" t="str">
        <f t="shared" si="11"/>
        <v>ADC12</v>
      </c>
      <c r="AD35" s="1535" t="b">
        <f t="shared" si="3"/>
        <v>1</v>
      </c>
      <c r="AE35" s="1535" t="b">
        <f t="shared" si="4"/>
        <v>1</v>
      </c>
      <c r="AF35" s="1535" t="b">
        <f t="shared" si="5"/>
        <v>1</v>
      </c>
    </row>
    <row r="36" spans="1:32" ht="15.75" customHeight="1">
      <c r="A36" s="7225"/>
      <c r="B36" s="7300"/>
      <c r="C36" s="10"/>
      <c r="D36" s="10"/>
      <c r="E36" s="10"/>
      <c r="F36" s="1658" t="str">
        <f>'2. S Plan'!F40</f>
        <v>CL4 Cover (MX)</v>
      </c>
      <c r="G36" s="3571">
        <f>IFERROR(VLOOKUP(F36,B.BasicInfomation!$B:$O,6,0),"")</f>
        <v>0.87</v>
      </c>
      <c r="H36" s="3785">
        <f>IFERROR(VLOOKUP(F36,B.BasicInfomation!$B:$O,9,0),"")</f>
        <v>0.1162</v>
      </c>
      <c r="I36" s="1938" t="str">
        <f>IFERROR(VLOOKUP(F36,B.BasicInfomation!$B:$O,14,0),"")</f>
        <v>ADC12</v>
      </c>
      <c r="J36" s="2649">
        <f>'2. S Plan'!L40</f>
        <v>0</v>
      </c>
      <c r="K36" s="5006">
        <f>'2. S Plan'!M40</f>
        <v>19701.492537313432</v>
      </c>
      <c r="L36" s="5498">
        <f>'2. S Plan'!N40</f>
        <v>0</v>
      </c>
      <c r="M36" s="2649">
        <f>'2. S Plan'!O40</f>
        <v>19701.492537313432</v>
      </c>
      <c r="N36" s="1554">
        <f>'2. S Plan'!P40</f>
        <v>21720.895522388058</v>
      </c>
      <c r="O36" s="1556">
        <f>'2. S Plan'!Q40</f>
        <v>25539.86567164179</v>
      </c>
      <c r="P36" s="1722">
        <f>'2. S Plan'!R40</f>
        <v>30461.462686567163</v>
      </c>
      <c r="Q36" s="1554">
        <f>'2. S Plan'!S40</f>
        <v>0</v>
      </c>
      <c r="R36" s="1555">
        <f>'2. S Plan'!T40</f>
        <v>0</v>
      </c>
      <c r="S36" s="1599">
        <f>'2. S Plan'!U40</f>
        <v>0</v>
      </c>
      <c r="T36" s="1554">
        <f>'2. S Plan'!V40</f>
        <v>0</v>
      </c>
      <c r="U36" s="1555">
        <f>'2. S Plan'!W40</f>
        <v>0</v>
      </c>
      <c r="V36" s="1557">
        <f t="shared" si="12"/>
        <v>117125.20895522388</v>
      </c>
      <c r="W36" s="1710"/>
      <c r="Y36" s="1711"/>
      <c r="AA36" s="1723"/>
      <c r="AB36" s="1720"/>
      <c r="AC36" s="1724"/>
    </row>
    <row r="37" spans="1:32" ht="15.75" customHeight="1">
      <c r="A37" s="7225"/>
      <c r="B37" s="7300"/>
      <c r="C37" s="10"/>
      <c r="D37" s="10"/>
      <c r="E37" s="10">
        <v>18</v>
      </c>
      <c r="F37" s="1658" t="str">
        <f>'2. S Plan'!F41</f>
        <v>MQ4a PE Cover (YT)</v>
      </c>
      <c r="G37" s="3571">
        <f>IFERROR(VLOOKUP(F37,B.BasicInfomation!$B:$O,6,0),"")</f>
        <v>0.87</v>
      </c>
      <c r="H37" s="3785">
        <f>IFERROR(VLOOKUP(F37,B.BasicInfomation!$B:$O,9,0),"")</f>
        <v>0.1162</v>
      </c>
      <c r="I37" s="1938" t="str">
        <f>IFERROR(VLOOKUP(F37,B.BasicInfomation!$B:$O,14,0),"")</f>
        <v>ADC12</v>
      </c>
      <c r="J37" s="2649">
        <f>'2. S Plan'!L41</f>
        <v>2383.7167977448107</v>
      </c>
      <c r="K37" s="5006">
        <f>'2. S Plan'!M41</f>
        <v>15977.570284184623</v>
      </c>
      <c r="L37" s="5498">
        <f>'2. S Plan'!N41</f>
        <v>25564.112454695398</v>
      </c>
      <c r="M37" s="2649">
        <f>'2. S Plan'!O41</f>
        <v>16562.664407267443</v>
      </c>
      <c r="N37" s="1554">
        <f>'2. S Plan'!P41</f>
        <v>29524.749595563695</v>
      </c>
      <c r="O37" s="1556">
        <f>'2. S Plan'!Q41</f>
        <v>29524.749595563695</v>
      </c>
      <c r="P37" s="1722">
        <f>'2. S Plan'!R41</f>
        <v>29524.749595563695</v>
      </c>
      <c r="Q37" s="1554">
        <f>'2. S Plan'!S41</f>
        <v>16357.075779023713</v>
      </c>
      <c r="R37" s="1555">
        <f>'2. S Plan'!T41</f>
        <v>0</v>
      </c>
      <c r="S37" s="1599">
        <f>'2. S Plan'!U41</f>
        <v>0</v>
      </c>
      <c r="T37" s="1554">
        <f>'2. S Plan'!V41</f>
        <v>0</v>
      </c>
      <c r="U37" s="1555">
        <f>'2. S Plan'!W41</f>
        <v>0</v>
      </c>
      <c r="V37" s="1557">
        <f t="shared" si="12"/>
        <v>165419.38850960709</v>
      </c>
      <c r="W37" s="1710"/>
      <c r="X37" s="1535">
        <v>0.37648000000000004</v>
      </c>
      <c r="Y37" s="1711">
        <f>_xlfn.XLOOKUP(F37,B.BasicInfomation!B:B,B.BasicInfomation!J:J,"",0)</f>
        <v>0.1162</v>
      </c>
      <c r="AA37" s="1723">
        <f t="shared" si="9"/>
        <v>0.87</v>
      </c>
      <c r="AB37" s="1720">
        <f t="shared" si="10"/>
        <v>0.1162</v>
      </c>
      <c r="AC37" s="1724" t="str">
        <f t="shared" si="11"/>
        <v>ADC12</v>
      </c>
      <c r="AD37" s="1535" t="b">
        <f t="shared" si="3"/>
        <v>1</v>
      </c>
      <c r="AE37" s="1535" t="b">
        <f t="shared" si="4"/>
        <v>1</v>
      </c>
      <c r="AF37" s="1535" t="b">
        <f t="shared" si="5"/>
        <v>1</v>
      </c>
    </row>
    <row r="38" spans="1:32" ht="15.75" customHeight="1">
      <c r="A38" s="7225"/>
      <c r="B38" s="7300"/>
      <c r="C38" s="10"/>
      <c r="D38" s="10"/>
      <c r="E38" s="10"/>
      <c r="F38" s="1658" t="str">
        <f>'2. S Plan'!F42</f>
        <v>MQ4a PE Cover (MX)</v>
      </c>
      <c r="G38" s="3571">
        <f>IFERROR(VLOOKUP(F38,B.BasicInfomation!$B:$O,6,0),"")</f>
        <v>0.87</v>
      </c>
      <c r="H38" s="3785">
        <f>IFERROR(VLOOKUP(F38,B.BasicInfomation!$B:$O,9,0),"")</f>
        <v>0.1162</v>
      </c>
      <c r="I38" s="1938" t="str">
        <f>IFERROR(VLOOKUP(F38,B.BasicInfomation!$B:$O,14,0),"")</f>
        <v>ADC12</v>
      </c>
      <c r="J38" s="2649">
        <f>'2. S Plan'!L42</f>
        <v>0</v>
      </c>
      <c r="K38" s="5006">
        <f>'2. S Plan'!M42</f>
        <v>19718.309859154931</v>
      </c>
      <c r="L38" s="5498">
        <f>'2. S Plan'!N42</f>
        <v>0</v>
      </c>
      <c r="M38" s="2649">
        <f>'2. S Plan'!O42</f>
        <v>19718.309859154931</v>
      </c>
      <c r="N38" s="1554">
        <f>'2. S Plan'!P42</f>
        <v>26239.436619718312</v>
      </c>
      <c r="O38" s="1556">
        <f>'2. S Plan'!Q42</f>
        <v>22816.901408450707</v>
      </c>
      <c r="P38" s="1722">
        <f>'2. S Plan'!R42</f>
        <v>19718.309859154931</v>
      </c>
      <c r="Q38" s="1554">
        <f>'2. S Plan'!S42</f>
        <v>0</v>
      </c>
      <c r="R38" s="1555">
        <f>'2. S Plan'!T42</f>
        <v>0</v>
      </c>
      <c r="S38" s="1599">
        <f>'2. S Plan'!U42</f>
        <v>0</v>
      </c>
      <c r="T38" s="1554">
        <f>'2. S Plan'!V42</f>
        <v>0</v>
      </c>
      <c r="U38" s="1555">
        <f>'2. S Plan'!W42</f>
        <v>0</v>
      </c>
      <c r="V38" s="1557">
        <f t="shared" si="12"/>
        <v>108211.26760563381</v>
      </c>
      <c r="W38" s="1710"/>
      <c r="Y38" s="1711"/>
      <c r="AA38" s="1723"/>
      <c r="AB38" s="1720"/>
      <c r="AC38" s="1724"/>
    </row>
    <row r="39" spans="1:32" ht="15.75" customHeight="1">
      <c r="A39" s="7225"/>
      <c r="B39" s="7300"/>
      <c r="C39" s="10"/>
      <c r="D39" s="10"/>
      <c r="E39" s="10"/>
      <c r="F39" s="1658" t="str">
        <f>'2. S Plan'!F43</f>
        <v>BYD Cover</v>
      </c>
      <c r="G39" s="3571">
        <f>IFERROR(VLOOKUP(F39,B.BasicInfomation!$B:$O,6,0),"")</f>
        <v>0.85</v>
      </c>
      <c r="H39" s="3785">
        <f>IFERROR(VLOOKUP(F39,B.BasicInfomation!$B:$O,9,0),"")</f>
        <v>0.1162</v>
      </c>
      <c r="I39" s="1938" t="str">
        <f>IFERROR(VLOOKUP(F39,B.BasicInfomation!$B:$O,14,0),"")</f>
        <v>ADC12</v>
      </c>
      <c r="J39" s="2649">
        <f>'2. S Plan'!L43</f>
        <v>0</v>
      </c>
      <c r="K39" s="5006">
        <f>'2. S Plan'!M43</f>
        <v>0</v>
      </c>
      <c r="L39" s="5498">
        <f>'2. S Plan'!N43</f>
        <v>0</v>
      </c>
      <c r="M39" s="2649">
        <f>'2. S Plan'!O43</f>
        <v>0</v>
      </c>
      <c r="N39" s="1554">
        <f>'2. S Plan'!P43</f>
        <v>0</v>
      </c>
      <c r="O39" s="1556">
        <f>'2. S Plan'!Q43</f>
        <v>0</v>
      </c>
      <c r="P39" s="1722">
        <f>'2. S Plan'!R43</f>
        <v>0</v>
      </c>
      <c r="Q39" s="1554">
        <f>'2. S Plan'!S43</f>
        <v>0</v>
      </c>
      <c r="R39" s="1555">
        <f>'2. S Plan'!T43</f>
        <v>0</v>
      </c>
      <c r="S39" s="1599">
        <f>'2. S Plan'!U43</f>
        <v>0</v>
      </c>
      <c r="T39" s="1554">
        <f>'2. S Plan'!V43</f>
        <v>0</v>
      </c>
      <c r="U39" s="1555">
        <f>'2. S Plan'!W43</f>
        <v>0</v>
      </c>
      <c r="V39" s="1557">
        <f t="shared" si="12"/>
        <v>0</v>
      </c>
      <c r="W39" s="1710"/>
      <c r="Y39" s="1711"/>
      <c r="AA39" s="1723">
        <f t="shared" si="9"/>
        <v>0.85</v>
      </c>
      <c r="AB39" s="1720">
        <f t="shared" si="10"/>
        <v>0.1162</v>
      </c>
      <c r="AC39" s="1724" t="str">
        <f t="shared" si="11"/>
        <v>ADC12</v>
      </c>
      <c r="AD39" s="1535" t="b">
        <f t="shared" si="3"/>
        <v>1</v>
      </c>
      <c r="AE39" s="1535" t="b">
        <f t="shared" si="4"/>
        <v>1</v>
      </c>
      <c r="AF39" s="1535" t="b">
        <f t="shared" si="5"/>
        <v>1</v>
      </c>
    </row>
    <row r="40" spans="1:32" ht="15.75" customHeight="1">
      <c r="A40" s="7225"/>
      <c r="B40" s="7300"/>
      <c r="C40" s="10"/>
      <c r="D40" s="1576"/>
      <c r="E40" s="1576">
        <v>19</v>
      </c>
      <c r="F40" s="1753" t="str">
        <f>'2. S Plan'!F44</f>
        <v>MX5 Cover</v>
      </c>
      <c r="G40" s="3571">
        <f>IFERROR(VLOOKUP(F40,B.BasicInfomation!$B:$O,6,0),"")</f>
        <v>0.85</v>
      </c>
      <c r="H40" s="3785">
        <f>IFERROR(VLOOKUP(F40,B.BasicInfomation!$B:$O,9,0),"")</f>
        <v>0.1162</v>
      </c>
      <c r="I40" s="1938" t="str">
        <f>IFERROR(VLOOKUP(F40,B.BasicInfomation!$B:$O,14,0),"")</f>
        <v>ADC12</v>
      </c>
      <c r="J40" s="4683">
        <f>'2. S Plan'!L44</f>
        <v>0</v>
      </c>
      <c r="K40" s="5054">
        <f>'2. S Plan'!M44</f>
        <v>0</v>
      </c>
      <c r="L40" s="5524">
        <f>'2. S Plan'!N44</f>
        <v>0</v>
      </c>
      <c r="M40" s="4683">
        <f>'2. S Plan'!O44</f>
        <v>0</v>
      </c>
      <c r="N40" s="1578">
        <f>'2. S Plan'!P44</f>
        <v>0</v>
      </c>
      <c r="O40" s="1580">
        <f>'2. S Plan'!Q44</f>
        <v>0</v>
      </c>
      <c r="P40" s="1757">
        <f>'2. S Plan'!R44</f>
        <v>0</v>
      </c>
      <c r="Q40" s="1578">
        <f>'2. S Plan'!S44</f>
        <v>0</v>
      </c>
      <c r="R40" s="1579">
        <f>'2. S Plan'!T44</f>
        <v>0</v>
      </c>
      <c r="S40" s="1758">
        <f>'2. S Plan'!U44</f>
        <v>0</v>
      </c>
      <c r="T40" s="1578">
        <f>'2. S Plan'!V44</f>
        <v>0</v>
      </c>
      <c r="U40" s="1579">
        <f>'2. S Plan'!W44</f>
        <v>0</v>
      </c>
      <c r="V40" s="1581">
        <f t="shared" si="12"/>
        <v>0</v>
      </c>
      <c r="W40" s="1710"/>
      <c r="Y40" s="1711"/>
      <c r="AA40" s="1723">
        <f t="shared" si="9"/>
        <v>0.85</v>
      </c>
      <c r="AB40" s="1720">
        <f t="shared" si="10"/>
        <v>0.1162</v>
      </c>
      <c r="AC40" s="1724" t="str">
        <f t="shared" si="11"/>
        <v>ADC12</v>
      </c>
      <c r="AD40" s="1535" t="b">
        <f t="shared" si="3"/>
        <v>1</v>
      </c>
      <c r="AE40" s="1535" t="b">
        <f t="shared" si="4"/>
        <v>1</v>
      </c>
      <c r="AF40" s="1535" t="b">
        <f t="shared" si="5"/>
        <v>1</v>
      </c>
    </row>
    <row r="41" spans="1:32" ht="15.75" customHeight="1">
      <c r="A41" s="7225"/>
      <c r="B41" s="7300"/>
      <c r="C41" s="10"/>
      <c r="D41" s="10" t="s">
        <v>888</v>
      </c>
      <c r="E41" s="10"/>
      <c r="F41" s="1658" t="str">
        <f>'2. S Plan'!F46</f>
        <v>FCM30-Upper Housing</v>
      </c>
      <c r="G41" s="3571">
        <f>IFERROR(VLOOKUP(F41,B.BasicInfomation!$B:$O,6,0),"")</f>
        <v>0.9</v>
      </c>
      <c r="H41" s="3785">
        <f>IFERROR(VLOOKUP(F41,B.BasicInfomation!$B:$O,9,0),"")</f>
        <v>4.4400000000000004E-3</v>
      </c>
      <c r="I41" s="1938" t="str">
        <f>IFERROR(VLOOKUP(F41,B.BasicInfomation!$B:$O,14,0),"")</f>
        <v>ADC12</v>
      </c>
      <c r="J41" s="2649">
        <f>'2. S Plan'!L46</f>
        <v>0</v>
      </c>
      <c r="K41" s="5006">
        <f>'2. S Plan'!M46</f>
        <v>0</v>
      </c>
      <c r="L41" s="5498">
        <f>'2. S Plan'!N46</f>
        <v>0</v>
      </c>
      <c r="M41" s="2649">
        <f>'2. S Plan'!O46</f>
        <v>0</v>
      </c>
      <c r="N41" s="1554">
        <f>'2. S Plan'!P46</f>
        <v>0</v>
      </c>
      <c r="O41" s="1556">
        <f>'2. S Plan'!Q46</f>
        <v>0</v>
      </c>
      <c r="P41" s="1722">
        <f>'2. S Plan'!R46</f>
        <v>0</v>
      </c>
      <c r="Q41" s="1554">
        <f>'2. S Plan'!S46</f>
        <v>0</v>
      </c>
      <c r="R41" s="1555">
        <f>'2. S Plan'!T46</f>
        <v>0</v>
      </c>
      <c r="S41" s="1599">
        <f>'2. S Plan'!U46</f>
        <v>0</v>
      </c>
      <c r="T41" s="1554">
        <f>'2. S Plan'!V46</f>
        <v>0</v>
      </c>
      <c r="U41" s="1555">
        <f>'2. S Plan'!W46</f>
        <v>0</v>
      </c>
      <c r="V41" s="1557">
        <f t="shared" si="12"/>
        <v>0</v>
      </c>
      <c r="W41" s="1710"/>
      <c r="Y41" s="1711"/>
      <c r="AA41" s="1723">
        <f t="shared" si="9"/>
        <v>0.9</v>
      </c>
      <c r="AB41" s="1720">
        <f t="shared" si="10"/>
        <v>4.4400000000000004E-3</v>
      </c>
      <c r="AC41" s="1724" t="str">
        <f t="shared" si="11"/>
        <v>ADC12</v>
      </c>
      <c r="AD41" s="1535" t="b">
        <f t="shared" ref="AD41:AD72" si="13">AA41=G41</f>
        <v>1</v>
      </c>
      <c r="AE41" s="1535" t="b">
        <f t="shared" ref="AE41:AE72" si="14">AB41=H41</f>
        <v>1</v>
      </c>
      <c r="AF41" s="1535" t="b">
        <f t="shared" ref="AF41:AF72" si="15">AC41=I41</f>
        <v>1</v>
      </c>
    </row>
    <row r="42" spans="1:32" ht="15.75" customHeight="1">
      <c r="A42" s="7225"/>
      <c r="B42" s="7300"/>
      <c r="C42" s="10"/>
      <c r="D42" s="10"/>
      <c r="E42" s="10">
        <v>20</v>
      </c>
      <c r="F42" s="1658" t="str">
        <f>'2. S Plan'!F47</f>
        <v>DCU15 Housing</v>
      </c>
      <c r="G42" s="3571">
        <f>IFERROR(VLOOKUP(F42,B.BasicInfomation!$B:$O,6,0),"")</f>
        <v>0.9</v>
      </c>
      <c r="H42" s="3785">
        <f>IFERROR(VLOOKUP(F42,B.BasicInfomation!$B:$O,9,0),"")</f>
        <v>4.4400000000000004E-3</v>
      </c>
      <c r="I42" s="1938" t="str">
        <f>IFERROR(VLOOKUP(F42,B.BasicInfomation!$B:$O,14,0),"")</f>
        <v>ADC12</v>
      </c>
      <c r="J42" s="2649">
        <f>'2. S Plan'!L47</f>
        <v>22840.404633180708</v>
      </c>
      <c r="K42" s="5006">
        <f>'2. S Plan'!M47</f>
        <v>26812.64891721214</v>
      </c>
      <c r="L42" s="5498">
        <f>'2. S Plan'!N47</f>
        <v>64548.969615510709</v>
      </c>
      <c r="M42" s="2649">
        <f>'2. S Plan'!O47</f>
        <v>65000.000000000007</v>
      </c>
      <c r="N42" s="1554">
        <f>'2. S Plan'!P47</f>
        <v>0</v>
      </c>
      <c r="O42" s="1556">
        <f>'2. S Plan'!Q47</f>
        <v>23000</v>
      </c>
      <c r="P42" s="1722">
        <f>'2. S Plan'!R47</f>
        <v>23000</v>
      </c>
      <c r="Q42" s="1554">
        <f>'2. S Plan'!S47</f>
        <v>23000</v>
      </c>
      <c r="R42" s="1555">
        <f>'2. S Plan'!T47</f>
        <v>22250</v>
      </c>
      <c r="S42" s="1599">
        <f>'2. S Plan'!U47</f>
        <v>22250</v>
      </c>
      <c r="T42" s="1554">
        <f>'2. S Plan'!V47</f>
        <v>22250</v>
      </c>
      <c r="U42" s="1555">
        <f>'2. S Plan'!W47</f>
        <v>22250</v>
      </c>
      <c r="V42" s="1557">
        <f t="shared" si="12"/>
        <v>337202.02316590352</v>
      </c>
      <c r="W42" s="1710"/>
      <c r="X42" s="1535">
        <v>0.19533</v>
      </c>
      <c r="Y42" s="1711">
        <f>_xlfn.XLOOKUP(F42,B.BasicInfomation!B:B,B.BasicInfomation!J:J,"",0)</f>
        <v>4.4400000000000004E-3</v>
      </c>
      <c r="AA42" s="1723">
        <f t="shared" si="9"/>
        <v>0.9</v>
      </c>
      <c r="AB42" s="1720">
        <f t="shared" si="10"/>
        <v>4.4400000000000004E-3</v>
      </c>
      <c r="AC42" s="1724" t="str">
        <f t="shared" si="11"/>
        <v>ADC12</v>
      </c>
      <c r="AD42" s="1535" t="b">
        <f t="shared" si="13"/>
        <v>1</v>
      </c>
      <c r="AE42" s="1535" t="b">
        <f t="shared" si="14"/>
        <v>1</v>
      </c>
      <c r="AF42" s="1535" t="b">
        <f t="shared" si="15"/>
        <v>1</v>
      </c>
    </row>
    <row r="43" spans="1:32" ht="15.75" customHeight="1">
      <c r="A43" s="7225"/>
      <c r="B43" s="7300"/>
      <c r="C43" s="10"/>
      <c r="D43" s="7" t="s">
        <v>865</v>
      </c>
      <c r="E43" s="7">
        <v>21</v>
      </c>
      <c r="F43" s="1746" t="str">
        <f>'2. S Plan'!F49</f>
        <v>DCU15 Cover</v>
      </c>
      <c r="G43" s="3795">
        <f>IFERROR(VLOOKUP(F43,B.BasicInfomation!$B:$O,6,0),"")</f>
        <v>0.9</v>
      </c>
      <c r="H43" s="3788">
        <f>IFERROR(VLOOKUP(F43,B.BasicInfomation!$B:$O,9,0),"")</f>
        <v>4.4400000000000004E-3</v>
      </c>
      <c r="I43" s="1954" t="str">
        <f>IFERROR(VLOOKUP(F43,B.BasicInfomation!$B:$O,14,0),"")</f>
        <v>ADC12</v>
      </c>
      <c r="J43" s="4682">
        <f>'2. S Plan'!L49</f>
        <v>22838.07073404756</v>
      </c>
      <c r="K43" s="5056">
        <f>'2. S Plan'!M49</f>
        <v>26809.90912257757</v>
      </c>
      <c r="L43" s="5533">
        <f>'2. S Plan'!N49</f>
        <v>64542.373813612663</v>
      </c>
      <c r="M43" s="4682">
        <f>'2. S Plan'!O49</f>
        <v>65000</v>
      </c>
      <c r="N43" s="1572">
        <f>'2. S Plan'!P49</f>
        <v>0</v>
      </c>
      <c r="O43" s="1574">
        <f>'2. S Plan'!Q49</f>
        <v>23000</v>
      </c>
      <c r="P43" s="1646">
        <f>'2. S Plan'!R49</f>
        <v>23000</v>
      </c>
      <c r="Q43" s="1572">
        <f>'2. S Plan'!S49</f>
        <v>23000</v>
      </c>
      <c r="R43" s="1573">
        <f>'2. S Plan'!T49</f>
        <v>22250</v>
      </c>
      <c r="S43" s="1751">
        <f>'2. S Plan'!U49</f>
        <v>22250</v>
      </c>
      <c r="T43" s="1572">
        <f>'2. S Plan'!V49</f>
        <v>22250</v>
      </c>
      <c r="U43" s="1573">
        <f>'2. S Plan'!W49</f>
        <v>22250</v>
      </c>
      <c r="V43" s="1575">
        <f t="shared" si="12"/>
        <v>337190.35367023782</v>
      </c>
      <c r="W43" s="1710"/>
      <c r="X43" s="1535">
        <v>0.13100000000000001</v>
      </c>
      <c r="Y43" s="1711">
        <f>_xlfn.XLOOKUP(F43,B.BasicInfomation!B:B,B.BasicInfomation!J:J,"",0)</f>
        <v>4.4400000000000004E-3</v>
      </c>
      <c r="AA43" s="1723">
        <f t="shared" si="9"/>
        <v>0.9</v>
      </c>
      <c r="AB43" s="1720">
        <f t="shared" si="10"/>
        <v>4.4400000000000004E-3</v>
      </c>
      <c r="AC43" s="1724" t="str">
        <f t="shared" si="11"/>
        <v>ADC12</v>
      </c>
      <c r="AD43" s="1535" t="b">
        <f t="shared" si="13"/>
        <v>1</v>
      </c>
      <c r="AE43" s="1535" t="b">
        <f t="shared" si="14"/>
        <v>1</v>
      </c>
      <c r="AF43" s="1535" t="b">
        <f t="shared" si="15"/>
        <v>1</v>
      </c>
    </row>
    <row r="44" spans="1:32" ht="15.75" customHeight="1">
      <c r="A44" s="7225"/>
      <c r="B44" s="7300"/>
      <c r="C44" s="10"/>
      <c r="D44" s="8"/>
      <c r="E44" s="8"/>
      <c r="F44" s="1658" t="str">
        <f>'2. S Plan'!F50</f>
        <v>FCM30-Lower Housing</v>
      </c>
      <c r="G44" s="3571">
        <f>IFERROR(VLOOKUP(F44,B.BasicInfomation!$B:$O,6,0),"")</f>
        <v>0.9</v>
      </c>
      <c r="H44" s="3785">
        <f>IFERROR(VLOOKUP(F44,B.BasicInfomation!$B:$O,9,0),"")</f>
        <v>4.4400000000000004E-3</v>
      </c>
      <c r="I44" s="1938" t="str">
        <f>IFERROR(VLOOKUP(F44,B.BasicInfomation!$B:$O,14,0),"")</f>
        <v>ADC12</v>
      </c>
      <c r="J44" s="2649">
        <f>'2. S Plan'!L50</f>
        <v>0</v>
      </c>
      <c r="K44" s="5006">
        <f>'2. S Plan'!M50</f>
        <v>0</v>
      </c>
      <c r="L44" s="5498">
        <f>'2. S Plan'!N50</f>
        <v>0</v>
      </c>
      <c r="M44" s="2649">
        <f>'2. S Plan'!O50</f>
        <v>0</v>
      </c>
      <c r="N44" s="1554">
        <f>'2. S Plan'!P50</f>
        <v>0</v>
      </c>
      <c r="O44" s="1556">
        <f>'2. S Plan'!Q50</f>
        <v>0</v>
      </c>
      <c r="P44" s="1722">
        <f>'2. S Plan'!R50</f>
        <v>0</v>
      </c>
      <c r="Q44" s="1554">
        <f>'2. S Plan'!S50</f>
        <v>0</v>
      </c>
      <c r="R44" s="1555">
        <f>'2. S Plan'!T50</f>
        <v>0</v>
      </c>
      <c r="S44" s="1599">
        <f>'2. S Plan'!U50</f>
        <v>0</v>
      </c>
      <c r="T44" s="1554">
        <f>'2. S Plan'!V50</f>
        <v>0</v>
      </c>
      <c r="U44" s="1555">
        <f>'2. S Plan'!W50</f>
        <v>0</v>
      </c>
      <c r="V44" s="1557">
        <f t="shared" si="12"/>
        <v>0</v>
      </c>
      <c r="W44" s="1710"/>
      <c r="Y44" s="1711"/>
      <c r="AA44" s="1723">
        <f t="shared" si="9"/>
        <v>0.9</v>
      </c>
      <c r="AB44" s="1720">
        <f t="shared" si="10"/>
        <v>4.4400000000000004E-3</v>
      </c>
      <c r="AC44" s="1724" t="str">
        <f t="shared" si="11"/>
        <v>ADC12</v>
      </c>
      <c r="AD44" s="1535" t="b">
        <f t="shared" si="13"/>
        <v>1</v>
      </c>
      <c r="AE44" s="1535" t="b">
        <f t="shared" si="14"/>
        <v>1</v>
      </c>
      <c r="AF44" s="1535" t="b">
        <f t="shared" si="15"/>
        <v>1</v>
      </c>
    </row>
    <row r="45" spans="1:32" ht="15.75" customHeight="1">
      <c r="A45" s="7225"/>
      <c r="B45" s="7300"/>
      <c r="C45" s="10"/>
      <c r="D45" s="8"/>
      <c r="E45" s="8"/>
      <c r="F45" s="1658" t="str">
        <f>'2. S Plan'!F51</f>
        <v>OMS Entry Vcsel Cover(250A)</v>
      </c>
      <c r="G45" s="3571">
        <f>IFERROR(VLOOKUP(F45,B.BasicInfomation!$B:$O,6,0),"")</f>
        <v>0.85</v>
      </c>
      <c r="H45" s="3785">
        <f>IFERROR(VLOOKUP(F45,B.BasicInfomation!$B:$O,9,0),"")</f>
        <v>2E-3</v>
      </c>
      <c r="I45" s="1938" t="str">
        <f>IFERROR(VLOOKUP(F45,B.BasicInfomation!$B:$O,14,0),"")</f>
        <v>ADC12</v>
      </c>
      <c r="J45" s="2649">
        <f>'2. S Plan'!L51</f>
        <v>0</v>
      </c>
      <c r="K45" s="5006">
        <f>'2. S Plan'!M51</f>
        <v>0</v>
      </c>
      <c r="L45" s="5498">
        <f>'2. S Plan'!N51</f>
        <v>0</v>
      </c>
      <c r="M45" s="2649">
        <f>'2. S Plan'!O51</f>
        <v>0</v>
      </c>
      <c r="N45" s="1554">
        <f>'2. S Plan'!P51</f>
        <v>0</v>
      </c>
      <c r="O45" s="1556">
        <f>'2. S Plan'!Q51</f>
        <v>0</v>
      </c>
      <c r="P45" s="1722">
        <f>'2. S Plan'!R51</f>
        <v>0</v>
      </c>
      <c r="Q45" s="1554">
        <f>'2. S Plan'!S51</f>
        <v>0</v>
      </c>
      <c r="R45" s="1555">
        <f>'2. S Plan'!T51</f>
        <v>0</v>
      </c>
      <c r="S45" s="1599">
        <f>'2. S Plan'!U51</f>
        <v>0</v>
      </c>
      <c r="T45" s="1554">
        <f>'2. S Plan'!V51</f>
        <v>0</v>
      </c>
      <c r="U45" s="1555">
        <f>'2. S Plan'!W51</f>
        <v>0</v>
      </c>
      <c r="V45" s="1557">
        <f t="shared" si="12"/>
        <v>0</v>
      </c>
      <c r="W45" s="1710"/>
      <c r="X45" s="1535">
        <v>6.4329999999999998E-2</v>
      </c>
      <c r="Y45" s="1711">
        <f>_xlfn.XLOOKUP(F45,B.BasicInfomation!B:B,B.BasicInfomation!J:J,"",0)</f>
        <v>2E-3</v>
      </c>
      <c r="AA45" s="1723">
        <f t="shared" si="9"/>
        <v>0.85</v>
      </c>
      <c r="AB45" s="1720">
        <f t="shared" si="10"/>
        <v>2E-3</v>
      </c>
      <c r="AC45" s="1724" t="str">
        <f t="shared" si="11"/>
        <v>ADC12</v>
      </c>
      <c r="AD45" s="1535" t="b">
        <f t="shared" si="13"/>
        <v>1</v>
      </c>
      <c r="AE45" s="1535" t="b">
        <f t="shared" si="14"/>
        <v>1</v>
      </c>
      <c r="AF45" s="1535" t="b">
        <f t="shared" si="15"/>
        <v>1</v>
      </c>
    </row>
    <row r="46" spans="1:32" ht="15.75" customHeight="1">
      <c r="A46" s="7225"/>
      <c r="B46" s="7300"/>
      <c r="C46" s="10"/>
      <c r="D46" s="8"/>
      <c r="E46" s="8"/>
      <c r="F46" s="1658" t="str">
        <f>'2. S Plan'!F52</f>
        <v>HKMC Ikc Camera Base</v>
      </c>
      <c r="G46" s="3571">
        <f>IFERROR(VLOOKUP(F46,B.BasicInfomation!$B:$O,6,0),"")</f>
        <v>0.74</v>
      </c>
      <c r="H46" s="3785">
        <f>IFERROR(VLOOKUP(F46,B.BasicInfomation!$B:$O,9,0),"")</f>
        <v>2E-3</v>
      </c>
      <c r="I46" s="1938" t="str">
        <f>IFERROR(VLOOKUP(F46,B.BasicInfomation!$B:$O,14,0),"")</f>
        <v>ADC12</v>
      </c>
      <c r="J46" s="2649">
        <f>'2. S Plan'!L52</f>
        <v>1656</v>
      </c>
      <c r="K46" s="5006">
        <f>'2. S Plan'!M52</f>
        <v>0</v>
      </c>
      <c r="L46" s="5498">
        <f>'2. S Plan'!N52</f>
        <v>170.99999999999997</v>
      </c>
      <c r="M46" s="2649">
        <f>'2. S Plan'!O52</f>
        <v>1109</v>
      </c>
      <c r="N46" s="1554">
        <f>'2. S Plan'!P52</f>
        <v>0</v>
      </c>
      <c r="O46" s="1556">
        <f>'2. S Plan'!Q52</f>
        <v>1607</v>
      </c>
      <c r="P46" s="1722">
        <f>'2. S Plan'!R52</f>
        <v>0</v>
      </c>
      <c r="Q46" s="1554">
        <f>'2. S Plan'!S52</f>
        <v>0</v>
      </c>
      <c r="R46" s="1555">
        <f>'2. S Plan'!T52</f>
        <v>0</v>
      </c>
      <c r="S46" s="1599">
        <f>'2. S Plan'!U52</f>
        <v>0</v>
      </c>
      <c r="T46" s="1554">
        <f>'2. S Plan'!V52</f>
        <v>0</v>
      </c>
      <c r="U46" s="1555">
        <f>'2. S Plan'!W52</f>
        <v>0</v>
      </c>
      <c r="V46" s="1557">
        <f t="shared" si="12"/>
        <v>4543</v>
      </c>
      <c r="W46" s="1710"/>
      <c r="Y46" s="1711"/>
      <c r="AA46" s="1723">
        <f t="shared" si="9"/>
        <v>0.74</v>
      </c>
      <c r="AB46" s="1720">
        <f t="shared" si="10"/>
        <v>2E-3</v>
      </c>
      <c r="AC46" s="1724" t="str">
        <f t="shared" si="11"/>
        <v>ADC12</v>
      </c>
      <c r="AD46" s="1535" t="b">
        <f t="shared" si="13"/>
        <v>1</v>
      </c>
      <c r="AE46" s="1535" t="b">
        <f t="shared" si="14"/>
        <v>1</v>
      </c>
      <c r="AF46" s="1535" t="b">
        <f t="shared" si="15"/>
        <v>1</v>
      </c>
    </row>
    <row r="47" spans="1:32" ht="15.75" customHeight="1">
      <c r="A47" s="7225"/>
      <c r="B47" s="7300"/>
      <c r="C47" s="10"/>
      <c r="D47" s="8" t="s">
        <v>868</v>
      </c>
      <c r="E47" s="8"/>
      <c r="F47" s="1658" t="str">
        <f>'2. S Plan'!F55</f>
        <v>OMS Entry Lens Holder (203A)</v>
      </c>
      <c r="G47" s="3571">
        <f>IFERROR(VLOOKUP(F47,B.BasicInfomation!$B:$O,6,0),"")</f>
        <v>0.75</v>
      </c>
      <c r="H47" s="3785">
        <f>IFERROR(VLOOKUP(F47,B.BasicInfomation!$B:$O,9,0),"")</f>
        <v>2E-3</v>
      </c>
      <c r="I47" s="1938" t="str">
        <f>IFERROR(VLOOKUP(F47,B.BasicInfomation!$B:$O,14,0),"")</f>
        <v>ADC12</v>
      </c>
      <c r="J47" s="2649">
        <f>'2. S Plan'!L55</f>
        <v>0</v>
      </c>
      <c r="K47" s="5006">
        <f>'2. S Plan'!M55</f>
        <v>0</v>
      </c>
      <c r="L47" s="5498">
        <f>'2. S Plan'!N55</f>
        <v>0</v>
      </c>
      <c r="M47" s="2649">
        <f>'2. S Plan'!O55</f>
        <v>0</v>
      </c>
      <c r="N47" s="1554">
        <f>'2. S Plan'!P55</f>
        <v>0</v>
      </c>
      <c r="O47" s="1556">
        <f>'2. S Plan'!Q55</f>
        <v>0</v>
      </c>
      <c r="P47" s="1722">
        <f>'2. S Plan'!R55</f>
        <v>0</v>
      </c>
      <c r="Q47" s="1554">
        <f>'2. S Plan'!S55</f>
        <v>0</v>
      </c>
      <c r="R47" s="1555">
        <f>'2. S Plan'!T55</f>
        <v>0</v>
      </c>
      <c r="S47" s="1599">
        <f>'2. S Plan'!U55</f>
        <v>0</v>
      </c>
      <c r="T47" s="1554">
        <f>'2. S Plan'!V55</f>
        <v>0</v>
      </c>
      <c r="U47" s="1555">
        <f>'2. S Plan'!W55</f>
        <v>0</v>
      </c>
      <c r="V47" s="1557">
        <f t="shared" si="12"/>
        <v>0</v>
      </c>
      <c r="W47" s="1710"/>
      <c r="X47" s="1535">
        <v>4.335E-2</v>
      </c>
      <c r="Y47" s="1711">
        <f>_xlfn.XLOOKUP(F47,B.BasicInfomation!B:B,B.BasicInfomation!J:J,"",0)</f>
        <v>2E-3</v>
      </c>
      <c r="AA47" s="1723">
        <f t="shared" si="9"/>
        <v>0.75</v>
      </c>
      <c r="AB47" s="1720">
        <f t="shared" si="10"/>
        <v>2E-3</v>
      </c>
      <c r="AC47" s="1724" t="str">
        <f t="shared" si="11"/>
        <v>ADC12</v>
      </c>
      <c r="AD47" s="1535" t="b">
        <f t="shared" si="13"/>
        <v>1</v>
      </c>
      <c r="AE47" s="1535" t="b">
        <f t="shared" si="14"/>
        <v>1</v>
      </c>
      <c r="AF47" s="1535" t="b">
        <f t="shared" si="15"/>
        <v>1</v>
      </c>
    </row>
    <row r="48" spans="1:32" ht="15.75" customHeight="1">
      <c r="A48" s="7225"/>
      <c r="B48" s="7300"/>
      <c r="C48" s="10"/>
      <c r="D48" s="10"/>
      <c r="E48" s="10"/>
      <c r="F48" s="1658" t="str">
        <f>'2. S Plan'!F56</f>
        <v>OMS Front Lens Holder (207A)</v>
      </c>
      <c r="G48" s="3571">
        <f>IFERROR(VLOOKUP(F48,B.BasicInfomation!$B:$O,6,0),"")</f>
        <v>0.75</v>
      </c>
      <c r="H48" s="3785">
        <f>IFERROR(VLOOKUP(F48,B.BasicInfomation!$B:$O,9,0),"")</f>
        <v>2E-3</v>
      </c>
      <c r="I48" s="1938" t="str">
        <f>IFERROR(VLOOKUP(F48,B.BasicInfomation!$B:$O,14,0),"")</f>
        <v>ADC12</v>
      </c>
      <c r="J48" s="2649">
        <f>'2. S Plan'!L56</f>
        <v>0</v>
      </c>
      <c r="K48" s="5006">
        <f>'2. S Plan'!M56</f>
        <v>0</v>
      </c>
      <c r="L48" s="5498">
        <f>'2. S Plan'!N56</f>
        <v>0</v>
      </c>
      <c r="M48" s="2649">
        <f>'2. S Plan'!O56</f>
        <v>0</v>
      </c>
      <c r="N48" s="1554">
        <f>'2. S Plan'!P56</f>
        <v>64800</v>
      </c>
      <c r="O48" s="1556">
        <f>'2. S Plan'!Q56</f>
        <v>82850</v>
      </c>
      <c r="P48" s="1722">
        <f>'2. S Plan'!R56</f>
        <v>82850</v>
      </c>
      <c r="Q48" s="1554">
        <f>'2. S Plan'!S56</f>
        <v>82850</v>
      </c>
      <c r="R48" s="1555">
        <f>'2. S Plan'!T56</f>
        <v>82850</v>
      </c>
      <c r="S48" s="1599">
        <f>'2. S Plan'!U56</f>
        <v>82850</v>
      </c>
      <c r="T48" s="1554">
        <f>'2. S Plan'!V56</f>
        <v>82850</v>
      </c>
      <c r="U48" s="1555">
        <f>'2. S Plan'!W56</f>
        <v>82850</v>
      </c>
      <c r="V48" s="1557">
        <f t="shared" si="12"/>
        <v>644750</v>
      </c>
      <c r="W48" s="1710"/>
      <c r="X48" s="1535">
        <v>4.163E-2</v>
      </c>
      <c r="Y48" s="1711">
        <f>_xlfn.XLOOKUP(F48,B.BasicInfomation!B:B,B.BasicInfomation!J:J,"",0)</f>
        <v>2E-3</v>
      </c>
      <c r="AA48" s="1723">
        <f t="shared" si="9"/>
        <v>0.75</v>
      </c>
      <c r="AB48" s="1720">
        <f t="shared" si="10"/>
        <v>2E-3</v>
      </c>
      <c r="AC48" s="1724" t="str">
        <f t="shared" si="11"/>
        <v>ADC12</v>
      </c>
      <c r="AD48" s="1535" t="b">
        <f t="shared" si="13"/>
        <v>1</v>
      </c>
      <c r="AE48" s="1535" t="b">
        <f t="shared" si="14"/>
        <v>1</v>
      </c>
      <c r="AF48" s="1535" t="b">
        <f t="shared" si="15"/>
        <v>1</v>
      </c>
    </row>
    <row r="49" spans="1:32" ht="15.75" customHeight="1">
      <c r="A49" s="7225"/>
      <c r="B49" s="7300"/>
      <c r="C49" s="10"/>
      <c r="D49" s="10"/>
      <c r="E49" s="10">
        <v>22</v>
      </c>
      <c r="F49" s="1658" t="str">
        <f>'2. S Plan'!F57</f>
        <v>MPC5.5 Cover Lens</v>
      </c>
      <c r="G49" s="3571">
        <f>IFERROR(VLOOKUP(F49,B.BasicInfomation!$B:$O,6,0),"")</f>
        <v>0.8</v>
      </c>
      <c r="H49" s="3785">
        <f>IFERROR(VLOOKUP(F49,B.BasicInfomation!$B:$O,9,0),"")</f>
        <v>2E-3</v>
      </c>
      <c r="I49" s="1938" t="str">
        <f>IFERROR(VLOOKUP(F49,B.BasicInfomation!$B:$O,14,0),"")</f>
        <v>ADC12</v>
      </c>
      <c r="J49" s="2649">
        <f>'2. S Plan'!L57</f>
        <v>145774.22603669483</v>
      </c>
      <c r="K49" s="5006">
        <f>'2. S Plan'!M57</f>
        <v>80811.176270963784</v>
      </c>
      <c r="L49" s="5498">
        <f>'2. S Plan'!N57</f>
        <v>145774.22603669483</v>
      </c>
      <c r="M49" s="2649">
        <f>'2. S Plan'!O57</f>
        <v>119959.13734392736</v>
      </c>
      <c r="N49" s="1554">
        <f>'2. S Plan'!P57</f>
        <v>64777.93416572077</v>
      </c>
      <c r="O49" s="1556">
        <f>'2. S Plan'!Q57</f>
        <v>82821.787741203196</v>
      </c>
      <c r="P49" s="1722">
        <f>'2. S Plan'!R57</f>
        <v>82821.787741203196</v>
      </c>
      <c r="Q49" s="1554">
        <f>'2. S Plan'!S57</f>
        <v>82821.787741203196</v>
      </c>
      <c r="R49" s="1555">
        <f>'2. S Plan'!T57</f>
        <v>82821.787741203196</v>
      </c>
      <c r="S49" s="1599">
        <f>'2. S Plan'!U57</f>
        <v>82821.787741203196</v>
      </c>
      <c r="T49" s="1554">
        <f>'2. S Plan'!V57</f>
        <v>82821.787741203196</v>
      </c>
      <c r="U49" s="1555">
        <f>'2. S Plan'!W57</f>
        <v>82821.787741203196</v>
      </c>
      <c r="V49" s="1557">
        <f t="shared" si="12"/>
        <v>1136849.214042424</v>
      </c>
      <c r="W49" s="1710"/>
      <c r="X49" s="1535">
        <v>6.2E-2</v>
      </c>
      <c r="Y49" s="1711">
        <f>_xlfn.XLOOKUP(F49,B.BasicInfomation!B:B,B.BasicInfomation!J:J,"",0)</f>
        <v>2E-3</v>
      </c>
      <c r="AA49" s="1723">
        <f t="shared" si="9"/>
        <v>0.8</v>
      </c>
      <c r="AB49" s="1720">
        <f t="shared" si="10"/>
        <v>2E-3</v>
      </c>
      <c r="AC49" s="1724" t="str">
        <f t="shared" si="11"/>
        <v>ADC12</v>
      </c>
      <c r="AD49" s="1535" t="b">
        <f t="shared" si="13"/>
        <v>1</v>
      </c>
      <c r="AE49" s="1535" t="b">
        <f t="shared" si="14"/>
        <v>1</v>
      </c>
      <c r="AF49" s="1535" t="b">
        <f t="shared" si="15"/>
        <v>1</v>
      </c>
    </row>
    <row r="50" spans="1:32" ht="15.75" customHeight="1">
      <c r="A50" s="7225"/>
      <c r="B50" s="7300"/>
      <c r="C50" s="6"/>
      <c r="D50" s="6"/>
      <c r="E50" s="6"/>
      <c r="F50" s="1713" t="str">
        <f>'2. S Plan'!F58</f>
        <v xml:space="preserve">FCM30 Lens Holder </v>
      </c>
      <c r="G50" s="3793">
        <f>IFERROR(VLOOKUP(F50,B.BasicInfomation!$B:$O,6,0),"")</f>
        <v>0.75</v>
      </c>
      <c r="H50" s="3790">
        <f>IFERROR(VLOOKUP(F50,B.BasicInfomation!$B:$O,9,0),"")</f>
        <v>2E-3</v>
      </c>
      <c r="I50" s="1999" t="str">
        <f>IFERROR(VLOOKUP(F50,B.BasicInfomation!$B:$O,14,0),"")</f>
        <v>ADC12</v>
      </c>
      <c r="J50" s="4679">
        <f>'2. S Plan'!L58</f>
        <v>0</v>
      </c>
      <c r="K50" s="5007">
        <f>'2. S Plan'!M58</f>
        <v>0</v>
      </c>
      <c r="L50" s="5499">
        <f>'2. S Plan'!N58</f>
        <v>0</v>
      </c>
      <c r="M50" s="4679">
        <f>'2. S Plan'!O58</f>
        <v>0</v>
      </c>
      <c r="N50" s="1549">
        <f>'2. S Plan'!P58</f>
        <v>0</v>
      </c>
      <c r="O50" s="1558">
        <f>'2. S Plan'!Q58</f>
        <v>0</v>
      </c>
      <c r="P50" s="1648">
        <f>'2. S Plan'!R58</f>
        <v>0</v>
      </c>
      <c r="Q50" s="1549">
        <f>'2. S Plan'!S58</f>
        <v>0</v>
      </c>
      <c r="R50" s="1550">
        <f>'2. S Plan'!T58</f>
        <v>0</v>
      </c>
      <c r="S50" s="1597">
        <f>'2. S Plan'!U58</f>
        <v>0</v>
      </c>
      <c r="T50" s="1549">
        <f>'2. S Plan'!V58</f>
        <v>0</v>
      </c>
      <c r="U50" s="1550">
        <f>'2. S Plan'!W58</f>
        <v>0</v>
      </c>
      <c r="V50" s="1551">
        <f t="shared" si="12"/>
        <v>0</v>
      </c>
      <c r="W50" s="1710"/>
      <c r="Y50" s="1711"/>
      <c r="AA50" s="1723">
        <f t="shared" si="9"/>
        <v>0.75</v>
      </c>
      <c r="AB50" s="1720">
        <f t="shared" si="10"/>
        <v>2E-3</v>
      </c>
      <c r="AC50" s="1724" t="str">
        <f t="shared" si="11"/>
        <v>ADC12</v>
      </c>
      <c r="AD50" s="1535" t="b">
        <f t="shared" si="13"/>
        <v>1</v>
      </c>
      <c r="AE50" s="1535" t="b">
        <f t="shared" si="14"/>
        <v>1</v>
      </c>
      <c r="AF50" s="1535" t="b">
        <f t="shared" si="15"/>
        <v>1</v>
      </c>
    </row>
    <row r="51" spans="1:32" s="1569" customFormat="1" ht="15.75" customHeight="1">
      <c r="A51" s="7225"/>
      <c r="B51" s="7300"/>
      <c r="C51" s="10" t="s">
        <v>398</v>
      </c>
      <c r="D51" s="1588" t="s">
        <v>848</v>
      </c>
      <c r="E51" s="1588">
        <v>23</v>
      </c>
      <c r="F51" s="1658" t="str">
        <f>'2. S Plan'!F61</f>
        <v>NX4 HSG</v>
      </c>
      <c r="G51" s="3571">
        <f>IFERROR(VLOOKUP(F51,B.BasicInfomation!$B:$O,6,0),"")</f>
        <v>0.79</v>
      </c>
      <c r="H51" s="3785">
        <f>IFERROR(VLOOKUP(F51,B.BasicInfomation!$B:$O,9,0),"")</f>
        <v>0.42599999999999999</v>
      </c>
      <c r="I51" s="1938" t="str">
        <f>IFERROR(VLOOKUP(F51,B.BasicInfomation!$B:$O,14,0),"")</f>
        <v>ADC12</v>
      </c>
      <c r="J51" s="2649">
        <f>'2. S Plan'!L61</f>
        <v>30138.69109947644</v>
      </c>
      <c r="K51" s="5006">
        <f>'2. S Plan'!M61</f>
        <v>55488.952879581149</v>
      </c>
      <c r="L51" s="5498">
        <f>'2. S Plan'!N61</f>
        <v>53003.560209424082</v>
      </c>
      <c r="M51" s="2649">
        <f>'2. S Plan'!O61</f>
        <v>42198.952879581157</v>
      </c>
      <c r="N51" s="1554">
        <f>'2. S Plan'!P61</f>
        <v>0</v>
      </c>
      <c r="O51" s="1556">
        <f>'2. S Plan'!Q61</f>
        <v>0</v>
      </c>
      <c r="P51" s="1722">
        <f>'2. S Plan'!R61</f>
        <v>0</v>
      </c>
      <c r="Q51" s="1554">
        <f>'2. S Plan'!S61</f>
        <v>0</v>
      </c>
      <c r="R51" s="1555">
        <f>'2. S Plan'!T61</f>
        <v>49000</v>
      </c>
      <c r="S51" s="1599">
        <f>'2. S Plan'!U61</f>
        <v>49000</v>
      </c>
      <c r="T51" s="1554">
        <f>'2. S Plan'!V61</f>
        <v>37000</v>
      </c>
      <c r="U51" s="1555">
        <f>'2. S Plan'!W61</f>
        <v>37000</v>
      </c>
      <c r="V51" s="1557">
        <f t="shared" si="12"/>
        <v>352830.15706806281</v>
      </c>
      <c r="W51" s="1745"/>
      <c r="X51" s="1569">
        <v>0.9897999999999999</v>
      </c>
      <c r="Y51" s="1711">
        <f>_xlfn.XLOOKUP(F51,B.BasicInfomation!B:B,B.BasicInfomation!J:J,"",0)</f>
        <v>0.42599999999999999</v>
      </c>
      <c r="AA51" s="1723">
        <f t="shared" si="9"/>
        <v>0.79</v>
      </c>
      <c r="AB51" s="1720">
        <f t="shared" si="10"/>
        <v>0.42599999999999999</v>
      </c>
      <c r="AC51" s="1724" t="str">
        <f t="shared" si="11"/>
        <v>ADC12</v>
      </c>
      <c r="AD51" s="1535" t="b">
        <f t="shared" si="13"/>
        <v>1</v>
      </c>
      <c r="AE51" s="1535" t="b">
        <f t="shared" si="14"/>
        <v>1</v>
      </c>
      <c r="AF51" s="1535" t="b">
        <f t="shared" si="15"/>
        <v>1</v>
      </c>
    </row>
    <row r="52" spans="1:32" ht="15.75" customHeight="1">
      <c r="A52" s="7225"/>
      <c r="B52" s="7300"/>
      <c r="C52" s="10"/>
      <c r="D52" s="1588"/>
      <c r="E52" s="1588">
        <v>24</v>
      </c>
      <c r="F52" s="1658" t="str">
        <f>'2. S Plan'!F62</f>
        <v>IMEB2 Housing</v>
      </c>
      <c r="G52" s="3571">
        <f>IFERROR(VLOOKUP(F52,B.BasicInfomation!$B:$O,6,0),"")</f>
        <v>0.79</v>
      </c>
      <c r="H52" s="3785">
        <f>IFERROR(VLOOKUP(F52,B.BasicInfomation!$B:$O,9,0),"")</f>
        <v>0.42599999999999999</v>
      </c>
      <c r="I52" s="1938" t="str">
        <f>IFERROR(VLOOKUP(F52,B.BasicInfomation!$B:$O,14,0),"")</f>
        <v>ADC12</v>
      </c>
      <c r="J52" s="4551">
        <f>'2. S Plan'!L62</f>
        <v>42516.812030075183</v>
      </c>
      <c r="K52" s="5006">
        <f>'2. S Plan'!M62</f>
        <v>28167.699248120301</v>
      </c>
      <c r="L52" s="5498">
        <f>'2. S Plan'!N62</f>
        <v>45496.421052631573</v>
      </c>
      <c r="M52" s="2649">
        <f>'2. S Plan'!O62</f>
        <v>40302.676691729328</v>
      </c>
      <c r="N52" s="1554">
        <f>'2. S Plan'!P62</f>
        <v>42472.421052631573</v>
      </c>
      <c r="O52" s="1556">
        <f>'2. S Plan'!Q62</f>
        <v>44064</v>
      </c>
      <c r="P52" s="1722">
        <f>'2. S Plan'!R62</f>
        <v>44000</v>
      </c>
      <c r="Q52" s="1554">
        <f>'2. S Plan'!S62</f>
        <v>42000</v>
      </c>
      <c r="R52" s="1555">
        <f>'2. S Plan'!T62</f>
        <v>48000</v>
      </c>
      <c r="S52" s="1599">
        <f>'2. S Plan'!U62</f>
        <v>40000</v>
      </c>
      <c r="T52" s="1554">
        <f>'2. S Plan'!V62</f>
        <v>41500</v>
      </c>
      <c r="U52" s="1555">
        <f>'2. S Plan'!W62</f>
        <v>41500</v>
      </c>
      <c r="V52" s="1557">
        <f t="shared" si="12"/>
        <v>500020.03007518797</v>
      </c>
      <c r="W52" s="1710"/>
      <c r="X52" s="1535">
        <v>0.97750000000000004</v>
      </c>
      <c r="Y52" s="1711">
        <f>_xlfn.XLOOKUP(F52,B.BasicInfomation!B:B,B.BasicInfomation!J:J,"",0)</f>
        <v>0.42599999999999999</v>
      </c>
      <c r="AA52" s="1723">
        <f t="shared" si="9"/>
        <v>0.79</v>
      </c>
      <c r="AB52" s="1720">
        <f t="shared" si="10"/>
        <v>0.42599999999999999</v>
      </c>
      <c r="AC52" s="1724" t="str">
        <f t="shared" si="11"/>
        <v>ADC12</v>
      </c>
      <c r="AD52" s="1535" t="b">
        <f t="shared" si="13"/>
        <v>1</v>
      </c>
      <c r="AE52" s="1535" t="b">
        <f t="shared" si="14"/>
        <v>1</v>
      </c>
      <c r="AF52" s="1535" t="b">
        <f t="shared" si="15"/>
        <v>1</v>
      </c>
    </row>
    <row r="53" spans="1:32" ht="15.75" customHeight="1">
      <c r="A53" s="7225"/>
      <c r="B53" s="7300"/>
      <c r="C53" s="10"/>
      <c r="D53" s="1588"/>
      <c r="E53" s="1588">
        <v>25</v>
      </c>
      <c r="F53" s="1658" t="str">
        <f>'2. S Plan'!F63</f>
        <v>J100 Housing</v>
      </c>
      <c r="G53" s="3571">
        <f>IFERROR(VLOOKUP(F53,B.BasicInfomation!$B:$O,6,0),"")</f>
        <v>0.79</v>
      </c>
      <c r="H53" s="3785">
        <f>IFERROR(VLOOKUP(F53,B.BasicInfomation!$B:$O,9,0),"")</f>
        <v>0.42599999999999999</v>
      </c>
      <c r="I53" s="1938" t="str">
        <f>IFERROR(VLOOKUP(F53,B.BasicInfomation!$B:$O,14,0),"")</f>
        <v>ADC12</v>
      </c>
      <c r="J53" s="2649">
        <f>'2. S Plan'!L63</f>
        <v>5040</v>
      </c>
      <c r="K53" s="5006">
        <f>'2. S Plan'!M63</f>
        <v>5287</v>
      </c>
      <c r="L53" s="5498">
        <f>'2. S Plan'!N63</f>
        <v>0</v>
      </c>
      <c r="M53" s="2649">
        <f>'2. S Plan'!O63</f>
        <v>10466.666666666668</v>
      </c>
      <c r="N53" s="1554">
        <f>'2. S Plan'!P63</f>
        <v>6250</v>
      </c>
      <c r="O53" s="1556">
        <f>'2. S Plan'!Q63</f>
        <v>6500</v>
      </c>
      <c r="P53" s="1722">
        <f>'2. S Plan'!R63</f>
        <v>6500</v>
      </c>
      <c r="Q53" s="1554">
        <f>'2. S Plan'!S63</f>
        <v>6500</v>
      </c>
      <c r="R53" s="1555">
        <f>'2. S Plan'!T63</f>
        <v>6500</v>
      </c>
      <c r="S53" s="1599">
        <f>'2. S Plan'!U63</f>
        <v>8550</v>
      </c>
      <c r="T53" s="1554">
        <f>'2. S Plan'!V63</f>
        <v>5700</v>
      </c>
      <c r="U53" s="1555">
        <f>'2. S Plan'!W63</f>
        <v>5700</v>
      </c>
      <c r="V53" s="1557">
        <f t="shared" si="12"/>
        <v>72993.666666666672</v>
      </c>
      <c r="W53" s="1710"/>
      <c r="X53" s="1535">
        <v>0.99038999999999999</v>
      </c>
      <c r="Y53" s="1711">
        <f>_xlfn.XLOOKUP(F53,B.BasicInfomation!B:B,B.BasicInfomation!J:J,"",0)</f>
        <v>0.42599999999999999</v>
      </c>
      <c r="AA53" s="1723">
        <f t="shared" si="9"/>
        <v>0.79</v>
      </c>
      <c r="AB53" s="1720">
        <f t="shared" si="10"/>
        <v>0.42599999999999999</v>
      </c>
      <c r="AC53" s="1724" t="str">
        <f t="shared" si="11"/>
        <v>ADC12</v>
      </c>
      <c r="AD53" s="1535" t="b">
        <f t="shared" si="13"/>
        <v>1</v>
      </c>
      <c r="AE53" s="1535" t="b">
        <f t="shared" si="14"/>
        <v>1</v>
      </c>
      <c r="AF53" s="1535" t="b">
        <f t="shared" si="15"/>
        <v>1</v>
      </c>
    </row>
    <row r="54" spans="1:32" ht="15.75" customHeight="1">
      <c r="A54" s="7225"/>
      <c r="B54" s="7300"/>
      <c r="C54" s="10"/>
      <c r="D54" s="1588"/>
      <c r="E54" s="1588"/>
      <c r="F54" s="1658" t="str">
        <f>'2. S Plan'!F64</f>
        <v>BENZ R-EPS HSG (Anodizing)</v>
      </c>
      <c r="G54" s="3571">
        <f>IFERROR(VLOOKUP(F54,B.BasicInfomation!$B:$O,6,0),"")</f>
        <v>0.7</v>
      </c>
      <c r="H54" s="3785">
        <f>IFERROR(VLOOKUP(F54,B.BasicInfomation!$B:$O,9,0),"")</f>
        <v>0.42599999999999999</v>
      </c>
      <c r="I54" s="1938" t="str">
        <f>IFERROR(VLOOKUP(F54,B.BasicInfomation!$B:$O,14,0),"")</f>
        <v>ADC12</v>
      </c>
      <c r="J54" s="2649">
        <f>'2. S Plan'!L64</f>
        <v>0</v>
      </c>
      <c r="K54" s="5006">
        <f>'2. S Plan'!M64</f>
        <v>0</v>
      </c>
      <c r="L54" s="5498">
        <f>'2. S Plan'!N64</f>
        <v>0</v>
      </c>
      <c r="M54" s="2649">
        <f>'2. S Plan'!O64</f>
        <v>0</v>
      </c>
      <c r="N54" s="1554">
        <f>'2. S Plan'!P64</f>
        <v>0</v>
      </c>
      <c r="O54" s="1556">
        <f>'2. S Plan'!Q64</f>
        <v>0</v>
      </c>
      <c r="P54" s="1722">
        <f>'2. S Plan'!R64</f>
        <v>0</v>
      </c>
      <c r="Q54" s="1554">
        <f>'2. S Plan'!S64</f>
        <v>0</v>
      </c>
      <c r="R54" s="1555">
        <f>'2. S Plan'!T64</f>
        <v>0</v>
      </c>
      <c r="S54" s="1599">
        <f>'2. S Plan'!U64</f>
        <v>0</v>
      </c>
      <c r="T54" s="1554">
        <f>'2. S Plan'!V64</f>
        <v>0</v>
      </c>
      <c r="U54" s="1555">
        <f>'2. S Plan'!W64</f>
        <v>0</v>
      </c>
      <c r="V54" s="1557">
        <f t="shared" si="12"/>
        <v>0</v>
      </c>
      <c r="W54" s="1710"/>
      <c r="Y54" s="1711"/>
      <c r="AA54" s="1723">
        <f t="shared" si="9"/>
        <v>0.7</v>
      </c>
      <c r="AB54" s="1720">
        <f t="shared" si="10"/>
        <v>0.42599999999999999</v>
      </c>
      <c r="AC54" s="1724" t="str">
        <f t="shared" si="11"/>
        <v>ADC12</v>
      </c>
      <c r="AD54" s="1535" t="b">
        <f t="shared" si="13"/>
        <v>1</v>
      </c>
      <c r="AE54" s="1535" t="b">
        <f t="shared" si="14"/>
        <v>1</v>
      </c>
      <c r="AF54" s="1535" t="b">
        <f t="shared" si="15"/>
        <v>1</v>
      </c>
    </row>
    <row r="55" spans="1:32" ht="15.75" customHeight="1">
      <c r="A55" s="7225"/>
      <c r="B55" s="7300"/>
      <c r="C55" s="10"/>
      <c r="D55" s="1588"/>
      <c r="E55" s="1588"/>
      <c r="F55" s="1658" t="str">
        <f>'2. S Plan'!F65</f>
        <v>NE2 R-EPS HSG</v>
      </c>
      <c r="G55" s="3571">
        <f>IFERROR(VLOOKUP(F55,B.BasicInfomation!$B:$O,6,0),"")</f>
        <v>0.7</v>
      </c>
      <c r="H55" s="3785">
        <f>IFERROR(VLOOKUP(F55,B.BasicInfomation!$B:$O,9,0),"")</f>
        <v>0.42599999999999999</v>
      </c>
      <c r="I55" s="1938" t="str">
        <f>IFERROR(VLOOKUP(F55,B.BasicInfomation!$B:$O,14,0),"")</f>
        <v>ADC12</v>
      </c>
      <c r="J55" s="2649">
        <f>'2. S Plan'!L65</f>
        <v>0</v>
      </c>
      <c r="K55" s="5006">
        <f>'2. S Plan'!M65</f>
        <v>0</v>
      </c>
      <c r="L55" s="5498">
        <f>'2. S Plan'!N65</f>
        <v>0</v>
      </c>
      <c r="M55" s="2649">
        <f>'2. S Plan'!O65</f>
        <v>0</v>
      </c>
      <c r="N55" s="1554">
        <f>'2. S Plan'!P65</f>
        <v>0</v>
      </c>
      <c r="O55" s="1556">
        <f>'2. S Plan'!Q65</f>
        <v>0</v>
      </c>
      <c r="P55" s="1722">
        <f>'2. S Plan'!R65</f>
        <v>0</v>
      </c>
      <c r="Q55" s="1554">
        <f>'2. S Plan'!S65</f>
        <v>0</v>
      </c>
      <c r="R55" s="1555">
        <f>'2. S Plan'!T65</f>
        <v>0</v>
      </c>
      <c r="S55" s="1599">
        <f>'2. S Plan'!U65</f>
        <v>0</v>
      </c>
      <c r="T55" s="1554">
        <f>'2. S Plan'!V65</f>
        <v>0</v>
      </c>
      <c r="U55" s="1555">
        <f>'2. S Plan'!W65</f>
        <v>0</v>
      </c>
      <c r="V55" s="1557">
        <f t="shared" si="12"/>
        <v>0</v>
      </c>
      <c r="W55" s="1710"/>
      <c r="Y55" s="1711"/>
      <c r="AA55" s="1723">
        <f t="shared" si="9"/>
        <v>0.7</v>
      </c>
      <c r="AB55" s="1720">
        <f t="shared" si="10"/>
        <v>0.42599999999999999</v>
      </c>
      <c r="AC55" s="1724" t="str">
        <f t="shared" si="11"/>
        <v>ADC12</v>
      </c>
      <c r="AD55" s="1535" t="b">
        <f t="shared" si="13"/>
        <v>1</v>
      </c>
      <c r="AE55" s="1535" t="b">
        <f t="shared" si="14"/>
        <v>1</v>
      </c>
      <c r="AF55" s="1535" t="b">
        <f t="shared" si="15"/>
        <v>1</v>
      </c>
    </row>
    <row r="56" spans="1:32" ht="15.75" customHeight="1">
      <c r="A56" s="7225"/>
      <c r="B56" s="7300"/>
      <c r="C56" s="10"/>
      <c r="D56" s="1588"/>
      <c r="E56" s="1588"/>
      <c r="F56" s="1658" t="str">
        <f>'2. S Plan'!F66</f>
        <v>M184 R-EPS HSG</v>
      </c>
      <c r="G56" s="3571">
        <f>IFERROR(VLOOKUP(F56,B.BasicInfomation!$B:$O,6,0),"")</f>
        <v>0.7</v>
      </c>
      <c r="H56" s="3785">
        <f>IFERROR(VLOOKUP(F56,B.BasicInfomation!$B:$O,9,0),"")</f>
        <v>0.48799999999999999</v>
      </c>
      <c r="I56" s="1938" t="str">
        <f>IFERROR(VLOOKUP(F56,B.BasicInfomation!$B:$O,14,0),"")</f>
        <v>ADC12</v>
      </c>
      <c r="J56" s="2649">
        <f>'2. S Plan'!L66</f>
        <v>0</v>
      </c>
      <c r="K56" s="5006">
        <f>'2. S Plan'!M66</f>
        <v>0</v>
      </c>
      <c r="L56" s="5498">
        <f>'2. S Plan'!N66</f>
        <v>0</v>
      </c>
      <c r="M56" s="2649">
        <f>'2. S Plan'!O66</f>
        <v>0</v>
      </c>
      <c r="N56" s="1554">
        <f>'2. S Plan'!P66</f>
        <v>0</v>
      </c>
      <c r="O56" s="1556">
        <f>'2. S Plan'!Q66</f>
        <v>0</v>
      </c>
      <c r="P56" s="1722">
        <f>'2. S Plan'!R66</f>
        <v>0</v>
      </c>
      <c r="Q56" s="1554">
        <f>'2. S Plan'!S66</f>
        <v>0</v>
      </c>
      <c r="R56" s="1555">
        <f>'2. S Plan'!T66</f>
        <v>0</v>
      </c>
      <c r="S56" s="1599">
        <f>'2. S Plan'!U66</f>
        <v>0</v>
      </c>
      <c r="T56" s="1554">
        <f>'2. S Plan'!V66</f>
        <v>0</v>
      </c>
      <c r="U56" s="1555">
        <f>'2. S Plan'!W66</f>
        <v>0</v>
      </c>
      <c r="V56" s="1557">
        <f t="shared" si="12"/>
        <v>0</v>
      </c>
      <c r="W56" s="1710"/>
      <c r="Y56" s="1711"/>
      <c r="AA56" s="1723">
        <f t="shared" ref="AA56:AA83" si="16">G56</f>
        <v>0.7</v>
      </c>
      <c r="AB56" s="1720">
        <f t="shared" ref="AB56:AB83" si="17">H56</f>
        <v>0.48799999999999999</v>
      </c>
      <c r="AC56" s="1724" t="str">
        <f t="shared" ref="AC56:AC83" si="18">I56</f>
        <v>ADC12</v>
      </c>
      <c r="AD56" s="1535" t="b">
        <f t="shared" si="13"/>
        <v>1</v>
      </c>
      <c r="AE56" s="1535" t="b">
        <f t="shared" si="14"/>
        <v>1</v>
      </c>
      <c r="AF56" s="1535" t="b">
        <f t="shared" si="15"/>
        <v>1</v>
      </c>
    </row>
    <row r="57" spans="1:32" ht="15.75" customHeight="1">
      <c r="A57" s="7225"/>
      <c r="B57" s="7300"/>
      <c r="C57" s="10"/>
      <c r="D57" s="7" t="s">
        <v>857</v>
      </c>
      <c r="E57" s="7">
        <v>26</v>
      </c>
      <c r="F57" s="1746" t="str">
        <f>'2. S Plan'!F68</f>
        <v>NX4 Cover</v>
      </c>
      <c r="G57" s="3795">
        <f>IFERROR(VLOOKUP(F57,B.BasicInfomation!$B:$O,6,0),"")</f>
        <v>0.84</v>
      </c>
      <c r="H57" s="3788">
        <f>IFERROR(VLOOKUP(F57,B.BasicInfomation!$B:$O,9,0),"")</f>
        <v>0.13</v>
      </c>
      <c r="I57" s="1954" t="str">
        <f>IFERROR(VLOOKUP(F57,B.BasicInfomation!$B:$O,14,0),"")</f>
        <v>ADC12</v>
      </c>
      <c r="J57" s="4682">
        <f>'2. S Plan'!L68</f>
        <v>74396.496453900705</v>
      </c>
      <c r="K57" s="5056">
        <f>'2. S Plan'!M68</f>
        <v>111262.97872340426</v>
      </c>
      <c r="L57" s="5533">
        <f>'2. S Plan'!N68</f>
        <v>120727.60283687942</v>
      </c>
      <c r="M57" s="4682">
        <f>'2. S Plan'!O68</f>
        <v>56404.964539007095</v>
      </c>
      <c r="N57" s="1572">
        <f>'2. S Plan'!P68</f>
        <v>29167.659574468089</v>
      </c>
      <c r="O57" s="1574">
        <f>'2. S Plan'!Q68</f>
        <v>30668.936170212764</v>
      </c>
      <c r="P57" s="1646">
        <f>'2. S Plan'!R68</f>
        <v>32170.212765957447</v>
      </c>
      <c r="Q57" s="1572">
        <f>'2. S Plan'!S68</f>
        <v>16085.106382978724</v>
      </c>
      <c r="R57" s="1573">
        <f>'2. S Plan'!T68</f>
        <v>16085.106382978724</v>
      </c>
      <c r="S57" s="1751">
        <f>'2. S Plan'!U68</f>
        <v>16085.106382978724</v>
      </c>
      <c r="T57" s="1572">
        <f>'2. S Plan'!V68</f>
        <v>16085.106382978724</v>
      </c>
      <c r="U57" s="1573">
        <f>'2. S Plan'!W68</f>
        <v>16085.106382978724</v>
      </c>
      <c r="V57" s="1575">
        <f t="shared" si="12"/>
        <v>535224.38297872338</v>
      </c>
      <c r="W57" s="1710"/>
      <c r="X57" s="1535">
        <v>0.32343</v>
      </c>
      <c r="Y57" s="1711">
        <f>_xlfn.XLOOKUP(F57,B.BasicInfomation!B:B,B.BasicInfomation!J:J,"",0)</f>
        <v>0.13</v>
      </c>
      <c r="AA57" s="1723">
        <f t="shared" si="16"/>
        <v>0.84</v>
      </c>
      <c r="AB57" s="1720">
        <f t="shared" si="17"/>
        <v>0.13</v>
      </c>
      <c r="AC57" s="1724" t="str">
        <f t="shared" si="18"/>
        <v>ADC12</v>
      </c>
      <c r="AD57" s="1535" t="b">
        <f t="shared" si="13"/>
        <v>1</v>
      </c>
      <c r="AE57" s="1535" t="b">
        <f t="shared" si="14"/>
        <v>1</v>
      </c>
      <c r="AF57" s="1535" t="b">
        <f t="shared" si="15"/>
        <v>1</v>
      </c>
    </row>
    <row r="58" spans="1:32" ht="15.75" customHeight="1">
      <c r="A58" s="7225"/>
      <c r="B58" s="7300"/>
      <c r="C58" s="10"/>
      <c r="D58" s="1576"/>
      <c r="E58" s="1576">
        <v>27</v>
      </c>
      <c r="F58" s="1753" t="str">
        <f>'2. S Plan'!F69</f>
        <v>Tey Gen4 Cover</v>
      </c>
      <c r="G58" s="3796">
        <f>IFERROR(VLOOKUP(F58,B.BasicInfomation!$B:$O,6,0),"")</f>
        <v>0.93</v>
      </c>
      <c r="H58" s="3789">
        <f>IFERROR(VLOOKUP(F58,B.BasicInfomation!$B:$O,9,0),"")</f>
        <v>0.13</v>
      </c>
      <c r="I58" s="1946" t="str">
        <f>IFERROR(VLOOKUP(F58,B.BasicInfomation!$B:$O,14,0),"")</f>
        <v>ADC12</v>
      </c>
      <c r="J58" s="4683">
        <f>'2. S Plan'!L69</f>
        <v>91965.517241379304</v>
      </c>
      <c r="K58" s="5054">
        <f>'2. S Plan'!M69</f>
        <v>78122.758620689638</v>
      </c>
      <c r="L58" s="5524">
        <f>'2. S Plan'!N69</f>
        <v>93413.793103448275</v>
      </c>
      <c r="M58" s="4683">
        <f>'2. S Plan'!O69</f>
        <v>77009.6091954023</v>
      </c>
      <c r="N58" s="1578">
        <f>'2. S Plan'!P69</f>
        <v>84248.275862068971</v>
      </c>
      <c r="O58" s="1580">
        <f>'2. S Plan'!Q69</f>
        <v>93792.873563218382</v>
      </c>
      <c r="P58" s="1757">
        <f>'2. S Plan'!R69</f>
        <v>81586.206896551725</v>
      </c>
      <c r="Q58" s="1578">
        <f>'2. S Plan'!S69</f>
        <v>79643.678160919546</v>
      </c>
      <c r="R58" s="1579">
        <f>'2. S Plan'!T69</f>
        <v>81586.206896551725</v>
      </c>
      <c r="S58" s="1758">
        <f>'2. S Plan'!U69</f>
        <v>79643.678160919546</v>
      </c>
      <c r="T58" s="1578">
        <f>'2. S Plan'!V69</f>
        <v>79643.678160919546</v>
      </c>
      <c r="U58" s="1579">
        <f>'2. S Plan'!W69</f>
        <v>79643.678160919546</v>
      </c>
      <c r="V58" s="1581">
        <f t="shared" si="12"/>
        <v>1000299.9540229887</v>
      </c>
      <c r="W58" s="1710"/>
      <c r="X58" s="1535">
        <v>0.65985000000000005</v>
      </c>
      <c r="Y58" s="1711">
        <f>_xlfn.XLOOKUP(F58,B.BasicInfomation!B:B,B.BasicInfomation!J:J,"",0)</f>
        <v>0.13</v>
      </c>
      <c r="AA58" s="1723">
        <f t="shared" si="16"/>
        <v>0.93</v>
      </c>
      <c r="AB58" s="1720">
        <f t="shared" si="17"/>
        <v>0.13</v>
      </c>
      <c r="AC58" s="1724" t="str">
        <f t="shared" si="18"/>
        <v>ADC12</v>
      </c>
      <c r="AD58" s="1535" t="b">
        <f t="shared" si="13"/>
        <v>1</v>
      </c>
      <c r="AE58" s="1535" t="b">
        <f t="shared" si="14"/>
        <v>1</v>
      </c>
      <c r="AF58" s="1535" t="b">
        <f t="shared" si="15"/>
        <v>1</v>
      </c>
    </row>
    <row r="59" spans="1:32" ht="15.75" customHeight="1">
      <c r="A59" s="7225"/>
      <c r="B59" s="7300"/>
      <c r="C59" s="10"/>
      <c r="D59" s="8"/>
      <c r="E59" s="8">
        <v>28</v>
      </c>
      <c r="F59" s="1658" t="str">
        <f>'2. S Plan'!F70</f>
        <v>CEER RWA CVR-만도향</v>
      </c>
      <c r="G59" s="3571">
        <f>IFERROR(VLOOKUP(F59,B.BasicInfomation!$B:$O,6,0),"")</f>
        <v>0.79</v>
      </c>
      <c r="H59" s="3785">
        <f>IFERROR(VLOOKUP(F59,B.BasicInfomation!$B:$O,9,0),"")</f>
        <v>0.27400000000000002</v>
      </c>
      <c r="I59" s="1938" t="str">
        <f>IFERROR(VLOOKUP(F59,B.BasicInfomation!$B:$O,14,0),"")</f>
        <v>ADC12</v>
      </c>
      <c r="J59" s="2649">
        <f>'2. S Plan'!L70</f>
        <v>0</v>
      </c>
      <c r="K59" s="5006">
        <f>'2. S Plan'!M70</f>
        <v>0</v>
      </c>
      <c r="L59" s="5498">
        <f>'2. S Plan'!N70</f>
        <v>0</v>
      </c>
      <c r="M59" s="2649">
        <f>'2. S Plan'!O70</f>
        <v>0</v>
      </c>
      <c r="N59" s="1554">
        <f>'2. S Plan'!P70</f>
        <v>0</v>
      </c>
      <c r="O59" s="1556">
        <f>'2. S Plan'!Q70</f>
        <v>0</v>
      </c>
      <c r="P59" s="1722">
        <f>'2. S Plan'!R70</f>
        <v>0</v>
      </c>
      <c r="Q59" s="1554">
        <f>'2. S Plan'!S70</f>
        <v>0</v>
      </c>
      <c r="R59" s="1555">
        <f>'2. S Plan'!T70</f>
        <v>0</v>
      </c>
      <c r="S59" s="1599">
        <f>'2. S Plan'!U70</f>
        <v>0</v>
      </c>
      <c r="T59" s="1554">
        <f>'2. S Plan'!V70</f>
        <v>0</v>
      </c>
      <c r="U59" s="1555">
        <f>'2. S Plan'!W70</f>
        <v>0</v>
      </c>
      <c r="V59" s="1557">
        <f t="shared" si="12"/>
        <v>0</v>
      </c>
      <c r="W59" s="1710"/>
      <c r="Y59" s="1711"/>
      <c r="AA59" s="1723">
        <f t="shared" si="16"/>
        <v>0.79</v>
      </c>
      <c r="AB59" s="1720">
        <f t="shared" si="17"/>
        <v>0.27400000000000002</v>
      </c>
      <c r="AC59" s="1724" t="str">
        <f t="shared" si="18"/>
        <v>ADC12</v>
      </c>
      <c r="AD59" s="1535" t="b">
        <f t="shared" si="13"/>
        <v>1</v>
      </c>
      <c r="AE59" s="1535" t="b">
        <f t="shared" si="14"/>
        <v>1</v>
      </c>
      <c r="AF59" s="1535" t="b">
        <f t="shared" si="15"/>
        <v>1</v>
      </c>
    </row>
    <row r="60" spans="1:32" ht="15.75" customHeight="1">
      <c r="A60" s="7225"/>
      <c r="B60" s="7300"/>
      <c r="C60" s="10"/>
      <c r="D60" s="8"/>
      <c r="E60" s="8">
        <v>29</v>
      </c>
      <c r="F60" s="1658" t="str">
        <f>'2. S Plan'!F71</f>
        <v>CEER RWS CVR-만도향</v>
      </c>
      <c r="G60" s="3571">
        <f>IFERROR(VLOOKUP(F60,B.BasicInfomation!$B:$O,6,0),"")</f>
        <v>0.79</v>
      </c>
      <c r="H60" s="3785">
        <f>IFERROR(VLOOKUP(F60,B.BasicInfomation!$B:$O,9,0),"")</f>
        <v>0.29899999999999999</v>
      </c>
      <c r="I60" s="1938" t="str">
        <f>IFERROR(VLOOKUP(F60,B.BasicInfomation!$B:$O,14,0),"")</f>
        <v>ADC12</v>
      </c>
      <c r="J60" s="2649">
        <f>'2. S Plan'!L71</f>
        <v>0</v>
      </c>
      <c r="K60" s="5006">
        <f>'2. S Plan'!M71</f>
        <v>0</v>
      </c>
      <c r="L60" s="5498">
        <f>'2. S Plan'!N71</f>
        <v>0</v>
      </c>
      <c r="M60" s="2649">
        <f>'2. S Plan'!O71</f>
        <v>0</v>
      </c>
      <c r="N60" s="1554">
        <f>'2. S Plan'!P71</f>
        <v>0</v>
      </c>
      <c r="O60" s="1556">
        <f>'2. S Plan'!Q71</f>
        <v>0</v>
      </c>
      <c r="P60" s="1722">
        <f>'2. S Plan'!R71</f>
        <v>0</v>
      </c>
      <c r="Q60" s="1554">
        <f>'2. S Plan'!S71</f>
        <v>0</v>
      </c>
      <c r="R60" s="1555">
        <f>'2. S Plan'!T71</f>
        <v>0</v>
      </c>
      <c r="S60" s="1599">
        <f>'2. S Plan'!U71</f>
        <v>0</v>
      </c>
      <c r="T60" s="1554">
        <f>'2. S Plan'!V71</f>
        <v>0</v>
      </c>
      <c r="U60" s="1555">
        <f>'2. S Plan'!W71</f>
        <v>3333</v>
      </c>
      <c r="V60" s="1557">
        <f t="shared" si="12"/>
        <v>3333</v>
      </c>
      <c r="W60" s="1710"/>
      <c r="Y60" s="1711"/>
      <c r="AA60" s="1723">
        <f t="shared" si="16"/>
        <v>0.79</v>
      </c>
      <c r="AB60" s="1720">
        <f t="shared" si="17"/>
        <v>0.29899999999999999</v>
      </c>
      <c r="AC60" s="1724" t="str">
        <f t="shared" si="18"/>
        <v>ADC12</v>
      </c>
      <c r="AD60" s="1535" t="b">
        <f t="shared" si="13"/>
        <v>1</v>
      </c>
      <c r="AE60" s="1535" t="b">
        <f t="shared" si="14"/>
        <v>1</v>
      </c>
      <c r="AF60" s="1535" t="b">
        <f t="shared" si="15"/>
        <v>1</v>
      </c>
    </row>
    <row r="61" spans="1:32" ht="15.75" customHeight="1">
      <c r="A61" s="7225"/>
      <c r="B61" s="7300"/>
      <c r="C61" s="10"/>
      <c r="D61" s="8"/>
      <c r="E61" s="8">
        <v>30</v>
      </c>
      <c r="F61" s="1658" t="str">
        <f>'2. S Plan'!F72</f>
        <v>JG R-EPS CVR-만도향</v>
      </c>
      <c r="G61" s="3571">
        <f>IFERROR(VLOOKUP(F61,B.BasicInfomation!$B:$O,6,0),"")</f>
        <v>0.79</v>
      </c>
      <c r="H61" s="3785">
        <f>IFERROR(VLOOKUP(F61,B.BasicInfomation!$B:$O,9,0),"")</f>
        <v>0.27300000000000002</v>
      </c>
      <c r="I61" s="1938" t="str">
        <f>IFERROR(VLOOKUP(F61,B.BasicInfomation!$B:$O,14,0),"")</f>
        <v>ADC12</v>
      </c>
      <c r="J61" s="2649">
        <f>'2. S Plan'!L72</f>
        <v>0</v>
      </c>
      <c r="K61" s="5006">
        <f>'2. S Plan'!M72</f>
        <v>0</v>
      </c>
      <c r="L61" s="5498">
        <f>'2. S Plan'!N72</f>
        <v>0</v>
      </c>
      <c r="M61" s="2649">
        <f>'2. S Plan'!O72</f>
        <v>3862.0817843866171</v>
      </c>
      <c r="N61" s="1554">
        <f>'2. S Plan'!P72</f>
        <v>0</v>
      </c>
      <c r="O61" s="1556">
        <f>'2. S Plan'!Q72</f>
        <v>2351.3011152416352</v>
      </c>
      <c r="P61" s="1722">
        <f>'2. S Plan'!R72</f>
        <v>2821.5613382899624</v>
      </c>
      <c r="Q61" s="1554">
        <f>'2. S Plan'!S72</f>
        <v>1881.0408921933085</v>
      </c>
      <c r="R61" s="1555">
        <f>'2. S Plan'!T72</f>
        <v>1881.0408921933085</v>
      </c>
      <c r="S61" s="1599">
        <f>'2. S Plan'!U72</f>
        <v>1692.9368029739778</v>
      </c>
      <c r="T61" s="1554">
        <f>'2. S Plan'!V72</f>
        <v>1128.624535315985</v>
      </c>
      <c r="U61" s="1555">
        <f>'2. S Plan'!W72</f>
        <v>0</v>
      </c>
      <c r="V61" s="1557">
        <f t="shared" si="12"/>
        <v>15618.587360594795</v>
      </c>
      <c r="W61" s="1710"/>
      <c r="Y61" s="1711"/>
      <c r="AA61" s="1723">
        <f t="shared" si="16"/>
        <v>0.79</v>
      </c>
      <c r="AB61" s="1720">
        <f t="shared" si="17"/>
        <v>0.27300000000000002</v>
      </c>
      <c r="AC61" s="1724" t="str">
        <f t="shared" si="18"/>
        <v>ADC12</v>
      </c>
      <c r="AD61" s="1535" t="b">
        <f t="shared" si="13"/>
        <v>1</v>
      </c>
      <c r="AE61" s="1535" t="b">
        <f t="shared" si="14"/>
        <v>1</v>
      </c>
      <c r="AF61" s="1535" t="b">
        <f t="shared" si="15"/>
        <v>1</v>
      </c>
    </row>
    <row r="62" spans="1:32" ht="15.75" customHeight="1">
      <c r="A62" s="7225"/>
      <c r="B62" s="7300"/>
      <c r="C62" s="10"/>
      <c r="D62" s="8"/>
      <c r="E62" s="8">
        <v>31</v>
      </c>
      <c r="F62" s="1658" t="str">
        <f>'2. S Plan'!F74</f>
        <v>JG RWS CVR-만도향</v>
      </c>
      <c r="G62" s="3571">
        <f>IFERROR(VLOOKUP(F62,B.BasicInfomation!$B:$O,6,0),"")</f>
        <v>0.79</v>
      </c>
      <c r="H62" s="3785">
        <f>IFERROR(VLOOKUP(F62,B.BasicInfomation!$B:$O,9,0),"")</f>
        <v>0.29899999999999999</v>
      </c>
      <c r="I62" s="1938" t="str">
        <f>IFERROR(VLOOKUP(F62,B.BasicInfomation!$B:$O,14,0),"")</f>
        <v>ADC12</v>
      </c>
      <c r="J62" s="2649">
        <f>'2. S Plan'!L74</f>
        <v>0</v>
      </c>
      <c r="K62" s="5006">
        <f>'2. S Plan'!M74</f>
        <v>0</v>
      </c>
      <c r="L62" s="5498">
        <f>'2. S Plan'!N74</f>
        <v>0</v>
      </c>
      <c r="M62" s="2649">
        <f>'2. S Plan'!O74</f>
        <v>269.05594405594405</v>
      </c>
      <c r="N62" s="1554">
        <f>'2. S Plan'!P74</f>
        <v>0</v>
      </c>
      <c r="O62" s="1556">
        <f>'2. S Plan'!Q74</f>
        <v>0</v>
      </c>
      <c r="P62" s="1722">
        <f>'2. S Plan'!R74</f>
        <v>0</v>
      </c>
      <c r="Q62" s="1554">
        <f>'2. S Plan'!S74</f>
        <v>0</v>
      </c>
      <c r="R62" s="1555">
        <f>'2. S Plan'!T74</f>
        <v>0</v>
      </c>
      <c r="S62" s="1599">
        <f>'2. S Plan'!U74</f>
        <v>0</v>
      </c>
      <c r="T62" s="1554">
        <f>'2. S Plan'!V74</f>
        <v>0</v>
      </c>
      <c r="U62" s="1555">
        <f>'2. S Plan'!W74</f>
        <v>0</v>
      </c>
      <c r="V62" s="1557">
        <f t="shared" si="12"/>
        <v>269.05594405594405</v>
      </c>
      <c r="W62" s="1710"/>
      <c r="Y62" s="1711"/>
      <c r="AA62" s="1723">
        <f t="shared" si="16"/>
        <v>0.79</v>
      </c>
      <c r="AB62" s="1720">
        <f t="shared" si="17"/>
        <v>0.29899999999999999</v>
      </c>
      <c r="AC62" s="1724" t="str">
        <f t="shared" si="18"/>
        <v>ADC12</v>
      </c>
      <c r="AD62" s="1535" t="b">
        <f t="shared" si="13"/>
        <v>1</v>
      </c>
      <c r="AE62" s="1535" t="b">
        <f t="shared" si="14"/>
        <v>1</v>
      </c>
      <c r="AF62" s="1535" t="b">
        <f t="shared" si="15"/>
        <v>1</v>
      </c>
    </row>
    <row r="63" spans="1:32" ht="15.75" customHeight="1">
      <c r="A63" s="7225"/>
      <c r="B63" s="7300"/>
      <c r="C63" s="6"/>
      <c r="D63" s="1596" t="s">
        <v>875</v>
      </c>
      <c r="E63" s="1596">
        <v>32</v>
      </c>
      <c r="F63" s="1713" t="str">
        <f>'2. S Plan'!F180</f>
        <v>MAS65 Heatsink Cover</v>
      </c>
      <c r="G63" s="3793">
        <f>IFERROR(VLOOKUP(F63,B.BasicInfomation!$B:$O,6,0),"")</f>
        <v>0.89</v>
      </c>
      <c r="H63" s="3790">
        <f>IFERROR(VLOOKUP(F63,B.BasicInfomation!$B:$O,9,0),"")</f>
        <v>0.12</v>
      </c>
      <c r="I63" s="1999" t="str">
        <f>IFERROR(VLOOKUP(F63,B.BasicInfomation!$B:$O,14,0),"")</f>
        <v>ADC12</v>
      </c>
      <c r="J63" s="4679">
        <f>'2. S Plan'!L76</f>
        <v>95545.942753228592</v>
      </c>
      <c r="K63" s="5007">
        <f>'2. S Plan'!M76</f>
        <v>64304.616547321544</v>
      </c>
      <c r="L63" s="5499">
        <f>'2. S Plan'!N76</f>
        <v>64304.616547321544</v>
      </c>
      <c r="M63" s="4679">
        <f>'2. S Plan'!O76</f>
        <v>96456.924820982313</v>
      </c>
      <c r="N63" s="1549">
        <f>'2. S Plan'!P76</f>
        <v>64304.616547321544</v>
      </c>
      <c r="O63" s="1558">
        <f>'2. S Plan'!Q76</f>
        <v>92820.651861461156</v>
      </c>
      <c r="P63" s="1648">
        <f>'2. S Plan'!R76</f>
        <v>95978.467852624264</v>
      </c>
      <c r="Q63" s="1549">
        <f>'2. S Plan'!S76</f>
        <v>64304.616547321544</v>
      </c>
      <c r="R63" s="1550">
        <f>'2. S Plan'!T76</f>
        <v>64304.616547321544</v>
      </c>
      <c r="S63" s="1597">
        <f>'2. S Plan'!U76</f>
        <v>64304.616547321544</v>
      </c>
      <c r="T63" s="1549">
        <f>'2. S Plan'!V76</f>
        <v>64304.616547321544</v>
      </c>
      <c r="U63" s="1550">
        <f>'2. S Plan'!W76</f>
        <v>64304.616547321544</v>
      </c>
      <c r="V63" s="1551">
        <f t="shared" si="12"/>
        <v>895238.91966686875</v>
      </c>
      <c r="W63" s="1710"/>
      <c r="X63" s="1535">
        <v>0.38539999999999996</v>
      </c>
      <c r="Y63" s="1711">
        <f>_xlfn.XLOOKUP(F63,B.BasicInfomation!B:B,B.BasicInfomation!J:J,"",0)</f>
        <v>0.12</v>
      </c>
      <c r="AA63" s="1723">
        <f t="shared" si="16"/>
        <v>0.89</v>
      </c>
      <c r="AB63" s="1720">
        <f t="shared" si="17"/>
        <v>0.12</v>
      </c>
      <c r="AC63" s="1724" t="str">
        <f t="shared" si="18"/>
        <v>ADC12</v>
      </c>
      <c r="AD63" s="1535" t="b">
        <f t="shared" si="13"/>
        <v>1</v>
      </c>
      <c r="AE63" s="1535" t="b">
        <f t="shared" si="14"/>
        <v>1</v>
      </c>
      <c r="AF63" s="1535" t="b">
        <f t="shared" si="15"/>
        <v>1</v>
      </c>
    </row>
    <row r="64" spans="1:32" ht="15.75" customHeight="1">
      <c r="A64" s="7225"/>
      <c r="B64" s="7300"/>
      <c r="C64" s="10" t="s">
        <v>400</v>
      </c>
      <c r="D64" s="1588" t="s">
        <v>848</v>
      </c>
      <c r="E64" s="1588">
        <v>33</v>
      </c>
      <c r="F64" s="1658" t="str">
        <f>'2. S Plan'!F183</f>
        <v>FCA Housing</v>
      </c>
      <c r="G64" s="3571">
        <f>IFERROR(VLOOKUP(F64,B.BasicInfomation!$B:$O,6,0),"")</f>
        <v>0.9</v>
      </c>
      <c r="H64" s="3785">
        <f>IFERROR(VLOOKUP(F64,B.BasicInfomation!$B:$O,9,0),"")</f>
        <v>3.2000000000000001E-2</v>
      </c>
      <c r="I64" s="1938" t="str">
        <f>IFERROR(VLOOKUP(F64,B.BasicInfomation!$B:$O,14,0),"")</f>
        <v>S3Y</v>
      </c>
      <c r="J64" s="2649">
        <f>'2. S Plan'!L79</f>
        <v>51756.897751324432</v>
      </c>
      <c r="K64" s="5006">
        <f>'2. S Plan'!M79</f>
        <v>51756.897751324432</v>
      </c>
      <c r="L64" s="5498">
        <f>'2. S Plan'!N79</f>
        <v>53673.819890262377</v>
      </c>
      <c r="M64" s="2649">
        <f>'2. S Plan'!O79</f>
        <v>71765.515033711054</v>
      </c>
      <c r="N64" s="1554">
        <f>'2. S Plan'!P79</f>
        <v>122392.07606895364</v>
      </c>
      <c r="O64" s="1556">
        <f>'2. S Plan'!Q79</f>
        <v>59715.488727191085</v>
      </c>
      <c r="P64" s="1722">
        <f>'2. S Plan'!R79</f>
        <v>46148.927539944423</v>
      </c>
      <c r="Q64" s="1554">
        <f>'2. S Plan'!S79</f>
        <v>46148.927539944423</v>
      </c>
      <c r="R64" s="1555">
        <f>'2. S Plan'!T79</f>
        <v>46148.927539944423</v>
      </c>
      <c r="S64" s="1599">
        <f>'2. S Plan'!U79</f>
        <v>46148.927539944423</v>
      </c>
      <c r="T64" s="1554">
        <f>'2. S Plan'!V79</f>
        <v>46148.927539944423</v>
      </c>
      <c r="U64" s="1555">
        <f>'2. S Plan'!W79</f>
        <v>46148.927539944423</v>
      </c>
      <c r="V64" s="1557">
        <f t="shared" si="12"/>
        <v>687954.26046243357</v>
      </c>
      <c r="W64" s="1710"/>
      <c r="X64" s="1535">
        <v>0.25819900000000001</v>
      </c>
      <c r="Y64" s="1711">
        <f>_xlfn.XLOOKUP(F64,B.BasicInfomation!B:B,B.BasicInfomation!J:J,"",0)</f>
        <v>3.2000000000000001E-2</v>
      </c>
      <c r="AA64" s="1723">
        <f t="shared" si="16"/>
        <v>0.9</v>
      </c>
      <c r="AB64" s="1720">
        <f t="shared" si="17"/>
        <v>3.2000000000000001E-2</v>
      </c>
      <c r="AC64" s="1724" t="str">
        <f t="shared" si="18"/>
        <v>S3Y</v>
      </c>
      <c r="AD64" s="1535" t="b">
        <f t="shared" si="13"/>
        <v>1</v>
      </c>
      <c r="AE64" s="1535" t="b">
        <f t="shared" si="14"/>
        <v>1</v>
      </c>
      <c r="AF64" s="1535" t="b">
        <f t="shared" si="15"/>
        <v>1</v>
      </c>
    </row>
    <row r="65" spans="1:32" ht="15.75" customHeight="1">
      <c r="A65" s="7225"/>
      <c r="B65" s="7300"/>
      <c r="C65" s="10"/>
      <c r="D65" s="10"/>
      <c r="E65" s="10">
        <v>34</v>
      </c>
      <c r="F65" s="1658" t="str">
        <f>'2. S Plan'!F184</f>
        <v>GM EU2L Housing</v>
      </c>
      <c r="G65" s="3571">
        <f>IFERROR(VLOOKUP(F65,B.BasicInfomation!$B:$O,6,0),"")</f>
        <v>0.9</v>
      </c>
      <c r="H65" s="3785">
        <f>IFERROR(VLOOKUP(F65,B.BasicInfomation!$B:$O,9,0),"")</f>
        <v>4.0000000000000008E-2</v>
      </c>
      <c r="I65" s="1938" t="str">
        <f>IFERROR(VLOOKUP(F65,B.BasicInfomation!$B:$O,14,0),"")</f>
        <v>S3Y</v>
      </c>
      <c r="J65" s="2649">
        <f>'2. S Plan'!L80</f>
        <v>49889.091979865865</v>
      </c>
      <c r="K65" s="5006">
        <f>'2. S Plan'!M80</f>
        <v>43791.058352895387</v>
      </c>
      <c r="L65" s="5498">
        <f>'2. S Plan'!N80</f>
        <v>55383.359901195705</v>
      </c>
      <c r="M65" s="2649">
        <f>'2. S Plan'!O80</f>
        <v>7847.3758168060313</v>
      </c>
      <c r="N65" s="1554">
        <f>'2. S Plan'!P80</f>
        <v>78172.699962187049</v>
      </c>
      <c r="O65" s="1556">
        <f>'2. S Plan'!Q80</f>
        <v>31246.493525697144</v>
      </c>
      <c r="P65" s="1722">
        <f>'2. S Plan'!R80</f>
        <v>52028.95622429614</v>
      </c>
      <c r="Q65" s="1554">
        <f>'2. S Plan'!S80</f>
        <v>36405.709461447572</v>
      </c>
      <c r="R65" s="1555">
        <f>'2. S Plan'!T80</f>
        <v>35208.771364353473</v>
      </c>
      <c r="S65" s="1599">
        <f>'2. S Plan'!U80</f>
        <v>35208.771364353473</v>
      </c>
      <c r="T65" s="1554">
        <f>'2. S Plan'!V80</f>
        <v>35208.771364353473</v>
      </c>
      <c r="U65" s="1555">
        <f>'2. S Plan'!W80</f>
        <v>36405.709461447572</v>
      </c>
      <c r="V65" s="1557">
        <f t="shared" si="12"/>
        <v>496796.76877889887</v>
      </c>
      <c r="W65" s="1710"/>
      <c r="X65" s="1535">
        <v>0.22728999999999999</v>
      </c>
      <c r="Y65" s="1711">
        <f>_xlfn.XLOOKUP(F65,B.BasicInfomation!B:B,B.BasicInfomation!J:J,"",0)</f>
        <v>4.0000000000000008E-2</v>
      </c>
      <c r="AA65" s="1723">
        <f t="shared" si="16"/>
        <v>0.9</v>
      </c>
      <c r="AB65" s="1720">
        <f t="shared" si="17"/>
        <v>4.0000000000000008E-2</v>
      </c>
      <c r="AC65" s="1724" t="str">
        <f t="shared" si="18"/>
        <v>S3Y</v>
      </c>
      <c r="AD65" s="1535" t="b">
        <f t="shared" si="13"/>
        <v>1</v>
      </c>
      <c r="AE65" s="1535" t="b">
        <f t="shared" si="14"/>
        <v>1</v>
      </c>
      <c r="AF65" s="1535" t="b">
        <f t="shared" si="15"/>
        <v>1</v>
      </c>
    </row>
    <row r="66" spans="1:32" ht="15.75" customHeight="1">
      <c r="A66" s="7225"/>
      <c r="B66" s="7300"/>
      <c r="C66" s="10"/>
      <c r="D66" s="10"/>
      <c r="E66" s="10">
        <v>35</v>
      </c>
      <c r="F66" s="1658" t="str">
        <f>'2. S Plan'!F185</f>
        <v>GM ACP Housing</v>
      </c>
      <c r="G66" s="3571">
        <f>IFERROR(VLOOKUP(F66,B.BasicInfomation!$B:$O,6,0),"")</f>
        <v>0.9</v>
      </c>
      <c r="H66" s="3785">
        <f>IFERROR(VLOOKUP(F66,B.BasicInfomation!$B:$O,9,0),"")</f>
        <v>3.2000000000000001E-2</v>
      </c>
      <c r="I66" s="1938" t="str">
        <f>IFERROR(VLOOKUP(F66,B.BasicInfomation!$B:$O,14,0),"")</f>
        <v>S3Y</v>
      </c>
      <c r="J66" s="2649">
        <f>'2. S Plan'!L81</f>
        <v>116257.04893332788</v>
      </c>
      <c r="K66" s="5006">
        <f>'2. S Plan'!M81</f>
        <v>0</v>
      </c>
      <c r="L66" s="5498">
        <f>'2. S Plan'!N81</f>
        <v>151469.97318800021</v>
      </c>
      <c r="M66" s="2649">
        <f>'2. S Plan'!O81</f>
        <v>18369.932001876317</v>
      </c>
      <c r="N66" s="1554">
        <f>'2. S Plan'!P81</f>
        <v>36377.914839652527</v>
      </c>
      <c r="O66" s="1556">
        <f>'2. S Plan'!Q81</f>
        <v>46812.411445163067</v>
      </c>
      <c r="P66" s="1722">
        <f>'2. S Plan'!R81</f>
        <v>99935.192221922378</v>
      </c>
      <c r="Q66" s="1554">
        <f>'2. S Plan'!S81</f>
        <v>79135.151853424584</v>
      </c>
      <c r="R66" s="1555">
        <f>'2. S Plan'!T81</f>
        <v>118105.73088895435</v>
      </c>
      <c r="S66" s="1599">
        <f>'2. S Plan'!U81</f>
        <v>118105.73088895435</v>
      </c>
      <c r="T66" s="1554">
        <f>'2. S Plan'!V81</f>
        <v>111554.83433665993</v>
      </c>
      <c r="U66" s="1555">
        <f>'2. S Plan'!W81</f>
        <v>116953.40706887511</v>
      </c>
      <c r="V66" s="1557">
        <f t="shared" si="12"/>
        <v>1013077.3276668107</v>
      </c>
      <c r="W66" s="1710"/>
      <c r="X66" s="1535">
        <v>0.22728999999999999</v>
      </c>
      <c r="Y66" s="1711">
        <f>_xlfn.XLOOKUP(F66,B.BasicInfomation!B:B,B.BasicInfomation!J:J,"",0)</f>
        <v>3.2000000000000001E-2</v>
      </c>
      <c r="AA66" s="1723">
        <f t="shared" si="16"/>
        <v>0.9</v>
      </c>
      <c r="AB66" s="1720">
        <f t="shared" si="17"/>
        <v>3.2000000000000001E-2</v>
      </c>
      <c r="AC66" s="1724" t="str">
        <f t="shared" si="18"/>
        <v>S3Y</v>
      </c>
      <c r="AD66" s="1535" t="b">
        <f t="shared" si="13"/>
        <v>1</v>
      </c>
      <c r="AE66" s="1535" t="b">
        <f t="shared" si="14"/>
        <v>1</v>
      </c>
      <c r="AF66" s="1535" t="b">
        <f t="shared" si="15"/>
        <v>1</v>
      </c>
    </row>
    <row r="67" spans="1:32" ht="15.75" customHeight="1">
      <c r="A67" s="7225"/>
      <c r="B67" s="7300"/>
      <c r="C67" s="10"/>
      <c r="D67" s="7" t="s">
        <v>857</v>
      </c>
      <c r="E67" s="7">
        <v>36</v>
      </c>
      <c r="F67" s="1746" t="str">
        <f>'2. S Plan'!F187</f>
        <v>FCA Cover</v>
      </c>
      <c r="G67" s="3795">
        <f>IFERROR(VLOOKUP(F67,B.BasicInfomation!$B:$O,6,0),"")</f>
        <v>0.9</v>
      </c>
      <c r="H67" s="3788">
        <f>IFERROR(VLOOKUP(F67,B.BasicInfomation!$B:$O,9,0),"")</f>
        <v>3.2000000000000001E-2</v>
      </c>
      <c r="I67" s="1954" t="str">
        <f>IFERROR(VLOOKUP(F67,B.BasicInfomation!$B:$O,14,0),"")</f>
        <v>S3Y</v>
      </c>
      <c r="J67" s="4682">
        <f>'2. S Plan'!L83</f>
        <v>51791.726116169986</v>
      </c>
      <c r="K67" s="5056">
        <f>'2. S Plan'!M83</f>
        <v>51791.726116169986</v>
      </c>
      <c r="L67" s="5533">
        <f>'2. S Plan'!N83</f>
        <v>51791.726116169986</v>
      </c>
      <c r="M67" s="4682">
        <f>'2. S Plan'!O83</f>
        <v>45660.674969461004</v>
      </c>
      <c r="N67" s="1572">
        <f>'2. S Plan'!P83</f>
        <v>97757.020452012846</v>
      </c>
      <c r="O67" s="1574">
        <f>'2. S Plan'!Q83</f>
        <v>59142.997373467777</v>
      </c>
      <c r="P67" s="1646">
        <f>'2. S Plan'!R83</f>
        <v>45706.498572797886</v>
      </c>
      <c r="Q67" s="1572">
        <f>'2. S Plan'!S83</f>
        <v>45706.498572797886</v>
      </c>
      <c r="R67" s="1573">
        <f>'2. S Plan'!T83</f>
        <v>45706.498572797886</v>
      </c>
      <c r="S67" s="1751">
        <f>'2. S Plan'!U83</f>
        <v>45706.498572797886</v>
      </c>
      <c r="T67" s="1572">
        <f>'2. S Plan'!V83</f>
        <v>45706.498572797886</v>
      </c>
      <c r="U67" s="1573">
        <f>'2. S Plan'!W83</f>
        <v>45706.498572797886</v>
      </c>
      <c r="V67" s="1575">
        <f t="shared" si="12"/>
        <v>632174.86258023873</v>
      </c>
      <c r="W67" s="1710"/>
      <c r="X67" s="1535">
        <v>0.15737999999999999</v>
      </c>
      <c r="Y67" s="1711">
        <f>_xlfn.XLOOKUP(F67,B.BasicInfomation!B:B,B.BasicInfomation!J:J,"",0)</f>
        <v>3.2000000000000001E-2</v>
      </c>
      <c r="AA67" s="1723">
        <f t="shared" si="16"/>
        <v>0.9</v>
      </c>
      <c r="AB67" s="1720">
        <f t="shared" si="17"/>
        <v>3.2000000000000001E-2</v>
      </c>
      <c r="AC67" s="1724" t="str">
        <f t="shared" si="18"/>
        <v>S3Y</v>
      </c>
      <c r="AD67" s="1535" t="b">
        <f t="shared" si="13"/>
        <v>1</v>
      </c>
      <c r="AE67" s="1535" t="b">
        <f t="shared" si="14"/>
        <v>1</v>
      </c>
      <c r="AF67" s="1535" t="b">
        <f t="shared" si="15"/>
        <v>1</v>
      </c>
    </row>
    <row r="68" spans="1:32" s="1569" customFormat="1" ht="15.75" customHeight="1">
      <c r="A68" s="7225"/>
      <c r="B68" s="7300"/>
      <c r="C68" s="10"/>
      <c r="D68" s="10"/>
      <c r="E68" s="10">
        <v>37</v>
      </c>
      <c r="F68" s="1658" t="str">
        <f>'2. S Plan'!F188</f>
        <v>GM EU2L Cover</v>
      </c>
      <c r="G68" s="3571">
        <f>IFERROR(VLOOKUP(F68,B.BasicInfomation!$B:$O,6,0),"")</f>
        <v>0.9</v>
      </c>
      <c r="H68" s="3785">
        <f>IFERROR(VLOOKUP(F68,B.BasicInfomation!$B:$O,9,0),"")</f>
        <v>4.0000000000000008E-2</v>
      </c>
      <c r="I68" s="1938" t="str">
        <f>IFERROR(VLOOKUP(F68,B.BasicInfomation!$B:$O,14,0),"")</f>
        <v>S3Y</v>
      </c>
      <c r="J68" s="2649">
        <f>'2. S Plan'!L84</f>
        <v>48660.199912421063</v>
      </c>
      <c r="K68" s="5006">
        <f>'2. S Plan'!M84</f>
        <v>42775.266460457053</v>
      </c>
      <c r="L68" s="5498">
        <f>'2. S Plan'!N84</f>
        <v>54544.299118575633</v>
      </c>
      <c r="M68" s="2649">
        <f>'2. S Plan'!O84</f>
        <v>7881.2603150697769</v>
      </c>
      <c r="N68" s="1554">
        <f>'2. S Plan'!P84</f>
        <v>76421.187483191214</v>
      </c>
      <c r="O68" s="1556">
        <f>'2. S Plan'!Q84</f>
        <v>55257.879614137702</v>
      </c>
      <c r="P68" s="1722">
        <f>'2. S Plan'!R84</f>
        <v>60484.846733180115</v>
      </c>
      <c r="Q68" s="1554">
        <f>'2. S Plan'!S84</f>
        <v>60484.846733180115</v>
      </c>
      <c r="R68" s="1555">
        <f>'2. S Plan'!T84</f>
        <v>59272.190361562265</v>
      </c>
      <c r="S68" s="1599">
        <f>'2. S Plan'!U84</f>
        <v>59272.190361562265</v>
      </c>
      <c r="T68" s="1554">
        <f>'2. S Plan'!V84</f>
        <v>59272.190361562265</v>
      </c>
      <c r="U68" s="1555">
        <f>'2. S Plan'!W84</f>
        <v>60484.846733180115</v>
      </c>
      <c r="V68" s="1557">
        <f t="shared" si="12"/>
        <v>644811.20418807957</v>
      </c>
      <c r="W68" s="1745"/>
      <c r="X68" s="1569">
        <v>0.14130999999999999</v>
      </c>
      <c r="Y68" s="1711">
        <f>_xlfn.XLOOKUP(F68,B.BasicInfomation!B:B,B.BasicInfomation!J:J,"",0)</f>
        <v>4.0000000000000008E-2</v>
      </c>
      <c r="AA68" s="1723">
        <f t="shared" si="16"/>
        <v>0.9</v>
      </c>
      <c r="AB68" s="1720">
        <f t="shared" si="17"/>
        <v>4.0000000000000008E-2</v>
      </c>
      <c r="AC68" s="1724" t="str">
        <f t="shared" si="18"/>
        <v>S3Y</v>
      </c>
      <c r="AD68" s="1535" t="b">
        <f t="shared" si="13"/>
        <v>1</v>
      </c>
      <c r="AE68" s="1535" t="b">
        <f t="shared" si="14"/>
        <v>1</v>
      </c>
      <c r="AF68" s="1535" t="b">
        <f t="shared" si="15"/>
        <v>1</v>
      </c>
    </row>
    <row r="69" spans="1:32" s="1569" customFormat="1" ht="15.75" customHeight="1">
      <c r="A69" s="7225"/>
      <c r="B69" s="7300"/>
      <c r="C69" s="8"/>
      <c r="D69" s="1576"/>
      <c r="E69" s="1576">
        <v>38</v>
      </c>
      <c r="F69" s="1753" t="str">
        <f>'2. S Plan'!F189</f>
        <v>GM ACP Cover</v>
      </c>
      <c r="G69" s="3796">
        <f>IFERROR(VLOOKUP(F69,B.BasicInfomation!$B:$O,6,0),"")</f>
        <v>0.9</v>
      </c>
      <c r="H69" s="3789">
        <f>IFERROR(VLOOKUP(F69,B.BasicInfomation!$B:$O,9,0),"")</f>
        <v>3.2000000000000001E-2</v>
      </c>
      <c r="I69" s="1946" t="str">
        <f>IFERROR(VLOOKUP(F69,B.BasicInfomation!$B:$O,14,0),"")</f>
        <v>S3Y</v>
      </c>
      <c r="J69" s="4683">
        <f>'2. S Plan'!L85</f>
        <v>115318.31250389574</v>
      </c>
      <c r="K69" s="5054">
        <f>'2. S Plan'!M85</f>
        <v>0</v>
      </c>
      <c r="L69" s="5524">
        <f>'2. S Plan'!N85</f>
        <v>149757.17074223718</v>
      </c>
      <c r="M69" s="4683">
        <f>'2. S Plan'!O85</f>
        <v>19667.781723138338</v>
      </c>
      <c r="N69" s="1578">
        <f>'2. S Plan'!P85</f>
        <v>36296.196335107394</v>
      </c>
      <c r="O69" s="1580">
        <f>'2. S Plan'!Q85</f>
        <v>47626.732616253248</v>
      </c>
      <c r="P69" s="1757">
        <f>'2. S Plan'!R85</f>
        <v>100200.33457396099</v>
      </c>
      <c r="Q69" s="1578">
        <f>'2. S Plan'!S85</f>
        <v>79753.899571793852</v>
      </c>
      <c r="R69" s="1579">
        <f>'2. S Plan'!T85</f>
        <v>117588.77975878307</v>
      </c>
      <c r="S69" s="1758">
        <f>'2. S Plan'!U85</f>
        <v>117588.77975878307</v>
      </c>
      <c r="T69" s="1578">
        <f>'2. S Plan'!V85</f>
        <v>111149.24992184738</v>
      </c>
      <c r="U69" s="1579">
        <f>'2. S Plan'!W85</f>
        <v>116929.23593937047</v>
      </c>
      <c r="V69" s="1581">
        <f t="shared" si="12"/>
        <v>1011876.4734451707</v>
      </c>
      <c r="W69" s="1745"/>
      <c r="X69" s="1569">
        <v>0.16072999999999998</v>
      </c>
      <c r="Y69" s="1711">
        <f>_xlfn.XLOOKUP(F69,B.BasicInfomation!B:B,B.BasicInfomation!J:J,"",0)</f>
        <v>3.2000000000000001E-2</v>
      </c>
      <c r="AA69" s="1723">
        <f t="shared" si="16"/>
        <v>0.9</v>
      </c>
      <c r="AB69" s="1720">
        <f t="shared" si="17"/>
        <v>3.2000000000000001E-2</v>
      </c>
      <c r="AC69" s="1724" t="str">
        <f t="shared" si="18"/>
        <v>S3Y</v>
      </c>
      <c r="AD69" s="1535" t="b">
        <f t="shared" si="13"/>
        <v>1</v>
      </c>
      <c r="AE69" s="1535" t="b">
        <f t="shared" si="14"/>
        <v>1</v>
      </c>
      <c r="AF69" s="1535" t="b">
        <f t="shared" si="15"/>
        <v>1</v>
      </c>
    </row>
    <row r="70" spans="1:32" s="1569" customFormat="1" ht="15.75" customHeight="1">
      <c r="A70" s="7225"/>
      <c r="B70" s="7300"/>
      <c r="C70" s="8"/>
      <c r="D70" s="10" t="s">
        <v>868</v>
      </c>
      <c r="E70" s="10">
        <v>39</v>
      </c>
      <c r="F70" s="1658" t="str">
        <f>'2. S Plan'!F191</f>
        <v>Lens Mount</v>
      </c>
      <c r="G70" s="3571">
        <f>IFERROR(VLOOKUP(F70,B.BasicInfomation!$B:$O,6,0),"")</f>
        <v>0.79</v>
      </c>
      <c r="H70" s="3785">
        <f>IFERROR(VLOOKUP(F70,B.BasicInfomation!$B:$O,9,0),"")</f>
        <v>3.2000000000000002E-3</v>
      </c>
      <c r="I70" s="1938" t="str">
        <f>IFERROR(VLOOKUP(F70,B.BasicInfomation!$B:$O,14,0),"")</f>
        <v>S3Y</v>
      </c>
      <c r="J70" s="2649">
        <f>'2. S Plan'!L87</f>
        <v>146877.5940967027</v>
      </c>
      <c r="K70" s="5006">
        <f>'2. S Plan'!M87</f>
        <v>170837.5503636222</v>
      </c>
      <c r="L70" s="5498">
        <f>'2. S Plan'!N87</f>
        <v>178300.27693348672</v>
      </c>
      <c r="M70" s="2649">
        <f>'2. S Plan'!O87</f>
        <v>143647.24239655069</v>
      </c>
      <c r="N70" s="1554">
        <f>'2. S Plan'!P87</f>
        <v>271008.99568656663</v>
      </c>
      <c r="O70" s="1556">
        <f>'2. S Plan'!Q87</f>
        <v>141587.97174697608</v>
      </c>
      <c r="P70" s="1722">
        <f>'2. S Plan'!R87</f>
        <v>221410.19000526817</v>
      </c>
      <c r="Q70" s="1554">
        <f>'2. S Plan'!S87</f>
        <v>226455.20094775557</v>
      </c>
      <c r="R70" s="1555">
        <f>'2. S Plan'!T87</f>
        <v>223399.15463706604</v>
      </c>
      <c r="S70" s="1599">
        <f>'2. S Plan'!U87</f>
        <v>218354.14369457864</v>
      </c>
      <c r="T70" s="1554">
        <f>'2. S Plan'!V87</f>
        <v>210226.36095338306</v>
      </c>
      <c r="U70" s="1555">
        <f>'2. S Plan'!W87</f>
        <v>210226.36095338306</v>
      </c>
      <c r="V70" s="1557">
        <f t="shared" si="12"/>
        <v>2362331.0424153395</v>
      </c>
      <c r="W70" s="1745"/>
      <c r="X70" s="1569">
        <v>5.228E-2</v>
      </c>
      <c r="Y70" s="1711">
        <f>_xlfn.XLOOKUP(F70,B.BasicInfomation!B:B,B.BasicInfomation!J:J,"",0)</f>
        <v>3.2000000000000002E-3</v>
      </c>
      <c r="AA70" s="1723">
        <f t="shared" si="16"/>
        <v>0.79</v>
      </c>
      <c r="AB70" s="1720">
        <f t="shared" si="17"/>
        <v>3.2000000000000002E-3</v>
      </c>
      <c r="AC70" s="1724" t="str">
        <f t="shared" si="18"/>
        <v>S3Y</v>
      </c>
      <c r="AD70" s="1535" t="b">
        <f t="shared" si="13"/>
        <v>1</v>
      </c>
      <c r="AE70" s="1535" t="b">
        <f t="shared" si="14"/>
        <v>1</v>
      </c>
      <c r="AF70" s="1535" t="b">
        <f t="shared" si="15"/>
        <v>1</v>
      </c>
    </row>
    <row r="71" spans="1:32" s="1569" customFormat="1" ht="15.75" customHeight="1">
      <c r="A71" s="7225"/>
      <c r="B71" s="7300"/>
      <c r="C71" s="8"/>
      <c r="D71" s="7" t="s">
        <v>875</v>
      </c>
      <c r="E71" s="7">
        <v>40</v>
      </c>
      <c r="F71" s="1746" t="str">
        <f>'2. S Plan'!F192</f>
        <v>IPM 1.0 Housing</v>
      </c>
      <c r="G71" s="3795">
        <f>IFERROR(VLOOKUP(F71,B.BasicInfomation!$B:$O,6,0),"")</f>
        <v>0.9</v>
      </c>
      <c r="H71" s="3788">
        <f>IFERROR(VLOOKUP(F71,B.BasicInfomation!$B:$O,9,0),"")</f>
        <v>3.2000000000000002E-3</v>
      </c>
      <c r="I71" s="1954" t="str">
        <f>IFERROR(VLOOKUP(F71,B.BasicInfomation!$B:$O,14,0),"")</f>
        <v>ADC12</v>
      </c>
      <c r="J71" s="4682">
        <f>'2. S Plan'!L88</f>
        <v>10396.982393476275</v>
      </c>
      <c r="K71" s="5056">
        <f>'2. S Plan'!M88</f>
        <v>9819.3722605053717</v>
      </c>
      <c r="L71" s="5533">
        <f>'2. S Plan'!N88</f>
        <v>10974.592526447181</v>
      </c>
      <c r="M71" s="4682">
        <f>'2. S Plan'!O88</f>
        <v>15924.589939890213</v>
      </c>
      <c r="N71" s="1572">
        <f>'2. S Plan'!P88</f>
        <v>14155.191057680191</v>
      </c>
      <c r="O71" s="1574">
        <f>'2. S Plan'!Q88</f>
        <v>17104.189194696897</v>
      </c>
      <c r="P71" s="1646">
        <f>'2. S Plan'!R88</f>
        <v>14302.640964531025</v>
      </c>
      <c r="Q71" s="1572">
        <f>'2. S Plan'!S88</f>
        <v>14302.640964531025</v>
      </c>
      <c r="R71" s="1573">
        <f>'2. S Plan'!T88</f>
        <v>14302.640964531025</v>
      </c>
      <c r="S71" s="1751">
        <f>'2. S Plan'!U88</f>
        <v>14302.640964531025</v>
      </c>
      <c r="T71" s="1572">
        <f>'2. S Plan'!V88</f>
        <v>14302.640964531025</v>
      </c>
      <c r="U71" s="1573">
        <f>'2. S Plan'!W88</f>
        <v>14302.640964531025</v>
      </c>
      <c r="V71" s="1575">
        <f t="shared" si="12"/>
        <v>164190.76315988225</v>
      </c>
      <c r="W71" s="1745"/>
      <c r="X71" s="1569">
        <v>0.67205999999999999</v>
      </c>
      <c r="Y71" s="1711">
        <f>_xlfn.XLOOKUP(F71,B.BasicInfomation!B:B,B.BasicInfomation!J:J,"",0)</f>
        <v>3.2000000000000002E-3</v>
      </c>
      <c r="AA71" s="1723">
        <f t="shared" si="16"/>
        <v>0.9</v>
      </c>
      <c r="AB71" s="1720">
        <f t="shared" si="17"/>
        <v>3.2000000000000002E-3</v>
      </c>
      <c r="AC71" s="1724" t="str">
        <f t="shared" si="18"/>
        <v>ADC12</v>
      </c>
      <c r="AD71" s="1535" t="b">
        <f t="shared" si="13"/>
        <v>1</v>
      </c>
      <c r="AE71" s="1535" t="b">
        <f t="shared" si="14"/>
        <v>1</v>
      </c>
      <c r="AF71" s="1535" t="b">
        <f t="shared" si="15"/>
        <v>1</v>
      </c>
    </row>
    <row r="72" spans="1:32" s="1569" customFormat="1" ht="15.75" customHeight="1">
      <c r="A72" s="7225"/>
      <c r="B72" s="7300"/>
      <c r="C72" s="8"/>
      <c r="D72" s="10"/>
      <c r="E72" s="10">
        <v>41</v>
      </c>
      <c r="F72" s="1658" t="str">
        <f>'2. S Plan'!F193</f>
        <v>IPM 2.0  Base Housing</v>
      </c>
      <c r="G72" s="3797">
        <f>IFERROR(VLOOKUP(F72,B.BasicInfomation!$B:$O,6,0),"")</f>
        <v>0.9</v>
      </c>
      <c r="H72" s="3785">
        <f>IFERROR(VLOOKUP(F72,B.BasicInfomation!$B:$O,9,0),"")</f>
        <v>0.33673999999999998</v>
      </c>
      <c r="I72" s="1938" t="str">
        <f>IFERROR(VLOOKUP(F72,B.BasicInfomation!$B:$O,14,0),"")</f>
        <v>ADC12</v>
      </c>
      <c r="J72" s="2649">
        <f>'2. S Plan'!L89</f>
        <v>3898.2830948358715</v>
      </c>
      <c r="K72" s="5006">
        <f>'2. S Plan'!M89</f>
        <v>1436.209561255321</v>
      </c>
      <c r="L72" s="5498">
        <f>'2. S Plan'!N89</f>
        <v>4308.6286837659636</v>
      </c>
      <c r="M72" s="2649">
        <f>'2. S Plan'!O89</f>
        <v>4578.7078673049136</v>
      </c>
      <c r="N72" s="1554">
        <f>'2. S Plan'!P89</f>
        <v>6576.7881086986081</v>
      </c>
      <c r="O72" s="1556">
        <f>'2. S Plan'!Q89</f>
        <v>5115.2796400989182</v>
      </c>
      <c r="P72" s="1722">
        <f>'2. S Plan'!R89</f>
        <v>7307.5423429984539</v>
      </c>
      <c r="Q72" s="1554">
        <f>'2. S Plan'!S89</f>
        <v>5846.0338743987631</v>
      </c>
      <c r="R72" s="1555">
        <f>'2. S Plan'!T89</f>
        <v>5846.0338743987631</v>
      </c>
      <c r="S72" s="1599">
        <f>'2. S Plan'!U89</f>
        <v>5846.0338743987631</v>
      </c>
      <c r="T72" s="1554">
        <f>'2. S Plan'!V89</f>
        <v>4384.5254057990724</v>
      </c>
      <c r="U72" s="1555">
        <f>'2. S Plan'!W89</f>
        <v>4384.5254057990724</v>
      </c>
      <c r="V72" s="1557">
        <f t="shared" si="12"/>
        <v>59528.591733752502</v>
      </c>
      <c r="W72" s="1745"/>
      <c r="X72" s="1569">
        <v>0.38314999999999999</v>
      </c>
      <c r="Y72" s="1711">
        <f>_xlfn.XLOOKUP(F72,B.BasicInfomation!B:B,B.BasicInfomation!J:J,"",0)</f>
        <v>0.33673999999999998</v>
      </c>
      <c r="AA72" s="1723">
        <f t="shared" si="16"/>
        <v>0.9</v>
      </c>
      <c r="AB72" s="1720">
        <f t="shared" si="17"/>
        <v>0.33673999999999998</v>
      </c>
      <c r="AC72" s="1724" t="str">
        <f t="shared" si="18"/>
        <v>ADC12</v>
      </c>
      <c r="AD72" s="1535" t="b">
        <f t="shared" si="13"/>
        <v>1</v>
      </c>
      <c r="AE72" s="1535" t="b">
        <f t="shared" si="14"/>
        <v>1</v>
      </c>
      <c r="AF72" s="1535" t="b">
        <f t="shared" si="15"/>
        <v>1</v>
      </c>
    </row>
    <row r="73" spans="1:32" s="1569" customFormat="1" ht="15.75" customHeight="1">
      <c r="A73" s="7225"/>
      <c r="B73" s="7300"/>
      <c r="C73" s="8"/>
      <c r="D73" s="10"/>
      <c r="E73" s="10"/>
      <c r="F73" s="1658" t="str">
        <f>'2. S Plan'!F194</f>
        <v>IPM 2.0 Advanced HSG</v>
      </c>
      <c r="G73" s="3797">
        <f>IFERROR(VLOOKUP(F73,B.BasicInfomation!$B:$O,6,0),"")</f>
        <v>0.9</v>
      </c>
      <c r="H73" s="3785">
        <f>IFERROR(VLOOKUP(F73,B.BasicInfomation!$B:$O,9,0),"")</f>
        <v>0.33673999999999998</v>
      </c>
      <c r="I73" s="1938" t="str">
        <f>IFERROR(VLOOKUP(F73,B.BasicInfomation!$B:$O,14,0),"")</f>
        <v>ADC12</v>
      </c>
      <c r="J73" s="2649">
        <f>'2. S Plan'!L90</f>
        <v>0</v>
      </c>
      <c r="K73" s="5006">
        <f>'2. S Plan'!M90</f>
        <v>0</v>
      </c>
      <c r="L73" s="5498">
        <f>'2. S Plan'!N90</f>
        <v>0</v>
      </c>
      <c r="M73" s="2649">
        <f>'2. S Plan'!O90</f>
        <v>0</v>
      </c>
      <c r="N73" s="1554">
        <f>'2. S Plan'!P90</f>
        <v>0</v>
      </c>
      <c r="O73" s="1556">
        <f>'2. S Plan'!Q90</f>
        <v>0</v>
      </c>
      <c r="P73" s="1722">
        <f>'2. S Plan'!R90</f>
        <v>0</v>
      </c>
      <c r="Q73" s="1554">
        <f>'2. S Plan'!S90</f>
        <v>0</v>
      </c>
      <c r="R73" s="1555">
        <f>'2. S Plan'!T90</f>
        <v>0</v>
      </c>
      <c r="S73" s="1599">
        <f>'2. S Plan'!U90</f>
        <v>0</v>
      </c>
      <c r="T73" s="1554">
        <f>'2. S Plan'!V90</f>
        <v>0</v>
      </c>
      <c r="U73" s="1555">
        <f>'2. S Plan'!W90</f>
        <v>0</v>
      </c>
      <c r="V73" s="1557">
        <f t="shared" ref="V73:V75" si="19">SUM(J73:U73)</f>
        <v>0</v>
      </c>
      <c r="W73" s="1745"/>
      <c r="Y73" s="1711"/>
      <c r="AA73" s="1723">
        <f t="shared" si="16"/>
        <v>0.9</v>
      </c>
      <c r="AB73" s="1720">
        <f t="shared" si="17"/>
        <v>0.33673999999999998</v>
      </c>
      <c r="AC73" s="1724" t="str">
        <f t="shared" si="18"/>
        <v>ADC12</v>
      </c>
      <c r="AD73" s="1535" t="b">
        <f t="shared" ref="AD73:AD82" si="20">AA73=G73</f>
        <v>1</v>
      </c>
      <c r="AE73" s="1535" t="b">
        <f t="shared" ref="AE73:AE82" si="21">AB73=H73</f>
        <v>1</v>
      </c>
      <c r="AF73" s="1535" t="b">
        <f t="shared" ref="AF73:AF82" si="22">AC73=I73</f>
        <v>1</v>
      </c>
    </row>
    <row r="74" spans="1:32" s="1569" customFormat="1" ht="15.75" customHeight="1">
      <c r="A74" s="7225"/>
      <c r="B74" s="7300"/>
      <c r="C74" s="8"/>
      <c r="D74" s="10"/>
      <c r="E74" s="10"/>
      <c r="F74" s="1658" t="str">
        <f>'2. S Plan'!F195</f>
        <v>IPM 2.0 HSG Base+</v>
      </c>
      <c r="G74" s="3797">
        <f>IFERROR(VLOOKUP(F74,B.BasicInfomation!$B:$O,6,0),"")</f>
        <v>0.9</v>
      </c>
      <c r="H74" s="3785">
        <f>IFERROR(VLOOKUP(F74,B.BasicInfomation!$B:$O,9,0),"")</f>
        <v>0.33673999999999998</v>
      </c>
      <c r="I74" s="1938" t="str">
        <f>IFERROR(VLOOKUP(F74,B.BasicInfomation!$B:$O,14,0),"")</f>
        <v>ADC12</v>
      </c>
      <c r="J74" s="2649">
        <f>'2. S Plan'!L91</f>
        <v>0</v>
      </c>
      <c r="K74" s="5006">
        <f>'2. S Plan'!M91</f>
        <v>0</v>
      </c>
      <c r="L74" s="5498">
        <f>'2. S Plan'!N91</f>
        <v>0</v>
      </c>
      <c r="M74" s="2649">
        <f>'2. S Plan'!O91</f>
        <v>0</v>
      </c>
      <c r="N74" s="1554">
        <f>'2. S Plan'!P91</f>
        <v>0</v>
      </c>
      <c r="O74" s="1556">
        <f>'2. S Plan'!Q91</f>
        <v>0</v>
      </c>
      <c r="P74" s="1722">
        <f>'2. S Plan'!R91</f>
        <v>0</v>
      </c>
      <c r="Q74" s="1554">
        <f>'2. S Plan'!S91</f>
        <v>0</v>
      </c>
      <c r="R74" s="1555">
        <f>'2. S Plan'!T91</f>
        <v>0</v>
      </c>
      <c r="S74" s="1599">
        <f>'2. S Plan'!U91</f>
        <v>0</v>
      </c>
      <c r="T74" s="1554">
        <f>'2. S Plan'!V91</f>
        <v>0</v>
      </c>
      <c r="U74" s="1555">
        <f>'2. S Plan'!W91</f>
        <v>0</v>
      </c>
      <c r="V74" s="1557">
        <f t="shared" si="19"/>
        <v>0</v>
      </c>
      <c r="W74" s="1745"/>
      <c r="Y74" s="1711"/>
      <c r="AA74" s="1723">
        <f t="shared" si="16"/>
        <v>0.9</v>
      </c>
      <c r="AB74" s="1720">
        <f t="shared" si="17"/>
        <v>0.33673999999999998</v>
      </c>
      <c r="AC74" s="1724" t="str">
        <f t="shared" si="18"/>
        <v>ADC12</v>
      </c>
      <c r="AD74" s="1535" t="b">
        <f t="shared" si="20"/>
        <v>1</v>
      </c>
      <c r="AE74" s="1535" t="b">
        <f t="shared" si="21"/>
        <v>1</v>
      </c>
      <c r="AF74" s="1535" t="b">
        <f t="shared" si="22"/>
        <v>1</v>
      </c>
    </row>
    <row r="75" spans="1:32" s="1569" customFormat="1" ht="15.75" customHeight="1">
      <c r="A75" s="7225"/>
      <c r="B75" s="7300"/>
      <c r="C75" s="8"/>
      <c r="D75" s="10"/>
      <c r="E75" s="10"/>
      <c r="F75" s="1658" t="str">
        <f>'2. S Plan'!F196</f>
        <v>IPM 2.0 HSG Premium</v>
      </c>
      <c r="G75" s="3797">
        <f>IFERROR(VLOOKUP(F75,B.BasicInfomation!$B:$O,6,0),"")</f>
        <v>0.9</v>
      </c>
      <c r="H75" s="3785">
        <f>IFERROR(VLOOKUP(F75,B.BasicInfomation!$B:$O,9,0),"")</f>
        <v>0.33673999999999998</v>
      </c>
      <c r="I75" s="1938" t="str">
        <f>IFERROR(VLOOKUP(F75,B.BasicInfomation!$B:$O,14,0),"")</f>
        <v>ADC12</v>
      </c>
      <c r="J75" s="2649">
        <f>'2. S Plan'!L92</f>
        <v>0</v>
      </c>
      <c r="K75" s="5006">
        <f>'2. S Plan'!M92</f>
        <v>0</v>
      </c>
      <c r="L75" s="5498">
        <f>'2. S Plan'!N92</f>
        <v>0</v>
      </c>
      <c r="M75" s="2649">
        <f>'2. S Plan'!O92</f>
        <v>0</v>
      </c>
      <c r="N75" s="1554">
        <f>'2. S Plan'!P92</f>
        <v>0</v>
      </c>
      <c r="O75" s="1556">
        <f>'2. S Plan'!Q92</f>
        <v>0</v>
      </c>
      <c r="P75" s="1722">
        <f>'2. S Plan'!R92</f>
        <v>0</v>
      </c>
      <c r="Q75" s="1554">
        <f>'2. S Plan'!S92</f>
        <v>0</v>
      </c>
      <c r="R75" s="1555">
        <f>'2. S Plan'!T92</f>
        <v>0</v>
      </c>
      <c r="S75" s="1599">
        <f>'2. S Plan'!U92</f>
        <v>0</v>
      </c>
      <c r="T75" s="1554">
        <f>'2. S Plan'!V92</f>
        <v>0</v>
      </c>
      <c r="U75" s="1555">
        <f>'2. S Plan'!W92</f>
        <v>0</v>
      </c>
      <c r="V75" s="1557">
        <f t="shared" si="19"/>
        <v>0</v>
      </c>
      <c r="W75" s="1745"/>
      <c r="Y75" s="1711"/>
      <c r="AA75" s="1723">
        <f t="shared" si="16"/>
        <v>0.9</v>
      </c>
      <c r="AB75" s="1720">
        <f t="shared" si="17"/>
        <v>0.33673999999999998</v>
      </c>
      <c r="AC75" s="1724" t="str">
        <f t="shared" si="18"/>
        <v>ADC12</v>
      </c>
      <c r="AD75" s="1535" t="b">
        <f t="shared" si="20"/>
        <v>1</v>
      </c>
      <c r="AE75" s="1535" t="b">
        <f t="shared" si="21"/>
        <v>1</v>
      </c>
      <c r="AF75" s="1535" t="b">
        <f t="shared" si="22"/>
        <v>1</v>
      </c>
    </row>
    <row r="76" spans="1:32" s="1569" customFormat="1" ht="15.75" customHeight="1">
      <c r="A76" s="7225"/>
      <c r="B76" s="7300"/>
      <c r="C76" s="3507" t="s">
        <v>1262</v>
      </c>
      <c r="D76" s="3507" t="s">
        <v>1272</v>
      </c>
      <c r="E76" s="3507"/>
      <c r="F76" s="3389" t="str">
        <f>'2. S Plan'!F199</f>
        <v>Glass Frame (ZF60A-T5)</v>
      </c>
      <c r="G76" s="4865">
        <v>0</v>
      </c>
      <c r="H76" s="3787">
        <v>0</v>
      </c>
      <c r="I76" s="3664">
        <v>0</v>
      </c>
      <c r="J76" s="4684">
        <f>'2. S Plan'!L95</f>
        <v>0</v>
      </c>
      <c r="K76" s="5268">
        <f>'2. S Plan'!M95</f>
        <v>7.2684752104770807</v>
      </c>
      <c r="L76" s="5523">
        <f>'2. S Plan'!N95</f>
        <v>0</v>
      </c>
      <c r="M76" s="4684">
        <f>'2. S Plan'!O95</f>
        <v>90.503274087932638</v>
      </c>
      <c r="N76" s="3511">
        <f>'2. S Plan'!P95</f>
        <v>15</v>
      </c>
      <c r="O76" s="3510">
        <f>'2. S Plan'!Q95</f>
        <v>0</v>
      </c>
      <c r="P76" s="3528">
        <f>'2. S Plan'!R95</f>
        <v>0</v>
      </c>
      <c r="Q76" s="3511">
        <f>'2. S Plan'!S95</f>
        <v>77.174929840972865</v>
      </c>
      <c r="R76" s="3512">
        <f>'2. S Plan'!T95</f>
        <v>115.7623947614593</v>
      </c>
      <c r="S76" s="1812">
        <f>'2. S Plan'!U95</f>
        <v>77.174929840972865</v>
      </c>
      <c r="T76" s="3511">
        <f>'2. S Plan'!V95</f>
        <v>77.174929840972865</v>
      </c>
      <c r="U76" s="3512">
        <f>'2. S Plan'!W95</f>
        <v>77.174929840972865</v>
      </c>
      <c r="V76" s="1587">
        <f t="shared" ref="V76:V82" si="23">SUM(J76:U76)</f>
        <v>537.23386342376045</v>
      </c>
      <c r="W76" s="1745"/>
      <c r="Y76" s="1711"/>
      <c r="AA76" s="1723">
        <f t="shared" si="16"/>
        <v>0</v>
      </c>
      <c r="AB76" s="1720">
        <f t="shared" si="17"/>
        <v>0</v>
      </c>
      <c r="AC76" s="1724">
        <f t="shared" si="18"/>
        <v>0</v>
      </c>
      <c r="AD76" s="1535" t="b">
        <f t="shared" si="20"/>
        <v>1</v>
      </c>
      <c r="AE76" s="1535" t="b">
        <f t="shared" si="21"/>
        <v>1</v>
      </c>
      <c r="AF76" s="1535" t="b">
        <f t="shared" si="22"/>
        <v>1</v>
      </c>
    </row>
    <row r="77" spans="1:32" s="1569" customFormat="1" ht="15.75" customHeight="1">
      <c r="A77" s="7225"/>
      <c r="B77" s="7300"/>
      <c r="C77" s="8"/>
      <c r="D77" s="10"/>
      <c r="E77" s="10"/>
      <c r="F77" s="1658" t="str">
        <f>'2. S Plan'!F200</f>
        <v>Body Compute enclosure (AL6061-T6)</v>
      </c>
      <c r="G77" s="3797">
        <v>0</v>
      </c>
      <c r="H77" s="3785">
        <v>0</v>
      </c>
      <c r="I77" s="1938">
        <v>0</v>
      </c>
      <c r="J77" s="2649">
        <f>'2. S Plan'!L96</f>
        <v>0</v>
      </c>
      <c r="K77" s="5006">
        <f>'2. S Plan'!M96</f>
        <v>7.7315247895229184</v>
      </c>
      <c r="L77" s="5498">
        <f>'2. S Plan'!N96</f>
        <v>67.291861552853135</v>
      </c>
      <c r="M77" s="2649">
        <f>'2. S Plan'!O96</f>
        <v>0</v>
      </c>
      <c r="N77" s="1554">
        <f>'2. S Plan'!P96</f>
        <v>0</v>
      </c>
      <c r="O77" s="1556">
        <f>'2. S Plan'!Q96</f>
        <v>0</v>
      </c>
      <c r="P77" s="1722">
        <f>'2. S Plan'!R96</f>
        <v>0</v>
      </c>
      <c r="Q77" s="1554">
        <f>'2. S Plan'!S96</f>
        <v>0</v>
      </c>
      <c r="R77" s="1555">
        <f>'2. S Plan'!T96</f>
        <v>0</v>
      </c>
      <c r="S77" s="1599">
        <f>'2. S Plan'!U96</f>
        <v>0</v>
      </c>
      <c r="T77" s="1554">
        <f>'2. S Plan'!V96</f>
        <v>0</v>
      </c>
      <c r="U77" s="1555">
        <f>'2. S Plan'!W96</f>
        <v>0</v>
      </c>
      <c r="V77" s="1557">
        <f t="shared" si="23"/>
        <v>75.023386342376057</v>
      </c>
      <c r="W77" s="1745"/>
      <c r="Y77" s="1711"/>
      <c r="AA77" s="1723">
        <f t="shared" si="16"/>
        <v>0</v>
      </c>
      <c r="AB77" s="1720">
        <f t="shared" si="17"/>
        <v>0</v>
      </c>
      <c r="AC77" s="1724">
        <f t="shared" si="18"/>
        <v>0</v>
      </c>
      <c r="AD77" s="1535" t="b">
        <f t="shared" si="20"/>
        <v>1</v>
      </c>
      <c r="AE77" s="1535" t="b">
        <f t="shared" si="21"/>
        <v>1</v>
      </c>
      <c r="AF77" s="1535" t="b">
        <f t="shared" si="22"/>
        <v>1</v>
      </c>
    </row>
    <row r="78" spans="1:32" s="1569" customFormat="1" ht="15.75" hidden="1" customHeight="1">
      <c r="A78" s="7225"/>
      <c r="B78" s="7300"/>
      <c r="C78" s="8"/>
      <c r="D78" s="10"/>
      <c r="E78" s="10"/>
      <c r="F78" s="1658" t="str">
        <f>'2. S Plan'!F201</f>
        <v>Others Part</v>
      </c>
      <c r="G78" s="3797">
        <v>0</v>
      </c>
      <c r="H78" s="3785">
        <v>0</v>
      </c>
      <c r="I78" s="1938">
        <v>0</v>
      </c>
      <c r="J78" s="2649">
        <f>'2. S Plan'!L97</f>
        <v>0</v>
      </c>
      <c r="K78" s="5006">
        <f>'2. S Plan'!M97</f>
        <v>66.610389610389618</v>
      </c>
      <c r="L78" s="5498">
        <f>'2. S Plan'!N97</f>
        <v>2525.6623376623374</v>
      </c>
      <c r="M78" s="2649">
        <f>'2. S Plan'!O97</f>
        <v>2449.5757575757575</v>
      </c>
      <c r="N78" s="1554">
        <f>'2. S Plan'!P97</f>
        <v>2180</v>
      </c>
      <c r="O78" s="1556">
        <f>'2. S Plan'!Q97</f>
        <v>10.942105263157895</v>
      </c>
      <c r="P78" s="1722">
        <f>'2. S Plan'!R97</f>
        <v>0</v>
      </c>
      <c r="Q78" s="1554">
        <f>'2. S Plan'!S97</f>
        <v>75</v>
      </c>
      <c r="R78" s="1555">
        <f>'2. S Plan'!T97</f>
        <v>75</v>
      </c>
      <c r="S78" s="1599">
        <f>'2. S Plan'!U97</f>
        <v>75</v>
      </c>
      <c r="T78" s="1554">
        <f>'2. S Plan'!V97</f>
        <v>75</v>
      </c>
      <c r="U78" s="1555">
        <f>'2. S Plan'!W97</f>
        <v>75</v>
      </c>
      <c r="V78" s="1557">
        <f t="shared" si="23"/>
        <v>7607.7905901116419</v>
      </c>
      <c r="W78" s="1745"/>
      <c r="Y78" s="1711"/>
      <c r="AA78" s="1723">
        <f t="shared" si="16"/>
        <v>0</v>
      </c>
      <c r="AB78" s="1720">
        <f t="shared" si="17"/>
        <v>0</v>
      </c>
      <c r="AC78" s="1724">
        <f t="shared" si="18"/>
        <v>0</v>
      </c>
      <c r="AD78" s="1535" t="b">
        <f t="shared" si="20"/>
        <v>1</v>
      </c>
      <c r="AE78" s="1535" t="b">
        <f t="shared" si="21"/>
        <v>1</v>
      </c>
      <c r="AF78" s="1535" t="b">
        <f t="shared" si="22"/>
        <v>1</v>
      </c>
    </row>
    <row r="79" spans="1:32" s="1569" customFormat="1" ht="15.75" hidden="1" customHeight="1">
      <c r="A79" s="7225"/>
      <c r="B79" s="7300"/>
      <c r="C79" s="8"/>
      <c r="D79" s="10"/>
      <c r="E79" s="10"/>
      <c r="F79" s="1658" t="e">
        <f>'2. S Plan'!#REF!</f>
        <v>#REF!</v>
      </c>
      <c r="G79" s="3797">
        <v>0</v>
      </c>
      <c r="H79" s="3785">
        <v>0</v>
      </c>
      <c r="I79" s="1938">
        <v>0</v>
      </c>
      <c r="J79" s="2649">
        <f>'2. S Plan'!L98</f>
        <v>0</v>
      </c>
      <c r="K79" s="5006">
        <f>'2. S Plan'!M98</f>
        <v>0</v>
      </c>
      <c r="L79" s="5498">
        <f>'2. S Plan'!N98</f>
        <v>0</v>
      </c>
      <c r="M79" s="2649">
        <f>'2. S Plan'!O98</f>
        <v>0</v>
      </c>
      <c r="N79" s="1554">
        <f>'2. S Plan'!P98</f>
        <v>0</v>
      </c>
      <c r="O79" s="1556">
        <f>'2. S Plan'!Q98</f>
        <v>0</v>
      </c>
      <c r="P79" s="1722">
        <f>'2. S Plan'!R98</f>
        <v>0</v>
      </c>
      <c r="Q79" s="1554">
        <f>'2. S Plan'!S98</f>
        <v>0</v>
      </c>
      <c r="R79" s="1555">
        <f>'2. S Plan'!T98</f>
        <v>0</v>
      </c>
      <c r="S79" s="1599">
        <f>'2. S Plan'!U98</f>
        <v>0</v>
      </c>
      <c r="T79" s="1554">
        <f>'2. S Plan'!V98</f>
        <v>0</v>
      </c>
      <c r="U79" s="1555">
        <f>'2. S Plan'!W98</f>
        <v>0</v>
      </c>
      <c r="V79" s="1557">
        <f t="shared" si="23"/>
        <v>0</v>
      </c>
      <c r="W79" s="1745"/>
      <c r="Y79" s="1711"/>
      <c r="AA79" s="1723">
        <f t="shared" si="16"/>
        <v>0</v>
      </c>
      <c r="AB79" s="1720">
        <f t="shared" si="17"/>
        <v>0</v>
      </c>
      <c r="AC79" s="1724">
        <f t="shared" si="18"/>
        <v>0</v>
      </c>
      <c r="AD79" s="1535" t="b">
        <f t="shared" si="20"/>
        <v>1</v>
      </c>
      <c r="AE79" s="1535" t="b">
        <f t="shared" si="21"/>
        <v>1</v>
      </c>
      <c r="AF79" s="1535" t="b">
        <f t="shared" si="22"/>
        <v>1</v>
      </c>
    </row>
    <row r="80" spans="1:32" s="1569" customFormat="1" ht="15.75" hidden="1" customHeight="1">
      <c r="A80" s="7225"/>
      <c r="B80" s="7300"/>
      <c r="C80" s="8"/>
      <c r="D80" s="10"/>
      <c r="E80" s="10"/>
      <c r="F80" s="1658" t="e">
        <f>'2. S Plan'!#REF!</f>
        <v>#REF!</v>
      </c>
      <c r="G80" s="3797">
        <v>0</v>
      </c>
      <c r="H80" s="3785">
        <v>0</v>
      </c>
      <c r="I80" s="1938">
        <v>0</v>
      </c>
      <c r="J80" s="2649">
        <f>'2. S Plan'!L99</f>
        <v>0</v>
      </c>
      <c r="K80" s="5006">
        <f>'2. S Plan'!M99</f>
        <v>0</v>
      </c>
      <c r="L80" s="5498">
        <f>'2. S Plan'!N99</f>
        <v>0</v>
      </c>
      <c r="M80" s="2649">
        <f>'2. S Plan'!O99</f>
        <v>0</v>
      </c>
      <c r="N80" s="1554">
        <f>'2. S Plan'!P99</f>
        <v>0</v>
      </c>
      <c r="O80" s="1556">
        <f>'2. S Plan'!Q99</f>
        <v>0</v>
      </c>
      <c r="P80" s="1722">
        <f>'2. S Plan'!R99</f>
        <v>0</v>
      </c>
      <c r="Q80" s="1554">
        <f>'2. S Plan'!S99</f>
        <v>0</v>
      </c>
      <c r="R80" s="1555">
        <f>'2. S Plan'!T99</f>
        <v>0</v>
      </c>
      <c r="S80" s="1599">
        <f>'2. S Plan'!U99</f>
        <v>0</v>
      </c>
      <c r="T80" s="1554">
        <f>'2. S Plan'!V99</f>
        <v>0</v>
      </c>
      <c r="U80" s="1555">
        <f>'2. S Plan'!W99</f>
        <v>0</v>
      </c>
      <c r="V80" s="1557">
        <f t="shared" si="23"/>
        <v>0</v>
      </c>
      <c r="W80" s="1745"/>
      <c r="Y80" s="1711"/>
      <c r="AA80" s="1723">
        <f t="shared" si="16"/>
        <v>0</v>
      </c>
      <c r="AB80" s="1720">
        <f t="shared" si="17"/>
        <v>0</v>
      </c>
      <c r="AC80" s="1724">
        <f t="shared" si="18"/>
        <v>0</v>
      </c>
      <c r="AD80" s="1535" t="b">
        <f t="shared" si="20"/>
        <v>1</v>
      </c>
      <c r="AE80" s="1535" t="b">
        <f t="shared" si="21"/>
        <v>1</v>
      </c>
      <c r="AF80" s="1535" t="b">
        <f t="shared" si="22"/>
        <v>1</v>
      </c>
    </row>
    <row r="81" spans="1:35" s="1569" customFormat="1" ht="15.75" hidden="1" customHeight="1">
      <c r="A81" s="7225"/>
      <c r="B81" s="7300"/>
      <c r="C81" s="8"/>
      <c r="D81" s="10"/>
      <c r="E81" s="10"/>
      <c r="F81" s="1658" t="e">
        <f>'2. S Plan'!#REF!</f>
        <v>#REF!</v>
      </c>
      <c r="G81" s="3797">
        <v>0</v>
      </c>
      <c r="H81" s="3785">
        <v>0</v>
      </c>
      <c r="I81" s="1938">
        <v>0</v>
      </c>
      <c r="J81" s="2649">
        <f>'2. S Plan'!L100</f>
        <v>0</v>
      </c>
      <c r="K81" s="5006">
        <f>'2. S Plan'!M100</f>
        <v>0</v>
      </c>
      <c r="L81" s="5498">
        <f>'2. S Plan'!N100</f>
        <v>0</v>
      </c>
      <c r="M81" s="2649">
        <f>'2. S Plan'!O100</f>
        <v>0</v>
      </c>
      <c r="N81" s="1554">
        <f>'2. S Plan'!P100</f>
        <v>0</v>
      </c>
      <c r="O81" s="1556">
        <f>'2. S Plan'!Q100</f>
        <v>0</v>
      </c>
      <c r="P81" s="1722">
        <f>'2. S Plan'!R100</f>
        <v>0</v>
      </c>
      <c r="Q81" s="1554">
        <f>'2. S Plan'!S100</f>
        <v>0</v>
      </c>
      <c r="R81" s="1555">
        <f>'2. S Plan'!T100</f>
        <v>0</v>
      </c>
      <c r="S81" s="1599">
        <f>'2. S Plan'!U100</f>
        <v>0</v>
      </c>
      <c r="T81" s="1554">
        <f>'2. S Plan'!V100</f>
        <v>0</v>
      </c>
      <c r="U81" s="1555">
        <f>'2. S Plan'!W100</f>
        <v>0</v>
      </c>
      <c r="V81" s="1557">
        <f t="shared" si="23"/>
        <v>0</v>
      </c>
      <c r="W81" s="1745"/>
      <c r="Y81" s="1711"/>
      <c r="AA81" s="1723">
        <f t="shared" si="16"/>
        <v>0</v>
      </c>
      <c r="AB81" s="1720">
        <f t="shared" si="17"/>
        <v>0</v>
      </c>
      <c r="AC81" s="1724">
        <f t="shared" si="18"/>
        <v>0</v>
      </c>
      <c r="AD81" s="1535" t="b">
        <f t="shared" si="20"/>
        <v>1</v>
      </c>
      <c r="AE81" s="1535" t="b">
        <f t="shared" si="21"/>
        <v>1</v>
      </c>
      <c r="AF81" s="1535" t="b">
        <f t="shared" si="22"/>
        <v>1</v>
      </c>
    </row>
    <row r="82" spans="1:35" s="1569" customFormat="1" ht="15.75" hidden="1" customHeight="1">
      <c r="A82" s="7225"/>
      <c r="B82" s="7300"/>
      <c r="C82" s="1596"/>
      <c r="D82" s="6"/>
      <c r="E82" s="6"/>
      <c r="F82" s="1713" t="e">
        <f>'2. S Plan'!#REF!</f>
        <v>#REF!</v>
      </c>
      <c r="G82" s="2473">
        <v>0</v>
      </c>
      <c r="H82" s="3790">
        <v>0</v>
      </c>
      <c r="I82" s="1999">
        <v>0</v>
      </c>
      <c r="J82" s="4679">
        <f>'2. S Plan'!L101</f>
        <v>0</v>
      </c>
      <c r="K82" s="5007">
        <f>'2. S Plan'!M101</f>
        <v>0</v>
      </c>
      <c r="L82" s="5499">
        <f>'2. S Plan'!N101</f>
        <v>0</v>
      </c>
      <c r="M82" s="4679">
        <f>'2. S Plan'!O101</f>
        <v>0</v>
      </c>
      <c r="N82" s="1549">
        <f>'2. S Plan'!P101</f>
        <v>0</v>
      </c>
      <c r="O82" s="1558">
        <f>'2. S Plan'!Q101</f>
        <v>0</v>
      </c>
      <c r="P82" s="1648">
        <f>'2. S Plan'!R101</f>
        <v>0</v>
      </c>
      <c r="Q82" s="1549">
        <f>'2. S Plan'!S101</f>
        <v>0</v>
      </c>
      <c r="R82" s="1550">
        <f>'2. S Plan'!T101</f>
        <v>0</v>
      </c>
      <c r="S82" s="1597">
        <f>'2. S Plan'!U101</f>
        <v>0</v>
      </c>
      <c r="T82" s="1549">
        <f>'2. S Plan'!V101</f>
        <v>0</v>
      </c>
      <c r="U82" s="1550">
        <f>'2. S Plan'!W101</f>
        <v>0</v>
      </c>
      <c r="V82" s="1551">
        <f t="shared" si="23"/>
        <v>0</v>
      </c>
      <c r="W82" s="1745"/>
      <c r="Y82" s="1711"/>
      <c r="AA82" s="1723">
        <f t="shared" si="16"/>
        <v>0</v>
      </c>
      <c r="AB82" s="1720">
        <f t="shared" si="17"/>
        <v>0</v>
      </c>
      <c r="AC82" s="1724">
        <f t="shared" si="18"/>
        <v>0</v>
      </c>
      <c r="AD82" s="1535" t="b">
        <f t="shared" si="20"/>
        <v>1</v>
      </c>
      <c r="AE82" s="1535" t="b">
        <f t="shared" si="21"/>
        <v>1</v>
      </c>
      <c r="AF82" s="1535" t="b">
        <f t="shared" si="22"/>
        <v>1</v>
      </c>
    </row>
    <row r="83" spans="1:35" ht="15.75" customHeight="1" thickBot="1">
      <c r="A83" s="7298"/>
      <c r="B83" s="7301"/>
      <c r="C83" s="1726" t="s">
        <v>43</v>
      </c>
      <c r="D83" s="1726"/>
      <c r="E83" s="1726"/>
      <c r="F83" s="1727"/>
      <c r="G83" s="3798"/>
      <c r="H83" s="3791"/>
      <c r="I83" s="2787"/>
      <c r="J83" s="4680">
        <f t="shared" ref="J83:V83" si="24">SUM(J20:J82)</f>
        <v>1247621.4857085196</v>
      </c>
      <c r="K83" s="4734">
        <f t="shared" si="24"/>
        <v>1062880.8716774799</v>
      </c>
      <c r="L83" s="5510">
        <f t="shared" si="24"/>
        <v>1584083.8958095517</v>
      </c>
      <c r="M83" s="4680">
        <f t="shared" si="24"/>
        <v>1201113.042559227</v>
      </c>
      <c r="N83" s="1620">
        <f t="shared" si="24"/>
        <v>1381266.9020174278</v>
      </c>
      <c r="O83" s="1625">
        <f t="shared" si="24"/>
        <v>1207555.5846279447</v>
      </c>
      <c r="P83" s="1734">
        <f t="shared" si="24"/>
        <v>1352798.0392375651</v>
      </c>
      <c r="Q83" s="1620">
        <f t="shared" si="24"/>
        <v>1129576.406403214</v>
      </c>
      <c r="R83" s="1621">
        <f t="shared" si="24"/>
        <v>1153585.1983621295</v>
      </c>
      <c r="S83" s="1628">
        <f t="shared" si="24"/>
        <v>1130134.017585142</v>
      </c>
      <c r="T83" s="1620">
        <f t="shared" si="24"/>
        <v>1093639.9877184585</v>
      </c>
      <c r="U83" s="1621">
        <f t="shared" si="24"/>
        <v>1109432.5164015929</v>
      </c>
      <c r="V83" s="1566">
        <f t="shared" si="24"/>
        <v>14653687.948108254</v>
      </c>
      <c r="W83" s="1710"/>
      <c r="AA83" s="1723">
        <f t="shared" si="16"/>
        <v>0</v>
      </c>
      <c r="AB83" s="1720">
        <f t="shared" si="17"/>
        <v>0</v>
      </c>
      <c r="AC83" s="1724">
        <f t="shared" si="18"/>
        <v>0</v>
      </c>
      <c r="AI83" s="1532"/>
    </row>
    <row r="84" spans="1:35" ht="15.75" customHeight="1" thickBot="1">
      <c r="A84" s="7081" t="s">
        <v>385</v>
      </c>
      <c r="B84" s="7082"/>
      <c r="C84" s="7082"/>
      <c r="D84" s="7082"/>
      <c r="E84" s="7082"/>
      <c r="F84" s="7082"/>
      <c r="G84" s="7082"/>
      <c r="H84" s="7082"/>
      <c r="I84" s="7083"/>
      <c r="J84" s="4630">
        <f t="shared" ref="J84:V84" si="25">J19+J83</f>
        <v>3211286.9633204602</v>
      </c>
      <c r="K84" s="5012">
        <f t="shared" si="25"/>
        <v>2654223.1392351957</v>
      </c>
      <c r="L84" s="5505">
        <f t="shared" si="25"/>
        <v>3296160.532293458</v>
      </c>
      <c r="M84" s="5663">
        <f t="shared" si="25"/>
        <v>2670638.0417192439</v>
      </c>
      <c r="N84" s="1605">
        <f t="shared" si="25"/>
        <v>3018312.7475772733</v>
      </c>
      <c r="O84" s="1607">
        <f t="shared" si="25"/>
        <v>3743221.9938943544</v>
      </c>
      <c r="P84" s="1779">
        <f t="shared" si="25"/>
        <v>4155314.4485039748</v>
      </c>
      <c r="Q84" s="1605">
        <f t="shared" si="25"/>
        <v>3966792.8156696232</v>
      </c>
      <c r="R84" s="1606">
        <f t="shared" si="25"/>
        <v>3274801.6076285392</v>
      </c>
      <c r="S84" s="1608">
        <f t="shared" si="25"/>
        <v>3016800.426851551</v>
      </c>
      <c r="T84" s="1605">
        <f t="shared" si="25"/>
        <v>3287073.1923516635</v>
      </c>
      <c r="U84" s="1606">
        <f t="shared" si="25"/>
        <v>3220365.7210347978</v>
      </c>
      <c r="V84" s="1674">
        <f t="shared" si="25"/>
        <v>39514991.630080134</v>
      </c>
      <c r="W84" s="1533"/>
      <c r="AA84" s="1535"/>
      <c r="AB84" s="1535"/>
      <c r="AC84" s="1535"/>
      <c r="AI84" s="2467"/>
    </row>
    <row r="85" spans="1:35" s="1610" customFormat="1" ht="22.5" customHeight="1">
      <c r="B85" s="1611"/>
      <c r="H85" s="1780"/>
      <c r="I85" s="1788"/>
      <c r="J85" s="1534"/>
      <c r="K85" s="1534"/>
      <c r="L85" s="1534"/>
      <c r="M85" s="1534"/>
      <c r="N85" s="1612"/>
      <c r="O85" s="1612"/>
      <c r="P85" s="1612"/>
      <c r="Q85" s="1612"/>
      <c r="R85" s="1612"/>
      <c r="S85" s="1612"/>
      <c r="T85" s="1612"/>
      <c r="U85" s="1612"/>
      <c r="V85" s="4" t="b">
        <f>V84=SUM(J84:U84)</f>
        <v>1</v>
      </c>
      <c r="W85" s="1636"/>
      <c r="X85" s="1535"/>
      <c r="Y85" s="1535"/>
      <c r="Z85" s="1535"/>
      <c r="AB85" s="1780"/>
      <c r="AC85" s="1781"/>
      <c r="AD85" s="1535"/>
      <c r="AE85" s="1535"/>
      <c r="AF85" s="1535"/>
      <c r="AG85" s="1535"/>
      <c r="AH85" s="1535"/>
    </row>
    <row r="86" spans="1:35" s="1610" customFormat="1" ht="22.5" customHeight="1">
      <c r="A86" s="1611"/>
      <c r="G86" s="1612"/>
      <c r="H86" s="1782"/>
      <c r="I86" s="3665"/>
      <c r="J86" s="1534"/>
      <c r="K86" s="1534"/>
      <c r="L86" s="1534"/>
      <c r="M86" s="1534"/>
      <c r="N86" s="1612"/>
      <c r="O86" s="1612"/>
      <c r="P86" s="1612"/>
      <c r="Q86" s="1612"/>
      <c r="R86" s="1612"/>
      <c r="S86" s="1612"/>
      <c r="T86" s="1612"/>
      <c r="W86" s="1784"/>
      <c r="X86" s="1535"/>
      <c r="Y86" s="1535"/>
      <c r="Z86" s="1535"/>
      <c r="AA86" s="1612"/>
      <c r="AB86" s="1782"/>
      <c r="AC86" s="1783"/>
      <c r="AD86" s="1535"/>
      <c r="AE86" s="1535"/>
      <c r="AF86" s="1535"/>
      <c r="AG86" s="1535"/>
      <c r="AH86" s="1535"/>
    </row>
    <row r="87" spans="1:35" s="1610" customFormat="1" ht="22.5" customHeight="1" thickBot="1">
      <c r="A87" s="1538" t="s">
        <v>117</v>
      </c>
      <c r="F87" s="1785" t="s">
        <v>386</v>
      </c>
      <c r="G87" s="1786">
        <v>0.9</v>
      </c>
      <c r="H87" s="1787">
        <v>9</v>
      </c>
      <c r="I87" s="1788">
        <v>10</v>
      </c>
      <c r="J87" s="6257"/>
      <c r="K87" s="1534"/>
      <c r="L87" s="1534"/>
      <c r="M87" s="1534"/>
      <c r="N87" s="1612"/>
      <c r="O87" s="1612"/>
      <c r="P87" s="1612"/>
      <c r="Q87" s="1612"/>
      <c r="R87" s="1612"/>
      <c r="S87" s="1612"/>
      <c r="T87" s="1612"/>
      <c r="U87" s="1612"/>
      <c r="V87" s="1537" t="s">
        <v>104</v>
      </c>
      <c r="W87" s="1535"/>
      <c r="X87" s="1535"/>
      <c r="Y87" s="1535"/>
      <c r="Z87" s="1535"/>
      <c r="AA87" s="1786">
        <v>0.95</v>
      </c>
      <c r="AB87" s="1789"/>
      <c r="AC87" s="1790"/>
      <c r="AD87" s="1535"/>
      <c r="AE87" s="1535"/>
      <c r="AF87" s="1535"/>
      <c r="AG87" s="1535"/>
      <c r="AH87" s="1535"/>
    </row>
    <row r="88" spans="1:35" s="1610" customFormat="1" ht="22.5" customHeight="1" thickBot="1">
      <c r="A88" s="1539" t="s">
        <v>40</v>
      </c>
      <c r="B88" s="74" t="s">
        <v>106</v>
      </c>
      <c r="C88" s="74" t="s">
        <v>45</v>
      </c>
      <c r="D88" s="74" t="s">
        <v>990</v>
      </c>
      <c r="E88" s="74" t="s">
        <v>1011</v>
      </c>
      <c r="F88" s="74" t="s">
        <v>107</v>
      </c>
      <c r="G88" s="1700" t="str">
        <f>G4</f>
        <v>Present Yield%</v>
      </c>
      <c r="H88" s="1701" t="s">
        <v>283</v>
      </c>
      <c r="I88" s="1791" t="s">
        <v>1018</v>
      </c>
      <c r="J88" s="4490" t="str">
        <f>'2. S Plan'!L4</f>
        <v>Jan.26</v>
      </c>
      <c r="K88" s="5005" t="str">
        <f>'2. S Plan'!M4</f>
        <v>Feb.26</v>
      </c>
      <c r="L88" s="5494" t="str">
        <f>'2. S Plan'!N4</f>
        <v>Mar.26</v>
      </c>
      <c r="M88" s="4757" t="str">
        <f>'2. S Plan'!O4</f>
        <v>Apr.26</v>
      </c>
      <c r="N88" s="74" t="str">
        <f>'2. S Plan'!P4</f>
        <v>May.26</v>
      </c>
      <c r="O88" s="1540" t="str">
        <f>'2. S Plan'!Q4</f>
        <v>Jun.26</v>
      </c>
      <c r="P88" s="1539" t="str">
        <f>'2. S Plan'!R4</f>
        <v>Jul.26</v>
      </c>
      <c r="Q88" s="74" t="str">
        <f>'2. S Plan'!S4</f>
        <v>Aug.26</v>
      </c>
      <c r="R88" s="1540" t="str">
        <f>'2. S Plan'!T4</f>
        <v>Sep.26</v>
      </c>
      <c r="S88" s="1539" t="str">
        <f>'2. S Plan'!U4</f>
        <v>Oct.26</v>
      </c>
      <c r="T88" s="74" t="str">
        <f>'2. S Plan'!V4</f>
        <v>Nov.26</v>
      </c>
      <c r="U88" s="1540" t="str">
        <f>'2. S Plan'!W4</f>
        <v>Dec.26</v>
      </c>
      <c r="V88" s="1541" t="str">
        <f>'2. S Plan'!X4</f>
        <v>2026
Total</v>
      </c>
      <c r="W88" s="1535"/>
      <c r="X88" s="1535"/>
      <c r="Y88" s="1535"/>
      <c r="Z88" s="1535"/>
      <c r="AA88" s="1700" t="str">
        <f>AA4</f>
        <v>Present Yield%</v>
      </c>
      <c r="AB88" s="1701" t="s">
        <v>283</v>
      </c>
      <c r="AC88" s="1791" t="s">
        <v>1018</v>
      </c>
      <c r="AD88" s="1535"/>
      <c r="AE88" s="1535"/>
      <c r="AF88" s="1535"/>
      <c r="AG88" s="1535"/>
      <c r="AH88" s="1535"/>
    </row>
    <row r="89" spans="1:35" ht="18.75" customHeight="1">
      <c r="A89" s="7224">
        <v>1</v>
      </c>
      <c r="B89" s="7197" t="s">
        <v>16</v>
      </c>
      <c r="C89" s="1670" t="s">
        <v>19</v>
      </c>
      <c r="D89" s="55" t="str">
        <f>D5</f>
        <v>Mobile</v>
      </c>
      <c r="E89" s="1615"/>
      <c r="F89" s="1670" t="str">
        <f t="shared" ref="F89:F102" si="26">F5</f>
        <v>Galaxy Tap</v>
      </c>
      <c r="G89" s="1703">
        <f>IFERROR(VLOOKUP(F89,B.BasicInfomation!$B:$O,6,0),"")</f>
        <v>0.79</v>
      </c>
      <c r="H89" s="1792">
        <f>IFERROR(VLOOKUP(F89,B.BasicInfomation!B:O,8,0),"")</f>
        <v>0.26700000000000002</v>
      </c>
      <c r="I89" s="3666" t="str">
        <f>IFERROR(VLOOKUP(F89,B.BasicInfomation!B:O,14,0),"")</f>
        <v>S36</v>
      </c>
      <c r="J89" s="4685">
        <f t="shared" ref="J89:U89" si="27">J5/$G89/$G$87</f>
        <v>0</v>
      </c>
      <c r="K89" s="5235">
        <f t="shared" si="27"/>
        <v>0</v>
      </c>
      <c r="L89" s="5601">
        <f t="shared" si="27"/>
        <v>0</v>
      </c>
      <c r="M89" s="6167">
        <f t="shared" si="27"/>
        <v>0</v>
      </c>
      <c r="N89" s="1543">
        <f t="shared" si="27"/>
        <v>0</v>
      </c>
      <c r="O89" s="1544">
        <f t="shared" si="27"/>
        <v>0</v>
      </c>
      <c r="P89" s="1542">
        <f t="shared" si="27"/>
        <v>0</v>
      </c>
      <c r="Q89" s="1543">
        <f t="shared" si="27"/>
        <v>0</v>
      </c>
      <c r="R89" s="1544">
        <f t="shared" si="27"/>
        <v>0</v>
      </c>
      <c r="S89" s="1542">
        <f t="shared" si="27"/>
        <v>0</v>
      </c>
      <c r="T89" s="1543">
        <f t="shared" si="27"/>
        <v>14064.697609001405</v>
      </c>
      <c r="U89" s="1544">
        <f t="shared" si="27"/>
        <v>70323.48804500702</v>
      </c>
      <c r="V89" s="1545">
        <f t="shared" ref="V89:V140" si="28">SUM(J89:U89)</f>
        <v>84388.185654008426</v>
      </c>
      <c r="AA89" s="1703">
        <f t="shared" ref="AA89:AA124" si="29">G89</f>
        <v>0.79</v>
      </c>
      <c r="AB89" s="1792">
        <f t="shared" ref="AB89:AB124" si="30">H89</f>
        <v>0.26700000000000002</v>
      </c>
      <c r="AC89" s="1793" t="str">
        <f t="shared" ref="AC89:AC124" si="31">I89</f>
        <v>S36</v>
      </c>
      <c r="AD89" s="1535" t="b">
        <f t="shared" ref="AD89:AD124" si="32">AA89=G89</f>
        <v>1</v>
      </c>
      <c r="AE89" s="1535" t="b">
        <f t="shared" ref="AE89:AE124" si="33">AB89=H89</f>
        <v>1</v>
      </c>
      <c r="AF89" s="1535" t="b">
        <f t="shared" ref="AF89:AF124" si="34">AC89=I89</f>
        <v>1</v>
      </c>
    </row>
    <row r="90" spans="1:35" ht="18.75" customHeight="1">
      <c r="A90" s="7225"/>
      <c r="B90" s="7200"/>
      <c r="C90" s="1658"/>
      <c r="D90" s="54"/>
      <c r="E90" s="77">
        <v>1</v>
      </c>
      <c r="F90" s="1658" t="str">
        <f t="shared" si="26"/>
        <v>A15/17</v>
      </c>
      <c r="G90" s="1719">
        <f>IFERROR(VLOOKUP(F90,B.BasicInfomation!$B:$O,6,0),"")</f>
        <v>0.95</v>
      </c>
      <c r="H90" s="1797">
        <f>IFERROR(VLOOKUP(F90,B.BasicInfomation!B:O,8,0),"")</f>
        <v>0.19</v>
      </c>
      <c r="I90" s="3667" t="str">
        <f>IFERROR(VLOOKUP(F90,B.BasicInfomation!B:O,14,0),"")</f>
        <v>S36</v>
      </c>
      <c r="J90" s="4686">
        <f t="shared" ref="J90:U90" si="35">J6/$G90/$G$87</f>
        <v>1326502.9239766083</v>
      </c>
      <c r="K90" s="5006">
        <f t="shared" si="35"/>
        <v>941005.84795321629</v>
      </c>
      <c r="L90" s="5498">
        <f t="shared" si="35"/>
        <v>1038093.567251462</v>
      </c>
      <c r="M90" s="2649">
        <f t="shared" si="35"/>
        <v>1137479.5321637427</v>
      </c>
      <c r="N90" s="1554">
        <f t="shared" si="35"/>
        <v>1135438.5964912281</v>
      </c>
      <c r="O90" s="1556">
        <f t="shared" si="35"/>
        <v>1356725.1461988303</v>
      </c>
      <c r="P90" s="1722">
        <f t="shared" si="35"/>
        <v>1403508.7719298247</v>
      </c>
      <c r="Q90" s="1554">
        <f t="shared" si="35"/>
        <v>1403508.7719298247</v>
      </c>
      <c r="R90" s="1555">
        <f t="shared" si="35"/>
        <v>935672.51461988303</v>
      </c>
      <c r="S90" s="1613">
        <f t="shared" si="35"/>
        <v>877192.98245614045</v>
      </c>
      <c r="T90" s="1554">
        <f t="shared" si="35"/>
        <v>877192.98245614045</v>
      </c>
      <c r="U90" s="1645">
        <f t="shared" si="35"/>
        <v>877192.98245614045</v>
      </c>
      <c r="V90" s="1557">
        <f t="shared" si="28"/>
        <v>13309514.619883042</v>
      </c>
      <c r="AA90" s="1719">
        <f t="shared" si="29"/>
        <v>0.95</v>
      </c>
      <c r="AB90" s="1797">
        <f t="shared" si="30"/>
        <v>0.19</v>
      </c>
      <c r="AC90" s="1798" t="str">
        <f t="shared" si="31"/>
        <v>S36</v>
      </c>
      <c r="AD90" s="1535" t="b">
        <f t="shared" si="32"/>
        <v>1</v>
      </c>
      <c r="AE90" s="1535" t="b">
        <f t="shared" si="33"/>
        <v>1</v>
      </c>
      <c r="AF90" s="1535" t="b">
        <f t="shared" si="34"/>
        <v>1</v>
      </c>
    </row>
    <row r="91" spans="1:35" ht="18.75" customHeight="1">
      <c r="A91" s="7225"/>
      <c r="B91" s="7200"/>
      <c r="C91" s="1658"/>
      <c r="D91" s="54"/>
      <c r="E91" s="77">
        <v>2</v>
      </c>
      <c r="F91" s="1658" t="str">
        <f t="shared" si="26"/>
        <v>A36</v>
      </c>
      <c r="G91" s="1719">
        <f>IFERROR(VLOOKUP(F91,B.BasicInfomation!$B:$O,6,0),"")</f>
        <v>0.95</v>
      </c>
      <c r="H91" s="1797">
        <f>IFERROR(VLOOKUP(F91,B.BasicInfomation!B:O,8,0),"")</f>
        <v>0.19</v>
      </c>
      <c r="I91" s="3667" t="str">
        <f>IFERROR(VLOOKUP(F91,B.BasicInfomation!B:O,14,0),"")</f>
        <v>S36</v>
      </c>
      <c r="J91" s="4686">
        <f t="shared" ref="J91:U91" si="36">J7/$G91/$G$87</f>
        <v>54175.438596491229</v>
      </c>
      <c r="K91" s="5006">
        <f t="shared" si="36"/>
        <v>0</v>
      </c>
      <c r="L91" s="5498">
        <f t="shared" si="36"/>
        <v>71298.245614035084</v>
      </c>
      <c r="M91" s="2649">
        <f t="shared" si="36"/>
        <v>94315.789473684199</v>
      </c>
      <c r="N91" s="1554">
        <f t="shared" si="36"/>
        <v>23578.94736842105</v>
      </c>
      <c r="O91" s="1556">
        <f t="shared" si="36"/>
        <v>17543.859649122805</v>
      </c>
      <c r="P91" s="1722">
        <f t="shared" si="36"/>
        <v>0</v>
      </c>
      <c r="Q91" s="1554">
        <f t="shared" si="36"/>
        <v>0</v>
      </c>
      <c r="R91" s="1555">
        <f t="shared" si="36"/>
        <v>0</v>
      </c>
      <c r="S91" s="1613">
        <f t="shared" si="36"/>
        <v>0</v>
      </c>
      <c r="T91" s="1554">
        <f t="shared" si="36"/>
        <v>0</v>
      </c>
      <c r="U91" s="1645">
        <f t="shared" si="36"/>
        <v>0</v>
      </c>
      <c r="V91" s="1557">
        <f t="shared" si="28"/>
        <v>260912.28070175435</v>
      </c>
      <c r="AA91" s="1719">
        <f t="shared" si="29"/>
        <v>0.95</v>
      </c>
      <c r="AB91" s="1797">
        <f t="shared" si="30"/>
        <v>0.19</v>
      </c>
      <c r="AC91" s="1798" t="str">
        <f t="shared" si="31"/>
        <v>S36</v>
      </c>
      <c r="AD91" s="1535" t="b">
        <f t="shared" si="32"/>
        <v>1</v>
      </c>
      <c r="AE91" s="1535" t="b">
        <f t="shared" si="33"/>
        <v>1</v>
      </c>
      <c r="AF91" s="1535" t="b">
        <f t="shared" si="34"/>
        <v>1</v>
      </c>
    </row>
    <row r="92" spans="1:35" ht="18.75" customHeight="1">
      <c r="A92" s="7225"/>
      <c r="B92" s="7200"/>
      <c r="C92" s="1658"/>
      <c r="D92" s="54"/>
      <c r="E92" s="77">
        <v>3</v>
      </c>
      <c r="F92" s="1658" t="str">
        <f t="shared" si="26"/>
        <v>A26</v>
      </c>
      <c r="G92" s="1719">
        <f>IFERROR(VLOOKUP(F92,B.BasicInfomation!$B:$O,6,0),"")</f>
        <v>0.95</v>
      </c>
      <c r="H92" s="1797">
        <f>IFERROR(VLOOKUP(F92,B.BasicInfomation!B:O,8,0),"")</f>
        <v>0.19</v>
      </c>
      <c r="I92" s="3667" t="str">
        <f>IFERROR(VLOOKUP(F92,B.BasicInfomation!B:O,14,0),"")</f>
        <v>S36</v>
      </c>
      <c r="J92" s="4686">
        <f t="shared" ref="J92:U92" si="37">J8/$G92/$G$87</f>
        <v>244491.22807017542</v>
      </c>
      <c r="K92" s="5006">
        <f t="shared" si="37"/>
        <v>64670.175438596496</v>
      </c>
      <c r="L92" s="5498">
        <f t="shared" si="37"/>
        <v>0</v>
      </c>
      <c r="M92" s="2649">
        <f t="shared" si="37"/>
        <v>11550.877192982458</v>
      </c>
      <c r="N92" s="1554">
        <f t="shared" si="37"/>
        <v>97403.508771929817</v>
      </c>
      <c r="O92" s="1556">
        <f t="shared" si="37"/>
        <v>0</v>
      </c>
      <c r="P92" s="1722">
        <f t="shared" si="37"/>
        <v>0</v>
      </c>
      <c r="Q92" s="1554">
        <f t="shared" si="37"/>
        <v>0</v>
      </c>
      <c r="R92" s="1555">
        <f t="shared" si="37"/>
        <v>0</v>
      </c>
      <c r="S92" s="1613">
        <f t="shared" si="37"/>
        <v>0</v>
      </c>
      <c r="T92" s="1554">
        <f t="shared" si="37"/>
        <v>0</v>
      </c>
      <c r="U92" s="1645">
        <f t="shared" si="37"/>
        <v>0</v>
      </c>
      <c r="V92" s="1557">
        <f t="shared" si="28"/>
        <v>418115.78947368421</v>
      </c>
      <c r="AA92" s="1719">
        <f t="shared" si="29"/>
        <v>0.95</v>
      </c>
      <c r="AB92" s="1797">
        <f t="shared" si="30"/>
        <v>0.19</v>
      </c>
      <c r="AC92" s="1798" t="str">
        <f t="shared" si="31"/>
        <v>S36</v>
      </c>
      <c r="AD92" s="1535" t="b">
        <f t="shared" si="32"/>
        <v>1</v>
      </c>
      <c r="AE92" s="1535" t="b">
        <f t="shared" si="33"/>
        <v>1</v>
      </c>
      <c r="AF92" s="1535" t="b">
        <f t="shared" si="34"/>
        <v>1</v>
      </c>
    </row>
    <row r="93" spans="1:35" ht="18.75" customHeight="1">
      <c r="A93" s="7225"/>
      <c r="B93" s="7200"/>
      <c r="C93" s="1658"/>
      <c r="D93" s="54"/>
      <c r="E93" s="77">
        <v>4</v>
      </c>
      <c r="F93" s="1658" t="str">
        <f t="shared" si="26"/>
        <v>A27</v>
      </c>
      <c r="G93" s="1719">
        <f>IFERROR(VLOOKUP(F93,B.BasicInfomation!$B:$O,6,0),"")</f>
        <v>0.95</v>
      </c>
      <c r="H93" s="1797">
        <f>IFERROR(VLOOKUP(F93,B.BasicInfomation!B:O,8,0),"")</f>
        <v>0.19</v>
      </c>
      <c r="I93" s="3667" t="str">
        <f>IFERROR(VLOOKUP(F93,B.BasicInfomation!B:O,14,0),"")</f>
        <v>S36</v>
      </c>
      <c r="J93" s="4686">
        <f t="shared" ref="J93:U93" si="38">J9/$G93/$G$87</f>
        <v>0</v>
      </c>
      <c r="K93" s="5006">
        <f t="shared" si="38"/>
        <v>0</v>
      </c>
      <c r="L93" s="5498">
        <f t="shared" si="38"/>
        <v>0</v>
      </c>
      <c r="M93" s="2649">
        <f t="shared" si="38"/>
        <v>0</v>
      </c>
      <c r="N93" s="1554">
        <f t="shared" si="38"/>
        <v>119017.54385964913</v>
      </c>
      <c r="O93" s="1556">
        <f t="shared" si="38"/>
        <v>923976.60818713461</v>
      </c>
      <c r="P93" s="1722">
        <f t="shared" si="38"/>
        <v>1169590.6432748539</v>
      </c>
      <c r="Q93" s="1554">
        <f t="shared" si="38"/>
        <v>1169590.6432748539</v>
      </c>
      <c r="R93" s="1555">
        <f t="shared" si="38"/>
        <v>818713.45029239776</v>
      </c>
      <c r="S93" s="1613">
        <f t="shared" si="38"/>
        <v>584795.32163742697</v>
      </c>
      <c r="T93" s="1554">
        <f t="shared" si="38"/>
        <v>584795.32163742697</v>
      </c>
      <c r="U93" s="1645">
        <f t="shared" si="38"/>
        <v>467836.25730994152</v>
      </c>
      <c r="V93" s="1557">
        <f t="shared" si="28"/>
        <v>5838315.7894736864</v>
      </c>
      <c r="AA93" s="1719">
        <f t="shared" si="29"/>
        <v>0.95</v>
      </c>
      <c r="AB93" s="1797">
        <f t="shared" si="30"/>
        <v>0.19</v>
      </c>
      <c r="AC93" s="1798" t="str">
        <f t="shared" si="31"/>
        <v>S36</v>
      </c>
      <c r="AD93" s="1535" t="b">
        <f t="shared" si="32"/>
        <v>1</v>
      </c>
      <c r="AE93" s="1535" t="b">
        <f t="shared" si="33"/>
        <v>1</v>
      </c>
      <c r="AF93" s="1535" t="b">
        <f t="shared" si="34"/>
        <v>1</v>
      </c>
    </row>
    <row r="94" spans="1:35" ht="18.75" customHeight="1">
      <c r="A94" s="7225"/>
      <c r="B94" s="7200"/>
      <c r="C94" s="1658"/>
      <c r="D94" s="54"/>
      <c r="E94" s="77">
        <v>5</v>
      </c>
      <c r="F94" s="1658" t="str">
        <f t="shared" si="26"/>
        <v>A37</v>
      </c>
      <c r="G94" s="1719">
        <f>IFERROR(VLOOKUP(F94,B.BasicInfomation!$B:$O,6,0),"")</f>
        <v>0.95</v>
      </c>
      <c r="H94" s="1797">
        <f>IFERROR(VLOOKUP(F94,B.BasicInfomation!B:O,8,0),"")</f>
        <v>0.19</v>
      </c>
      <c r="I94" s="3667" t="str">
        <f>IFERROR(VLOOKUP(F94,B.BasicInfomation!B:O,14,0),"")</f>
        <v>S36</v>
      </c>
      <c r="J94" s="4686">
        <f t="shared" ref="J94:U94" si="39">J10/$G94/$G$87</f>
        <v>80935.672514619873</v>
      </c>
      <c r="K94" s="5006">
        <f t="shared" si="39"/>
        <v>481754.3859649123</v>
      </c>
      <c r="L94" s="5498">
        <f t="shared" si="39"/>
        <v>260350.87719298244</v>
      </c>
      <c r="M94" s="2649">
        <f t="shared" si="39"/>
        <v>0</v>
      </c>
      <c r="N94" s="1554">
        <f t="shared" si="39"/>
        <v>56842.105263157893</v>
      </c>
      <c r="O94" s="1556">
        <f t="shared" si="39"/>
        <v>116959.06432748538</v>
      </c>
      <c r="P94" s="1722">
        <f t="shared" si="39"/>
        <v>116959.06432748538</v>
      </c>
      <c r="Q94" s="1554">
        <f t="shared" si="39"/>
        <v>58479.53216374269</v>
      </c>
      <c r="R94" s="1555">
        <f t="shared" si="39"/>
        <v>58479.53216374269</v>
      </c>
      <c r="S94" s="1613">
        <f t="shared" si="39"/>
        <v>5847.9532163742697</v>
      </c>
      <c r="T94" s="1554">
        <f t="shared" si="39"/>
        <v>0</v>
      </c>
      <c r="U94" s="1645">
        <f t="shared" si="39"/>
        <v>0</v>
      </c>
      <c r="V94" s="1557">
        <f t="shared" si="28"/>
        <v>1236608.1871345029</v>
      </c>
      <c r="AA94" s="1719">
        <f t="shared" si="29"/>
        <v>0.95</v>
      </c>
      <c r="AB94" s="1797">
        <f t="shared" si="30"/>
        <v>0.19</v>
      </c>
      <c r="AC94" s="1798" t="str">
        <f t="shared" si="31"/>
        <v>S36</v>
      </c>
      <c r="AD94" s="1535" t="b">
        <f t="shared" si="32"/>
        <v>1</v>
      </c>
      <c r="AE94" s="1535" t="b">
        <f t="shared" si="33"/>
        <v>1</v>
      </c>
      <c r="AF94" s="1535" t="b">
        <f t="shared" si="34"/>
        <v>1</v>
      </c>
    </row>
    <row r="95" spans="1:35" ht="18.75" customHeight="1">
      <c r="A95" s="7225"/>
      <c r="B95" s="7200"/>
      <c r="C95" s="1658"/>
      <c r="D95" s="54"/>
      <c r="E95" s="77">
        <v>6</v>
      </c>
      <c r="F95" s="1658" t="str">
        <f t="shared" si="26"/>
        <v>A18</v>
      </c>
      <c r="G95" s="1719">
        <f>IFERROR(VLOOKUP(F95,B.BasicInfomation!$B:$O,6,0),"")</f>
        <v>0.95</v>
      </c>
      <c r="H95" s="1797">
        <f>IFERROR(VLOOKUP(F95,B.BasicInfomation!B:O,8,0),"")</f>
        <v>0.19</v>
      </c>
      <c r="I95" s="3667" t="str">
        <f>IFERROR(VLOOKUP(F95,B.BasicInfomation!B:O,14,0),"")</f>
        <v>S36</v>
      </c>
      <c r="J95" s="4686">
        <f t="shared" ref="J95:U95" si="40">J11/$G95/$G$87</f>
        <v>0</v>
      </c>
      <c r="K95" s="5006">
        <f t="shared" si="40"/>
        <v>0</v>
      </c>
      <c r="L95" s="5498">
        <f t="shared" si="40"/>
        <v>0</v>
      </c>
      <c r="M95" s="2649">
        <f t="shared" si="40"/>
        <v>0</v>
      </c>
      <c r="N95" s="1554">
        <f t="shared" si="40"/>
        <v>0</v>
      </c>
      <c r="O95" s="1556">
        <f t="shared" si="40"/>
        <v>0</v>
      </c>
      <c r="P95" s="1722">
        <f t="shared" si="40"/>
        <v>0</v>
      </c>
      <c r="Q95" s="1554">
        <f t="shared" si="40"/>
        <v>0</v>
      </c>
      <c r="R95" s="1555">
        <f t="shared" si="40"/>
        <v>0</v>
      </c>
      <c r="S95" s="1613">
        <f t="shared" si="40"/>
        <v>58479.53216374269</v>
      </c>
      <c r="T95" s="1554">
        <f t="shared" si="40"/>
        <v>467836.25730994152</v>
      </c>
      <c r="U95" s="1645">
        <f t="shared" si="40"/>
        <v>467836.25730994152</v>
      </c>
      <c r="V95" s="1557">
        <f t="shared" si="28"/>
        <v>994152.04678362561</v>
      </c>
      <c r="AA95" s="1719">
        <f t="shared" si="29"/>
        <v>0.95</v>
      </c>
      <c r="AB95" s="1797">
        <f t="shared" si="30"/>
        <v>0.19</v>
      </c>
      <c r="AC95" s="1798" t="str">
        <f t="shared" si="31"/>
        <v>S36</v>
      </c>
      <c r="AD95" s="1535" t="b">
        <f t="shared" si="32"/>
        <v>1</v>
      </c>
      <c r="AE95" s="1535" t="b">
        <f t="shared" si="33"/>
        <v>1</v>
      </c>
      <c r="AF95" s="1535" t="b">
        <f t="shared" si="34"/>
        <v>1</v>
      </c>
    </row>
    <row r="96" spans="1:35" ht="18.75" customHeight="1">
      <c r="A96" s="7225"/>
      <c r="B96" s="7200"/>
      <c r="C96" s="1713"/>
      <c r="D96" s="53"/>
      <c r="E96" s="53"/>
      <c r="F96" s="1713" t="str">
        <f t="shared" si="26"/>
        <v>CNC</v>
      </c>
      <c r="G96" s="1714">
        <f>IFERROR(VLOOKUP(F96,B.BasicInfomation!$B:$O,6,0),"")</f>
        <v>0.95</v>
      </c>
      <c r="H96" s="1795">
        <f>IFERROR(VLOOKUP(F96,B.BasicInfomation!B:O,8,0),"")</f>
        <v>0</v>
      </c>
      <c r="I96" s="3668">
        <f>IFERROR(VLOOKUP(F96,B.BasicInfomation!B:O,14,0),"")</f>
        <v>0</v>
      </c>
      <c r="J96" s="4687">
        <f t="shared" ref="J96:U96" si="41">J12/$G96/$G$87</f>
        <v>563322.80701754382</v>
      </c>
      <c r="K96" s="5007">
        <f t="shared" si="41"/>
        <v>362535.67251461989</v>
      </c>
      <c r="L96" s="5499">
        <f t="shared" si="41"/>
        <v>608361.40350877191</v>
      </c>
      <c r="M96" s="4679">
        <f t="shared" si="41"/>
        <v>450084.21052631579</v>
      </c>
      <c r="N96" s="1549">
        <f t="shared" si="41"/>
        <v>460451.4619883041</v>
      </c>
      <c r="O96" s="1558">
        <f t="shared" si="41"/>
        <v>526315.78947368416</v>
      </c>
      <c r="P96" s="1648">
        <f t="shared" si="41"/>
        <v>561403.50877192977</v>
      </c>
      <c r="Q96" s="1549">
        <f t="shared" si="41"/>
        <v>662573.09941520472</v>
      </c>
      <c r="R96" s="1550">
        <f t="shared" si="41"/>
        <v>643274.85380116967</v>
      </c>
      <c r="S96" s="1661">
        <f t="shared" si="41"/>
        <v>656140.35087719304</v>
      </c>
      <c r="T96" s="1549">
        <f t="shared" si="41"/>
        <v>604678.36257309944</v>
      </c>
      <c r="U96" s="1649">
        <f t="shared" si="41"/>
        <v>578947.3684210527</v>
      </c>
      <c r="V96" s="1551">
        <f t="shared" si="28"/>
        <v>6678088.8888888881</v>
      </c>
      <c r="W96" s="1710"/>
      <c r="X96" s="5"/>
      <c r="AA96" s="1719">
        <f t="shared" si="29"/>
        <v>0.95</v>
      </c>
      <c r="AB96" s="1797">
        <f t="shared" si="30"/>
        <v>0</v>
      </c>
      <c r="AC96" s="1798">
        <f t="shared" si="31"/>
        <v>0</v>
      </c>
      <c r="AD96" s="1535" t="b">
        <f t="shared" si="32"/>
        <v>1</v>
      </c>
      <c r="AE96" s="1535" t="b">
        <f t="shared" si="33"/>
        <v>1</v>
      </c>
      <c r="AF96" s="1535" t="b">
        <f t="shared" si="34"/>
        <v>1</v>
      </c>
    </row>
    <row r="97" spans="1:32" ht="18.75" customHeight="1">
      <c r="A97" s="7225"/>
      <c r="B97" s="7200"/>
      <c r="C97" s="54" t="s">
        <v>24</v>
      </c>
      <c r="D97" s="54" t="str">
        <f>D13</f>
        <v>Mobile</v>
      </c>
      <c r="E97" s="54">
        <v>7</v>
      </c>
      <c r="F97" s="1658" t="str">
        <f t="shared" si="26"/>
        <v>MTP+IDP+ADP</v>
      </c>
      <c r="G97" s="1719">
        <f>IFERROR(VLOOKUP(F97,B.BasicInfomation!$B:$O,6,0),"")</f>
        <v>1</v>
      </c>
      <c r="H97" s="1797">
        <f>IFERROR(VLOOKUP(F97,B.BasicInfomation!B:O,8,0),"")</f>
        <v>0.2</v>
      </c>
      <c r="I97" s="3667" t="str">
        <f>IFERROR(VLOOKUP(F97,B.BasicInfomation!B:O,14,0),"")</f>
        <v>ADC12</v>
      </c>
      <c r="J97" s="4576">
        <f t="shared" ref="J97:U97" si="42">J13/$G97/$G$87</f>
        <v>20000</v>
      </c>
      <c r="K97" s="5006">
        <f t="shared" si="42"/>
        <v>6788</v>
      </c>
      <c r="L97" s="5498">
        <f t="shared" si="42"/>
        <v>19184.899184899186</v>
      </c>
      <c r="M97" s="2649">
        <f t="shared" si="42"/>
        <v>17777.777777777777</v>
      </c>
      <c r="N97" s="1554">
        <f t="shared" si="42"/>
        <v>16177.60617760618</v>
      </c>
      <c r="O97" s="1556">
        <f t="shared" si="42"/>
        <v>20296.010296010296</v>
      </c>
      <c r="P97" s="1722">
        <f t="shared" si="42"/>
        <v>20296.010296010296</v>
      </c>
      <c r="Q97" s="1554">
        <f t="shared" si="42"/>
        <v>20296.010296010296</v>
      </c>
      <c r="R97" s="1555">
        <f t="shared" si="42"/>
        <v>20296.010296010296</v>
      </c>
      <c r="S97" s="1613">
        <f t="shared" si="42"/>
        <v>20296.010296010296</v>
      </c>
      <c r="T97" s="1554">
        <f t="shared" si="42"/>
        <v>15148.005148005148</v>
      </c>
      <c r="U97" s="1645">
        <f t="shared" si="42"/>
        <v>15148.005148005148</v>
      </c>
      <c r="V97" s="1557">
        <f t="shared" si="28"/>
        <v>211704.34491634491</v>
      </c>
      <c r="W97" s="1710"/>
      <c r="X97" s="5"/>
      <c r="AA97" s="1719">
        <f t="shared" si="29"/>
        <v>1</v>
      </c>
      <c r="AB97" s="1797">
        <f t="shared" si="30"/>
        <v>0.2</v>
      </c>
      <c r="AC97" s="1798" t="str">
        <f t="shared" si="31"/>
        <v>ADC12</v>
      </c>
      <c r="AD97" s="1535" t="b">
        <f t="shared" si="32"/>
        <v>1</v>
      </c>
      <c r="AE97" s="1535" t="b">
        <f t="shared" si="33"/>
        <v>1</v>
      </c>
      <c r="AF97" s="1535" t="b">
        <f t="shared" si="34"/>
        <v>1</v>
      </c>
    </row>
    <row r="98" spans="1:32" ht="18.75" customHeight="1">
      <c r="A98" s="7225"/>
      <c r="B98" s="7200"/>
      <c r="C98" s="54"/>
      <c r="D98" s="54"/>
      <c r="E98" s="54">
        <v>8</v>
      </c>
      <c r="F98" s="1658" t="str">
        <f t="shared" si="26"/>
        <v>Ride5</v>
      </c>
      <c r="G98" s="1719">
        <f>IFERROR(VLOOKUP(F98,B.BasicInfomation!$B:$O,6,0),"")</f>
        <v>1</v>
      </c>
      <c r="H98" s="1797">
        <f>IFERROR(VLOOKUP(F98,B.BasicInfomation!B:O,8,0),"")</f>
        <v>1.7107999999999999</v>
      </c>
      <c r="I98" s="3667" t="str">
        <f>IFERROR(VLOOKUP(F98,B.BasicInfomation!B:O,14,0),"")</f>
        <v>ADC12</v>
      </c>
      <c r="J98" s="4576">
        <f t="shared" ref="J98:U98" si="43">J14/$G98/$G$87</f>
        <v>222.22222222222223</v>
      </c>
      <c r="K98" s="5006">
        <f t="shared" si="43"/>
        <v>222.22222222222223</v>
      </c>
      <c r="L98" s="5498">
        <f t="shared" si="43"/>
        <v>0</v>
      </c>
      <c r="M98" s="2649">
        <f t="shared" si="43"/>
        <v>157.77684446311073</v>
      </c>
      <c r="N98" s="1554">
        <f t="shared" si="43"/>
        <v>222.22222222222223</v>
      </c>
      <c r="O98" s="1556">
        <f t="shared" si="43"/>
        <v>222.22222222222223</v>
      </c>
      <c r="P98" s="1722">
        <f t="shared" si="43"/>
        <v>277.77777777777771</v>
      </c>
      <c r="Q98" s="1554">
        <f t="shared" si="43"/>
        <v>277.77777777777771</v>
      </c>
      <c r="R98" s="1555">
        <f t="shared" si="43"/>
        <v>277.77777777777771</v>
      </c>
      <c r="S98" s="1613">
        <f t="shared" si="43"/>
        <v>222.22222222222223</v>
      </c>
      <c r="T98" s="1554">
        <f t="shared" si="43"/>
        <v>111.11111111111111</v>
      </c>
      <c r="U98" s="1645">
        <f t="shared" si="43"/>
        <v>111.11111111111111</v>
      </c>
      <c r="V98" s="1557">
        <f t="shared" si="28"/>
        <v>2324.4435111297776</v>
      </c>
      <c r="W98" s="1710"/>
      <c r="X98" s="5"/>
      <c r="AA98" s="1719">
        <f t="shared" si="29"/>
        <v>1</v>
      </c>
      <c r="AB98" s="1797">
        <f t="shared" si="30"/>
        <v>1.7107999999999999</v>
      </c>
      <c r="AC98" s="1798" t="str">
        <f t="shared" si="31"/>
        <v>ADC12</v>
      </c>
      <c r="AD98" s="1535" t="b">
        <f t="shared" si="32"/>
        <v>1</v>
      </c>
      <c r="AE98" s="1535" t="b">
        <f t="shared" si="33"/>
        <v>1</v>
      </c>
      <c r="AF98" s="1535" t="b">
        <f t="shared" si="34"/>
        <v>1</v>
      </c>
    </row>
    <row r="99" spans="1:32" ht="18.75" customHeight="1">
      <c r="A99" s="7225"/>
      <c r="B99" s="7200"/>
      <c r="C99" s="54"/>
      <c r="D99" s="54"/>
      <c r="E99" s="54"/>
      <c r="F99" s="1658" t="str">
        <f t="shared" si="26"/>
        <v>Glymur</v>
      </c>
      <c r="G99" s="1719">
        <f>IFERROR(VLOOKUP(F99,B.BasicInfomation!$B:$O,6,0),"")</f>
        <v>1</v>
      </c>
      <c r="H99" s="1797">
        <f>IFERROR(VLOOKUP(F99,B.BasicInfomation!B:O,8,0),"")</f>
        <v>2.7107999999999999</v>
      </c>
      <c r="I99" s="3667" t="str">
        <f>IFERROR(VLOOKUP(F99,B.BasicInfomation!B:O,14,0),"")</f>
        <v>ADC12</v>
      </c>
      <c r="J99" s="4576">
        <f t="shared" ref="J99:U99" si="44">J15/$G99/$G$87</f>
        <v>0</v>
      </c>
      <c r="K99" s="5006">
        <f t="shared" si="44"/>
        <v>0</v>
      </c>
      <c r="L99" s="5498">
        <f t="shared" si="44"/>
        <v>0</v>
      </c>
      <c r="M99" s="2649">
        <f t="shared" si="44"/>
        <v>0</v>
      </c>
      <c r="N99" s="1554">
        <f t="shared" si="44"/>
        <v>0</v>
      </c>
      <c r="O99" s="1556">
        <f t="shared" si="44"/>
        <v>0</v>
      </c>
      <c r="P99" s="1722">
        <f t="shared" si="44"/>
        <v>0</v>
      </c>
      <c r="Q99" s="1554">
        <f t="shared" si="44"/>
        <v>0</v>
      </c>
      <c r="R99" s="1555">
        <f t="shared" si="44"/>
        <v>0</v>
      </c>
      <c r="S99" s="1613">
        <f t="shared" si="44"/>
        <v>0</v>
      </c>
      <c r="T99" s="1554">
        <f t="shared" si="44"/>
        <v>0</v>
      </c>
      <c r="U99" s="1645">
        <f t="shared" si="44"/>
        <v>0</v>
      </c>
      <c r="V99" s="1557">
        <f t="shared" si="28"/>
        <v>0</v>
      </c>
      <c r="W99" s="1710"/>
      <c r="X99" s="5"/>
      <c r="AA99" s="1719">
        <f t="shared" si="29"/>
        <v>1</v>
      </c>
      <c r="AB99" s="1797">
        <f t="shared" si="30"/>
        <v>2.7107999999999999</v>
      </c>
      <c r="AC99" s="1798" t="str">
        <f t="shared" si="31"/>
        <v>ADC12</v>
      </c>
      <c r="AD99" s="1535" t="b">
        <f t="shared" si="32"/>
        <v>1</v>
      </c>
      <c r="AE99" s="1535" t="b">
        <f t="shared" si="33"/>
        <v>1</v>
      </c>
      <c r="AF99" s="1535" t="b">
        <f t="shared" si="34"/>
        <v>1</v>
      </c>
    </row>
    <row r="100" spans="1:32" ht="18.75" customHeight="1">
      <c r="A100" s="7225"/>
      <c r="B100" s="7200"/>
      <c r="C100" s="54"/>
      <c r="D100" s="54"/>
      <c r="E100" s="54">
        <v>9</v>
      </c>
      <c r="F100" s="1658" t="str">
        <f t="shared" si="26"/>
        <v>MTP Hawi</v>
      </c>
      <c r="G100" s="1719">
        <f>IFERROR(VLOOKUP(F100,B.BasicInfomation!$B:$O,6,0),"")</f>
        <v>1</v>
      </c>
      <c r="H100" s="1797">
        <f>IFERROR(VLOOKUP(F100,B.BasicInfomation!B:O,8,0),"")</f>
        <v>2.7107999999999999</v>
      </c>
      <c r="I100" s="3667" t="str">
        <f>IFERROR(VLOOKUP(F100,B.BasicInfomation!B:O,14,0),"")</f>
        <v>S3Y</v>
      </c>
      <c r="J100" s="4576">
        <f t="shared" ref="J100:U100" si="45">J16/$G100/$G$87</f>
        <v>1111.1111111111111</v>
      </c>
      <c r="K100" s="5006">
        <f t="shared" si="45"/>
        <v>902.29728635074923</v>
      </c>
      <c r="L100" s="5498">
        <f t="shared" si="45"/>
        <v>1111.1111111111111</v>
      </c>
      <c r="M100" s="2649">
        <f t="shared" si="45"/>
        <v>1111.1111111111111</v>
      </c>
      <c r="N100" s="1554">
        <f t="shared" si="45"/>
        <v>1111.1111111111111</v>
      </c>
      <c r="O100" s="1556">
        <f t="shared" si="45"/>
        <v>1111.1111111111111</v>
      </c>
      <c r="P100" s="1722">
        <f t="shared" si="45"/>
        <v>1111.1111111111111</v>
      </c>
      <c r="Q100" s="1554">
        <f t="shared" si="45"/>
        <v>1111.1111111111111</v>
      </c>
      <c r="R100" s="1555">
        <f t="shared" si="45"/>
        <v>1111.1111111111111</v>
      </c>
      <c r="S100" s="1613">
        <f t="shared" si="45"/>
        <v>1111.1111111111111</v>
      </c>
      <c r="T100" s="1554">
        <f t="shared" si="45"/>
        <v>1111.1111111111111</v>
      </c>
      <c r="U100" s="1645">
        <f t="shared" si="45"/>
        <v>1111.1111111111111</v>
      </c>
      <c r="V100" s="1557">
        <f t="shared" si="28"/>
        <v>13124.519508572972</v>
      </c>
      <c r="W100" s="1710"/>
      <c r="X100" s="5"/>
      <c r="AA100" s="1719">
        <f t="shared" si="29"/>
        <v>1</v>
      </c>
      <c r="AB100" s="1797">
        <f t="shared" si="30"/>
        <v>2.7107999999999999</v>
      </c>
      <c r="AC100" s="1798" t="str">
        <f t="shared" si="31"/>
        <v>S3Y</v>
      </c>
      <c r="AD100" s="1535" t="b">
        <f t="shared" si="32"/>
        <v>1</v>
      </c>
      <c r="AE100" s="1535" t="b">
        <f t="shared" si="33"/>
        <v>1</v>
      </c>
      <c r="AF100" s="1535" t="b">
        <f t="shared" si="34"/>
        <v>1</v>
      </c>
    </row>
    <row r="101" spans="1:32" ht="18.75" customHeight="1">
      <c r="A101" s="7225"/>
      <c r="B101" s="7200"/>
      <c r="C101" s="54"/>
      <c r="D101" s="54"/>
      <c r="E101" s="54">
        <v>10</v>
      </c>
      <c r="F101" s="1658" t="str">
        <f t="shared" si="26"/>
        <v>QMP Amboseli</v>
      </c>
      <c r="G101" s="1719">
        <f>IFERROR(VLOOKUP(F101,B.BasicInfomation!$B:$O,6,0),"")</f>
        <v>1</v>
      </c>
      <c r="H101" s="1797">
        <f>IFERROR(VLOOKUP(F101,B.BasicInfomation!B:O,8,0),"")</f>
        <v>3.7107999999999999</v>
      </c>
      <c r="I101" s="3667" t="str">
        <f>IFERROR(VLOOKUP(F101,B.BasicInfomation!B:O,14,0),"")</f>
        <v>S3Y</v>
      </c>
      <c r="J101" s="4576">
        <f t="shared" ref="J101:U101" si="46">J17/$G101/$G$87</f>
        <v>555.55555555555554</v>
      </c>
      <c r="K101" s="5006">
        <f t="shared" si="46"/>
        <v>555.55555555555554</v>
      </c>
      <c r="L101" s="5498">
        <f t="shared" si="46"/>
        <v>590.25246388551375</v>
      </c>
      <c r="M101" s="2649">
        <f t="shared" si="46"/>
        <v>0</v>
      </c>
      <c r="N101" s="1554">
        <f t="shared" si="46"/>
        <v>555.55555555555554</v>
      </c>
      <c r="O101" s="1556">
        <f t="shared" si="46"/>
        <v>0</v>
      </c>
      <c r="P101" s="1722">
        <f t="shared" si="46"/>
        <v>555.55555555555554</v>
      </c>
      <c r="Q101" s="1554">
        <f t="shared" si="46"/>
        <v>0</v>
      </c>
      <c r="R101" s="1555">
        <f t="shared" si="46"/>
        <v>555.55555555555554</v>
      </c>
      <c r="S101" s="1613">
        <f t="shared" si="46"/>
        <v>0</v>
      </c>
      <c r="T101" s="1554">
        <f t="shared" si="46"/>
        <v>555.55555555555554</v>
      </c>
      <c r="U101" s="1645">
        <f t="shared" si="46"/>
        <v>0</v>
      </c>
      <c r="V101" s="1557">
        <f t="shared" si="28"/>
        <v>3923.5857972188473</v>
      </c>
      <c r="W101" s="1710"/>
      <c r="X101" s="5"/>
      <c r="AA101" s="1719">
        <f t="shared" si="29"/>
        <v>1</v>
      </c>
      <c r="AB101" s="1797">
        <f t="shared" si="30"/>
        <v>3.7107999999999999</v>
      </c>
      <c r="AC101" s="1798" t="str">
        <f t="shared" si="31"/>
        <v>S3Y</v>
      </c>
      <c r="AD101" s="1535" t="b">
        <f t="shared" si="32"/>
        <v>1</v>
      </c>
      <c r="AE101" s="1535" t="b">
        <f t="shared" si="33"/>
        <v>1</v>
      </c>
      <c r="AF101" s="1535" t="b">
        <f t="shared" si="34"/>
        <v>1</v>
      </c>
    </row>
    <row r="102" spans="1:32" ht="18.75" customHeight="1">
      <c r="A102" s="7225"/>
      <c r="B102" s="7200"/>
      <c r="C102" s="1713"/>
      <c r="D102" s="1713"/>
      <c r="E102" s="1713"/>
      <c r="F102" s="1713" t="str">
        <f t="shared" si="26"/>
        <v>LDS Antenna</v>
      </c>
      <c r="G102" s="1799">
        <f>IFERROR(VLOOKUP(F102,B.BasicInfomation!$B:$O,6,0),"")</f>
        <v>1</v>
      </c>
      <c r="H102" s="1797">
        <f>IFERROR(VLOOKUP(F102,B.BasicInfomation!B:O,8,0),"")</f>
        <v>3.7107999999999999</v>
      </c>
      <c r="I102" s="3668" t="str">
        <f>IFERROR(VLOOKUP(F102,B.BasicInfomation!B:O,14,0),"")</f>
        <v>ADC12</v>
      </c>
      <c r="J102" s="4552">
        <f t="shared" ref="J102:U102" si="47">J18/$G102/$G$87</f>
        <v>4004.9751243781088</v>
      </c>
      <c r="K102" s="5007">
        <f t="shared" si="47"/>
        <v>2222.2222222222217</v>
      </c>
      <c r="L102" s="5499">
        <f t="shared" si="47"/>
        <v>2222.2222222222217</v>
      </c>
      <c r="M102" s="6168">
        <f t="shared" si="47"/>
        <v>5000</v>
      </c>
      <c r="N102" s="1549">
        <f t="shared" si="47"/>
        <v>2777.7777777777778</v>
      </c>
      <c r="O102" s="1550">
        <f t="shared" si="47"/>
        <v>1333.3333333333333</v>
      </c>
      <c r="P102" s="1548">
        <f t="shared" si="47"/>
        <v>2777.7777777777778</v>
      </c>
      <c r="Q102" s="1549">
        <f t="shared" si="47"/>
        <v>1333.3333333333333</v>
      </c>
      <c r="R102" s="1550">
        <f t="shared" si="47"/>
        <v>1333.3333333333333</v>
      </c>
      <c r="S102" s="1548">
        <f t="shared" si="47"/>
        <v>1333.3333333333333</v>
      </c>
      <c r="T102" s="1549">
        <f t="shared" si="47"/>
        <v>1333.3333333333333</v>
      </c>
      <c r="U102" s="1550">
        <f t="shared" si="47"/>
        <v>1333.3333333333333</v>
      </c>
      <c r="V102" s="1551">
        <f t="shared" si="28"/>
        <v>27004.975124378099</v>
      </c>
      <c r="AA102" s="1719">
        <f t="shared" si="29"/>
        <v>1</v>
      </c>
      <c r="AB102" s="1797">
        <f t="shared" si="30"/>
        <v>3.7107999999999999</v>
      </c>
      <c r="AC102" s="1798" t="str">
        <f t="shared" si="31"/>
        <v>ADC12</v>
      </c>
      <c r="AD102" s="1535" t="b">
        <f t="shared" si="32"/>
        <v>1</v>
      </c>
      <c r="AE102" s="1535" t="b">
        <f t="shared" si="33"/>
        <v>1</v>
      </c>
      <c r="AF102" s="1535" t="b">
        <f t="shared" si="34"/>
        <v>1</v>
      </c>
    </row>
    <row r="103" spans="1:32" ht="18.75" customHeight="1">
      <c r="A103" s="7298"/>
      <c r="B103" s="7301"/>
      <c r="C103" s="1726" t="s">
        <v>43</v>
      </c>
      <c r="D103" s="1726"/>
      <c r="E103" s="1726"/>
      <c r="F103" s="1727"/>
      <c r="G103" s="1803"/>
      <c r="H103" s="1804">
        <v>0</v>
      </c>
      <c r="I103" s="3669">
        <v>0</v>
      </c>
      <c r="J103" s="4494">
        <f t="shared" ref="J103:U103" si="48">SUM(J89:J102)</f>
        <v>2295321.9341887054</v>
      </c>
      <c r="K103" s="4734">
        <f t="shared" si="48"/>
        <v>1860656.3791576959</v>
      </c>
      <c r="L103" s="5510">
        <f t="shared" si="48"/>
        <v>2001212.5785493695</v>
      </c>
      <c r="M103" s="6178">
        <f t="shared" si="48"/>
        <v>1717477.075090077</v>
      </c>
      <c r="N103" s="1620">
        <f t="shared" si="48"/>
        <v>1913576.436586963</v>
      </c>
      <c r="O103" s="1621">
        <f t="shared" si="48"/>
        <v>2964483.144798934</v>
      </c>
      <c r="P103" s="1619">
        <f t="shared" si="48"/>
        <v>3276480.2208223268</v>
      </c>
      <c r="Q103" s="1620">
        <f t="shared" si="48"/>
        <v>3317170.279301859</v>
      </c>
      <c r="R103" s="1621">
        <f t="shared" si="48"/>
        <v>2479714.1389509817</v>
      </c>
      <c r="S103" s="1619">
        <f t="shared" si="48"/>
        <v>2205418.8173135542</v>
      </c>
      <c r="T103" s="1620">
        <f t="shared" si="48"/>
        <v>2566826.7378447261</v>
      </c>
      <c r="U103" s="1620">
        <f t="shared" si="48"/>
        <v>2479839.9142456441</v>
      </c>
      <c r="V103" s="1566">
        <f t="shared" si="28"/>
        <v>29078177.656850837</v>
      </c>
      <c r="AA103" s="1719">
        <f t="shared" si="29"/>
        <v>0</v>
      </c>
      <c r="AB103" s="1797">
        <f t="shared" si="30"/>
        <v>0</v>
      </c>
      <c r="AC103" s="1798">
        <f t="shared" si="31"/>
        <v>0</v>
      </c>
      <c r="AD103" s="1535" t="b">
        <f t="shared" si="32"/>
        <v>1</v>
      </c>
      <c r="AE103" s="1535" t="b">
        <f t="shared" si="33"/>
        <v>1</v>
      </c>
      <c r="AF103" s="1535" t="b">
        <f t="shared" si="34"/>
        <v>1</v>
      </c>
    </row>
    <row r="104" spans="1:32" ht="18.75" customHeight="1">
      <c r="A104" s="7305">
        <v>2</v>
      </c>
      <c r="B104" s="7307" t="s">
        <v>23</v>
      </c>
      <c r="C104" s="1582" t="s">
        <v>544</v>
      </c>
      <c r="D104" s="1582" t="s">
        <v>848</v>
      </c>
      <c r="E104" s="1582">
        <v>11</v>
      </c>
      <c r="F104" s="1735" t="str">
        <f t="shared" ref="F104:F135" si="49">F20</f>
        <v>GEN3 AL5 Housing (YT)</v>
      </c>
      <c r="G104" s="1736">
        <f>IFERROR(VLOOKUP(F104,B.BasicInfomation!$B:$O,6,0),"")</f>
        <v>0.68</v>
      </c>
      <c r="H104" s="1807">
        <f>IFERROR(VLOOKUP(F104,B.BasicInfomation!B:O,8,0),"")</f>
        <v>0.71501000000000003</v>
      </c>
      <c r="I104" s="3670" t="str">
        <f>IFERROR(VLOOKUP(F104,B.BasicInfomation!B:O,14,0),"")</f>
        <v>ADC12</v>
      </c>
      <c r="J104" s="4579">
        <f>J20/$G104/$G$87</f>
        <v>63140.725861359497</v>
      </c>
      <c r="K104" s="4655">
        <f t="shared" ref="K104:U104" si="50">K20/$G104/$G$87</f>
        <v>61737.598619995959</v>
      </c>
      <c r="L104" s="5582">
        <f t="shared" si="50"/>
        <v>89800.143447266862</v>
      </c>
      <c r="M104" s="4681">
        <f t="shared" si="50"/>
        <v>89009.289911225569</v>
      </c>
      <c r="N104" s="1584">
        <f t="shared" si="50"/>
        <v>77358.018931993909</v>
      </c>
      <c r="O104" s="1586">
        <f t="shared" si="50"/>
        <v>114271.95810686648</v>
      </c>
      <c r="P104" s="1742">
        <f t="shared" si="50"/>
        <v>92032.391331254315</v>
      </c>
      <c r="Q104" s="1584">
        <f t="shared" si="50"/>
        <v>86942.423249436717</v>
      </c>
      <c r="R104" s="1585">
        <f t="shared" si="50"/>
        <v>0</v>
      </c>
      <c r="S104" s="1743">
        <f t="shared" si="50"/>
        <v>0</v>
      </c>
      <c r="T104" s="1584">
        <f t="shared" si="50"/>
        <v>0</v>
      </c>
      <c r="U104" s="1744">
        <f t="shared" si="50"/>
        <v>0</v>
      </c>
      <c r="V104" s="1587">
        <f t="shared" si="28"/>
        <v>674292.54945939919</v>
      </c>
      <c r="Y104" s="1569"/>
      <c r="AA104" s="1719">
        <f t="shared" si="29"/>
        <v>0.68</v>
      </c>
      <c r="AB104" s="1797">
        <f t="shared" si="30"/>
        <v>0.71501000000000003</v>
      </c>
      <c r="AC104" s="1798" t="str">
        <f t="shared" si="31"/>
        <v>ADC12</v>
      </c>
      <c r="AD104" s="1535" t="b">
        <f t="shared" si="32"/>
        <v>1</v>
      </c>
      <c r="AE104" s="1535" t="b">
        <f t="shared" si="33"/>
        <v>1</v>
      </c>
      <c r="AF104" s="1535" t="b">
        <f t="shared" si="34"/>
        <v>1</v>
      </c>
    </row>
    <row r="105" spans="1:32" ht="18.75" customHeight="1">
      <c r="A105" s="7225"/>
      <c r="B105" s="7200"/>
      <c r="C105" s="10"/>
      <c r="D105" s="10"/>
      <c r="E105" s="10">
        <v>12</v>
      </c>
      <c r="F105" s="1658" t="str">
        <f t="shared" si="49"/>
        <v>GEN3 AL6 Housing (YT)</v>
      </c>
      <c r="G105" s="1723">
        <f>IFERROR(VLOOKUP(F105,B.BasicInfomation!$B:$O,6,0),"")</f>
        <v>0.68</v>
      </c>
      <c r="H105" s="1797">
        <f>IFERROR(VLOOKUP(F105,B.BasicInfomation!B:O,8,0),"")</f>
        <v>0.71501000000000003</v>
      </c>
      <c r="I105" s="3667" t="str">
        <f>IFERROR(VLOOKUP(F105,B.BasicInfomation!B:O,14,0),"")</f>
        <v>ADC12</v>
      </c>
      <c r="J105" s="4576">
        <f t="shared" ref="J105:U105" si="51">J21/$G105/$G$87</f>
        <v>0</v>
      </c>
      <c r="K105" s="5006">
        <f t="shared" si="51"/>
        <v>0</v>
      </c>
      <c r="L105" s="5498">
        <f t="shared" si="51"/>
        <v>5615.9315564646513</v>
      </c>
      <c r="M105" s="2649">
        <f t="shared" si="51"/>
        <v>9069.9779562371605</v>
      </c>
      <c r="N105" s="1554">
        <f t="shared" si="51"/>
        <v>849.79274059151237</v>
      </c>
      <c r="O105" s="1556">
        <f t="shared" si="51"/>
        <v>0</v>
      </c>
      <c r="P105" s="1722">
        <f t="shared" si="51"/>
        <v>0</v>
      </c>
      <c r="Q105" s="1554">
        <f t="shared" si="51"/>
        <v>0</v>
      </c>
      <c r="R105" s="1555">
        <f t="shared" si="51"/>
        <v>0</v>
      </c>
      <c r="S105" s="1599">
        <f t="shared" si="51"/>
        <v>0</v>
      </c>
      <c r="T105" s="1554">
        <f t="shared" si="51"/>
        <v>0</v>
      </c>
      <c r="U105" s="1555">
        <f t="shared" si="51"/>
        <v>0</v>
      </c>
      <c r="V105" s="1557">
        <f t="shared" si="28"/>
        <v>15535.702253293324</v>
      </c>
      <c r="Y105" s="1569"/>
      <c r="AA105" s="1719">
        <f t="shared" si="29"/>
        <v>0.68</v>
      </c>
      <c r="AB105" s="1797">
        <f t="shared" si="30"/>
        <v>0.71501000000000003</v>
      </c>
      <c r="AC105" s="1798" t="str">
        <f t="shared" si="31"/>
        <v>ADC12</v>
      </c>
      <c r="AD105" s="1535" t="b">
        <f t="shared" si="32"/>
        <v>1</v>
      </c>
      <c r="AE105" s="1535" t="b">
        <f t="shared" si="33"/>
        <v>1</v>
      </c>
      <c r="AF105" s="1535" t="b">
        <f t="shared" si="34"/>
        <v>1</v>
      </c>
    </row>
    <row r="106" spans="1:32" ht="18.75" customHeight="1">
      <c r="A106" s="7225"/>
      <c r="B106" s="7200"/>
      <c r="C106" s="10"/>
      <c r="D106" s="10"/>
      <c r="E106" s="10"/>
      <c r="F106" s="1658" t="str">
        <f t="shared" si="49"/>
        <v>GEN3 AL5  Housing (MX)</v>
      </c>
      <c r="G106" s="1723">
        <f>IFERROR(VLOOKUP(F106,B.BasicInfomation!$B:$O,6,0),"")</f>
        <v>0.68</v>
      </c>
      <c r="H106" s="1797">
        <f>IFERROR(VLOOKUP(F106,B.BasicInfomation!B:O,8,0),"")</f>
        <v>0.71501000000000003</v>
      </c>
      <c r="I106" s="3667" t="str">
        <f>IFERROR(VLOOKUP(F106,B.BasicInfomation!B:O,14,0),"")</f>
        <v>ADC12</v>
      </c>
      <c r="J106" s="4576">
        <f t="shared" ref="J106:U106" si="52">J22/$G106/$G$87</f>
        <v>0</v>
      </c>
      <c r="K106" s="5006">
        <f t="shared" si="52"/>
        <v>0</v>
      </c>
      <c r="L106" s="5498">
        <f t="shared" si="52"/>
        <v>0</v>
      </c>
      <c r="M106" s="2649">
        <f t="shared" si="52"/>
        <v>0</v>
      </c>
      <c r="N106" s="1554">
        <f t="shared" si="52"/>
        <v>0</v>
      </c>
      <c r="O106" s="1556">
        <f t="shared" si="52"/>
        <v>0</v>
      </c>
      <c r="P106" s="1722">
        <f t="shared" si="52"/>
        <v>0</v>
      </c>
      <c r="Q106" s="1554">
        <f t="shared" si="52"/>
        <v>0</v>
      </c>
      <c r="R106" s="1555">
        <f t="shared" si="52"/>
        <v>0</v>
      </c>
      <c r="S106" s="1599">
        <f t="shared" si="52"/>
        <v>0</v>
      </c>
      <c r="T106" s="1554">
        <f t="shared" si="52"/>
        <v>0</v>
      </c>
      <c r="U106" s="1555">
        <f t="shared" si="52"/>
        <v>0</v>
      </c>
      <c r="V106" s="1557">
        <f t="shared" si="28"/>
        <v>0</v>
      </c>
      <c r="Y106" s="1569"/>
      <c r="AA106" s="1719">
        <f t="shared" si="29"/>
        <v>0.68</v>
      </c>
      <c r="AB106" s="1797">
        <f t="shared" si="30"/>
        <v>0.71501000000000003</v>
      </c>
      <c r="AC106" s="1798" t="str">
        <f t="shared" si="31"/>
        <v>ADC12</v>
      </c>
      <c r="AD106" s="1535" t="b">
        <f t="shared" si="32"/>
        <v>1</v>
      </c>
      <c r="AE106" s="1535" t="b">
        <f t="shared" si="33"/>
        <v>1</v>
      </c>
      <c r="AF106" s="1535" t="b">
        <f t="shared" si="34"/>
        <v>1</v>
      </c>
    </row>
    <row r="107" spans="1:32" ht="18.75" customHeight="1">
      <c r="A107" s="7225"/>
      <c r="B107" s="7200"/>
      <c r="C107" s="10"/>
      <c r="D107" s="10"/>
      <c r="E107" s="10"/>
      <c r="F107" s="1658" t="str">
        <f t="shared" si="49"/>
        <v>GEN3 AL6  Housing (MX)</v>
      </c>
      <c r="G107" s="1723">
        <f>IFERROR(VLOOKUP(F107,B.BasicInfomation!$B:$O,6,0),"")</f>
        <v>0.68</v>
      </c>
      <c r="H107" s="1797">
        <f>IFERROR(VLOOKUP(F107,B.BasicInfomation!B:O,8,0),"")</f>
        <v>0.71501000000000003</v>
      </c>
      <c r="I107" s="3667" t="str">
        <f>IFERROR(VLOOKUP(F107,B.BasicInfomation!B:O,14,0),"")</f>
        <v>ADC12</v>
      </c>
      <c r="J107" s="4576">
        <f t="shared" ref="J107:U107" si="53">J23/$G107/$G$87</f>
        <v>0</v>
      </c>
      <c r="K107" s="5006">
        <f t="shared" si="53"/>
        <v>0</v>
      </c>
      <c r="L107" s="5498">
        <f t="shared" si="53"/>
        <v>0</v>
      </c>
      <c r="M107" s="2649">
        <f t="shared" si="53"/>
        <v>0</v>
      </c>
      <c r="N107" s="1554">
        <f t="shared" si="53"/>
        <v>0</v>
      </c>
      <c r="O107" s="1556">
        <f t="shared" si="53"/>
        <v>0</v>
      </c>
      <c r="P107" s="1722">
        <f t="shared" si="53"/>
        <v>0</v>
      </c>
      <c r="Q107" s="1554">
        <f t="shared" si="53"/>
        <v>0</v>
      </c>
      <c r="R107" s="1555">
        <f t="shared" si="53"/>
        <v>0</v>
      </c>
      <c r="S107" s="1599">
        <f t="shared" si="53"/>
        <v>0</v>
      </c>
      <c r="T107" s="1554">
        <f t="shared" si="53"/>
        <v>0</v>
      </c>
      <c r="U107" s="1555">
        <f t="shared" si="53"/>
        <v>0</v>
      </c>
      <c r="V107" s="1557">
        <f t="shared" si="28"/>
        <v>0</v>
      </c>
      <c r="Y107" s="1569"/>
      <c r="AA107" s="1719">
        <f t="shared" si="29"/>
        <v>0.68</v>
      </c>
      <c r="AB107" s="1797">
        <f t="shared" si="30"/>
        <v>0.71501000000000003</v>
      </c>
      <c r="AC107" s="1798" t="str">
        <f t="shared" si="31"/>
        <v>ADC12</v>
      </c>
      <c r="AD107" s="1535" t="b">
        <f t="shared" si="32"/>
        <v>1</v>
      </c>
      <c r="AE107" s="1535" t="b">
        <f t="shared" si="33"/>
        <v>1</v>
      </c>
      <c r="AF107" s="1535" t="b">
        <f t="shared" si="34"/>
        <v>1</v>
      </c>
    </row>
    <row r="108" spans="1:32" ht="18.75" customHeight="1">
      <c r="A108" s="7225"/>
      <c r="B108" s="7200"/>
      <c r="C108" s="10"/>
      <c r="D108" s="10"/>
      <c r="E108" s="10"/>
      <c r="F108" s="1658" t="str">
        <f t="shared" si="49"/>
        <v>T6 Housing</v>
      </c>
      <c r="G108" s="1723">
        <f>IFERROR(VLOOKUP(F108,B.BasicInfomation!$B:$O,6,0),"")</f>
        <v>0.7</v>
      </c>
      <c r="H108" s="1797">
        <f>IFERROR(VLOOKUP(F108,B.BasicInfomation!B:O,8,0),"")</f>
        <v>1.1446099999999999</v>
      </c>
      <c r="I108" s="3667" t="str">
        <f>IFERROR(VLOOKUP(F108,B.BasicInfomation!B:O,14,0),"")</f>
        <v>ADC12</v>
      </c>
      <c r="J108" s="4576">
        <f t="shared" ref="J108:U108" si="54">J24/$G108/$G$87</f>
        <v>0</v>
      </c>
      <c r="K108" s="5006">
        <f t="shared" si="54"/>
        <v>0</v>
      </c>
      <c r="L108" s="5498">
        <f t="shared" si="54"/>
        <v>39051.832665866379</v>
      </c>
      <c r="M108" s="2649">
        <f t="shared" si="54"/>
        <v>20499.042699355796</v>
      </c>
      <c r="N108" s="1554">
        <f t="shared" si="54"/>
        <v>0</v>
      </c>
      <c r="O108" s="1556">
        <f t="shared" si="54"/>
        <v>0</v>
      </c>
      <c r="P108" s="1722">
        <f t="shared" si="54"/>
        <v>0</v>
      </c>
      <c r="Q108" s="1554">
        <f t="shared" si="54"/>
        <v>0</v>
      </c>
      <c r="R108" s="1555">
        <f t="shared" si="54"/>
        <v>0</v>
      </c>
      <c r="S108" s="1599">
        <f t="shared" si="54"/>
        <v>0</v>
      </c>
      <c r="T108" s="1554">
        <f t="shared" si="54"/>
        <v>0</v>
      </c>
      <c r="U108" s="1555">
        <f t="shared" si="54"/>
        <v>0</v>
      </c>
      <c r="V108" s="1557">
        <f t="shared" si="28"/>
        <v>59550.875365222179</v>
      </c>
      <c r="AA108" s="1719">
        <f t="shared" si="29"/>
        <v>0.7</v>
      </c>
      <c r="AB108" s="1797">
        <f t="shared" si="30"/>
        <v>1.1446099999999999</v>
      </c>
      <c r="AC108" s="1798" t="str">
        <f t="shared" si="31"/>
        <v>ADC12</v>
      </c>
      <c r="AD108" s="1535" t="b">
        <f t="shared" si="32"/>
        <v>1</v>
      </c>
      <c r="AE108" s="1535" t="b">
        <f t="shared" si="33"/>
        <v>1</v>
      </c>
      <c r="AF108" s="1535" t="b">
        <f t="shared" si="34"/>
        <v>1</v>
      </c>
    </row>
    <row r="109" spans="1:32" s="1569" customFormat="1" ht="18.75" customHeight="1">
      <c r="A109" s="7225"/>
      <c r="B109" s="7200"/>
      <c r="C109" s="10"/>
      <c r="D109" s="10"/>
      <c r="E109" s="10">
        <v>13</v>
      </c>
      <c r="F109" s="1658" t="str">
        <f t="shared" si="49"/>
        <v>CL4 Housing (YT)</v>
      </c>
      <c r="G109" s="1723">
        <f>IFERROR(VLOOKUP(F109,B.BasicInfomation!$B:$O,6,0),"")</f>
        <v>0.79</v>
      </c>
      <c r="H109" s="1797">
        <f>IFERROR(VLOOKUP(F109,B.BasicInfomation!B:O,8,0),"")</f>
        <v>1.1446099999999999</v>
      </c>
      <c r="I109" s="3667" t="str">
        <f>IFERROR(VLOOKUP(F109,B.BasicInfomation!B:O,14,0),"")</f>
        <v>ADC12</v>
      </c>
      <c r="J109" s="4576">
        <f t="shared" ref="J109:U109" si="55">J25/$G109/$G$87</f>
        <v>66178.506449945824</v>
      </c>
      <c r="K109" s="5006">
        <f t="shared" si="55"/>
        <v>44572.115288022796</v>
      </c>
      <c r="L109" s="5498">
        <f t="shared" si="55"/>
        <v>52688.248727545099</v>
      </c>
      <c r="M109" s="2649">
        <f t="shared" si="55"/>
        <v>62577.012245609898</v>
      </c>
      <c r="N109" s="1554">
        <f t="shared" si="55"/>
        <v>66834.211423643108</v>
      </c>
      <c r="O109" s="1556">
        <f t="shared" si="55"/>
        <v>40094.985045610105</v>
      </c>
      <c r="P109" s="1722">
        <f t="shared" si="55"/>
        <v>0</v>
      </c>
      <c r="Q109" s="1554">
        <f t="shared" si="55"/>
        <v>0</v>
      </c>
      <c r="R109" s="1555">
        <f t="shared" si="55"/>
        <v>0</v>
      </c>
      <c r="S109" s="1599">
        <f t="shared" si="55"/>
        <v>0</v>
      </c>
      <c r="T109" s="1554">
        <f t="shared" si="55"/>
        <v>0</v>
      </c>
      <c r="U109" s="1555">
        <f t="shared" si="55"/>
        <v>0</v>
      </c>
      <c r="V109" s="1557">
        <f>SUM(J109:U109)</f>
        <v>332945.07918037684</v>
      </c>
      <c r="Y109" s="1535"/>
      <c r="AA109" s="1719">
        <f t="shared" si="29"/>
        <v>0.79</v>
      </c>
      <c r="AB109" s="1797">
        <f t="shared" si="30"/>
        <v>1.1446099999999999</v>
      </c>
      <c r="AC109" s="1798" t="str">
        <f t="shared" si="31"/>
        <v>ADC12</v>
      </c>
      <c r="AD109" s="1535" t="b">
        <f t="shared" si="32"/>
        <v>1</v>
      </c>
      <c r="AE109" s="1535" t="b">
        <f t="shared" si="33"/>
        <v>1</v>
      </c>
      <c r="AF109" s="1535" t="b">
        <f t="shared" si="34"/>
        <v>1</v>
      </c>
    </row>
    <row r="110" spans="1:32" s="1569" customFormat="1" ht="18.75" customHeight="1">
      <c r="A110" s="7225"/>
      <c r="B110" s="7200"/>
      <c r="C110" s="10"/>
      <c r="D110" s="10"/>
      <c r="E110" s="10"/>
      <c r="F110" s="1658" t="str">
        <f t="shared" si="49"/>
        <v>CL4 Housing (MX)</v>
      </c>
      <c r="G110" s="1723">
        <f>IFERROR(VLOOKUP(F110,B.BasicInfomation!$B:$O,6,0),"")</f>
        <v>0.79</v>
      </c>
      <c r="H110" s="1797">
        <f>IFERROR(VLOOKUP(F110,B.BasicInfomation!B:O,8,0),"")</f>
        <v>1.1446099999999999</v>
      </c>
      <c r="I110" s="3667" t="str">
        <f>IFERROR(VLOOKUP(F110,B.BasicInfomation!B:O,14,0),"")</f>
        <v>ADC12</v>
      </c>
      <c r="J110" s="4576">
        <f t="shared" ref="J110:U110" si="56">J26/$G110/$G$87</f>
        <v>0</v>
      </c>
      <c r="K110" s="5006">
        <f t="shared" si="56"/>
        <v>27705.759747852167</v>
      </c>
      <c r="L110" s="5498">
        <f t="shared" si="56"/>
        <v>0</v>
      </c>
      <c r="M110" s="2649">
        <f t="shared" si="56"/>
        <v>27705.759747852167</v>
      </c>
      <c r="N110" s="1554">
        <f t="shared" si="56"/>
        <v>37703.556843407379</v>
      </c>
      <c r="O110" s="1556">
        <f t="shared" si="56"/>
        <v>33179.1300221985</v>
      </c>
      <c r="P110" s="1722">
        <f t="shared" si="56"/>
        <v>27705.759747852167</v>
      </c>
      <c r="Q110" s="1554">
        <f t="shared" si="56"/>
        <v>0</v>
      </c>
      <c r="R110" s="1555">
        <f t="shared" si="56"/>
        <v>0</v>
      </c>
      <c r="S110" s="1599">
        <f t="shared" si="56"/>
        <v>0</v>
      </c>
      <c r="T110" s="1554">
        <f t="shared" si="56"/>
        <v>0</v>
      </c>
      <c r="U110" s="1555">
        <f t="shared" si="56"/>
        <v>0</v>
      </c>
      <c r="V110" s="1557">
        <f t="shared" si="28"/>
        <v>153999.9661091624</v>
      </c>
      <c r="Y110" s="1535"/>
      <c r="AA110" s="1719"/>
      <c r="AB110" s="1797"/>
      <c r="AC110" s="1798"/>
      <c r="AD110" s="1535"/>
      <c r="AE110" s="1535"/>
      <c r="AF110" s="1535"/>
    </row>
    <row r="111" spans="1:32" s="1569" customFormat="1" ht="18.75" customHeight="1">
      <c r="A111" s="7225"/>
      <c r="B111" s="7200"/>
      <c r="C111" s="10"/>
      <c r="D111" s="10"/>
      <c r="E111" s="10">
        <v>14</v>
      </c>
      <c r="F111" s="1658" t="str">
        <f t="shared" si="49"/>
        <v>MQ4a PE Housing (YT)</v>
      </c>
      <c r="G111" s="1723">
        <f>IFERROR(VLOOKUP(F111,B.BasicInfomation!$B:$O,6,0),"")</f>
        <v>0.79</v>
      </c>
      <c r="H111" s="1797">
        <f>IFERROR(VLOOKUP(F111,B.BasicInfomation!B:O,8,0),"")</f>
        <v>1.1446099999999999</v>
      </c>
      <c r="I111" s="3667" t="str">
        <f>IFERROR(VLOOKUP(F111,B.BasicInfomation!B:O,14,0),"")</f>
        <v>ADC12</v>
      </c>
      <c r="J111" s="4576">
        <f t="shared" ref="J111:U111" si="57">J27/$G111/$G$87</f>
        <v>828.08570786399127</v>
      </c>
      <c r="K111" s="5006">
        <f t="shared" si="57"/>
        <v>22358.314112327764</v>
      </c>
      <c r="L111" s="5498">
        <f t="shared" si="57"/>
        <v>37857.318277848804</v>
      </c>
      <c r="M111" s="2649">
        <f t="shared" si="57"/>
        <v>30243.003480185795</v>
      </c>
      <c r="N111" s="1554">
        <f t="shared" si="57"/>
        <v>38160.624474029275</v>
      </c>
      <c r="O111" s="1556">
        <f t="shared" si="57"/>
        <v>14305.718483795135</v>
      </c>
      <c r="P111" s="1722">
        <f t="shared" si="57"/>
        <v>23409.357518937497</v>
      </c>
      <c r="Q111" s="1554">
        <f t="shared" si="57"/>
        <v>42200.665342138091</v>
      </c>
      <c r="R111" s="1555">
        <f t="shared" si="57"/>
        <v>14468.283466565534</v>
      </c>
      <c r="S111" s="1599">
        <f t="shared" si="57"/>
        <v>0</v>
      </c>
      <c r="T111" s="1554">
        <f t="shared" si="57"/>
        <v>0</v>
      </c>
      <c r="U111" s="1555">
        <f t="shared" si="57"/>
        <v>0</v>
      </c>
      <c r="V111" s="1557">
        <f t="shared" si="28"/>
        <v>223831.3708636919</v>
      </c>
      <c r="Y111" s="1535"/>
      <c r="AA111" s="1719">
        <f t="shared" si="29"/>
        <v>0.79</v>
      </c>
      <c r="AB111" s="1797">
        <f t="shared" si="30"/>
        <v>1.1446099999999999</v>
      </c>
      <c r="AC111" s="1798" t="str">
        <f t="shared" si="31"/>
        <v>ADC12</v>
      </c>
      <c r="AD111" s="1535" t="b">
        <f t="shared" si="32"/>
        <v>1</v>
      </c>
      <c r="AE111" s="1535" t="b">
        <f t="shared" si="33"/>
        <v>1</v>
      </c>
      <c r="AF111" s="1535" t="b">
        <f t="shared" si="34"/>
        <v>1</v>
      </c>
    </row>
    <row r="112" spans="1:32" s="1569" customFormat="1" ht="18.75" customHeight="1">
      <c r="A112" s="7225"/>
      <c r="B112" s="7200"/>
      <c r="C112" s="10"/>
      <c r="D112" s="10"/>
      <c r="E112" s="10"/>
      <c r="F112" s="1658" t="str">
        <f t="shared" si="49"/>
        <v>MQ4a PE Housing (MX)</v>
      </c>
      <c r="G112" s="1723">
        <f>IFERROR(VLOOKUP(F112,B.BasicInfomation!$B:$O,6,0),"")</f>
        <v>0.79</v>
      </c>
      <c r="H112" s="1797">
        <f>IFERROR(VLOOKUP(F112,B.BasicInfomation!B:O,8,0),"")</f>
        <v>1.1446099999999999</v>
      </c>
      <c r="I112" s="3667" t="str">
        <f>IFERROR(VLOOKUP(F112,B.BasicInfomation!B:O,14,0),"")</f>
        <v>ADC12</v>
      </c>
      <c r="J112" s="4576">
        <f t="shared" ref="J112:U112" si="58">J28/$G112/$G$87</f>
        <v>0</v>
      </c>
      <c r="K112" s="5006">
        <f t="shared" si="58"/>
        <v>27697.962776008902</v>
      </c>
      <c r="L112" s="5498">
        <f t="shared" si="58"/>
        <v>0</v>
      </c>
      <c r="M112" s="2649">
        <f t="shared" si="58"/>
        <v>27697.962776008902</v>
      </c>
      <c r="N112" s="1554">
        <f t="shared" si="58"/>
        <v>34829.541042168203</v>
      </c>
      <c r="O112" s="1556">
        <f t="shared" si="58"/>
        <v>30286.557427972351</v>
      </c>
      <c r="P112" s="1722">
        <f t="shared" si="58"/>
        <v>27697.962776008902</v>
      </c>
      <c r="Q112" s="1554">
        <f t="shared" si="58"/>
        <v>0</v>
      </c>
      <c r="R112" s="1555">
        <f t="shared" si="58"/>
        <v>0</v>
      </c>
      <c r="S112" s="1599">
        <f t="shared" si="58"/>
        <v>0</v>
      </c>
      <c r="T112" s="1554">
        <f t="shared" si="58"/>
        <v>0</v>
      </c>
      <c r="U112" s="1555">
        <f t="shared" si="58"/>
        <v>0</v>
      </c>
      <c r="V112" s="1557">
        <f t="shared" si="28"/>
        <v>148209.98679816726</v>
      </c>
      <c r="Y112" s="1535"/>
      <c r="AA112" s="1719"/>
      <c r="AB112" s="1797"/>
      <c r="AC112" s="1798"/>
      <c r="AD112" s="1535"/>
      <c r="AE112" s="1535"/>
      <c r="AF112" s="1535"/>
    </row>
    <row r="113" spans="1:32" s="1569" customFormat="1" ht="18.75" customHeight="1">
      <c r="A113" s="7225"/>
      <c r="B113" s="7200"/>
      <c r="C113" s="10"/>
      <c r="D113" s="10"/>
      <c r="E113" s="10"/>
      <c r="F113" s="1658" t="str">
        <f t="shared" si="49"/>
        <v>BYD Housing</v>
      </c>
      <c r="G113" s="1723">
        <f>IFERROR(VLOOKUP(F113,B.BasicInfomation!$B:$O,6,0),"")</f>
        <v>0.8</v>
      </c>
      <c r="H113" s="1797">
        <f>IFERROR(VLOOKUP(F113,B.BasicInfomation!B:O,8,0),"")</f>
        <v>1.1446099999999999</v>
      </c>
      <c r="I113" s="3667" t="str">
        <f>IFERROR(VLOOKUP(F113,B.BasicInfomation!B:O,14,0),"")</f>
        <v>ADC12</v>
      </c>
      <c r="J113" s="4576">
        <f t="shared" ref="J113:U113" si="59">J29/$G113/$G$87</f>
        <v>0</v>
      </c>
      <c r="K113" s="5006">
        <f t="shared" si="59"/>
        <v>0</v>
      </c>
      <c r="L113" s="5498">
        <f t="shared" si="59"/>
        <v>0</v>
      </c>
      <c r="M113" s="2649">
        <f t="shared" si="59"/>
        <v>0</v>
      </c>
      <c r="N113" s="1554">
        <f t="shared" si="59"/>
        <v>0</v>
      </c>
      <c r="O113" s="1556">
        <f t="shared" si="59"/>
        <v>0</v>
      </c>
      <c r="P113" s="1722">
        <f t="shared" si="59"/>
        <v>0</v>
      </c>
      <c r="Q113" s="1554">
        <f t="shared" si="59"/>
        <v>0</v>
      </c>
      <c r="R113" s="1555">
        <f t="shared" si="59"/>
        <v>0</v>
      </c>
      <c r="S113" s="1599">
        <f t="shared" si="59"/>
        <v>0</v>
      </c>
      <c r="T113" s="1554">
        <f t="shared" si="59"/>
        <v>0</v>
      </c>
      <c r="U113" s="1555">
        <f t="shared" si="59"/>
        <v>0</v>
      </c>
      <c r="V113" s="1557">
        <f t="shared" si="28"/>
        <v>0</v>
      </c>
      <c r="Y113" s="1535"/>
      <c r="AA113" s="1719">
        <f t="shared" si="29"/>
        <v>0.8</v>
      </c>
      <c r="AB113" s="1797">
        <f t="shared" si="30"/>
        <v>1.1446099999999999</v>
      </c>
      <c r="AC113" s="1798" t="str">
        <f t="shared" si="31"/>
        <v>ADC12</v>
      </c>
      <c r="AD113" s="1535" t="b">
        <f t="shared" si="32"/>
        <v>1</v>
      </c>
      <c r="AE113" s="1535" t="b">
        <f t="shared" si="33"/>
        <v>1</v>
      </c>
      <c r="AF113" s="1535" t="b">
        <f t="shared" si="34"/>
        <v>1</v>
      </c>
    </row>
    <row r="114" spans="1:32" s="1569" customFormat="1" ht="18.75" customHeight="1">
      <c r="A114" s="7225"/>
      <c r="B114" s="7200"/>
      <c r="C114" s="10"/>
      <c r="D114" s="10"/>
      <c r="E114" s="10">
        <v>15</v>
      </c>
      <c r="F114" s="1658" t="str">
        <f t="shared" si="49"/>
        <v>MX5 Housing</v>
      </c>
      <c r="G114" s="1723">
        <f>IFERROR(VLOOKUP(F114,B.BasicInfomation!$B:$O,6,0),"")</f>
        <v>0.8</v>
      </c>
      <c r="H114" s="1797">
        <f>IFERROR(VLOOKUP(F114,B.BasicInfomation!B:O,8,0),"")</f>
        <v>1.1446099999999999</v>
      </c>
      <c r="I114" s="3667" t="str">
        <f>IFERROR(VLOOKUP(F114,B.BasicInfomation!B:O,14,0),"")</f>
        <v>ADC12</v>
      </c>
      <c r="J114" s="4576">
        <f t="shared" ref="J114:U114" si="60">J30/$G114/$G$87</f>
        <v>0</v>
      </c>
      <c r="K114" s="5006">
        <f t="shared" si="60"/>
        <v>0</v>
      </c>
      <c r="L114" s="5498">
        <f t="shared" si="60"/>
        <v>0</v>
      </c>
      <c r="M114" s="2649">
        <f t="shared" si="60"/>
        <v>0</v>
      </c>
      <c r="N114" s="1554">
        <f t="shared" si="60"/>
        <v>0</v>
      </c>
      <c r="O114" s="1556">
        <f t="shared" si="60"/>
        <v>0</v>
      </c>
      <c r="P114" s="1722">
        <f t="shared" si="60"/>
        <v>0</v>
      </c>
      <c r="Q114" s="1554">
        <f t="shared" si="60"/>
        <v>0</v>
      </c>
      <c r="R114" s="1555">
        <f t="shared" si="60"/>
        <v>0</v>
      </c>
      <c r="S114" s="1599">
        <f t="shared" si="60"/>
        <v>0</v>
      </c>
      <c r="T114" s="1554">
        <f t="shared" si="60"/>
        <v>0</v>
      </c>
      <c r="U114" s="1555">
        <f t="shared" si="60"/>
        <v>0</v>
      </c>
      <c r="V114" s="1557">
        <f t="shared" si="28"/>
        <v>0</v>
      </c>
      <c r="Y114" s="1535"/>
      <c r="AA114" s="1719">
        <f t="shared" si="29"/>
        <v>0.8</v>
      </c>
      <c r="AB114" s="1797">
        <f t="shared" si="30"/>
        <v>1.1446099999999999</v>
      </c>
      <c r="AC114" s="1798" t="str">
        <f t="shared" si="31"/>
        <v>ADC12</v>
      </c>
      <c r="AD114" s="1535" t="b">
        <f t="shared" si="32"/>
        <v>1</v>
      </c>
      <c r="AE114" s="1535" t="b">
        <f t="shared" si="33"/>
        <v>1</v>
      </c>
      <c r="AF114" s="1535" t="b">
        <f t="shared" si="34"/>
        <v>1</v>
      </c>
    </row>
    <row r="115" spans="1:32" ht="18.75" customHeight="1">
      <c r="A115" s="7225"/>
      <c r="B115" s="7200"/>
      <c r="C115" s="10"/>
      <c r="D115" s="7" t="s">
        <v>857</v>
      </c>
      <c r="E115" s="7"/>
      <c r="F115" s="1658" t="str">
        <f t="shared" si="49"/>
        <v>Gen2 Cover</v>
      </c>
      <c r="G115" s="1723">
        <f>IFERROR(VLOOKUP(F115,B.BasicInfomation!$B:$O,6,0),"")</f>
        <v>0.85</v>
      </c>
      <c r="H115" s="1797">
        <f>IFERROR(VLOOKUP(F115,B.BasicInfomation!B:O,8,0),"")</f>
        <v>1.1446099999999999</v>
      </c>
      <c r="I115" s="3667" t="str">
        <f>IFERROR(VLOOKUP(F115,B.BasicInfomation!B:O,14,0),"")</f>
        <v>ADC12</v>
      </c>
      <c r="J115" s="4688">
        <f t="shared" ref="J115:U115" si="61">J31/$G115/$G$87</f>
        <v>4678.4776248237704</v>
      </c>
      <c r="K115" s="5056">
        <f t="shared" si="61"/>
        <v>0</v>
      </c>
      <c r="L115" s="5533">
        <f t="shared" si="61"/>
        <v>0</v>
      </c>
      <c r="M115" s="4682">
        <f t="shared" si="61"/>
        <v>0</v>
      </c>
      <c r="N115" s="1572">
        <f t="shared" si="61"/>
        <v>0</v>
      </c>
      <c r="O115" s="1574">
        <f t="shared" si="61"/>
        <v>0</v>
      </c>
      <c r="P115" s="1646">
        <f t="shared" si="61"/>
        <v>28705.988689072328</v>
      </c>
      <c r="Q115" s="1572">
        <f t="shared" si="61"/>
        <v>0</v>
      </c>
      <c r="R115" s="1573">
        <f t="shared" si="61"/>
        <v>0</v>
      </c>
      <c r="S115" s="1751">
        <f t="shared" si="61"/>
        <v>0</v>
      </c>
      <c r="T115" s="1572">
        <f t="shared" si="61"/>
        <v>0</v>
      </c>
      <c r="U115" s="1573">
        <f t="shared" si="61"/>
        <v>0</v>
      </c>
      <c r="V115" s="1575">
        <f t="shared" si="28"/>
        <v>33384.466313896097</v>
      </c>
      <c r="AA115" s="1719">
        <f t="shared" si="29"/>
        <v>0.85</v>
      </c>
      <c r="AB115" s="1797">
        <f t="shared" si="30"/>
        <v>1.1446099999999999</v>
      </c>
      <c r="AC115" s="1798" t="str">
        <f t="shared" si="31"/>
        <v>ADC12</v>
      </c>
      <c r="AD115" s="1535" t="b">
        <f t="shared" si="32"/>
        <v>1</v>
      </c>
      <c r="AE115" s="1535" t="b">
        <f t="shared" si="33"/>
        <v>1</v>
      </c>
      <c r="AF115" s="1535" t="b">
        <f t="shared" si="34"/>
        <v>1</v>
      </c>
    </row>
    <row r="116" spans="1:32" ht="18.75" customHeight="1">
      <c r="A116" s="7225"/>
      <c r="B116" s="7200"/>
      <c r="C116" s="10"/>
      <c r="D116" s="10"/>
      <c r="E116" s="10"/>
      <c r="F116" s="1658" t="str">
        <f t="shared" si="49"/>
        <v>T6 Cover</v>
      </c>
      <c r="G116" s="1723">
        <f>IFERROR(VLOOKUP(F116,B.BasicInfomation!$B:$O,6,0),"")</f>
        <v>0.85</v>
      </c>
      <c r="H116" s="1797">
        <f>IFERROR(VLOOKUP(F116,B.BasicInfomation!B:O,8,0),"")</f>
        <v>1.1446099999999999</v>
      </c>
      <c r="I116" s="3667" t="str">
        <f>IFERROR(VLOOKUP(F116,B.BasicInfomation!B:O,14,0),"")</f>
        <v>ADC12</v>
      </c>
      <c r="J116" s="4576">
        <f t="shared" ref="J116:U116" si="62">J32/$G116/$G$87</f>
        <v>0</v>
      </c>
      <c r="K116" s="5006">
        <f t="shared" si="62"/>
        <v>0</v>
      </c>
      <c r="L116" s="5498">
        <f t="shared" si="62"/>
        <v>18447.513304608809</v>
      </c>
      <c r="M116" s="2649">
        <f t="shared" si="62"/>
        <v>35165.237110302725</v>
      </c>
      <c r="N116" s="1554">
        <f t="shared" si="62"/>
        <v>0</v>
      </c>
      <c r="O116" s="1556">
        <f t="shared" si="62"/>
        <v>0</v>
      </c>
      <c r="P116" s="1722">
        <f t="shared" si="62"/>
        <v>0</v>
      </c>
      <c r="Q116" s="1554">
        <f t="shared" si="62"/>
        <v>0</v>
      </c>
      <c r="R116" s="1555">
        <f t="shared" si="62"/>
        <v>0</v>
      </c>
      <c r="S116" s="1599">
        <f t="shared" si="62"/>
        <v>0</v>
      </c>
      <c r="T116" s="1554">
        <f t="shared" si="62"/>
        <v>0</v>
      </c>
      <c r="U116" s="1555">
        <f t="shared" si="62"/>
        <v>0</v>
      </c>
      <c r="V116" s="1557">
        <f t="shared" si="28"/>
        <v>53612.750414911534</v>
      </c>
      <c r="AA116" s="1719">
        <f t="shared" si="29"/>
        <v>0.85</v>
      </c>
      <c r="AB116" s="1797">
        <f t="shared" si="30"/>
        <v>1.1446099999999999</v>
      </c>
      <c r="AC116" s="1798" t="str">
        <f t="shared" si="31"/>
        <v>ADC12</v>
      </c>
      <c r="AD116" s="1535" t="b">
        <f t="shared" si="32"/>
        <v>1</v>
      </c>
      <c r="AE116" s="1535" t="b">
        <f t="shared" si="33"/>
        <v>1</v>
      </c>
      <c r="AF116" s="1535" t="b">
        <f t="shared" si="34"/>
        <v>1</v>
      </c>
    </row>
    <row r="117" spans="1:32" ht="18.75" customHeight="1">
      <c r="A117" s="7225"/>
      <c r="B117" s="7200"/>
      <c r="C117" s="10"/>
      <c r="D117" s="10"/>
      <c r="E117" s="10">
        <v>16</v>
      </c>
      <c r="F117" s="1658" t="str">
        <f t="shared" si="49"/>
        <v>EK_Part Cover</v>
      </c>
      <c r="G117" s="1723">
        <f>IFERROR(VLOOKUP(F117,B.BasicInfomation!$B:$O,6,0),"")</f>
        <v>0.79</v>
      </c>
      <c r="H117" s="1797">
        <f>IFERROR(VLOOKUP(F117,B.BasicInfomation!B:O,8,0),"")</f>
        <v>1.1446099999999999</v>
      </c>
      <c r="I117" s="3667" t="str">
        <f>IFERROR(VLOOKUP(F117,B.BasicInfomation!B:O,14,0),"")</f>
        <v>ADC12</v>
      </c>
      <c r="J117" s="4576">
        <f t="shared" ref="J117:U117" si="63">J33/$G117/$G$87</f>
        <v>28500.916328733012</v>
      </c>
      <c r="K117" s="5006">
        <f t="shared" si="63"/>
        <v>20357.79737766644</v>
      </c>
      <c r="L117" s="5498">
        <f t="shared" si="63"/>
        <v>18322.017639899797</v>
      </c>
      <c r="M117" s="2649">
        <f t="shared" si="63"/>
        <v>23235.086596983452</v>
      </c>
      <c r="N117" s="1554">
        <f t="shared" si="63"/>
        <v>26351.988457554402</v>
      </c>
      <c r="O117" s="1556">
        <f t="shared" si="63"/>
        <v>23235.086596983452</v>
      </c>
      <c r="P117" s="1722">
        <f t="shared" si="63"/>
        <v>23235.086596983452</v>
      </c>
      <c r="Q117" s="1554">
        <f t="shared" si="63"/>
        <v>19027.539189231622</v>
      </c>
      <c r="R117" s="1555">
        <f t="shared" si="63"/>
        <v>0</v>
      </c>
      <c r="S117" s="1599">
        <f t="shared" si="63"/>
        <v>0</v>
      </c>
      <c r="T117" s="1554">
        <f t="shared" si="63"/>
        <v>0</v>
      </c>
      <c r="U117" s="1555">
        <f t="shared" si="63"/>
        <v>0</v>
      </c>
      <c r="V117" s="1557">
        <f t="shared" si="28"/>
        <v>182265.51878403561</v>
      </c>
      <c r="AA117" s="1719">
        <f t="shared" si="29"/>
        <v>0.79</v>
      </c>
      <c r="AB117" s="1797">
        <f t="shared" si="30"/>
        <v>1.1446099999999999</v>
      </c>
      <c r="AC117" s="1798" t="str">
        <f t="shared" si="31"/>
        <v>ADC12</v>
      </c>
      <c r="AD117" s="1535" t="b">
        <f t="shared" si="32"/>
        <v>1</v>
      </c>
      <c r="AE117" s="1535" t="b">
        <f t="shared" si="33"/>
        <v>1</v>
      </c>
      <c r="AF117" s="1535" t="b">
        <f t="shared" si="34"/>
        <v>1</v>
      </c>
    </row>
    <row r="118" spans="1:32" ht="18.75" customHeight="1">
      <c r="A118" s="7225"/>
      <c r="B118" s="7200"/>
      <c r="C118" s="10"/>
      <c r="D118" s="10"/>
      <c r="E118" s="1658"/>
      <c r="F118" s="1658" t="str">
        <f t="shared" si="49"/>
        <v>570W Cover</v>
      </c>
      <c r="G118" s="1723">
        <f>IFERROR(VLOOKUP(F118,B.BasicInfomation!$B:$O,6,0),"")</f>
        <v>0.85</v>
      </c>
      <c r="H118" s="1797">
        <f>IFERROR(VLOOKUP(F118,B.BasicInfomation!B:O,8,0),"")</f>
        <v>1.1446099999999999</v>
      </c>
      <c r="I118" s="3667" t="str">
        <f>IFERROR(VLOOKUP(F118,B.BasicInfomation!B:O,14,0),"")</f>
        <v>ADC12</v>
      </c>
      <c r="J118" s="4576">
        <f t="shared" ref="J118:U118" si="64">J34/$G118/$G$87</f>
        <v>0</v>
      </c>
      <c r="K118" s="5006">
        <f t="shared" si="64"/>
        <v>0</v>
      </c>
      <c r="L118" s="5498">
        <f t="shared" si="64"/>
        <v>0</v>
      </c>
      <c r="M118" s="2649">
        <f t="shared" si="64"/>
        <v>0</v>
      </c>
      <c r="N118" s="1554">
        <f t="shared" si="64"/>
        <v>0</v>
      </c>
      <c r="O118" s="1556">
        <f t="shared" si="64"/>
        <v>0</v>
      </c>
      <c r="P118" s="1722">
        <f t="shared" si="64"/>
        <v>0</v>
      </c>
      <c r="Q118" s="1554">
        <f t="shared" si="64"/>
        <v>0</v>
      </c>
      <c r="R118" s="1555">
        <f t="shared" si="64"/>
        <v>0</v>
      </c>
      <c r="S118" s="1599">
        <f t="shared" si="64"/>
        <v>0</v>
      </c>
      <c r="T118" s="1554">
        <f t="shared" si="64"/>
        <v>0</v>
      </c>
      <c r="U118" s="1555">
        <f t="shared" si="64"/>
        <v>0</v>
      </c>
      <c r="V118" s="1557">
        <f t="shared" si="28"/>
        <v>0</v>
      </c>
      <c r="AA118" s="1719">
        <f t="shared" si="29"/>
        <v>0.85</v>
      </c>
      <c r="AB118" s="1797">
        <f t="shared" si="30"/>
        <v>1.1446099999999999</v>
      </c>
      <c r="AC118" s="1798" t="str">
        <f t="shared" si="31"/>
        <v>ADC12</v>
      </c>
      <c r="AD118" s="1535" t="b">
        <f t="shared" si="32"/>
        <v>1</v>
      </c>
      <c r="AE118" s="1535" t="b">
        <f t="shared" si="33"/>
        <v>1</v>
      </c>
      <c r="AF118" s="1535" t="b">
        <f t="shared" si="34"/>
        <v>1</v>
      </c>
    </row>
    <row r="119" spans="1:32" ht="18.75" customHeight="1">
      <c r="A119" s="7225"/>
      <c r="B119" s="7200"/>
      <c r="C119" s="10"/>
      <c r="D119" s="10"/>
      <c r="E119" s="10">
        <v>17</v>
      </c>
      <c r="F119" s="1658" t="str">
        <f t="shared" si="49"/>
        <v>CL4 Cover (YT)</v>
      </c>
      <c r="G119" s="1723">
        <f>IFERROR(VLOOKUP(F119,B.BasicInfomation!$B:$O,6,0),"")</f>
        <v>0.87</v>
      </c>
      <c r="H119" s="1797">
        <f>IFERROR(VLOOKUP(F119,B.BasicInfomation!B:O,8,0),"")</f>
        <v>1.1446099999999999</v>
      </c>
      <c r="I119" s="3667" t="str">
        <f>IFERROR(VLOOKUP(F119,B.BasicInfomation!B:O,14,0),"")</f>
        <v>ADC12</v>
      </c>
      <c r="J119" s="4576">
        <f t="shared" ref="J119:U119" si="65">J35/$G119/$G$87</f>
        <v>9645.5593904181314</v>
      </c>
      <c r="K119" s="5006">
        <f t="shared" si="65"/>
        <v>24123.475226109502</v>
      </c>
      <c r="L119" s="5498">
        <f t="shared" si="65"/>
        <v>24554.183904684469</v>
      </c>
      <c r="M119" s="2649">
        <f t="shared" si="65"/>
        <v>9528.4892764447195</v>
      </c>
      <c r="N119" s="1554">
        <f t="shared" si="65"/>
        <v>17351.261336735752</v>
      </c>
      <c r="O119" s="1556">
        <f t="shared" si="65"/>
        <v>15733.770873141741</v>
      </c>
      <c r="P119" s="1722">
        <f t="shared" si="65"/>
        <v>0</v>
      </c>
      <c r="Q119" s="1554">
        <f t="shared" si="65"/>
        <v>0</v>
      </c>
      <c r="R119" s="1555">
        <f t="shared" si="65"/>
        <v>0</v>
      </c>
      <c r="S119" s="1599">
        <f t="shared" si="65"/>
        <v>0</v>
      </c>
      <c r="T119" s="1554">
        <f t="shared" si="65"/>
        <v>0</v>
      </c>
      <c r="U119" s="1555">
        <f t="shared" si="65"/>
        <v>0</v>
      </c>
      <c r="V119" s="1557">
        <f t="shared" si="28"/>
        <v>100936.74000753432</v>
      </c>
      <c r="AA119" s="1719">
        <f t="shared" si="29"/>
        <v>0.87</v>
      </c>
      <c r="AB119" s="1797">
        <f t="shared" si="30"/>
        <v>1.1446099999999999</v>
      </c>
      <c r="AC119" s="1798" t="str">
        <f t="shared" si="31"/>
        <v>ADC12</v>
      </c>
      <c r="AD119" s="1535" t="b">
        <f t="shared" si="32"/>
        <v>1</v>
      </c>
      <c r="AE119" s="1535" t="b">
        <f t="shared" si="33"/>
        <v>1</v>
      </c>
      <c r="AF119" s="1535" t="b">
        <f t="shared" si="34"/>
        <v>1</v>
      </c>
    </row>
    <row r="120" spans="1:32" ht="18.75" customHeight="1">
      <c r="A120" s="7225"/>
      <c r="B120" s="7200"/>
      <c r="C120" s="10"/>
      <c r="D120" s="10"/>
      <c r="E120" s="10"/>
      <c r="F120" s="1658" t="str">
        <f t="shared" si="49"/>
        <v>CL4 Cover (MX)</v>
      </c>
      <c r="G120" s="1723">
        <f>IFERROR(VLOOKUP(F120,B.BasicInfomation!$B:$O,6,0),"")</f>
        <v>0.87</v>
      </c>
      <c r="H120" s="1797">
        <f>IFERROR(VLOOKUP(F120,B.BasicInfomation!B:O,8,0),"")</f>
        <v>1.1446099999999999</v>
      </c>
      <c r="I120" s="3667" t="str">
        <f>IFERROR(VLOOKUP(F120,B.BasicInfomation!B:O,14,0),"")</f>
        <v>ADC12</v>
      </c>
      <c r="J120" s="4576">
        <f t="shared" ref="J120:U120" si="66">J36/$G120/$G$87</f>
        <v>0</v>
      </c>
      <c r="K120" s="5006">
        <f t="shared" si="66"/>
        <v>25161.548578944356</v>
      </c>
      <c r="L120" s="5498">
        <f t="shared" si="66"/>
        <v>0</v>
      </c>
      <c r="M120" s="2649">
        <f t="shared" si="66"/>
        <v>25161.548578944356</v>
      </c>
      <c r="N120" s="1554">
        <f t="shared" si="66"/>
        <v>27740.607308286155</v>
      </c>
      <c r="O120" s="1556">
        <f t="shared" si="66"/>
        <v>32617.963820743025</v>
      </c>
      <c r="P120" s="1722">
        <f t="shared" si="66"/>
        <v>38903.528335334813</v>
      </c>
      <c r="Q120" s="1554">
        <f t="shared" si="66"/>
        <v>0</v>
      </c>
      <c r="R120" s="1555">
        <f t="shared" si="66"/>
        <v>0</v>
      </c>
      <c r="S120" s="1599">
        <f t="shared" si="66"/>
        <v>0</v>
      </c>
      <c r="T120" s="1554">
        <f t="shared" si="66"/>
        <v>0</v>
      </c>
      <c r="U120" s="1555">
        <f t="shared" si="66"/>
        <v>0</v>
      </c>
      <c r="V120" s="1557">
        <f t="shared" si="28"/>
        <v>149585.1966222527</v>
      </c>
      <c r="AA120" s="1719"/>
      <c r="AB120" s="1797"/>
      <c r="AC120" s="1798"/>
    </row>
    <row r="121" spans="1:32" ht="18.75" customHeight="1">
      <c r="A121" s="7225"/>
      <c r="B121" s="7200"/>
      <c r="C121" s="10"/>
      <c r="D121" s="10"/>
      <c r="E121" s="10">
        <v>18</v>
      </c>
      <c r="F121" s="1658" t="str">
        <f t="shared" si="49"/>
        <v>MQ4a PE Cover (YT)</v>
      </c>
      <c r="G121" s="1723">
        <f>IFERROR(VLOOKUP(F121,B.BasicInfomation!$B:$O,6,0),"")</f>
        <v>0.87</v>
      </c>
      <c r="H121" s="1797">
        <f>IFERROR(VLOOKUP(F121,B.BasicInfomation!B:O,8,0),"")</f>
        <v>1.1446099999999999</v>
      </c>
      <c r="I121" s="3667" t="str">
        <f>IFERROR(VLOOKUP(F121,B.BasicInfomation!B:O,14,0),"")</f>
        <v>ADC12</v>
      </c>
      <c r="J121" s="4576">
        <f t="shared" ref="J121:U121" si="67">J37/$G121/$G$87</f>
        <v>3044.3381835821333</v>
      </c>
      <c r="K121" s="5006">
        <f t="shared" si="67"/>
        <v>20405.581461283044</v>
      </c>
      <c r="L121" s="5498">
        <f t="shared" si="67"/>
        <v>32648.930338052869</v>
      </c>
      <c r="M121" s="2649">
        <f t="shared" si="67"/>
        <v>21152.828106344114</v>
      </c>
      <c r="N121" s="1554">
        <f t="shared" si="67"/>
        <v>37707.215320004718</v>
      </c>
      <c r="O121" s="1556">
        <f t="shared" si="67"/>
        <v>37707.215320004718</v>
      </c>
      <c r="P121" s="1722">
        <f t="shared" si="67"/>
        <v>37707.215320004718</v>
      </c>
      <c r="Q121" s="1554">
        <f t="shared" si="67"/>
        <v>20890.262808459403</v>
      </c>
      <c r="R121" s="1555">
        <f t="shared" si="67"/>
        <v>0</v>
      </c>
      <c r="S121" s="1599">
        <f t="shared" si="67"/>
        <v>0</v>
      </c>
      <c r="T121" s="1554">
        <f t="shared" si="67"/>
        <v>0</v>
      </c>
      <c r="U121" s="1555">
        <f t="shared" si="67"/>
        <v>0</v>
      </c>
      <c r="V121" s="1557">
        <f t="shared" si="28"/>
        <v>211263.5868577357</v>
      </c>
      <c r="AA121" s="1719">
        <f t="shared" si="29"/>
        <v>0.87</v>
      </c>
      <c r="AB121" s="1797">
        <f t="shared" si="30"/>
        <v>1.1446099999999999</v>
      </c>
      <c r="AC121" s="1798" t="str">
        <f t="shared" si="31"/>
        <v>ADC12</v>
      </c>
      <c r="AD121" s="1535" t="b">
        <f t="shared" si="32"/>
        <v>1</v>
      </c>
      <c r="AE121" s="1535" t="b">
        <f t="shared" si="33"/>
        <v>1</v>
      </c>
      <c r="AF121" s="1535" t="b">
        <f t="shared" si="34"/>
        <v>1</v>
      </c>
    </row>
    <row r="122" spans="1:32" ht="18.75" customHeight="1">
      <c r="A122" s="7225"/>
      <c r="B122" s="7200"/>
      <c r="C122" s="10"/>
      <c r="D122" s="10"/>
      <c r="E122" s="10"/>
      <c r="F122" s="1658" t="str">
        <f t="shared" si="49"/>
        <v>MQ4a PE Cover (MX)</v>
      </c>
      <c r="G122" s="1723">
        <f>IFERROR(VLOOKUP(F122,B.BasicInfomation!$B:$O,6,0),"")</f>
        <v>0.87</v>
      </c>
      <c r="H122" s="1797">
        <f>IFERROR(VLOOKUP(F122,B.BasicInfomation!B:O,8,0),"")</f>
        <v>1.1446099999999999</v>
      </c>
      <c r="I122" s="3667" t="str">
        <f>IFERROR(VLOOKUP(F122,B.BasicInfomation!B:O,14,0),"")</f>
        <v>ADC12</v>
      </c>
      <c r="J122" s="4689">
        <f t="shared" ref="J122:U122" si="68">J38/$G122/$G$87</f>
        <v>0</v>
      </c>
      <c r="K122" s="5054">
        <f t="shared" si="68"/>
        <v>25183.026640044609</v>
      </c>
      <c r="L122" s="5524">
        <f t="shared" si="68"/>
        <v>0</v>
      </c>
      <c r="M122" s="4683">
        <f t="shared" si="68"/>
        <v>25183.026640044609</v>
      </c>
      <c r="N122" s="1578">
        <f t="shared" si="68"/>
        <v>33511.413307430797</v>
      </c>
      <c r="O122" s="1580">
        <f t="shared" si="68"/>
        <v>29140.359397765907</v>
      </c>
      <c r="P122" s="1757">
        <f t="shared" si="68"/>
        <v>25183.026640044609</v>
      </c>
      <c r="Q122" s="1578">
        <f t="shared" si="68"/>
        <v>0</v>
      </c>
      <c r="R122" s="1579">
        <f t="shared" si="68"/>
        <v>0</v>
      </c>
      <c r="S122" s="1758">
        <f t="shared" si="68"/>
        <v>0</v>
      </c>
      <c r="T122" s="1578">
        <f t="shared" si="68"/>
        <v>0</v>
      </c>
      <c r="U122" s="1579">
        <f t="shared" si="68"/>
        <v>0</v>
      </c>
      <c r="V122" s="1581">
        <f t="shared" si="28"/>
        <v>138200.85262533053</v>
      </c>
      <c r="AA122" s="1719"/>
      <c r="AB122" s="1797"/>
      <c r="AC122" s="1798"/>
    </row>
    <row r="123" spans="1:32" ht="18.75" customHeight="1">
      <c r="A123" s="7225"/>
      <c r="B123" s="7200"/>
      <c r="C123" s="10"/>
      <c r="D123" s="7"/>
      <c r="E123" s="7"/>
      <c r="F123" s="1746" t="str">
        <f t="shared" si="49"/>
        <v>BYD Cover</v>
      </c>
      <c r="G123" s="1747">
        <f>IFERROR(VLOOKUP(F123,B.BasicInfomation!$B:$O,6,0),"")</f>
        <v>0.85</v>
      </c>
      <c r="H123" s="1809">
        <f>IFERROR(VLOOKUP(F123,B.BasicInfomation!B:O,8,0),"")</f>
        <v>1.1446099999999999</v>
      </c>
      <c r="I123" s="6122" t="str">
        <f>IFERROR(VLOOKUP(F123,B.BasicInfomation!B:O,14,0),"")</f>
        <v>ADC12</v>
      </c>
      <c r="J123" s="4576">
        <f t="shared" ref="J123:U123" si="69">J39/$G123/$G$87</f>
        <v>0</v>
      </c>
      <c r="K123" s="5006">
        <f t="shared" si="69"/>
        <v>0</v>
      </c>
      <c r="L123" s="5498">
        <f t="shared" si="69"/>
        <v>0</v>
      </c>
      <c r="M123" s="2649">
        <f t="shared" si="69"/>
        <v>0</v>
      </c>
      <c r="N123" s="1554">
        <f t="shared" si="69"/>
        <v>0</v>
      </c>
      <c r="O123" s="1556">
        <f t="shared" si="69"/>
        <v>0</v>
      </c>
      <c r="P123" s="1722">
        <f t="shared" si="69"/>
        <v>0</v>
      </c>
      <c r="Q123" s="1554">
        <f t="shared" si="69"/>
        <v>0</v>
      </c>
      <c r="R123" s="1555">
        <f t="shared" si="69"/>
        <v>0</v>
      </c>
      <c r="S123" s="1599">
        <f t="shared" si="69"/>
        <v>0</v>
      </c>
      <c r="T123" s="1554">
        <f t="shared" si="69"/>
        <v>0</v>
      </c>
      <c r="U123" s="1555">
        <f t="shared" si="69"/>
        <v>0</v>
      </c>
      <c r="V123" s="1557">
        <f t="shared" si="28"/>
        <v>0</v>
      </c>
      <c r="AA123" s="1719">
        <f t="shared" si="29"/>
        <v>0.85</v>
      </c>
      <c r="AB123" s="1797">
        <f t="shared" si="30"/>
        <v>1.1446099999999999</v>
      </c>
      <c r="AC123" s="1798" t="str">
        <f t="shared" si="31"/>
        <v>ADC12</v>
      </c>
      <c r="AD123" s="1535" t="b">
        <f t="shared" si="32"/>
        <v>1</v>
      </c>
      <c r="AE123" s="1535" t="b">
        <f t="shared" si="33"/>
        <v>1</v>
      </c>
      <c r="AF123" s="1535" t="b">
        <f t="shared" si="34"/>
        <v>1</v>
      </c>
    </row>
    <row r="124" spans="1:32" ht="18.75" customHeight="1">
      <c r="A124" s="7225"/>
      <c r="B124" s="7200"/>
      <c r="C124" s="10"/>
      <c r="D124" s="10"/>
      <c r="E124" s="10">
        <v>19</v>
      </c>
      <c r="F124" s="1658" t="str">
        <f t="shared" si="49"/>
        <v>MX5 Cover</v>
      </c>
      <c r="G124" s="1723">
        <f>IFERROR(VLOOKUP(F124,B.BasicInfomation!$B:$O,6,0),"")</f>
        <v>0.85</v>
      </c>
      <c r="H124" s="1797">
        <f>IFERROR(VLOOKUP(F124,B.BasicInfomation!B:O,8,0),"")</f>
        <v>1.1446099999999999</v>
      </c>
      <c r="I124" s="3667" t="str">
        <f>IFERROR(VLOOKUP(F124,B.BasicInfomation!B:O,14,0),"")</f>
        <v>ADC12</v>
      </c>
      <c r="J124" s="4576">
        <f t="shared" ref="J124:U124" si="70">J40/$G124/$G$87</f>
        <v>0</v>
      </c>
      <c r="K124" s="5006">
        <f t="shared" si="70"/>
        <v>0</v>
      </c>
      <c r="L124" s="5498">
        <f t="shared" si="70"/>
        <v>0</v>
      </c>
      <c r="M124" s="2649">
        <f t="shared" si="70"/>
        <v>0</v>
      </c>
      <c r="N124" s="1554">
        <f t="shared" si="70"/>
        <v>0</v>
      </c>
      <c r="O124" s="1556">
        <f t="shared" si="70"/>
        <v>0</v>
      </c>
      <c r="P124" s="1722">
        <f t="shared" si="70"/>
        <v>0</v>
      </c>
      <c r="Q124" s="1554">
        <f t="shared" si="70"/>
        <v>0</v>
      </c>
      <c r="R124" s="1555">
        <f t="shared" si="70"/>
        <v>0</v>
      </c>
      <c r="S124" s="1599">
        <f t="shared" si="70"/>
        <v>0</v>
      </c>
      <c r="T124" s="1554">
        <f t="shared" si="70"/>
        <v>0</v>
      </c>
      <c r="U124" s="1555">
        <f t="shared" si="70"/>
        <v>0</v>
      </c>
      <c r="V124" s="1557">
        <f t="shared" si="28"/>
        <v>0</v>
      </c>
      <c r="AA124" s="1719">
        <f t="shared" si="29"/>
        <v>0.85</v>
      </c>
      <c r="AB124" s="1797">
        <f t="shared" si="30"/>
        <v>1.1446099999999999</v>
      </c>
      <c r="AC124" s="1798" t="str">
        <f t="shared" si="31"/>
        <v>ADC12</v>
      </c>
      <c r="AD124" s="1535" t="b">
        <f t="shared" si="32"/>
        <v>1</v>
      </c>
      <c r="AE124" s="1535" t="b">
        <f t="shared" si="33"/>
        <v>1</v>
      </c>
      <c r="AF124" s="1535" t="b">
        <f t="shared" si="34"/>
        <v>1</v>
      </c>
    </row>
    <row r="125" spans="1:32" ht="18.75" customHeight="1">
      <c r="A125" s="7225"/>
      <c r="B125" s="7200"/>
      <c r="C125" s="10"/>
      <c r="D125" s="10" t="s">
        <v>888</v>
      </c>
      <c r="E125" s="10"/>
      <c r="F125" s="1658" t="str">
        <f t="shared" si="49"/>
        <v>FCM30-Upper Housing</v>
      </c>
      <c r="G125" s="1723">
        <f>IFERROR(VLOOKUP(F125,B.BasicInfomation!$B:$O,6,0),"")</f>
        <v>0.9</v>
      </c>
      <c r="H125" s="1797">
        <f>IFERROR(VLOOKUP(F125,B.BasicInfomation!B:O,8,0),"")</f>
        <v>6.4329999999999998E-2</v>
      </c>
      <c r="I125" s="3667" t="str">
        <f>IFERROR(VLOOKUP(F125,B.BasicInfomation!B:O,14,0),"")</f>
        <v>ADC12</v>
      </c>
      <c r="J125" s="4576">
        <f t="shared" ref="J125:U125" si="71">J41/$G125/$G$87</f>
        <v>0</v>
      </c>
      <c r="K125" s="5006">
        <f t="shared" si="71"/>
        <v>0</v>
      </c>
      <c r="L125" s="5498">
        <f t="shared" si="71"/>
        <v>0</v>
      </c>
      <c r="M125" s="2649">
        <f t="shared" si="71"/>
        <v>0</v>
      </c>
      <c r="N125" s="1554">
        <f t="shared" si="71"/>
        <v>0</v>
      </c>
      <c r="O125" s="1556">
        <f t="shared" si="71"/>
        <v>0</v>
      </c>
      <c r="P125" s="1722">
        <f t="shared" si="71"/>
        <v>0</v>
      </c>
      <c r="Q125" s="1554">
        <f t="shared" si="71"/>
        <v>0</v>
      </c>
      <c r="R125" s="1555">
        <f t="shared" si="71"/>
        <v>0</v>
      </c>
      <c r="S125" s="1599">
        <f t="shared" si="71"/>
        <v>0</v>
      </c>
      <c r="T125" s="1554">
        <f t="shared" si="71"/>
        <v>0</v>
      </c>
      <c r="U125" s="1555">
        <f t="shared" si="71"/>
        <v>0</v>
      </c>
      <c r="V125" s="1557">
        <f t="shared" si="28"/>
        <v>0</v>
      </c>
      <c r="AA125" s="1719">
        <f t="shared" ref="AA125:AA156" si="72">G125</f>
        <v>0.9</v>
      </c>
      <c r="AB125" s="1797">
        <f t="shared" ref="AB125:AB156" si="73">H125</f>
        <v>6.4329999999999998E-2</v>
      </c>
      <c r="AC125" s="1798" t="str">
        <f t="shared" ref="AC125:AC156" si="74">I125</f>
        <v>ADC12</v>
      </c>
      <c r="AD125" s="1535" t="b">
        <f t="shared" ref="AD125:AD156" si="75">AA125=G125</f>
        <v>1</v>
      </c>
      <c r="AE125" s="1535" t="b">
        <f t="shared" ref="AE125:AE156" si="76">AB125=H125</f>
        <v>1</v>
      </c>
      <c r="AF125" s="1535" t="b">
        <f t="shared" ref="AF125:AF156" si="77">AC125=I125</f>
        <v>1</v>
      </c>
    </row>
    <row r="126" spans="1:32" ht="18.75" customHeight="1">
      <c r="A126" s="7225"/>
      <c r="B126" s="7200"/>
      <c r="C126" s="10"/>
      <c r="D126" s="10"/>
      <c r="E126" s="10">
        <v>20</v>
      </c>
      <c r="F126" s="1658" t="str">
        <f t="shared" si="49"/>
        <v>DCU15 Housing</v>
      </c>
      <c r="G126" s="1723">
        <f>IFERROR(VLOOKUP(F126,B.BasicInfomation!$B:$O,6,0),"")</f>
        <v>0.9</v>
      </c>
      <c r="H126" s="1797">
        <f>IFERROR(VLOOKUP(F126,B.BasicInfomation!B:O,8,0),"")</f>
        <v>6.4329999999999998E-2</v>
      </c>
      <c r="I126" s="3667" t="str">
        <f>IFERROR(VLOOKUP(F126,B.BasicInfomation!B:O,14,0),"")</f>
        <v>ADC12</v>
      </c>
      <c r="J126" s="4576">
        <f t="shared" ref="J126:U126" si="78">J42/$G126/$G$87</f>
        <v>28198.030411334203</v>
      </c>
      <c r="K126" s="5006">
        <f t="shared" si="78"/>
        <v>33102.035700261898</v>
      </c>
      <c r="L126" s="5498">
        <f t="shared" si="78"/>
        <v>79690.085945074956</v>
      </c>
      <c r="M126" s="2649">
        <f t="shared" si="78"/>
        <v>80246.913580246925</v>
      </c>
      <c r="N126" s="1554">
        <f t="shared" si="78"/>
        <v>0</v>
      </c>
      <c r="O126" s="1556">
        <f t="shared" si="78"/>
        <v>28395.06172839506</v>
      </c>
      <c r="P126" s="1722">
        <f t="shared" si="78"/>
        <v>28395.06172839506</v>
      </c>
      <c r="Q126" s="1554">
        <f t="shared" si="78"/>
        <v>28395.06172839506</v>
      </c>
      <c r="R126" s="1555">
        <f t="shared" si="78"/>
        <v>27469.135802469136</v>
      </c>
      <c r="S126" s="1599">
        <f t="shared" si="78"/>
        <v>27469.135802469136</v>
      </c>
      <c r="T126" s="1554">
        <f t="shared" si="78"/>
        <v>27469.135802469136</v>
      </c>
      <c r="U126" s="1555">
        <f t="shared" si="78"/>
        <v>27469.135802469136</v>
      </c>
      <c r="V126" s="1557">
        <f t="shared" si="28"/>
        <v>416298.79403197975</v>
      </c>
      <c r="AA126" s="1719">
        <f t="shared" si="72"/>
        <v>0.9</v>
      </c>
      <c r="AB126" s="1797">
        <f t="shared" si="73"/>
        <v>6.4329999999999998E-2</v>
      </c>
      <c r="AC126" s="1798" t="str">
        <f t="shared" si="74"/>
        <v>ADC12</v>
      </c>
      <c r="AD126" s="1535" t="b">
        <f t="shared" si="75"/>
        <v>1</v>
      </c>
      <c r="AE126" s="1535" t="b">
        <f t="shared" si="76"/>
        <v>1</v>
      </c>
      <c r="AF126" s="1535" t="b">
        <f t="shared" si="77"/>
        <v>1</v>
      </c>
    </row>
    <row r="127" spans="1:32" ht="18.75" customHeight="1">
      <c r="A127" s="7225"/>
      <c r="B127" s="7200"/>
      <c r="C127" s="10"/>
      <c r="D127" s="7" t="s">
        <v>865</v>
      </c>
      <c r="E127" s="7">
        <v>21</v>
      </c>
      <c r="F127" s="1746" t="str">
        <f t="shared" si="49"/>
        <v>DCU15 Cover</v>
      </c>
      <c r="G127" s="1747">
        <f>IFERROR(VLOOKUP(F127,B.BasicInfomation!$B:$O,6,0),"")</f>
        <v>0.9</v>
      </c>
      <c r="H127" s="1809">
        <f>IFERROR(VLOOKUP(F127,B.BasicInfomation!B:O,8,0),"")</f>
        <v>6.4329999999999998E-2</v>
      </c>
      <c r="I127" s="3671" t="str">
        <f>IFERROR(VLOOKUP(F127,B.BasicInfomation!B:O,14,0),"")</f>
        <v>ADC12</v>
      </c>
      <c r="J127" s="4688">
        <f t="shared" ref="J127:U127" si="79">J43/$G127/$G$87</f>
        <v>28195.149054379701</v>
      </c>
      <c r="K127" s="5056">
        <f t="shared" si="79"/>
        <v>33098.653237750084</v>
      </c>
      <c r="L127" s="5533">
        <f t="shared" si="79"/>
        <v>79681.942979768704</v>
      </c>
      <c r="M127" s="4682">
        <f t="shared" si="79"/>
        <v>80246.91358024691</v>
      </c>
      <c r="N127" s="1572">
        <f t="shared" si="79"/>
        <v>0</v>
      </c>
      <c r="O127" s="1574">
        <f t="shared" si="79"/>
        <v>28395.06172839506</v>
      </c>
      <c r="P127" s="1646">
        <f t="shared" si="79"/>
        <v>28395.06172839506</v>
      </c>
      <c r="Q127" s="1572">
        <f t="shared" si="79"/>
        <v>28395.06172839506</v>
      </c>
      <c r="R127" s="1573">
        <f t="shared" si="79"/>
        <v>27469.135802469136</v>
      </c>
      <c r="S127" s="1751">
        <f t="shared" si="79"/>
        <v>27469.135802469136</v>
      </c>
      <c r="T127" s="1572">
        <f t="shared" si="79"/>
        <v>27469.135802469136</v>
      </c>
      <c r="U127" s="1573">
        <f t="shared" si="79"/>
        <v>27469.135802469136</v>
      </c>
      <c r="V127" s="1575">
        <f t="shared" si="28"/>
        <v>416284.38724720723</v>
      </c>
      <c r="AA127" s="1719">
        <f t="shared" si="72"/>
        <v>0.9</v>
      </c>
      <c r="AB127" s="1797">
        <f t="shared" si="73"/>
        <v>6.4329999999999998E-2</v>
      </c>
      <c r="AC127" s="1798" t="str">
        <f t="shared" si="74"/>
        <v>ADC12</v>
      </c>
      <c r="AD127" s="1535" t="b">
        <f t="shared" si="75"/>
        <v>1</v>
      </c>
      <c r="AE127" s="1535" t="b">
        <f t="shared" si="76"/>
        <v>1</v>
      </c>
      <c r="AF127" s="1535" t="b">
        <f t="shared" si="77"/>
        <v>1</v>
      </c>
    </row>
    <row r="128" spans="1:32" ht="18.75" customHeight="1">
      <c r="A128" s="7225"/>
      <c r="B128" s="7200"/>
      <c r="C128" s="10"/>
      <c r="D128" s="10"/>
      <c r="E128" s="8"/>
      <c r="F128" s="1658" t="str">
        <f t="shared" si="49"/>
        <v>FCM30-Lower Housing</v>
      </c>
      <c r="G128" s="1723">
        <f>IFERROR(VLOOKUP(F128,B.BasicInfomation!$B:$O,6,0),"")</f>
        <v>0.9</v>
      </c>
      <c r="H128" s="1797">
        <f>IFERROR(VLOOKUP(F128,B.BasicInfomation!B:O,8,0),"")</f>
        <v>6.4329999999999998E-2</v>
      </c>
      <c r="I128" s="3667" t="str">
        <f>IFERROR(VLOOKUP(F128,B.BasicInfomation!B:O,14,0),"")</f>
        <v>ADC12</v>
      </c>
      <c r="J128" s="4576">
        <f t="shared" ref="J128:U128" si="80">J44/$G128/$G$87</f>
        <v>0</v>
      </c>
      <c r="K128" s="5006">
        <f t="shared" si="80"/>
        <v>0</v>
      </c>
      <c r="L128" s="5498">
        <f t="shared" si="80"/>
        <v>0</v>
      </c>
      <c r="M128" s="2649">
        <f t="shared" si="80"/>
        <v>0</v>
      </c>
      <c r="N128" s="1554">
        <f t="shared" si="80"/>
        <v>0</v>
      </c>
      <c r="O128" s="1556">
        <f t="shared" si="80"/>
        <v>0</v>
      </c>
      <c r="P128" s="1722">
        <f t="shared" si="80"/>
        <v>0</v>
      </c>
      <c r="Q128" s="1554">
        <f t="shared" si="80"/>
        <v>0</v>
      </c>
      <c r="R128" s="1555">
        <f t="shared" si="80"/>
        <v>0</v>
      </c>
      <c r="S128" s="1599">
        <f t="shared" si="80"/>
        <v>0</v>
      </c>
      <c r="T128" s="1554">
        <f t="shared" si="80"/>
        <v>0</v>
      </c>
      <c r="U128" s="1555">
        <f t="shared" si="80"/>
        <v>0</v>
      </c>
      <c r="V128" s="1557">
        <f t="shared" si="28"/>
        <v>0</v>
      </c>
      <c r="AA128" s="1719">
        <f t="shared" si="72"/>
        <v>0.9</v>
      </c>
      <c r="AB128" s="1797">
        <f t="shared" si="73"/>
        <v>6.4329999999999998E-2</v>
      </c>
      <c r="AC128" s="1798" t="str">
        <f t="shared" si="74"/>
        <v>ADC12</v>
      </c>
      <c r="AD128" s="1535" t="b">
        <f t="shared" si="75"/>
        <v>1</v>
      </c>
      <c r="AE128" s="1535" t="b">
        <f t="shared" si="76"/>
        <v>1</v>
      </c>
      <c r="AF128" s="1535" t="b">
        <f t="shared" si="77"/>
        <v>1</v>
      </c>
    </row>
    <row r="129" spans="1:32" ht="18.75" customHeight="1">
      <c r="A129" s="7225"/>
      <c r="B129" s="7200"/>
      <c r="C129" s="10"/>
      <c r="D129" s="1811"/>
      <c r="E129" s="1811"/>
      <c r="F129" s="1753" t="str">
        <f t="shared" si="49"/>
        <v>OMS Entry Vcsel Cover(250A)</v>
      </c>
      <c r="G129" s="1754">
        <f>IFERROR(VLOOKUP(F129,B.BasicInfomation!$B:$O,6,0),"")</f>
        <v>0.85</v>
      </c>
      <c r="H129" s="1810">
        <f>IFERROR(VLOOKUP(F129,B.BasicInfomation!B:O,8,0),"")</f>
        <v>6.4329999999999998E-2</v>
      </c>
      <c r="I129" s="3672" t="str">
        <f>IFERROR(VLOOKUP(F129,B.BasicInfomation!B:O,14,0),"")</f>
        <v>ADC12</v>
      </c>
      <c r="J129" s="4689">
        <f t="shared" ref="J129:U129" si="81">J45/$G129/$G$87</f>
        <v>0</v>
      </c>
      <c r="K129" s="5054">
        <f t="shared" si="81"/>
        <v>0</v>
      </c>
      <c r="L129" s="5524">
        <f t="shared" si="81"/>
        <v>0</v>
      </c>
      <c r="M129" s="4683">
        <f t="shared" si="81"/>
        <v>0</v>
      </c>
      <c r="N129" s="1578">
        <f t="shared" si="81"/>
        <v>0</v>
      </c>
      <c r="O129" s="1580">
        <f t="shared" si="81"/>
        <v>0</v>
      </c>
      <c r="P129" s="1757">
        <f t="shared" si="81"/>
        <v>0</v>
      </c>
      <c r="Q129" s="1578">
        <f t="shared" si="81"/>
        <v>0</v>
      </c>
      <c r="R129" s="1579">
        <f t="shared" si="81"/>
        <v>0</v>
      </c>
      <c r="S129" s="1758">
        <f t="shared" si="81"/>
        <v>0</v>
      </c>
      <c r="T129" s="1578">
        <f t="shared" si="81"/>
        <v>0</v>
      </c>
      <c r="U129" s="1579">
        <f t="shared" si="81"/>
        <v>0</v>
      </c>
      <c r="V129" s="1581">
        <f t="shared" si="28"/>
        <v>0</v>
      </c>
      <c r="AA129" s="1719">
        <f t="shared" si="72"/>
        <v>0.85</v>
      </c>
      <c r="AB129" s="1797">
        <f t="shared" si="73"/>
        <v>6.4329999999999998E-2</v>
      </c>
      <c r="AC129" s="1798" t="str">
        <f t="shared" si="74"/>
        <v>ADC12</v>
      </c>
      <c r="AD129" s="1535" t="b">
        <f t="shared" si="75"/>
        <v>1</v>
      </c>
      <c r="AE129" s="1535" t="b">
        <f t="shared" si="76"/>
        <v>1</v>
      </c>
      <c r="AF129" s="1535" t="b">
        <f t="shared" si="77"/>
        <v>1</v>
      </c>
    </row>
    <row r="130" spans="1:32" ht="18.75" customHeight="1">
      <c r="A130" s="7225"/>
      <c r="B130" s="7200"/>
      <c r="C130" s="10"/>
      <c r="D130" s="8"/>
      <c r="E130" s="8"/>
      <c r="F130" s="1658" t="str">
        <f t="shared" si="49"/>
        <v>HKMC Ikc Camera Base</v>
      </c>
      <c r="G130" s="1723">
        <f>IFERROR(VLOOKUP(F130,B.BasicInfomation!$B:$O,6,0),"")</f>
        <v>0.74</v>
      </c>
      <c r="H130" s="1797">
        <f>IFERROR(VLOOKUP(F130,B.BasicInfomation!B:O,8,0),"")</f>
        <v>6.4329999999999998E-2</v>
      </c>
      <c r="I130" s="3667" t="str">
        <f>IFERROR(VLOOKUP(F130,B.BasicInfomation!B:O,14,0),"")</f>
        <v>ADC12</v>
      </c>
      <c r="J130" s="4576">
        <f t="shared" ref="J130:U130" si="82">J46/$G130/$G$87</f>
        <v>2486.4864864864867</v>
      </c>
      <c r="K130" s="5006">
        <f t="shared" si="82"/>
        <v>0</v>
      </c>
      <c r="L130" s="5498">
        <f t="shared" si="82"/>
        <v>256.75675675675672</v>
      </c>
      <c r="M130" s="2649">
        <f t="shared" si="82"/>
        <v>1665.1651651651653</v>
      </c>
      <c r="N130" s="1554">
        <f t="shared" si="82"/>
        <v>0</v>
      </c>
      <c r="O130" s="1556">
        <f t="shared" si="82"/>
        <v>2412.9129129129128</v>
      </c>
      <c r="P130" s="1722">
        <f t="shared" si="82"/>
        <v>0</v>
      </c>
      <c r="Q130" s="1554">
        <f t="shared" si="82"/>
        <v>0</v>
      </c>
      <c r="R130" s="1555">
        <f t="shared" si="82"/>
        <v>0</v>
      </c>
      <c r="S130" s="1599">
        <f t="shared" si="82"/>
        <v>0</v>
      </c>
      <c r="T130" s="1554">
        <f t="shared" si="82"/>
        <v>0</v>
      </c>
      <c r="U130" s="1555">
        <f t="shared" si="82"/>
        <v>0</v>
      </c>
      <c r="V130" s="1557">
        <f t="shared" si="28"/>
        <v>6821.3213213213221</v>
      </c>
      <c r="AA130" s="1719">
        <f t="shared" si="72"/>
        <v>0.74</v>
      </c>
      <c r="AB130" s="1797">
        <f t="shared" si="73"/>
        <v>6.4329999999999998E-2</v>
      </c>
      <c r="AC130" s="1798" t="str">
        <f t="shared" si="74"/>
        <v>ADC12</v>
      </c>
      <c r="AD130" s="1535" t="b">
        <f t="shared" si="75"/>
        <v>1</v>
      </c>
      <c r="AE130" s="1535" t="b">
        <f t="shared" si="76"/>
        <v>1</v>
      </c>
      <c r="AF130" s="1535" t="b">
        <f t="shared" si="77"/>
        <v>1</v>
      </c>
    </row>
    <row r="131" spans="1:32" ht="18.75" customHeight="1">
      <c r="A131" s="7225"/>
      <c r="B131" s="7200"/>
      <c r="C131" s="10"/>
      <c r="D131" s="8" t="s">
        <v>868</v>
      </c>
      <c r="E131" s="8"/>
      <c r="F131" s="1658" t="str">
        <f t="shared" si="49"/>
        <v>OMS Entry Lens Holder (203A)</v>
      </c>
      <c r="G131" s="1723">
        <f>IFERROR(VLOOKUP(F131,B.BasicInfomation!$B:$O,6,0),"")</f>
        <v>0.75</v>
      </c>
      <c r="H131" s="1797">
        <f>IFERROR(VLOOKUP(F131,B.BasicInfomation!B:O,8,0),"")</f>
        <v>6.4329999999999998E-2</v>
      </c>
      <c r="I131" s="3667" t="str">
        <f>IFERROR(VLOOKUP(F131,B.BasicInfomation!B:O,14,0),"")</f>
        <v>ADC12</v>
      </c>
      <c r="J131" s="4576">
        <f t="shared" ref="J131:U131" si="83">J47/$G131/$G$87</f>
        <v>0</v>
      </c>
      <c r="K131" s="5006">
        <f t="shared" si="83"/>
        <v>0</v>
      </c>
      <c r="L131" s="5498">
        <f t="shared" si="83"/>
        <v>0</v>
      </c>
      <c r="M131" s="2649">
        <f t="shared" si="83"/>
        <v>0</v>
      </c>
      <c r="N131" s="1554">
        <f t="shared" si="83"/>
        <v>0</v>
      </c>
      <c r="O131" s="1556">
        <f t="shared" si="83"/>
        <v>0</v>
      </c>
      <c r="P131" s="1722">
        <f t="shared" si="83"/>
        <v>0</v>
      </c>
      <c r="Q131" s="1554">
        <f t="shared" si="83"/>
        <v>0</v>
      </c>
      <c r="R131" s="1555">
        <f t="shared" si="83"/>
        <v>0</v>
      </c>
      <c r="S131" s="1599">
        <f t="shared" si="83"/>
        <v>0</v>
      </c>
      <c r="T131" s="1554">
        <f t="shared" si="83"/>
        <v>0</v>
      </c>
      <c r="U131" s="1555">
        <f t="shared" si="83"/>
        <v>0</v>
      </c>
      <c r="V131" s="1557">
        <f t="shared" si="28"/>
        <v>0</v>
      </c>
      <c r="AA131" s="1719">
        <f t="shared" si="72"/>
        <v>0.75</v>
      </c>
      <c r="AB131" s="1797">
        <f t="shared" si="73"/>
        <v>6.4329999999999998E-2</v>
      </c>
      <c r="AC131" s="1798" t="str">
        <f t="shared" si="74"/>
        <v>ADC12</v>
      </c>
      <c r="AD131" s="1535" t="b">
        <f t="shared" si="75"/>
        <v>1</v>
      </c>
      <c r="AE131" s="1535" t="b">
        <f t="shared" si="76"/>
        <v>1</v>
      </c>
      <c r="AF131" s="1535" t="b">
        <f t="shared" si="77"/>
        <v>1</v>
      </c>
    </row>
    <row r="132" spans="1:32" ht="18.75" customHeight="1">
      <c r="A132" s="7225"/>
      <c r="B132" s="7200"/>
      <c r="C132" s="10"/>
      <c r="D132" s="10"/>
      <c r="E132" s="10"/>
      <c r="F132" s="1658" t="str">
        <f t="shared" si="49"/>
        <v>OMS Front Lens Holder (207A)</v>
      </c>
      <c r="G132" s="1723">
        <f>IFERROR(VLOOKUP(F132,B.BasicInfomation!$B:$O,6,0),"")</f>
        <v>0.75</v>
      </c>
      <c r="H132" s="1797">
        <f>IFERROR(VLOOKUP(F132,B.BasicInfomation!B:O,8,0),"")</f>
        <v>6.4329999999999998E-2</v>
      </c>
      <c r="I132" s="3667" t="str">
        <f>IFERROR(VLOOKUP(F132,B.BasicInfomation!B:O,14,0),"")</f>
        <v>ADC12</v>
      </c>
      <c r="J132" s="4576">
        <f t="shared" ref="J132:U132" si="84">J48/$G132/$G$87</f>
        <v>0</v>
      </c>
      <c r="K132" s="5006">
        <f t="shared" si="84"/>
        <v>0</v>
      </c>
      <c r="L132" s="5498">
        <f t="shared" si="84"/>
        <v>0</v>
      </c>
      <c r="M132" s="2649">
        <f t="shared" si="84"/>
        <v>0</v>
      </c>
      <c r="N132" s="1554">
        <f t="shared" si="84"/>
        <v>96000</v>
      </c>
      <c r="O132" s="1556">
        <f t="shared" si="84"/>
        <v>122740.74074074074</v>
      </c>
      <c r="P132" s="1722">
        <f t="shared" si="84"/>
        <v>122740.74074074074</v>
      </c>
      <c r="Q132" s="1554">
        <f t="shared" si="84"/>
        <v>122740.74074074074</v>
      </c>
      <c r="R132" s="1555">
        <f t="shared" si="84"/>
        <v>122740.74074074074</v>
      </c>
      <c r="S132" s="1599">
        <f t="shared" si="84"/>
        <v>122740.74074074074</v>
      </c>
      <c r="T132" s="1554">
        <f t="shared" si="84"/>
        <v>122740.74074074074</v>
      </c>
      <c r="U132" s="1555">
        <f t="shared" si="84"/>
        <v>122740.74074074074</v>
      </c>
      <c r="V132" s="1557">
        <f t="shared" si="28"/>
        <v>955185.18518518528</v>
      </c>
      <c r="AA132" s="1719">
        <f t="shared" si="72"/>
        <v>0.75</v>
      </c>
      <c r="AB132" s="1797">
        <f t="shared" si="73"/>
        <v>6.4329999999999998E-2</v>
      </c>
      <c r="AC132" s="1798" t="str">
        <f t="shared" si="74"/>
        <v>ADC12</v>
      </c>
      <c r="AD132" s="1535" t="b">
        <f t="shared" si="75"/>
        <v>1</v>
      </c>
      <c r="AE132" s="1535" t="b">
        <f t="shared" si="76"/>
        <v>1</v>
      </c>
      <c r="AF132" s="1535" t="b">
        <f t="shared" si="77"/>
        <v>1</v>
      </c>
    </row>
    <row r="133" spans="1:32" ht="18.75" customHeight="1">
      <c r="A133" s="7225"/>
      <c r="B133" s="7200"/>
      <c r="C133" s="10"/>
      <c r="D133" s="10"/>
      <c r="E133" s="10">
        <v>22</v>
      </c>
      <c r="F133" s="1658" t="str">
        <f t="shared" si="49"/>
        <v>MPC5.5 Cover Lens</v>
      </c>
      <c r="G133" s="1723">
        <f>IFERROR(VLOOKUP(F133,B.BasicInfomation!$B:$O,6,0),"")</f>
        <v>0.8</v>
      </c>
      <c r="H133" s="1797">
        <f>IFERROR(VLOOKUP(F133,B.BasicInfomation!B:O,8,0),"")</f>
        <v>6.4329999999999998E-2</v>
      </c>
      <c r="I133" s="3667" t="str">
        <f>IFERROR(VLOOKUP(F133,B.BasicInfomation!B:O,14,0),"")</f>
        <v>ADC12</v>
      </c>
      <c r="J133" s="4576">
        <f t="shared" ref="J133:U133" si="85">J49/$G133/$G$87</f>
        <v>202464.20282874283</v>
      </c>
      <c r="K133" s="5006">
        <f t="shared" si="85"/>
        <v>112237.74482078302</v>
      </c>
      <c r="L133" s="5498">
        <f t="shared" si="85"/>
        <v>202464.20282874283</v>
      </c>
      <c r="M133" s="2649">
        <f t="shared" si="85"/>
        <v>166609.91297767687</v>
      </c>
      <c r="N133" s="1554">
        <f t="shared" si="85"/>
        <v>89969.353007945509</v>
      </c>
      <c r="O133" s="1556">
        <f t="shared" si="85"/>
        <v>115030.26075167109</v>
      </c>
      <c r="P133" s="1722">
        <f t="shared" si="85"/>
        <v>115030.26075167109</v>
      </c>
      <c r="Q133" s="1554">
        <f t="shared" si="85"/>
        <v>115030.26075167109</v>
      </c>
      <c r="R133" s="1555">
        <f t="shared" si="85"/>
        <v>115030.26075167109</v>
      </c>
      <c r="S133" s="1599">
        <f t="shared" si="85"/>
        <v>115030.26075167109</v>
      </c>
      <c r="T133" s="1554">
        <f t="shared" si="85"/>
        <v>115030.26075167109</v>
      </c>
      <c r="U133" s="1555">
        <f t="shared" si="85"/>
        <v>115030.26075167109</v>
      </c>
      <c r="V133" s="1557">
        <f t="shared" si="28"/>
        <v>1578957.2417255887</v>
      </c>
      <c r="AA133" s="1719">
        <f t="shared" si="72"/>
        <v>0.8</v>
      </c>
      <c r="AB133" s="1797">
        <f t="shared" si="73"/>
        <v>6.4329999999999998E-2</v>
      </c>
      <c r="AC133" s="1798" t="str">
        <f t="shared" si="74"/>
        <v>ADC12</v>
      </c>
      <c r="AD133" s="1535" t="b">
        <f t="shared" si="75"/>
        <v>1</v>
      </c>
      <c r="AE133" s="1535" t="b">
        <f t="shared" si="76"/>
        <v>1</v>
      </c>
      <c r="AF133" s="1535" t="b">
        <f t="shared" si="77"/>
        <v>1</v>
      </c>
    </row>
    <row r="134" spans="1:32" ht="18.75" customHeight="1">
      <c r="A134" s="7225"/>
      <c r="B134" s="7200"/>
      <c r="C134" s="6"/>
      <c r="D134" s="10"/>
      <c r="E134" s="10"/>
      <c r="F134" s="1658" t="str">
        <f t="shared" si="49"/>
        <v xml:space="preserve">FCM30 Lens Holder </v>
      </c>
      <c r="G134" s="1723">
        <f>IFERROR(VLOOKUP(F134,B.BasicInfomation!$B:$O,6,0),"")</f>
        <v>0.75</v>
      </c>
      <c r="H134" s="1797">
        <f>IFERROR(VLOOKUP(F134,B.BasicInfomation!B:O,8,0),"")</f>
        <v>6.4329999999999998E-2</v>
      </c>
      <c r="I134" s="3667" t="str">
        <f>IFERROR(VLOOKUP(F134,B.BasicInfomation!B:O,14,0),"")</f>
        <v>ADC12</v>
      </c>
      <c r="J134" s="4576">
        <f t="shared" ref="J134:U134" si="86">J50/$G134/$G$87</f>
        <v>0</v>
      </c>
      <c r="K134" s="5006">
        <f t="shared" si="86"/>
        <v>0</v>
      </c>
      <c r="L134" s="5498">
        <f t="shared" si="86"/>
        <v>0</v>
      </c>
      <c r="M134" s="2649">
        <f t="shared" si="86"/>
        <v>0</v>
      </c>
      <c r="N134" s="1554">
        <f t="shared" si="86"/>
        <v>0</v>
      </c>
      <c r="O134" s="1556">
        <f t="shared" si="86"/>
        <v>0</v>
      </c>
      <c r="P134" s="1722">
        <f t="shared" si="86"/>
        <v>0</v>
      </c>
      <c r="Q134" s="1554">
        <f t="shared" si="86"/>
        <v>0</v>
      </c>
      <c r="R134" s="1555">
        <f t="shared" si="86"/>
        <v>0</v>
      </c>
      <c r="S134" s="1599">
        <f t="shared" si="86"/>
        <v>0</v>
      </c>
      <c r="T134" s="1554">
        <f t="shared" si="86"/>
        <v>0</v>
      </c>
      <c r="U134" s="1555">
        <f t="shared" si="86"/>
        <v>0</v>
      </c>
      <c r="V134" s="1557">
        <f t="shared" si="28"/>
        <v>0</v>
      </c>
      <c r="AA134" s="1719">
        <f t="shared" si="72"/>
        <v>0.75</v>
      </c>
      <c r="AB134" s="1797">
        <f t="shared" si="73"/>
        <v>6.4329999999999998E-2</v>
      </c>
      <c r="AC134" s="1798" t="str">
        <f t="shared" si="74"/>
        <v>ADC12</v>
      </c>
      <c r="AD134" s="1535" t="b">
        <f t="shared" si="75"/>
        <v>1</v>
      </c>
      <c r="AE134" s="1535" t="b">
        <f t="shared" si="76"/>
        <v>1</v>
      </c>
      <c r="AF134" s="1535" t="b">
        <f t="shared" si="77"/>
        <v>1</v>
      </c>
    </row>
    <row r="135" spans="1:32" s="1569" customFormat="1" ht="18.75" customHeight="1">
      <c r="A135" s="7225"/>
      <c r="B135" s="7200"/>
      <c r="C135" s="10" t="s">
        <v>398</v>
      </c>
      <c r="D135" s="1583" t="s">
        <v>848</v>
      </c>
      <c r="E135" s="1583">
        <v>23</v>
      </c>
      <c r="F135" s="1735" t="str">
        <f t="shared" si="49"/>
        <v>NX4 HSG</v>
      </c>
      <c r="G135" s="1736">
        <f>IFERROR(VLOOKUP(F135,B.BasicInfomation!$B:$O,6,0),"")</f>
        <v>0.79</v>
      </c>
      <c r="H135" s="1807">
        <f>IFERROR(VLOOKUP(F135,B.BasicInfomation!B:O,8,0),"")</f>
        <v>1.0724400000000001</v>
      </c>
      <c r="I135" s="3670" t="str">
        <f>IFERROR(VLOOKUP(F135,B.BasicInfomation!B:O,14,0),"")</f>
        <v>ADC12</v>
      </c>
      <c r="J135" s="4579">
        <f t="shared" ref="J135:U135" si="87">J51/$G135/$G$87</f>
        <v>42389.157664523824</v>
      </c>
      <c r="K135" s="4655">
        <f t="shared" si="87"/>
        <v>78043.534289143674</v>
      </c>
      <c r="L135" s="5582">
        <f t="shared" si="87"/>
        <v>74547.904654604892</v>
      </c>
      <c r="M135" s="4681">
        <f t="shared" si="87"/>
        <v>59351.551166780802</v>
      </c>
      <c r="N135" s="1584">
        <f t="shared" si="87"/>
        <v>0</v>
      </c>
      <c r="O135" s="1586">
        <f t="shared" si="87"/>
        <v>0</v>
      </c>
      <c r="P135" s="1742">
        <f t="shared" si="87"/>
        <v>0</v>
      </c>
      <c r="Q135" s="1584">
        <f t="shared" si="87"/>
        <v>0</v>
      </c>
      <c r="R135" s="1585">
        <f t="shared" si="87"/>
        <v>68917.018284106889</v>
      </c>
      <c r="S135" s="1812">
        <f t="shared" si="87"/>
        <v>68917.018284106889</v>
      </c>
      <c r="T135" s="1584">
        <f t="shared" si="87"/>
        <v>52039.381153305207</v>
      </c>
      <c r="U135" s="1585">
        <f t="shared" si="87"/>
        <v>52039.381153305207</v>
      </c>
      <c r="V135" s="1587">
        <f t="shared" si="28"/>
        <v>496244.94664987735</v>
      </c>
      <c r="Y135" s="1535"/>
      <c r="AA135" s="1719">
        <f t="shared" si="72"/>
        <v>0.79</v>
      </c>
      <c r="AB135" s="1797">
        <f t="shared" si="73"/>
        <v>1.0724400000000001</v>
      </c>
      <c r="AC135" s="1798" t="str">
        <f t="shared" si="74"/>
        <v>ADC12</v>
      </c>
      <c r="AD135" s="1535" t="b">
        <f t="shared" si="75"/>
        <v>1</v>
      </c>
      <c r="AE135" s="1535" t="b">
        <f t="shared" si="76"/>
        <v>1</v>
      </c>
      <c r="AF135" s="1535" t="b">
        <f t="shared" si="77"/>
        <v>1</v>
      </c>
    </row>
    <row r="136" spans="1:32" ht="18.75" customHeight="1">
      <c r="A136" s="7225"/>
      <c r="B136" s="7200"/>
      <c r="C136" s="10"/>
      <c r="D136" s="1588"/>
      <c r="E136" s="1588">
        <v>24</v>
      </c>
      <c r="F136" s="1658" t="str">
        <f t="shared" ref="F136:F166" si="88">F52</f>
        <v>IMEB2 Housing</v>
      </c>
      <c r="G136" s="1723">
        <f>IFERROR(VLOOKUP(F136,B.BasicInfomation!$B:$O,6,0),"")</f>
        <v>0.79</v>
      </c>
      <c r="H136" s="1797">
        <f>IFERROR(VLOOKUP(F136,B.BasicInfomation!B:O,8,0),"")</f>
        <v>1.0724400000000001</v>
      </c>
      <c r="I136" s="3667" t="str">
        <f>IFERROR(VLOOKUP(F136,B.BasicInfomation!B:O,14,0),"")</f>
        <v>ADC12</v>
      </c>
      <c r="J136" s="4551">
        <f t="shared" ref="J136:U136" si="89">J52/$G136/$G$87</f>
        <v>59798.610450176064</v>
      </c>
      <c r="K136" s="5006">
        <f t="shared" si="89"/>
        <v>39617.017226610835</v>
      </c>
      <c r="L136" s="5498">
        <f t="shared" si="89"/>
        <v>63989.340439706852</v>
      </c>
      <c r="M136" s="2649">
        <f t="shared" si="89"/>
        <v>56684.496050252215</v>
      </c>
      <c r="N136" s="1554">
        <f t="shared" si="89"/>
        <v>59736.175882744821</v>
      </c>
      <c r="O136" s="1556">
        <f t="shared" si="89"/>
        <v>61974.683544303793</v>
      </c>
      <c r="P136" s="1722">
        <f t="shared" si="89"/>
        <v>61884.669479606186</v>
      </c>
      <c r="Q136" s="1554">
        <f t="shared" si="89"/>
        <v>59071.729957805903</v>
      </c>
      <c r="R136" s="1555">
        <f t="shared" si="89"/>
        <v>67510.548523206744</v>
      </c>
      <c r="S136" s="1599">
        <f t="shared" si="89"/>
        <v>56258.79043600562</v>
      </c>
      <c r="T136" s="1554">
        <f t="shared" si="89"/>
        <v>58368.495077355838</v>
      </c>
      <c r="U136" s="1555">
        <f t="shared" si="89"/>
        <v>58368.495077355838</v>
      </c>
      <c r="V136" s="1557">
        <f t="shared" si="28"/>
        <v>703263.05214513082</v>
      </c>
      <c r="AA136" s="1719">
        <f t="shared" si="72"/>
        <v>0.79</v>
      </c>
      <c r="AB136" s="1797">
        <f t="shared" si="73"/>
        <v>1.0724400000000001</v>
      </c>
      <c r="AC136" s="1798" t="str">
        <f t="shared" si="74"/>
        <v>ADC12</v>
      </c>
      <c r="AD136" s="1535" t="b">
        <f t="shared" si="75"/>
        <v>1</v>
      </c>
      <c r="AE136" s="1535" t="b">
        <f t="shared" si="76"/>
        <v>1</v>
      </c>
      <c r="AF136" s="1535" t="b">
        <f t="shared" si="77"/>
        <v>1</v>
      </c>
    </row>
    <row r="137" spans="1:32" ht="18.75" customHeight="1">
      <c r="A137" s="7225"/>
      <c r="B137" s="7200"/>
      <c r="C137" s="10"/>
      <c r="D137" s="1588"/>
      <c r="E137" s="1588">
        <v>25</v>
      </c>
      <c r="F137" s="1658" t="str">
        <f t="shared" si="88"/>
        <v>J100 Housing</v>
      </c>
      <c r="G137" s="1723">
        <f>IFERROR(VLOOKUP(F137,B.BasicInfomation!$B:$O,6,0),"")</f>
        <v>0.79</v>
      </c>
      <c r="H137" s="1797">
        <f>IFERROR(VLOOKUP(F137,B.BasicInfomation!B:O,8,0),"")</f>
        <v>1.0724400000000001</v>
      </c>
      <c r="I137" s="3667" t="str">
        <f>IFERROR(VLOOKUP(F137,B.BasicInfomation!B:O,14,0),"")</f>
        <v>ADC12</v>
      </c>
      <c r="J137" s="4576">
        <f t="shared" ref="J137:U137" si="90">J53/$G137/$G$87</f>
        <v>7088.6075949367078</v>
      </c>
      <c r="K137" s="5006">
        <f t="shared" si="90"/>
        <v>7436.0056258790428</v>
      </c>
      <c r="L137" s="5498">
        <f t="shared" si="90"/>
        <v>0</v>
      </c>
      <c r="M137" s="2649">
        <f t="shared" si="90"/>
        <v>14721.050164088139</v>
      </c>
      <c r="N137" s="1554">
        <f t="shared" si="90"/>
        <v>8790.4360056258774</v>
      </c>
      <c r="O137" s="1556">
        <f t="shared" si="90"/>
        <v>9142.0534458509137</v>
      </c>
      <c r="P137" s="1722">
        <f t="shared" si="90"/>
        <v>9142.0534458509137</v>
      </c>
      <c r="Q137" s="1554">
        <f t="shared" si="90"/>
        <v>9142.0534458509137</v>
      </c>
      <c r="R137" s="1555">
        <f t="shared" si="90"/>
        <v>9142.0534458509137</v>
      </c>
      <c r="S137" s="1599">
        <f t="shared" si="90"/>
        <v>12025.316455696202</v>
      </c>
      <c r="T137" s="1554">
        <f t="shared" si="90"/>
        <v>8016.8776371308013</v>
      </c>
      <c r="U137" s="1555">
        <f t="shared" si="90"/>
        <v>8016.8776371308013</v>
      </c>
      <c r="V137" s="1557">
        <f t="shared" si="28"/>
        <v>102663.38490389123</v>
      </c>
      <c r="AA137" s="1719">
        <f t="shared" si="72"/>
        <v>0.79</v>
      </c>
      <c r="AB137" s="1797">
        <f t="shared" si="73"/>
        <v>1.0724400000000001</v>
      </c>
      <c r="AC137" s="1798" t="str">
        <f t="shared" si="74"/>
        <v>ADC12</v>
      </c>
      <c r="AD137" s="1535" t="b">
        <f t="shared" si="75"/>
        <v>1</v>
      </c>
      <c r="AE137" s="1535" t="b">
        <f t="shared" si="76"/>
        <v>1</v>
      </c>
      <c r="AF137" s="1535" t="b">
        <f t="shared" si="77"/>
        <v>1</v>
      </c>
    </row>
    <row r="138" spans="1:32" ht="18.75" customHeight="1">
      <c r="A138" s="7225"/>
      <c r="B138" s="7200"/>
      <c r="C138" s="10"/>
      <c r="D138" s="1588"/>
      <c r="E138" s="1588"/>
      <c r="F138" s="1658" t="str">
        <f t="shared" si="88"/>
        <v>BENZ R-EPS HSG (Anodizing)</v>
      </c>
      <c r="G138" s="1723">
        <f>IFERROR(VLOOKUP(F138,B.BasicInfomation!$B:$O,6,0),"")</f>
        <v>0.7</v>
      </c>
      <c r="H138" s="1797">
        <f>IFERROR(VLOOKUP(F138,B.BasicInfomation!B:O,8,0),"")</f>
        <v>1.0724400000000001</v>
      </c>
      <c r="I138" s="3667" t="str">
        <f>IFERROR(VLOOKUP(F138,B.BasicInfomation!B:O,14,0),"")</f>
        <v>ADC12</v>
      </c>
      <c r="J138" s="4576">
        <f t="shared" ref="J138:U138" si="91">J54/$G138/$G$87</f>
        <v>0</v>
      </c>
      <c r="K138" s="5006">
        <f t="shared" si="91"/>
        <v>0</v>
      </c>
      <c r="L138" s="5498">
        <f t="shared" si="91"/>
        <v>0</v>
      </c>
      <c r="M138" s="2649">
        <f t="shared" si="91"/>
        <v>0</v>
      </c>
      <c r="N138" s="1554">
        <f t="shared" si="91"/>
        <v>0</v>
      </c>
      <c r="O138" s="1556">
        <f t="shared" si="91"/>
        <v>0</v>
      </c>
      <c r="P138" s="1722">
        <f t="shared" si="91"/>
        <v>0</v>
      </c>
      <c r="Q138" s="1554">
        <f t="shared" si="91"/>
        <v>0</v>
      </c>
      <c r="R138" s="1555">
        <f t="shared" si="91"/>
        <v>0</v>
      </c>
      <c r="S138" s="1599">
        <f t="shared" si="91"/>
        <v>0</v>
      </c>
      <c r="T138" s="1554">
        <f t="shared" si="91"/>
        <v>0</v>
      </c>
      <c r="U138" s="1555">
        <f t="shared" si="91"/>
        <v>0</v>
      </c>
      <c r="V138" s="1557">
        <f t="shared" si="28"/>
        <v>0</v>
      </c>
      <c r="AA138" s="1719">
        <f t="shared" si="72"/>
        <v>0.7</v>
      </c>
      <c r="AB138" s="1797">
        <f t="shared" si="73"/>
        <v>1.0724400000000001</v>
      </c>
      <c r="AC138" s="1798" t="str">
        <f t="shared" si="74"/>
        <v>ADC12</v>
      </c>
      <c r="AD138" s="1535" t="b">
        <f t="shared" si="75"/>
        <v>1</v>
      </c>
      <c r="AE138" s="1535" t="b">
        <f t="shared" si="76"/>
        <v>1</v>
      </c>
      <c r="AF138" s="1535" t="b">
        <f t="shared" si="77"/>
        <v>1</v>
      </c>
    </row>
    <row r="139" spans="1:32" ht="18.75" customHeight="1">
      <c r="A139" s="7225"/>
      <c r="B139" s="7200"/>
      <c r="C139" s="10"/>
      <c r="D139" s="1588"/>
      <c r="E139" s="1588"/>
      <c r="F139" s="1658" t="str">
        <f t="shared" si="88"/>
        <v>NE2 R-EPS HSG</v>
      </c>
      <c r="G139" s="1723">
        <f>IFERROR(VLOOKUP(F139,B.BasicInfomation!$B:$O,6,0),"")</f>
        <v>0.7</v>
      </c>
      <c r="H139" s="1797">
        <f>IFERROR(VLOOKUP(F139,B.BasicInfomation!B:O,8,0),"")</f>
        <v>1.0724400000000001</v>
      </c>
      <c r="I139" s="3667" t="str">
        <f>IFERROR(VLOOKUP(F139,B.BasicInfomation!B:O,14,0),"")</f>
        <v>ADC12</v>
      </c>
      <c r="J139" s="4576">
        <f t="shared" ref="J139:U139" si="92">J55/$G139/$G$87</f>
        <v>0</v>
      </c>
      <c r="K139" s="5006">
        <f t="shared" si="92"/>
        <v>0</v>
      </c>
      <c r="L139" s="5498">
        <f t="shared" si="92"/>
        <v>0</v>
      </c>
      <c r="M139" s="2649">
        <f t="shared" si="92"/>
        <v>0</v>
      </c>
      <c r="N139" s="1554">
        <f t="shared" si="92"/>
        <v>0</v>
      </c>
      <c r="O139" s="1556">
        <f t="shared" si="92"/>
        <v>0</v>
      </c>
      <c r="P139" s="1722">
        <f t="shared" si="92"/>
        <v>0</v>
      </c>
      <c r="Q139" s="1554">
        <f t="shared" si="92"/>
        <v>0</v>
      </c>
      <c r="R139" s="1555">
        <f t="shared" si="92"/>
        <v>0</v>
      </c>
      <c r="S139" s="1599">
        <f t="shared" si="92"/>
        <v>0</v>
      </c>
      <c r="T139" s="1554">
        <f t="shared" si="92"/>
        <v>0</v>
      </c>
      <c r="U139" s="1555">
        <f t="shared" si="92"/>
        <v>0</v>
      </c>
      <c r="V139" s="1557">
        <f t="shared" si="28"/>
        <v>0</v>
      </c>
      <c r="AA139" s="1719">
        <f t="shared" si="72"/>
        <v>0.7</v>
      </c>
      <c r="AB139" s="1797">
        <f t="shared" si="73"/>
        <v>1.0724400000000001</v>
      </c>
      <c r="AC139" s="1798" t="str">
        <f t="shared" si="74"/>
        <v>ADC12</v>
      </c>
      <c r="AD139" s="1535" t="b">
        <f t="shared" si="75"/>
        <v>1</v>
      </c>
      <c r="AE139" s="1535" t="b">
        <f t="shared" si="76"/>
        <v>1</v>
      </c>
      <c r="AF139" s="1535" t="b">
        <f t="shared" si="77"/>
        <v>1</v>
      </c>
    </row>
    <row r="140" spans="1:32" ht="18.75" customHeight="1">
      <c r="A140" s="7225"/>
      <c r="B140" s="7200"/>
      <c r="C140" s="10"/>
      <c r="D140" s="1588"/>
      <c r="E140" s="1588"/>
      <c r="F140" s="1658" t="str">
        <f t="shared" si="88"/>
        <v>M184 R-EPS HSG</v>
      </c>
      <c r="G140" s="1723">
        <f>IFERROR(VLOOKUP(F140,B.BasicInfomation!$B:$O,6,0),"")</f>
        <v>0.7</v>
      </c>
      <c r="H140" s="1797">
        <f>IFERROR(VLOOKUP(F140,B.BasicInfomation!B:O,8,0),"")</f>
        <v>1.0724400000000001</v>
      </c>
      <c r="I140" s="3667" t="str">
        <f>IFERROR(VLOOKUP(F140,B.BasicInfomation!B:O,14,0),"")</f>
        <v>ADC12</v>
      </c>
      <c r="J140" s="4576">
        <f t="shared" ref="J140:U140" si="93">J56/$G140/$G$87</f>
        <v>0</v>
      </c>
      <c r="K140" s="5006">
        <f t="shared" si="93"/>
        <v>0</v>
      </c>
      <c r="L140" s="5498">
        <f t="shared" si="93"/>
        <v>0</v>
      </c>
      <c r="M140" s="2649">
        <f t="shared" si="93"/>
        <v>0</v>
      </c>
      <c r="N140" s="1554">
        <f t="shared" si="93"/>
        <v>0</v>
      </c>
      <c r="O140" s="1556">
        <f t="shared" si="93"/>
        <v>0</v>
      </c>
      <c r="P140" s="1722">
        <f t="shared" si="93"/>
        <v>0</v>
      </c>
      <c r="Q140" s="1554">
        <f t="shared" si="93"/>
        <v>0</v>
      </c>
      <c r="R140" s="1555">
        <f t="shared" si="93"/>
        <v>0</v>
      </c>
      <c r="S140" s="1599">
        <f t="shared" si="93"/>
        <v>0</v>
      </c>
      <c r="T140" s="1554">
        <f t="shared" si="93"/>
        <v>0</v>
      </c>
      <c r="U140" s="1555">
        <f t="shared" si="93"/>
        <v>0</v>
      </c>
      <c r="V140" s="1557">
        <f t="shared" si="28"/>
        <v>0</v>
      </c>
      <c r="AA140" s="1719">
        <f t="shared" si="72"/>
        <v>0.7</v>
      </c>
      <c r="AB140" s="1797">
        <f t="shared" si="73"/>
        <v>1.0724400000000001</v>
      </c>
      <c r="AC140" s="1798" t="str">
        <f t="shared" si="74"/>
        <v>ADC12</v>
      </c>
      <c r="AD140" s="1535" t="b">
        <f t="shared" si="75"/>
        <v>1</v>
      </c>
      <c r="AE140" s="1535" t="b">
        <f t="shared" si="76"/>
        <v>1</v>
      </c>
      <c r="AF140" s="1535" t="b">
        <f t="shared" si="77"/>
        <v>1</v>
      </c>
    </row>
    <row r="141" spans="1:32" ht="18.75" customHeight="1">
      <c r="A141" s="7225"/>
      <c r="B141" s="7200"/>
      <c r="C141" s="10"/>
      <c r="D141" s="7" t="s">
        <v>857</v>
      </c>
      <c r="E141" s="7">
        <v>26</v>
      </c>
      <c r="F141" s="1746" t="str">
        <f t="shared" si="88"/>
        <v>NX4 Cover</v>
      </c>
      <c r="G141" s="1747">
        <f>IFERROR(VLOOKUP(F141,B.BasicInfomation!$B:$O,6,0),"")</f>
        <v>0.84</v>
      </c>
      <c r="H141" s="1809">
        <f>IFERROR(VLOOKUP(F141,B.BasicInfomation!B:O,8,0),"")</f>
        <v>0.3</v>
      </c>
      <c r="I141" s="3671" t="str">
        <f>IFERROR(VLOOKUP(F141,B.BasicInfomation!B:O,14,0),"")</f>
        <v>ADC12</v>
      </c>
      <c r="J141" s="4688">
        <f t="shared" ref="J141:U141" si="94">J57/$G141/$G$87</f>
        <v>98408.064092461253</v>
      </c>
      <c r="K141" s="5056">
        <f t="shared" si="94"/>
        <v>147173.25227963529</v>
      </c>
      <c r="L141" s="5533">
        <f t="shared" si="94"/>
        <v>159692.59634507861</v>
      </c>
      <c r="M141" s="4682">
        <f t="shared" si="94"/>
        <v>74609.741453713083</v>
      </c>
      <c r="N141" s="1572">
        <f t="shared" si="94"/>
        <v>38581.560283687948</v>
      </c>
      <c r="O141" s="1574">
        <f t="shared" si="94"/>
        <v>40567.375886524824</v>
      </c>
      <c r="P141" s="1646">
        <f t="shared" si="94"/>
        <v>42553.191489361707</v>
      </c>
      <c r="Q141" s="1572">
        <f t="shared" si="94"/>
        <v>21276.595744680853</v>
      </c>
      <c r="R141" s="1573">
        <f t="shared" si="94"/>
        <v>21276.595744680853</v>
      </c>
      <c r="S141" s="1751">
        <f t="shared" si="94"/>
        <v>21276.595744680853</v>
      </c>
      <c r="T141" s="1572">
        <f t="shared" si="94"/>
        <v>21276.595744680853</v>
      </c>
      <c r="U141" s="1573">
        <f t="shared" si="94"/>
        <v>21276.595744680853</v>
      </c>
      <c r="V141" s="1575">
        <f t="shared" ref="V141:V159" si="95">SUM(J141:U141)</f>
        <v>707968.76055386697</v>
      </c>
      <c r="Y141" s="1569"/>
      <c r="AA141" s="1719">
        <f t="shared" si="72"/>
        <v>0.84</v>
      </c>
      <c r="AB141" s="1797">
        <f t="shared" si="73"/>
        <v>0.3</v>
      </c>
      <c r="AC141" s="1798" t="str">
        <f t="shared" si="74"/>
        <v>ADC12</v>
      </c>
      <c r="AD141" s="1535" t="b">
        <f t="shared" si="75"/>
        <v>1</v>
      </c>
      <c r="AE141" s="1535" t="b">
        <f t="shared" si="76"/>
        <v>1</v>
      </c>
      <c r="AF141" s="1535" t="b">
        <f t="shared" si="77"/>
        <v>1</v>
      </c>
    </row>
    <row r="142" spans="1:32" ht="18.75" customHeight="1">
      <c r="A142" s="7225"/>
      <c r="B142" s="7200"/>
      <c r="C142" s="10"/>
      <c r="D142" s="1576"/>
      <c r="E142" s="1576">
        <v>27</v>
      </c>
      <c r="F142" s="1753" t="str">
        <f t="shared" si="88"/>
        <v>Tey Gen4 Cover</v>
      </c>
      <c r="G142" s="1754">
        <f>IFERROR(VLOOKUP(F142,B.BasicInfomation!$B:$O,6,0),"")</f>
        <v>0.93</v>
      </c>
      <c r="H142" s="1810">
        <f>IFERROR(VLOOKUP(F142,B.BasicInfomation!B:O,8,0),"")</f>
        <v>0.3</v>
      </c>
      <c r="I142" s="3672" t="str">
        <f>IFERROR(VLOOKUP(F142,B.BasicInfomation!B:O,14,0),"")</f>
        <v>ADC12</v>
      </c>
      <c r="J142" s="4689">
        <f t="shared" ref="J142:U142" si="96">J58/$G142/$G$87</f>
        <v>109875.16994191075</v>
      </c>
      <c r="K142" s="5054">
        <f t="shared" si="96"/>
        <v>93336.62917645117</v>
      </c>
      <c r="L142" s="5524">
        <f t="shared" si="96"/>
        <v>111605.48757879125</v>
      </c>
      <c r="M142" s="4683">
        <f t="shared" si="96"/>
        <v>92006.701547673001</v>
      </c>
      <c r="N142" s="1578">
        <f t="shared" si="96"/>
        <v>100655.04881967619</v>
      </c>
      <c r="O142" s="1580">
        <f t="shared" si="96"/>
        <v>112058.39135390487</v>
      </c>
      <c r="P142" s="1757">
        <f t="shared" si="96"/>
        <v>97474.560210933952</v>
      </c>
      <c r="Q142" s="1578">
        <f t="shared" si="96"/>
        <v>95153.737348768875</v>
      </c>
      <c r="R142" s="1579">
        <f t="shared" si="96"/>
        <v>97474.560210933952</v>
      </c>
      <c r="S142" s="1758">
        <f t="shared" si="96"/>
        <v>95153.737348768875</v>
      </c>
      <c r="T142" s="1578">
        <f t="shared" si="96"/>
        <v>95153.737348768875</v>
      </c>
      <c r="U142" s="1579">
        <f t="shared" si="96"/>
        <v>95153.737348768875</v>
      </c>
      <c r="V142" s="1581">
        <f t="shared" si="95"/>
        <v>1195101.4982353505</v>
      </c>
      <c r="Y142" s="1569"/>
      <c r="AA142" s="1719">
        <f t="shared" si="72"/>
        <v>0.93</v>
      </c>
      <c r="AB142" s="1797">
        <f t="shared" si="73"/>
        <v>0.3</v>
      </c>
      <c r="AC142" s="1798" t="str">
        <f t="shared" si="74"/>
        <v>ADC12</v>
      </c>
      <c r="AD142" s="1535" t="b">
        <f t="shared" si="75"/>
        <v>1</v>
      </c>
      <c r="AE142" s="1535" t="b">
        <f t="shared" si="76"/>
        <v>1</v>
      </c>
      <c r="AF142" s="1535" t="b">
        <f t="shared" si="77"/>
        <v>1</v>
      </c>
    </row>
    <row r="143" spans="1:32" ht="18.75" customHeight="1">
      <c r="A143" s="7225"/>
      <c r="B143" s="7200"/>
      <c r="C143" s="10"/>
      <c r="D143" s="8"/>
      <c r="E143" s="8">
        <v>28</v>
      </c>
      <c r="F143" s="1658" t="str">
        <f t="shared" si="88"/>
        <v>CEER RWA CVR-만도향</v>
      </c>
      <c r="G143" s="1723">
        <f>IFERROR(VLOOKUP(F143,B.BasicInfomation!$B:$O,6,0),"")</f>
        <v>0.79</v>
      </c>
      <c r="H143" s="1797">
        <f>IFERROR(VLOOKUP(F143,B.BasicInfomation!B:O,8,0),"")</f>
        <v>0.67000499999999996</v>
      </c>
      <c r="I143" s="3667" t="str">
        <f>IFERROR(VLOOKUP(F143,B.BasicInfomation!B:O,14,0),"")</f>
        <v>ADC12</v>
      </c>
      <c r="J143" s="4576">
        <f t="shared" ref="J143:U143" si="97">J59/$G143/$G$87</f>
        <v>0</v>
      </c>
      <c r="K143" s="5006">
        <f t="shared" si="97"/>
        <v>0</v>
      </c>
      <c r="L143" s="5498">
        <f t="shared" si="97"/>
        <v>0</v>
      </c>
      <c r="M143" s="2649">
        <f t="shared" si="97"/>
        <v>0</v>
      </c>
      <c r="N143" s="1554">
        <f t="shared" si="97"/>
        <v>0</v>
      </c>
      <c r="O143" s="1556">
        <f t="shared" si="97"/>
        <v>0</v>
      </c>
      <c r="P143" s="1722">
        <f t="shared" si="97"/>
        <v>0</v>
      </c>
      <c r="Q143" s="1554">
        <f t="shared" si="97"/>
        <v>0</v>
      </c>
      <c r="R143" s="1555">
        <f t="shared" si="97"/>
        <v>0</v>
      </c>
      <c r="S143" s="1599">
        <f t="shared" si="97"/>
        <v>0</v>
      </c>
      <c r="T143" s="1554">
        <f t="shared" si="97"/>
        <v>0</v>
      </c>
      <c r="U143" s="1555">
        <f t="shared" si="97"/>
        <v>0</v>
      </c>
      <c r="V143" s="1557">
        <f t="shared" si="95"/>
        <v>0</v>
      </c>
      <c r="Y143" s="1569"/>
      <c r="AA143" s="1719">
        <f t="shared" si="72"/>
        <v>0.79</v>
      </c>
      <c r="AB143" s="1797">
        <f t="shared" si="73"/>
        <v>0.67000499999999996</v>
      </c>
      <c r="AC143" s="1798" t="str">
        <f t="shared" si="74"/>
        <v>ADC12</v>
      </c>
      <c r="AD143" s="1535" t="b">
        <f t="shared" si="75"/>
        <v>1</v>
      </c>
      <c r="AE143" s="1535" t="b">
        <f t="shared" si="76"/>
        <v>1</v>
      </c>
      <c r="AF143" s="1535" t="b">
        <f t="shared" si="77"/>
        <v>1</v>
      </c>
    </row>
    <row r="144" spans="1:32" ht="18.75" customHeight="1">
      <c r="A144" s="7225"/>
      <c r="B144" s="7200"/>
      <c r="C144" s="10"/>
      <c r="D144" s="8"/>
      <c r="E144" s="8">
        <v>29</v>
      </c>
      <c r="F144" s="1658" t="str">
        <f t="shared" si="88"/>
        <v>CEER RWS CVR-만도향</v>
      </c>
      <c r="G144" s="1723">
        <f>IFERROR(VLOOKUP(F144,B.BasicInfomation!$B:$O,6,0),"")</f>
        <v>0.79</v>
      </c>
      <c r="H144" s="1797">
        <f>IFERROR(VLOOKUP(F144,B.BasicInfomation!B:O,8,0),"")</f>
        <v>0.67000499999999996</v>
      </c>
      <c r="I144" s="3667" t="str">
        <f>IFERROR(VLOOKUP(F144,B.BasicInfomation!B:O,14,0),"")</f>
        <v>ADC12</v>
      </c>
      <c r="J144" s="4576">
        <f t="shared" ref="J144:U144" si="98">J60/$G144/$G$87</f>
        <v>0</v>
      </c>
      <c r="K144" s="5006">
        <f t="shared" si="98"/>
        <v>0</v>
      </c>
      <c r="L144" s="5498">
        <f t="shared" si="98"/>
        <v>0</v>
      </c>
      <c r="M144" s="2649">
        <f t="shared" si="98"/>
        <v>0</v>
      </c>
      <c r="N144" s="1554">
        <f t="shared" si="98"/>
        <v>0</v>
      </c>
      <c r="O144" s="1556">
        <f t="shared" si="98"/>
        <v>0</v>
      </c>
      <c r="P144" s="1722">
        <f t="shared" si="98"/>
        <v>0</v>
      </c>
      <c r="Q144" s="1554">
        <f t="shared" si="98"/>
        <v>0</v>
      </c>
      <c r="R144" s="1555">
        <f t="shared" si="98"/>
        <v>0</v>
      </c>
      <c r="S144" s="1599">
        <f t="shared" si="98"/>
        <v>0</v>
      </c>
      <c r="T144" s="1554">
        <f t="shared" si="98"/>
        <v>0</v>
      </c>
      <c r="U144" s="1555">
        <f t="shared" si="98"/>
        <v>4687.7637130801686</v>
      </c>
      <c r="V144" s="1557">
        <f t="shared" si="95"/>
        <v>4687.7637130801686</v>
      </c>
      <c r="Y144" s="1569"/>
      <c r="AA144" s="1719">
        <f t="shared" si="72"/>
        <v>0.79</v>
      </c>
      <c r="AB144" s="1797">
        <f t="shared" si="73"/>
        <v>0.67000499999999996</v>
      </c>
      <c r="AC144" s="1798" t="str">
        <f t="shared" si="74"/>
        <v>ADC12</v>
      </c>
      <c r="AD144" s="1535" t="b">
        <f t="shared" si="75"/>
        <v>1</v>
      </c>
      <c r="AE144" s="1535" t="b">
        <f t="shared" si="76"/>
        <v>1</v>
      </c>
      <c r="AF144" s="1535" t="b">
        <f t="shared" si="77"/>
        <v>1</v>
      </c>
    </row>
    <row r="145" spans="1:32" ht="18.75" customHeight="1">
      <c r="A145" s="7225"/>
      <c r="B145" s="7200"/>
      <c r="C145" s="10"/>
      <c r="D145" s="8"/>
      <c r="E145" s="8">
        <v>30</v>
      </c>
      <c r="F145" s="1658" t="str">
        <f t="shared" si="88"/>
        <v>JG R-EPS CVR-만도향</v>
      </c>
      <c r="G145" s="1723">
        <f>IFERROR(VLOOKUP(F145,B.BasicInfomation!$B:$O,6,0),"")</f>
        <v>0.79</v>
      </c>
      <c r="H145" s="1797">
        <f>IFERROR(VLOOKUP(F145,B.BasicInfomation!B:O,8,0),"")</f>
        <v>0.67000499999999996</v>
      </c>
      <c r="I145" s="3667" t="str">
        <f>IFERROR(VLOOKUP(F145,B.BasicInfomation!B:O,14,0),"")</f>
        <v>ADC12</v>
      </c>
      <c r="J145" s="4576">
        <f t="shared" ref="J145:U145" si="99">J61/$G145/$G$87</f>
        <v>0</v>
      </c>
      <c r="K145" s="5006">
        <f t="shared" si="99"/>
        <v>0</v>
      </c>
      <c r="L145" s="5498">
        <f t="shared" si="99"/>
        <v>0</v>
      </c>
      <c r="M145" s="2649">
        <f t="shared" si="99"/>
        <v>5431.9012438630334</v>
      </c>
      <c r="N145" s="1554">
        <f t="shared" si="99"/>
        <v>0</v>
      </c>
      <c r="O145" s="1556">
        <f t="shared" si="99"/>
        <v>3307.0339173581365</v>
      </c>
      <c r="P145" s="1722">
        <f t="shared" si="99"/>
        <v>3968.440700829764</v>
      </c>
      <c r="Q145" s="1554">
        <f t="shared" si="99"/>
        <v>2645.6271338865099</v>
      </c>
      <c r="R145" s="1555">
        <f t="shared" si="99"/>
        <v>2645.6271338865099</v>
      </c>
      <c r="S145" s="1599">
        <f t="shared" si="99"/>
        <v>2381.0644204978589</v>
      </c>
      <c r="T145" s="1554">
        <f t="shared" si="99"/>
        <v>1587.3762803319057</v>
      </c>
      <c r="U145" s="1555">
        <f t="shared" si="99"/>
        <v>0</v>
      </c>
      <c r="V145" s="1557">
        <f t="shared" si="95"/>
        <v>21967.07083065372</v>
      </c>
      <c r="Y145" s="1569"/>
      <c r="AA145" s="1719">
        <f t="shared" si="72"/>
        <v>0.79</v>
      </c>
      <c r="AB145" s="1797">
        <f t="shared" si="73"/>
        <v>0.67000499999999996</v>
      </c>
      <c r="AC145" s="1798" t="str">
        <f t="shared" si="74"/>
        <v>ADC12</v>
      </c>
      <c r="AD145" s="1535" t="b">
        <f t="shared" si="75"/>
        <v>1</v>
      </c>
      <c r="AE145" s="1535" t="b">
        <f t="shared" si="76"/>
        <v>1</v>
      </c>
      <c r="AF145" s="1535" t="b">
        <f t="shared" si="77"/>
        <v>1</v>
      </c>
    </row>
    <row r="146" spans="1:32" ht="18.75" customHeight="1">
      <c r="A146" s="7225"/>
      <c r="B146" s="7200"/>
      <c r="C146" s="10"/>
      <c r="D146" s="8"/>
      <c r="E146" s="8">
        <v>31</v>
      </c>
      <c r="F146" s="1658" t="str">
        <f t="shared" si="88"/>
        <v>JG RWS CVR-만도향</v>
      </c>
      <c r="G146" s="1723">
        <f>IFERROR(VLOOKUP(F146,B.BasicInfomation!$B:$O,6,0),"")</f>
        <v>0.79</v>
      </c>
      <c r="H146" s="1797">
        <f>IFERROR(VLOOKUP(F146,B.BasicInfomation!B:O,8,0),"")</f>
        <v>0.67000499999999996</v>
      </c>
      <c r="I146" s="3667" t="str">
        <f>IFERROR(VLOOKUP(F146,B.BasicInfomation!B:O,14,0),"")</f>
        <v>ADC12</v>
      </c>
      <c r="J146" s="4576">
        <f t="shared" ref="J146:U146" si="100">J62/$G146/$G$87</f>
        <v>0</v>
      </c>
      <c r="K146" s="5006">
        <f t="shared" si="100"/>
        <v>0</v>
      </c>
      <c r="L146" s="5498">
        <f t="shared" si="100"/>
        <v>0</v>
      </c>
      <c r="M146" s="2649">
        <f t="shared" si="100"/>
        <v>378.41904930512521</v>
      </c>
      <c r="N146" s="1554">
        <f t="shared" si="100"/>
        <v>0</v>
      </c>
      <c r="O146" s="1556">
        <f t="shared" si="100"/>
        <v>0</v>
      </c>
      <c r="P146" s="1722">
        <f t="shared" si="100"/>
        <v>0</v>
      </c>
      <c r="Q146" s="1554">
        <f t="shared" si="100"/>
        <v>0</v>
      </c>
      <c r="R146" s="1555">
        <f t="shared" si="100"/>
        <v>0</v>
      </c>
      <c r="S146" s="1599">
        <f t="shared" si="100"/>
        <v>0</v>
      </c>
      <c r="T146" s="1554">
        <f t="shared" si="100"/>
        <v>0</v>
      </c>
      <c r="U146" s="1555">
        <f t="shared" si="100"/>
        <v>0</v>
      </c>
      <c r="V146" s="1557">
        <f t="shared" si="95"/>
        <v>378.41904930512521</v>
      </c>
      <c r="Y146" s="1569"/>
      <c r="AA146" s="1719">
        <f t="shared" si="72"/>
        <v>0.79</v>
      </c>
      <c r="AB146" s="1797">
        <f t="shared" si="73"/>
        <v>0.67000499999999996</v>
      </c>
      <c r="AC146" s="1798" t="str">
        <f t="shared" si="74"/>
        <v>ADC12</v>
      </c>
      <c r="AD146" s="1535" t="b">
        <f t="shared" si="75"/>
        <v>1</v>
      </c>
      <c r="AE146" s="1535" t="b">
        <f t="shared" si="76"/>
        <v>1</v>
      </c>
      <c r="AF146" s="1535" t="b">
        <f t="shared" si="77"/>
        <v>1</v>
      </c>
    </row>
    <row r="147" spans="1:32" ht="18.75" customHeight="1">
      <c r="A147" s="7225"/>
      <c r="B147" s="7200"/>
      <c r="C147" s="6"/>
      <c r="D147" s="1596" t="s">
        <v>875</v>
      </c>
      <c r="E147" s="1596">
        <v>32</v>
      </c>
      <c r="F147" s="1713" t="str">
        <f t="shared" si="88"/>
        <v>MAS65 Heatsink Cover</v>
      </c>
      <c r="G147" s="1725">
        <f>IFERROR(VLOOKUP(F147,B.BasicInfomation!$B:$O,6,0),"")</f>
        <v>0.89</v>
      </c>
      <c r="H147" s="1795">
        <f>IFERROR(VLOOKUP(F147,B.BasicInfomation!B:O,8,0),"")</f>
        <v>0.3</v>
      </c>
      <c r="I147" s="3668" t="str">
        <f>IFERROR(VLOOKUP(F147,B.BasicInfomation!B:O,14,0),"")</f>
        <v>ADC12</v>
      </c>
      <c r="J147" s="4687">
        <f t="shared" ref="J147:U147" si="101">J63/$G147/$G$87</f>
        <v>119283.32428617802</v>
      </c>
      <c r="K147" s="5007">
        <f t="shared" si="101"/>
        <v>80280.420158953231</v>
      </c>
      <c r="L147" s="5499">
        <f t="shared" si="101"/>
        <v>80280.420158953231</v>
      </c>
      <c r="M147" s="4679">
        <f t="shared" si="101"/>
        <v>120420.63023842985</v>
      </c>
      <c r="N147" s="1549">
        <f t="shared" si="101"/>
        <v>80280.420158953231</v>
      </c>
      <c r="O147" s="1558">
        <f t="shared" si="101"/>
        <v>115880.96362229857</v>
      </c>
      <c r="P147" s="1648">
        <f t="shared" si="101"/>
        <v>119823.30568367573</v>
      </c>
      <c r="Q147" s="1549">
        <f t="shared" si="101"/>
        <v>80280.420158953231</v>
      </c>
      <c r="R147" s="1550">
        <f t="shared" si="101"/>
        <v>80280.420158953231</v>
      </c>
      <c r="S147" s="1597">
        <f t="shared" si="101"/>
        <v>80280.420158953231</v>
      </c>
      <c r="T147" s="1549">
        <f t="shared" si="101"/>
        <v>80280.420158953231</v>
      </c>
      <c r="U147" s="1550">
        <f t="shared" si="101"/>
        <v>80280.420158953231</v>
      </c>
      <c r="V147" s="1551">
        <f t="shared" si="95"/>
        <v>1117651.5851022077</v>
      </c>
      <c r="AA147" s="1719">
        <f t="shared" si="72"/>
        <v>0.89</v>
      </c>
      <c r="AB147" s="1797">
        <f t="shared" si="73"/>
        <v>0.3</v>
      </c>
      <c r="AC147" s="1798" t="str">
        <f t="shared" si="74"/>
        <v>ADC12</v>
      </c>
      <c r="AD147" s="1535" t="b">
        <f t="shared" si="75"/>
        <v>1</v>
      </c>
      <c r="AE147" s="1535" t="b">
        <f t="shared" si="76"/>
        <v>1</v>
      </c>
      <c r="AF147" s="1535" t="b">
        <f t="shared" si="77"/>
        <v>1</v>
      </c>
    </row>
    <row r="148" spans="1:32" ht="18.75" customHeight="1">
      <c r="A148" s="7225"/>
      <c r="B148" s="7200"/>
      <c r="C148" s="10" t="s">
        <v>400</v>
      </c>
      <c r="D148" s="1588" t="s">
        <v>848</v>
      </c>
      <c r="E148" s="1588">
        <v>33</v>
      </c>
      <c r="F148" s="1658" t="str">
        <f t="shared" si="88"/>
        <v>FCA Housing</v>
      </c>
      <c r="G148" s="1723">
        <f>IFERROR(VLOOKUP(F148,B.BasicInfomation!$B:$O,6,0),"")</f>
        <v>0.9</v>
      </c>
      <c r="H148" s="1797">
        <f>IFERROR(VLOOKUP(F148,B.BasicInfomation!B:O,8,0),"")</f>
        <v>0.1</v>
      </c>
      <c r="I148" s="3667" t="str">
        <f>IFERROR(VLOOKUP(F148,B.BasicInfomation!B:O,14,0),"")</f>
        <v>S3Y</v>
      </c>
      <c r="J148" s="4576">
        <f t="shared" ref="J148:U148" si="102">J64/$G148/$G$87</f>
        <v>63897.404631264726</v>
      </c>
      <c r="K148" s="5006">
        <f t="shared" si="102"/>
        <v>63897.404631264726</v>
      </c>
      <c r="L148" s="5498">
        <f t="shared" si="102"/>
        <v>66263.975173163417</v>
      </c>
      <c r="M148" s="2649">
        <f t="shared" si="102"/>
        <v>88599.401276186472</v>
      </c>
      <c r="N148" s="1554">
        <f t="shared" si="102"/>
        <v>151101.32848018967</v>
      </c>
      <c r="O148" s="1556">
        <f t="shared" si="102"/>
        <v>73722.825589124797</v>
      </c>
      <c r="P148" s="1722">
        <f t="shared" si="102"/>
        <v>56973.984617215334</v>
      </c>
      <c r="Q148" s="1554">
        <f t="shared" si="102"/>
        <v>56973.984617215334</v>
      </c>
      <c r="R148" s="1555">
        <f t="shared" si="102"/>
        <v>56973.984617215334</v>
      </c>
      <c r="S148" s="1599">
        <f t="shared" si="102"/>
        <v>56973.984617215334</v>
      </c>
      <c r="T148" s="1554">
        <f t="shared" si="102"/>
        <v>56973.984617215334</v>
      </c>
      <c r="U148" s="1555">
        <f t="shared" si="102"/>
        <v>56973.984617215334</v>
      </c>
      <c r="V148" s="1557">
        <f t="shared" si="95"/>
        <v>849326.24748448585</v>
      </c>
      <c r="AA148" s="1719">
        <f t="shared" si="72"/>
        <v>0.9</v>
      </c>
      <c r="AB148" s="1797">
        <f t="shared" si="73"/>
        <v>0.1</v>
      </c>
      <c r="AC148" s="1798" t="str">
        <f t="shared" si="74"/>
        <v>S3Y</v>
      </c>
      <c r="AD148" s="1535" t="b">
        <f t="shared" si="75"/>
        <v>1</v>
      </c>
      <c r="AE148" s="1535" t="b">
        <f t="shared" si="76"/>
        <v>1</v>
      </c>
      <c r="AF148" s="1535" t="b">
        <f t="shared" si="77"/>
        <v>1</v>
      </c>
    </row>
    <row r="149" spans="1:32" ht="18.75" customHeight="1">
      <c r="A149" s="7225"/>
      <c r="B149" s="7200"/>
      <c r="C149" s="10"/>
      <c r="D149" s="10"/>
      <c r="E149" s="10">
        <v>34</v>
      </c>
      <c r="F149" s="1658" t="str">
        <f t="shared" si="88"/>
        <v>GM EU2L Housing</v>
      </c>
      <c r="G149" s="1723">
        <f>IFERROR(VLOOKUP(F149,B.BasicInfomation!$B:$O,6,0),"")</f>
        <v>0.9</v>
      </c>
      <c r="H149" s="1797">
        <f>IFERROR(VLOOKUP(F149,B.BasicInfomation!B:O,8,0),"")</f>
        <v>0.1</v>
      </c>
      <c r="I149" s="3667" t="str">
        <f>IFERROR(VLOOKUP(F149,B.BasicInfomation!B:O,14,0),"")</f>
        <v>S3Y</v>
      </c>
      <c r="J149" s="4576">
        <f t="shared" ref="J149:U149" si="103">J65/$G149/$G$87</f>
        <v>61591.471580081306</v>
      </c>
      <c r="K149" s="5006">
        <f t="shared" si="103"/>
        <v>54063.035003574551</v>
      </c>
      <c r="L149" s="5498">
        <f t="shared" si="103"/>
        <v>68374.518396537896</v>
      </c>
      <c r="M149" s="2649">
        <f t="shared" si="103"/>
        <v>9688.1182923531251</v>
      </c>
      <c r="N149" s="1554">
        <f t="shared" si="103"/>
        <v>96509.506126156848</v>
      </c>
      <c r="O149" s="1556">
        <f t="shared" si="103"/>
        <v>38575.917932959434</v>
      </c>
      <c r="P149" s="1722">
        <f t="shared" si="103"/>
        <v>64233.279289254489</v>
      </c>
      <c r="Q149" s="1554">
        <f t="shared" si="103"/>
        <v>44945.32032277478</v>
      </c>
      <c r="R149" s="1555">
        <f t="shared" si="103"/>
        <v>43467.618968337621</v>
      </c>
      <c r="S149" s="1599">
        <f t="shared" si="103"/>
        <v>43467.618968337621</v>
      </c>
      <c r="T149" s="1554">
        <f t="shared" si="103"/>
        <v>43467.618968337621</v>
      </c>
      <c r="U149" s="1555">
        <f t="shared" si="103"/>
        <v>44945.32032277478</v>
      </c>
      <c r="V149" s="1557">
        <f t="shared" si="95"/>
        <v>613329.34417148016</v>
      </c>
      <c r="AA149" s="1719">
        <f t="shared" si="72"/>
        <v>0.9</v>
      </c>
      <c r="AB149" s="1797">
        <f t="shared" si="73"/>
        <v>0.1</v>
      </c>
      <c r="AC149" s="1798" t="str">
        <f t="shared" si="74"/>
        <v>S3Y</v>
      </c>
      <c r="AD149" s="1535" t="b">
        <f t="shared" si="75"/>
        <v>1</v>
      </c>
      <c r="AE149" s="1535" t="b">
        <f t="shared" si="76"/>
        <v>1</v>
      </c>
      <c r="AF149" s="1535" t="b">
        <f t="shared" si="77"/>
        <v>1</v>
      </c>
    </row>
    <row r="150" spans="1:32" ht="18.75" customHeight="1">
      <c r="A150" s="7225"/>
      <c r="B150" s="7200"/>
      <c r="C150" s="10"/>
      <c r="D150" s="10"/>
      <c r="E150" s="10">
        <v>35</v>
      </c>
      <c r="F150" s="1658" t="str">
        <f t="shared" si="88"/>
        <v>GM ACP Housing</v>
      </c>
      <c r="G150" s="1723">
        <f>IFERROR(VLOOKUP(F150,B.BasicInfomation!$B:$O,6,0),"")</f>
        <v>0.9</v>
      </c>
      <c r="H150" s="1797">
        <f>IFERROR(VLOOKUP(F150,B.BasicInfomation!B:O,8,0),"")</f>
        <v>0.1</v>
      </c>
      <c r="I150" s="3667" t="str">
        <f>IFERROR(VLOOKUP(F150,B.BasicInfomation!B:O,14,0),"")</f>
        <v>S3Y</v>
      </c>
      <c r="J150" s="4576">
        <f t="shared" ref="J150:U150" si="104">J66/$G150/$G$87</f>
        <v>143527.22090534307</v>
      </c>
      <c r="K150" s="5006">
        <f t="shared" si="104"/>
        <v>0</v>
      </c>
      <c r="L150" s="5498">
        <f t="shared" si="104"/>
        <v>186999.96689876568</v>
      </c>
      <c r="M150" s="2649">
        <f t="shared" si="104"/>
        <v>22678.928397378168</v>
      </c>
      <c r="N150" s="1554">
        <f t="shared" si="104"/>
        <v>44911.005974879663</v>
      </c>
      <c r="O150" s="1556">
        <f t="shared" si="104"/>
        <v>57793.100549584036</v>
      </c>
      <c r="P150" s="1722">
        <f t="shared" si="104"/>
        <v>123376.78052089181</v>
      </c>
      <c r="Q150" s="1554">
        <f t="shared" si="104"/>
        <v>97697.718337561222</v>
      </c>
      <c r="R150" s="1555">
        <f t="shared" si="104"/>
        <v>145809.54430735103</v>
      </c>
      <c r="S150" s="1599">
        <f t="shared" si="104"/>
        <v>145809.54430735103</v>
      </c>
      <c r="T150" s="1554">
        <f t="shared" si="104"/>
        <v>137722.01769958014</v>
      </c>
      <c r="U150" s="1555">
        <f t="shared" si="104"/>
        <v>144386.9223072532</v>
      </c>
      <c r="V150" s="1557">
        <f t="shared" si="95"/>
        <v>1250712.7502059389</v>
      </c>
      <c r="AA150" s="1719">
        <f t="shared" si="72"/>
        <v>0.9</v>
      </c>
      <c r="AB150" s="1797">
        <f t="shared" si="73"/>
        <v>0.1</v>
      </c>
      <c r="AC150" s="1798" t="str">
        <f t="shared" si="74"/>
        <v>S3Y</v>
      </c>
      <c r="AD150" s="1535" t="b">
        <f t="shared" si="75"/>
        <v>1</v>
      </c>
      <c r="AE150" s="1535" t="b">
        <f t="shared" si="76"/>
        <v>1</v>
      </c>
      <c r="AF150" s="1535" t="b">
        <f t="shared" si="77"/>
        <v>1</v>
      </c>
    </row>
    <row r="151" spans="1:32" ht="18.75" customHeight="1">
      <c r="A151" s="7225"/>
      <c r="B151" s="7200"/>
      <c r="C151" s="10"/>
      <c r="D151" s="7" t="s">
        <v>857</v>
      </c>
      <c r="E151" s="7">
        <v>36</v>
      </c>
      <c r="F151" s="1746" t="str">
        <f t="shared" si="88"/>
        <v>FCA Cover</v>
      </c>
      <c r="G151" s="1747">
        <f>IFERROR(VLOOKUP(F151,B.BasicInfomation!$B:$O,6,0),"")</f>
        <v>0.9</v>
      </c>
      <c r="H151" s="1809">
        <f>IFERROR(VLOOKUP(F151,B.BasicInfomation!B:O,8,0),"")</f>
        <v>0.08</v>
      </c>
      <c r="I151" s="3671" t="str">
        <f>IFERROR(VLOOKUP(F151,B.BasicInfomation!B:O,14,0),"")</f>
        <v>S3Y</v>
      </c>
      <c r="J151" s="4688">
        <f t="shared" ref="J151:U151" si="105">J67/$G151/$G$87</f>
        <v>63940.402612555539</v>
      </c>
      <c r="K151" s="5056">
        <f t="shared" si="105"/>
        <v>63940.402612555539</v>
      </c>
      <c r="L151" s="5533">
        <f t="shared" si="105"/>
        <v>63940.402612555539</v>
      </c>
      <c r="M151" s="4682">
        <f t="shared" si="105"/>
        <v>56371.203666001238</v>
      </c>
      <c r="N151" s="1572">
        <f t="shared" si="105"/>
        <v>120687.67957038623</v>
      </c>
      <c r="O151" s="1574">
        <f t="shared" si="105"/>
        <v>73016.046140083665</v>
      </c>
      <c r="P151" s="1646">
        <f t="shared" si="105"/>
        <v>56427.776015799856</v>
      </c>
      <c r="Q151" s="1572">
        <f t="shared" si="105"/>
        <v>56427.776015799856</v>
      </c>
      <c r="R151" s="1573">
        <f t="shared" si="105"/>
        <v>56427.776015799856</v>
      </c>
      <c r="S151" s="1751">
        <f t="shared" si="105"/>
        <v>56427.776015799856</v>
      </c>
      <c r="T151" s="1572">
        <f t="shared" si="105"/>
        <v>56427.776015799856</v>
      </c>
      <c r="U151" s="1573">
        <f t="shared" si="105"/>
        <v>56427.776015799856</v>
      </c>
      <c r="V151" s="1575">
        <f t="shared" si="95"/>
        <v>780462.79330893676</v>
      </c>
      <c r="AA151" s="1719">
        <f t="shared" si="72"/>
        <v>0.9</v>
      </c>
      <c r="AB151" s="1797">
        <f t="shared" si="73"/>
        <v>0.08</v>
      </c>
      <c r="AC151" s="1798" t="str">
        <f t="shared" si="74"/>
        <v>S3Y</v>
      </c>
      <c r="AD151" s="1535" t="b">
        <f t="shared" si="75"/>
        <v>1</v>
      </c>
      <c r="AE151" s="1535" t="b">
        <f t="shared" si="76"/>
        <v>1</v>
      </c>
      <c r="AF151" s="1535" t="b">
        <f t="shared" si="77"/>
        <v>1</v>
      </c>
    </row>
    <row r="152" spans="1:32" s="1569" customFormat="1" ht="18.75" customHeight="1">
      <c r="A152" s="7225"/>
      <c r="B152" s="7200"/>
      <c r="C152" s="10"/>
      <c r="D152" s="10"/>
      <c r="E152" s="10">
        <v>37</v>
      </c>
      <c r="F152" s="1658" t="str">
        <f t="shared" si="88"/>
        <v>GM EU2L Cover</v>
      </c>
      <c r="G152" s="1723">
        <f>IFERROR(VLOOKUP(F152,B.BasicInfomation!$B:$O,6,0),"")</f>
        <v>0.9</v>
      </c>
      <c r="H152" s="1797">
        <f>IFERROR(VLOOKUP(F152,B.BasicInfomation!B:O,8,0),"")</f>
        <v>0.08</v>
      </c>
      <c r="I152" s="3667" t="str">
        <f>IFERROR(VLOOKUP(F152,B.BasicInfomation!B:O,14,0),"")</f>
        <v>S3Y</v>
      </c>
      <c r="J152" s="4576">
        <f t="shared" ref="J152:U152" si="106">J68/$G152/$G$87</f>
        <v>60074.320879532177</v>
      </c>
      <c r="K152" s="5006">
        <f t="shared" si="106"/>
        <v>52808.970938835868</v>
      </c>
      <c r="L152" s="5498">
        <f t="shared" si="106"/>
        <v>67338.640887130416</v>
      </c>
      <c r="M152" s="2649">
        <f t="shared" si="106"/>
        <v>9729.9510062589834</v>
      </c>
      <c r="N152" s="1554">
        <f t="shared" si="106"/>
        <v>94347.1450409768</v>
      </c>
      <c r="O152" s="1556">
        <f t="shared" si="106"/>
        <v>68219.604461898401</v>
      </c>
      <c r="P152" s="1722">
        <f t="shared" si="106"/>
        <v>74672.650287876677</v>
      </c>
      <c r="Q152" s="1554">
        <f t="shared" si="106"/>
        <v>74672.650287876677</v>
      </c>
      <c r="R152" s="1555">
        <f t="shared" si="106"/>
        <v>73175.543656249705</v>
      </c>
      <c r="S152" s="1599">
        <f t="shared" si="106"/>
        <v>73175.543656249705</v>
      </c>
      <c r="T152" s="1554">
        <f t="shared" si="106"/>
        <v>73175.543656249705</v>
      </c>
      <c r="U152" s="1555">
        <f t="shared" si="106"/>
        <v>74672.650287876677</v>
      </c>
      <c r="V152" s="1557">
        <f t="shared" si="95"/>
        <v>796063.21504701197</v>
      </c>
      <c r="Y152" s="1535"/>
      <c r="AA152" s="1719">
        <f t="shared" si="72"/>
        <v>0.9</v>
      </c>
      <c r="AB152" s="1797">
        <f t="shared" si="73"/>
        <v>0.08</v>
      </c>
      <c r="AC152" s="1798" t="str">
        <f t="shared" si="74"/>
        <v>S3Y</v>
      </c>
      <c r="AD152" s="1535" t="b">
        <f t="shared" si="75"/>
        <v>1</v>
      </c>
      <c r="AE152" s="1535" t="b">
        <f t="shared" si="76"/>
        <v>1</v>
      </c>
      <c r="AF152" s="1535" t="b">
        <f t="shared" si="77"/>
        <v>1</v>
      </c>
    </row>
    <row r="153" spans="1:32" s="1569" customFormat="1" ht="18.75" customHeight="1">
      <c r="A153" s="7225"/>
      <c r="B153" s="7200"/>
      <c r="C153" s="8"/>
      <c r="D153" s="1576"/>
      <c r="E153" s="1576">
        <v>38</v>
      </c>
      <c r="F153" s="1753" t="str">
        <f t="shared" si="88"/>
        <v>GM ACP Cover</v>
      </c>
      <c r="G153" s="1723">
        <f>IFERROR(VLOOKUP(F153,B.BasicInfomation!$B:$O,6,0),"")</f>
        <v>0.9</v>
      </c>
      <c r="H153" s="1797">
        <f>IFERROR(VLOOKUP(F153,B.BasicInfomation!B:O,8,0),"")</f>
        <v>0.08</v>
      </c>
      <c r="I153" s="3667" t="str">
        <f>IFERROR(VLOOKUP(F153,B.BasicInfomation!B:O,14,0),"")</f>
        <v>S3Y</v>
      </c>
      <c r="J153" s="4689">
        <f t="shared" ref="J153:U153" si="107">J69/$G153/$G$87</f>
        <v>142368.28704184658</v>
      </c>
      <c r="K153" s="5054">
        <f t="shared" si="107"/>
        <v>0</v>
      </c>
      <c r="L153" s="5524">
        <f t="shared" si="107"/>
        <v>184885.39597807059</v>
      </c>
      <c r="M153" s="4683">
        <f t="shared" si="107"/>
        <v>24281.212003874491</v>
      </c>
      <c r="N153" s="1578">
        <f t="shared" si="107"/>
        <v>44810.118932231351</v>
      </c>
      <c r="O153" s="1580">
        <f t="shared" si="107"/>
        <v>58798.43532870771</v>
      </c>
      <c r="P153" s="1757">
        <f t="shared" si="107"/>
        <v>123704.11675797652</v>
      </c>
      <c r="Q153" s="1578">
        <f t="shared" si="107"/>
        <v>98461.604409622028</v>
      </c>
      <c r="R153" s="1579">
        <f t="shared" si="107"/>
        <v>145171.33303553466</v>
      </c>
      <c r="S153" s="1758">
        <f t="shared" si="107"/>
        <v>145171.33303553466</v>
      </c>
      <c r="T153" s="1578">
        <f t="shared" si="107"/>
        <v>137221.29619981156</v>
      </c>
      <c r="U153" s="1579">
        <f t="shared" si="107"/>
        <v>144357.0814066302</v>
      </c>
      <c r="V153" s="1581">
        <f t="shared" si="95"/>
        <v>1249230.2141298403</v>
      </c>
      <c r="Y153" s="1535"/>
      <c r="AA153" s="1719">
        <f t="shared" si="72"/>
        <v>0.9</v>
      </c>
      <c r="AB153" s="1797">
        <f t="shared" si="73"/>
        <v>0.08</v>
      </c>
      <c r="AC153" s="1798" t="str">
        <f t="shared" si="74"/>
        <v>S3Y</v>
      </c>
      <c r="AD153" s="1535" t="b">
        <f t="shared" si="75"/>
        <v>1</v>
      </c>
      <c r="AE153" s="1535" t="b">
        <f t="shared" si="76"/>
        <v>1</v>
      </c>
      <c r="AF153" s="1535" t="b">
        <f t="shared" si="77"/>
        <v>1</v>
      </c>
    </row>
    <row r="154" spans="1:32" s="1569" customFormat="1" ht="18.75" customHeight="1">
      <c r="A154" s="7225"/>
      <c r="B154" s="7200"/>
      <c r="C154" s="8"/>
      <c r="D154" s="10" t="s">
        <v>868</v>
      </c>
      <c r="E154" s="10">
        <v>39</v>
      </c>
      <c r="F154" s="1658" t="str">
        <f t="shared" si="88"/>
        <v>Lens Mount</v>
      </c>
      <c r="G154" s="3269">
        <f>IFERROR(VLOOKUP(F154,B.BasicInfomation!$B:$O,6,0),"")</f>
        <v>0.79</v>
      </c>
      <c r="H154" s="3270">
        <f>IFERROR(VLOOKUP(F154,B.BasicInfomation!B:O,8,0),"")</f>
        <v>8.0000000000000002E-3</v>
      </c>
      <c r="I154" s="3698" t="str">
        <f>IFERROR(VLOOKUP(F154,B.BasicInfomation!B:O,14,0),"")</f>
        <v>S3Y</v>
      </c>
      <c r="J154" s="4576">
        <f t="shared" ref="J154:U154" si="108">J70/$G154/$G$87</f>
        <v>206578.89465077734</v>
      </c>
      <c r="K154" s="5006">
        <f t="shared" si="108"/>
        <v>240277.84861268944</v>
      </c>
      <c r="L154" s="5498">
        <f t="shared" si="108"/>
        <v>250773.94786706992</v>
      </c>
      <c r="M154" s="2649">
        <f t="shared" si="108"/>
        <v>202035.50266744118</v>
      </c>
      <c r="N154" s="1554">
        <f t="shared" si="108"/>
        <v>381165.95736507262</v>
      </c>
      <c r="O154" s="1556">
        <f t="shared" si="108"/>
        <v>199139.20076930529</v>
      </c>
      <c r="P154" s="1722">
        <f t="shared" si="108"/>
        <v>311406.73699756427</v>
      </c>
      <c r="Q154" s="1554">
        <f t="shared" si="108"/>
        <v>318502.39233158308</v>
      </c>
      <c r="R154" s="1555">
        <f t="shared" si="108"/>
        <v>314204.15560768783</v>
      </c>
      <c r="S154" s="1599">
        <f t="shared" si="108"/>
        <v>307108.50027366896</v>
      </c>
      <c r="T154" s="1554">
        <f t="shared" si="108"/>
        <v>295677.01962501131</v>
      </c>
      <c r="U154" s="1555">
        <f t="shared" si="108"/>
        <v>295677.01962501131</v>
      </c>
      <c r="V154" s="1557">
        <f t="shared" si="95"/>
        <v>3322547.1763928826</v>
      </c>
      <c r="Y154" s="1535"/>
      <c r="AA154" s="1719">
        <f t="shared" si="72"/>
        <v>0.79</v>
      </c>
      <c r="AB154" s="1797">
        <f t="shared" si="73"/>
        <v>8.0000000000000002E-3</v>
      </c>
      <c r="AC154" s="1798" t="str">
        <f t="shared" si="74"/>
        <v>S3Y</v>
      </c>
      <c r="AD154" s="1535" t="b">
        <f t="shared" si="75"/>
        <v>1</v>
      </c>
      <c r="AE154" s="1535" t="b">
        <f t="shared" si="76"/>
        <v>1</v>
      </c>
      <c r="AF154" s="1535" t="b">
        <f t="shared" si="77"/>
        <v>1</v>
      </c>
    </row>
    <row r="155" spans="1:32" s="1569" customFormat="1" ht="18.75" customHeight="1">
      <c r="A155" s="7225"/>
      <c r="B155" s="7200"/>
      <c r="C155" s="8"/>
      <c r="D155" s="7" t="s">
        <v>875</v>
      </c>
      <c r="E155" s="7">
        <v>40</v>
      </c>
      <c r="F155" s="1746" t="str">
        <f t="shared" si="88"/>
        <v>IPM 1.0 Housing</v>
      </c>
      <c r="G155" s="1723">
        <f>IFERROR(VLOOKUP(F155,B.BasicInfomation!$B:$O,6,0),"")</f>
        <v>0.9</v>
      </c>
      <c r="H155" s="1797">
        <f>IFERROR(VLOOKUP(F155,B.BasicInfomation!B:O,8,0),"")</f>
        <v>8.0000000000000002E-3</v>
      </c>
      <c r="I155" s="3667" t="str">
        <f>IFERROR(VLOOKUP(F155,B.BasicInfomation!B:O,14,0),"")</f>
        <v>ADC12</v>
      </c>
      <c r="J155" s="4688">
        <f t="shared" ref="J155:U155" si="109">J71/$G155/$G$87</f>
        <v>12835.780732686761</v>
      </c>
      <c r="K155" s="5056">
        <f t="shared" si="109"/>
        <v>12122.681803093052</v>
      </c>
      <c r="L155" s="5533">
        <f t="shared" si="109"/>
        <v>13548.879662280469</v>
      </c>
      <c r="M155" s="4682">
        <f t="shared" si="109"/>
        <v>19659.987580111374</v>
      </c>
      <c r="N155" s="1572">
        <f t="shared" si="109"/>
        <v>17475.544515654557</v>
      </c>
      <c r="O155" s="1574">
        <f t="shared" si="109"/>
        <v>21116.282956415922</v>
      </c>
      <c r="P155" s="1646">
        <f t="shared" si="109"/>
        <v>17657.581437692621</v>
      </c>
      <c r="Q155" s="1572">
        <f t="shared" si="109"/>
        <v>17657.581437692621</v>
      </c>
      <c r="R155" s="1573">
        <f t="shared" si="109"/>
        <v>17657.581437692621</v>
      </c>
      <c r="S155" s="1751">
        <f t="shared" si="109"/>
        <v>17657.581437692621</v>
      </c>
      <c r="T155" s="1572">
        <f t="shared" si="109"/>
        <v>17657.581437692621</v>
      </c>
      <c r="U155" s="1573">
        <f t="shared" si="109"/>
        <v>17657.581437692621</v>
      </c>
      <c r="V155" s="1575">
        <f t="shared" si="95"/>
        <v>202704.6458763979</v>
      </c>
      <c r="Y155" s="1535"/>
      <c r="AA155" s="1719">
        <f t="shared" si="72"/>
        <v>0.9</v>
      </c>
      <c r="AB155" s="1797">
        <f t="shared" si="73"/>
        <v>8.0000000000000002E-3</v>
      </c>
      <c r="AC155" s="1798" t="str">
        <f t="shared" si="74"/>
        <v>ADC12</v>
      </c>
      <c r="AD155" s="1535" t="b">
        <f t="shared" si="75"/>
        <v>1</v>
      </c>
      <c r="AE155" s="1535" t="b">
        <f t="shared" si="76"/>
        <v>1</v>
      </c>
      <c r="AF155" s="1535" t="b">
        <f t="shared" si="77"/>
        <v>1</v>
      </c>
    </row>
    <row r="156" spans="1:32" s="1569" customFormat="1" ht="18.75" customHeight="1">
      <c r="A156" s="7225"/>
      <c r="B156" s="7300"/>
      <c r="C156" s="8"/>
      <c r="D156" s="10"/>
      <c r="E156" s="10">
        <v>41</v>
      </c>
      <c r="F156" s="1658" t="str">
        <f t="shared" si="88"/>
        <v>IPM 2.0  Base Housing</v>
      </c>
      <c r="G156" s="1723">
        <f>IFERROR(VLOOKUP(F156,B.BasicInfomation!$B:$O,6,0),"")</f>
        <v>0.9</v>
      </c>
      <c r="H156" s="1797">
        <f>IFERROR(VLOOKUP(F156,B.BasicInfomation!B:O,8,0),"")</f>
        <v>0.6</v>
      </c>
      <c r="I156" s="3667" t="str">
        <f>IFERROR(VLOOKUP(F156,B.BasicInfomation!B:O,14,0),"")</f>
        <v>ADC12</v>
      </c>
      <c r="J156" s="4576">
        <f t="shared" ref="J156:U156" si="110">J72/$G156/$G$87</f>
        <v>4812.6951788097176</v>
      </c>
      <c r="K156" s="5006">
        <f t="shared" si="110"/>
        <v>1773.0982237720011</v>
      </c>
      <c r="L156" s="5498">
        <f t="shared" si="110"/>
        <v>5319.2946713160045</v>
      </c>
      <c r="M156" s="2649">
        <f t="shared" si="110"/>
        <v>5652.7257621048311</v>
      </c>
      <c r="N156" s="1554">
        <f t="shared" si="110"/>
        <v>8119.4914922205035</v>
      </c>
      <c r="O156" s="1556">
        <f t="shared" si="110"/>
        <v>6315.1600495048369</v>
      </c>
      <c r="P156" s="1722">
        <f t="shared" si="110"/>
        <v>9021.6572135783372</v>
      </c>
      <c r="Q156" s="1554">
        <f t="shared" si="110"/>
        <v>7217.3257708626707</v>
      </c>
      <c r="R156" s="1555">
        <f t="shared" si="110"/>
        <v>7217.3257708626707</v>
      </c>
      <c r="S156" s="1599">
        <f t="shared" si="110"/>
        <v>7217.3257708626707</v>
      </c>
      <c r="T156" s="1554">
        <f t="shared" si="110"/>
        <v>5412.9943281470032</v>
      </c>
      <c r="U156" s="1555">
        <f t="shared" si="110"/>
        <v>5412.9943281470032</v>
      </c>
      <c r="V156" s="1557">
        <f t="shared" si="95"/>
        <v>73492.088560188247</v>
      </c>
      <c r="Y156" s="1535"/>
      <c r="AA156" s="1719">
        <f t="shared" si="72"/>
        <v>0.9</v>
      </c>
      <c r="AB156" s="1797">
        <f t="shared" si="73"/>
        <v>0.6</v>
      </c>
      <c r="AC156" s="1798" t="str">
        <f t="shared" si="74"/>
        <v>ADC12</v>
      </c>
      <c r="AD156" s="1535" t="b">
        <f t="shared" si="75"/>
        <v>1</v>
      </c>
      <c r="AE156" s="1535" t="b">
        <f t="shared" si="76"/>
        <v>1</v>
      </c>
      <c r="AF156" s="1535" t="b">
        <f t="shared" si="77"/>
        <v>1</v>
      </c>
    </row>
    <row r="157" spans="1:32" s="1569" customFormat="1" ht="18.75" customHeight="1">
      <c r="A157" s="7225"/>
      <c r="B157" s="7300"/>
      <c r="C157" s="8"/>
      <c r="D157" s="10"/>
      <c r="E157" s="10"/>
      <c r="F157" s="1658" t="str">
        <f t="shared" si="88"/>
        <v>IPM 2.0 Advanced HSG</v>
      </c>
      <c r="G157" s="1723">
        <f>IFERROR(VLOOKUP(F157,B.BasicInfomation!$B:$O,6,0),"")</f>
        <v>0.9</v>
      </c>
      <c r="H157" s="1797">
        <f>IFERROR(VLOOKUP(F157,B.BasicInfomation!B:O,8,0),"")</f>
        <v>0.66</v>
      </c>
      <c r="I157" s="3667" t="str">
        <f>IFERROR(VLOOKUP(F157,B.BasicInfomation!B:O,14,0),"")</f>
        <v>ADC12</v>
      </c>
      <c r="J157" s="4576">
        <f t="shared" ref="J157:U157" si="111">J73/$G157/$G$87</f>
        <v>0</v>
      </c>
      <c r="K157" s="5006">
        <f t="shared" si="111"/>
        <v>0</v>
      </c>
      <c r="L157" s="5498">
        <f t="shared" si="111"/>
        <v>0</v>
      </c>
      <c r="M157" s="2649">
        <f t="shared" si="111"/>
        <v>0</v>
      </c>
      <c r="N157" s="1554">
        <f t="shared" si="111"/>
        <v>0</v>
      </c>
      <c r="O157" s="1556">
        <f t="shared" si="111"/>
        <v>0</v>
      </c>
      <c r="P157" s="1722">
        <f t="shared" si="111"/>
        <v>0</v>
      </c>
      <c r="Q157" s="1554">
        <f t="shared" si="111"/>
        <v>0</v>
      </c>
      <c r="R157" s="1555">
        <f t="shared" si="111"/>
        <v>0</v>
      </c>
      <c r="S157" s="1599">
        <f t="shared" si="111"/>
        <v>0</v>
      </c>
      <c r="T157" s="1554">
        <f t="shared" si="111"/>
        <v>0</v>
      </c>
      <c r="U157" s="1555">
        <f t="shared" si="111"/>
        <v>0</v>
      </c>
      <c r="V157" s="1557">
        <f t="shared" si="95"/>
        <v>0</v>
      </c>
      <c r="Y157" s="1535"/>
      <c r="AA157" s="1719">
        <f t="shared" ref="AA157:AA167" si="112">G157</f>
        <v>0.9</v>
      </c>
      <c r="AB157" s="1797">
        <f t="shared" ref="AB157:AB167" si="113">H157</f>
        <v>0.66</v>
      </c>
      <c r="AC157" s="1798" t="str">
        <f t="shared" ref="AC157:AC167" si="114">I157</f>
        <v>ADC12</v>
      </c>
      <c r="AD157" s="1535" t="b">
        <f t="shared" ref="AD157:AD167" si="115">AA157=G157</f>
        <v>1</v>
      </c>
      <c r="AE157" s="1535" t="b">
        <f t="shared" ref="AE157:AE167" si="116">AB157=H157</f>
        <v>1</v>
      </c>
      <c r="AF157" s="1535" t="b">
        <f t="shared" ref="AF157:AF167" si="117">AC157=I157</f>
        <v>1</v>
      </c>
    </row>
    <row r="158" spans="1:32" s="1569" customFormat="1" ht="18.75" customHeight="1">
      <c r="A158" s="7225"/>
      <c r="B158" s="7300"/>
      <c r="C158" s="8"/>
      <c r="D158" s="10"/>
      <c r="E158" s="10"/>
      <c r="F158" s="1658" t="str">
        <f t="shared" si="88"/>
        <v>IPM 2.0 HSG Base+</v>
      </c>
      <c r="G158" s="1723">
        <f>IFERROR(VLOOKUP(F158,B.BasicInfomation!$B:$O,6,0),"")</f>
        <v>0.9</v>
      </c>
      <c r="H158" s="1797">
        <f>IFERROR(VLOOKUP(F158,B.BasicInfomation!B:O,8,0),"")</f>
        <v>0.66</v>
      </c>
      <c r="I158" s="3667" t="str">
        <f>IFERROR(VLOOKUP(F158,B.BasicInfomation!B:O,14,0),"")</f>
        <v>ADC12</v>
      </c>
      <c r="J158" s="4576">
        <f t="shared" ref="J158:U158" si="118">J74/$G158/$G$87</f>
        <v>0</v>
      </c>
      <c r="K158" s="5006">
        <f t="shared" si="118"/>
        <v>0</v>
      </c>
      <c r="L158" s="5498">
        <f t="shared" si="118"/>
        <v>0</v>
      </c>
      <c r="M158" s="2649">
        <f t="shared" si="118"/>
        <v>0</v>
      </c>
      <c r="N158" s="1554">
        <f t="shared" si="118"/>
        <v>0</v>
      </c>
      <c r="O158" s="1556">
        <f t="shared" si="118"/>
        <v>0</v>
      </c>
      <c r="P158" s="1722">
        <f t="shared" si="118"/>
        <v>0</v>
      </c>
      <c r="Q158" s="1554">
        <f t="shared" si="118"/>
        <v>0</v>
      </c>
      <c r="R158" s="1555">
        <f t="shared" si="118"/>
        <v>0</v>
      </c>
      <c r="S158" s="1599">
        <f t="shared" si="118"/>
        <v>0</v>
      </c>
      <c r="T158" s="1554">
        <f t="shared" si="118"/>
        <v>0</v>
      </c>
      <c r="U158" s="1555">
        <f t="shared" si="118"/>
        <v>0</v>
      </c>
      <c r="V158" s="1557">
        <f t="shared" si="95"/>
        <v>0</v>
      </c>
      <c r="Y158" s="1535"/>
      <c r="AA158" s="1719">
        <f t="shared" si="112"/>
        <v>0.9</v>
      </c>
      <c r="AB158" s="1797">
        <f t="shared" si="113"/>
        <v>0.66</v>
      </c>
      <c r="AC158" s="1798" t="str">
        <f t="shared" si="114"/>
        <v>ADC12</v>
      </c>
      <c r="AD158" s="1535" t="b">
        <f t="shared" si="115"/>
        <v>1</v>
      </c>
      <c r="AE158" s="1535" t="b">
        <f t="shared" si="116"/>
        <v>1</v>
      </c>
      <c r="AF158" s="1535" t="b">
        <f t="shared" si="117"/>
        <v>1</v>
      </c>
    </row>
    <row r="159" spans="1:32" s="1569" customFormat="1" ht="18.75" customHeight="1">
      <c r="A159" s="7225"/>
      <c r="B159" s="7300"/>
      <c r="C159" s="8"/>
      <c r="D159" s="10"/>
      <c r="E159" s="10"/>
      <c r="F159" s="1658" t="str">
        <f t="shared" si="88"/>
        <v>IPM 2.0 HSG Premium</v>
      </c>
      <c r="G159" s="1723">
        <f>IFERROR(VLOOKUP(F159,B.BasicInfomation!$B:$O,6,0),"")</f>
        <v>0.9</v>
      </c>
      <c r="H159" s="1797">
        <f>IFERROR(VLOOKUP(F159,B.BasicInfomation!B:O,8,0),"")</f>
        <v>0.66</v>
      </c>
      <c r="I159" s="3667" t="str">
        <f>IFERROR(VLOOKUP(F159,B.BasicInfomation!B:O,14,0),"")</f>
        <v>ADC12</v>
      </c>
      <c r="J159" s="4576">
        <f t="shared" ref="J159:U159" si="119">J75/$G159/$G$87</f>
        <v>0</v>
      </c>
      <c r="K159" s="5006">
        <f t="shared" si="119"/>
        <v>0</v>
      </c>
      <c r="L159" s="5498">
        <f t="shared" si="119"/>
        <v>0</v>
      </c>
      <c r="M159" s="2649">
        <f t="shared" si="119"/>
        <v>0</v>
      </c>
      <c r="N159" s="1554">
        <f t="shared" si="119"/>
        <v>0</v>
      </c>
      <c r="O159" s="1556">
        <f t="shared" si="119"/>
        <v>0</v>
      </c>
      <c r="P159" s="1722">
        <f t="shared" si="119"/>
        <v>0</v>
      </c>
      <c r="Q159" s="1554">
        <f t="shared" si="119"/>
        <v>0</v>
      </c>
      <c r="R159" s="1555">
        <f t="shared" si="119"/>
        <v>0</v>
      </c>
      <c r="S159" s="1599">
        <f t="shared" si="119"/>
        <v>0</v>
      </c>
      <c r="T159" s="1554">
        <f t="shared" si="119"/>
        <v>0</v>
      </c>
      <c r="U159" s="1555">
        <f t="shared" si="119"/>
        <v>0</v>
      </c>
      <c r="V159" s="1557">
        <f t="shared" si="95"/>
        <v>0</v>
      </c>
      <c r="Y159" s="1535"/>
      <c r="AA159" s="1719">
        <f t="shared" si="112"/>
        <v>0.9</v>
      </c>
      <c r="AB159" s="1797">
        <f t="shared" si="113"/>
        <v>0.66</v>
      </c>
      <c r="AC159" s="1798" t="str">
        <f t="shared" si="114"/>
        <v>ADC12</v>
      </c>
      <c r="AD159" s="1535" t="b">
        <f t="shared" si="115"/>
        <v>1</v>
      </c>
      <c r="AE159" s="1535" t="b">
        <f t="shared" si="116"/>
        <v>1</v>
      </c>
      <c r="AF159" s="1535" t="b">
        <f t="shared" si="117"/>
        <v>1</v>
      </c>
    </row>
    <row r="160" spans="1:32" s="1569" customFormat="1" ht="18.75" customHeight="1">
      <c r="A160" s="7225"/>
      <c r="B160" s="7300"/>
      <c r="C160" s="3507" t="s">
        <v>1262</v>
      </c>
      <c r="D160" s="3507" t="s">
        <v>1272</v>
      </c>
      <c r="E160" s="3507"/>
      <c r="F160" s="3389" t="str">
        <f t="shared" si="88"/>
        <v>Glass Frame (ZF60A-T5)</v>
      </c>
      <c r="G160" s="3595">
        <v>0</v>
      </c>
      <c r="H160" s="3527">
        <v>0</v>
      </c>
      <c r="I160" s="4102">
        <v>0</v>
      </c>
      <c r="J160" s="4690">
        <f t="shared" ref="J160:U160" si="120">IFERROR(J76/$G160/$G$87,0)</f>
        <v>0</v>
      </c>
      <c r="K160" s="5268">
        <f t="shared" si="120"/>
        <v>0</v>
      </c>
      <c r="L160" s="5523">
        <f t="shared" si="120"/>
        <v>0</v>
      </c>
      <c r="M160" s="4684">
        <f t="shared" si="120"/>
        <v>0</v>
      </c>
      <c r="N160" s="3511">
        <f t="shared" si="120"/>
        <v>0</v>
      </c>
      <c r="O160" s="3510">
        <f t="shared" si="120"/>
        <v>0</v>
      </c>
      <c r="P160" s="3528">
        <f t="shared" si="120"/>
        <v>0</v>
      </c>
      <c r="Q160" s="3511">
        <f t="shared" si="120"/>
        <v>0</v>
      </c>
      <c r="R160" s="3512">
        <f t="shared" si="120"/>
        <v>0</v>
      </c>
      <c r="S160" s="1812">
        <f t="shared" si="120"/>
        <v>0</v>
      </c>
      <c r="T160" s="3511">
        <f t="shared" si="120"/>
        <v>0</v>
      </c>
      <c r="U160" s="3512">
        <f t="shared" si="120"/>
        <v>0</v>
      </c>
      <c r="V160" s="1587">
        <f t="shared" ref="V160:V166" si="121">SUM(J160:U160)</f>
        <v>0</v>
      </c>
      <c r="Y160" s="1535"/>
      <c r="AA160" s="1719">
        <f t="shared" si="112"/>
        <v>0</v>
      </c>
      <c r="AB160" s="1797">
        <f t="shared" si="113"/>
        <v>0</v>
      </c>
      <c r="AC160" s="1798">
        <f t="shared" si="114"/>
        <v>0</v>
      </c>
      <c r="AD160" s="1535" t="b">
        <f t="shared" si="115"/>
        <v>1</v>
      </c>
      <c r="AE160" s="1535" t="b">
        <f t="shared" si="116"/>
        <v>1</v>
      </c>
      <c r="AF160" s="1535" t="b">
        <f t="shared" si="117"/>
        <v>1</v>
      </c>
    </row>
    <row r="161" spans="1:34" s="1569" customFormat="1" ht="18.75" customHeight="1">
      <c r="A161" s="7225"/>
      <c r="B161" s="7300"/>
      <c r="C161" s="1596"/>
      <c r="D161" s="6"/>
      <c r="E161" s="6"/>
      <c r="F161" s="1713" t="str">
        <f t="shared" si="88"/>
        <v>Body Compute enclosure (AL6061-T6)</v>
      </c>
      <c r="G161" s="1725">
        <v>0</v>
      </c>
      <c r="H161" s="1795">
        <v>0</v>
      </c>
      <c r="I161" s="3668">
        <v>0</v>
      </c>
      <c r="J161" s="4687">
        <f t="shared" ref="J161:U161" si="122">IFERROR(J77/$G161/$G$87,0)</f>
        <v>0</v>
      </c>
      <c r="K161" s="5007">
        <f t="shared" si="122"/>
        <v>0</v>
      </c>
      <c r="L161" s="5499">
        <f t="shared" si="122"/>
        <v>0</v>
      </c>
      <c r="M161" s="4679">
        <f t="shared" si="122"/>
        <v>0</v>
      </c>
      <c r="N161" s="1549">
        <f t="shared" si="122"/>
        <v>0</v>
      </c>
      <c r="O161" s="1558">
        <f t="shared" si="122"/>
        <v>0</v>
      </c>
      <c r="P161" s="1648">
        <f t="shared" si="122"/>
        <v>0</v>
      </c>
      <c r="Q161" s="1549">
        <f t="shared" si="122"/>
        <v>0</v>
      </c>
      <c r="R161" s="1550">
        <f t="shared" si="122"/>
        <v>0</v>
      </c>
      <c r="S161" s="1597">
        <f t="shared" si="122"/>
        <v>0</v>
      </c>
      <c r="T161" s="1549">
        <f t="shared" si="122"/>
        <v>0</v>
      </c>
      <c r="U161" s="1550">
        <f t="shared" si="122"/>
        <v>0</v>
      </c>
      <c r="V161" s="1551">
        <f t="shared" si="121"/>
        <v>0</v>
      </c>
      <c r="Y161" s="1535"/>
      <c r="AA161" s="1719">
        <f t="shared" si="112"/>
        <v>0</v>
      </c>
      <c r="AB161" s="1797">
        <f t="shared" si="113"/>
        <v>0</v>
      </c>
      <c r="AC161" s="1798">
        <f t="shared" si="114"/>
        <v>0</v>
      </c>
      <c r="AD161" s="1535" t="b">
        <f t="shared" si="115"/>
        <v>1</v>
      </c>
      <c r="AE161" s="1535" t="b">
        <f t="shared" si="116"/>
        <v>1</v>
      </c>
      <c r="AF161" s="1535" t="b">
        <f t="shared" si="117"/>
        <v>1</v>
      </c>
    </row>
    <row r="162" spans="1:34" s="1569" customFormat="1" ht="18.75" hidden="1" customHeight="1">
      <c r="A162" s="7225"/>
      <c r="B162" s="7300"/>
      <c r="C162" s="8"/>
      <c r="D162" s="10"/>
      <c r="E162" s="10"/>
      <c r="F162" s="1658" t="str">
        <f t="shared" si="88"/>
        <v>Others Part</v>
      </c>
      <c r="G162" s="1723">
        <v>0</v>
      </c>
      <c r="H162" s="1797">
        <v>0</v>
      </c>
      <c r="I162" s="3667">
        <v>0</v>
      </c>
      <c r="J162" s="4576">
        <f t="shared" ref="J162:U162" si="123">IFERROR(J78/$G162/$G$87,0)</f>
        <v>0</v>
      </c>
      <c r="K162" s="5006">
        <f t="shared" si="123"/>
        <v>0</v>
      </c>
      <c r="L162" s="5498">
        <f t="shared" si="123"/>
        <v>0</v>
      </c>
      <c r="M162" s="2649">
        <f t="shared" si="123"/>
        <v>0</v>
      </c>
      <c r="N162" s="1554">
        <f t="shared" si="123"/>
        <v>0</v>
      </c>
      <c r="O162" s="1556">
        <f t="shared" si="123"/>
        <v>0</v>
      </c>
      <c r="P162" s="1722">
        <f t="shared" si="123"/>
        <v>0</v>
      </c>
      <c r="Q162" s="1554">
        <f t="shared" si="123"/>
        <v>0</v>
      </c>
      <c r="R162" s="1555">
        <f t="shared" si="123"/>
        <v>0</v>
      </c>
      <c r="S162" s="1599">
        <f t="shared" si="123"/>
        <v>0</v>
      </c>
      <c r="T162" s="1554">
        <f t="shared" si="123"/>
        <v>0</v>
      </c>
      <c r="U162" s="1555">
        <f t="shared" si="123"/>
        <v>0</v>
      </c>
      <c r="V162" s="1557">
        <f t="shared" si="121"/>
        <v>0</v>
      </c>
      <c r="Y162" s="1535"/>
      <c r="AA162" s="1719">
        <f t="shared" si="112"/>
        <v>0</v>
      </c>
      <c r="AB162" s="1797">
        <f t="shared" si="113"/>
        <v>0</v>
      </c>
      <c r="AC162" s="1798">
        <f t="shared" si="114"/>
        <v>0</v>
      </c>
      <c r="AD162" s="1535" t="b">
        <f t="shared" si="115"/>
        <v>1</v>
      </c>
      <c r="AE162" s="1535" t="b">
        <f t="shared" si="116"/>
        <v>1</v>
      </c>
      <c r="AF162" s="1535" t="b">
        <f t="shared" si="117"/>
        <v>1</v>
      </c>
    </row>
    <row r="163" spans="1:34" s="1569" customFormat="1" ht="18.75" hidden="1" customHeight="1">
      <c r="A163" s="7225"/>
      <c r="B163" s="7300"/>
      <c r="C163" s="8"/>
      <c r="D163" s="10"/>
      <c r="E163" s="10"/>
      <c r="F163" s="1658" t="e">
        <f t="shared" si="88"/>
        <v>#REF!</v>
      </c>
      <c r="G163" s="1723">
        <v>0</v>
      </c>
      <c r="H163" s="1797">
        <v>0</v>
      </c>
      <c r="I163" s="3667">
        <v>0</v>
      </c>
      <c r="J163" s="4576">
        <f t="shared" ref="J163:U163" si="124">IFERROR(J79/$G163/$G$87,0)</f>
        <v>0</v>
      </c>
      <c r="K163" s="5006">
        <f t="shared" si="124"/>
        <v>0</v>
      </c>
      <c r="L163" s="5498">
        <f t="shared" si="124"/>
        <v>0</v>
      </c>
      <c r="M163" s="2649">
        <f t="shared" si="124"/>
        <v>0</v>
      </c>
      <c r="N163" s="1554">
        <f t="shared" si="124"/>
        <v>0</v>
      </c>
      <c r="O163" s="1556">
        <f t="shared" si="124"/>
        <v>0</v>
      </c>
      <c r="P163" s="1722">
        <f t="shared" si="124"/>
        <v>0</v>
      </c>
      <c r="Q163" s="1554">
        <f t="shared" si="124"/>
        <v>0</v>
      </c>
      <c r="R163" s="1555">
        <f t="shared" si="124"/>
        <v>0</v>
      </c>
      <c r="S163" s="1599">
        <f t="shared" si="124"/>
        <v>0</v>
      </c>
      <c r="T163" s="1554">
        <f t="shared" si="124"/>
        <v>0</v>
      </c>
      <c r="U163" s="1555">
        <f t="shared" si="124"/>
        <v>0</v>
      </c>
      <c r="V163" s="1557">
        <f t="shared" si="121"/>
        <v>0</v>
      </c>
      <c r="Y163" s="1535"/>
      <c r="AA163" s="1719">
        <f t="shared" si="112"/>
        <v>0</v>
      </c>
      <c r="AB163" s="1797">
        <f t="shared" si="113"/>
        <v>0</v>
      </c>
      <c r="AC163" s="1798">
        <f t="shared" si="114"/>
        <v>0</v>
      </c>
      <c r="AD163" s="1535" t="b">
        <f t="shared" si="115"/>
        <v>1</v>
      </c>
      <c r="AE163" s="1535" t="b">
        <f t="shared" si="116"/>
        <v>1</v>
      </c>
      <c r="AF163" s="1535" t="b">
        <f t="shared" si="117"/>
        <v>1</v>
      </c>
    </row>
    <row r="164" spans="1:34" s="1569" customFormat="1" ht="18.75" hidden="1" customHeight="1">
      <c r="A164" s="7225"/>
      <c r="B164" s="7300"/>
      <c r="C164" s="8"/>
      <c r="D164" s="10"/>
      <c r="E164" s="10"/>
      <c r="F164" s="1658" t="e">
        <f t="shared" si="88"/>
        <v>#REF!</v>
      </c>
      <c r="G164" s="1723">
        <v>0</v>
      </c>
      <c r="H164" s="1797">
        <v>0</v>
      </c>
      <c r="I164" s="3667">
        <v>0</v>
      </c>
      <c r="J164" s="4576">
        <f t="shared" ref="J164:U164" si="125">IFERROR(J80/$G164/$G$87,0)</f>
        <v>0</v>
      </c>
      <c r="K164" s="5006">
        <f t="shared" si="125"/>
        <v>0</v>
      </c>
      <c r="L164" s="5498">
        <f t="shared" si="125"/>
        <v>0</v>
      </c>
      <c r="M164" s="2649">
        <f t="shared" si="125"/>
        <v>0</v>
      </c>
      <c r="N164" s="1554">
        <f t="shared" si="125"/>
        <v>0</v>
      </c>
      <c r="O164" s="1556">
        <f t="shared" si="125"/>
        <v>0</v>
      </c>
      <c r="P164" s="1722">
        <f t="shared" si="125"/>
        <v>0</v>
      </c>
      <c r="Q164" s="1554">
        <f t="shared" si="125"/>
        <v>0</v>
      </c>
      <c r="R164" s="1555">
        <f t="shared" si="125"/>
        <v>0</v>
      </c>
      <c r="S164" s="1599">
        <f t="shared" si="125"/>
        <v>0</v>
      </c>
      <c r="T164" s="1554">
        <f t="shared" si="125"/>
        <v>0</v>
      </c>
      <c r="U164" s="1555">
        <f t="shared" si="125"/>
        <v>0</v>
      </c>
      <c r="V164" s="1557">
        <f t="shared" si="121"/>
        <v>0</v>
      </c>
      <c r="Y164" s="1535"/>
      <c r="AA164" s="1719">
        <f t="shared" si="112"/>
        <v>0</v>
      </c>
      <c r="AB164" s="1797">
        <f t="shared" si="113"/>
        <v>0</v>
      </c>
      <c r="AC164" s="1798">
        <f t="shared" si="114"/>
        <v>0</v>
      </c>
      <c r="AD164" s="1535" t="b">
        <f t="shared" si="115"/>
        <v>1</v>
      </c>
      <c r="AE164" s="1535" t="b">
        <f t="shared" si="116"/>
        <v>1</v>
      </c>
      <c r="AF164" s="1535" t="b">
        <f t="shared" si="117"/>
        <v>1</v>
      </c>
    </row>
    <row r="165" spans="1:34" s="1569" customFormat="1" ht="18.75" hidden="1" customHeight="1">
      <c r="A165" s="7225"/>
      <c r="B165" s="7300"/>
      <c r="C165" s="8"/>
      <c r="D165" s="10"/>
      <c r="E165" s="10"/>
      <c r="F165" s="1658" t="e">
        <f t="shared" si="88"/>
        <v>#REF!</v>
      </c>
      <c r="G165" s="1723">
        <v>0</v>
      </c>
      <c r="H165" s="1797">
        <v>0</v>
      </c>
      <c r="I165" s="3667">
        <v>0</v>
      </c>
      <c r="J165" s="4576">
        <f t="shared" ref="J165:U165" si="126">IFERROR(J81/$G165/$G$87,0)</f>
        <v>0</v>
      </c>
      <c r="K165" s="5006">
        <f t="shared" si="126"/>
        <v>0</v>
      </c>
      <c r="L165" s="5498">
        <f t="shared" si="126"/>
        <v>0</v>
      </c>
      <c r="M165" s="2649">
        <f t="shared" si="126"/>
        <v>0</v>
      </c>
      <c r="N165" s="1554">
        <f t="shared" si="126"/>
        <v>0</v>
      </c>
      <c r="O165" s="1556">
        <f t="shared" si="126"/>
        <v>0</v>
      </c>
      <c r="P165" s="1722">
        <f t="shared" si="126"/>
        <v>0</v>
      </c>
      <c r="Q165" s="1554">
        <f t="shared" si="126"/>
        <v>0</v>
      </c>
      <c r="R165" s="1555">
        <f t="shared" si="126"/>
        <v>0</v>
      </c>
      <c r="S165" s="1599">
        <f t="shared" si="126"/>
        <v>0</v>
      </c>
      <c r="T165" s="1554">
        <f t="shared" si="126"/>
        <v>0</v>
      </c>
      <c r="U165" s="1555">
        <f t="shared" si="126"/>
        <v>0</v>
      </c>
      <c r="V165" s="1557">
        <f t="shared" si="121"/>
        <v>0</v>
      </c>
      <c r="Y165" s="1535"/>
      <c r="AA165" s="1719">
        <f t="shared" si="112"/>
        <v>0</v>
      </c>
      <c r="AB165" s="1797">
        <f t="shared" si="113"/>
        <v>0</v>
      </c>
      <c r="AC165" s="1798">
        <f t="shared" si="114"/>
        <v>0</v>
      </c>
      <c r="AD165" s="1535" t="b">
        <f t="shared" si="115"/>
        <v>1</v>
      </c>
      <c r="AE165" s="1535" t="b">
        <f t="shared" si="116"/>
        <v>1</v>
      </c>
      <c r="AF165" s="1535" t="b">
        <f t="shared" si="117"/>
        <v>1</v>
      </c>
    </row>
    <row r="166" spans="1:34" s="1569" customFormat="1" ht="18.75" hidden="1" customHeight="1">
      <c r="A166" s="7225"/>
      <c r="B166" s="7300"/>
      <c r="C166" s="1596"/>
      <c r="D166" s="6"/>
      <c r="E166" s="6"/>
      <c r="F166" s="1713" t="e">
        <f t="shared" si="88"/>
        <v>#REF!</v>
      </c>
      <c r="G166" s="1725">
        <v>0</v>
      </c>
      <c r="H166" s="1795">
        <v>0</v>
      </c>
      <c r="I166" s="3668">
        <v>0</v>
      </c>
      <c r="J166" s="4687">
        <f t="shared" ref="J166:U166" si="127">IFERROR(J82/$G166/$G$87,0)</f>
        <v>0</v>
      </c>
      <c r="K166" s="5007">
        <f t="shared" si="127"/>
        <v>0</v>
      </c>
      <c r="L166" s="5499">
        <f t="shared" si="127"/>
        <v>0</v>
      </c>
      <c r="M166" s="4679">
        <f t="shared" si="127"/>
        <v>0</v>
      </c>
      <c r="N166" s="1549">
        <f t="shared" si="127"/>
        <v>0</v>
      </c>
      <c r="O166" s="1558">
        <f t="shared" si="127"/>
        <v>0</v>
      </c>
      <c r="P166" s="1648">
        <f t="shared" si="127"/>
        <v>0</v>
      </c>
      <c r="Q166" s="1549">
        <f t="shared" si="127"/>
        <v>0</v>
      </c>
      <c r="R166" s="1550">
        <f t="shared" si="127"/>
        <v>0</v>
      </c>
      <c r="S166" s="1597">
        <f t="shared" si="127"/>
        <v>0</v>
      </c>
      <c r="T166" s="1549">
        <f t="shared" si="127"/>
        <v>0</v>
      </c>
      <c r="U166" s="1550">
        <f t="shared" si="127"/>
        <v>0</v>
      </c>
      <c r="V166" s="1551">
        <f t="shared" si="121"/>
        <v>0</v>
      </c>
      <c r="Y166" s="1535"/>
      <c r="AA166" s="1719">
        <f t="shared" si="112"/>
        <v>0</v>
      </c>
      <c r="AB166" s="1797">
        <f t="shared" si="113"/>
        <v>0</v>
      </c>
      <c r="AC166" s="1798">
        <f t="shared" si="114"/>
        <v>0</v>
      </c>
      <c r="AD166" s="1535" t="b">
        <f t="shared" si="115"/>
        <v>1</v>
      </c>
      <c r="AE166" s="1535" t="b">
        <f t="shared" si="116"/>
        <v>1</v>
      </c>
      <c r="AF166" s="1535" t="b">
        <f t="shared" si="117"/>
        <v>1</v>
      </c>
    </row>
    <row r="167" spans="1:34" ht="18.75" customHeight="1" thickBot="1">
      <c r="A167" s="7298"/>
      <c r="B167" s="7301"/>
      <c r="C167" s="1726" t="s">
        <v>43</v>
      </c>
      <c r="D167" s="3"/>
      <c r="E167" s="3"/>
      <c r="F167" s="2007"/>
      <c r="G167" s="1725"/>
      <c r="H167" s="1800"/>
      <c r="I167" s="3668"/>
      <c r="J167" s="4664">
        <f t="shared" ref="J167:U167" si="128">SUM(J104:J166)</f>
        <v>1633829.8905707537</v>
      </c>
      <c r="K167" s="5029">
        <f t="shared" si="128"/>
        <v>1412511.9141695085</v>
      </c>
      <c r="L167" s="5603">
        <f t="shared" si="128"/>
        <v>2078639.8796966057</v>
      </c>
      <c r="M167" s="4674">
        <f t="shared" si="128"/>
        <v>1597298.6919946906</v>
      </c>
      <c r="N167" s="2109">
        <f t="shared" si="128"/>
        <v>1831539.0028422468</v>
      </c>
      <c r="O167" s="2396">
        <f t="shared" si="128"/>
        <v>1607173.8585050213</v>
      </c>
      <c r="P167" s="2469">
        <f t="shared" si="128"/>
        <v>1791462.2260528028</v>
      </c>
      <c r="Q167" s="2109">
        <f t="shared" si="128"/>
        <v>1503748.5328594025</v>
      </c>
      <c r="R167" s="2396">
        <f t="shared" si="128"/>
        <v>1514529.2434822659</v>
      </c>
      <c r="S167" s="2469">
        <f t="shared" si="128"/>
        <v>1482011.4240287719</v>
      </c>
      <c r="T167" s="2109">
        <f t="shared" si="128"/>
        <v>1433167.9890457222</v>
      </c>
      <c r="U167" s="2396">
        <f t="shared" si="128"/>
        <v>1453043.8742790262</v>
      </c>
      <c r="V167" s="1551">
        <f>SUM(J167:U167)</f>
        <v>19338956.527526814</v>
      </c>
      <c r="X167" s="1817"/>
      <c r="AA167" s="1719">
        <f t="shared" si="112"/>
        <v>0</v>
      </c>
      <c r="AB167" s="1797">
        <f t="shared" si="113"/>
        <v>0</v>
      </c>
      <c r="AC167" s="1798">
        <f t="shared" si="114"/>
        <v>0</v>
      </c>
      <c r="AD167" s="1535" t="b">
        <f t="shared" si="115"/>
        <v>1</v>
      </c>
      <c r="AE167" s="1535" t="b">
        <f t="shared" si="116"/>
        <v>1</v>
      </c>
      <c r="AF167" s="1535" t="b">
        <f t="shared" si="117"/>
        <v>1</v>
      </c>
    </row>
    <row r="168" spans="1:34" ht="18.75" customHeight="1" thickBot="1">
      <c r="A168" s="7081" t="s">
        <v>119</v>
      </c>
      <c r="B168" s="7082"/>
      <c r="C168" s="7082"/>
      <c r="D168" s="7082"/>
      <c r="E168" s="7082"/>
      <c r="F168" s="7082"/>
      <c r="G168" s="7082"/>
      <c r="H168" s="7082"/>
      <c r="I168" s="7083"/>
      <c r="J168" s="3952">
        <f t="shared" ref="J168:V168" si="129">J103+J167</f>
        <v>3929151.8247594591</v>
      </c>
      <c r="K168" s="5012">
        <f t="shared" si="129"/>
        <v>3273168.2933272044</v>
      </c>
      <c r="L168" s="5059">
        <f t="shared" si="129"/>
        <v>4079852.458245975</v>
      </c>
      <c r="M168" s="3952">
        <f t="shared" si="129"/>
        <v>3314775.7670847676</v>
      </c>
      <c r="N168" s="1605">
        <f t="shared" si="129"/>
        <v>3745115.4394292096</v>
      </c>
      <c r="O168" s="1606">
        <f t="shared" si="129"/>
        <v>4571657.0033039553</v>
      </c>
      <c r="P168" s="1604">
        <f t="shared" si="129"/>
        <v>5067942.4468751298</v>
      </c>
      <c r="Q168" s="1605">
        <f t="shared" si="129"/>
        <v>4820918.8121612612</v>
      </c>
      <c r="R168" s="1606">
        <f t="shared" si="129"/>
        <v>3994243.3824332478</v>
      </c>
      <c r="S168" s="1604">
        <f t="shared" si="129"/>
        <v>3687430.2413423262</v>
      </c>
      <c r="T168" s="1605">
        <f t="shared" si="129"/>
        <v>3999994.7268904485</v>
      </c>
      <c r="U168" s="1606">
        <f t="shared" si="129"/>
        <v>3932883.7885246705</v>
      </c>
      <c r="V168" s="1674">
        <f t="shared" si="129"/>
        <v>48417134.184377655</v>
      </c>
      <c r="W168" s="1826" t="b">
        <f>SUM(J168:U168)=V168</f>
        <v>1</v>
      </c>
      <c r="AA168" s="1535"/>
      <c r="AB168" s="1535"/>
      <c r="AC168" s="1535"/>
    </row>
    <row r="169" spans="1:34" s="1618" customFormat="1" ht="19.5" customHeight="1">
      <c r="A169" s="7327" t="s">
        <v>1016</v>
      </c>
      <c r="B169" s="7328"/>
      <c r="C169" s="7328"/>
      <c r="D169" s="7328"/>
      <c r="E169" s="7328"/>
      <c r="F169" s="7328"/>
      <c r="G169" s="7328"/>
      <c r="H169" s="7328"/>
      <c r="I169" s="7329"/>
      <c r="J169" s="4691">
        <f t="shared" ref="J169:V169" si="130">(J168-J84)/J84</f>
        <v>0.22354428913968158</v>
      </c>
      <c r="K169" s="5367">
        <f t="shared" si="130"/>
        <v>0.23319258465599671</v>
      </c>
      <c r="L169" s="6179">
        <f t="shared" si="130"/>
        <v>0.23775902850436312</v>
      </c>
      <c r="M169" s="6180">
        <f t="shared" si="130"/>
        <v>0.24119244738641374</v>
      </c>
      <c r="N169" s="1829">
        <f t="shared" si="130"/>
        <v>0.24079767493786827</v>
      </c>
      <c r="O169" s="1827">
        <f t="shared" si="130"/>
        <v>0.22131602420611923</v>
      </c>
      <c r="P169" s="1828">
        <f t="shared" si="130"/>
        <v>0.21962910621595091</v>
      </c>
      <c r="Q169" s="1829">
        <f t="shared" si="130"/>
        <v>0.21531903383450476</v>
      </c>
      <c r="R169" s="1830">
        <f t="shared" si="130"/>
        <v>0.21969018615625244</v>
      </c>
      <c r="S169" s="1828">
        <f t="shared" si="130"/>
        <v>0.22229836900105129</v>
      </c>
      <c r="T169" s="1829">
        <f t="shared" si="130"/>
        <v>0.21688641926124594</v>
      </c>
      <c r="U169" s="1830">
        <f t="shared" si="130"/>
        <v>0.22125377339469374</v>
      </c>
      <c r="V169" s="1831">
        <f t="shared" si="130"/>
        <v>0.22528519397485872</v>
      </c>
      <c r="X169" s="1535"/>
      <c r="Y169" s="5"/>
      <c r="Z169" s="1636"/>
      <c r="AA169" s="1636"/>
      <c r="AB169" s="1636"/>
      <c r="AC169" s="1636"/>
      <c r="AD169" s="1636"/>
      <c r="AE169" s="1636"/>
      <c r="AF169" s="1636"/>
      <c r="AG169" s="1636"/>
      <c r="AH169" s="1636"/>
    </row>
    <row r="170" spans="1:34" s="1618" customFormat="1" ht="19.5" customHeight="1" thickBot="1">
      <c r="A170" s="7330" t="s">
        <v>1017</v>
      </c>
      <c r="B170" s="7331"/>
      <c r="C170" s="7331"/>
      <c r="D170" s="7331"/>
      <c r="E170" s="7331"/>
      <c r="F170" s="7331"/>
      <c r="G170" s="7331"/>
      <c r="H170" s="7331"/>
      <c r="I170" s="7332"/>
      <c r="J170" s="4692">
        <f>1-J169</f>
        <v>0.77645571086031839</v>
      </c>
      <c r="K170" s="5368">
        <f t="shared" ref="K170:V170" si="131">1-K169</f>
        <v>0.76680741534400332</v>
      </c>
      <c r="L170" s="6181">
        <f t="shared" si="131"/>
        <v>0.76224097149563685</v>
      </c>
      <c r="M170" s="6182">
        <f t="shared" si="131"/>
        <v>0.75880755261358623</v>
      </c>
      <c r="N170" s="1834">
        <f t="shared" si="131"/>
        <v>0.7592023250621317</v>
      </c>
      <c r="O170" s="1832">
        <f t="shared" si="131"/>
        <v>0.77868397579388082</v>
      </c>
      <c r="P170" s="1833">
        <f t="shared" si="131"/>
        <v>0.78037089378404911</v>
      </c>
      <c r="Q170" s="1834">
        <f t="shared" si="131"/>
        <v>0.78468096616549521</v>
      </c>
      <c r="R170" s="1835">
        <f t="shared" si="131"/>
        <v>0.78030981384374754</v>
      </c>
      <c r="S170" s="1833">
        <f t="shared" si="131"/>
        <v>0.77770163099894873</v>
      </c>
      <c r="T170" s="1834">
        <f t="shared" si="131"/>
        <v>0.78311358073875403</v>
      </c>
      <c r="U170" s="1835">
        <f t="shared" si="131"/>
        <v>0.77874622660530624</v>
      </c>
      <c r="V170" s="1836">
        <f t="shared" si="131"/>
        <v>0.77471480602514131</v>
      </c>
      <c r="W170" s="5"/>
      <c r="X170" s="1535"/>
      <c r="Y170" s="5"/>
      <c r="Z170" s="1636"/>
      <c r="AA170" s="1636"/>
      <c r="AB170" s="1636"/>
      <c r="AC170" s="1636"/>
      <c r="AD170" s="1636"/>
      <c r="AE170" s="1636"/>
      <c r="AF170" s="1636"/>
      <c r="AG170" s="1636"/>
      <c r="AH170" s="1636"/>
    </row>
    <row r="171" spans="1:34" ht="19.5" customHeight="1">
      <c r="J171" s="2649"/>
      <c r="K171" s="2649"/>
      <c r="L171" s="2649"/>
      <c r="M171" s="2649"/>
      <c r="N171" s="1837"/>
      <c r="O171" s="1837"/>
      <c r="P171" s="1837"/>
      <c r="Q171" s="1837"/>
      <c r="R171" s="1837"/>
      <c r="S171" s="1837"/>
      <c r="T171" s="1837"/>
      <c r="U171" s="1837"/>
      <c r="V171" s="4"/>
      <c r="W171" s="1610"/>
      <c r="Y171" s="1569"/>
    </row>
    <row r="172" spans="1:34" ht="19.5" customHeight="1">
      <c r="G172" s="1699">
        <v>12</v>
      </c>
      <c r="H172" s="1699">
        <v>13</v>
      </c>
      <c r="I172" s="3660">
        <v>14</v>
      </c>
      <c r="J172" s="2649"/>
      <c r="K172" s="2649"/>
      <c r="L172" s="2649"/>
      <c r="M172" s="2649"/>
      <c r="N172" s="1837"/>
      <c r="O172" s="1837"/>
      <c r="P172" s="1837"/>
      <c r="Q172" s="1837"/>
      <c r="R172" s="1837"/>
      <c r="S172" s="1837"/>
      <c r="T172" s="1837"/>
      <c r="U172" s="1837"/>
      <c r="V172" s="4"/>
      <c r="W172" s="1610"/>
      <c r="Y172" s="1569"/>
    </row>
    <row r="173" spans="1:34" s="1610" customFormat="1" ht="19.5" customHeight="1" thickBot="1">
      <c r="A173" s="1538" t="s">
        <v>505</v>
      </c>
      <c r="F173" s="1611" t="s">
        <v>88</v>
      </c>
      <c r="G173" s="1838">
        <v>0.9</v>
      </c>
      <c r="H173" s="1789"/>
      <c r="I173" s="1790"/>
      <c r="J173" s="4693"/>
      <c r="K173" s="4693"/>
      <c r="L173" s="4693"/>
      <c r="M173" s="4693"/>
      <c r="N173" s="1839"/>
      <c r="O173" s="1839"/>
      <c r="P173" s="1839"/>
      <c r="Q173" s="1839"/>
      <c r="R173" s="1839"/>
      <c r="S173" s="1839"/>
      <c r="T173" s="1839"/>
      <c r="U173" s="1839"/>
      <c r="V173" s="1840" t="s">
        <v>104</v>
      </c>
      <c r="W173" s="1535"/>
      <c r="X173" s="1535"/>
      <c r="Y173" s="1569"/>
      <c r="Z173" s="1535"/>
      <c r="AA173" s="1838">
        <v>0.9</v>
      </c>
      <c r="AB173" s="1789"/>
      <c r="AC173" s="1790"/>
      <c r="AD173" s="1535"/>
      <c r="AE173" s="1535"/>
      <c r="AF173" s="1535"/>
      <c r="AG173" s="1535"/>
      <c r="AH173" s="1535"/>
    </row>
    <row r="174" spans="1:34" s="1610" customFormat="1" ht="31.8" thickBot="1">
      <c r="A174" s="1539" t="s">
        <v>40</v>
      </c>
      <c r="B174" s="74" t="s">
        <v>106</v>
      </c>
      <c r="C174" s="74" t="s">
        <v>45</v>
      </c>
      <c r="D174" s="74" t="s">
        <v>990</v>
      </c>
      <c r="E174" s="74" t="s">
        <v>1011</v>
      </c>
      <c r="F174" s="74" t="s">
        <v>107</v>
      </c>
      <c r="G174" s="74" t="s">
        <v>184</v>
      </c>
      <c r="H174" s="1701" t="s">
        <v>185</v>
      </c>
      <c r="I174" s="1702" t="s">
        <v>186</v>
      </c>
      <c r="J174" s="4490" t="str">
        <f t="shared" ref="J174:V174" si="132">J88</f>
        <v>Jan.26</v>
      </c>
      <c r="K174" s="5005" t="str">
        <f t="shared" si="132"/>
        <v>Feb.26</v>
      </c>
      <c r="L174" s="5494" t="str">
        <f t="shared" si="132"/>
        <v>Mar.26</v>
      </c>
      <c r="M174" s="4490" t="str">
        <f t="shared" si="132"/>
        <v>Apr.26</v>
      </c>
      <c r="N174" s="74" t="str">
        <f t="shared" si="132"/>
        <v>May.26</v>
      </c>
      <c r="O174" s="1540" t="str">
        <f t="shared" si="132"/>
        <v>Jun.26</v>
      </c>
      <c r="P174" s="1539" t="str">
        <f t="shared" si="132"/>
        <v>Jul.26</v>
      </c>
      <c r="Q174" s="74" t="str">
        <f t="shared" si="132"/>
        <v>Aug.26</v>
      </c>
      <c r="R174" s="1540" t="str">
        <f t="shared" si="132"/>
        <v>Sep.26</v>
      </c>
      <c r="S174" s="1539" t="str">
        <f t="shared" si="132"/>
        <v>Oct.26</v>
      </c>
      <c r="T174" s="74" t="str">
        <f t="shared" si="132"/>
        <v>Nov.26</v>
      </c>
      <c r="U174" s="1540" t="str">
        <f t="shared" si="132"/>
        <v>Dec.26</v>
      </c>
      <c r="V174" s="1541" t="str">
        <f t="shared" si="132"/>
        <v>2026
Total</v>
      </c>
      <c r="W174" s="1535"/>
      <c r="X174" s="1535"/>
      <c r="Y174" s="1569"/>
      <c r="Z174" s="1535"/>
      <c r="AA174" s="74" t="s">
        <v>184</v>
      </c>
      <c r="AB174" s="1701" t="s">
        <v>185</v>
      </c>
      <c r="AC174" s="1702" t="s">
        <v>186</v>
      </c>
      <c r="AD174" s="1535"/>
      <c r="AE174" s="1535"/>
      <c r="AF174" s="1535"/>
      <c r="AG174" s="1535"/>
      <c r="AH174" s="1535"/>
    </row>
    <row r="175" spans="1:34" ht="19.5" customHeight="1">
      <c r="A175" s="7224">
        <v>1</v>
      </c>
      <c r="B175" s="7197" t="s">
        <v>16</v>
      </c>
      <c r="C175" s="1670" t="s">
        <v>19</v>
      </c>
      <c r="D175" s="55" t="str">
        <f>D5</f>
        <v>Mobile</v>
      </c>
      <c r="E175" s="4044"/>
      <c r="F175" s="1670" t="str">
        <f t="shared" ref="F175:F188" si="133">F89</f>
        <v>Galaxy Tap</v>
      </c>
      <c r="G175" s="1670">
        <f>IFERROR(VLOOKUP(F175,B.BasicInfomation!$B:$O,11,0),"")</f>
        <v>3700</v>
      </c>
      <c r="H175" s="1844">
        <f>IFERROR(VLOOKUP(F175,B.BasicInfomation!$B:$O,12,0),"")</f>
        <v>350</v>
      </c>
      <c r="I175" s="1930">
        <f>IFERROR(VLOOKUP(F175,B.BasicInfomation!$B:$O,13,0),"")</f>
        <v>2</v>
      </c>
      <c r="J175" s="4694">
        <f>J89/$G175/'4. L PLAN'!F$109</f>
        <v>0</v>
      </c>
      <c r="K175" s="5369">
        <f>K89/$G175/'4. L PLAN'!G$109</f>
        <v>0</v>
      </c>
      <c r="L175" s="6183">
        <f>L89/$G175/'4. L PLAN'!H$109</f>
        <v>0</v>
      </c>
      <c r="M175" s="4694">
        <f>M89/$G175/'4. L PLAN'!I$109</f>
        <v>0</v>
      </c>
      <c r="N175" s="1848">
        <f>N89/$G175/'4. L PLAN'!J$109</f>
        <v>0</v>
      </c>
      <c r="O175" s="1846">
        <f>O89/$G175/'4. L PLAN'!K$109</f>
        <v>0</v>
      </c>
      <c r="P175" s="1847">
        <f>P89/$G175/'4. L PLAN'!L$109</f>
        <v>0</v>
      </c>
      <c r="Q175" s="1848">
        <f>Q89/$G175/'4. L PLAN'!M$109</f>
        <v>0</v>
      </c>
      <c r="R175" s="1846">
        <f>R89/$G175/'4. L PLAN'!N$109</f>
        <v>0</v>
      </c>
      <c r="S175" s="1847">
        <f>S89/$G175/'4. L PLAN'!O$109</f>
        <v>0</v>
      </c>
      <c r="T175" s="1848">
        <f>T89/$G175/'4. L PLAN'!P$109</f>
        <v>0.15205078496217736</v>
      </c>
      <c r="U175" s="1846">
        <f>U89/$G175/'4. L PLAN'!Q$109</f>
        <v>0.70393881926933954</v>
      </c>
      <c r="V175" s="1849">
        <f t="shared" ref="V175:V226" si="134">AVERAGE(J175:U175)</f>
        <v>7.1332467019293078E-2</v>
      </c>
      <c r="Y175" s="1569"/>
      <c r="AA175" s="1670">
        <f t="shared" ref="AA175:AA210" si="135">G175</f>
        <v>3700</v>
      </c>
      <c r="AB175" s="1844">
        <f t="shared" ref="AB175:AB210" si="136">H175</f>
        <v>350</v>
      </c>
      <c r="AC175" s="1845">
        <f t="shared" ref="AC175:AC210" si="137">I175</f>
        <v>2</v>
      </c>
      <c r="AD175" s="1535" t="b">
        <f t="shared" ref="AD175:AD210" si="138">AA175=G175</f>
        <v>1</v>
      </c>
      <c r="AE175" s="1535" t="b">
        <f t="shared" ref="AE175:AE210" si="139">AB175=H175</f>
        <v>1</v>
      </c>
      <c r="AF175" s="1535" t="b">
        <f t="shared" ref="AF175:AF210" si="140">AC175=I175</f>
        <v>1</v>
      </c>
    </row>
    <row r="176" spans="1:34" ht="19.5" customHeight="1">
      <c r="A176" s="7225"/>
      <c r="B176" s="7200"/>
      <c r="C176" s="1658"/>
      <c r="D176" s="54"/>
      <c r="E176" s="4045">
        <v>1</v>
      </c>
      <c r="F176" s="1658" t="str">
        <f t="shared" si="133"/>
        <v>A15/17</v>
      </c>
      <c r="G176" s="1658">
        <f>IFERROR(VLOOKUP(F176,B.BasicInfomation!$B:$O,11,0),"")</f>
        <v>6000</v>
      </c>
      <c r="H176" s="1854">
        <f>IFERROR(VLOOKUP(F176,B.BasicInfomation!$B:$O,12,0),"")</f>
        <v>350</v>
      </c>
      <c r="I176" s="1938">
        <f>IFERROR(VLOOKUP(F176,B.BasicInfomation!$B:$O,13,0),"")</f>
        <v>2</v>
      </c>
      <c r="J176" s="4695">
        <f>J90/$G176/'4. L PLAN'!F$109</f>
        <v>8.5032238716449253</v>
      </c>
      <c r="K176" s="5370">
        <f>K90/$G176/'4. L PLAN'!G$109</f>
        <v>9.8021442495126703</v>
      </c>
      <c r="L176" s="6184">
        <f>L90/$G176/'4. L PLAN'!H$109</f>
        <v>6.6544459439196277</v>
      </c>
      <c r="M176" s="4695">
        <f>M90/$G176/'4. L PLAN'!I$109</f>
        <v>8.6172691830586565</v>
      </c>
      <c r="N176" s="1857">
        <f>N90/$G176/'4. L PLAN'!J$109</f>
        <v>7.5695906432748536</v>
      </c>
      <c r="O176" s="1855">
        <f>O90/$G176/'4. L PLAN'!K$109</f>
        <v>8.6969560653771172</v>
      </c>
      <c r="P176" s="1856">
        <f>P90/$G176/'4. L PLAN'!L$109</f>
        <v>8.6636343946285468</v>
      </c>
      <c r="Q176" s="1857">
        <f>Q90/$G176/'4. L PLAN'!M$109</f>
        <v>8.9968511021142614</v>
      </c>
      <c r="R176" s="1855">
        <f>R90/$G176/'4. L PLAN'!N$109</f>
        <v>6.4977257959714096</v>
      </c>
      <c r="S176" s="1856">
        <f>S90/$G176/'4. L PLAN'!O$109</f>
        <v>5.4147714966428415</v>
      </c>
      <c r="T176" s="1857">
        <f>T90/$G176/'4. L PLAN'!P$109</f>
        <v>5.8479532163742691</v>
      </c>
      <c r="U176" s="1855">
        <f>U90/$G176/'4. L PLAN'!Q$109</f>
        <v>5.4147714966428415</v>
      </c>
      <c r="V176" s="1862">
        <f t="shared" si="134"/>
        <v>7.5566114549301666</v>
      </c>
      <c r="Y176" s="1569"/>
      <c r="AA176" s="1658">
        <f t="shared" si="135"/>
        <v>6000</v>
      </c>
      <c r="AB176" s="1854">
        <f t="shared" si="136"/>
        <v>350</v>
      </c>
      <c r="AC176" s="1724">
        <f t="shared" si="137"/>
        <v>2</v>
      </c>
      <c r="AD176" s="1535" t="b">
        <f t="shared" si="138"/>
        <v>1</v>
      </c>
      <c r="AE176" s="1535" t="b">
        <f t="shared" si="139"/>
        <v>1</v>
      </c>
      <c r="AF176" s="1535" t="b">
        <f t="shared" si="140"/>
        <v>1</v>
      </c>
    </row>
    <row r="177" spans="1:32" ht="19.5" customHeight="1">
      <c r="A177" s="7225"/>
      <c r="B177" s="7200"/>
      <c r="C177" s="1658"/>
      <c r="D177" s="54"/>
      <c r="E177" s="4045">
        <v>2</v>
      </c>
      <c r="F177" s="1658" t="str">
        <f t="shared" si="133"/>
        <v>A36</v>
      </c>
      <c r="G177" s="1658">
        <f>IFERROR(VLOOKUP(F177,B.BasicInfomation!$B:$O,11,0),"")</f>
        <v>6000</v>
      </c>
      <c r="H177" s="1854">
        <f>IFERROR(VLOOKUP(F177,B.BasicInfomation!$B:$O,12,0),"")</f>
        <v>350</v>
      </c>
      <c r="I177" s="1938">
        <f>IFERROR(VLOOKUP(F177,B.BasicInfomation!$B:$O,13,0),"")</f>
        <v>2</v>
      </c>
      <c r="J177" s="4695">
        <f>J91/$G177/'4. L PLAN'!F$109</f>
        <v>0.34727845254161049</v>
      </c>
      <c r="K177" s="5370">
        <f>K91/$G177/'4. L PLAN'!G$109</f>
        <v>0</v>
      </c>
      <c r="L177" s="6184">
        <f>L91/$G177/'4. L PLAN'!H$109</f>
        <v>0.45704003598740439</v>
      </c>
      <c r="M177" s="4695">
        <f>M91/$G177/'4. L PLAN'!I$109</f>
        <v>0.71451355661881966</v>
      </c>
      <c r="N177" s="1857">
        <f>N91/$G177/'4. L PLAN'!J$109</f>
        <v>0.15719298245614033</v>
      </c>
      <c r="O177" s="1855">
        <f>O91/$G177/'4. L PLAN'!K$109</f>
        <v>0.11246063877642823</v>
      </c>
      <c r="P177" s="1856">
        <f>P91/$G177/'4. L PLAN'!L$109</f>
        <v>0</v>
      </c>
      <c r="Q177" s="1857">
        <f>Q91/$G177/'4. L PLAN'!M$109</f>
        <v>0</v>
      </c>
      <c r="R177" s="1855">
        <f>R91/$G177/'4. L PLAN'!N$109</f>
        <v>0</v>
      </c>
      <c r="S177" s="1856">
        <f>S91/$G177/'4. L PLAN'!O$109</f>
        <v>0</v>
      </c>
      <c r="T177" s="1857">
        <f>T91/$G177/'4. L PLAN'!P$109</f>
        <v>0</v>
      </c>
      <c r="U177" s="1855">
        <f>U91/$G177/'4. L PLAN'!Q$109</f>
        <v>0</v>
      </c>
      <c r="V177" s="1862">
        <f t="shared" si="134"/>
        <v>0.14904047219836691</v>
      </c>
      <c r="Y177" s="1569"/>
      <c r="AA177" s="1658">
        <f t="shared" si="135"/>
        <v>6000</v>
      </c>
      <c r="AB177" s="1854">
        <f t="shared" si="136"/>
        <v>350</v>
      </c>
      <c r="AC177" s="1724">
        <f t="shared" si="137"/>
        <v>2</v>
      </c>
      <c r="AD177" s="1535" t="b">
        <f t="shared" si="138"/>
        <v>1</v>
      </c>
      <c r="AE177" s="1535" t="b">
        <f t="shared" si="139"/>
        <v>1</v>
      </c>
      <c r="AF177" s="1535" t="b">
        <f t="shared" si="140"/>
        <v>1</v>
      </c>
    </row>
    <row r="178" spans="1:32" ht="19.5" customHeight="1">
      <c r="A178" s="7225"/>
      <c r="B178" s="7200"/>
      <c r="C178" s="1658"/>
      <c r="D178" s="54"/>
      <c r="E178" s="4045">
        <v>3</v>
      </c>
      <c r="F178" s="1658" t="str">
        <f t="shared" si="133"/>
        <v>A26</v>
      </c>
      <c r="G178" s="1658">
        <f>IFERROR(VLOOKUP(F178,B.BasicInfomation!$B:$O,11,0),"")</f>
        <v>6000</v>
      </c>
      <c r="H178" s="1854">
        <f>IFERROR(VLOOKUP(F178,B.BasicInfomation!$B:$O,12,0),"")</f>
        <v>350</v>
      </c>
      <c r="I178" s="1938">
        <f>IFERROR(VLOOKUP(F178,B.BasicInfomation!$B:$O,13,0),"")</f>
        <v>2</v>
      </c>
      <c r="J178" s="4695">
        <f>J92/$G178/'4. L PLAN'!F$109</f>
        <v>1.567251461988304</v>
      </c>
      <c r="K178" s="5370">
        <f>K92/$G178/'4. L PLAN'!G$109</f>
        <v>0.67364766081871352</v>
      </c>
      <c r="L178" s="6184">
        <f>L92/$G178/'4. L PLAN'!H$109</f>
        <v>0</v>
      </c>
      <c r="M178" s="4695">
        <f>M92/$G178/'4. L PLAN'!I$109</f>
        <v>8.7506645401382255E-2</v>
      </c>
      <c r="N178" s="1857">
        <f>N92/$G178/'4. L PLAN'!J$109</f>
        <v>0.6493567251461988</v>
      </c>
      <c r="O178" s="1855">
        <f>O92/$G178/'4. L PLAN'!K$109</f>
        <v>0</v>
      </c>
      <c r="P178" s="1856">
        <f>P92/$G178/'4. L PLAN'!L$109</f>
        <v>0</v>
      </c>
      <c r="Q178" s="1857">
        <f>Q92/$G178/'4. L PLAN'!M$109</f>
        <v>0</v>
      </c>
      <c r="R178" s="1855">
        <f>R92/$G178/'4. L PLAN'!N$109</f>
        <v>0</v>
      </c>
      <c r="S178" s="1856">
        <f>S92/$G178/'4. L PLAN'!O$109</f>
        <v>0</v>
      </c>
      <c r="T178" s="1857">
        <f>T92/$G178/'4. L PLAN'!P$109</f>
        <v>0</v>
      </c>
      <c r="U178" s="1855">
        <f>U92/$G178/'4. L PLAN'!Q$109</f>
        <v>0</v>
      </c>
      <c r="V178" s="1862">
        <f t="shared" si="134"/>
        <v>0.24814687444621655</v>
      </c>
      <c r="Y178" s="1569"/>
      <c r="AA178" s="1658">
        <f t="shared" si="135"/>
        <v>6000</v>
      </c>
      <c r="AB178" s="1854">
        <f t="shared" si="136"/>
        <v>350</v>
      </c>
      <c r="AC178" s="1724">
        <f t="shared" si="137"/>
        <v>2</v>
      </c>
      <c r="AD178" s="1535" t="b">
        <f t="shared" si="138"/>
        <v>1</v>
      </c>
      <c r="AE178" s="1535" t="b">
        <f t="shared" si="139"/>
        <v>1</v>
      </c>
      <c r="AF178" s="1535" t="b">
        <f t="shared" si="140"/>
        <v>1</v>
      </c>
    </row>
    <row r="179" spans="1:32" ht="19.5" customHeight="1">
      <c r="A179" s="7225"/>
      <c r="B179" s="7200"/>
      <c r="C179" s="1658"/>
      <c r="D179" s="54"/>
      <c r="E179" s="4045">
        <v>4</v>
      </c>
      <c r="F179" s="1658" t="str">
        <f t="shared" si="133"/>
        <v>A27</v>
      </c>
      <c r="G179" s="1658">
        <f>IFERROR(VLOOKUP(F179,B.BasicInfomation!$B:$O,11,0),"")</f>
        <v>6000</v>
      </c>
      <c r="H179" s="1854">
        <f>IFERROR(VLOOKUP(F179,B.BasicInfomation!$B:$O,12,0),"")</f>
        <v>350</v>
      </c>
      <c r="I179" s="1938">
        <f>IFERROR(VLOOKUP(F179,B.BasicInfomation!$B:$O,13,0),"")</f>
        <v>2</v>
      </c>
      <c r="J179" s="4695">
        <f>J93/$G179/'4. L PLAN'!F$109</f>
        <v>0</v>
      </c>
      <c r="K179" s="5370">
        <f>K93/$G179/'4. L PLAN'!G$109</f>
        <v>0</v>
      </c>
      <c r="L179" s="6184">
        <f>L93/$G179/'4. L PLAN'!H$109</f>
        <v>0</v>
      </c>
      <c r="M179" s="4695">
        <f>M93/$G179/'4. L PLAN'!I$109</f>
        <v>0</v>
      </c>
      <c r="N179" s="1857">
        <f>N93/$G179/'4. L PLAN'!J$109</f>
        <v>0.79345029239766096</v>
      </c>
      <c r="O179" s="1855">
        <f>O93/$G179/'4. L PLAN'!K$109</f>
        <v>5.9229269755585552</v>
      </c>
      <c r="P179" s="1856">
        <f>P93/$G179/'4. L PLAN'!L$109</f>
        <v>7.2196953288571235</v>
      </c>
      <c r="Q179" s="1857">
        <f>Q93/$G179/'4. L PLAN'!M$109</f>
        <v>7.4973759184285509</v>
      </c>
      <c r="R179" s="1855">
        <f>R93/$G179/'4. L PLAN'!N$109</f>
        <v>5.685510071474984</v>
      </c>
      <c r="S179" s="1856">
        <f>S93/$G179/'4. L PLAN'!O$109</f>
        <v>3.6098476644285618</v>
      </c>
      <c r="T179" s="1857">
        <f>T93/$G179/'4. L PLAN'!P$109</f>
        <v>3.8986354775828467</v>
      </c>
      <c r="U179" s="1855">
        <f>U93/$G179/'4. L PLAN'!Q$109</f>
        <v>2.8878781315428488</v>
      </c>
      <c r="V179" s="1862">
        <f t="shared" si="134"/>
        <v>3.1262766550225947</v>
      </c>
      <c r="Y179" s="1569"/>
      <c r="AA179" s="1658">
        <f t="shared" si="135"/>
        <v>6000</v>
      </c>
      <c r="AB179" s="1854">
        <f t="shared" si="136"/>
        <v>350</v>
      </c>
      <c r="AC179" s="1724">
        <f t="shared" si="137"/>
        <v>2</v>
      </c>
      <c r="AD179" s="1535" t="b">
        <f t="shared" si="138"/>
        <v>1</v>
      </c>
      <c r="AE179" s="1535" t="b">
        <f t="shared" si="139"/>
        <v>1</v>
      </c>
      <c r="AF179" s="1535" t="b">
        <f t="shared" si="140"/>
        <v>1</v>
      </c>
    </row>
    <row r="180" spans="1:32" ht="19.5" customHeight="1">
      <c r="A180" s="7225"/>
      <c r="B180" s="7200"/>
      <c r="C180" s="1658"/>
      <c r="D180" s="54"/>
      <c r="E180" s="4045">
        <v>5</v>
      </c>
      <c r="F180" s="1658" t="str">
        <f t="shared" si="133"/>
        <v>A37</v>
      </c>
      <c r="G180" s="1658">
        <f>IFERROR(VLOOKUP(F180,B.BasicInfomation!$B:$O,11,0),"")</f>
        <v>6000</v>
      </c>
      <c r="H180" s="1854">
        <f>IFERROR(VLOOKUP(F180,B.BasicInfomation!$B:$O,12,0),"")</f>
        <v>350</v>
      </c>
      <c r="I180" s="1938">
        <f>IFERROR(VLOOKUP(F180,B.BasicInfomation!$B:$O,13,0),"")</f>
        <v>2</v>
      </c>
      <c r="J180" s="4695">
        <f>J94/$G180/'4. L PLAN'!F$109</f>
        <v>0.5188184135552556</v>
      </c>
      <c r="K180" s="5370">
        <f>K94/$G180/'4. L PLAN'!G$109</f>
        <v>5.0182748538011701</v>
      </c>
      <c r="L180" s="6184">
        <f>L94/$G180/'4. L PLAN'!H$109</f>
        <v>1.6689158794421952</v>
      </c>
      <c r="M180" s="4695">
        <f>M94/$G180/'4. L PLAN'!I$109</f>
        <v>0</v>
      </c>
      <c r="N180" s="1857">
        <f>N94/$G180/'4. L PLAN'!J$109</f>
        <v>0.37894736842105259</v>
      </c>
      <c r="O180" s="1855">
        <f>O94/$G180/'4. L PLAN'!K$109</f>
        <v>0.74973759184285504</v>
      </c>
      <c r="P180" s="1856">
        <f>P94/$G180/'4. L PLAN'!L$109</f>
        <v>0.7219695328857122</v>
      </c>
      <c r="Q180" s="1857">
        <f>Q94/$G180/'4. L PLAN'!M$109</f>
        <v>0.37486879592142752</v>
      </c>
      <c r="R180" s="1855">
        <f>R94/$G180/'4. L PLAN'!N$109</f>
        <v>0.4061078622482131</v>
      </c>
      <c r="S180" s="1856">
        <f>S94/$G180/'4. L PLAN'!O$109</f>
        <v>3.6098476644285615E-2</v>
      </c>
      <c r="T180" s="1857">
        <f>T94/$G180/'4. L PLAN'!P$109</f>
        <v>0</v>
      </c>
      <c r="U180" s="1855">
        <f>U94/$G180/'4. L PLAN'!Q$109</f>
        <v>0</v>
      </c>
      <c r="V180" s="1862">
        <f t="shared" si="134"/>
        <v>0.8228115645635139</v>
      </c>
      <c r="Y180" s="1569"/>
      <c r="AA180" s="1658">
        <f t="shared" si="135"/>
        <v>6000</v>
      </c>
      <c r="AB180" s="1854">
        <f t="shared" si="136"/>
        <v>350</v>
      </c>
      <c r="AC180" s="1724">
        <f t="shared" si="137"/>
        <v>2</v>
      </c>
      <c r="AD180" s="1535" t="b">
        <f t="shared" si="138"/>
        <v>1</v>
      </c>
      <c r="AE180" s="1535" t="b">
        <f t="shared" si="139"/>
        <v>1</v>
      </c>
      <c r="AF180" s="1535" t="b">
        <f t="shared" si="140"/>
        <v>1</v>
      </c>
    </row>
    <row r="181" spans="1:32" ht="19.5" customHeight="1">
      <c r="A181" s="7225"/>
      <c r="B181" s="7200"/>
      <c r="C181" s="1658"/>
      <c r="D181" s="54"/>
      <c r="E181" s="4045">
        <v>6</v>
      </c>
      <c r="F181" s="1658" t="str">
        <f t="shared" si="133"/>
        <v>A18</v>
      </c>
      <c r="G181" s="1658">
        <f>IFERROR(VLOOKUP(F181,B.BasicInfomation!$B:$O,11,0),"")</f>
        <v>6000</v>
      </c>
      <c r="H181" s="1854">
        <f>IFERROR(VLOOKUP(F181,B.BasicInfomation!$B:$O,12,0),"")</f>
        <v>350</v>
      </c>
      <c r="I181" s="1938">
        <f>IFERROR(VLOOKUP(F181,B.BasicInfomation!$B:$O,13,0),"")</f>
        <v>2</v>
      </c>
      <c r="J181" s="4695">
        <f>J95/$G181/'4. L PLAN'!F$109</f>
        <v>0</v>
      </c>
      <c r="K181" s="5370">
        <f>K95/$G181/'4. L PLAN'!G$109</f>
        <v>0</v>
      </c>
      <c r="L181" s="6184">
        <f>L95/$G181/'4. L PLAN'!H$109</f>
        <v>0</v>
      </c>
      <c r="M181" s="4695">
        <f>M95/$G181/'4. L PLAN'!I$109</f>
        <v>0</v>
      </c>
      <c r="N181" s="1857">
        <f>N95/$G181/'4. L PLAN'!J$109</f>
        <v>0</v>
      </c>
      <c r="O181" s="1855">
        <f>O95/$G181/'4. L PLAN'!K$109</f>
        <v>0</v>
      </c>
      <c r="P181" s="1856">
        <f>P95/$G181/'4. L PLAN'!L$109</f>
        <v>0</v>
      </c>
      <c r="Q181" s="1857">
        <f>Q95/$G181/'4. L PLAN'!M$109</f>
        <v>0</v>
      </c>
      <c r="R181" s="1855">
        <f>R95/$G181/'4. L PLAN'!N$109</f>
        <v>0</v>
      </c>
      <c r="S181" s="1856">
        <f>S95/$G181/'4. L PLAN'!O$109</f>
        <v>0.3609847664428561</v>
      </c>
      <c r="T181" s="1857">
        <f>T95/$G181/'4. L PLAN'!P$109</f>
        <v>3.1189083820662766</v>
      </c>
      <c r="U181" s="1855">
        <f>U95/$G181/'4. L PLAN'!Q$109</f>
        <v>2.8878781315428488</v>
      </c>
      <c r="V181" s="1862">
        <f t="shared" si="134"/>
        <v>0.53064760667099842</v>
      </c>
      <c r="Y181" s="1569"/>
      <c r="AA181" s="1658">
        <f t="shared" si="135"/>
        <v>6000</v>
      </c>
      <c r="AB181" s="1854">
        <f t="shared" si="136"/>
        <v>350</v>
      </c>
      <c r="AC181" s="1724">
        <f t="shared" si="137"/>
        <v>2</v>
      </c>
      <c r="AD181" s="1535" t="b">
        <f t="shared" si="138"/>
        <v>1</v>
      </c>
      <c r="AE181" s="1535" t="b">
        <f t="shared" si="139"/>
        <v>1</v>
      </c>
      <c r="AF181" s="1535" t="b">
        <f t="shared" si="140"/>
        <v>1</v>
      </c>
    </row>
    <row r="182" spans="1:32" ht="19.5" customHeight="1">
      <c r="A182" s="7225"/>
      <c r="B182" s="7200"/>
      <c r="C182" s="1713"/>
      <c r="D182" s="53"/>
      <c r="E182" s="4046"/>
      <c r="F182" s="1713" t="str">
        <f t="shared" si="133"/>
        <v>CNC</v>
      </c>
      <c r="G182" s="1713">
        <f>IFERROR(VLOOKUP(F182,B.BasicInfomation!$B:$O,11,0),"")</f>
        <v>0</v>
      </c>
      <c r="H182" s="1850">
        <f>IFERROR(VLOOKUP(F182,B.BasicInfomation!$B:$O,12,0),"")</f>
        <v>0</v>
      </c>
      <c r="I182" s="1999">
        <f>IFERROR(VLOOKUP(F182,B.BasicInfomation!$B:$O,13,0),"")</f>
        <v>0</v>
      </c>
      <c r="J182" s="4696"/>
      <c r="K182" s="5371"/>
      <c r="L182" s="6185"/>
      <c r="M182" s="4696"/>
      <c r="N182" s="1852"/>
      <c r="O182" s="1851"/>
      <c r="P182" s="3542"/>
      <c r="Q182" s="1852"/>
      <c r="R182" s="1851"/>
      <c r="S182" s="3542"/>
      <c r="T182" s="1852"/>
      <c r="U182" s="1851"/>
      <c r="V182" s="1853"/>
      <c r="Y182" s="1569"/>
      <c r="AA182" s="1658">
        <f t="shared" si="135"/>
        <v>0</v>
      </c>
      <c r="AB182" s="1854">
        <f t="shared" si="136"/>
        <v>0</v>
      </c>
      <c r="AC182" s="1724">
        <f t="shared" si="137"/>
        <v>0</v>
      </c>
      <c r="AD182" s="1535" t="b">
        <f t="shared" si="138"/>
        <v>1</v>
      </c>
      <c r="AE182" s="1535" t="b">
        <f t="shared" si="139"/>
        <v>1</v>
      </c>
      <c r="AF182" s="1535" t="b">
        <f t="shared" si="140"/>
        <v>1</v>
      </c>
    </row>
    <row r="183" spans="1:32" ht="19.5" customHeight="1">
      <c r="A183" s="7225"/>
      <c r="B183" s="7200"/>
      <c r="C183" s="54" t="s">
        <v>24</v>
      </c>
      <c r="D183" s="54" t="s">
        <v>844</v>
      </c>
      <c r="E183" s="1764">
        <v>8</v>
      </c>
      <c r="F183" s="1658" t="str">
        <f t="shared" si="133"/>
        <v>MTP+IDP+ADP</v>
      </c>
      <c r="G183" s="1658">
        <f>IFERROR(VLOOKUP(F183,B.BasicInfomation!$B:$O,11,0),"")</f>
        <v>3500</v>
      </c>
      <c r="H183" s="1854">
        <f>IFERROR(VLOOKUP(F183,B.BasicInfomation!$B:$O,12,0),"")</f>
        <v>350</v>
      </c>
      <c r="I183" s="1938">
        <f>IFERROR(VLOOKUP(F183,B.BasicInfomation!$B:$O,13,0),"")</f>
        <v>1</v>
      </c>
      <c r="J183" s="4695">
        <f>J97/$G183/'4. L PLAN'!F$109</f>
        <v>0.21978021978021978</v>
      </c>
      <c r="K183" s="5370">
        <f>K97/$G183/'4. L PLAN'!G$109</f>
        <v>0.12121428571428572</v>
      </c>
      <c r="L183" s="6184">
        <f>L97/$G183/'4. L PLAN'!H$109</f>
        <v>0.21082306796592512</v>
      </c>
      <c r="M183" s="4695">
        <f>M97/$G183/'4. L PLAN'!I$109</f>
        <v>0.23088023088023088</v>
      </c>
      <c r="N183" s="1857">
        <f>N97/$G183/'4. L PLAN'!J$109</f>
        <v>0.18488692774407064</v>
      </c>
      <c r="O183" s="1855">
        <f>O97/$G183/'4. L PLAN'!K$109</f>
        <v>0.22303308017593731</v>
      </c>
      <c r="P183" s="1856">
        <f>P97/$G183/'4. L PLAN'!L$109</f>
        <v>0.21477259572497667</v>
      </c>
      <c r="Q183" s="1857">
        <f>Q97/$G183/'4. L PLAN'!M$109</f>
        <v>0.22303308017593731</v>
      </c>
      <c r="R183" s="1855">
        <f>R97/$G183/'4. L PLAN'!N$109</f>
        <v>0.24161917019059875</v>
      </c>
      <c r="S183" s="1856">
        <f>S97/$G183/'4. L PLAN'!O$109</f>
        <v>0.21477259572497667</v>
      </c>
      <c r="T183" s="1857">
        <f>T97/$G183/'4. L PLAN'!P$109</f>
        <v>0.17312005883434456</v>
      </c>
      <c r="U183" s="1855">
        <f>U97/$G183/'4. L PLAN'!Q$109</f>
        <v>0.16029635077254126</v>
      </c>
      <c r="V183" s="1858">
        <f t="shared" si="134"/>
        <v>0.20151930530700371</v>
      </c>
      <c r="Y183" s="1569"/>
      <c r="AA183" s="1658">
        <f t="shared" si="135"/>
        <v>3500</v>
      </c>
      <c r="AB183" s="1854">
        <f t="shared" si="136"/>
        <v>350</v>
      </c>
      <c r="AC183" s="1724">
        <f t="shared" si="137"/>
        <v>1</v>
      </c>
      <c r="AD183" s="1535" t="b">
        <f t="shared" si="138"/>
        <v>1</v>
      </c>
      <c r="AE183" s="1535" t="b">
        <f t="shared" si="139"/>
        <v>1</v>
      </c>
      <c r="AF183" s="1535" t="b">
        <f t="shared" si="140"/>
        <v>1</v>
      </c>
    </row>
    <row r="184" spans="1:32" ht="19.5" customHeight="1">
      <c r="A184" s="7225"/>
      <c r="B184" s="7200"/>
      <c r="C184" s="1658"/>
      <c r="D184" s="54"/>
      <c r="E184" s="1764">
        <v>9</v>
      </c>
      <c r="F184" s="1658" t="str">
        <f t="shared" si="133"/>
        <v>Ride5</v>
      </c>
      <c r="G184" s="1658">
        <f>IFERROR(VLOOKUP(F184,B.BasicInfomation!$B:$O,11,0),"")</f>
        <v>585</v>
      </c>
      <c r="H184" s="1854">
        <f>IFERROR(VLOOKUP(F184,B.BasicInfomation!$B:$O,12,0),"")</f>
        <v>350</v>
      </c>
      <c r="I184" s="1938">
        <f>IFERROR(VLOOKUP(F184,B.BasicInfomation!$B:$O,13,0),"")</f>
        <v>1</v>
      </c>
      <c r="J184" s="4697">
        <f>J98/$G184/'4. L PLAN'!F$109</f>
        <v>1.4610271020527432E-2</v>
      </c>
      <c r="K184" s="5372">
        <f>K98/$G184/'4. L PLAN'!G$109</f>
        <v>2.3741690408357077E-2</v>
      </c>
      <c r="L184" s="6186">
        <f>L98/$G184/'4. L PLAN'!H$109</f>
        <v>0</v>
      </c>
      <c r="M184" s="4697">
        <f>M98/$G184/'4. L PLAN'!I$109</f>
        <v>1.2259273074056777E-2</v>
      </c>
      <c r="N184" s="1861">
        <f>N98/$G184/'4. L PLAN'!J$109</f>
        <v>1.5194681861348529E-2</v>
      </c>
      <c r="O184" s="1859">
        <f>O98/$G184/'4. L PLAN'!K$109</f>
        <v>1.4610271020527432E-2</v>
      </c>
      <c r="P184" s="1860">
        <f>P98/$G184/'4. L PLAN'!L$109</f>
        <v>1.7586437339523756E-2</v>
      </c>
      <c r="Q184" s="1861">
        <f>Q98/$G184/'4. L PLAN'!M$109</f>
        <v>1.8262838775659283E-2</v>
      </c>
      <c r="R184" s="1859">
        <f>R98/$G184/'4. L PLAN'!N$109</f>
        <v>1.9784742006964225E-2</v>
      </c>
      <c r="S184" s="1860">
        <f>S98/$G184/'4. L PLAN'!O$109</f>
        <v>1.4069149871619009E-2</v>
      </c>
      <c r="T184" s="1861">
        <f>T98/$G184/'4. L PLAN'!P$109</f>
        <v>7.5973409306742644E-3</v>
      </c>
      <c r="U184" s="1859">
        <f>U98/$G184/'4. L PLAN'!Q$109</f>
        <v>7.0345749358095046E-3</v>
      </c>
      <c r="V184" s="1862">
        <f t="shared" si="134"/>
        <v>1.3729272603755607E-2</v>
      </c>
      <c r="Y184" s="1569"/>
      <c r="AA184" s="1658">
        <f t="shared" si="135"/>
        <v>585</v>
      </c>
      <c r="AB184" s="1854">
        <f t="shared" si="136"/>
        <v>350</v>
      </c>
      <c r="AC184" s="1724">
        <f t="shared" si="137"/>
        <v>1</v>
      </c>
      <c r="AD184" s="1535" t="b">
        <f t="shared" si="138"/>
        <v>1</v>
      </c>
      <c r="AE184" s="1535" t="b">
        <f t="shared" si="139"/>
        <v>1</v>
      </c>
      <c r="AF184" s="1535" t="b">
        <f t="shared" si="140"/>
        <v>1</v>
      </c>
    </row>
    <row r="185" spans="1:32" ht="19.5" customHeight="1">
      <c r="A185" s="7225"/>
      <c r="B185" s="7200"/>
      <c r="C185" s="1658"/>
      <c r="D185" s="54"/>
      <c r="E185" s="1764"/>
      <c r="F185" s="1658" t="str">
        <f t="shared" si="133"/>
        <v>Glymur</v>
      </c>
      <c r="G185" s="1658">
        <f>IFERROR(VLOOKUP(F185,B.BasicInfomation!$B:$O,11,0),"")</f>
        <v>585</v>
      </c>
      <c r="H185" s="1854">
        <f>IFERROR(VLOOKUP(F185,B.BasicInfomation!$B:$O,12,0),"")</f>
        <v>350</v>
      </c>
      <c r="I185" s="1938">
        <f>IFERROR(VLOOKUP(F185,B.BasicInfomation!$B:$O,13,0),"")</f>
        <v>1</v>
      </c>
      <c r="J185" s="4697">
        <f>J99/$G185/'4. L PLAN'!F$109</f>
        <v>0</v>
      </c>
      <c r="K185" s="5372">
        <f>K99/$G185/'4. L PLAN'!G$109</f>
        <v>0</v>
      </c>
      <c r="L185" s="6186">
        <f>L99/$G185/'4. L PLAN'!H$109</f>
        <v>0</v>
      </c>
      <c r="M185" s="4697">
        <f>M99/$G185/'4. L PLAN'!I$109</f>
        <v>0</v>
      </c>
      <c r="N185" s="1861">
        <f>N99/$G185/'4. L PLAN'!J$109</f>
        <v>0</v>
      </c>
      <c r="O185" s="1859">
        <f>O99/$G185/'4. L PLAN'!K$109</f>
        <v>0</v>
      </c>
      <c r="P185" s="1860">
        <f>P99/$G185/'4. L PLAN'!L$109</f>
        <v>0</v>
      </c>
      <c r="Q185" s="1861">
        <f>Q99/$G185/'4. L PLAN'!M$109</f>
        <v>0</v>
      </c>
      <c r="R185" s="1859">
        <f>R99/$G185/'4. L PLAN'!N$109</f>
        <v>0</v>
      </c>
      <c r="S185" s="1860">
        <f>S99/$G185/'4. L PLAN'!O$109</f>
        <v>0</v>
      </c>
      <c r="T185" s="1861">
        <f>T99/$G185/'4. L PLAN'!P$109</f>
        <v>0</v>
      </c>
      <c r="U185" s="1859">
        <f>U99/$G185/'4. L PLAN'!Q$109</f>
        <v>0</v>
      </c>
      <c r="V185" s="1862">
        <f t="shared" si="134"/>
        <v>0</v>
      </c>
      <c r="Y185" s="1569"/>
      <c r="AA185" s="1658">
        <f t="shared" si="135"/>
        <v>585</v>
      </c>
      <c r="AB185" s="1854">
        <f t="shared" si="136"/>
        <v>350</v>
      </c>
      <c r="AC185" s="1724">
        <f t="shared" si="137"/>
        <v>1</v>
      </c>
      <c r="AD185" s="1535" t="b">
        <f t="shared" si="138"/>
        <v>1</v>
      </c>
      <c r="AE185" s="1535" t="b">
        <f t="shared" si="139"/>
        <v>1</v>
      </c>
      <c r="AF185" s="1535" t="b">
        <f t="shared" si="140"/>
        <v>1</v>
      </c>
    </row>
    <row r="186" spans="1:32" ht="19.5" customHeight="1">
      <c r="A186" s="7225"/>
      <c r="B186" s="7200"/>
      <c r="C186" s="1658"/>
      <c r="D186" s="54"/>
      <c r="E186" s="1764">
        <v>10</v>
      </c>
      <c r="F186" s="1658" t="str">
        <f t="shared" si="133"/>
        <v>MTP Hawi</v>
      </c>
      <c r="G186" s="1658">
        <f>IFERROR(VLOOKUP(F186,B.BasicInfomation!$B:$O,11,0),"")</f>
        <v>585</v>
      </c>
      <c r="H186" s="1854">
        <f>IFERROR(VLOOKUP(F186,B.BasicInfomation!$B:$O,12,0),"")</f>
        <v>350</v>
      </c>
      <c r="I186" s="1938">
        <f>IFERROR(VLOOKUP(F186,B.BasicInfomation!$B:$O,13,0),"")</f>
        <v>1</v>
      </c>
      <c r="J186" s="4697">
        <f>J100/$G186/'4. L PLAN'!F$109</f>
        <v>7.3051355102637147E-2</v>
      </c>
      <c r="K186" s="5372">
        <f>K100/$G186/'4. L PLAN'!G$109</f>
        <v>9.6399282729780905E-2</v>
      </c>
      <c r="L186" s="6186">
        <f>L100/$G186/'4. L PLAN'!H$109</f>
        <v>7.3051355102637147E-2</v>
      </c>
      <c r="M186" s="4697">
        <f>M100/$G186/'4. L PLAN'!I$109</f>
        <v>8.6333419666752995E-2</v>
      </c>
      <c r="N186" s="1861">
        <f>N100/$G186/'4. L PLAN'!J$109</f>
        <v>7.5973409306742637E-2</v>
      </c>
      <c r="O186" s="1859">
        <f>O100/$G186/'4. L PLAN'!K$109</f>
        <v>7.3051355102637147E-2</v>
      </c>
      <c r="P186" s="1860">
        <f>P100/$G186/'4. L PLAN'!L$109</f>
        <v>7.0345749358095039E-2</v>
      </c>
      <c r="Q186" s="1861">
        <f>Q100/$G186/'4. L PLAN'!M$109</f>
        <v>7.3051355102637147E-2</v>
      </c>
      <c r="R186" s="1859">
        <f>R100/$G186/'4. L PLAN'!N$109</f>
        <v>7.9138968027856915E-2</v>
      </c>
      <c r="S186" s="1860">
        <f>S100/$G186/'4. L PLAN'!O$109</f>
        <v>7.0345749358095039E-2</v>
      </c>
      <c r="T186" s="1861">
        <f>T100/$G186/'4. L PLAN'!P$109</f>
        <v>7.5973409306742637E-2</v>
      </c>
      <c r="U186" s="1859">
        <f>U100/$G186/'4. L PLAN'!Q$109</f>
        <v>7.0345749358095039E-2</v>
      </c>
      <c r="V186" s="1862">
        <f t="shared" si="134"/>
        <v>7.6421763126892486E-2</v>
      </c>
      <c r="Y186" s="1569"/>
      <c r="AA186" s="1658">
        <f t="shared" si="135"/>
        <v>585</v>
      </c>
      <c r="AB186" s="1854">
        <f t="shared" si="136"/>
        <v>350</v>
      </c>
      <c r="AC186" s="1724">
        <f t="shared" si="137"/>
        <v>1</v>
      </c>
      <c r="AD186" s="1535" t="b">
        <f t="shared" si="138"/>
        <v>1</v>
      </c>
      <c r="AE186" s="1535" t="b">
        <f t="shared" si="139"/>
        <v>1</v>
      </c>
      <c r="AF186" s="1535" t="b">
        <f t="shared" si="140"/>
        <v>1</v>
      </c>
    </row>
    <row r="187" spans="1:32" ht="19.5" customHeight="1">
      <c r="A187" s="7225"/>
      <c r="B187" s="7200"/>
      <c r="C187" s="1658"/>
      <c r="D187" s="54"/>
      <c r="E187" s="1764">
        <v>11</v>
      </c>
      <c r="F187" s="1658" t="str">
        <f t="shared" si="133"/>
        <v>QMP Amboseli</v>
      </c>
      <c r="G187" s="1658">
        <f>IFERROR(VLOOKUP(F187,B.BasicInfomation!$B:$O,11,0),"")</f>
        <v>585</v>
      </c>
      <c r="H187" s="1854">
        <f>IFERROR(VLOOKUP(F187,B.BasicInfomation!$B:$O,12,0),"")</f>
        <v>350</v>
      </c>
      <c r="I187" s="1938">
        <f>IFERROR(VLOOKUP(F187,B.BasicInfomation!$B:$O,13,0),"")</f>
        <v>1</v>
      </c>
      <c r="J187" s="4697">
        <f>J101/$G187/'4. L PLAN'!F$109</f>
        <v>3.6525677551318574E-2</v>
      </c>
      <c r="K187" s="5372">
        <f>K101/$G187/'4. L PLAN'!G$109</f>
        <v>5.9354226020892686E-2</v>
      </c>
      <c r="L187" s="6186">
        <f>L101/$G187/'4. L PLAN'!H$109</f>
        <v>3.8806868105556454E-2</v>
      </c>
      <c r="M187" s="4697">
        <f>M101/$G187/'4. L PLAN'!I$109</f>
        <v>0</v>
      </c>
      <c r="N187" s="1861">
        <f>N101/$G187/'4. L PLAN'!J$109</f>
        <v>3.7986704653371318E-2</v>
      </c>
      <c r="O187" s="1859">
        <f>O101/$G187/'4. L PLAN'!K$109</f>
        <v>0</v>
      </c>
      <c r="P187" s="1860">
        <f>P101/$G187/'4. L PLAN'!L$109</f>
        <v>3.5172874679047519E-2</v>
      </c>
      <c r="Q187" s="1861">
        <f>Q101/$G187/'4. L PLAN'!M$109</f>
        <v>0</v>
      </c>
      <c r="R187" s="1859">
        <f>R101/$G187/'4. L PLAN'!N$109</f>
        <v>3.9569484013928458E-2</v>
      </c>
      <c r="S187" s="1860">
        <f>S101/$G187/'4. L PLAN'!O$109</f>
        <v>0</v>
      </c>
      <c r="T187" s="1861">
        <f>T101/$G187/'4. L PLAN'!P$109</f>
        <v>3.7986704653371318E-2</v>
      </c>
      <c r="U187" s="1859">
        <f>U101/$G187/'4. L PLAN'!Q$109</f>
        <v>0</v>
      </c>
      <c r="V187" s="1862">
        <f t="shared" si="134"/>
        <v>2.3783544973123863E-2</v>
      </c>
      <c r="Y187" s="1569"/>
      <c r="AA187" s="1658">
        <f t="shared" si="135"/>
        <v>585</v>
      </c>
      <c r="AB187" s="1854">
        <f t="shared" si="136"/>
        <v>350</v>
      </c>
      <c r="AC187" s="1724">
        <f t="shared" si="137"/>
        <v>1</v>
      </c>
      <c r="AD187" s="1535" t="b">
        <f t="shared" si="138"/>
        <v>1</v>
      </c>
      <c r="AE187" s="1535" t="b">
        <f t="shared" si="139"/>
        <v>1</v>
      </c>
      <c r="AF187" s="1535" t="b">
        <f t="shared" si="140"/>
        <v>1</v>
      </c>
    </row>
    <row r="188" spans="1:32" ht="19.5" customHeight="1">
      <c r="A188" s="7225"/>
      <c r="B188" s="7200"/>
      <c r="C188" s="1658"/>
      <c r="D188" s="54"/>
      <c r="E188" s="1764"/>
      <c r="F188" s="1658" t="str">
        <f t="shared" si="133"/>
        <v>LDS Antenna</v>
      </c>
      <c r="G188" s="1658">
        <f>IFERROR(VLOOKUP(F188,B.BasicInfomation!$B:$O,11,0),"")</f>
        <v>585</v>
      </c>
      <c r="H188" s="1863">
        <f>IFERROR(VLOOKUP(F188,B.BasicInfomation!$B:$O,12,0),"")</f>
        <v>350</v>
      </c>
      <c r="I188" s="1938">
        <f>IFERROR(VLOOKUP(F188,B.BasicInfomation!$B:$O,13,0),"")</f>
        <v>1</v>
      </c>
      <c r="J188" s="4697">
        <f>J102/$G188/'4. L PLAN'!F$109</f>
        <v>0.26331197398935624</v>
      </c>
      <c r="K188" s="5372">
        <f>K102/$G188/'4. L PLAN'!G$109</f>
        <v>0.23741690408357069</v>
      </c>
      <c r="L188" s="6186">
        <f>L102/$G188/'4. L PLAN'!H$109</f>
        <v>0.14610271020527427</v>
      </c>
      <c r="M188" s="4697">
        <f>M102/$G188/'4. L PLAN'!I$109</f>
        <v>0.38850038850038848</v>
      </c>
      <c r="N188" s="1861">
        <f>N102/$G188/'4. L PLAN'!J$109</f>
        <v>0.18993352326685659</v>
      </c>
      <c r="O188" s="1859">
        <f>O102/$G188/'4. L PLAN'!K$109</f>
        <v>8.7661626123164582E-2</v>
      </c>
      <c r="P188" s="1860">
        <f>P102/$G188/'4. L PLAN'!L$109</f>
        <v>0.17586437339523758</v>
      </c>
      <c r="Q188" s="1861">
        <f>Q102/$G188/'4. L PLAN'!M$109</f>
        <v>8.7661626123164582E-2</v>
      </c>
      <c r="R188" s="1859">
        <f>R102/$G188/'4. L PLAN'!N$109</f>
        <v>9.4966761633428307E-2</v>
      </c>
      <c r="S188" s="1860">
        <f>S102/$G188/'4. L PLAN'!O$109</f>
        <v>8.4414899229714041E-2</v>
      </c>
      <c r="T188" s="1861">
        <f>T102/$G188/'4. L PLAN'!P$109</f>
        <v>9.1168091168091173E-2</v>
      </c>
      <c r="U188" s="1859">
        <f>U102/$G188/'4. L PLAN'!Q$109</f>
        <v>8.4414899229714041E-2</v>
      </c>
      <c r="V188" s="1862">
        <f t="shared" si="134"/>
        <v>0.16095148141233007</v>
      </c>
      <c r="AA188" s="1658">
        <f t="shared" si="135"/>
        <v>585</v>
      </c>
      <c r="AB188" s="1854">
        <f t="shared" si="136"/>
        <v>350</v>
      </c>
      <c r="AC188" s="1724">
        <f t="shared" si="137"/>
        <v>1</v>
      </c>
      <c r="AD188" s="1535" t="b">
        <f t="shared" si="138"/>
        <v>1</v>
      </c>
      <c r="AE188" s="1535" t="b">
        <f t="shared" si="139"/>
        <v>1</v>
      </c>
      <c r="AF188" s="1535" t="b">
        <f t="shared" si="140"/>
        <v>1</v>
      </c>
    </row>
    <row r="189" spans="1:32" ht="19.5" customHeight="1">
      <c r="A189" s="7298"/>
      <c r="B189" s="7301"/>
      <c r="C189" s="1864" t="s">
        <v>43</v>
      </c>
      <c r="D189" s="1864"/>
      <c r="E189" s="4059"/>
      <c r="F189" s="1727"/>
      <c r="G189" s="1865"/>
      <c r="H189" s="1866"/>
      <c r="I189" s="1967"/>
      <c r="J189" s="4698">
        <f t="shared" ref="J189" si="141">SUM(J175:J188)</f>
        <v>11.543851697174155</v>
      </c>
      <c r="K189" s="4707">
        <f t="shared" ref="K189:U189" si="142">SUM(K175:K188)</f>
        <v>16.032193153089445</v>
      </c>
      <c r="L189" s="6187">
        <f t="shared" si="142"/>
        <v>9.2491858607286215</v>
      </c>
      <c r="M189" s="4698">
        <f t="shared" si="142"/>
        <v>10.137262697200285</v>
      </c>
      <c r="N189" s="1869">
        <f t="shared" si="142"/>
        <v>10.052513258528299</v>
      </c>
      <c r="O189" s="1867">
        <f t="shared" si="142"/>
        <v>15.880437603977223</v>
      </c>
      <c r="P189" s="1868">
        <f t="shared" si="142"/>
        <v>17.119041286868264</v>
      </c>
      <c r="Q189" s="1869">
        <f t="shared" si="142"/>
        <v>17.271104716641638</v>
      </c>
      <c r="R189" s="1867">
        <f t="shared" si="142"/>
        <v>13.064422855567383</v>
      </c>
      <c r="S189" s="1868">
        <f t="shared" si="142"/>
        <v>9.8053047983429487</v>
      </c>
      <c r="T189" s="1869">
        <f t="shared" si="142"/>
        <v>13.403393465878795</v>
      </c>
      <c r="U189" s="1867">
        <f t="shared" si="142"/>
        <v>12.216558153294038</v>
      </c>
      <c r="V189" s="1870">
        <f t="shared" si="134"/>
        <v>12.98127246227426</v>
      </c>
      <c r="Y189" s="1569"/>
      <c r="AA189" s="1658">
        <f t="shared" si="135"/>
        <v>0</v>
      </c>
      <c r="AB189" s="1854">
        <f t="shared" si="136"/>
        <v>0</v>
      </c>
      <c r="AC189" s="1724">
        <f t="shared" si="137"/>
        <v>0</v>
      </c>
      <c r="AD189" s="1535" t="b">
        <f t="shared" si="138"/>
        <v>1</v>
      </c>
      <c r="AE189" s="1535" t="b">
        <f t="shared" si="139"/>
        <v>1</v>
      </c>
      <c r="AF189" s="1535" t="b">
        <f t="shared" si="140"/>
        <v>1</v>
      </c>
    </row>
    <row r="190" spans="1:32" ht="19.5" customHeight="1">
      <c r="A190" s="7305">
        <v>2</v>
      </c>
      <c r="B190" s="7307" t="s">
        <v>23</v>
      </c>
      <c r="C190" s="1582" t="s">
        <v>544</v>
      </c>
      <c r="D190" s="1582" t="s">
        <v>848</v>
      </c>
      <c r="E190" s="4060">
        <v>12</v>
      </c>
      <c r="F190" s="1735" t="str">
        <f t="shared" ref="F190:F221" si="143">F104</f>
        <v>GEN3 AL5 Housing (YT)</v>
      </c>
      <c r="G190" s="1735">
        <f>IFERROR(VLOOKUP(F190,B.BasicInfomation!$B:$O,11,0),"")</f>
        <v>3100</v>
      </c>
      <c r="H190" s="1735">
        <f>IFERROR(VLOOKUP(F190,B.BasicInfomation!$B:$O,12,0),"")</f>
        <v>350</v>
      </c>
      <c r="I190" s="2786">
        <f>IFERROR(VLOOKUP(F190,B.BasicInfomation!$B:$O,13,0),"")</f>
        <v>2</v>
      </c>
      <c r="J190" s="4699">
        <f>J104/$G190/'4. L PLAN'!F$109</f>
        <v>0.78338369555036591</v>
      </c>
      <c r="K190" s="5373">
        <f>K104/$G190/'4. L PLAN'!G$109</f>
        <v>1.2447096495966927</v>
      </c>
      <c r="L190" s="6188">
        <f>L104/$G190/'4. L PLAN'!H$109</f>
        <v>1.1141457003382986</v>
      </c>
      <c r="M190" s="4699">
        <f>M104/$G190/'4. L PLAN'!I$109</f>
        <v>1.3051215529505216</v>
      </c>
      <c r="N190" s="1873">
        <f>N104/$G190/'4. L PLAN'!J$109</f>
        <v>0.99816798621927627</v>
      </c>
      <c r="O190" s="1871">
        <f>O104/$G190/'4. L PLAN'!K$109</f>
        <v>1.4177662296137281</v>
      </c>
      <c r="P190" s="1872">
        <f>P104/$G190/'4. L PLAN'!L$109</f>
        <v>1.0995506730137912</v>
      </c>
      <c r="Q190" s="1873">
        <f>Q104/$G190/'4. L PLAN'!M$109</f>
        <v>1.0786901147572794</v>
      </c>
      <c r="R190" s="1874">
        <f>R104/$G190/'4. L PLAN'!N$109</f>
        <v>0</v>
      </c>
      <c r="S190" s="1875">
        <f>S104/$G190/'4. L PLAN'!O$109</f>
        <v>0</v>
      </c>
      <c r="T190" s="1873">
        <f>T104/$G190/'4. L PLAN'!P$109</f>
        <v>0</v>
      </c>
      <c r="U190" s="1876">
        <f>U104/$G190/'4. L PLAN'!Q$109</f>
        <v>0</v>
      </c>
      <c r="V190" s="1877">
        <f t="shared" si="134"/>
        <v>0.75346130016999613</v>
      </c>
      <c r="W190" s="1569"/>
      <c r="Y190" s="1569"/>
      <c r="AA190" s="1658">
        <f t="shared" si="135"/>
        <v>3100</v>
      </c>
      <c r="AB190" s="1854">
        <f t="shared" si="136"/>
        <v>350</v>
      </c>
      <c r="AC190" s="1724">
        <f t="shared" si="137"/>
        <v>2</v>
      </c>
      <c r="AD190" s="1535" t="b">
        <f t="shared" si="138"/>
        <v>1</v>
      </c>
      <c r="AE190" s="1535" t="b">
        <f t="shared" si="139"/>
        <v>1</v>
      </c>
      <c r="AF190" s="1535" t="b">
        <f t="shared" si="140"/>
        <v>1</v>
      </c>
    </row>
    <row r="191" spans="1:32" ht="19.5" customHeight="1">
      <c r="A191" s="7225"/>
      <c r="B191" s="7200"/>
      <c r="C191" s="10"/>
      <c r="D191" s="10"/>
      <c r="E191" s="4045">
        <v>13</v>
      </c>
      <c r="F191" s="1658" t="str">
        <f t="shared" si="143"/>
        <v>GEN3 AL6 Housing (YT)</v>
      </c>
      <c r="G191" s="1658">
        <f>IFERROR(VLOOKUP(F191,B.BasicInfomation!$B:$O,11,0),"")</f>
        <v>3100</v>
      </c>
      <c r="H191" s="1658">
        <f>IFERROR(VLOOKUP(F191,B.BasicInfomation!$B:$O,12,0),"")</f>
        <v>350</v>
      </c>
      <c r="I191" s="1938">
        <f>IFERROR(VLOOKUP(F191,B.BasicInfomation!$B:$O,13,0),"")</f>
        <v>2</v>
      </c>
      <c r="J191" s="4700">
        <f>J105/$G191/'4. L PLAN'!F$109</f>
        <v>0</v>
      </c>
      <c r="K191" s="5370">
        <f>K105/$G191/'4. L PLAN'!G$109</f>
        <v>0</v>
      </c>
      <c r="L191" s="6184">
        <f>L105/$G191/'4. L PLAN'!H$109</f>
        <v>6.9676570179462174E-2</v>
      </c>
      <c r="M191" s="4700">
        <f>M105/$G191/'4. L PLAN'!I$109</f>
        <v>0.13299087912371202</v>
      </c>
      <c r="N191" s="1857">
        <f>N105/$G191/'4. L PLAN'!J$109</f>
        <v>1.0965067620535644E-2</v>
      </c>
      <c r="O191" s="1878">
        <f>O105/$G191/'4. L PLAN'!K$109</f>
        <v>0</v>
      </c>
      <c r="P191" s="1879">
        <f>P105/$G191/'4. L PLAN'!L$109</f>
        <v>0</v>
      </c>
      <c r="Q191" s="1857">
        <f>Q105/$G191/'4. L PLAN'!M$109</f>
        <v>0</v>
      </c>
      <c r="R191" s="1855">
        <f>R105/$G191/'4. L PLAN'!N$109</f>
        <v>0</v>
      </c>
      <c r="S191" s="1880">
        <f>S105/$G191/'4. L PLAN'!O$109</f>
        <v>0</v>
      </c>
      <c r="T191" s="1857">
        <f>T105/$G191/'4. L PLAN'!P$109</f>
        <v>0</v>
      </c>
      <c r="U191" s="1855">
        <f>U105/$G191/'4. L PLAN'!Q$109</f>
        <v>0</v>
      </c>
      <c r="V191" s="1862">
        <f t="shared" si="134"/>
        <v>1.7802709743642488E-2</v>
      </c>
      <c r="W191" s="1569"/>
      <c r="Y191" s="1569"/>
      <c r="AA191" s="1658">
        <f t="shared" si="135"/>
        <v>3100</v>
      </c>
      <c r="AB191" s="1854">
        <f t="shared" si="136"/>
        <v>350</v>
      </c>
      <c r="AC191" s="1724">
        <f t="shared" si="137"/>
        <v>2</v>
      </c>
      <c r="AD191" s="1535" t="b">
        <f t="shared" si="138"/>
        <v>1</v>
      </c>
      <c r="AE191" s="1535" t="b">
        <f t="shared" si="139"/>
        <v>1</v>
      </c>
      <c r="AF191" s="1535" t="b">
        <f t="shared" si="140"/>
        <v>1</v>
      </c>
    </row>
    <row r="192" spans="1:32" ht="19.5" customHeight="1">
      <c r="A192" s="7225"/>
      <c r="B192" s="7200"/>
      <c r="C192" s="10"/>
      <c r="D192" s="10"/>
      <c r="E192" s="4045"/>
      <c r="F192" s="1658" t="str">
        <f t="shared" si="143"/>
        <v>GEN3 AL5  Housing (MX)</v>
      </c>
      <c r="G192" s="1658">
        <f>IFERROR(VLOOKUP(F192,B.BasicInfomation!$B:$O,11,0),"")</f>
        <v>3100</v>
      </c>
      <c r="H192" s="1658">
        <f>IFERROR(VLOOKUP(F192,B.BasicInfomation!$B:$O,12,0),"")</f>
        <v>350</v>
      </c>
      <c r="I192" s="1938">
        <f>IFERROR(VLOOKUP(F192,B.BasicInfomation!$B:$O,13,0),"")</f>
        <v>2</v>
      </c>
      <c r="J192" s="4700">
        <f>J106/$G192/'4. L PLAN'!F$109</f>
        <v>0</v>
      </c>
      <c r="K192" s="5370">
        <f>K106/$G192/'4. L PLAN'!G$109</f>
        <v>0</v>
      </c>
      <c r="L192" s="6184">
        <f>L106/$G192/'4. L PLAN'!H$109</f>
        <v>0</v>
      </c>
      <c r="M192" s="4700">
        <f>M106/$G192/'4. L PLAN'!I$109</f>
        <v>0</v>
      </c>
      <c r="N192" s="1857">
        <f>N106/$G192/'4. L PLAN'!J$109</f>
        <v>0</v>
      </c>
      <c r="O192" s="1878">
        <f>O106/$G192/'4. L PLAN'!K$109</f>
        <v>0</v>
      </c>
      <c r="P192" s="1879">
        <f>P106/$G192/'4. L PLAN'!L$109</f>
        <v>0</v>
      </c>
      <c r="Q192" s="1857">
        <f>Q106/$G192/'4. L PLAN'!M$109</f>
        <v>0</v>
      </c>
      <c r="R192" s="1855">
        <f>R106/$G192/'4. L PLAN'!N$109</f>
        <v>0</v>
      </c>
      <c r="S192" s="1880">
        <f>S106/$G192/'4. L PLAN'!O$109</f>
        <v>0</v>
      </c>
      <c r="T192" s="1857">
        <f>T106/$G192/'4. L PLAN'!P$109</f>
        <v>0</v>
      </c>
      <c r="U192" s="1855">
        <f>U106/$G192/'4. L PLAN'!Q$109</f>
        <v>0</v>
      </c>
      <c r="V192" s="1862">
        <f t="shared" si="134"/>
        <v>0</v>
      </c>
      <c r="W192" s="1569"/>
      <c r="Y192" s="1569"/>
      <c r="AA192" s="1658">
        <f t="shared" si="135"/>
        <v>3100</v>
      </c>
      <c r="AB192" s="1854">
        <f t="shared" si="136"/>
        <v>350</v>
      </c>
      <c r="AC192" s="1724">
        <f t="shared" si="137"/>
        <v>2</v>
      </c>
      <c r="AD192" s="1535" t="b">
        <f t="shared" si="138"/>
        <v>1</v>
      </c>
      <c r="AE192" s="1535" t="b">
        <f t="shared" si="139"/>
        <v>1</v>
      </c>
      <c r="AF192" s="1535" t="b">
        <f t="shared" si="140"/>
        <v>1</v>
      </c>
    </row>
    <row r="193" spans="1:32" ht="19.5" customHeight="1">
      <c r="A193" s="7225"/>
      <c r="B193" s="7200"/>
      <c r="C193" s="10"/>
      <c r="D193" s="10"/>
      <c r="E193" s="4045"/>
      <c r="F193" s="1658" t="str">
        <f t="shared" si="143"/>
        <v>GEN3 AL6  Housing (MX)</v>
      </c>
      <c r="G193" s="1658">
        <f>IFERROR(VLOOKUP(F193,B.BasicInfomation!$B:$O,11,0),"")</f>
        <v>3100</v>
      </c>
      <c r="H193" s="1658">
        <f>IFERROR(VLOOKUP(F193,B.BasicInfomation!$B:$O,12,0),"")</f>
        <v>350</v>
      </c>
      <c r="I193" s="1938">
        <f>IFERROR(VLOOKUP(F193,B.BasicInfomation!$B:$O,13,0),"")</f>
        <v>2</v>
      </c>
      <c r="J193" s="4700">
        <f>J107/$G193/'4. L PLAN'!F$109</f>
        <v>0</v>
      </c>
      <c r="K193" s="5370">
        <f>K107/$G193/'4. L PLAN'!G$109</f>
        <v>0</v>
      </c>
      <c r="L193" s="6184">
        <f>L107/$G193/'4. L PLAN'!H$109</f>
        <v>0</v>
      </c>
      <c r="M193" s="4700">
        <f>M107/$G193/'4. L PLAN'!I$109</f>
        <v>0</v>
      </c>
      <c r="N193" s="1857">
        <f>N107/$G193/'4. L PLAN'!J$109</f>
        <v>0</v>
      </c>
      <c r="O193" s="1878">
        <f>O107/$G193/'4. L PLAN'!K$109</f>
        <v>0</v>
      </c>
      <c r="P193" s="1879">
        <f>P107/$G193/'4. L PLAN'!L$109</f>
        <v>0</v>
      </c>
      <c r="Q193" s="1857">
        <f>Q107/$G193/'4. L PLAN'!M$109</f>
        <v>0</v>
      </c>
      <c r="R193" s="1855">
        <f>R107/$G193/'4. L PLAN'!N$109</f>
        <v>0</v>
      </c>
      <c r="S193" s="1880">
        <f>S107/$G193/'4. L PLAN'!O$109</f>
        <v>0</v>
      </c>
      <c r="T193" s="1857">
        <f>T107/$G193/'4. L PLAN'!P$109</f>
        <v>0</v>
      </c>
      <c r="U193" s="1855">
        <f>U107/$G193/'4. L PLAN'!Q$109</f>
        <v>0</v>
      </c>
      <c r="V193" s="1862">
        <f t="shared" si="134"/>
        <v>0</v>
      </c>
      <c r="W193" s="1569"/>
      <c r="Y193" s="1569"/>
      <c r="AA193" s="1658">
        <f t="shared" si="135"/>
        <v>3100</v>
      </c>
      <c r="AB193" s="1854">
        <f t="shared" si="136"/>
        <v>350</v>
      </c>
      <c r="AC193" s="1724">
        <f t="shared" si="137"/>
        <v>2</v>
      </c>
      <c r="AD193" s="1535" t="b">
        <f t="shared" si="138"/>
        <v>1</v>
      </c>
      <c r="AE193" s="1535" t="b">
        <f t="shared" si="139"/>
        <v>1</v>
      </c>
      <c r="AF193" s="1535" t="b">
        <f t="shared" si="140"/>
        <v>1</v>
      </c>
    </row>
    <row r="194" spans="1:32" ht="19.5" customHeight="1">
      <c r="A194" s="7225"/>
      <c r="B194" s="7200"/>
      <c r="C194" s="10"/>
      <c r="D194" s="10"/>
      <c r="E194" s="4045"/>
      <c r="F194" s="1658" t="str">
        <f t="shared" si="143"/>
        <v>T6 Housing</v>
      </c>
      <c r="G194" s="1658">
        <f>IFERROR(VLOOKUP(F194,B.BasicInfomation!$B:$O,11,0),"")</f>
        <v>1700</v>
      </c>
      <c r="H194" s="1658">
        <f>IFERROR(VLOOKUP(F194,B.BasicInfomation!$B:$O,12,0),"")</f>
        <v>350</v>
      </c>
      <c r="I194" s="1938">
        <f>IFERROR(VLOOKUP(F194,B.BasicInfomation!$B:$O,13,0),"")</f>
        <v>1</v>
      </c>
      <c r="J194" s="4700">
        <f>J108/$G194/'4. L PLAN'!F$109</f>
        <v>0</v>
      </c>
      <c r="K194" s="5370">
        <f>K108/$G194/'4. L PLAN'!G$109</f>
        <v>0</v>
      </c>
      <c r="L194" s="6184">
        <f>L108/$G194/'4. L PLAN'!H$109</f>
        <v>0.88352562592457873</v>
      </c>
      <c r="M194" s="4700">
        <f>M108/$G194/'4. L PLAN'!I$109</f>
        <v>0.54810274597208009</v>
      </c>
      <c r="N194" s="1857">
        <f>N108/$G194/'4. L PLAN'!J$109</f>
        <v>0</v>
      </c>
      <c r="O194" s="1878">
        <f>O108/$G194/'4. L PLAN'!K$109</f>
        <v>0</v>
      </c>
      <c r="P194" s="1879">
        <f>P108/$G194/'4. L PLAN'!L$109</f>
        <v>0</v>
      </c>
      <c r="Q194" s="1857">
        <f>Q108/$G194/'4. L PLAN'!M$109</f>
        <v>0</v>
      </c>
      <c r="R194" s="1855">
        <f>R108/$G194/'4. L PLAN'!N$109</f>
        <v>0</v>
      </c>
      <c r="S194" s="1880">
        <f>S108/$G194/'4. L PLAN'!O$109</f>
        <v>0</v>
      </c>
      <c r="T194" s="1857">
        <f>T108/$G194/'4. L PLAN'!P$109</f>
        <v>0</v>
      </c>
      <c r="U194" s="1855">
        <f>U108/$G194/'4. L PLAN'!Q$109</f>
        <v>0</v>
      </c>
      <c r="V194" s="1862">
        <f t="shared" si="134"/>
        <v>0.11930236432472156</v>
      </c>
      <c r="AA194" s="1658">
        <f t="shared" si="135"/>
        <v>1700</v>
      </c>
      <c r="AB194" s="1854">
        <f t="shared" si="136"/>
        <v>350</v>
      </c>
      <c r="AC194" s="1724">
        <f t="shared" si="137"/>
        <v>1</v>
      </c>
      <c r="AD194" s="1535" t="b">
        <f t="shared" si="138"/>
        <v>1</v>
      </c>
      <c r="AE194" s="1535" t="b">
        <f t="shared" si="139"/>
        <v>1</v>
      </c>
      <c r="AF194" s="1535" t="b">
        <f t="shared" si="140"/>
        <v>1</v>
      </c>
    </row>
    <row r="195" spans="1:32" s="1569" customFormat="1" ht="19.5" customHeight="1">
      <c r="A195" s="7225"/>
      <c r="B195" s="7200"/>
      <c r="C195" s="10"/>
      <c r="D195" s="10"/>
      <c r="E195" s="4045">
        <v>14</v>
      </c>
      <c r="F195" s="1658" t="str">
        <f t="shared" si="143"/>
        <v>CL4 Housing (YT)</v>
      </c>
      <c r="G195" s="1658">
        <f>IFERROR(VLOOKUP(F195,B.BasicInfomation!$B:$O,11,0),"")</f>
        <v>1700</v>
      </c>
      <c r="H195" s="1658">
        <f>IFERROR(VLOOKUP(F195,B.BasicInfomation!$B:$O,12,0),"")</f>
        <v>350</v>
      </c>
      <c r="I195" s="1938">
        <f>IFERROR(VLOOKUP(F195,B.BasicInfomation!$B:$O,13,0),"")</f>
        <v>1</v>
      </c>
      <c r="J195" s="4700">
        <f>J109/$G195/'4. L PLAN'!F$109</f>
        <v>1.4972512771480955</v>
      </c>
      <c r="K195" s="5370">
        <f>K109/$G195/'4. L PLAN'!G$109</f>
        <v>1.6386807091184852</v>
      </c>
      <c r="L195" s="6184">
        <f>L109/$G195/'4. L PLAN'!H$109</f>
        <v>1.1920418264150476</v>
      </c>
      <c r="M195" s="4700">
        <f>M109/$G195/'4. L PLAN'!I$109</f>
        <v>1.6731821456045426</v>
      </c>
      <c r="N195" s="1857">
        <f>N109/$G195/'4. L PLAN'!J$109</f>
        <v>1.5725696805563083</v>
      </c>
      <c r="O195" s="1878">
        <f>O109/$G195/'4. L PLAN'!K$109</f>
        <v>0.90712635849796619</v>
      </c>
      <c r="P195" s="1879">
        <f>P109/$G195/'4. L PLAN'!L$109</f>
        <v>0</v>
      </c>
      <c r="Q195" s="1857">
        <f>Q109/$G195/'4. L PLAN'!M$109</f>
        <v>0</v>
      </c>
      <c r="R195" s="1855">
        <f>R109/$G195/'4. L PLAN'!N$109</f>
        <v>0</v>
      </c>
      <c r="S195" s="1880">
        <f>S109/$G195/'4. L PLAN'!O$109</f>
        <v>0</v>
      </c>
      <c r="T195" s="1857">
        <f>T109/$G195/'4. L PLAN'!P$109</f>
        <v>0</v>
      </c>
      <c r="U195" s="1855">
        <f>U109/$G195/'4. L PLAN'!Q$109</f>
        <v>0</v>
      </c>
      <c r="V195" s="1862">
        <f t="shared" si="134"/>
        <v>0.70673766644503699</v>
      </c>
      <c r="W195" s="1533"/>
      <c r="X195" s="1535"/>
      <c r="Y195" s="1535"/>
      <c r="AA195" s="1658">
        <f t="shared" si="135"/>
        <v>1700</v>
      </c>
      <c r="AB195" s="1854">
        <f t="shared" si="136"/>
        <v>350</v>
      </c>
      <c r="AC195" s="1724">
        <f t="shared" si="137"/>
        <v>1</v>
      </c>
      <c r="AD195" s="1535" t="b">
        <f t="shared" si="138"/>
        <v>1</v>
      </c>
      <c r="AE195" s="1535" t="b">
        <f t="shared" si="139"/>
        <v>1</v>
      </c>
      <c r="AF195" s="1535" t="b">
        <f t="shared" si="140"/>
        <v>1</v>
      </c>
    </row>
    <row r="196" spans="1:32" s="1569" customFormat="1" ht="19.5" customHeight="1">
      <c r="A196" s="7225"/>
      <c r="B196" s="7200"/>
      <c r="C196" s="10"/>
      <c r="D196" s="10"/>
      <c r="E196" s="4045"/>
      <c r="F196" s="1658" t="str">
        <f t="shared" si="143"/>
        <v>CL4 Housing (MX)</v>
      </c>
      <c r="G196" s="1658">
        <f>IFERROR(VLOOKUP(F196,B.BasicInfomation!$B:$O,11,0),"")</f>
        <v>1700</v>
      </c>
      <c r="H196" s="1658">
        <f>IFERROR(VLOOKUP(F196,B.BasicInfomation!$B:$O,12,0),"")</f>
        <v>350</v>
      </c>
      <c r="I196" s="1938">
        <f>IFERROR(VLOOKUP(F196,B.BasicInfomation!$B:$O,13,0),"")</f>
        <v>1</v>
      </c>
      <c r="J196" s="4700">
        <f>J110/$G196/'4. L PLAN'!F$109</f>
        <v>0</v>
      </c>
      <c r="K196" s="5370">
        <f>K110/$G196/'4. L PLAN'!G$109</f>
        <v>1.0185941083769179</v>
      </c>
      <c r="L196" s="6184">
        <f>L110/$G196/'4. L PLAN'!H$109</f>
        <v>0</v>
      </c>
      <c r="M196" s="4700">
        <f>M110/$G196/'4. L PLAN'!I$109</f>
        <v>0.74079571518321297</v>
      </c>
      <c r="N196" s="1857">
        <f>N110/$G196/'4. L PLAN'!J$109</f>
        <v>0.88714251396252664</v>
      </c>
      <c r="O196" s="1878">
        <f>O110/$G196/'4. L PLAN'!K$109</f>
        <v>0.75065905027598423</v>
      </c>
      <c r="P196" s="1879">
        <f>P110/$G196/'4. L PLAN'!L$109</f>
        <v>0.60361132348261803</v>
      </c>
      <c r="Q196" s="1857">
        <f>Q110/$G196/'4. L PLAN'!M$109</f>
        <v>0</v>
      </c>
      <c r="R196" s="1855">
        <f>R110/$G196/'4. L PLAN'!N$109</f>
        <v>0</v>
      </c>
      <c r="S196" s="1880">
        <f>S110/$G196/'4. L PLAN'!O$109</f>
        <v>0</v>
      </c>
      <c r="T196" s="1857">
        <f>T110/$G196/'4. L PLAN'!P$109</f>
        <v>0</v>
      </c>
      <c r="U196" s="1855">
        <f>U110/$G196/'4. L PLAN'!Q$109</f>
        <v>0</v>
      </c>
      <c r="V196" s="1862"/>
      <c r="W196" s="1533"/>
      <c r="X196" s="1535"/>
      <c r="Y196" s="1535"/>
      <c r="AA196" s="1658"/>
      <c r="AB196" s="1854"/>
      <c r="AC196" s="1724"/>
      <c r="AD196" s="1535"/>
      <c r="AE196" s="1535"/>
      <c r="AF196" s="1535"/>
    </row>
    <row r="197" spans="1:32" s="1569" customFormat="1" ht="19.5" customHeight="1">
      <c r="A197" s="7225"/>
      <c r="B197" s="7200"/>
      <c r="C197" s="10"/>
      <c r="D197" s="10"/>
      <c r="E197" s="4045">
        <v>15</v>
      </c>
      <c r="F197" s="1658" t="str">
        <f t="shared" si="143"/>
        <v>MQ4a PE Housing (YT)</v>
      </c>
      <c r="G197" s="1658">
        <f>IFERROR(VLOOKUP(F197,B.BasicInfomation!$B:$O,11,0),"")</f>
        <v>1700</v>
      </c>
      <c r="H197" s="1658">
        <f>IFERROR(VLOOKUP(F197,B.BasicInfomation!$B:$O,12,0),"")</f>
        <v>350</v>
      </c>
      <c r="I197" s="1938">
        <f>IFERROR(VLOOKUP(F197,B.BasicInfomation!$B:$O,13,0),"")</f>
        <v>1</v>
      </c>
      <c r="J197" s="4700">
        <f>J111/$G197/'4. L PLAN'!F$109</f>
        <v>1.8734970766153651E-2</v>
      </c>
      <c r="K197" s="5370">
        <f>K111/$G197/'4. L PLAN'!G$109</f>
        <v>0.82199684236499126</v>
      </c>
      <c r="L197" s="6184">
        <f>L111/$G197/'4. L PLAN'!H$109</f>
        <v>0.85650041352599104</v>
      </c>
      <c r="M197" s="4700">
        <f>M111/$G197/'4. L PLAN'!I$109</f>
        <v>0.80863645668945983</v>
      </c>
      <c r="N197" s="1857">
        <f>N111/$G197/'4. L PLAN'!J$109</f>
        <v>0.89789704644774759</v>
      </c>
      <c r="O197" s="1878">
        <f>O111/$G197/'4. L PLAN'!K$109</f>
        <v>0.32365878922613428</v>
      </c>
      <c r="P197" s="1879">
        <f>P111/$G197/'4. L PLAN'!L$109</f>
        <v>0.51000778908360556</v>
      </c>
      <c r="Q197" s="1857">
        <f>Q111/$G197/'4. L PLAN'!M$109</f>
        <v>0.95476618421126902</v>
      </c>
      <c r="R197" s="1855">
        <f>R111/$G197/'4. L PLAN'!N$109</f>
        <v>0.35461479084719444</v>
      </c>
      <c r="S197" s="1880">
        <f>S111/$G197/'4. L PLAN'!O$109</f>
        <v>0</v>
      </c>
      <c r="T197" s="1857">
        <f>T111/$G197/'4. L PLAN'!P$109</f>
        <v>0</v>
      </c>
      <c r="U197" s="1855">
        <f>U111/$G197/'4. L PLAN'!Q$109</f>
        <v>0</v>
      </c>
      <c r="V197" s="1862">
        <f t="shared" si="134"/>
        <v>0.46223444026354549</v>
      </c>
      <c r="W197" s="1533"/>
      <c r="X197" s="1535"/>
      <c r="Y197" s="1535"/>
      <c r="AA197" s="1658">
        <f t="shared" si="135"/>
        <v>1700</v>
      </c>
      <c r="AB197" s="1854">
        <f t="shared" si="136"/>
        <v>350</v>
      </c>
      <c r="AC197" s="1724">
        <f t="shared" si="137"/>
        <v>1</v>
      </c>
      <c r="AD197" s="1535" t="b">
        <f t="shared" si="138"/>
        <v>1</v>
      </c>
      <c r="AE197" s="1535" t="b">
        <f t="shared" si="139"/>
        <v>1</v>
      </c>
      <c r="AF197" s="1535" t="b">
        <f t="shared" si="140"/>
        <v>1</v>
      </c>
    </row>
    <row r="198" spans="1:32" s="1569" customFormat="1" ht="19.5" customHeight="1">
      <c r="A198" s="7225"/>
      <c r="B198" s="7200"/>
      <c r="C198" s="10"/>
      <c r="D198" s="10"/>
      <c r="E198" s="4045"/>
      <c r="F198" s="1658" t="str">
        <f t="shared" si="143"/>
        <v>MQ4a PE Housing (MX)</v>
      </c>
      <c r="G198" s="1658">
        <f>IFERROR(VLOOKUP(F198,B.BasicInfomation!$B:$O,11,0),"")</f>
        <v>1700</v>
      </c>
      <c r="H198" s="1658">
        <f>IFERROR(VLOOKUP(F198,B.BasicInfomation!$B:$O,12,0),"")</f>
        <v>350</v>
      </c>
      <c r="I198" s="1938">
        <f>IFERROR(VLOOKUP(F198,B.BasicInfomation!$B:$O,13,0),"")</f>
        <v>1</v>
      </c>
      <c r="J198" s="4700">
        <f>J112/$G198/'4. L PLAN'!F$109</f>
        <v>0</v>
      </c>
      <c r="K198" s="5370">
        <f>K112/$G198/'4. L PLAN'!G$109</f>
        <v>1.0183074550003273</v>
      </c>
      <c r="L198" s="6184">
        <f>L112/$G198/'4. L PLAN'!H$109</f>
        <v>0</v>
      </c>
      <c r="M198" s="4700">
        <f>M112/$G198/'4. L PLAN'!I$109</f>
        <v>0.74058724000023801</v>
      </c>
      <c r="N198" s="1857">
        <f>N112/$G198/'4. L PLAN'!J$109</f>
        <v>0.81951861275689897</v>
      </c>
      <c r="O198" s="1878">
        <f>O112/$G198/'4. L PLAN'!K$109</f>
        <v>0.68521623140208932</v>
      </c>
      <c r="P198" s="1879">
        <f>P112/$G198/'4. L PLAN'!L$109</f>
        <v>0.60344145481500877</v>
      </c>
      <c r="Q198" s="1857">
        <f>Q112/$G198/'4. L PLAN'!M$109</f>
        <v>0</v>
      </c>
      <c r="R198" s="1855">
        <f>R112/$G198/'4. L PLAN'!N$109</f>
        <v>0</v>
      </c>
      <c r="S198" s="1880">
        <f>S112/$G198/'4. L PLAN'!O$109</f>
        <v>0</v>
      </c>
      <c r="T198" s="1857">
        <f>T112/$G198/'4. L PLAN'!P$109</f>
        <v>0</v>
      </c>
      <c r="U198" s="1855">
        <f>U112/$G198/'4. L PLAN'!Q$109</f>
        <v>0</v>
      </c>
      <c r="V198" s="1862"/>
      <c r="W198" s="1533"/>
      <c r="X198" s="1535"/>
      <c r="Y198" s="1535"/>
      <c r="AA198" s="1658"/>
      <c r="AB198" s="1854"/>
      <c r="AC198" s="1724"/>
      <c r="AD198" s="1535"/>
      <c r="AE198" s="1535"/>
      <c r="AF198" s="1535"/>
    </row>
    <row r="199" spans="1:32" s="1569" customFormat="1" ht="19.5" customHeight="1">
      <c r="A199" s="7225"/>
      <c r="B199" s="7200"/>
      <c r="C199" s="10"/>
      <c r="D199" s="10"/>
      <c r="E199" s="4045"/>
      <c r="F199" s="1658" t="str">
        <f t="shared" si="143"/>
        <v>BYD Housing</v>
      </c>
      <c r="G199" s="1658">
        <f>IFERROR(VLOOKUP(F199,B.BasicInfomation!$B:$O,11,0),"")</f>
        <v>3200</v>
      </c>
      <c r="H199" s="1658">
        <f>IFERROR(VLOOKUP(F199,B.BasicInfomation!$B:$O,12,0),"")</f>
        <v>350</v>
      </c>
      <c r="I199" s="1938">
        <f>IFERROR(VLOOKUP(F199,B.BasicInfomation!$B:$O,13,0),"")</f>
        <v>2</v>
      </c>
      <c r="J199" s="4700">
        <f>J113/$G199/'4. L PLAN'!F$109</f>
        <v>0</v>
      </c>
      <c r="K199" s="5370">
        <f>K113/$G199/'4. L PLAN'!G$109</f>
        <v>0</v>
      </c>
      <c r="L199" s="6184">
        <f>L113/$G199/'4. L PLAN'!H$109</f>
        <v>0</v>
      </c>
      <c r="M199" s="4700">
        <f>M113/$G199/'4. L PLAN'!I$109</f>
        <v>0</v>
      </c>
      <c r="N199" s="1857">
        <f>N113/$G199/'4. L PLAN'!J$109</f>
        <v>0</v>
      </c>
      <c r="O199" s="1878">
        <f>O113/$G199/'4. L PLAN'!K$109</f>
        <v>0</v>
      </c>
      <c r="P199" s="1879">
        <f>P113/$G199/'4. L PLAN'!L$109</f>
        <v>0</v>
      </c>
      <c r="Q199" s="1857">
        <f>Q113/$G199/'4. L PLAN'!M$109</f>
        <v>0</v>
      </c>
      <c r="R199" s="1855">
        <f>R113/$G199/'4. L PLAN'!N$109</f>
        <v>0</v>
      </c>
      <c r="S199" s="1880">
        <f>S113/$G199/'4. L PLAN'!O$109</f>
        <v>0</v>
      </c>
      <c r="T199" s="1857">
        <f>T113/$G199/'4. L PLAN'!P$109</f>
        <v>0</v>
      </c>
      <c r="U199" s="1855">
        <f>U113/$G199/'4. L PLAN'!Q$109</f>
        <v>0</v>
      </c>
      <c r="V199" s="1862">
        <f t="shared" si="134"/>
        <v>0</v>
      </c>
      <c r="W199" s="1533"/>
      <c r="X199" s="1535"/>
      <c r="Y199" s="1535"/>
      <c r="AA199" s="1658">
        <f t="shared" si="135"/>
        <v>3200</v>
      </c>
      <c r="AB199" s="1854">
        <f t="shared" si="136"/>
        <v>350</v>
      </c>
      <c r="AC199" s="1724">
        <f t="shared" si="137"/>
        <v>2</v>
      </c>
      <c r="AD199" s="1535" t="b">
        <f t="shared" si="138"/>
        <v>1</v>
      </c>
      <c r="AE199" s="1535" t="b">
        <f t="shared" si="139"/>
        <v>1</v>
      </c>
      <c r="AF199" s="1535" t="b">
        <f t="shared" si="140"/>
        <v>1</v>
      </c>
    </row>
    <row r="200" spans="1:32" s="1569" customFormat="1" ht="19.5" customHeight="1">
      <c r="A200" s="7225"/>
      <c r="B200" s="7200"/>
      <c r="C200" s="10"/>
      <c r="D200" s="10"/>
      <c r="E200" s="4045">
        <v>16</v>
      </c>
      <c r="F200" s="1658" t="str">
        <f t="shared" si="143"/>
        <v>MX5 Housing</v>
      </c>
      <c r="G200" s="1658">
        <f>IFERROR(VLOOKUP(F200,B.BasicInfomation!$B:$O,11,0),"")</f>
        <v>1700</v>
      </c>
      <c r="H200" s="1658">
        <f>IFERROR(VLOOKUP(F200,B.BasicInfomation!$B:$O,12,0),"")</f>
        <v>350</v>
      </c>
      <c r="I200" s="1938">
        <f>IFERROR(VLOOKUP(F200,B.BasicInfomation!$B:$O,13,0),"")</f>
        <v>1</v>
      </c>
      <c r="J200" s="4700">
        <f>J114/$G200/'4. L PLAN'!F$109</f>
        <v>0</v>
      </c>
      <c r="K200" s="5370">
        <f>K114/$G200/'4. L PLAN'!G$109</f>
        <v>0</v>
      </c>
      <c r="L200" s="6184">
        <f>L114/$G200/'4. L PLAN'!H$109</f>
        <v>0</v>
      </c>
      <c r="M200" s="4700">
        <f>M114/$G200/'4. L PLAN'!I$109</f>
        <v>0</v>
      </c>
      <c r="N200" s="1857">
        <f>N114/$G200/'4. L PLAN'!J$109</f>
        <v>0</v>
      </c>
      <c r="O200" s="1878">
        <f>O114/$G200/'4. L PLAN'!K$109</f>
        <v>0</v>
      </c>
      <c r="P200" s="1879">
        <f>P114/$G200/'4. L PLAN'!L$109</f>
        <v>0</v>
      </c>
      <c r="Q200" s="1857">
        <f>Q114/$G200/'4. L PLAN'!M$109</f>
        <v>0</v>
      </c>
      <c r="R200" s="1855">
        <f>R114/$G200/'4. L PLAN'!N$109</f>
        <v>0</v>
      </c>
      <c r="S200" s="1880">
        <f>S114/$G200/'4. L PLAN'!O$109</f>
        <v>0</v>
      </c>
      <c r="T200" s="1857">
        <f>T114/$G200/'4. L PLAN'!P$109</f>
        <v>0</v>
      </c>
      <c r="U200" s="1855">
        <f>U114/$G200/'4. L PLAN'!Q$109</f>
        <v>0</v>
      </c>
      <c r="V200" s="1862">
        <f t="shared" si="134"/>
        <v>0</v>
      </c>
      <c r="W200" s="1533"/>
      <c r="X200" s="1535"/>
      <c r="Y200" s="1535"/>
      <c r="AA200" s="1658">
        <f t="shared" si="135"/>
        <v>1700</v>
      </c>
      <c r="AB200" s="1854">
        <f t="shared" si="136"/>
        <v>350</v>
      </c>
      <c r="AC200" s="1724">
        <f t="shared" si="137"/>
        <v>1</v>
      </c>
      <c r="AD200" s="1535" t="b">
        <f t="shared" si="138"/>
        <v>1</v>
      </c>
      <c r="AE200" s="1535" t="b">
        <f t="shared" si="139"/>
        <v>1</v>
      </c>
      <c r="AF200" s="1535" t="b">
        <f t="shared" si="140"/>
        <v>1</v>
      </c>
    </row>
    <row r="201" spans="1:32" s="1569" customFormat="1" ht="19.5" customHeight="1">
      <c r="A201" s="7225"/>
      <c r="B201" s="7200"/>
      <c r="C201" s="10"/>
      <c r="D201" s="7" t="s">
        <v>857</v>
      </c>
      <c r="E201" s="4061"/>
      <c r="F201" s="1658" t="str">
        <f t="shared" si="143"/>
        <v>Gen2 Cover</v>
      </c>
      <c r="G201" s="1658">
        <f>IFERROR(VLOOKUP(F201,B.BasicInfomation!$B:$O,11,0),"")</f>
        <v>6000</v>
      </c>
      <c r="H201" s="1658">
        <f>IFERROR(VLOOKUP(F201,B.BasicInfomation!$B:$O,12,0),"")</f>
        <v>350</v>
      </c>
      <c r="I201" s="1938">
        <f>IFERROR(VLOOKUP(F201,B.BasicInfomation!$B:$O,13,0),"")</f>
        <v>4</v>
      </c>
      <c r="J201" s="4701">
        <f>J115/$G201/'4. L PLAN'!F$109</f>
        <v>2.9990241184767761E-2</v>
      </c>
      <c r="K201" s="5374">
        <f>K115/$G201/'4. L PLAN'!G$109</f>
        <v>0</v>
      </c>
      <c r="L201" s="6189">
        <f>L115/$G201/'4. L PLAN'!H$109</f>
        <v>0</v>
      </c>
      <c r="M201" s="4701">
        <f>M115/$G201/'4. L PLAN'!I$109</f>
        <v>0</v>
      </c>
      <c r="N201" s="1857">
        <f>N115/$G201/'4. L PLAN'!J$109</f>
        <v>0</v>
      </c>
      <c r="O201" s="1878">
        <f>O115/$G201/'4. L PLAN'!K$109</f>
        <v>0</v>
      </c>
      <c r="P201" s="1879">
        <f>P115/$G201/'4. L PLAN'!L$109</f>
        <v>0.17719746104365636</v>
      </c>
      <c r="Q201" s="1857">
        <f>Q115/$G201/'4. L PLAN'!M$109</f>
        <v>0</v>
      </c>
      <c r="R201" s="1855">
        <f>R115/$G201/'4. L PLAN'!N$109</f>
        <v>0</v>
      </c>
      <c r="S201" s="1880">
        <f>S115/$G201/'4. L PLAN'!O$109</f>
        <v>0</v>
      </c>
      <c r="T201" s="1857">
        <f>T115/$G201/'4. L PLAN'!P$109</f>
        <v>0</v>
      </c>
      <c r="U201" s="1855">
        <f>U115/$G201/'4. L PLAN'!Q$109</f>
        <v>0</v>
      </c>
      <c r="V201" s="1886">
        <f t="shared" si="134"/>
        <v>1.7265641852368677E-2</v>
      </c>
      <c r="W201" s="1826"/>
      <c r="X201" s="1535"/>
      <c r="Y201" s="1535"/>
      <c r="AA201" s="1658">
        <f t="shared" si="135"/>
        <v>6000</v>
      </c>
      <c r="AB201" s="1854">
        <f t="shared" si="136"/>
        <v>350</v>
      </c>
      <c r="AC201" s="1724">
        <f t="shared" si="137"/>
        <v>4</v>
      </c>
      <c r="AD201" s="1535" t="b">
        <f t="shared" si="138"/>
        <v>1</v>
      </c>
      <c r="AE201" s="1535" t="b">
        <f t="shared" si="139"/>
        <v>1</v>
      </c>
      <c r="AF201" s="1535" t="b">
        <f t="shared" si="140"/>
        <v>1</v>
      </c>
    </row>
    <row r="202" spans="1:32" s="1569" customFormat="1" ht="19.5" customHeight="1">
      <c r="A202" s="7225"/>
      <c r="B202" s="7200"/>
      <c r="C202" s="10"/>
      <c r="D202" s="10"/>
      <c r="E202" s="4045"/>
      <c r="F202" s="1658" t="str">
        <f t="shared" si="143"/>
        <v>T6 Cover</v>
      </c>
      <c r="G202" s="1658">
        <f>IFERROR(VLOOKUP(F202,B.BasicInfomation!$B:$O,11,0),"")</f>
        <v>6000</v>
      </c>
      <c r="H202" s="1658">
        <f>IFERROR(VLOOKUP(F202,B.BasicInfomation!$B:$O,12,0),"")</f>
        <v>350</v>
      </c>
      <c r="I202" s="1938">
        <f>IFERROR(VLOOKUP(F202,B.BasicInfomation!$B:$O,13,0),"")</f>
        <v>4</v>
      </c>
      <c r="J202" s="4700">
        <f>J116/$G202/'4. L PLAN'!F$109</f>
        <v>0</v>
      </c>
      <c r="K202" s="5370">
        <f>K116/$G202/'4. L PLAN'!G$109</f>
        <v>0</v>
      </c>
      <c r="L202" s="6184">
        <f>L116/$G202/'4. L PLAN'!H$109</f>
        <v>0.11825329041415902</v>
      </c>
      <c r="M202" s="4700">
        <f>M116/$G202/'4. L PLAN'!I$109</f>
        <v>0.26640331144168727</v>
      </c>
      <c r="N202" s="1857">
        <f>N116/$G202/'4. L PLAN'!J$109</f>
        <v>0</v>
      </c>
      <c r="O202" s="1878">
        <f>O116/$G202/'4. L PLAN'!K$109</f>
        <v>0</v>
      </c>
      <c r="P202" s="1879">
        <f>P116/$G202/'4. L PLAN'!L$109</f>
        <v>0</v>
      </c>
      <c r="Q202" s="1857">
        <f>Q116/$G202/'4. L PLAN'!M$109</f>
        <v>0</v>
      </c>
      <c r="R202" s="1855">
        <f>R116/$G202/'4. L PLAN'!N$109</f>
        <v>0</v>
      </c>
      <c r="S202" s="1880">
        <f>S116/$G202/'4. L PLAN'!O$109</f>
        <v>0</v>
      </c>
      <c r="T202" s="1857">
        <f>T116/$G202/'4. L PLAN'!P$109</f>
        <v>0</v>
      </c>
      <c r="U202" s="1855">
        <f>U116/$G202/'4. L PLAN'!Q$109</f>
        <v>0</v>
      </c>
      <c r="V202" s="1862">
        <f t="shared" si="134"/>
        <v>3.2054716821320522E-2</v>
      </c>
      <c r="W202" s="1826"/>
      <c r="X202" s="1535"/>
      <c r="Y202" s="1535"/>
      <c r="AA202" s="1658">
        <f t="shared" si="135"/>
        <v>6000</v>
      </c>
      <c r="AB202" s="1854">
        <f t="shared" si="136"/>
        <v>350</v>
      </c>
      <c r="AC202" s="1724">
        <f t="shared" si="137"/>
        <v>4</v>
      </c>
      <c r="AD202" s="1535" t="b">
        <f t="shared" si="138"/>
        <v>1</v>
      </c>
      <c r="AE202" s="1535" t="b">
        <f t="shared" si="139"/>
        <v>1</v>
      </c>
      <c r="AF202" s="1535" t="b">
        <f t="shared" si="140"/>
        <v>1</v>
      </c>
    </row>
    <row r="203" spans="1:32" s="1569" customFormat="1" ht="19.5" customHeight="1">
      <c r="A203" s="7225"/>
      <c r="B203" s="7200"/>
      <c r="C203" s="10"/>
      <c r="D203" s="10"/>
      <c r="E203" s="4045">
        <v>17</v>
      </c>
      <c r="F203" s="1658" t="str">
        <f t="shared" si="143"/>
        <v>EK_Part Cover</v>
      </c>
      <c r="G203" s="1658">
        <f>IFERROR(VLOOKUP(F203,B.BasicInfomation!$B:$O,11,0),"")</f>
        <v>3300</v>
      </c>
      <c r="H203" s="1658">
        <f>IFERROR(VLOOKUP(F203,B.BasicInfomation!$B:$O,12,0),"")</f>
        <v>350</v>
      </c>
      <c r="I203" s="1938">
        <f>IFERROR(VLOOKUP(F203,B.BasicInfomation!$B:$O,13,0),"")</f>
        <v>2</v>
      </c>
      <c r="J203" s="4700">
        <f>J117/$G203/'4. L PLAN'!F$109</f>
        <v>0.33217851198989529</v>
      </c>
      <c r="K203" s="5370">
        <f>K117/$G203/'4. L PLAN'!G$109</f>
        <v>0.38556434427398562</v>
      </c>
      <c r="L203" s="6184">
        <f>L117/$G203/'4. L PLAN'!H$109</f>
        <v>0.21354332913636129</v>
      </c>
      <c r="M203" s="4700">
        <f>M117/$G203/'4. L PLAN'!I$109</f>
        <v>0.3200425151099649</v>
      </c>
      <c r="N203" s="1857">
        <f>N117/$G203/'4. L PLAN'!J$109</f>
        <v>0.31941804190975032</v>
      </c>
      <c r="O203" s="1878">
        <f>O117/$G203/'4. L PLAN'!K$109</f>
        <v>0.27080520509304723</v>
      </c>
      <c r="P203" s="1879">
        <f>P117/$G203/'4. L PLAN'!L$109</f>
        <v>0.26077538268219363</v>
      </c>
      <c r="Q203" s="1857">
        <f>Q117/$G203/'4. L PLAN'!M$109</f>
        <v>0.22176619101668557</v>
      </c>
      <c r="R203" s="1855">
        <f>R117/$G203/'4. L PLAN'!N$109</f>
        <v>0</v>
      </c>
      <c r="S203" s="1880">
        <f>S117/$G203/'4. L PLAN'!O$109</f>
        <v>0</v>
      </c>
      <c r="T203" s="1857">
        <f>T117/$G203/'4. L PLAN'!P$109</f>
        <v>0</v>
      </c>
      <c r="U203" s="1855">
        <f>U117/$G203/'4. L PLAN'!Q$109</f>
        <v>0</v>
      </c>
      <c r="V203" s="1862">
        <f t="shared" si="134"/>
        <v>0.19367446010099032</v>
      </c>
      <c r="W203" s="1826"/>
      <c r="X203" s="1535"/>
      <c r="Y203" s="1535"/>
      <c r="AA203" s="1658">
        <f t="shared" si="135"/>
        <v>3300</v>
      </c>
      <c r="AB203" s="1854">
        <f t="shared" si="136"/>
        <v>350</v>
      </c>
      <c r="AC203" s="1724">
        <f t="shared" si="137"/>
        <v>2</v>
      </c>
      <c r="AD203" s="1535" t="b">
        <f t="shared" si="138"/>
        <v>1</v>
      </c>
      <c r="AE203" s="1535" t="b">
        <f t="shared" si="139"/>
        <v>1</v>
      </c>
      <c r="AF203" s="1535" t="b">
        <f t="shared" si="140"/>
        <v>1</v>
      </c>
    </row>
    <row r="204" spans="1:32" s="1569" customFormat="1" ht="19.5" customHeight="1">
      <c r="A204" s="7225"/>
      <c r="B204" s="7200"/>
      <c r="C204" s="10"/>
      <c r="D204" s="10"/>
      <c r="E204" s="4045"/>
      <c r="F204" s="1658" t="str">
        <f t="shared" si="143"/>
        <v>570W Cover</v>
      </c>
      <c r="G204" s="1658">
        <f>IFERROR(VLOOKUP(F204,B.BasicInfomation!$B:$O,11,0),"")</f>
        <v>6000</v>
      </c>
      <c r="H204" s="1658">
        <f>IFERROR(VLOOKUP(F204,B.BasicInfomation!$B:$O,12,0),"")</f>
        <v>350</v>
      </c>
      <c r="I204" s="1938">
        <f>IFERROR(VLOOKUP(F204,B.BasicInfomation!$B:$O,13,0),"")</f>
        <v>4</v>
      </c>
      <c r="J204" s="4700">
        <f>J118/$G204/'4. L PLAN'!F$109</f>
        <v>0</v>
      </c>
      <c r="K204" s="5370">
        <f>K118/$G204/'4. L PLAN'!G$109</f>
        <v>0</v>
      </c>
      <c r="L204" s="6184">
        <f>L118/$G204/'4. L PLAN'!H$109</f>
        <v>0</v>
      </c>
      <c r="M204" s="4700">
        <f>M118/$G204/'4. L PLAN'!I$109</f>
        <v>0</v>
      </c>
      <c r="N204" s="1857">
        <f>N118/$G204/'4. L PLAN'!J$109</f>
        <v>0</v>
      </c>
      <c r="O204" s="1878">
        <f>O118/$G204/'4. L PLAN'!K$109</f>
        <v>0</v>
      </c>
      <c r="P204" s="1879">
        <f>P118/$G204/'4. L PLAN'!L$109</f>
        <v>0</v>
      </c>
      <c r="Q204" s="1857">
        <f>Q118/$G204/'4. L PLAN'!M$109</f>
        <v>0</v>
      </c>
      <c r="R204" s="1855">
        <f>R118/$G204/'4. L PLAN'!N$109</f>
        <v>0</v>
      </c>
      <c r="S204" s="1880">
        <f>S118/$G204/'4. L PLAN'!O$109</f>
        <v>0</v>
      </c>
      <c r="T204" s="1857">
        <f>T118/$G204/'4. L PLAN'!P$109</f>
        <v>0</v>
      </c>
      <c r="U204" s="1855">
        <f>U118/$G204/'4. L PLAN'!Q$109</f>
        <v>0</v>
      </c>
      <c r="V204" s="1862">
        <f t="shared" si="134"/>
        <v>0</v>
      </c>
      <c r="W204" s="1826"/>
      <c r="X204" s="1535"/>
      <c r="Y204" s="1535"/>
      <c r="AA204" s="1658">
        <f t="shared" si="135"/>
        <v>6000</v>
      </c>
      <c r="AB204" s="1854">
        <f t="shared" si="136"/>
        <v>350</v>
      </c>
      <c r="AC204" s="1724">
        <f t="shared" si="137"/>
        <v>4</v>
      </c>
      <c r="AD204" s="1535" t="b">
        <f t="shared" si="138"/>
        <v>1</v>
      </c>
      <c r="AE204" s="1535" t="b">
        <f t="shared" si="139"/>
        <v>1</v>
      </c>
      <c r="AF204" s="1535" t="b">
        <f t="shared" si="140"/>
        <v>1</v>
      </c>
    </row>
    <row r="205" spans="1:32" ht="19.5" customHeight="1">
      <c r="A205" s="7225"/>
      <c r="B205" s="7200"/>
      <c r="C205" s="10"/>
      <c r="D205" s="10"/>
      <c r="E205" s="4045">
        <v>18</v>
      </c>
      <c r="F205" s="1658" t="str">
        <f t="shared" si="143"/>
        <v>CL4 Cover (YT)</v>
      </c>
      <c r="G205" s="1658">
        <f>IFERROR(VLOOKUP(F205,B.BasicInfomation!$B:$O,11,0),"")</f>
        <v>6000</v>
      </c>
      <c r="H205" s="1658">
        <f>IFERROR(VLOOKUP(F205,B.BasicInfomation!$B:$O,12,0),"")</f>
        <v>350</v>
      </c>
      <c r="I205" s="1938">
        <f>IFERROR(VLOOKUP(F205,B.BasicInfomation!$B:$O,13,0),"")</f>
        <v>4</v>
      </c>
      <c r="J205" s="4700">
        <f>J119/$G205/'4. L PLAN'!F$109</f>
        <v>6.1830508912936739E-2</v>
      </c>
      <c r="K205" s="5370">
        <f>K119/$G205/'4. L PLAN'!G$109</f>
        <v>0.25128620027197396</v>
      </c>
      <c r="L205" s="6184">
        <f>L119/$G205/'4. L PLAN'!H$109</f>
        <v>0.15739861477361838</v>
      </c>
      <c r="M205" s="4700">
        <f>M119/$G205/'4. L PLAN'!I$109</f>
        <v>7.2185524821550912E-2</v>
      </c>
      <c r="N205" s="1857">
        <f>N119/$G205/'4. L PLAN'!J$109</f>
        <v>0.11567507557823835</v>
      </c>
      <c r="O205" s="1878">
        <f>O119/$G205/'4. L PLAN'!K$109</f>
        <v>0.10085750559706244</v>
      </c>
      <c r="P205" s="1879">
        <f>P119/$G205/'4. L PLAN'!L$109</f>
        <v>0</v>
      </c>
      <c r="Q205" s="1857">
        <f>Q119/$G205/'4. L PLAN'!M$109</f>
        <v>0</v>
      </c>
      <c r="R205" s="1855">
        <f>R119/$G205/'4. L PLAN'!N$109</f>
        <v>0</v>
      </c>
      <c r="S205" s="1880">
        <f>S119/$G205/'4. L PLAN'!O$109</f>
        <v>0</v>
      </c>
      <c r="T205" s="1857">
        <f>T119/$G205/'4. L PLAN'!P$109</f>
        <v>0</v>
      </c>
      <c r="U205" s="1855">
        <f>U119/$G205/'4. L PLAN'!Q$109</f>
        <v>0</v>
      </c>
      <c r="V205" s="1862">
        <f t="shared" si="134"/>
        <v>6.3269452496281728E-2</v>
      </c>
      <c r="W205" s="1826"/>
      <c r="Y205" s="1636"/>
      <c r="AA205" s="1658">
        <f t="shared" si="135"/>
        <v>6000</v>
      </c>
      <c r="AB205" s="1854">
        <f t="shared" si="136"/>
        <v>350</v>
      </c>
      <c r="AC205" s="1724">
        <f t="shared" si="137"/>
        <v>4</v>
      </c>
      <c r="AD205" s="1535" t="b">
        <f t="shared" si="138"/>
        <v>1</v>
      </c>
      <c r="AE205" s="1535" t="b">
        <f t="shared" si="139"/>
        <v>1</v>
      </c>
      <c r="AF205" s="1535" t="b">
        <f t="shared" si="140"/>
        <v>1</v>
      </c>
    </row>
    <row r="206" spans="1:32" ht="19.5" customHeight="1">
      <c r="A206" s="7225"/>
      <c r="B206" s="7200"/>
      <c r="C206" s="10"/>
      <c r="D206" s="10"/>
      <c r="E206" s="4045"/>
      <c r="F206" s="1658" t="str">
        <f t="shared" si="143"/>
        <v>CL4 Cover (MX)</v>
      </c>
      <c r="G206" s="1658">
        <f>IFERROR(VLOOKUP(F206,B.BasicInfomation!$B:$O,11,0),"")</f>
        <v>6000</v>
      </c>
      <c r="H206" s="1658">
        <f>IFERROR(VLOOKUP(F206,B.BasicInfomation!$B:$O,12,0),"")</f>
        <v>350</v>
      </c>
      <c r="I206" s="1938">
        <f>IFERROR(VLOOKUP(F206,B.BasicInfomation!$B:$O,13,0),"")</f>
        <v>4</v>
      </c>
      <c r="J206" s="4700">
        <f>J120/$G206/'4. L PLAN'!F$109</f>
        <v>0</v>
      </c>
      <c r="K206" s="5370">
        <f>K120/$G206/'4. L PLAN'!G$109</f>
        <v>0.26209946436400372</v>
      </c>
      <c r="L206" s="6184">
        <f>L120/$G206/'4. L PLAN'!H$109</f>
        <v>0</v>
      </c>
      <c r="M206" s="4700">
        <f>M120/$G206/'4. L PLAN'!I$109</f>
        <v>0.19061779226472997</v>
      </c>
      <c r="N206" s="1857">
        <f>N120/$G206/'4. L PLAN'!J$109</f>
        <v>0.18493738205524102</v>
      </c>
      <c r="O206" s="1878">
        <f>O120/$G206/'4. L PLAN'!K$109</f>
        <v>0.20908951167142964</v>
      </c>
      <c r="P206" s="1879">
        <f>P120/$G206/'4. L PLAN'!L$109</f>
        <v>0.24014523663786921</v>
      </c>
      <c r="Q206" s="1857">
        <f>Q120/$G206/'4. L PLAN'!M$109</f>
        <v>0</v>
      </c>
      <c r="R206" s="1855">
        <f>R120/$G206/'4. L PLAN'!N$109</f>
        <v>0</v>
      </c>
      <c r="S206" s="1880">
        <f>S120/$G206/'4. L PLAN'!O$109</f>
        <v>0</v>
      </c>
      <c r="T206" s="1857">
        <f>T120/$G206/'4. L PLAN'!P$109</f>
        <v>0</v>
      </c>
      <c r="U206" s="1855">
        <f>U120/$G206/'4. L PLAN'!Q$109</f>
        <v>0</v>
      </c>
      <c r="V206" s="1862"/>
      <c r="W206" s="1826"/>
      <c r="Y206" s="1636"/>
      <c r="AA206" s="1658"/>
      <c r="AB206" s="1854"/>
      <c r="AC206" s="1724"/>
    </row>
    <row r="207" spans="1:32" ht="19.5" customHeight="1">
      <c r="A207" s="7225"/>
      <c r="B207" s="7200"/>
      <c r="C207" s="10"/>
      <c r="D207" s="10"/>
      <c r="E207" s="4045"/>
      <c r="F207" s="1658" t="str">
        <f t="shared" si="143"/>
        <v>MQ4a PE Cover (YT)</v>
      </c>
      <c r="G207" s="1658">
        <f>IFERROR(VLOOKUP(F207,B.BasicInfomation!$B:$O,11,0),"")</f>
        <v>6000</v>
      </c>
      <c r="H207" s="1658">
        <f>IFERROR(VLOOKUP(F207,B.BasicInfomation!$B:$O,12,0),"")</f>
        <v>350</v>
      </c>
      <c r="I207" s="1938">
        <f>IFERROR(VLOOKUP(F207,B.BasicInfomation!$B:$O,13,0),"")</f>
        <v>4</v>
      </c>
      <c r="J207" s="4700">
        <f>J121/$G207/'4. L PLAN'!F$109</f>
        <v>1.9514988356295726E-2</v>
      </c>
      <c r="K207" s="5370">
        <f>K121/$G207/'4. L PLAN'!G$109</f>
        <v>0.21255814022169836</v>
      </c>
      <c r="L207" s="6184">
        <f>L121/$G207/'4. L PLAN'!H$109</f>
        <v>0.20928801498751839</v>
      </c>
      <c r="M207" s="4700">
        <f>M121/$G207/'4. L PLAN'!I$109</f>
        <v>0.16024869777533418</v>
      </c>
      <c r="N207" s="1857">
        <f>N121/$G207/'4. L PLAN'!J$109</f>
        <v>0.25138143546669811</v>
      </c>
      <c r="O207" s="1878">
        <f>O121/$G207/'4. L PLAN'!K$109</f>
        <v>0.24171291871797898</v>
      </c>
      <c r="P207" s="1879">
        <f>P121/$G207/'4. L PLAN'!L$109</f>
        <v>0.23276058839509087</v>
      </c>
      <c r="Q207" s="1857">
        <f>Q121/$G207/'4. L PLAN'!M$109</f>
        <v>0.13391194107986798</v>
      </c>
      <c r="R207" s="1855">
        <f>R121/$G207/'4. L PLAN'!N$109</f>
        <v>0</v>
      </c>
      <c r="S207" s="1880">
        <f>S121/$G207/'4. L PLAN'!O$109</f>
        <v>0</v>
      </c>
      <c r="T207" s="1857">
        <f>T121/$G207/'4. L PLAN'!P$109</f>
        <v>0</v>
      </c>
      <c r="U207" s="1855">
        <f>U121/$G207/'4. L PLAN'!Q$109</f>
        <v>0</v>
      </c>
      <c r="V207" s="1862"/>
      <c r="W207" s="1826"/>
      <c r="Y207" s="1636"/>
      <c r="AA207" s="1658"/>
      <c r="AB207" s="1854"/>
      <c r="AC207" s="1724"/>
    </row>
    <row r="208" spans="1:32" ht="19.5" customHeight="1">
      <c r="A208" s="7225"/>
      <c r="B208" s="7200"/>
      <c r="C208" s="10"/>
      <c r="D208" s="1576"/>
      <c r="E208" s="4062">
        <v>19</v>
      </c>
      <c r="F208" s="1658" t="str">
        <f t="shared" si="143"/>
        <v>MQ4a PE Cover (MX)</v>
      </c>
      <c r="G208" s="1658">
        <f>IFERROR(VLOOKUP(F208,B.BasicInfomation!$B:$O,11,0),"")</f>
        <v>6000</v>
      </c>
      <c r="H208" s="1658">
        <f>IFERROR(VLOOKUP(F208,B.BasicInfomation!$B:$O,12,0),"")</f>
        <v>350</v>
      </c>
      <c r="I208" s="1938">
        <f>IFERROR(VLOOKUP(F208,B.BasicInfomation!$B:$O,13,0),"")</f>
        <v>4</v>
      </c>
      <c r="J208" s="4702">
        <f>J121/$G208/'4. L PLAN'!F$109</f>
        <v>1.9514988356295726E-2</v>
      </c>
      <c r="K208" s="5375">
        <f>K121/$G208/'4. L PLAN'!G$109</f>
        <v>0.21255814022169836</v>
      </c>
      <c r="L208" s="6190">
        <f>L121/$G208/'4. L PLAN'!H$109</f>
        <v>0.20928801498751839</v>
      </c>
      <c r="M208" s="4702">
        <f>M121/$G208/'4. L PLAN'!I$109</f>
        <v>0.16024869777533418</v>
      </c>
      <c r="N208" s="1857">
        <f>N121/$G208/'4. L PLAN'!J$109</f>
        <v>0.25138143546669811</v>
      </c>
      <c r="O208" s="1878">
        <f>O122/$G208/'4. L PLAN'!K$109</f>
        <v>0.18679717562670456</v>
      </c>
      <c r="P208" s="1879">
        <f>P122/$G208/'4. L PLAN'!L$109</f>
        <v>0.15545078172867044</v>
      </c>
      <c r="Q208" s="1857">
        <f>Q122/$G208/'4. L PLAN'!M$109</f>
        <v>0</v>
      </c>
      <c r="R208" s="1855">
        <f>R122/$G208/'4. L PLAN'!N$109</f>
        <v>0</v>
      </c>
      <c r="S208" s="1880">
        <f>S122/$G208/'4. L PLAN'!O$109</f>
        <v>0</v>
      </c>
      <c r="T208" s="1857">
        <f>T122/$G208/'4. L PLAN'!P$109</f>
        <v>0</v>
      </c>
      <c r="U208" s="1855">
        <f>U122/$G208/'4. L PLAN'!Q$109</f>
        <v>0</v>
      </c>
      <c r="V208" s="1892">
        <f t="shared" si="134"/>
        <v>9.9603269513576634E-2</v>
      </c>
      <c r="W208" s="1826"/>
      <c r="Y208" s="1636"/>
      <c r="AA208" s="1658">
        <f t="shared" si="135"/>
        <v>6000</v>
      </c>
      <c r="AB208" s="1854">
        <f t="shared" si="136"/>
        <v>350</v>
      </c>
      <c r="AC208" s="1724">
        <f t="shared" si="137"/>
        <v>4</v>
      </c>
      <c r="AD208" s="1535" t="b">
        <f t="shared" si="138"/>
        <v>1</v>
      </c>
      <c r="AE208" s="1535" t="b">
        <f t="shared" si="139"/>
        <v>1</v>
      </c>
      <c r="AF208" s="1535" t="b">
        <f t="shared" si="140"/>
        <v>1</v>
      </c>
    </row>
    <row r="209" spans="1:32" ht="19.5" customHeight="1">
      <c r="A209" s="7225"/>
      <c r="B209" s="7200"/>
      <c r="C209" s="10"/>
      <c r="D209" s="10"/>
      <c r="E209" s="4045"/>
      <c r="F209" s="1658" t="str">
        <f t="shared" si="143"/>
        <v>BYD Cover</v>
      </c>
      <c r="G209" s="1658">
        <f>IFERROR(VLOOKUP(F209,B.BasicInfomation!$B:$O,11,0),"")</f>
        <v>6000</v>
      </c>
      <c r="H209" s="1658">
        <f>IFERROR(VLOOKUP(F209,B.BasicInfomation!$B:$O,12,0),"")</f>
        <v>350</v>
      </c>
      <c r="I209" s="1938">
        <f>IFERROR(VLOOKUP(F209,B.BasicInfomation!$B:$O,13,0),"")</f>
        <v>4</v>
      </c>
      <c r="J209" s="4700">
        <f>J123/$G209/'4. L PLAN'!F$109</f>
        <v>0</v>
      </c>
      <c r="K209" s="5370">
        <f>K123/$G209/'4. L PLAN'!G$109</f>
        <v>0</v>
      </c>
      <c r="L209" s="6184">
        <f>L123/$G209/'4. L PLAN'!H$109</f>
        <v>0</v>
      </c>
      <c r="M209" s="4700">
        <f>M123/$G209/'4. L PLAN'!I$109</f>
        <v>0</v>
      </c>
      <c r="N209" s="1857">
        <f>N123/$G209/'4. L PLAN'!J$109</f>
        <v>0</v>
      </c>
      <c r="O209" s="1878">
        <f>O123/$G209/'4. L PLAN'!K$109</f>
        <v>0</v>
      </c>
      <c r="P209" s="1879">
        <f>P123/$G209/'4. L PLAN'!L$109</f>
        <v>0</v>
      </c>
      <c r="Q209" s="1857">
        <f>Q123/$G209/'4. L PLAN'!M$109</f>
        <v>0</v>
      </c>
      <c r="R209" s="1855">
        <f>R123/$G209/'4. L PLAN'!N$109</f>
        <v>0</v>
      </c>
      <c r="S209" s="1880">
        <f>S123/$G209/'4. L PLAN'!O$109</f>
        <v>0</v>
      </c>
      <c r="T209" s="1857">
        <f>T123/$G209/'4. L PLAN'!P$109</f>
        <v>0</v>
      </c>
      <c r="U209" s="1855">
        <f>U123/$G209/'4. L PLAN'!Q$109</f>
        <v>0</v>
      </c>
      <c r="V209" s="1862">
        <f t="shared" si="134"/>
        <v>0</v>
      </c>
      <c r="W209" s="1826"/>
      <c r="Y209" s="1636"/>
      <c r="AA209" s="1658">
        <f t="shared" si="135"/>
        <v>6000</v>
      </c>
      <c r="AB209" s="1854">
        <f t="shared" si="136"/>
        <v>350</v>
      </c>
      <c r="AC209" s="1724">
        <f t="shared" si="137"/>
        <v>4</v>
      </c>
      <c r="AD209" s="1535" t="b">
        <f t="shared" si="138"/>
        <v>1</v>
      </c>
      <c r="AE209" s="1535" t="b">
        <f t="shared" si="139"/>
        <v>1</v>
      </c>
      <c r="AF209" s="1535" t="b">
        <f t="shared" si="140"/>
        <v>1</v>
      </c>
    </row>
    <row r="210" spans="1:32" ht="19.5" customHeight="1">
      <c r="A210" s="7225"/>
      <c r="B210" s="7200"/>
      <c r="C210" s="10"/>
      <c r="D210" s="10"/>
      <c r="E210" s="4045">
        <v>20</v>
      </c>
      <c r="F210" s="1658" t="str">
        <f t="shared" si="143"/>
        <v>MX5 Cover</v>
      </c>
      <c r="G210" s="1658">
        <f>IFERROR(VLOOKUP(F210,B.BasicInfomation!$B:$O,11,0),"")</f>
        <v>6000</v>
      </c>
      <c r="H210" s="1658">
        <f>IFERROR(VLOOKUP(F210,B.BasicInfomation!$B:$O,12,0),"")</f>
        <v>350</v>
      </c>
      <c r="I210" s="1938">
        <f>IFERROR(VLOOKUP(F210,B.BasicInfomation!$B:$O,13,0),"")</f>
        <v>4</v>
      </c>
      <c r="J210" s="4700">
        <f>J124/$G210/'4. L PLAN'!F$109</f>
        <v>0</v>
      </c>
      <c r="K210" s="5370">
        <f>K124/$G210/'4. L PLAN'!G$109</f>
        <v>0</v>
      </c>
      <c r="L210" s="6184">
        <f>L124/$G210/'4. L PLAN'!H$109</f>
        <v>0</v>
      </c>
      <c r="M210" s="4700">
        <f>M124/$G210/'4. L PLAN'!I$109</f>
        <v>0</v>
      </c>
      <c r="N210" s="1857">
        <f>N124/$G210/'4. L PLAN'!J$109</f>
        <v>0</v>
      </c>
      <c r="O210" s="1878">
        <f>O124/$G210/'4. L PLAN'!K$109</f>
        <v>0</v>
      </c>
      <c r="P210" s="1879">
        <f>P124/$G210/'4. L PLAN'!L$109</f>
        <v>0</v>
      </c>
      <c r="Q210" s="1857">
        <f>Q124/$G210/'4. L PLAN'!M$109</f>
        <v>0</v>
      </c>
      <c r="R210" s="1855">
        <f>R124/$G210/'4. L PLAN'!N$109</f>
        <v>0</v>
      </c>
      <c r="S210" s="1880">
        <f>S124/$G210/'4. L PLAN'!O$109</f>
        <v>0</v>
      </c>
      <c r="T210" s="1857">
        <f>T124/$G210/'4. L PLAN'!P$109</f>
        <v>0</v>
      </c>
      <c r="U210" s="1855">
        <f>U124/$G210/'4. L PLAN'!Q$109</f>
        <v>0</v>
      </c>
      <c r="V210" s="1862">
        <f t="shared" si="134"/>
        <v>0</v>
      </c>
      <c r="W210" s="1826"/>
      <c r="Y210" s="1636"/>
      <c r="AA210" s="1658">
        <f t="shared" si="135"/>
        <v>6000</v>
      </c>
      <c r="AB210" s="1854">
        <f t="shared" si="136"/>
        <v>350</v>
      </c>
      <c r="AC210" s="1724">
        <f t="shared" si="137"/>
        <v>4</v>
      </c>
      <c r="AD210" s="1535" t="b">
        <f t="shared" si="138"/>
        <v>1</v>
      </c>
      <c r="AE210" s="1535" t="b">
        <f t="shared" si="139"/>
        <v>1</v>
      </c>
      <c r="AF210" s="1535" t="b">
        <f t="shared" si="140"/>
        <v>1</v>
      </c>
    </row>
    <row r="211" spans="1:32" ht="19.5" customHeight="1">
      <c r="A211" s="7225"/>
      <c r="B211" s="7200"/>
      <c r="C211" s="10"/>
      <c r="D211" s="10" t="s">
        <v>991</v>
      </c>
      <c r="E211" s="4045"/>
      <c r="F211" s="1658" t="str">
        <f t="shared" si="143"/>
        <v>FCM30-Upper Housing</v>
      </c>
      <c r="G211" s="1658">
        <f>IFERROR(VLOOKUP(F211,B.BasicInfomation!$B:$O,11,0),"")</f>
        <v>5500</v>
      </c>
      <c r="H211" s="1658">
        <f>IFERROR(VLOOKUP(F211,B.BasicInfomation!$B:$O,12,0),"")</f>
        <v>125</v>
      </c>
      <c r="I211" s="1938">
        <f>IFERROR(VLOOKUP(F211,B.BasicInfomation!$B:$O,13,0),"")</f>
        <v>2</v>
      </c>
      <c r="J211" s="4700">
        <f>J125/$G211/'4. L PLAN'!F$109</f>
        <v>0</v>
      </c>
      <c r="K211" s="5370">
        <f>K125/$G211/'4. L PLAN'!G$109</f>
        <v>0</v>
      </c>
      <c r="L211" s="6184">
        <f>L125/$G211/'4. L PLAN'!H$109</f>
        <v>0</v>
      </c>
      <c r="M211" s="4700">
        <f>M125/$G211/'4. L PLAN'!I$109</f>
        <v>0</v>
      </c>
      <c r="N211" s="1857">
        <f>N125/$G211/'4. L PLAN'!J$109</f>
        <v>0</v>
      </c>
      <c r="O211" s="1878">
        <f>O125/$G211/'4. L PLAN'!K$109</f>
        <v>0</v>
      </c>
      <c r="P211" s="1879">
        <f>P125/$G211/'4. L PLAN'!L$109</f>
        <v>0</v>
      </c>
      <c r="Q211" s="1857">
        <f>Q125/$G211/'4. L PLAN'!M$109</f>
        <v>0</v>
      </c>
      <c r="R211" s="1855">
        <f>R125/$G211/'4. L PLAN'!N$109</f>
        <v>0</v>
      </c>
      <c r="S211" s="1880">
        <f>S125/$G211/'4. L PLAN'!O$109</f>
        <v>0</v>
      </c>
      <c r="T211" s="1857">
        <f>T125/$G211/'4. L PLAN'!P$109</f>
        <v>0</v>
      </c>
      <c r="U211" s="1855">
        <f>U125/$G211/'4. L PLAN'!Q$109</f>
        <v>0</v>
      </c>
      <c r="V211" s="1862">
        <f t="shared" si="134"/>
        <v>0</v>
      </c>
      <c r="W211" s="1826"/>
      <c r="Y211" s="1636"/>
      <c r="AA211" s="1658">
        <f t="shared" ref="AA211:AA242" si="144">G211</f>
        <v>5500</v>
      </c>
      <c r="AB211" s="1854">
        <f t="shared" ref="AB211:AB242" si="145">H211</f>
        <v>125</v>
      </c>
      <c r="AC211" s="1724">
        <f t="shared" ref="AC211:AC242" si="146">I211</f>
        <v>2</v>
      </c>
      <c r="AD211" s="1535" t="b">
        <f t="shared" ref="AD211:AD242" si="147">AA211=G211</f>
        <v>1</v>
      </c>
      <c r="AE211" s="1535" t="b">
        <f t="shared" ref="AE211:AE242" si="148">AB211=H211</f>
        <v>1</v>
      </c>
      <c r="AF211" s="1535" t="b">
        <f t="shared" ref="AF211:AF242" si="149">AC211=I211</f>
        <v>1</v>
      </c>
    </row>
    <row r="212" spans="1:32" ht="19.5" customHeight="1">
      <c r="A212" s="7225"/>
      <c r="B212" s="7200"/>
      <c r="C212" s="10"/>
      <c r="D212" s="10"/>
      <c r="E212" s="4045">
        <v>21</v>
      </c>
      <c r="F212" s="1658" t="str">
        <f t="shared" si="143"/>
        <v>DCU15 Housing</v>
      </c>
      <c r="G212" s="1658">
        <f>IFERROR(VLOOKUP(F212,B.BasicInfomation!$B:$O,11,0),"")</f>
        <v>5500</v>
      </c>
      <c r="H212" s="1658">
        <f>IFERROR(VLOOKUP(F212,B.BasicInfomation!$B:$O,12,0),"")</f>
        <v>125</v>
      </c>
      <c r="I212" s="1938">
        <f>IFERROR(VLOOKUP(F212,B.BasicInfomation!$B:$O,13,0),"")</f>
        <v>2</v>
      </c>
      <c r="J212" s="4700">
        <f>J126/$G212/'4. L PLAN'!F$109</f>
        <v>0.19718902385548392</v>
      </c>
      <c r="K212" s="5370">
        <f>K126/$G212/'4. L PLAN'!G$109</f>
        <v>0.3761594965938852</v>
      </c>
      <c r="L212" s="6184">
        <f>L126/$G212/'4. L PLAN'!H$109</f>
        <v>0.55727332828723752</v>
      </c>
      <c r="M212" s="4700">
        <f>M126/$G212/'4. L PLAN'!I$109</f>
        <v>0.66319763289460265</v>
      </c>
      <c r="N212" s="1857">
        <f>N126/$G212/'4. L PLAN'!J$109</f>
        <v>0</v>
      </c>
      <c r="O212" s="1878">
        <f>O126/$G212/'4. L PLAN'!K$109</f>
        <v>0.1985668652335319</v>
      </c>
      <c r="P212" s="1879">
        <f>P126/$G212/'4. L PLAN'!L$109</f>
        <v>0.19121253689154921</v>
      </c>
      <c r="Q212" s="1857">
        <f>Q126/$G212/'4. L PLAN'!M$109</f>
        <v>0.1985668652335319</v>
      </c>
      <c r="R212" s="1855">
        <f>R126/$G212/'4. L PLAN'!N$109</f>
        <v>0.20809951365506921</v>
      </c>
      <c r="S212" s="1880">
        <f>S126/$G212/'4. L PLAN'!O$109</f>
        <v>0.18497734547117264</v>
      </c>
      <c r="T212" s="1857">
        <f>T126/$G212/'4. L PLAN'!P$109</f>
        <v>0.19977553310886645</v>
      </c>
      <c r="U212" s="1855">
        <f>U126/$G212/'4. L PLAN'!Q$109</f>
        <v>0.18497734547117264</v>
      </c>
      <c r="V212" s="1862">
        <f t="shared" si="134"/>
        <v>0.26333295722467526</v>
      </c>
      <c r="W212" s="1636"/>
      <c r="Y212" s="1893"/>
      <c r="AA212" s="1658">
        <f t="shared" si="144"/>
        <v>5500</v>
      </c>
      <c r="AB212" s="1854">
        <f t="shared" si="145"/>
        <v>125</v>
      </c>
      <c r="AC212" s="1724">
        <f t="shared" si="146"/>
        <v>2</v>
      </c>
      <c r="AD212" s="1535" t="b">
        <f t="shared" si="147"/>
        <v>1</v>
      </c>
      <c r="AE212" s="1535" t="b">
        <f t="shared" si="148"/>
        <v>1</v>
      </c>
      <c r="AF212" s="1535" t="b">
        <f t="shared" si="149"/>
        <v>1</v>
      </c>
    </row>
    <row r="213" spans="1:32" ht="19.5" customHeight="1">
      <c r="A213" s="7225"/>
      <c r="B213" s="7200"/>
      <c r="C213" s="10"/>
      <c r="D213" s="7" t="s">
        <v>865</v>
      </c>
      <c r="E213" s="4061">
        <v>22</v>
      </c>
      <c r="F213" s="1746" t="str">
        <f t="shared" si="143"/>
        <v>DCU15 Cover</v>
      </c>
      <c r="G213" s="1746">
        <f>IFERROR(VLOOKUP(F213,B.BasicInfomation!$B:$O,11,0),"")</f>
        <v>7300</v>
      </c>
      <c r="H213" s="1746">
        <f>IFERROR(VLOOKUP(F213,B.BasicInfomation!$B:$O,12,0),"")</f>
        <v>125</v>
      </c>
      <c r="I213" s="1954">
        <f>IFERROR(VLOOKUP(F213,B.BasicInfomation!$B:$O,13,0),"")</f>
        <v>2</v>
      </c>
      <c r="J213" s="4701">
        <f>J127/$G213/'4. L PLAN'!F$109</f>
        <v>0.14855189175121022</v>
      </c>
      <c r="K213" s="5374">
        <f>K127/$G213/'4. L PLAN'!G$109</f>
        <v>0.28337888046018905</v>
      </c>
      <c r="L213" s="6189">
        <f>L127/$G213/'4. L PLAN'!H$109</f>
        <v>0.41982056364472442</v>
      </c>
      <c r="M213" s="4701">
        <f>M127/$G213/'4. L PLAN'!I$109</f>
        <v>0.49966944944113895</v>
      </c>
      <c r="N213" s="1883">
        <f>N127/$G213/'4. L PLAN'!J$109</f>
        <v>0</v>
      </c>
      <c r="O213" s="1881">
        <f>O127/$G213/'4. L PLAN'!K$109</f>
        <v>0.14960517243622265</v>
      </c>
      <c r="P213" s="1882">
        <f>P127/$G213/'4. L PLAN'!L$109</f>
        <v>0.14406424012376998</v>
      </c>
      <c r="Q213" s="1883">
        <f>Q127/$G213/'4. L PLAN'!M$109</f>
        <v>0.14960517243622265</v>
      </c>
      <c r="R213" s="1884">
        <f>R127/$G213/'4. L PLAN'!N$109</f>
        <v>0.15678730480861378</v>
      </c>
      <c r="S213" s="1885">
        <f>S127/$G213/'4. L PLAN'!O$109</f>
        <v>0.13936649316321226</v>
      </c>
      <c r="T213" s="1883">
        <f>T127/$G213/'4. L PLAN'!P$109</f>
        <v>0.15051581261626923</v>
      </c>
      <c r="U213" s="1884">
        <f>U127/$G213/'4. L PLAN'!Q$109</f>
        <v>0.13936649316321226</v>
      </c>
      <c r="V213" s="1886">
        <f t="shared" si="134"/>
        <v>0.19839428950373214</v>
      </c>
      <c r="W213" s="1636"/>
      <c r="Y213" s="1893"/>
      <c r="AA213" s="1658">
        <f t="shared" si="144"/>
        <v>7300</v>
      </c>
      <c r="AB213" s="1854">
        <f t="shared" si="145"/>
        <v>125</v>
      </c>
      <c r="AC213" s="1724">
        <f t="shared" si="146"/>
        <v>2</v>
      </c>
      <c r="AD213" s="1535" t="b">
        <f t="shared" si="147"/>
        <v>1</v>
      </c>
      <c r="AE213" s="1535" t="b">
        <f t="shared" si="148"/>
        <v>1</v>
      </c>
      <c r="AF213" s="1535" t="b">
        <f t="shared" si="149"/>
        <v>1</v>
      </c>
    </row>
    <row r="214" spans="1:32" ht="19.5" customHeight="1">
      <c r="A214" s="7225"/>
      <c r="B214" s="7200"/>
      <c r="C214" s="10"/>
      <c r="D214" s="8"/>
      <c r="E214" s="4045"/>
      <c r="F214" s="1658" t="str">
        <f t="shared" si="143"/>
        <v>FCM30-Lower Housing</v>
      </c>
      <c r="G214" s="1658">
        <f>IFERROR(VLOOKUP(F214,B.BasicInfomation!$B:$O,11,0),"")</f>
        <v>5500</v>
      </c>
      <c r="H214" s="1658">
        <f>IFERROR(VLOOKUP(F214,B.BasicInfomation!$B:$O,12,0),"")</f>
        <v>125</v>
      </c>
      <c r="I214" s="1938">
        <f>IFERROR(VLOOKUP(F214,B.BasicInfomation!$B:$O,13,0),"")</f>
        <v>2</v>
      </c>
      <c r="J214" s="4700">
        <f>J128/$G214/'4. L PLAN'!F$109</f>
        <v>0</v>
      </c>
      <c r="K214" s="5370">
        <f>K128/$G214/'4. L PLAN'!G$109</f>
        <v>0</v>
      </c>
      <c r="L214" s="6184">
        <f>L128/$G214/'4. L PLAN'!H$109</f>
        <v>0</v>
      </c>
      <c r="M214" s="4700">
        <f>M128/$G214/'4. L PLAN'!I$109</f>
        <v>0</v>
      </c>
      <c r="N214" s="1857">
        <f>N128/$G214/'4. L PLAN'!J$109</f>
        <v>0</v>
      </c>
      <c r="O214" s="1878">
        <f>O128/$G214/'4. L PLAN'!K$109</f>
        <v>0</v>
      </c>
      <c r="P214" s="1879">
        <f>P128/$G214/'4. L PLAN'!L$109</f>
        <v>0</v>
      </c>
      <c r="Q214" s="1857">
        <f>Q128/$G214/'4. L PLAN'!M$109</f>
        <v>0</v>
      </c>
      <c r="R214" s="1855">
        <f>R128/$G214/'4. L PLAN'!N$109</f>
        <v>0</v>
      </c>
      <c r="S214" s="1880">
        <f>S128/$G214/'4. L PLAN'!O$109</f>
        <v>0</v>
      </c>
      <c r="T214" s="1857">
        <f>T128/$G214/'4. L PLAN'!P$109</f>
        <v>0</v>
      </c>
      <c r="U214" s="1855">
        <f>U128/$G214/'4. L PLAN'!Q$109</f>
        <v>0</v>
      </c>
      <c r="V214" s="1862">
        <f t="shared" si="134"/>
        <v>0</v>
      </c>
      <c r="W214" s="1636"/>
      <c r="Y214" s="1893"/>
      <c r="AA214" s="1658">
        <f t="shared" si="144"/>
        <v>5500</v>
      </c>
      <c r="AB214" s="1854">
        <f t="shared" si="145"/>
        <v>125</v>
      </c>
      <c r="AC214" s="1724">
        <f t="shared" si="146"/>
        <v>2</v>
      </c>
      <c r="AD214" s="1535" t="b">
        <f t="shared" si="147"/>
        <v>1</v>
      </c>
      <c r="AE214" s="1535" t="b">
        <f t="shared" si="148"/>
        <v>1</v>
      </c>
      <c r="AF214" s="1535" t="b">
        <f t="shared" si="149"/>
        <v>1</v>
      </c>
    </row>
    <row r="215" spans="1:32" ht="19.5" customHeight="1">
      <c r="A215" s="7225"/>
      <c r="B215" s="7200"/>
      <c r="C215" s="10"/>
      <c r="D215" s="1811"/>
      <c r="E215" s="4063"/>
      <c r="F215" s="1753" t="str">
        <f t="shared" si="143"/>
        <v>OMS Entry Vcsel Cover(250A)</v>
      </c>
      <c r="G215" s="1753">
        <f>IFERROR(VLOOKUP(F215,B.BasicInfomation!$B:$O,11,0),"")</f>
        <v>7200</v>
      </c>
      <c r="H215" s="1753">
        <f>IFERROR(VLOOKUP(F215,B.BasicInfomation!$B:$O,12,0),"")</f>
        <v>125</v>
      </c>
      <c r="I215" s="1946">
        <f>IFERROR(VLOOKUP(F215,B.BasicInfomation!$B:$O,13,0),"")</f>
        <v>2</v>
      </c>
      <c r="J215" s="4702">
        <f>J129/$G215/'4. L PLAN'!F$109</f>
        <v>0</v>
      </c>
      <c r="K215" s="5375">
        <f>K129/$G215/'4. L PLAN'!G$109</f>
        <v>0</v>
      </c>
      <c r="L215" s="6190">
        <f>L129/$G215/'4. L PLAN'!H$109</f>
        <v>0</v>
      </c>
      <c r="M215" s="4702">
        <f>M129/$G215/'4. L PLAN'!I$109</f>
        <v>0</v>
      </c>
      <c r="N215" s="1889">
        <f>N129/$G215/'4. L PLAN'!J$109</f>
        <v>0</v>
      </c>
      <c r="O215" s="1887">
        <f>O129/$G215/'4. L PLAN'!K$109</f>
        <v>0</v>
      </c>
      <c r="P215" s="1888">
        <f>P129/$G215/'4. L PLAN'!L$109</f>
        <v>0</v>
      </c>
      <c r="Q215" s="1889">
        <f>Q129/$G215/'4. L PLAN'!M$109</f>
        <v>0</v>
      </c>
      <c r="R215" s="1890">
        <f>R129/$G215/'4. L PLAN'!N$109</f>
        <v>0</v>
      </c>
      <c r="S215" s="1891">
        <f>S129/$G215/'4. L PLAN'!O$109</f>
        <v>0</v>
      </c>
      <c r="T215" s="1889">
        <f>T129/$G215/'4. L PLAN'!P$109</f>
        <v>0</v>
      </c>
      <c r="U215" s="1890">
        <f>U129/$G215/'4. L PLAN'!Q$109</f>
        <v>0</v>
      </c>
      <c r="V215" s="1892">
        <f t="shared" si="134"/>
        <v>0</v>
      </c>
      <c r="W215" s="1636"/>
      <c r="Y215" s="1893"/>
      <c r="AA215" s="1658">
        <f t="shared" si="144"/>
        <v>7200</v>
      </c>
      <c r="AB215" s="1854">
        <f t="shared" si="145"/>
        <v>125</v>
      </c>
      <c r="AC215" s="1724">
        <f t="shared" si="146"/>
        <v>2</v>
      </c>
      <c r="AD215" s="1535" t="b">
        <f t="shared" si="147"/>
        <v>1</v>
      </c>
      <c r="AE215" s="1535" t="b">
        <f t="shared" si="148"/>
        <v>1</v>
      </c>
      <c r="AF215" s="1535" t="b">
        <f t="shared" si="149"/>
        <v>1</v>
      </c>
    </row>
    <row r="216" spans="1:32" ht="19.5" customHeight="1">
      <c r="A216" s="7225"/>
      <c r="B216" s="7200"/>
      <c r="C216" s="10"/>
      <c r="D216" s="8"/>
      <c r="E216" s="78"/>
      <c r="F216" s="1658" t="str">
        <f t="shared" si="143"/>
        <v>HKMC Ikc Camera Base</v>
      </c>
      <c r="G216" s="1658">
        <f>IFERROR(VLOOKUP(F216,B.BasicInfomation!$B:$O,11,0),"")</f>
        <v>7200</v>
      </c>
      <c r="H216" s="1658">
        <f>IFERROR(VLOOKUP(F216,B.BasicInfomation!$B:$O,12,0),"")</f>
        <v>125</v>
      </c>
      <c r="I216" s="1938">
        <f>IFERROR(VLOOKUP(F216,B.BasicInfomation!$B:$O,13,0),"")</f>
        <v>2</v>
      </c>
      <c r="J216" s="4700">
        <f>J130/$G216/'4. L PLAN'!F$109</f>
        <v>1.3282513282513285E-2</v>
      </c>
      <c r="K216" s="5370">
        <f>K130/$G216/'4. L PLAN'!G$109</f>
        <v>0</v>
      </c>
      <c r="L216" s="6184">
        <f>L130/$G216/'4. L PLAN'!H$109</f>
        <v>1.3715638715638713E-3</v>
      </c>
      <c r="M216" s="4700">
        <f>M130/$G216/'4. L PLAN'!I$109</f>
        <v>1.051240634573968E-2</v>
      </c>
      <c r="N216" s="1857">
        <f>N130/$G216/'4. L PLAN'!J$109</f>
        <v>0</v>
      </c>
      <c r="O216" s="1878">
        <f>O130/$G216/'4. L PLAN'!K$109</f>
        <v>1.2889492056158722E-2</v>
      </c>
      <c r="P216" s="1879">
        <f>P130/$G216/'4. L PLAN'!L$109</f>
        <v>0</v>
      </c>
      <c r="Q216" s="1857">
        <f>Q130/$G216/'4. L PLAN'!M$109</f>
        <v>0</v>
      </c>
      <c r="R216" s="1855">
        <f>R130/$G216/'4. L PLAN'!N$109</f>
        <v>0</v>
      </c>
      <c r="S216" s="1880">
        <f>S130/$G216/'4. L PLAN'!O$109</f>
        <v>0</v>
      </c>
      <c r="T216" s="1857">
        <f>T130/$G216/'4. L PLAN'!P$109</f>
        <v>0</v>
      </c>
      <c r="U216" s="1855">
        <f>U130/$G216/'4. L PLAN'!Q$109</f>
        <v>0</v>
      </c>
      <c r="V216" s="1862">
        <f t="shared" si="134"/>
        <v>3.1713312963312971E-3</v>
      </c>
      <c r="W216" s="1636"/>
      <c r="Y216" s="1893"/>
      <c r="AA216" s="1658">
        <f t="shared" si="144"/>
        <v>7200</v>
      </c>
      <c r="AB216" s="1854">
        <f t="shared" si="145"/>
        <v>125</v>
      </c>
      <c r="AC216" s="1724">
        <f t="shared" si="146"/>
        <v>2</v>
      </c>
      <c r="AD216" s="1535" t="b">
        <f t="shared" si="147"/>
        <v>1</v>
      </c>
      <c r="AE216" s="1535" t="b">
        <f t="shared" si="148"/>
        <v>1</v>
      </c>
      <c r="AF216" s="1535" t="b">
        <f t="shared" si="149"/>
        <v>1</v>
      </c>
    </row>
    <row r="217" spans="1:32" ht="19.5" customHeight="1">
      <c r="A217" s="7225"/>
      <c r="B217" s="7200"/>
      <c r="C217" s="10"/>
      <c r="D217" s="8" t="s">
        <v>868</v>
      </c>
      <c r="E217" s="78"/>
      <c r="F217" s="1658" t="str">
        <f t="shared" si="143"/>
        <v>OMS Entry Lens Holder (203A)</v>
      </c>
      <c r="G217" s="1658">
        <f>IFERROR(VLOOKUP(F217,B.BasicInfomation!$B:$O,11,0),"")</f>
        <v>7200</v>
      </c>
      <c r="H217" s="1658">
        <f>IFERROR(VLOOKUP(F217,B.BasicInfomation!$B:$O,12,0),"")</f>
        <v>125</v>
      </c>
      <c r="I217" s="1938">
        <f>IFERROR(VLOOKUP(F217,B.BasicInfomation!$B:$O,13,0),"")</f>
        <v>2</v>
      </c>
      <c r="J217" s="4700">
        <f>J131/$G217/'4. L PLAN'!F$109</f>
        <v>0</v>
      </c>
      <c r="K217" s="5370">
        <f>K131/$G217/'4. L PLAN'!G$109</f>
        <v>0</v>
      </c>
      <c r="L217" s="6184">
        <f>L131/$G217/'4. L PLAN'!H$109</f>
        <v>0</v>
      </c>
      <c r="M217" s="4700">
        <f>M131/$G217/'4. L PLAN'!I$109</f>
        <v>0</v>
      </c>
      <c r="N217" s="1857">
        <f>N131/$G217/'4. L PLAN'!J$109</f>
        <v>0</v>
      </c>
      <c r="O217" s="1878">
        <f>O131/$G217/'4. L PLAN'!K$109</f>
        <v>0</v>
      </c>
      <c r="P217" s="1879">
        <f>P131/$G217/'4. L PLAN'!L$109</f>
        <v>0</v>
      </c>
      <c r="Q217" s="1857">
        <f>Q131/$G217/'4. L PLAN'!M$109</f>
        <v>0</v>
      </c>
      <c r="R217" s="1855">
        <f>R131/$G217/'4. L PLAN'!N$109</f>
        <v>0</v>
      </c>
      <c r="S217" s="1880">
        <f>S131/$G217/'4. L PLAN'!O$109</f>
        <v>0</v>
      </c>
      <c r="T217" s="1857">
        <f>T131/$G217/'4. L PLAN'!P$109</f>
        <v>0</v>
      </c>
      <c r="U217" s="1855">
        <f>U131/$G217/'4. L PLAN'!Q$109</f>
        <v>0</v>
      </c>
      <c r="V217" s="1862">
        <f t="shared" si="134"/>
        <v>0</v>
      </c>
      <c r="W217" s="1636"/>
      <c r="Y217" s="1636"/>
      <c r="AA217" s="1658">
        <f t="shared" si="144"/>
        <v>7200</v>
      </c>
      <c r="AB217" s="1854">
        <f t="shared" si="145"/>
        <v>125</v>
      </c>
      <c r="AC217" s="1724">
        <f t="shared" si="146"/>
        <v>2</v>
      </c>
      <c r="AD217" s="1535" t="b">
        <f t="shared" si="147"/>
        <v>1</v>
      </c>
      <c r="AE217" s="1535" t="b">
        <f t="shared" si="148"/>
        <v>1</v>
      </c>
      <c r="AF217" s="1535" t="b">
        <f t="shared" si="149"/>
        <v>1</v>
      </c>
    </row>
    <row r="218" spans="1:32" ht="19.5" customHeight="1">
      <c r="A218" s="7225"/>
      <c r="B218" s="7200"/>
      <c r="C218" s="10"/>
      <c r="D218" s="10"/>
      <c r="E218" s="4045"/>
      <c r="F218" s="1658" t="str">
        <f t="shared" si="143"/>
        <v>OMS Front Lens Holder (207A)</v>
      </c>
      <c r="G218" s="1658">
        <f>IFERROR(VLOOKUP(F218,B.BasicInfomation!$B:$O,11,0),"")</f>
        <v>7200</v>
      </c>
      <c r="H218" s="1658">
        <f>IFERROR(VLOOKUP(F218,B.BasicInfomation!$B:$O,12,0),"")</f>
        <v>125</v>
      </c>
      <c r="I218" s="1938">
        <f>IFERROR(VLOOKUP(F218,B.BasicInfomation!$B:$O,13,0),"")</f>
        <v>2</v>
      </c>
      <c r="J218" s="4700">
        <f>J132/$G218/'4. L PLAN'!F$109</f>
        <v>0</v>
      </c>
      <c r="K218" s="5370">
        <f>K132/$G218/'4. L PLAN'!G$109</f>
        <v>0</v>
      </c>
      <c r="L218" s="6184">
        <f>L132/$G218/'4. L PLAN'!H$109</f>
        <v>0</v>
      </c>
      <c r="M218" s="4700">
        <f>M132/$G218/'4. L PLAN'!I$109</f>
        <v>0</v>
      </c>
      <c r="N218" s="1857">
        <f>N132/$G218/'4. L PLAN'!J$109</f>
        <v>0.53333333333333333</v>
      </c>
      <c r="O218" s="1878">
        <f>O132/$G218/'4. L PLAN'!K$109</f>
        <v>0.65566635011079455</v>
      </c>
      <c r="P218" s="1879">
        <f>P132/$G218/'4. L PLAN'!L$109</f>
        <v>0.63138241121780225</v>
      </c>
      <c r="Q218" s="1857">
        <f>Q132/$G218/'4. L PLAN'!M$109</f>
        <v>0.65566635011079455</v>
      </c>
      <c r="R218" s="1855">
        <f>R132/$G218/'4. L PLAN'!N$109</f>
        <v>0.71030521262002744</v>
      </c>
      <c r="S218" s="1880">
        <f>S132/$G218/'4. L PLAN'!O$109</f>
        <v>0.63138241121780225</v>
      </c>
      <c r="T218" s="1857">
        <f>T132/$G218/'4. L PLAN'!P$109</f>
        <v>0.68189300411522635</v>
      </c>
      <c r="U218" s="1855">
        <f>U132/$G218/'4. L PLAN'!Q$109</f>
        <v>0.63138241121780225</v>
      </c>
      <c r="V218" s="1862">
        <f t="shared" si="134"/>
        <v>0.42758429032863193</v>
      </c>
      <c r="W218" s="1636"/>
      <c r="Y218" s="1636"/>
      <c r="AA218" s="1658">
        <f t="shared" si="144"/>
        <v>7200</v>
      </c>
      <c r="AB218" s="1854">
        <f t="shared" si="145"/>
        <v>125</v>
      </c>
      <c r="AC218" s="1724">
        <f t="shared" si="146"/>
        <v>2</v>
      </c>
      <c r="AD218" s="1535" t="b">
        <f t="shared" si="147"/>
        <v>1</v>
      </c>
      <c r="AE218" s="1535" t="b">
        <f t="shared" si="148"/>
        <v>1</v>
      </c>
      <c r="AF218" s="1535" t="b">
        <f t="shared" si="149"/>
        <v>1</v>
      </c>
    </row>
    <row r="219" spans="1:32" ht="19.5" customHeight="1">
      <c r="A219" s="7225"/>
      <c r="B219" s="7200"/>
      <c r="C219" s="10"/>
      <c r="D219" s="10"/>
      <c r="E219" s="4045">
        <v>23</v>
      </c>
      <c r="F219" s="1658" t="str">
        <f t="shared" si="143"/>
        <v>MPC5.5 Cover Lens</v>
      </c>
      <c r="G219" s="1658">
        <f>IFERROR(VLOOKUP(F219,B.BasicInfomation!$B:$O,11,0),"")</f>
        <v>15000</v>
      </c>
      <c r="H219" s="1658">
        <f>IFERROR(VLOOKUP(F219,B.BasicInfomation!$B:$O,12,0),"")</f>
        <v>125</v>
      </c>
      <c r="I219" s="1938">
        <f>IFERROR(VLOOKUP(F219,B.BasicInfomation!$B:$O,13,0),"")</f>
        <v>2</v>
      </c>
      <c r="J219" s="4700">
        <f>J133/$G219/'4. L PLAN'!F$109</f>
        <v>0.5191389816121611</v>
      </c>
      <c r="K219" s="5370">
        <f>K133/$G219/'4. L PLAN'!G$109</f>
        <v>0.46765727008659591</v>
      </c>
      <c r="L219" s="6184">
        <f>L133/$G219/'4. L PLAN'!H$109</f>
        <v>0.5191389816121611</v>
      </c>
      <c r="M219" s="4700">
        <f>M133/$G219/'4. L PLAN'!I$109</f>
        <v>0.50487852417477841</v>
      </c>
      <c r="N219" s="1857">
        <f>N133/$G219/'4. L PLAN'!J$109</f>
        <v>0.2399182746878547</v>
      </c>
      <c r="O219" s="1878">
        <f>O133/$G219/'4. L PLAN'!K$109</f>
        <v>0.29494938654274638</v>
      </c>
      <c r="P219" s="1879">
        <f>P133/$G219/'4. L PLAN'!L$109</f>
        <v>0.28402533518931133</v>
      </c>
      <c r="Q219" s="1857">
        <f>Q133/$G219/'4. L PLAN'!M$109</f>
        <v>0.29494938654274638</v>
      </c>
      <c r="R219" s="1855">
        <f>R133/$G219/'4. L PLAN'!N$109</f>
        <v>0.31952850208797523</v>
      </c>
      <c r="S219" s="1880">
        <f>S133/$G219/'4. L PLAN'!O$109</f>
        <v>0.28402533518931133</v>
      </c>
      <c r="T219" s="1857">
        <f>T133/$G219/'4. L PLAN'!P$109</f>
        <v>0.30674736200445624</v>
      </c>
      <c r="U219" s="1855">
        <f>U133/$G219/'4. L PLAN'!Q$109</f>
        <v>0.28402533518931133</v>
      </c>
      <c r="V219" s="1862">
        <f t="shared" si="134"/>
        <v>0.35991522290995076</v>
      </c>
      <c r="W219" s="1636"/>
      <c r="Y219" s="4"/>
      <c r="AA219" s="1658">
        <f t="shared" si="144"/>
        <v>15000</v>
      </c>
      <c r="AB219" s="1854">
        <f t="shared" si="145"/>
        <v>125</v>
      </c>
      <c r="AC219" s="1724">
        <f t="shared" si="146"/>
        <v>2</v>
      </c>
      <c r="AD219" s="1535" t="b">
        <f t="shared" si="147"/>
        <v>1</v>
      </c>
      <c r="AE219" s="1535" t="b">
        <f t="shared" si="148"/>
        <v>1</v>
      </c>
      <c r="AF219" s="1535" t="b">
        <f t="shared" si="149"/>
        <v>1</v>
      </c>
    </row>
    <row r="220" spans="1:32" ht="19.5" customHeight="1">
      <c r="A220" s="7225"/>
      <c r="B220" s="7200"/>
      <c r="C220" s="10"/>
      <c r="D220" s="10"/>
      <c r="E220" s="4045"/>
      <c r="F220" s="1658" t="str">
        <f t="shared" si="143"/>
        <v xml:space="preserve">FCM30 Lens Holder </v>
      </c>
      <c r="G220" s="1658">
        <f>IFERROR(VLOOKUP(F220,B.BasicInfomation!$B:$O,11,0),"")</f>
        <v>7200</v>
      </c>
      <c r="H220" s="1658">
        <f>IFERROR(VLOOKUP(F220,B.BasicInfomation!$B:$O,12,0),"")</f>
        <v>125</v>
      </c>
      <c r="I220" s="1938">
        <f>IFERROR(VLOOKUP(F220,B.BasicInfomation!$B:$O,13,0),"")</f>
        <v>2</v>
      </c>
      <c r="J220" s="4700">
        <f>J134/$G220/'4. L PLAN'!F$109</f>
        <v>0</v>
      </c>
      <c r="K220" s="5370">
        <f>K134/$G220/'4. L PLAN'!G$109</f>
        <v>0</v>
      </c>
      <c r="L220" s="6184">
        <f>L134/$G220/'4. L PLAN'!H$109</f>
        <v>0</v>
      </c>
      <c r="M220" s="4700">
        <f>M134/$G220/'4. L PLAN'!I$109</f>
        <v>0</v>
      </c>
      <c r="N220" s="1857">
        <f>N134/$G220/'4. L PLAN'!J$109</f>
        <v>0</v>
      </c>
      <c r="O220" s="1878">
        <f>O134/$G220/'4. L PLAN'!K$109</f>
        <v>0</v>
      </c>
      <c r="P220" s="1879">
        <f>P134/$G220/'4. L PLAN'!L$109</f>
        <v>0</v>
      </c>
      <c r="Q220" s="1857">
        <f>Q134/$G220/'4. L PLAN'!M$109</f>
        <v>0</v>
      </c>
      <c r="R220" s="1855">
        <f>R134/$G220/'4. L PLAN'!N$109</f>
        <v>0</v>
      </c>
      <c r="S220" s="1880">
        <f>S134/$G220/'4. L PLAN'!O$109</f>
        <v>0</v>
      </c>
      <c r="T220" s="1857">
        <f>T134/$G220/'4. L PLAN'!P$109</f>
        <v>0</v>
      </c>
      <c r="U220" s="1855">
        <f>U134/$G220/'4. L PLAN'!Q$109</f>
        <v>0</v>
      </c>
      <c r="V220" s="1862">
        <f t="shared" si="134"/>
        <v>0</v>
      </c>
      <c r="W220" s="1636"/>
      <c r="Y220" s="4"/>
      <c r="AA220" s="1658">
        <f t="shared" si="144"/>
        <v>7200</v>
      </c>
      <c r="AB220" s="1854">
        <f t="shared" si="145"/>
        <v>125</v>
      </c>
      <c r="AC220" s="1724">
        <f t="shared" si="146"/>
        <v>2</v>
      </c>
      <c r="AD220" s="1535" t="b">
        <f t="shared" si="147"/>
        <v>1</v>
      </c>
      <c r="AE220" s="1535" t="b">
        <f t="shared" si="148"/>
        <v>1</v>
      </c>
      <c r="AF220" s="1535" t="b">
        <f t="shared" si="149"/>
        <v>1</v>
      </c>
    </row>
    <row r="221" spans="1:32" ht="19.5" customHeight="1">
      <c r="A221" s="7225"/>
      <c r="B221" s="7200"/>
      <c r="C221" s="1582" t="s">
        <v>398</v>
      </c>
      <c r="D221" s="1583" t="s">
        <v>848</v>
      </c>
      <c r="E221" s="4064">
        <v>24</v>
      </c>
      <c r="F221" s="1735" t="str">
        <f t="shared" si="143"/>
        <v>NX4 HSG</v>
      </c>
      <c r="G221" s="1735">
        <f>IFERROR(VLOOKUP(F221,B.BasicInfomation!$B:$O,11,0),"")</f>
        <v>1700</v>
      </c>
      <c r="H221" s="1735">
        <f>IFERROR(VLOOKUP(F221,B.BasicInfomation!$B:$O,12,0),"")</f>
        <v>350</v>
      </c>
      <c r="I221" s="2786">
        <f>IFERROR(VLOOKUP(F221,B.BasicInfomation!$B:$O,13,0),"")</f>
        <v>1</v>
      </c>
      <c r="J221" s="4699">
        <f>J135/$G221/'4. L PLAN'!F$109</f>
        <v>0.95903071639194171</v>
      </c>
      <c r="K221" s="5373">
        <f>K135/$G221/'4. L PLAN'!G$109</f>
        <v>2.8692475841596941</v>
      </c>
      <c r="L221" s="6188">
        <f>L135/$G221/'4. L PLAN'!H$109</f>
        <v>1.6866041777059932</v>
      </c>
      <c r="M221" s="4699">
        <f>M135/$G221/'4. L PLAN'!I$109</f>
        <v>1.5869398707695401</v>
      </c>
      <c r="N221" s="1873">
        <f>N135/$G221/'4. L PLAN'!J$109</f>
        <v>0</v>
      </c>
      <c r="O221" s="1871">
        <f>O135/$G221/'4. L PLAN'!K$109</f>
        <v>0</v>
      </c>
      <c r="P221" s="1872">
        <f>P135/$G221/'4. L PLAN'!L$109</f>
        <v>0</v>
      </c>
      <c r="Q221" s="1873">
        <f>Q135/$G221/'4. L PLAN'!M$109</f>
        <v>0</v>
      </c>
      <c r="R221" s="1874">
        <f>R135/$G221/'4. L PLAN'!N$109</f>
        <v>1.6891426050026199</v>
      </c>
      <c r="S221" s="1894">
        <f>S135/$G221/'4. L PLAN'!O$109</f>
        <v>1.5014600933356621</v>
      </c>
      <c r="T221" s="1873">
        <f>T135/$G221/'4. L PLAN'!P$109</f>
        <v>1.2244560271365932</v>
      </c>
      <c r="U221" s="1874">
        <f>U135/$G221/'4. L PLAN'!Q$109</f>
        <v>1.1337555806820308</v>
      </c>
      <c r="V221" s="1877">
        <f t="shared" si="134"/>
        <v>1.0542197212653397</v>
      </c>
      <c r="W221" s="1895"/>
      <c r="Y221" s="1637"/>
      <c r="AA221" s="1658">
        <f t="shared" si="144"/>
        <v>1700</v>
      </c>
      <c r="AB221" s="1854">
        <f t="shared" si="145"/>
        <v>350</v>
      </c>
      <c r="AC221" s="1724">
        <f t="shared" si="146"/>
        <v>1</v>
      </c>
      <c r="AD221" s="1535" t="b">
        <f t="shared" si="147"/>
        <v>1</v>
      </c>
      <c r="AE221" s="1535" t="b">
        <f t="shared" si="148"/>
        <v>1</v>
      </c>
      <c r="AF221" s="1535" t="b">
        <f t="shared" si="149"/>
        <v>1</v>
      </c>
    </row>
    <row r="222" spans="1:32" ht="19.5" customHeight="1">
      <c r="A222" s="7225"/>
      <c r="B222" s="7200"/>
      <c r="C222" s="10"/>
      <c r="D222" s="1588"/>
      <c r="E222" s="4065">
        <v>25</v>
      </c>
      <c r="F222" s="1658" t="str">
        <f t="shared" ref="F222:F252" si="150">F136</f>
        <v>IMEB2 Housing</v>
      </c>
      <c r="G222" s="1658">
        <f>IFERROR(VLOOKUP(F222,B.BasicInfomation!$B:$O,11,0),"")</f>
        <v>3500</v>
      </c>
      <c r="H222" s="1658">
        <f>IFERROR(VLOOKUP(F222,B.BasicInfomation!$B:$O,12,0),"")</f>
        <v>350</v>
      </c>
      <c r="I222" s="1938">
        <f>IFERROR(VLOOKUP(F222,B.BasicInfomation!$B:$O,13,0),"")</f>
        <v>1</v>
      </c>
      <c r="J222" s="4695">
        <f>J136/$G222/'4. L PLAN'!F$109</f>
        <v>0.65712758736457211</v>
      </c>
      <c r="K222" s="5370">
        <f>K136/$G222/'4. L PLAN'!G$109</f>
        <v>0.70744673618947918</v>
      </c>
      <c r="L222" s="6184">
        <f>L136/$G222/'4. L PLAN'!H$109</f>
        <v>0.70317956527150394</v>
      </c>
      <c r="M222" s="4700">
        <f>M136/$G222/'4. L PLAN'!I$109</f>
        <v>0.73616228636691194</v>
      </c>
      <c r="N222" s="1857">
        <f>N136/$G222/'4. L PLAN'!J$109</f>
        <v>0.68269915294565509</v>
      </c>
      <c r="O222" s="1878">
        <f>O136/$G222/'4. L PLAN'!K$109</f>
        <v>0.68104047850883298</v>
      </c>
      <c r="P222" s="1879">
        <f>P136/$G222/'4. L PLAN'!L$109</f>
        <v>0.65486422729742</v>
      </c>
      <c r="Q222" s="1857">
        <f>Q136/$G222/'4. L PLAN'!M$109</f>
        <v>0.64913988964621872</v>
      </c>
      <c r="R222" s="1855">
        <f>R136/$G222/'4. L PLAN'!N$109</f>
        <v>0.80369700622865181</v>
      </c>
      <c r="S222" s="1880">
        <f>S136/$G222/'4. L PLAN'!O$109</f>
        <v>0.59533111572492725</v>
      </c>
      <c r="T222" s="1857">
        <f>T136/$G222/'4. L PLAN'!P$109</f>
        <v>0.66706851516978105</v>
      </c>
      <c r="U222" s="1855">
        <f>U136/$G222/'4. L PLAN'!Q$109</f>
        <v>0.6176560325646121</v>
      </c>
      <c r="V222" s="1862">
        <f t="shared" si="134"/>
        <v>0.6796177161065472</v>
      </c>
      <c r="W222" s="1895"/>
      <c r="Y222" s="4"/>
      <c r="AA222" s="1658">
        <f t="shared" si="144"/>
        <v>3500</v>
      </c>
      <c r="AB222" s="1854">
        <f t="shared" si="145"/>
        <v>350</v>
      </c>
      <c r="AC222" s="1724">
        <f t="shared" si="146"/>
        <v>1</v>
      </c>
      <c r="AD222" s="1535" t="b">
        <f t="shared" si="147"/>
        <v>1</v>
      </c>
      <c r="AE222" s="1535" t="b">
        <f t="shared" si="148"/>
        <v>1</v>
      </c>
      <c r="AF222" s="1535" t="b">
        <f t="shared" si="149"/>
        <v>1</v>
      </c>
    </row>
    <row r="223" spans="1:32" ht="19.5" customHeight="1">
      <c r="A223" s="7225"/>
      <c r="B223" s="7200"/>
      <c r="C223" s="10"/>
      <c r="D223" s="1588"/>
      <c r="E223" s="4065">
        <v>26</v>
      </c>
      <c r="F223" s="1658" t="str">
        <f t="shared" si="150"/>
        <v>J100 Housing</v>
      </c>
      <c r="G223" s="1658">
        <f>IFERROR(VLOOKUP(F223,B.BasicInfomation!$B:$O,11,0),"")</f>
        <v>1700</v>
      </c>
      <c r="H223" s="1658">
        <f>IFERROR(VLOOKUP(F223,B.BasicInfomation!$B:$O,12,0),"")</f>
        <v>350</v>
      </c>
      <c r="I223" s="1938">
        <f>IFERROR(VLOOKUP(F223,B.BasicInfomation!$B:$O,13,0),"")</f>
        <v>1</v>
      </c>
      <c r="J223" s="4700">
        <f>J137/$G223/'4. L PLAN'!F$109</f>
        <v>0.16037573744200698</v>
      </c>
      <c r="K223" s="5370">
        <f>K137/$G223/'4. L PLAN'!G$109</f>
        <v>0.27338255977496478</v>
      </c>
      <c r="L223" s="6184">
        <f>L137/$G223/'4. L PLAN'!H$109</f>
        <v>0</v>
      </c>
      <c r="M223" s="4700">
        <f>M137/$G223/'4. L PLAN'!I$109</f>
        <v>0.39361096695422831</v>
      </c>
      <c r="N223" s="1857">
        <f>N137/$G223/'4. L PLAN'!J$109</f>
        <v>0.20683378836766772</v>
      </c>
      <c r="O223" s="1878">
        <f>O137/$G223/'4. L PLAN'!K$109</f>
        <v>0.20683378836766775</v>
      </c>
      <c r="P223" s="1879">
        <f>P137/$G223/'4. L PLAN'!L$109</f>
        <v>0.19917327768738374</v>
      </c>
      <c r="Q223" s="1857">
        <f>Q137/$G223/'4. L PLAN'!M$109</f>
        <v>0.20683378836766775</v>
      </c>
      <c r="R223" s="1855">
        <f>R137/$G223/'4. L PLAN'!N$109</f>
        <v>0.22406993739830672</v>
      </c>
      <c r="S223" s="1880">
        <f>S137/$G223/'4. L PLAN'!O$109</f>
        <v>0.26198946526571243</v>
      </c>
      <c r="T223" s="1857">
        <f>T137/$G223/'4. L PLAN'!P$109</f>
        <v>0.18863241499131297</v>
      </c>
      <c r="U223" s="1855">
        <f>U137/$G223/'4. L PLAN'!Q$109</f>
        <v>0.174659643510475</v>
      </c>
      <c r="V223" s="1862">
        <f t="shared" si="134"/>
        <v>0.20803294734394948</v>
      </c>
      <c r="W223" s="1896"/>
      <c r="Y223" s="4"/>
      <c r="AA223" s="1658">
        <f t="shared" si="144"/>
        <v>1700</v>
      </c>
      <c r="AB223" s="1854">
        <f t="shared" si="145"/>
        <v>350</v>
      </c>
      <c r="AC223" s="1724">
        <f t="shared" si="146"/>
        <v>1</v>
      </c>
      <c r="AD223" s="1535" t="b">
        <f t="shared" si="147"/>
        <v>1</v>
      </c>
      <c r="AE223" s="1535" t="b">
        <f t="shared" si="148"/>
        <v>1</v>
      </c>
      <c r="AF223" s="1535" t="b">
        <f t="shared" si="149"/>
        <v>1</v>
      </c>
    </row>
    <row r="224" spans="1:32" ht="19.5" customHeight="1">
      <c r="A224" s="7225"/>
      <c r="B224" s="7200"/>
      <c r="C224" s="10"/>
      <c r="D224" s="1588"/>
      <c r="E224" s="4065"/>
      <c r="F224" s="1658" t="str">
        <f t="shared" si="150"/>
        <v>BENZ R-EPS HSG (Anodizing)</v>
      </c>
      <c r="G224" s="1658">
        <f>IFERROR(VLOOKUP(F224,B.BasicInfomation!$B:$O,11,0),"")</f>
        <v>1700</v>
      </c>
      <c r="H224" s="1658">
        <f>IFERROR(VLOOKUP(F224,B.BasicInfomation!$B:$O,12,0),"")</f>
        <v>350</v>
      </c>
      <c r="I224" s="1938">
        <f>IFERROR(VLOOKUP(F224,B.BasicInfomation!$B:$O,13,0),"")</f>
        <v>1</v>
      </c>
      <c r="J224" s="4700">
        <f>J138/$G224/'4. L PLAN'!F$109</f>
        <v>0</v>
      </c>
      <c r="K224" s="5370">
        <f>K138/$G224/'4. L PLAN'!G$109</f>
        <v>0</v>
      </c>
      <c r="L224" s="6184">
        <f>L138/$G224/'4. L PLAN'!H$109</f>
        <v>0</v>
      </c>
      <c r="M224" s="4700">
        <f>M138/$G224/'4. L PLAN'!I$109</f>
        <v>0</v>
      </c>
      <c r="N224" s="1857">
        <f>N138/$G224/'4. L PLAN'!J$109</f>
        <v>0</v>
      </c>
      <c r="O224" s="1878">
        <f>O138/$G224/'4. L PLAN'!K$109</f>
        <v>0</v>
      </c>
      <c r="P224" s="1879">
        <f>P138/$G224/'4. L PLAN'!L$109</f>
        <v>0</v>
      </c>
      <c r="Q224" s="1857">
        <f>Q138/$G224/'4. L PLAN'!M$109</f>
        <v>0</v>
      </c>
      <c r="R224" s="1855">
        <f>R138/$G224/'4. L PLAN'!N$109</f>
        <v>0</v>
      </c>
      <c r="S224" s="1880">
        <f>S138/$G224/'4. L PLAN'!O$109</f>
        <v>0</v>
      </c>
      <c r="T224" s="1857">
        <f>T138/$G224/'4. L PLAN'!P$109</f>
        <v>0</v>
      </c>
      <c r="U224" s="1855">
        <f>U138/$G224/'4. L PLAN'!Q$109</f>
        <v>0</v>
      </c>
      <c r="V224" s="1862">
        <f t="shared" si="134"/>
        <v>0</v>
      </c>
      <c r="W224" s="1896"/>
      <c r="Y224" s="4"/>
      <c r="AA224" s="1658">
        <f t="shared" si="144"/>
        <v>1700</v>
      </c>
      <c r="AB224" s="1854">
        <f t="shared" si="145"/>
        <v>350</v>
      </c>
      <c r="AC224" s="1724">
        <f t="shared" si="146"/>
        <v>1</v>
      </c>
      <c r="AD224" s="1535" t="b">
        <f t="shared" si="147"/>
        <v>1</v>
      </c>
      <c r="AE224" s="1535" t="b">
        <f t="shared" si="148"/>
        <v>1</v>
      </c>
      <c r="AF224" s="1535" t="b">
        <f t="shared" si="149"/>
        <v>1</v>
      </c>
    </row>
    <row r="225" spans="1:32" ht="19.5" customHeight="1">
      <c r="A225" s="7225"/>
      <c r="B225" s="7200"/>
      <c r="C225" s="10"/>
      <c r="D225" s="1588"/>
      <c r="E225" s="4065"/>
      <c r="F225" s="1658" t="str">
        <f t="shared" si="150"/>
        <v>NE2 R-EPS HSG</v>
      </c>
      <c r="G225" s="1658">
        <f>IFERROR(VLOOKUP(F225,B.BasicInfomation!$B:$O,11,0),"")</f>
        <v>1700</v>
      </c>
      <c r="H225" s="1658">
        <f>IFERROR(VLOOKUP(F225,B.BasicInfomation!$B:$O,12,0),"")</f>
        <v>350</v>
      </c>
      <c r="I225" s="1938">
        <f>IFERROR(VLOOKUP(F225,B.BasicInfomation!$B:$O,13,0),"")</f>
        <v>1</v>
      </c>
      <c r="J225" s="4700">
        <f>J139/$G225/'4. L PLAN'!F$109</f>
        <v>0</v>
      </c>
      <c r="K225" s="5370">
        <f>K139/$G225/'4. L PLAN'!G$109</f>
        <v>0</v>
      </c>
      <c r="L225" s="6184">
        <f>L139/$G225/'4. L PLAN'!H$109</f>
        <v>0</v>
      </c>
      <c r="M225" s="4700">
        <f>M139/$G225/'4. L PLAN'!I$109</f>
        <v>0</v>
      </c>
      <c r="N225" s="1857">
        <f>N139/$G225/'4. L PLAN'!J$109</f>
        <v>0</v>
      </c>
      <c r="O225" s="1878">
        <f>O139/$G225/'4. L PLAN'!K$109</f>
        <v>0</v>
      </c>
      <c r="P225" s="1879">
        <f>P139/$G225/'4. L PLAN'!L$109</f>
        <v>0</v>
      </c>
      <c r="Q225" s="1857">
        <f>Q139/$G225/'4. L PLAN'!M$109</f>
        <v>0</v>
      </c>
      <c r="R225" s="1855">
        <f>R139/$G225/'4. L PLAN'!N$109</f>
        <v>0</v>
      </c>
      <c r="S225" s="1880">
        <f>S139/$G225/'4. L PLAN'!O$109</f>
        <v>0</v>
      </c>
      <c r="T225" s="1857">
        <f>T139/$G225/'4. L PLAN'!P$109</f>
        <v>0</v>
      </c>
      <c r="U225" s="1855">
        <f>U139/$G225/'4. L PLAN'!Q$109</f>
        <v>0</v>
      </c>
      <c r="V225" s="1862">
        <f t="shared" si="134"/>
        <v>0</v>
      </c>
      <c r="W225" s="1896"/>
      <c r="Y225" s="4"/>
      <c r="AA225" s="1658">
        <f t="shared" si="144"/>
        <v>1700</v>
      </c>
      <c r="AB225" s="1854">
        <f t="shared" si="145"/>
        <v>350</v>
      </c>
      <c r="AC225" s="1724">
        <f t="shared" si="146"/>
        <v>1</v>
      </c>
      <c r="AD225" s="1535" t="b">
        <f t="shared" si="147"/>
        <v>1</v>
      </c>
      <c r="AE225" s="1535" t="b">
        <f t="shared" si="148"/>
        <v>1</v>
      </c>
      <c r="AF225" s="1535" t="b">
        <f t="shared" si="149"/>
        <v>1</v>
      </c>
    </row>
    <row r="226" spans="1:32" ht="19.5" customHeight="1">
      <c r="A226" s="7225"/>
      <c r="B226" s="7200"/>
      <c r="C226" s="10"/>
      <c r="D226" s="1588"/>
      <c r="E226" s="4065"/>
      <c r="F226" s="1658" t="str">
        <f t="shared" si="150"/>
        <v>M184 R-EPS HSG</v>
      </c>
      <c r="G226" s="1658">
        <f>IFERROR(VLOOKUP(F226,B.BasicInfomation!$B:$O,11,0),"")</f>
        <v>1700</v>
      </c>
      <c r="H226" s="1658">
        <f>IFERROR(VLOOKUP(F226,B.BasicInfomation!$B:$O,12,0),"")</f>
        <v>350</v>
      </c>
      <c r="I226" s="1938">
        <f>IFERROR(VLOOKUP(F226,B.BasicInfomation!$B:$O,13,0),"")</f>
        <v>1</v>
      </c>
      <c r="J226" s="4700">
        <f>J140/$G226/'4. L PLAN'!F$109</f>
        <v>0</v>
      </c>
      <c r="K226" s="5370">
        <f>K140/$G226/'4. L PLAN'!G$109</f>
        <v>0</v>
      </c>
      <c r="L226" s="6184">
        <f>L140/$G226/'4. L PLAN'!H$109</f>
        <v>0</v>
      </c>
      <c r="M226" s="4700">
        <f>M140/$G226/'4. L PLAN'!I$109</f>
        <v>0</v>
      </c>
      <c r="N226" s="1857">
        <f>N140/$G226/'4. L PLAN'!J$109</f>
        <v>0</v>
      </c>
      <c r="O226" s="1878">
        <f>O140/$G226/'4. L PLAN'!K$109</f>
        <v>0</v>
      </c>
      <c r="P226" s="1879">
        <f>P140/$G226/'4. L PLAN'!L$109</f>
        <v>0</v>
      </c>
      <c r="Q226" s="1857">
        <f>Q140/$G226/'4. L PLAN'!M$109</f>
        <v>0</v>
      </c>
      <c r="R226" s="1855">
        <f>R140/$G226/'4. L PLAN'!N$109</f>
        <v>0</v>
      </c>
      <c r="S226" s="1880">
        <f>S140/$G226/'4. L PLAN'!O$109</f>
        <v>0</v>
      </c>
      <c r="T226" s="1857">
        <f>T140/$G226/'4. L PLAN'!P$109</f>
        <v>0</v>
      </c>
      <c r="U226" s="1855">
        <f>U140/$G226/'4. L PLAN'!Q$109</f>
        <v>0</v>
      </c>
      <c r="V226" s="1862">
        <f t="shared" si="134"/>
        <v>0</v>
      </c>
      <c r="W226" s="1896"/>
      <c r="Y226" s="4"/>
      <c r="AA226" s="1658">
        <f t="shared" si="144"/>
        <v>1700</v>
      </c>
      <c r="AB226" s="1854">
        <f t="shared" si="145"/>
        <v>350</v>
      </c>
      <c r="AC226" s="1724">
        <f t="shared" si="146"/>
        <v>1</v>
      </c>
      <c r="AD226" s="1535" t="b">
        <f t="shared" si="147"/>
        <v>1</v>
      </c>
      <c r="AE226" s="1535" t="b">
        <f t="shared" si="148"/>
        <v>1</v>
      </c>
      <c r="AF226" s="1535" t="b">
        <f t="shared" si="149"/>
        <v>1</v>
      </c>
    </row>
    <row r="227" spans="1:32" ht="19.5" customHeight="1">
      <c r="A227" s="7225"/>
      <c r="B227" s="7200"/>
      <c r="C227" s="10"/>
      <c r="D227" s="7" t="s">
        <v>857</v>
      </c>
      <c r="E227" s="4061">
        <v>27</v>
      </c>
      <c r="F227" s="1746" t="str">
        <f t="shared" si="150"/>
        <v>NX4 Cover</v>
      </c>
      <c r="G227" s="1746">
        <f>IFERROR(VLOOKUP(F227,B.BasicInfomation!$B:$O,11,0),"")</f>
        <v>5100</v>
      </c>
      <c r="H227" s="1746">
        <f>IFERROR(VLOOKUP(F227,B.BasicInfomation!$B:$O,12,0),"")</f>
        <v>350</v>
      </c>
      <c r="I227" s="1954">
        <f>IFERROR(VLOOKUP(F227,B.BasicInfomation!$B:$O,13,0),"")</f>
        <v>4</v>
      </c>
      <c r="J227" s="4701">
        <f>J141/$G227/'4. L PLAN'!F$109</f>
        <v>0.74214226314073339</v>
      </c>
      <c r="K227" s="5374">
        <f>K141/$G227/'4. L PLAN'!G$109</f>
        <v>1.8035937779367068</v>
      </c>
      <c r="L227" s="6189">
        <f>L141/$G227/'4. L PLAN'!H$109</f>
        <v>1.204318222813564</v>
      </c>
      <c r="M227" s="4701">
        <f>M141/$G227/'4. L PLAN'!I$109</f>
        <v>0.66497095769797754</v>
      </c>
      <c r="N227" s="1883">
        <f>N141/$G227/'4. L PLAN'!J$109</f>
        <v>0.30260047281323882</v>
      </c>
      <c r="O227" s="1881">
        <f>O141/$G227/'4. L PLAN'!K$109</f>
        <v>0.3059379780280907</v>
      </c>
      <c r="P227" s="1882">
        <f>P141/$G227/'4. L PLAN'!L$109</f>
        <v>0.309028260634435</v>
      </c>
      <c r="Q227" s="1883">
        <f>Q141/$G227/'4. L PLAN'!M$109</f>
        <v>0.16045698148326434</v>
      </c>
      <c r="R227" s="1884">
        <f>R141/$G227/'4. L PLAN'!N$109</f>
        <v>0.17382839660686969</v>
      </c>
      <c r="S227" s="1885">
        <f>S141/$G227/'4. L PLAN'!O$109</f>
        <v>0.1545141303172175</v>
      </c>
      <c r="T227" s="1883">
        <f>T141/$G227/'4. L PLAN'!P$109</f>
        <v>0.1668752607425949</v>
      </c>
      <c r="U227" s="1884">
        <f>U141/$G227/'4. L PLAN'!Q$109</f>
        <v>0.1545141303172175</v>
      </c>
      <c r="V227" s="1886">
        <f t="shared" ref="V227:V245" si="151">AVERAGE(J227:U227)</f>
        <v>0.51189840271099241</v>
      </c>
      <c r="W227" s="1895"/>
      <c r="Y227" s="1637"/>
      <c r="AA227" s="1658">
        <f t="shared" si="144"/>
        <v>5100</v>
      </c>
      <c r="AB227" s="1854">
        <f t="shared" si="145"/>
        <v>350</v>
      </c>
      <c r="AC227" s="1724">
        <f t="shared" si="146"/>
        <v>4</v>
      </c>
      <c r="AD227" s="1535" t="b">
        <f t="shared" si="147"/>
        <v>1</v>
      </c>
      <c r="AE227" s="1535" t="b">
        <f t="shared" si="148"/>
        <v>1</v>
      </c>
      <c r="AF227" s="1535" t="b">
        <f t="shared" si="149"/>
        <v>1</v>
      </c>
    </row>
    <row r="228" spans="1:32" ht="19.5" customHeight="1">
      <c r="A228" s="7225"/>
      <c r="B228" s="7200"/>
      <c r="C228" s="10"/>
      <c r="D228" s="1576"/>
      <c r="E228" s="4062">
        <v>28</v>
      </c>
      <c r="F228" s="1753" t="str">
        <f t="shared" si="150"/>
        <v>Tey Gen4 Cover</v>
      </c>
      <c r="G228" s="1753">
        <f>IFERROR(VLOOKUP(F228,B.BasicInfomation!$B:$O,11,0),"")</f>
        <v>3400</v>
      </c>
      <c r="H228" s="1753">
        <f>IFERROR(VLOOKUP(F228,B.BasicInfomation!$B:$O,12,0),"")</f>
        <v>350</v>
      </c>
      <c r="I228" s="1946">
        <f>IFERROR(VLOOKUP(F228,B.BasicInfomation!$B:$O,13,0),"")</f>
        <v>4</v>
      </c>
      <c r="J228" s="4702">
        <f>J142/$G228/'4. L PLAN'!F$109</f>
        <v>1.2429317866731986</v>
      </c>
      <c r="K228" s="5375">
        <f>K142/$G228/'4. L PLAN'!G$109</f>
        <v>1.7157468598612347</v>
      </c>
      <c r="L228" s="6190">
        <f>L142/$G228/'4. L PLAN'!H$109</f>
        <v>1.262505515597186</v>
      </c>
      <c r="M228" s="4702">
        <f>M142/$G228/'4. L PLAN'!I$109</f>
        <v>1.2300361169475</v>
      </c>
      <c r="N228" s="1889">
        <f>N142/$G228/'4. L PLAN'!J$109</f>
        <v>1.184177044937367</v>
      </c>
      <c r="O228" s="1887">
        <f>O142/$G228/'4. L PLAN'!K$109</f>
        <v>1.2676288614695121</v>
      </c>
      <c r="P228" s="1888">
        <f>P142/$G228/'4. L PLAN'!L$109</f>
        <v>1.0618143813827228</v>
      </c>
      <c r="Q228" s="1889">
        <f>Q142/$G228/'4. L PLAN'!M$109</f>
        <v>1.0763997437643538</v>
      </c>
      <c r="R228" s="1890">
        <f>R142/$G228/'4. L PLAN'!N$109</f>
        <v>1.1945411790555631</v>
      </c>
      <c r="S228" s="1891">
        <f>S142/$G228/'4. L PLAN'!O$109</f>
        <v>1.0365330865878963</v>
      </c>
      <c r="T228" s="1889">
        <f>T142/$G228/'4. L PLAN'!P$109</f>
        <v>1.119455733514928</v>
      </c>
      <c r="U228" s="1890">
        <f>U142/$G228/'4. L PLAN'!Q$109</f>
        <v>1.0365330865878963</v>
      </c>
      <c r="V228" s="1892">
        <f t="shared" si="151"/>
        <v>1.2023586163649462</v>
      </c>
      <c r="W228" s="1817"/>
      <c r="Y228" s="1637"/>
      <c r="AA228" s="1658">
        <f t="shared" si="144"/>
        <v>3400</v>
      </c>
      <c r="AB228" s="1854">
        <f t="shared" si="145"/>
        <v>350</v>
      </c>
      <c r="AC228" s="1724">
        <f t="shared" si="146"/>
        <v>4</v>
      </c>
      <c r="AD228" s="1535" t="b">
        <f t="shared" si="147"/>
        <v>1</v>
      </c>
      <c r="AE228" s="1535" t="b">
        <f t="shared" si="148"/>
        <v>1</v>
      </c>
      <c r="AF228" s="1535" t="b">
        <f t="shared" si="149"/>
        <v>1</v>
      </c>
    </row>
    <row r="229" spans="1:32" ht="19.5" customHeight="1">
      <c r="A229" s="7225"/>
      <c r="B229" s="7200"/>
      <c r="C229" s="10"/>
      <c r="D229" s="8"/>
      <c r="E229" s="78">
        <v>29</v>
      </c>
      <c r="F229" s="1658" t="str">
        <f t="shared" si="150"/>
        <v>CEER RWA CVR-만도향</v>
      </c>
      <c r="G229" s="1658">
        <f>IFERROR(VLOOKUP(F229,B.BasicInfomation!$B:$O,11,0),"")</f>
        <v>3300</v>
      </c>
      <c r="H229" s="1658">
        <f>IFERROR(VLOOKUP(F229,B.BasicInfomation!$B:$O,12,0),"")</f>
        <v>350</v>
      </c>
      <c r="I229" s="1938">
        <f>IFERROR(VLOOKUP(F229,B.BasicInfomation!$B:$O,13,0),"")</f>
        <v>2</v>
      </c>
      <c r="J229" s="4700">
        <f>J143/$G229/'4. L PLAN'!F$109</f>
        <v>0</v>
      </c>
      <c r="K229" s="5370">
        <f>K143/$G229/'4. L PLAN'!G$109</f>
        <v>0</v>
      </c>
      <c r="L229" s="6184">
        <f>L143/$G229/'4. L PLAN'!H$109</f>
        <v>0</v>
      </c>
      <c r="M229" s="4700">
        <f>M143/$G229/'4. L PLAN'!I$109</f>
        <v>0</v>
      </c>
      <c r="N229" s="1857">
        <f>N143/$G229/'4. L PLAN'!J$109</f>
        <v>0</v>
      </c>
      <c r="O229" s="1878">
        <f>O143/$G229/'4. L PLAN'!K$109</f>
        <v>0</v>
      </c>
      <c r="P229" s="1879">
        <f>P143/$G229/'4. L PLAN'!L$109</f>
        <v>0</v>
      </c>
      <c r="Q229" s="1857">
        <f>Q143/$G229/'4. L PLAN'!M$109</f>
        <v>0</v>
      </c>
      <c r="R229" s="1855">
        <f>R143/$G229/'4. L PLAN'!N$109</f>
        <v>0</v>
      </c>
      <c r="S229" s="1880">
        <f>S143/$G229/'4. L PLAN'!O$109</f>
        <v>0</v>
      </c>
      <c r="T229" s="1857">
        <f>T143/$G229/'4. L PLAN'!P$109</f>
        <v>0</v>
      </c>
      <c r="U229" s="1855">
        <f>U143/$G229/'4. L PLAN'!Q$109</f>
        <v>0</v>
      </c>
      <c r="V229" s="1862">
        <f t="shared" si="151"/>
        <v>0</v>
      </c>
      <c r="W229" s="1817"/>
      <c r="Y229" s="1637"/>
      <c r="AA229" s="1658">
        <f t="shared" si="144"/>
        <v>3300</v>
      </c>
      <c r="AB229" s="1854">
        <f t="shared" si="145"/>
        <v>350</v>
      </c>
      <c r="AC229" s="1724">
        <f t="shared" si="146"/>
        <v>2</v>
      </c>
      <c r="AD229" s="1535" t="b">
        <f t="shared" si="147"/>
        <v>1</v>
      </c>
      <c r="AE229" s="1535" t="b">
        <f t="shared" si="148"/>
        <v>1</v>
      </c>
      <c r="AF229" s="1535" t="b">
        <f t="shared" si="149"/>
        <v>1</v>
      </c>
    </row>
    <row r="230" spans="1:32" ht="19.5" customHeight="1">
      <c r="A230" s="7225"/>
      <c r="B230" s="7200"/>
      <c r="C230" s="10"/>
      <c r="D230" s="8"/>
      <c r="E230" s="78">
        <v>30</v>
      </c>
      <c r="F230" s="1658" t="str">
        <f t="shared" si="150"/>
        <v>CEER RWS CVR-만도향</v>
      </c>
      <c r="G230" s="1658">
        <f>IFERROR(VLOOKUP(F230,B.BasicInfomation!$B:$O,11,0),"")</f>
        <v>3300</v>
      </c>
      <c r="H230" s="1658">
        <f>IFERROR(VLOOKUP(F230,B.BasicInfomation!$B:$O,12,0),"")</f>
        <v>350</v>
      </c>
      <c r="I230" s="1938">
        <f>IFERROR(VLOOKUP(F230,B.BasicInfomation!$B:$O,13,0),"")</f>
        <v>2</v>
      </c>
      <c r="J230" s="4700">
        <f>J144/$G230/'4. L PLAN'!F$109</f>
        <v>0</v>
      </c>
      <c r="K230" s="5370">
        <f>K144/$G230/'4. L PLAN'!G$109</f>
        <v>0</v>
      </c>
      <c r="L230" s="6184">
        <f>L144/$G230/'4. L PLAN'!H$109</f>
        <v>0</v>
      </c>
      <c r="M230" s="4700">
        <f>M144/$G230/'4. L PLAN'!I$109</f>
        <v>0</v>
      </c>
      <c r="N230" s="1857">
        <f>N144/$G230/'4. L PLAN'!J$109</f>
        <v>0</v>
      </c>
      <c r="O230" s="1878">
        <f>O144/$G230/'4. L PLAN'!K$109</f>
        <v>0</v>
      </c>
      <c r="P230" s="1879">
        <f>P144/$G230/'4. L PLAN'!L$109</f>
        <v>0</v>
      </c>
      <c r="Q230" s="1857">
        <f>Q144/$G230/'4. L PLAN'!M$109</f>
        <v>0</v>
      </c>
      <c r="R230" s="1855">
        <f>R144/$G230/'4. L PLAN'!N$109</f>
        <v>0</v>
      </c>
      <c r="S230" s="1880">
        <f>S144/$G230/'4. L PLAN'!O$109</f>
        <v>0</v>
      </c>
      <c r="T230" s="1857">
        <f>T144/$G230/'4. L PLAN'!P$109</f>
        <v>0</v>
      </c>
      <c r="U230" s="1855">
        <f>U144/$G230/'4. L PLAN'!Q$109</f>
        <v>5.261238735219044E-2</v>
      </c>
      <c r="V230" s="1862">
        <f t="shared" si="151"/>
        <v>4.384365612682537E-3</v>
      </c>
      <c r="W230" s="1817"/>
      <c r="Y230" s="1637"/>
      <c r="AA230" s="1658">
        <f t="shared" si="144"/>
        <v>3300</v>
      </c>
      <c r="AB230" s="1854">
        <f t="shared" si="145"/>
        <v>350</v>
      </c>
      <c r="AC230" s="1724">
        <f t="shared" si="146"/>
        <v>2</v>
      </c>
      <c r="AD230" s="1535" t="b">
        <f t="shared" si="147"/>
        <v>1</v>
      </c>
      <c r="AE230" s="1535" t="b">
        <f t="shared" si="148"/>
        <v>1</v>
      </c>
      <c r="AF230" s="1535" t="b">
        <f t="shared" si="149"/>
        <v>1</v>
      </c>
    </row>
    <row r="231" spans="1:32" ht="19.5" customHeight="1">
      <c r="A231" s="7225"/>
      <c r="B231" s="7200"/>
      <c r="C231" s="10"/>
      <c r="D231" s="8"/>
      <c r="E231" s="78">
        <v>31</v>
      </c>
      <c r="F231" s="1658" t="str">
        <f t="shared" si="150"/>
        <v>JG R-EPS CVR-만도향</v>
      </c>
      <c r="G231" s="1658">
        <f>IFERROR(VLOOKUP(F231,B.BasicInfomation!$B:$O,11,0),"")</f>
        <v>3300</v>
      </c>
      <c r="H231" s="1658">
        <f>IFERROR(VLOOKUP(F231,B.BasicInfomation!$B:$O,12,0),"")</f>
        <v>350</v>
      </c>
      <c r="I231" s="1938">
        <f>IFERROR(VLOOKUP(F231,B.BasicInfomation!$B:$O,13,0),"")</f>
        <v>2</v>
      </c>
      <c r="J231" s="4700">
        <f>J145/$G231/'4. L PLAN'!F$109</f>
        <v>0</v>
      </c>
      <c r="K231" s="5370">
        <f>K145/$G231/'4. L PLAN'!G$109</f>
        <v>0</v>
      </c>
      <c r="L231" s="6184">
        <f>L145/$G231/'4. L PLAN'!H$109</f>
        <v>0</v>
      </c>
      <c r="M231" s="4700">
        <f>M145/$G231/'4. L PLAN'!I$109</f>
        <v>7.4819576361749768E-2</v>
      </c>
      <c r="N231" s="1857">
        <f>N145/$G231/'4. L PLAN'!J$109</f>
        <v>0</v>
      </c>
      <c r="O231" s="1878">
        <f>O145/$G231/'4. L PLAN'!K$109</f>
        <v>3.8543518850327932E-2</v>
      </c>
      <c r="P231" s="1879">
        <f>P145/$G231/'4. L PLAN'!L$109</f>
        <v>4.4539177338156717E-2</v>
      </c>
      <c r="Q231" s="1857">
        <f>Q145/$G231/'4. L PLAN'!M$109</f>
        <v>3.0834815080262354E-2</v>
      </c>
      <c r="R231" s="1855">
        <f>R145/$G231/'4. L PLAN'!N$109</f>
        <v>3.3404383003617553E-2</v>
      </c>
      <c r="S231" s="1880">
        <f>S145/$G231/'4. L PLAN'!O$109</f>
        <v>2.6723506402894042E-2</v>
      </c>
      <c r="T231" s="1857">
        <f>T145/$G231/'4. L PLAN'!P$109</f>
        <v>1.9240924610083705E-2</v>
      </c>
      <c r="U231" s="1855">
        <f>U145/$G231/'4. L PLAN'!Q$109</f>
        <v>0</v>
      </c>
      <c r="V231" s="1862">
        <f t="shared" si="151"/>
        <v>2.2342158470591008E-2</v>
      </c>
      <c r="W231" s="1817"/>
      <c r="Y231" s="1637"/>
      <c r="AA231" s="1658">
        <f t="shared" si="144"/>
        <v>3300</v>
      </c>
      <c r="AB231" s="1854">
        <f t="shared" si="145"/>
        <v>350</v>
      </c>
      <c r="AC231" s="1724">
        <f t="shared" si="146"/>
        <v>2</v>
      </c>
      <c r="AD231" s="1535" t="b">
        <f t="shared" si="147"/>
        <v>1</v>
      </c>
      <c r="AE231" s="1535" t="b">
        <f t="shared" si="148"/>
        <v>1</v>
      </c>
      <c r="AF231" s="1535" t="b">
        <f t="shared" si="149"/>
        <v>1</v>
      </c>
    </row>
    <row r="232" spans="1:32" ht="19.5" customHeight="1">
      <c r="A232" s="7225"/>
      <c r="B232" s="7200"/>
      <c r="C232" s="10"/>
      <c r="D232" s="8"/>
      <c r="E232" s="78">
        <v>32</v>
      </c>
      <c r="F232" s="1658" t="str">
        <f t="shared" si="150"/>
        <v>JG RWS CVR-만도향</v>
      </c>
      <c r="G232" s="1658">
        <f>IFERROR(VLOOKUP(F232,B.BasicInfomation!$B:$O,11,0),"")</f>
        <v>3300</v>
      </c>
      <c r="H232" s="1658">
        <f>IFERROR(VLOOKUP(F232,B.BasicInfomation!$B:$O,12,0),"")</f>
        <v>350</v>
      </c>
      <c r="I232" s="1938">
        <f>IFERROR(VLOOKUP(F232,B.BasicInfomation!$B:$O,13,0),"")</f>
        <v>2</v>
      </c>
      <c r="J232" s="4700">
        <f>J146/$G232/'4. L PLAN'!F$109</f>
        <v>0</v>
      </c>
      <c r="K232" s="5370">
        <f>K146/$G232/'4. L PLAN'!G$109</f>
        <v>0</v>
      </c>
      <c r="L232" s="6184">
        <f>L146/$G232/'4. L PLAN'!H$109</f>
        <v>0</v>
      </c>
      <c r="M232" s="4700">
        <f>M146/$G232/'4. L PLAN'!I$109</f>
        <v>5.2123835992441492E-3</v>
      </c>
      <c r="N232" s="1857">
        <f>N146/$G232/'4. L PLAN'!J$109</f>
        <v>0</v>
      </c>
      <c r="O232" s="1878">
        <f>O146/$G232/'4. L PLAN'!K$109</f>
        <v>0</v>
      </c>
      <c r="P232" s="1879">
        <f>P146/$G232/'4. L PLAN'!L$109</f>
        <v>0</v>
      </c>
      <c r="Q232" s="1857">
        <f>Q146/$G232/'4. L PLAN'!M$109</f>
        <v>0</v>
      </c>
      <c r="R232" s="1855">
        <f>R146/$G232/'4. L PLAN'!N$109</f>
        <v>0</v>
      </c>
      <c r="S232" s="1880">
        <f>S146/$G232/'4. L PLAN'!O$109</f>
        <v>0</v>
      </c>
      <c r="T232" s="1857">
        <f>T146/$G232/'4. L PLAN'!P$109</f>
        <v>0</v>
      </c>
      <c r="U232" s="1855">
        <f>U146/$G232/'4. L PLAN'!Q$109</f>
        <v>0</v>
      </c>
      <c r="V232" s="1862">
        <f t="shared" si="151"/>
        <v>4.3436529993701243E-4</v>
      </c>
      <c r="W232" s="1817"/>
      <c r="Y232" s="1637"/>
      <c r="AA232" s="1658">
        <f t="shared" si="144"/>
        <v>3300</v>
      </c>
      <c r="AB232" s="1854">
        <f t="shared" si="145"/>
        <v>350</v>
      </c>
      <c r="AC232" s="1724">
        <f t="shared" si="146"/>
        <v>2</v>
      </c>
      <c r="AD232" s="1535" t="b">
        <f t="shared" si="147"/>
        <v>1</v>
      </c>
      <c r="AE232" s="1535" t="b">
        <f t="shared" si="148"/>
        <v>1</v>
      </c>
      <c r="AF232" s="1535" t="b">
        <f t="shared" si="149"/>
        <v>1</v>
      </c>
    </row>
    <row r="233" spans="1:32" ht="19.5" customHeight="1">
      <c r="A233" s="7225"/>
      <c r="B233" s="7200"/>
      <c r="C233" s="6"/>
      <c r="D233" s="1596" t="s">
        <v>875</v>
      </c>
      <c r="E233" s="4066">
        <v>33</v>
      </c>
      <c r="F233" s="1713" t="str">
        <f t="shared" si="150"/>
        <v>MAS65 Heatsink Cover</v>
      </c>
      <c r="G233" s="1713">
        <f>IFERROR(VLOOKUP(F233,B.BasicInfomation!$B:$O,11,0),"")</f>
        <v>4600</v>
      </c>
      <c r="H233" s="1713">
        <f>IFERROR(VLOOKUP(F233,B.BasicInfomation!$B:$O,12,0),"")</f>
        <v>350</v>
      </c>
      <c r="I233" s="1999">
        <f>IFERROR(VLOOKUP(F233,B.BasicInfomation!$B:$O,13,0),"")</f>
        <v>2</v>
      </c>
      <c r="J233" s="4703">
        <f>J147/$G233/'4. L PLAN'!F$109</f>
        <v>0.99735220975065231</v>
      </c>
      <c r="K233" s="5371">
        <f>K147/$G233/'4. L PLAN'!G$109</f>
        <v>1.0907665782466471</v>
      </c>
      <c r="L233" s="6185">
        <f>L147/$G233/'4. L PLAN'!H$109</f>
        <v>0.67124097122870596</v>
      </c>
      <c r="M233" s="4703">
        <f>M147/$G233/'4. L PLAN'!I$109</f>
        <v>1.1899271762690697</v>
      </c>
      <c r="N233" s="1852">
        <f>N147/$G233/'4. L PLAN'!J$109</f>
        <v>0.69809061007785411</v>
      </c>
      <c r="O233" s="1897">
        <f>O147/$G233/'4. L PLAN'!K$109</f>
        <v>0.96890437811286434</v>
      </c>
      <c r="P233" s="1898">
        <f>P147/$G233/'4. L PLAN'!L$109</f>
        <v>0.96476091532750186</v>
      </c>
      <c r="Q233" s="1852">
        <f>Q147/$G233/'4. L PLAN'!M$109</f>
        <v>0.67124097122870596</v>
      </c>
      <c r="R233" s="1851">
        <f>R147/$G233/'4. L PLAN'!N$109</f>
        <v>0.72717771883109805</v>
      </c>
      <c r="S233" s="1899">
        <f>S147/$G233/'4. L PLAN'!O$109</f>
        <v>0.64638019451653161</v>
      </c>
      <c r="T233" s="1852">
        <f>T147/$G233/'4. L PLAN'!P$109</f>
        <v>0.69809061007785411</v>
      </c>
      <c r="U233" s="1851">
        <f>U147/$G233/'4. L PLAN'!Q$109</f>
        <v>0.64638019451653161</v>
      </c>
      <c r="V233" s="1853">
        <f t="shared" si="151"/>
        <v>0.8308593773486681</v>
      </c>
      <c r="W233" s="1900"/>
      <c r="Y233" s="1637"/>
      <c r="AA233" s="1658">
        <f t="shared" si="144"/>
        <v>4600</v>
      </c>
      <c r="AB233" s="1854">
        <f t="shared" si="145"/>
        <v>350</v>
      </c>
      <c r="AC233" s="1724">
        <f t="shared" si="146"/>
        <v>2</v>
      </c>
      <c r="AD233" s="1535" t="b">
        <f t="shared" si="147"/>
        <v>1</v>
      </c>
      <c r="AE233" s="1535" t="b">
        <f t="shared" si="148"/>
        <v>1</v>
      </c>
      <c r="AF233" s="1535" t="b">
        <f t="shared" si="149"/>
        <v>1</v>
      </c>
    </row>
    <row r="234" spans="1:32" ht="19.5" customHeight="1">
      <c r="A234" s="7225"/>
      <c r="B234" s="7200"/>
      <c r="C234" s="10" t="s">
        <v>400</v>
      </c>
      <c r="D234" s="1588" t="s">
        <v>991</v>
      </c>
      <c r="E234" s="4065">
        <v>34</v>
      </c>
      <c r="F234" s="1658" t="str">
        <f t="shared" si="150"/>
        <v>FCA Housing</v>
      </c>
      <c r="G234" s="1658">
        <f>IFERROR(VLOOKUP(F234,B.BasicInfomation!$B:$O,11,0),"")</f>
        <v>7100</v>
      </c>
      <c r="H234" s="1658">
        <f>IFERROR(VLOOKUP(F234,B.BasicInfomation!$B:$O,12,0),"")</f>
        <v>350</v>
      </c>
      <c r="I234" s="1938">
        <f>IFERROR(VLOOKUP(F234,B.BasicInfomation!$B:$O,13,0),"")</f>
        <v>4</v>
      </c>
      <c r="J234" s="4700">
        <f>J148/$G234/'4. L PLAN'!F$109</f>
        <v>0.34613978673491186</v>
      </c>
      <c r="K234" s="5370">
        <f>K148/$G234/'4. L PLAN'!G$109</f>
        <v>0.56247715344423177</v>
      </c>
      <c r="L234" s="6184">
        <f>L148/$G234/'4. L PLAN'!H$109</f>
        <v>0.35895977883620489</v>
      </c>
      <c r="M234" s="4700">
        <f>M148/$G234/'4. L PLAN'!I$109</f>
        <v>0.56721767782449728</v>
      </c>
      <c r="N234" s="1857">
        <f>N148/$G234/'4. L PLAN'!J$109</f>
        <v>0.85127509002923762</v>
      </c>
      <c r="O234" s="1878">
        <f>O148/$G234/'4. L PLAN'!K$109</f>
        <v>0.39936525237879089</v>
      </c>
      <c r="P234" s="1879">
        <f>P148/$G234/'4. L PLAN'!L$109</f>
        <v>0.29720388428385675</v>
      </c>
      <c r="Q234" s="1857">
        <f>Q148/$G234/'4. L PLAN'!M$109</f>
        <v>0.30863480291015893</v>
      </c>
      <c r="R234" s="1855">
        <f>R148/$G234/'4. L PLAN'!N$109</f>
        <v>0.3343543698193388</v>
      </c>
      <c r="S234" s="1880">
        <f>S148/$G234/'4. L PLAN'!O$109</f>
        <v>0.29720388428385675</v>
      </c>
      <c r="T234" s="1857">
        <f>T148/$G234/'4. L PLAN'!P$109</f>
        <v>0.32098019502656527</v>
      </c>
      <c r="U234" s="1855">
        <f>U148/$G234/'4. L PLAN'!Q$109</f>
        <v>0.29720388428385675</v>
      </c>
      <c r="V234" s="1862">
        <f t="shared" si="151"/>
        <v>0.41175131332129222</v>
      </c>
      <c r="W234" s="1817"/>
      <c r="Y234" s="1817"/>
      <c r="AA234" s="1658">
        <f t="shared" si="144"/>
        <v>7100</v>
      </c>
      <c r="AB234" s="1854">
        <f t="shared" si="145"/>
        <v>350</v>
      </c>
      <c r="AC234" s="1724">
        <f t="shared" si="146"/>
        <v>4</v>
      </c>
      <c r="AD234" s="1535" t="b">
        <f t="shared" si="147"/>
        <v>1</v>
      </c>
      <c r="AE234" s="1535" t="b">
        <f t="shared" si="148"/>
        <v>1</v>
      </c>
      <c r="AF234" s="1535" t="b">
        <f t="shared" si="149"/>
        <v>1</v>
      </c>
    </row>
    <row r="235" spans="1:32" s="1569" customFormat="1" ht="19.5" customHeight="1">
      <c r="A235" s="7225"/>
      <c r="B235" s="7200"/>
      <c r="C235" s="10"/>
      <c r="D235" s="10"/>
      <c r="E235" s="4045">
        <v>35</v>
      </c>
      <c r="F235" s="1658" t="str">
        <f t="shared" si="150"/>
        <v>GM EU2L Housing</v>
      </c>
      <c r="G235" s="1658">
        <f>IFERROR(VLOOKUP(F235,B.BasicInfomation!$B:$O,11,0),"")</f>
        <v>7100</v>
      </c>
      <c r="H235" s="1658">
        <f>IFERROR(VLOOKUP(F235,B.BasicInfomation!$B:$O,12,0),"")</f>
        <v>350</v>
      </c>
      <c r="I235" s="1938">
        <f>IFERROR(VLOOKUP(F235,B.BasicInfomation!$B:$O,13,0),"")</f>
        <v>4</v>
      </c>
      <c r="J235" s="4700">
        <f>J149/$G235/'4. L PLAN'!F$109</f>
        <v>0.3336482750816972</v>
      </c>
      <c r="K235" s="5370">
        <f>K149/$G235/'4. L PLAN'!G$109</f>
        <v>0.47590699827090271</v>
      </c>
      <c r="L235" s="6184">
        <f>L149/$G235/'4. L PLAN'!H$109</f>
        <v>0.3703928407179734</v>
      </c>
      <c r="M235" s="4700">
        <f>M149/$G235/'4. L PLAN'!I$109</f>
        <v>6.2023804688560343E-2</v>
      </c>
      <c r="N235" s="1857">
        <f>N149/$G235/'4. L PLAN'!J$109</f>
        <v>0.54371552747130625</v>
      </c>
      <c r="O235" s="1878">
        <f>O149/$G235/'4. L PLAN'!K$109</f>
        <v>0.20897030299544656</v>
      </c>
      <c r="P235" s="1879">
        <f>P149/$G235/'4. L PLAN'!L$109</f>
        <v>0.33507187944316369</v>
      </c>
      <c r="Q235" s="1857">
        <f>Q149/$G235/'4. L PLAN'!M$109</f>
        <v>0.24347410792402374</v>
      </c>
      <c r="R235" s="1855">
        <f>R149/$G235/'4. L PLAN'!N$109</f>
        <v>0.25509166061230998</v>
      </c>
      <c r="S235" s="1880">
        <f>S149/$G235/'4. L PLAN'!O$109</f>
        <v>0.22674814276649777</v>
      </c>
      <c r="T235" s="1857">
        <f>T149/$G235/'4. L PLAN'!P$109</f>
        <v>0.24488799418781759</v>
      </c>
      <c r="U235" s="1855">
        <f>U149/$G235/'4. L PLAN'!Q$109</f>
        <v>0.23445654837128213</v>
      </c>
      <c r="V235" s="1862">
        <f t="shared" si="151"/>
        <v>0.29453234021091512</v>
      </c>
      <c r="W235" s="1817"/>
      <c r="X235" s="1535"/>
      <c r="Y235" s="1820"/>
      <c r="AA235" s="1658">
        <f t="shared" si="144"/>
        <v>7100</v>
      </c>
      <c r="AB235" s="1854">
        <f t="shared" si="145"/>
        <v>350</v>
      </c>
      <c r="AC235" s="1724">
        <f t="shared" si="146"/>
        <v>4</v>
      </c>
      <c r="AD235" s="1535" t="b">
        <f t="shared" si="147"/>
        <v>1</v>
      </c>
      <c r="AE235" s="1535" t="b">
        <f t="shared" si="148"/>
        <v>1</v>
      </c>
      <c r="AF235" s="1535" t="b">
        <f t="shared" si="149"/>
        <v>1</v>
      </c>
    </row>
    <row r="236" spans="1:32" ht="19.5" customHeight="1">
      <c r="A236" s="7225"/>
      <c r="B236" s="7200"/>
      <c r="C236" s="10"/>
      <c r="D236" s="10"/>
      <c r="E236" s="4045">
        <v>36</v>
      </c>
      <c r="F236" s="1658" t="str">
        <f t="shared" si="150"/>
        <v>GM ACP Housing</v>
      </c>
      <c r="G236" s="1658">
        <f>IFERROR(VLOOKUP(F236,B.BasicInfomation!$B:$O,11,0),"")</f>
        <v>7100</v>
      </c>
      <c r="H236" s="1658">
        <f>IFERROR(VLOOKUP(F236,B.BasicInfomation!$B:$O,12,0),"")</f>
        <v>350</v>
      </c>
      <c r="I236" s="1938">
        <f>IFERROR(VLOOKUP(F236,B.BasicInfomation!$B:$O,13,0),"")</f>
        <v>4</v>
      </c>
      <c r="J236" s="4700">
        <f>J150/$G236/'4. L PLAN'!F$109</f>
        <v>0.77750390522937751</v>
      </c>
      <c r="K236" s="5370">
        <f>K150/$G236/'4. L PLAN'!G$109</f>
        <v>0</v>
      </c>
      <c r="L236" s="6184">
        <f>L150/$G236/'4. L PLAN'!H$109</f>
        <v>1.0130009041103234</v>
      </c>
      <c r="M236" s="4700">
        <f>M150/$G236/'4. L PLAN'!I$109</f>
        <v>0.14519160305619827</v>
      </c>
      <c r="N236" s="1857">
        <f>N150/$G236/'4. L PLAN'!J$109</f>
        <v>0.25301975197115306</v>
      </c>
      <c r="O236" s="1878">
        <f>O150/$G236/'4. L PLAN'!K$109</f>
        <v>0.31307205064780086</v>
      </c>
      <c r="P236" s="1879">
        <f>P150/$G236/'4. L PLAN'!L$109</f>
        <v>0.64359301262854363</v>
      </c>
      <c r="Q236" s="1857">
        <f>Q150/$G236/'4. L PLAN'!M$109</f>
        <v>0.52924007766826231</v>
      </c>
      <c r="R236" s="1855">
        <f>R150/$G236/'4. L PLAN'!N$109</f>
        <v>0.855689814010276</v>
      </c>
      <c r="S236" s="1880">
        <f>S150/$G236/'4. L PLAN'!O$109</f>
        <v>0.76061316800913426</v>
      </c>
      <c r="T236" s="1857">
        <f>T150/$G236/'4. L PLAN'!P$109</f>
        <v>0.77589869126524025</v>
      </c>
      <c r="U236" s="1855">
        <f>U150/$G236/'4. L PLAN'!Q$109</f>
        <v>0.75319208297993323</v>
      </c>
      <c r="V236" s="1862">
        <f t="shared" si="151"/>
        <v>0.56833458846468687</v>
      </c>
      <c r="W236" s="1636"/>
      <c r="Y236" s="1636"/>
      <c r="AA236" s="1658">
        <f t="shared" si="144"/>
        <v>7100</v>
      </c>
      <c r="AB236" s="1854">
        <f t="shared" si="145"/>
        <v>350</v>
      </c>
      <c r="AC236" s="1724">
        <f t="shared" si="146"/>
        <v>4</v>
      </c>
      <c r="AD236" s="1535" t="b">
        <f t="shared" si="147"/>
        <v>1</v>
      </c>
      <c r="AE236" s="1535" t="b">
        <f t="shared" si="148"/>
        <v>1</v>
      </c>
      <c r="AF236" s="1535" t="b">
        <f t="shared" si="149"/>
        <v>1</v>
      </c>
    </row>
    <row r="237" spans="1:32" ht="19.5" customHeight="1">
      <c r="A237" s="7225"/>
      <c r="B237" s="7200"/>
      <c r="C237" s="10"/>
      <c r="D237" s="7" t="s">
        <v>992</v>
      </c>
      <c r="E237" s="4061">
        <v>37</v>
      </c>
      <c r="F237" s="1746" t="str">
        <f t="shared" si="150"/>
        <v>FCA Cover</v>
      </c>
      <c r="G237" s="1746">
        <f>IFERROR(VLOOKUP(F237,B.BasicInfomation!$B:$O,11,0),"")</f>
        <v>7100</v>
      </c>
      <c r="H237" s="1746">
        <f>IFERROR(VLOOKUP(F237,B.BasicInfomation!$B:$O,12,0),"")</f>
        <v>350</v>
      </c>
      <c r="I237" s="1954">
        <f>IFERROR(VLOOKUP(F237,B.BasicInfomation!$B:$O,13,0),"")</f>
        <v>4</v>
      </c>
      <c r="J237" s="4701">
        <f>J151/$G237/'4. L PLAN'!F$109</f>
        <v>0.34637271187733226</v>
      </c>
      <c r="K237" s="5374">
        <f>K151/$G237/'4. L PLAN'!G$109</f>
        <v>0.56285565680066496</v>
      </c>
      <c r="L237" s="6189">
        <f>L151/$G237/'4. L PLAN'!H$109</f>
        <v>0.34637271187733226</v>
      </c>
      <c r="M237" s="4701">
        <f>M151/$G237/'4. L PLAN'!I$109</f>
        <v>0.36089118864277359</v>
      </c>
      <c r="N237" s="1883">
        <f>N151/$G237/'4. L PLAN'!J$109</f>
        <v>0.67993058912893645</v>
      </c>
      <c r="O237" s="1881">
        <f>O151/$G237/'4. L PLAN'!K$109</f>
        <v>0.39553654463750632</v>
      </c>
      <c r="P237" s="1882">
        <f>P151/$G237/'4. L PLAN'!L$109</f>
        <v>0.29435459580490275</v>
      </c>
      <c r="Q237" s="1883">
        <f>Q151/$G237/'4. L PLAN'!M$109</f>
        <v>0.30567592641278363</v>
      </c>
      <c r="R237" s="1884">
        <f>R151/$G237/'4. L PLAN'!N$109</f>
        <v>0.33114892028051562</v>
      </c>
      <c r="S237" s="1885">
        <f>S151/$G237/'4. L PLAN'!O$109</f>
        <v>0.29435459580490275</v>
      </c>
      <c r="T237" s="1883">
        <f>T151/$G237/'4. L PLAN'!P$109</f>
        <v>0.31790296346929497</v>
      </c>
      <c r="U237" s="1884">
        <f>U151/$G237/'4. L PLAN'!Q$109</f>
        <v>0.29435459580490275</v>
      </c>
      <c r="V237" s="1886">
        <f t="shared" si="151"/>
        <v>0.37747925004515398</v>
      </c>
      <c r="AA237" s="1658">
        <f t="shared" si="144"/>
        <v>7100</v>
      </c>
      <c r="AB237" s="1854">
        <f t="shared" si="145"/>
        <v>350</v>
      </c>
      <c r="AC237" s="1724">
        <f t="shared" si="146"/>
        <v>4</v>
      </c>
      <c r="AD237" s="1535" t="b">
        <f t="shared" si="147"/>
        <v>1</v>
      </c>
      <c r="AE237" s="1535" t="b">
        <f t="shared" si="148"/>
        <v>1</v>
      </c>
      <c r="AF237" s="1535" t="b">
        <f t="shared" si="149"/>
        <v>1</v>
      </c>
    </row>
    <row r="238" spans="1:32" s="1569" customFormat="1" ht="19.5" customHeight="1">
      <c r="A238" s="7225"/>
      <c r="B238" s="7200"/>
      <c r="C238" s="10"/>
      <c r="D238" s="10"/>
      <c r="E238" s="4045">
        <v>38</v>
      </c>
      <c r="F238" s="1658" t="str">
        <f t="shared" si="150"/>
        <v>GM EU2L Cover</v>
      </c>
      <c r="G238" s="1658">
        <f>IFERROR(VLOOKUP(F238,B.BasicInfomation!$B:$O,11,0),"")</f>
        <v>7100</v>
      </c>
      <c r="H238" s="1658">
        <f>IFERROR(VLOOKUP(F238,B.BasicInfomation!$B:$O,12,0),"")</f>
        <v>350</v>
      </c>
      <c r="I238" s="1938">
        <f>IFERROR(VLOOKUP(F238,B.BasicInfomation!$B:$O,13,0),"")</f>
        <v>4</v>
      </c>
      <c r="J238" s="4704">
        <f>J152/$G238/'4. L PLAN'!F$109</f>
        <v>0.32542969057168025</v>
      </c>
      <c r="K238" s="5376">
        <f>K152/$G238/'4. L PLAN'!G$109</f>
        <v>0.46486770192637206</v>
      </c>
      <c r="L238" s="6191">
        <f>L152/$G238/'4. L PLAN'!H$109</f>
        <v>0.36478136991944965</v>
      </c>
      <c r="M238" s="4700">
        <f>M152/$G238/'4. L PLAN'!I$109</f>
        <v>6.2291619758380178E-2</v>
      </c>
      <c r="N238" s="1857">
        <f>N152/$G238/'4. L PLAN'!J$109</f>
        <v>0.53153321149846089</v>
      </c>
      <c r="O238" s="1878">
        <f>O152/$G238/'4. L PLAN'!K$109</f>
        <v>0.36955365363975301</v>
      </c>
      <c r="P238" s="1879">
        <f>P152/$G238/'4. L PLAN'!L$109</f>
        <v>0.38952869216419755</v>
      </c>
      <c r="Q238" s="1857">
        <f>Q152/$G238/'4. L PLAN'!M$109</f>
        <v>0.40451056493974363</v>
      </c>
      <c r="R238" s="1855">
        <f>R152/$G238/'4. L PLAN'!N$109</f>
        <v>0.42943394164465792</v>
      </c>
      <c r="S238" s="1880">
        <f>S152/$G238/'4. L PLAN'!O$109</f>
        <v>0.3817190592396959</v>
      </c>
      <c r="T238" s="1857">
        <f>T152/$G238/'4. L PLAN'!P$109</f>
        <v>0.4122565839788716</v>
      </c>
      <c r="U238" s="1855">
        <f>U152/$G238/'4. L PLAN'!Q$109</f>
        <v>0.38952869216419755</v>
      </c>
      <c r="V238" s="1862">
        <f t="shared" si="151"/>
        <v>0.37711956512045502</v>
      </c>
      <c r="W238" s="1535"/>
      <c r="X238" s="1535"/>
      <c r="Y238" s="1535"/>
      <c r="AA238" s="1658">
        <f t="shared" si="144"/>
        <v>7100</v>
      </c>
      <c r="AB238" s="1854">
        <f t="shared" si="145"/>
        <v>350</v>
      </c>
      <c r="AC238" s="1724">
        <f t="shared" si="146"/>
        <v>4</v>
      </c>
      <c r="AD238" s="1535" t="b">
        <f t="shared" si="147"/>
        <v>1</v>
      </c>
      <c r="AE238" s="1535" t="b">
        <f t="shared" si="148"/>
        <v>1</v>
      </c>
      <c r="AF238" s="1535" t="b">
        <f t="shared" si="149"/>
        <v>1</v>
      </c>
    </row>
    <row r="239" spans="1:32" s="1569" customFormat="1" ht="19.5" customHeight="1">
      <c r="A239" s="7225"/>
      <c r="B239" s="7200"/>
      <c r="C239" s="8"/>
      <c r="D239" s="1576"/>
      <c r="E239" s="4062">
        <v>39</v>
      </c>
      <c r="F239" s="1753" t="str">
        <f t="shared" si="150"/>
        <v>GM ACP Cover</v>
      </c>
      <c r="G239" s="1753">
        <f>IFERROR(VLOOKUP(F239,B.BasicInfomation!$B:$O,11,0),"")</f>
        <v>7100</v>
      </c>
      <c r="H239" s="1753">
        <f>IFERROR(VLOOKUP(F239,B.BasicInfomation!$B:$O,12,0),"")</f>
        <v>350</v>
      </c>
      <c r="I239" s="1946">
        <f>IFERROR(VLOOKUP(F239,B.BasicInfomation!$B:$O,13,0),"")</f>
        <v>4</v>
      </c>
      <c r="J239" s="4705">
        <f>J153/$G239/'4. L PLAN'!F$109</f>
        <v>0.77122582362863801</v>
      </c>
      <c r="K239" s="5377">
        <f>K153/$G239/'4. L PLAN'!G$109</f>
        <v>0</v>
      </c>
      <c r="L239" s="6192">
        <f>L153/$G239/'4. L PLAN'!H$109</f>
        <v>1.0015460237165255</v>
      </c>
      <c r="M239" s="4702">
        <f>M153/$G239/'4. L PLAN'!I$109</f>
        <v>0.15544950066500954</v>
      </c>
      <c r="N239" s="1889">
        <f>N153/$G239/'4. L PLAN'!J$109</f>
        <v>0.2524513742660921</v>
      </c>
      <c r="O239" s="1887">
        <f>O153/$G239/'4. L PLAN'!K$109</f>
        <v>0.31851806786948927</v>
      </c>
      <c r="P239" s="1888">
        <f>P153/$G239/'4. L PLAN'!L$109</f>
        <v>0.64530055690128596</v>
      </c>
      <c r="Q239" s="1889">
        <f>Q153/$G239/'4. L PLAN'!M$109</f>
        <v>0.5333781387303469</v>
      </c>
      <c r="R239" s="1890">
        <f>R153/$G239/'4. L PLAN'!N$109</f>
        <v>0.85194444269679959</v>
      </c>
      <c r="S239" s="1891">
        <f>S153/$G239/'4. L PLAN'!O$109</f>
        <v>0.75728394906382179</v>
      </c>
      <c r="T239" s="1889">
        <f>T153/$G239/'4. L PLAN'!P$109</f>
        <v>0.7730777250693609</v>
      </c>
      <c r="U239" s="1890">
        <f>U153/$G239/'4. L PLAN'!Q$109</f>
        <v>0.7530364183966104</v>
      </c>
      <c r="V239" s="1892">
        <f t="shared" si="151"/>
        <v>0.56776766841699833</v>
      </c>
      <c r="W239" s="1535"/>
      <c r="X239" s="1535"/>
      <c r="Y239" s="1535"/>
      <c r="AA239" s="1658">
        <f t="shared" si="144"/>
        <v>7100</v>
      </c>
      <c r="AB239" s="1854">
        <f t="shared" si="145"/>
        <v>350</v>
      </c>
      <c r="AC239" s="1724">
        <f t="shared" si="146"/>
        <v>4</v>
      </c>
      <c r="AD239" s="1535" t="b">
        <f t="shared" si="147"/>
        <v>1</v>
      </c>
      <c r="AE239" s="1535" t="b">
        <f t="shared" si="148"/>
        <v>1</v>
      </c>
      <c r="AF239" s="1535" t="b">
        <f t="shared" si="149"/>
        <v>1</v>
      </c>
    </row>
    <row r="240" spans="1:32" s="1569" customFormat="1" ht="19.5" customHeight="1">
      <c r="A240" s="7225"/>
      <c r="B240" s="7200"/>
      <c r="C240" s="8"/>
      <c r="D240" s="10" t="s">
        <v>868</v>
      </c>
      <c r="E240" s="4045">
        <v>40</v>
      </c>
      <c r="F240" s="1658" t="str">
        <f t="shared" si="150"/>
        <v>Lens Mount</v>
      </c>
      <c r="G240" s="1658">
        <f>IFERROR(VLOOKUP(F240,B.BasicInfomation!$B:$O,11,0),"")</f>
        <v>16000</v>
      </c>
      <c r="H240" s="1658">
        <f>IFERROR(VLOOKUP(F240,B.BasicInfomation!$B:$O,12,0),"")</f>
        <v>125</v>
      </c>
      <c r="I240" s="1938">
        <f>IFERROR(VLOOKUP(F240,B.BasicInfomation!$B:$O,13,0),"")</f>
        <v>4</v>
      </c>
      <c r="J240" s="4700">
        <f>J154/$G240/'4. L PLAN'!F$109</f>
        <v>0.49658388137206089</v>
      </c>
      <c r="K240" s="5370">
        <f>K154/$G240/'4. L PLAN'!G$109</f>
        <v>0.93858534614331812</v>
      </c>
      <c r="L240" s="6184">
        <f>L154/$G240/'4. L PLAN'!H$109</f>
        <v>0.60282199006507198</v>
      </c>
      <c r="M240" s="4700">
        <f>M154/$G240/'4. L PLAN'!I$109</f>
        <v>0.57396449621432144</v>
      </c>
      <c r="N240" s="1857">
        <f>N154/$G240/'4. L PLAN'!J$109</f>
        <v>0.95291489341268165</v>
      </c>
      <c r="O240" s="1878">
        <f>O154/$G240/'4. L PLAN'!K$109</f>
        <v>0.47870000184929157</v>
      </c>
      <c r="P240" s="1879">
        <f>P154/$G240/'4. L PLAN'!L$109</f>
        <v>0.72084892823510249</v>
      </c>
      <c r="Q240" s="1857">
        <f>Q154/$G240/'4. L PLAN'!M$109</f>
        <v>0.76563075079707466</v>
      </c>
      <c r="R240" s="1855">
        <f>R154/$G240/'4. L PLAN'!N$109</f>
        <v>0.818239988561687</v>
      </c>
      <c r="S240" s="1880">
        <f>S154/$G240/'4. L PLAN'!O$109</f>
        <v>0.71089930618904851</v>
      </c>
      <c r="T240" s="1857">
        <f>T154/$G240/'4. L PLAN'!P$109</f>
        <v>0.73919254906252829</v>
      </c>
      <c r="U240" s="1855">
        <f>U154/$G240/'4. L PLAN'!Q$109</f>
        <v>0.68443754542826696</v>
      </c>
      <c r="V240" s="1862">
        <f t="shared" si="151"/>
        <v>0.70690163977753784</v>
      </c>
      <c r="W240" s="1535"/>
      <c r="X240" s="1535"/>
      <c r="Y240" s="1535"/>
      <c r="AA240" s="1658">
        <f t="shared" si="144"/>
        <v>16000</v>
      </c>
      <c r="AB240" s="1854">
        <f t="shared" si="145"/>
        <v>125</v>
      </c>
      <c r="AC240" s="1724">
        <f t="shared" si="146"/>
        <v>4</v>
      </c>
      <c r="AD240" s="1535" t="b">
        <f t="shared" si="147"/>
        <v>1</v>
      </c>
      <c r="AE240" s="1535" t="b">
        <f t="shared" si="148"/>
        <v>1</v>
      </c>
      <c r="AF240" s="1535" t="b">
        <f t="shared" si="149"/>
        <v>1</v>
      </c>
    </row>
    <row r="241" spans="1:34" s="1569" customFormat="1" ht="19.5" customHeight="1">
      <c r="A241" s="7225"/>
      <c r="B241" s="7200"/>
      <c r="C241" s="8"/>
      <c r="D241" s="7" t="s">
        <v>875</v>
      </c>
      <c r="E241" s="4061">
        <v>41</v>
      </c>
      <c r="F241" s="1746" t="str">
        <f t="shared" si="150"/>
        <v>IPM 1.0 Housing</v>
      </c>
      <c r="G241" s="1746">
        <f>IFERROR(VLOOKUP(F241,B.BasicInfomation!$B:$O,11,0),"")</f>
        <v>1700</v>
      </c>
      <c r="H241" s="1746">
        <f>IFERROR(VLOOKUP(F241,B.BasicInfomation!$B:$O,12,0),"")</f>
        <v>350</v>
      </c>
      <c r="I241" s="1954">
        <f>IFERROR(VLOOKUP(F241,B.BasicInfomation!$B:$O,13,0),"")</f>
        <v>2</v>
      </c>
      <c r="J241" s="4701">
        <f>J155/$G241/'4. L PLAN'!F$109</f>
        <v>0.29040227902006249</v>
      </c>
      <c r="K241" s="5374">
        <f>K155/$G241/'4. L PLAN'!G$109</f>
        <v>0.4456868309960681</v>
      </c>
      <c r="L241" s="6189">
        <f>L155/$G241/'4. L PLAN'!H$109</f>
        <v>0.30653573896562147</v>
      </c>
      <c r="M241" s="4701">
        <f>M155/$G241/'4. L PLAN'!I$109</f>
        <v>0.52566811711527739</v>
      </c>
      <c r="N241" s="1883">
        <f>N155/$G241/'4. L PLAN'!J$109</f>
        <v>0.41118928272128374</v>
      </c>
      <c r="O241" s="1881">
        <f>O155/$G241/'4. L PLAN'!K$109</f>
        <v>0.47774395828995303</v>
      </c>
      <c r="P241" s="1882">
        <f>P155/$G241/'4. L PLAN'!L$109</f>
        <v>0.38469676334842312</v>
      </c>
      <c r="Q241" s="1883">
        <f>Q155/$G241/'4. L PLAN'!M$109</f>
        <v>0.39949279270797788</v>
      </c>
      <c r="R241" s="1884">
        <f>R155/$G241/'4. L PLAN'!N$109</f>
        <v>0.43278385876697606</v>
      </c>
      <c r="S241" s="1885">
        <f>S155/$G241/'4. L PLAN'!O$109</f>
        <v>0.38469676334842312</v>
      </c>
      <c r="T241" s="1883">
        <f>T155/$G241/'4. L PLAN'!P$109</f>
        <v>0.41547250441629702</v>
      </c>
      <c r="U241" s="1884">
        <f>U155/$G241/'4. L PLAN'!Q$109</f>
        <v>0.38469676334842312</v>
      </c>
      <c r="V241" s="1886">
        <f t="shared" si="151"/>
        <v>0.4049221377537322</v>
      </c>
      <c r="W241" s="5"/>
      <c r="X241" s="1535"/>
      <c r="Y241" s="1610"/>
      <c r="AA241" s="1658">
        <f t="shared" si="144"/>
        <v>1700</v>
      </c>
      <c r="AB241" s="1854">
        <f t="shared" si="145"/>
        <v>350</v>
      </c>
      <c r="AC241" s="1724">
        <f t="shared" si="146"/>
        <v>2</v>
      </c>
      <c r="AD241" s="1535" t="b">
        <f t="shared" si="147"/>
        <v>1</v>
      </c>
      <c r="AE241" s="1535" t="b">
        <f t="shared" si="148"/>
        <v>1</v>
      </c>
      <c r="AF241" s="1535" t="b">
        <f t="shared" si="149"/>
        <v>1</v>
      </c>
    </row>
    <row r="242" spans="1:34" s="1569" customFormat="1" ht="19.5" customHeight="1">
      <c r="A242" s="7225"/>
      <c r="B242" s="7300"/>
      <c r="C242" s="8"/>
      <c r="D242" s="10"/>
      <c r="E242" s="4045">
        <v>42</v>
      </c>
      <c r="F242" s="1658" t="str">
        <f t="shared" si="150"/>
        <v>IPM 2.0  Base Housing</v>
      </c>
      <c r="G242" s="10">
        <f>IFERROR(VLOOKUP(F242,B.BasicInfomation!$B:$O,11,0),"")</f>
        <v>1700</v>
      </c>
      <c r="H242" s="1658">
        <f>IFERROR(VLOOKUP(F242,B.BasicInfomation!$B:$O,12,0),"")</f>
        <v>350</v>
      </c>
      <c r="I242" s="1938">
        <f>IFERROR(VLOOKUP(F242,B.BasicInfomation!$B:$O,13,0),"")</f>
        <v>1</v>
      </c>
      <c r="J242" s="4700">
        <f>J156/$G242/'4. L PLAN'!F$109</f>
        <v>0.10888450630791216</v>
      </c>
      <c r="K242" s="5370">
        <f>K156/$G242/'4. L PLAN'!G$109</f>
        <v>6.5187434697500046E-2</v>
      </c>
      <c r="L242" s="6184">
        <f>L156/$G242/'4. L PLAN'!H$109</f>
        <v>0.12034603328769242</v>
      </c>
      <c r="M242" s="4700">
        <f>M156/$G242/'4. L PLAN'!I$109</f>
        <v>0.15114240005627891</v>
      </c>
      <c r="N242" s="1857">
        <f>N156/$G242/'4. L PLAN'!J$109</f>
        <v>0.19104685864048243</v>
      </c>
      <c r="O242" s="1878">
        <f>O156/$G242/'4. L PLAN'!K$109</f>
        <v>0.14287692419694201</v>
      </c>
      <c r="P242" s="1879">
        <f>P156/$G242/'4. L PLAN'!L$109</f>
        <v>0.19655026609103132</v>
      </c>
      <c r="Q242" s="1857">
        <f>Q156/$G242/'4. L PLAN'!M$109</f>
        <v>0.16328791336793372</v>
      </c>
      <c r="R242" s="1855">
        <f>R156/$G242/'4. L PLAN'!N$109</f>
        <v>0.1768952394819282</v>
      </c>
      <c r="S242" s="1880">
        <f>S156/$G242/'4. L PLAN'!O$109</f>
        <v>0.15724021287282508</v>
      </c>
      <c r="T242" s="1857">
        <f>T156/$G242/'4. L PLAN'!P$109</f>
        <v>0.12736457242698832</v>
      </c>
      <c r="U242" s="1855">
        <f>U156/$G242/'4. L PLAN'!Q$109</f>
        <v>0.11793015965461881</v>
      </c>
      <c r="V242" s="1862">
        <f t="shared" si="151"/>
        <v>0.14322937675684441</v>
      </c>
      <c r="W242" s="5"/>
      <c r="X242" s="1535"/>
      <c r="Y242" s="1610"/>
      <c r="AA242" s="1658">
        <f t="shared" si="144"/>
        <v>1700</v>
      </c>
      <c r="AB242" s="1854">
        <f t="shared" si="145"/>
        <v>350</v>
      </c>
      <c r="AC242" s="1724">
        <f t="shared" si="146"/>
        <v>1</v>
      </c>
      <c r="AD242" s="1535" t="b">
        <f t="shared" si="147"/>
        <v>1</v>
      </c>
      <c r="AE242" s="1535" t="b">
        <f t="shared" si="148"/>
        <v>1</v>
      </c>
      <c r="AF242" s="1535" t="b">
        <f t="shared" si="149"/>
        <v>1</v>
      </c>
    </row>
    <row r="243" spans="1:34" s="1569" customFormat="1" ht="19.5" customHeight="1">
      <c r="A243" s="7225"/>
      <c r="B243" s="7300"/>
      <c r="C243" s="8"/>
      <c r="D243" s="10"/>
      <c r="E243" s="4045"/>
      <c r="F243" s="1658" t="str">
        <f t="shared" si="150"/>
        <v>IPM 2.0 Advanced HSG</v>
      </c>
      <c r="G243" s="10">
        <f>IFERROR(VLOOKUP(F243,B.BasicInfomation!$B:$O,11,0),"")</f>
        <v>1700</v>
      </c>
      <c r="H243" s="1658">
        <f>IFERROR(VLOOKUP(F243,B.BasicInfomation!$B:$O,12,0),"")</f>
        <v>350</v>
      </c>
      <c r="I243" s="1938">
        <f>IFERROR(VLOOKUP(F243,B.BasicInfomation!$B:$O,13,0),"")</f>
        <v>1</v>
      </c>
      <c r="J243" s="4700">
        <f>J157/$G243/'4. L PLAN'!F$109</f>
        <v>0</v>
      </c>
      <c r="K243" s="5370">
        <f>K157/$G243/'4. L PLAN'!G$109</f>
        <v>0</v>
      </c>
      <c r="L243" s="6184">
        <f>L157/$G243/'4. L PLAN'!H$109</f>
        <v>0</v>
      </c>
      <c r="M243" s="4700">
        <f>M157/$G243/'4. L PLAN'!I$109</f>
        <v>0</v>
      </c>
      <c r="N243" s="1857">
        <f>N157/$G243/'4. L PLAN'!J$109</f>
        <v>0</v>
      </c>
      <c r="O243" s="1878">
        <f>O157/$G243/'4. L PLAN'!K$109</f>
        <v>0</v>
      </c>
      <c r="P243" s="1879">
        <f>P157/$G243/'4. L PLAN'!L$109</f>
        <v>0</v>
      </c>
      <c r="Q243" s="1857">
        <f>Q157/$G243/'4. L PLAN'!M$109</f>
        <v>0</v>
      </c>
      <c r="R243" s="1855">
        <f>R157/$G243/'4. L PLAN'!N$109</f>
        <v>0</v>
      </c>
      <c r="S243" s="1880">
        <f>S157/$G243/'4. L PLAN'!O$109</f>
        <v>0</v>
      </c>
      <c r="T243" s="1857">
        <f>T157/$G243/'4. L PLAN'!P$109</f>
        <v>0</v>
      </c>
      <c r="U243" s="1855">
        <f>U157/$G243/'4. L PLAN'!Q$109</f>
        <v>0</v>
      </c>
      <c r="V243" s="1862">
        <f t="shared" si="151"/>
        <v>0</v>
      </c>
      <c r="W243" s="5"/>
      <c r="X243" s="1535"/>
      <c r="Y243" s="1610"/>
      <c r="AA243" s="1658">
        <f t="shared" ref="AA243:AA253" si="152">G243</f>
        <v>1700</v>
      </c>
      <c r="AB243" s="1854">
        <f t="shared" ref="AB243:AB253" si="153">H243</f>
        <v>350</v>
      </c>
      <c r="AC243" s="1724">
        <f t="shared" ref="AC243:AC253" si="154">I243</f>
        <v>1</v>
      </c>
      <c r="AD243" s="1535" t="b">
        <f t="shared" ref="AD243:AD252" si="155">AA243=G243</f>
        <v>1</v>
      </c>
      <c r="AE243" s="1535" t="b">
        <f t="shared" ref="AE243:AE252" si="156">AB243=H243</f>
        <v>1</v>
      </c>
      <c r="AF243" s="1535" t="b">
        <f t="shared" ref="AF243:AF252" si="157">AC243=I243</f>
        <v>1</v>
      </c>
    </row>
    <row r="244" spans="1:34" s="1569" customFormat="1" ht="20.25" customHeight="1">
      <c r="A244" s="7225"/>
      <c r="B244" s="7300"/>
      <c r="C244" s="8"/>
      <c r="D244" s="10"/>
      <c r="E244" s="4045"/>
      <c r="F244" s="1658" t="str">
        <f t="shared" si="150"/>
        <v>IPM 2.0 HSG Base+</v>
      </c>
      <c r="G244" s="10">
        <f>IFERROR(VLOOKUP(F244,B.BasicInfomation!$B:$O,11,0),"")</f>
        <v>1700</v>
      </c>
      <c r="H244" s="1658">
        <f>IFERROR(VLOOKUP(F244,B.BasicInfomation!$B:$O,12,0),"")</f>
        <v>350</v>
      </c>
      <c r="I244" s="1938">
        <f>IFERROR(VLOOKUP(F244,B.BasicInfomation!$B:$O,13,0),"")</f>
        <v>1</v>
      </c>
      <c r="J244" s="4700">
        <f>J158/$G244/'4. L PLAN'!F$109</f>
        <v>0</v>
      </c>
      <c r="K244" s="5370">
        <f>K158/$G244/'4. L PLAN'!G$109</f>
        <v>0</v>
      </c>
      <c r="L244" s="6184">
        <f>L158/$G244/'4. L PLAN'!H$109</f>
        <v>0</v>
      </c>
      <c r="M244" s="4700">
        <f>M158/$G244/'4. L PLAN'!I$109</f>
        <v>0</v>
      </c>
      <c r="N244" s="1857">
        <f>N158/$G244/'4. L PLAN'!J$109</f>
        <v>0</v>
      </c>
      <c r="O244" s="1878">
        <f>O158/$G244/'4. L PLAN'!K$109</f>
        <v>0</v>
      </c>
      <c r="P244" s="1879">
        <f>P158/$G244/'4. L PLAN'!L$109</f>
        <v>0</v>
      </c>
      <c r="Q244" s="1857">
        <f>Q158/$G244/'4. L PLAN'!M$109</f>
        <v>0</v>
      </c>
      <c r="R244" s="1855">
        <f>R158/$G244/'4. L PLAN'!N$109</f>
        <v>0</v>
      </c>
      <c r="S244" s="1880">
        <f>S158/$G244/'4. L PLAN'!O$109</f>
        <v>0</v>
      </c>
      <c r="T244" s="1857">
        <f>T158/$G244/'4. L PLAN'!P$109</f>
        <v>0</v>
      </c>
      <c r="U244" s="1855">
        <f>U158/$G244/'4. L PLAN'!Q$109</f>
        <v>0</v>
      </c>
      <c r="V244" s="1862">
        <f t="shared" si="151"/>
        <v>0</v>
      </c>
      <c r="W244" s="5"/>
      <c r="X244" s="1535"/>
      <c r="Y244" s="1610"/>
      <c r="AA244" s="1658">
        <f t="shared" si="152"/>
        <v>1700</v>
      </c>
      <c r="AB244" s="1854">
        <f t="shared" si="153"/>
        <v>350</v>
      </c>
      <c r="AC244" s="1724">
        <f t="shared" si="154"/>
        <v>1</v>
      </c>
      <c r="AD244" s="1535" t="b">
        <f t="shared" si="155"/>
        <v>1</v>
      </c>
      <c r="AE244" s="1535" t="b">
        <f t="shared" si="156"/>
        <v>1</v>
      </c>
      <c r="AF244" s="1535" t="b">
        <f t="shared" si="157"/>
        <v>1</v>
      </c>
    </row>
    <row r="245" spans="1:34" s="1569" customFormat="1" ht="19.5" customHeight="1">
      <c r="A245" s="7225"/>
      <c r="B245" s="7300"/>
      <c r="C245" s="8"/>
      <c r="D245" s="10"/>
      <c r="E245" s="4045"/>
      <c r="F245" s="1658" t="str">
        <f t="shared" si="150"/>
        <v>IPM 2.0 HSG Premium</v>
      </c>
      <c r="G245" s="10">
        <f>IFERROR(VLOOKUP(F245,B.BasicInfomation!$B:$O,11,0),"")</f>
        <v>1700</v>
      </c>
      <c r="H245" s="1658">
        <f>IFERROR(VLOOKUP(F245,B.BasicInfomation!$B:$O,12,0),"")</f>
        <v>350</v>
      </c>
      <c r="I245" s="1938">
        <f>IFERROR(VLOOKUP(F245,B.BasicInfomation!$B:$O,13,0),"")</f>
        <v>1</v>
      </c>
      <c r="J245" s="4700">
        <f>J159/$G245/'4. L PLAN'!F$109</f>
        <v>0</v>
      </c>
      <c r="K245" s="5370">
        <f>K159/$G245/'4. L PLAN'!G$109</f>
        <v>0</v>
      </c>
      <c r="L245" s="6184">
        <f>L159/$G245/'4. L PLAN'!H$109</f>
        <v>0</v>
      </c>
      <c r="M245" s="4700">
        <f>M159/$G245/'4. L PLAN'!I$109</f>
        <v>0</v>
      </c>
      <c r="N245" s="1857">
        <f>N159/$G245/'4. L PLAN'!J$109</f>
        <v>0</v>
      </c>
      <c r="O245" s="1878">
        <f>O159/$G245/'4. L PLAN'!K$109</f>
        <v>0</v>
      </c>
      <c r="P245" s="1879">
        <f>P159/$G245/'4. L PLAN'!L$109</f>
        <v>0</v>
      </c>
      <c r="Q245" s="1857">
        <f>Q159/$G245/'4. L PLAN'!M$109</f>
        <v>0</v>
      </c>
      <c r="R245" s="1855">
        <f>R159/$G245/'4. L PLAN'!N$109</f>
        <v>0</v>
      </c>
      <c r="S245" s="1880">
        <f>S159/$G245/'4. L PLAN'!O$109</f>
        <v>0</v>
      </c>
      <c r="T245" s="1857">
        <f>T159/$G245/'4. L PLAN'!P$109</f>
        <v>0</v>
      </c>
      <c r="U245" s="1855">
        <f>U159/$G245/'4. L PLAN'!Q$109</f>
        <v>0</v>
      </c>
      <c r="V245" s="1862">
        <f t="shared" si="151"/>
        <v>0</v>
      </c>
      <c r="W245" s="5"/>
      <c r="X245" s="1535"/>
      <c r="Y245" s="1610"/>
      <c r="AA245" s="1658">
        <f t="shared" si="152"/>
        <v>1700</v>
      </c>
      <c r="AB245" s="1854">
        <f t="shared" si="153"/>
        <v>350</v>
      </c>
      <c r="AC245" s="1724">
        <f t="shared" si="154"/>
        <v>1</v>
      </c>
      <c r="AD245" s="1535" t="b">
        <f t="shared" si="155"/>
        <v>1</v>
      </c>
      <c r="AE245" s="1535" t="b">
        <f t="shared" si="156"/>
        <v>1</v>
      </c>
      <c r="AF245" s="1535" t="b">
        <f t="shared" si="157"/>
        <v>1</v>
      </c>
    </row>
    <row r="246" spans="1:34" s="1569" customFormat="1" ht="19.5" customHeight="1">
      <c r="A246" s="7225"/>
      <c r="B246" s="7300"/>
      <c r="C246" s="3507" t="s">
        <v>1262</v>
      </c>
      <c r="D246" s="3507" t="s">
        <v>1272</v>
      </c>
      <c r="E246" s="4067"/>
      <c r="F246" s="3389" t="str">
        <f t="shared" si="150"/>
        <v>Glass Frame (ZF60A-T5)</v>
      </c>
      <c r="G246" s="3507">
        <v>0</v>
      </c>
      <c r="H246" s="3389">
        <v>0</v>
      </c>
      <c r="I246" s="3664">
        <v>0</v>
      </c>
      <c r="J246" s="4706">
        <f>IFERROR(J160/$G246/'4. L PLAN'!F$109,0)</f>
        <v>0</v>
      </c>
      <c r="K246" s="5378">
        <f>IFERROR(K160/$G246/'4. L PLAN'!G$109,0)</f>
        <v>0</v>
      </c>
      <c r="L246" s="6193">
        <f>IFERROR(L160/$G246/'4. L PLAN'!H$109,0)</f>
        <v>0</v>
      </c>
      <c r="M246" s="4706">
        <f>IFERROR(M160/$G246/'4. L PLAN'!I$109,0)</f>
        <v>0</v>
      </c>
      <c r="N246" s="3531">
        <f>IFERROR(N160/$G246/'4. L PLAN'!J$109,0)</f>
        <v>0</v>
      </c>
      <c r="O246" s="3529">
        <f>IFERROR(O160/$G246/'4. L PLAN'!K$109,0)</f>
        <v>0</v>
      </c>
      <c r="P246" s="3530">
        <f>IFERROR(P160/$G246/'4. L PLAN'!L$109,0)</f>
        <v>0</v>
      </c>
      <c r="Q246" s="3531">
        <f>IFERROR(Q160/$G246/'4. L PLAN'!M$109,0)</f>
        <v>0</v>
      </c>
      <c r="R246" s="3532">
        <f>IFERROR(R160/$G246/'4. L PLAN'!N$109,0)</f>
        <v>0</v>
      </c>
      <c r="S246" s="1894">
        <f>IFERROR(S160/$G246/'4. L PLAN'!O$109,0)</f>
        <v>0</v>
      </c>
      <c r="T246" s="3531">
        <f>IFERROR(T160/$G246/'4. L PLAN'!P$109,0)</f>
        <v>0</v>
      </c>
      <c r="U246" s="3532">
        <f>IFERROR(U160/$G246/'4. L PLAN'!Q$109,0)</f>
        <v>0</v>
      </c>
      <c r="V246" s="1877">
        <f t="shared" ref="V246:V252" si="158">AVERAGE(J246:U246)</f>
        <v>0</v>
      </c>
      <c r="W246" s="5"/>
      <c r="X246" s="1535"/>
      <c r="Y246" s="1610"/>
      <c r="AA246" s="1658">
        <f t="shared" si="152"/>
        <v>0</v>
      </c>
      <c r="AB246" s="1854">
        <f t="shared" si="153"/>
        <v>0</v>
      </c>
      <c r="AC246" s="1724">
        <f t="shared" si="154"/>
        <v>0</v>
      </c>
      <c r="AD246" s="1535" t="b">
        <f t="shared" si="155"/>
        <v>1</v>
      </c>
      <c r="AE246" s="1535" t="b">
        <f t="shared" si="156"/>
        <v>1</v>
      </c>
      <c r="AF246" s="1535" t="b">
        <f t="shared" si="157"/>
        <v>1</v>
      </c>
    </row>
    <row r="247" spans="1:34" s="1569" customFormat="1" ht="19.5" customHeight="1">
      <c r="A247" s="7225"/>
      <c r="B247" s="7300"/>
      <c r="C247" s="8"/>
      <c r="D247" s="10"/>
      <c r="E247" s="4045"/>
      <c r="F247" s="1658" t="str">
        <f t="shared" si="150"/>
        <v>Body Compute enclosure (AL6061-T6)</v>
      </c>
      <c r="G247" s="10">
        <v>0</v>
      </c>
      <c r="H247" s="1658">
        <v>0</v>
      </c>
      <c r="I247" s="1938">
        <v>0</v>
      </c>
      <c r="J247" s="4700">
        <f>IFERROR(J161/$G247/'4. L PLAN'!F$109,0)</f>
        <v>0</v>
      </c>
      <c r="K247" s="5370">
        <f>IFERROR(K161/$G247/'4. L PLAN'!G$109,0)</f>
        <v>0</v>
      </c>
      <c r="L247" s="6184">
        <f>IFERROR(L161/$G247/'4. L PLAN'!H$109,0)</f>
        <v>0</v>
      </c>
      <c r="M247" s="4700">
        <f>IFERROR(M161/$G247/'4. L PLAN'!I$109,0)</f>
        <v>0</v>
      </c>
      <c r="N247" s="1857">
        <f>IFERROR(N161/$G247/'4. L PLAN'!J$109,0)</f>
        <v>0</v>
      </c>
      <c r="O247" s="1878">
        <f>IFERROR(O161/$G247/'4. L PLAN'!K$109,0)</f>
        <v>0</v>
      </c>
      <c r="P247" s="1879">
        <f>IFERROR(P161/$G247/'4. L PLAN'!L$109,0)</f>
        <v>0</v>
      </c>
      <c r="Q247" s="1857">
        <f>IFERROR(Q161/$G247/'4. L PLAN'!M$109,0)</f>
        <v>0</v>
      </c>
      <c r="R247" s="1855">
        <f>IFERROR(R161/$G247/'4. L PLAN'!N$109,0)</f>
        <v>0</v>
      </c>
      <c r="S247" s="1880">
        <f>IFERROR(S161/$G247/'4. L PLAN'!O$109,0)</f>
        <v>0</v>
      </c>
      <c r="T247" s="1857">
        <f>IFERROR(T161/$G247/'4. L PLAN'!P$109,0)</f>
        <v>0</v>
      </c>
      <c r="U247" s="1855">
        <f>IFERROR(U161/$G247/'4. L PLAN'!Q$109,0)</f>
        <v>0</v>
      </c>
      <c r="V247" s="1862">
        <f t="shared" si="158"/>
        <v>0</v>
      </c>
      <c r="W247" s="5"/>
      <c r="X247" s="1535"/>
      <c r="Y247" s="1610"/>
      <c r="AA247" s="1658">
        <f t="shared" si="152"/>
        <v>0</v>
      </c>
      <c r="AB247" s="1854">
        <f t="shared" si="153"/>
        <v>0</v>
      </c>
      <c r="AC247" s="1724">
        <f t="shared" si="154"/>
        <v>0</v>
      </c>
      <c r="AD247" s="1535" t="b">
        <f t="shared" si="155"/>
        <v>1</v>
      </c>
      <c r="AE247" s="1535" t="b">
        <f t="shared" si="156"/>
        <v>1</v>
      </c>
      <c r="AF247" s="1535" t="b">
        <f t="shared" si="157"/>
        <v>1</v>
      </c>
    </row>
    <row r="248" spans="1:34" s="1569" customFormat="1" ht="19.5" hidden="1" customHeight="1">
      <c r="A248" s="7225"/>
      <c r="B248" s="7300"/>
      <c r="C248" s="8"/>
      <c r="D248" s="10"/>
      <c r="E248" s="4045"/>
      <c r="F248" s="1658" t="str">
        <f t="shared" si="150"/>
        <v>Others Part</v>
      </c>
      <c r="G248" s="10">
        <v>0</v>
      </c>
      <c r="H248" s="1658">
        <v>0</v>
      </c>
      <c r="I248" s="1938">
        <v>0</v>
      </c>
      <c r="J248" s="4700">
        <f>IFERROR(J162/$G248/'4. L PLAN'!F$109,0)</f>
        <v>0</v>
      </c>
      <c r="K248" s="5370">
        <f>IFERROR(K162/$G248/'4. L PLAN'!G$109,0)</f>
        <v>0</v>
      </c>
      <c r="L248" s="6184">
        <f>IFERROR(L162/$G248/'4. L PLAN'!H$109,0)</f>
        <v>0</v>
      </c>
      <c r="M248" s="4700">
        <f>IFERROR(M162/$G248/'4. L PLAN'!I$109,0)</f>
        <v>0</v>
      </c>
      <c r="N248" s="1857">
        <f>IFERROR(N162/$G248/'4. L PLAN'!J$109,0)</f>
        <v>0</v>
      </c>
      <c r="O248" s="1878">
        <f>IFERROR(O162/$G248/'4. L PLAN'!K$109,0)</f>
        <v>0</v>
      </c>
      <c r="P248" s="1879">
        <f>IFERROR(P162/$G248/'4. L PLAN'!L$109,0)</f>
        <v>0</v>
      </c>
      <c r="Q248" s="1857">
        <f>IFERROR(Q162/$G248/'4. L PLAN'!M$109,0)</f>
        <v>0</v>
      </c>
      <c r="R248" s="1855">
        <f>IFERROR(R162/$G248/'4. L PLAN'!N$109,0)</f>
        <v>0</v>
      </c>
      <c r="S248" s="1880">
        <f>IFERROR(S162/$G248/'4. L PLAN'!O$109,0)</f>
        <v>0</v>
      </c>
      <c r="T248" s="1857">
        <f>IFERROR(T162/$G248/'4. L PLAN'!P$109,0)</f>
        <v>0</v>
      </c>
      <c r="U248" s="1855">
        <f>IFERROR(U162/$G248/'4. L PLAN'!Q$109,0)</f>
        <v>0</v>
      </c>
      <c r="V248" s="1862">
        <f t="shared" si="158"/>
        <v>0</v>
      </c>
      <c r="W248" s="5"/>
      <c r="X248" s="1535"/>
      <c r="Y248" s="1610"/>
      <c r="AA248" s="1658">
        <f t="shared" si="152"/>
        <v>0</v>
      </c>
      <c r="AB248" s="1854">
        <f t="shared" si="153"/>
        <v>0</v>
      </c>
      <c r="AC248" s="1724">
        <f t="shared" si="154"/>
        <v>0</v>
      </c>
      <c r="AD248" s="1535" t="b">
        <f t="shared" si="155"/>
        <v>1</v>
      </c>
      <c r="AE248" s="1535" t="b">
        <f t="shared" si="156"/>
        <v>1</v>
      </c>
      <c r="AF248" s="1535" t="b">
        <f t="shared" si="157"/>
        <v>1</v>
      </c>
    </row>
    <row r="249" spans="1:34" s="1569" customFormat="1" ht="19.5" hidden="1" customHeight="1">
      <c r="A249" s="7225"/>
      <c r="B249" s="7300"/>
      <c r="C249" s="8"/>
      <c r="D249" s="10"/>
      <c r="E249" s="4045"/>
      <c r="F249" s="1658" t="e">
        <f t="shared" si="150"/>
        <v>#REF!</v>
      </c>
      <c r="G249" s="10">
        <v>0</v>
      </c>
      <c r="H249" s="1658">
        <v>0</v>
      </c>
      <c r="I249" s="1938">
        <v>0</v>
      </c>
      <c r="J249" s="4700">
        <f>IFERROR(J163/$G249/'4. L PLAN'!F$109,0)</f>
        <v>0</v>
      </c>
      <c r="K249" s="5370">
        <f>IFERROR(K163/$G249/'4. L PLAN'!G$109,0)</f>
        <v>0</v>
      </c>
      <c r="L249" s="6184">
        <f>IFERROR(L163/$G249/'4. L PLAN'!H$109,0)</f>
        <v>0</v>
      </c>
      <c r="M249" s="4700">
        <f>IFERROR(M163/$G249/'4. L PLAN'!I$109,0)</f>
        <v>0</v>
      </c>
      <c r="N249" s="1857">
        <f>IFERROR(N163/$G249/'4. L PLAN'!J$109,0)</f>
        <v>0</v>
      </c>
      <c r="O249" s="1878">
        <f>IFERROR(O163/$G249/'4. L PLAN'!K$109,0)</f>
        <v>0</v>
      </c>
      <c r="P249" s="1879">
        <f>IFERROR(P163/$G249/'4. L PLAN'!L$109,0)</f>
        <v>0</v>
      </c>
      <c r="Q249" s="1857">
        <f>IFERROR(Q163/$G249/'4. L PLAN'!M$109,0)</f>
        <v>0</v>
      </c>
      <c r="R249" s="1855">
        <f>IFERROR(R163/$G249/'4. L PLAN'!N$109,0)</f>
        <v>0</v>
      </c>
      <c r="S249" s="1880">
        <f>IFERROR(S163/$G249/'4. L PLAN'!O$109,0)</f>
        <v>0</v>
      </c>
      <c r="T249" s="1857">
        <f>IFERROR(T163/$G249/'4. L PLAN'!P$109,0)</f>
        <v>0</v>
      </c>
      <c r="U249" s="1855">
        <f>IFERROR(U163/$G249/'4. L PLAN'!Q$109,0)</f>
        <v>0</v>
      </c>
      <c r="V249" s="1862">
        <f t="shared" si="158"/>
        <v>0</v>
      </c>
      <c r="W249" s="5"/>
      <c r="X249" s="1535"/>
      <c r="Y249" s="1610"/>
      <c r="AA249" s="1658">
        <f t="shared" si="152"/>
        <v>0</v>
      </c>
      <c r="AB249" s="1854">
        <f t="shared" si="153"/>
        <v>0</v>
      </c>
      <c r="AC249" s="1724">
        <f t="shared" si="154"/>
        <v>0</v>
      </c>
      <c r="AD249" s="1535" t="b">
        <f t="shared" si="155"/>
        <v>1</v>
      </c>
      <c r="AE249" s="1535" t="b">
        <f t="shared" si="156"/>
        <v>1</v>
      </c>
      <c r="AF249" s="1535" t="b">
        <f t="shared" si="157"/>
        <v>1</v>
      </c>
    </row>
    <row r="250" spans="1:34" s="1569" customFormat="1" ht="19.5" hidden="1" customHeight="1">
      <c r="A250" s="7225"/>
      <c r="B250" s="7300"/>
      <c r="C250" s="8"/>
      <c r="D250" s="10"/>
      <c r="E250" s="4045"/>
      <c r="F250" s="1658" t="e">
        <f t="shared" si="150"/>
        <v>#REF!</v>
      </c>
      <c r="G250" s="10">
        <v>0</v>
      </c>
      <c r="H250" s="1658">
        <v>0</v>
      </c>
      <c r="I250" s="1938">
        <v>0</v>
      </c>
      <c r="J250" s="4700">
        <f>IFERROR(J164/$G250/'4. L PLAN'!F$109,0)</f>
        <v>0</v>
      </c>
      <c r="K250" s="5370">
        <f>IFERROR(K164/$G250/'4. L PLAN'!G$109,0)</f>
        <v>0</v>
      </c>
      <c r="L250" s="6184">
        <f>IFERROR(L164/$G250/'4. L PLAN'!H$109,0)</f>
        <v>0</v>
      </c>
      <c r="M250" s="4700">
        <f>IFERROR(M164/$G250/'4. L PLAN'!I$109,0)</f>
        <v>0</v>
      </c>
      <c r="N250" s="1857">
        <f>IFERROR(N164/$G250/'4. L PLAN'!J$109,0)</f>
        <v>0</v>
      </c>
      <c r="O250" s="1878">
        <f>IFERROR(O164/$G250/'4. L PLAN'!K$109,0)</f>
        <v>0</v>
      </c>
      <c r="P250" s="1879">
        <f>IFERROR(P164/$G250/'4. L PLAN'!L$109,0)</f>
        <v>0</v>
      </c>
      <c r="Q250" s="1857">
        <f>IFERROR(Q164/$G250/'4. L PLAN'!M$109,0)</f>
        <v>0</v>
      </c>
      <c r="R250" s="1855">
        <f>IFERROR(R164/$G250/'4. L PLAN'!N$109,0)</f>
        <v>0</v>
      </c>
      <c r="S250" s="1880">
        <f>IFERROR(S164/$G250/'4. L PLAN'!O$109,0)</f>
        <v>0</v>
      </c>
      <c r="T250" s="1857">
        <f>IFERROR(T164/$G250/'4. L PLAN'!P$109,0)</f>
        <v>0</v>
      </c>
      <c r="U250" s="1855">
        <f>IFERROR(U164/$G250/'4. L PLAN'!Q$109,0)</f>
        <v>0</v>
      </c>
      <c r="V250" s="1862">
        <f t="shared" si="158"/>
        <v>0</v>
      </c>
      <c r="W250" s="5"/>
      <c r="X250" s="1535"/>
      <c r="Y250" s="1610"/>
      <c r="AA250" s="1658">
        <f t="shared" si="152"/>
        <v>0</v>
      </c>
      <c r="AB250" s="1854">
        <f t="shared" si="153"/>
        <v>0</v>
      </c>
      <c r="AC250" s="1724">
        <f t="shared" si="154"/>
        <v>0</v>
      </c>
      <c r="AD250" s="1535" t="b">
        <f t="shared" si="155"/>
        <v>1</v>
      </c>
      <c r="AE250" s="1535" t="b">
        <f t="shared" si="156"/>
        <v>1</v>
      </c>
      <c r="AF250" s="1535" t="b">
        <f t="shared" si="157"/>
        <v>1</v>
      </c>
    </row>
    <row r="251" spans="1:34" s="1569" customFormat="1" ht="19.5" hidden="1" customHeight="1">
      <c r="A251" s="7225"/>
      <c r="B251" s="7300"/>
      <c r="C251" s="8"/>
      <c r="D251" s="10"/>
      <c r="E251" s="4045"/>
      <c r="F251" s="1658" t="e">
        <f t="shared" si="150"/>
        <v>#REF!</v>
      </c>
      <c r="G251" s="10">
        <v>0</v>
      </c>
      <c r="H251" s="1658">
        <v>0</v>
      </c>
      <c r="I251" s="1938">
        <v>0</v>
      </c>
      <c r="J251" s="4700">
        <f>IFERROR(J165/$G251/'4. L PLAN'!F$109,0)</f>
        <v>0</v>
      </c>
      <c r="K251" s="5370">
        <f>IFERROR(K165/$G251/'4. L PLAN'!G$109,0)</f>
        <v>0</v>
      </c>
      <c r="L251" s="6184">
        <f>IFERROR(L165/$G251/'4. L PLAN'!H$109,0)</f>
        <v>0</v>
      </c>
      <c r="M251" s="4700">
        <f>IFERROR(M165/$G251/'4. L PLAN'!I$109,0)</f>
        <v>0</v>
      </c>
      <c r="N251" s="1857">
        <f>IFERROR(N165/$G251/'4. L PLAN'!J$109,0)</f>
        <v>0</v>
      </c>
      <c r="O251" s="1878">
        <f>IFERROR(O165/$G251/'4. L PLAN'!K$109,0)</f>
        <v>0</v>
      </c>
      <c r="P251" s="1879">
        <f>IFERROR(P165/$G251/'4. L PLAN'!L$109,0)</f>
        <v>0</v>
      </c>
      <c r="Q251" s="1857">
        <f>IFERROR(Q165/$G251/'4. L PLAN'!M$109,0)</f>
        <v>0</v>
      </c>
      <c r="R251" s="1855">
        <f>IFERROR(R165/$G251/'4. L PLAN'!N$109,0)</f>
        <v>0</v>
      </c>
      <c r="S251" s="1880">
        <f>IFERROR(S165/$G251/'4. L PLAN'!O$109,0)</f>
        <v>0</v>
      </c>
      <c r="T251" s="1857">
        <f>IFERROR(T165/$G251/'4. L PLAN'!P$109,0)</f>
        <v>0</v>
      </c>
      <c r="U251" s="1855">
        <f>IFERROR(U165/$G251/'4. L PLAN'!Q$109,0)</f>
        <v>0</v>
      </c>
      <c r="V251" s="1862">
        <f t="shared" si="158"/>
        <v>0</v>
      </c>
      <c r="W251" s="5"/>
      <c r="X251" s="1535"/>
      <c r="Y251" s="1610"/>
      <c r="AA251" s="1658">
        <f t="shared" si="152"/>
        <v>0</v>
      </c>
      <c r="AB251" s="1854">
        <f t="shared" si="153"/>
        <v>0</v>
      </c>
      <c r="AC251" s="1724">
        <f t="shared" si="154"/>
        <v>0</v>
      </c>
      <c r="AD251" s="1535" t="b">
        <f t="shared" si="155"/>
        <v>1</v>
      </c>
      <c r="AE251" s="1535" t="b">
        <f t="shared" si="156"/>
        <v>1</v>
      </c>
      <c r="AF251" s="1535" t="b">
        <f t="shared" si="157"/>
        <v>1</v>
      </c>
    </row>
    <row r="252" spans="1:34" s="1569" customFormat="1" ht="19.5" hidden="1" customHeight="1">
      <c r="A252" s="7225"/>
      <c r="B252" s="7300"/>
      <c r="C252" s="1596"/>
      <c r="D252" s="6"/>
      <c r="E252" s="4046"/>
      <c r="F252" s="1713" t="e">
        <f t="shared" si="150"/>
        <v>#REF!</v>
      </c>
      <c r="G252" s="6">
        <v>0</v>
      </c>
      <c r="H252" s="1713">
        <v>0</v>
      </c>
      <c r="I252" s="1999">
        <v>0</v>
      </c>
      <c r="J252" s="4703">
        <f>IFERROR(J166/$G252/'4. L PLAN'!F$109,0)</f>
        <v>0</v>
      </c>
      <c r="K252" s="5371">
        <f>IFERROR(K166/$G252/'4. L PLAN'!G$109,0)</f>
        <v>0</v>
      </c>
      <c r="L252" s="6185">
        <f>IFERROR(L166/$G252/'4. L PLAN'!H$109,0)</f>
        <v>0</v>
      </c>
      <c r="M252" s="4703">
        <f>IFERROR(M166/$G252/'4. L PLAN'!I$109,0)</f>
        <v>0</v>
      </c>
      <c r="N252" s="1852">
        <f>IFERROR(N166/$G252/'4. L PLAN'!J$109,0)</f>
        <v>0</v>
      </c>
      <c r="O252" s="1897">
        <f>IFERROR(O166/$G252/'4. L PLAN'!K$109,0)</f>
        <v>0</v>
      </c>
      <c r="P252" s="1898">
        <f>IFERROR(P166/$G252/'4. L PLAN'!L$109,0)</f>
        <v>0</v>
      </c>
      <c r="Q252" s="1852">
        <f>IFERROR(Q166/$G252/'4. L PLAN'!M$109,0)</f>
        <v>0</v>
      </c>
      <c r="R252" s="1851">
        <f>IFERROR(R166/$G252/'4. L PLAN'!N$109,0)</f>
        <v>0</v>
      </c>
      <c r="S252" s="1899">
        <f>IFERROR(S166/$G252/'4. L PLAN'!O$109,0)</f>
        <v>0</v>
      </c>
      <c r="T252" s="1852">
        <f>IFERROR(T166/$G252/'4. L PLAN'!P$109,0)</f>
        <v>0</v>
      </c>
      <c r="U252" s="1851">
        <f>IFERROR(U166/$G252/'4. L PLAN'!Q$109,0)</f>
        <v>0</v>
      </c>
      <c r="V252" s="1853">
        <f t="shared" si="158"/>
        <v>0</v>
      </c>
      <c r="W252" s="5"/>
      <c r="X252" s="1535"/>
      <c r="Y252" s="1610"/>
      <c r="AA252" s="1658">
        <f t="shared" si="152"/>
        <v>0</v>
      </c>
      <c r="AB252" s="1854">
        <f t="shared" si="153"/>
        <v>0</v>
      </c>
      <c r="AC252" s="1724">
        <f t="shared" si="154"/>
        <v>0</v>
      </c>
      <c r="AD252" s="1535" t="b">
        <f t="shared" si="155"/>
        <v>1</v>
      </c>
      <c r="AE252" s="1535" t="b">
        <f t="shared" si="156"/>
        <v>1</v>
      </c>
      <c r="AF252" s="1535" t="b">
        <f t="shared" si="157"/>
        <v>1</v>
      </c>
    </row>
    <row r="253" spans="1:34" ht="19.5" customHeight="1" thickBot="1">
      <c r="A253" s="7298"/>
      <c r="B253" s="7301"/>
      <c r="C253" s="1726" t="s">
        <v>43</v>
      </c>
      <c r="D253" s="1726"/>
      <c r="E253" s="1726"/>
      <c r="F253" s="1727"/>
      <c r="G253" s="1901"/>
      <c r="H253" s="1901"/>
      <c r="I253" s="2787"/>
      <c r="J253" s="4707">
        <f t="shared" ref="J253:U253" si="159">SUM(J190:J252)</f>
        <v>12.195712753352954</v>
      </c>
      <c r="K253" s="4707">
        <f t="shared" si="159"/>
        <v>20.169301919399224</v>
      </c>
      <c r="L253" s="6187">
        <f t="shared" si="159"/>
        <v>16.533871682211391</v>
      </c>
      <c r="M253" s="4698">
        <f t="shared" si="159"/>
        <v>17.282941030556149</v>
      </c>
      <c r="N253" s="1869">
        <f t="shared" si="159"/>
        <v>14.823783534342528</v>
      </c>
      <c r="O253" s="1903">
        <f t="shared" si="159"/>
        <v>12.978592001943849</v>
      </c>
      <c r="P253" s="1868">
        <f>SUM(P190:P252)</f>
        <v>12.274954032873065</v>
      </c>
      <c r="Q253" s="1869">
        <f t="shared" si="159"/>
        <v>10.136153470417177</v>
      </c>
      <c r="R253" s="1867">
        <f t="shared" si="159"/>
        <v>11.080778786020096</v>
      </c>
      <c r="S253" s="1904">
        <f t="shared" si="159"/>
        <v>9.4334422587705458</v>
      </c>
      <c r="T253" s="1869">
        <f t="shared" si="159"/>
        <v>9.549784976990928</v>
      </c>
      <c r="U253" s="1867">
        <f t="shared" si="159"/>
        <v>8.9646993310045424</v>
      </c>
      <c r="V253" s="1905">
        <f>AVERAGE(J253:U253)</f>
        <v>12.952001314823539</v>
      </c>
      <c r="W253" s="5"/>
      <c r="Y253" s="1610"/>
      <c r="AA253" s="1658">
        <f t="shared" si="152"/>
        <v>0</v>
      </c>
      <c r="AB253" s="1854">
        <f t="shared" si="153"/>
        <v>0</v>
      </c>
      <c r="AC253" s="1724">
        <f t="shared" si="154"/>
        <v>0</v>
      </c>
    </row>
    <row r="254" spans="1:34" ht="19.5" customHeight="1" thickBot="1">
      <c r="A254" s="7081" t="s">
        <v>137</v>
      </c>
      <c r="B254" s="7082"/>
      <c r="C254" s="7082"/>
      <c r="D254" s="7082"/>
      <c r="E254" s="7082"/>
      <c r="F254" s="7082"/>
      <c r="G254" s="7082"/>
      <c r="H254" s="7082"/>
      <c r="I254" s="7083"/>
      <c r="J254" s="4708">
        <f t="shared" ref="J254:U254" si="160">J253+J189</f>
        <v>23.739564450527109</v>
      </c>
      <c r="K254" s="5379">
        <f t="shared" si="160"/>
        <v>36.201495072488669</v>
      </c>
      <c r="L254" s="6194">
        <f t="shared" si="160"/>
        <v>25.783057542940014</v>
      </c>
      <c r="M254" s="6195">
        <f t="shared" si="160"/>
        <v>27.420203727756434</v>
      </c>
      <c r="N254" s="1909">
        <f t="shared" si="160"/>
        <v>24.876296792870825</v>
      </c>
      <c r="O254" s="1907">
        <f t="shared" si="160"/>
        <v>28.859029605921073</v>
      </c>
      <c r="P254" s="1908">
        <f t="shared" si="160"/>
        <v>29.393995319741329</v>
      </c>
      <c r="Q254" s="1909">
        <f t="shared" si="160"/>
        <v>27.407258187058815</v>
      </c>
      <c r="R254" s="1910">
        <f t="shared" si="160"/>
        <v>24.145201641587477</v>
      </c>
      <c r="S254" s="1908">
        <f t="shared" si="160"/>
        <v>19.238747057113493</v>
      </c>
      <c r="T254" s="1909">
        <f t="shared" si="160"/>
        <v>22.953178442869721</v>
      </c>
      <c r="U254" s="1910">
        <f t="shared" si="160"/>
        <v>21.18125748429858</v>
      </c>
      <c r="V254" s="1911">
        <f>AVERAGE(J254:U254)</f>
        <v>25.933273777097796</v>
      </c>
      <c r="W254" s="5"/>
      <c r="Y254" s="5"/>
      <c r="AA254" s="1535"/>
      <c r="AB254" s="1535"/>
      <c r="AC254" s="1535"/>
    </row>
    <row r="255" spans="1:34" s="1618" customFormat="1" ht="19.5" customHeight="1">
      <c r="A255" s="7075">
        <v>350</v>
      </c>
      <c r="B255" s="7076"/>
      <c r="C255" s="7076"/>
      <c r="D255" s="7076"/>
      <c r="E255" s="7076"/>
      <c r="F255" s="7076"/>
      <c r="G255" s="7076"/>
      <c r="H255" s="7076"/>
      <c r="I255" s="7077"/>
      <c r="J255" s="4709">
        <f t="shared" ref="J255:V256" si="161">SUMIF($H$175:$H$252,$A255,J$175:J$252)</f>
        <v>22.36481815865368</v>
      </c>
      <c r="K255" s="5380">
        <f t="shared" si="161"/>
        <v>34.135714079204682</v>
      </c>
      <c r="L255" s="6196">
        <f t="shared" si="161"/>
        <v>23.682631115459248</v>
      </c>
      <c r="M255" s="6197">
        <f t="shared" si="161"/>
        <v>25.167981218685856</v>
      </c>
      <c r="N255" s="1914">
        <f t="shared" si="161"/>
        <v>23.150130291436952</v>
      </c>
      <c r="O255" s="1912">
        <f t="shared" si="161"/>
        <v>27.06865233769232</v>
      </c>
      <c r="P255" s="1913">
        <f t="shared" si="161"/>
        <v>27.42246186808379</v>
      </c>
      <c r="Q255" s="1914">
        <f t="shared" si="161"/>
        <v>25.342839661938442</v>
      </c>
      <c r="R255" s="1915">
        <f t="shared" si="161"/>
        <v>21.932241119854098</v>
      </c>
      <c r="S255" s="1913">
        <f t="shared" si="161"/>
        <v>17.288096165882948</v>
      </c>
      <c r="T255" s="1914">
        <f t="shared" si="161"/>
        <v>20.875054181962373</v>
      </c>
      <c r="U255" s="1915">
        <f t="shared" si="161"/>
        <v>19.257068353828821</v>
      </c>
      <c r="V255" s="1916">
        <f t="shared" si="161"/>
        <v>23.105962394619475</v>
      </c>
      <c r="W255" s="5"/>
      <c r="X255" s="1535"/>
      <c r="Y255" s="5"/>
      <c r="Z255" s="1636"/>
      <c r="AA255" s="1636"/>
      <c r="AB255" s="1636"/>
      <c r="AC255" s="1636"/>
      <c r="AD255" s="1636"/>
      <c r="AE255" s="1636"/>
      <c r="AF255" s="1636"/>
      <c r="AG255" s="1636"/>
      <c r="AH255" s="1636"/>
    </row>
    <row r="256" spans="1:34" s="1618" customFormat="1" ht="19.5" customHeight="1" thickBot="1">
      <c r="A256" s="7063">
        <v>125</v>
      </c>
      <c r="B256" s="7064"/>
      <c r="C256" s="7064"/>
      <c r="D256" s="7064"/>
      <c r="E256" s="7064"/>
      <c r="F256" s="7064"/>
      <c r="G256" s="7064"/>
      <c r="H256" s="7064"/>
      <c r="I256" s="7065"/>
      <c r="J256" s="4710">
        <f t="shared" si="161"/>
        <v>1.3747462918734294</v>
      </c>
      <c r="K256" s="5381">
        <f t="shared" si="161"/>
        <v>2.0657809932839881</v>
      </c>
      <c r="L256" s="6198">
        <f t="shared" si="161"/>
        <v>2.1004264274807589</v>
      </c>
      <c r="M256" s="6199">
        <f t="shared" si="161"/>
        <v>2.252222509070581</v>
      </c>
      <c r="N256" s="1919">
        <f t="shared" si="161"/>
        <v>1.7261665014338696</v>
      </c>
      <c r="O256" s="1917">
        <f t="shared" si="161"/>
        <v>1.7903772682287458</v>
      </c>
      <c r="P256" s="1918">
        <f t="shared" si="161"/>
        <v>1.9715334516575354</v>
      </c>
      <c r="Q256" s="1919">
        <f t="shared" si="161"/>
        <v>2.0644185251203702</v>
      </c>
      <c r="R256" s="1920">
        <f t="shared" si="161"/>
        <v>2.2129605217333728</v>
      </c>
      <c r="S256" s="1918">
        <f t="shared" si="161"/>
        <v>1.9506508912305469</v>
      </c>
      <c r="T256" s="1919">
        <f t="shared" si="161"/>
        <v>2.0781242609073467</v>
      </c>
      <c r="U256" s="1920">
        <f t="shared" si="161"/>
        <v>1.9241891304697654</v>
      </c>
      <c r="V256" s="1921">
        <f t="shared" si="161"/>
        <v>1.9592997310408591</v>
      </c>
      <c r="W256" s="5"/>
      <c r="X256" s="1535"/>
      <c r="Y256" s="5"/>
      <c r="Z256" s="1636"/>
      <c r="AA256" s="1636"/>
      <c r="AB256" s="1636"/>
      <c r="AC256" s="1636"/>
      <c r="AD256" s="1636"/>
      <c r="AE256" s="1636"/>
      <c r="AF256" s="1636"/>
      <c r="AG256" s="1636"/>
      <c r="AH256" s="1636"/>
    </row>
    <row r="257" spans="1:34" s="1618" customFormat="1" ht="22.5" customHeight="1">
      <c r="A257" s="1922"/>
      <c r="B257" s="1922"/>
      <c r="C257" s="1922"/>
      <c r="D257" s="1922"/>
      <c r="E257" s="1922"/>
      <c r="F257" s="1922"/>
      <c r="G257" s="1922"/>
      <c r="H257" s="1922"/>
      <c r="I257" s="1922"/>
      <c r="J257" s="4711"/>
      <c r="K257" s="4711"/>
      <c r="L257" s="4711"/>
      <c r="M257" s="4711"/>
      <c r="N257" s="1923"/>
      <c r="O257" s="1923"/>
      <c r="P257" s="1923"/>
      <c r="Q257" s="1923"/>
      <c r="R257" s="1923"/>
      <c r="S257" s="1923"/>
      <c r="T257" s="1923"/>
      <c r="U257" s="1923"/>
      <c r="V257" s="1924"/>
      <c r="W257" s="5"/>
      <c r="X257" s="1535"/>
      <c r="Y257" s="5"/>
      <c r="Z257" s="1636"/>
      <c r="AA257" s="1922"/>
      <c r="AB257" s="1922"/>
      <c r="AC257" s="1922"/>
      <c r="AD257" s="1636"/>
      <c r="AE257" s="1636"/>
      <c r="AF257" s="1636"/>
      <c r="AG257" s="1636"/>
      <c r="AH257" s="1636"/>
    </row>
    <row r="258" spans="1:34" ht="22.5" customHeight="1" thickBot="1">
      <c r="A258" s="1638" t="s">
        <v>506</v>
      </c>
      <c r="J258" s="1536"/>
      <c r="N258" s="1535"/>
      <c r="O258" s="1535"/>
      <c r="P258" s="1535"/>
      <c r="Q258" s="1535"/>
      <c r="R258" s="1535"/>
      <c r="S258" s="1535"/>
      <c r="T258" s="1535"/>
      <c r="U258" s="1535"/>
      <c r="V258" s="1537" t="s">
        <v>104</v>
      </c>
      <c r="W258" s="5"/>
      <c r="Y258" s="5"/>
      <c r="Z258" s="1636"/>
      <c r="AD258" s="1636"/>
      <c r="AE258" s="1636"/>
      <c r="AF258" s="4"/>
      <c r="AG258" s="1636"/>
      <c r="AH258" s="1636"/>
    </row>
    <row r="259" spans="1:34" s="1610" customFormat="1" ht="30.6" customHeight="1" thickBot="1">
      <c r="A259" s="1539" t="s">
        <v>40</v>
      </c>
      <c r="B259" s="74" t="s">
        <v>110</v>
      </c>
      <c r="C259" s="74" t="s">
        <v>109</v>
      </c>
      <c r="D259" s="1925" t="s">
        <v>989</v>
      </c>
      <c r="E259" s="1926"/>
      <c r="F259" s="7313" t="s">
        <v>108</v>
      </c>
      <c r="G259" s="7082"/>
      <c r="H259" s="7082"/>
      <c r="I259" s="1927" t="s">
        <v>241</v>
      </c>
      <c r="J259" s="4490" t="s">
        <v>1292</v>
      </c>
      <c r="K259" s="5005" t="s">
        <v>1293</v>
      </c>
      <c r="L259" s="5494" t="s">
        <v>1294</v>
      </c>
      <c r="M259" s="4757" t="s">
        <v>1295</v>
      </c>
      <c r="N259" s="74" t="s">
        <v>1296</v>
      </c>
      <c r="O259" s="1540" t="s">
        <v>1297</v>
      </c>
      <c r="P259" s="1539" t="s">
        <v>1298</v>
      </c>
      <c r="Q259" s="74" t="s">
        <v>1299</v>
      </c>
      <c r="R259" s="1540" t="s">
        <v>1300</v>
      </c>
      <c r="S259" s="1539" t="s">
        <v>1301</v>
      </c>
      <c r="T259" s="74" t="s">
        <v>1302</v>
      </c>
      <c r="U259" s="1540" t="s">
        <v>1303</v>
      </c>
      <c r="V259" s="1541" t="s">
        <v>1304</v>
      </c>
      <c r="W259" s="5"/>
      <c r="X259" s="1535"/>
      <c r="Y259" s="5"/>
      <c r="Z259" s="1636"/>
      <c r="AA259" s="1636"/>
      <c r="AB259" s="1636"/>
      <c r="AC259" s="1927" t="s">
        <v>241</v>
      </c>
      <c r="AD259" s="1636"/>
      <c r="AE259" s="1636"/>
      <c r="AF259" s="1636"/>
      <c r="AG259" s="1636"/>
      <c r="AH259" s="1636"/>
    </row>
    <row r="260" spans="1:34" ht="18.75" customHeight="1">
      <c r="A260" s="7224">
        <v>1</v>
      </c>
      <c r="B260" s="7299" t="s">
        <v>89</v>
      </c>
      <c r="C260" s="1928" t="s">
        <v>331</v>
      </c>
      <c r="D260" s="63"/>
      <c r="E260" s="1929"/>
      <c r="F260" s="7333" t="s">
        <v>194</v>
      </c>
      <c r="G260" s="7334"/>
      <c r="H260" s="7334"/>
      <c r="I260" s="1930"/>
      <c r="J260" s="4712">
        <v>20</v>
      </c>
      <c r="K260" s="5382">
        <v>20</v>
      </c>
      <c r="L260" s="6200">
        <v>20</v>
      </c>
      <c r="M260" s="6201">
        <v>20</v>
      </c>
      <c r="N260" s="1933">
        <v>20</v>
      </c>
      <c r="O260" s="1931">
        <v>22</v>
      </c>
      <c r="P260" s="1932">
        <v>24</v>
      </c>
      <c r="Q260" s="1933">
        <f t="shared" ref="Q260:U260" si="162">P260</f>
        <v>24</v>
      </c>
      <c r="R260" s="1931">
        <f t="shared" si="162"/>
        <v>24</v>
      </c>
      <c r="S260" s="1932">
        <f t="shared" si="162"/>
        <v>24</v>
      </c>
      <c r="T260" s="1933">
        <f t="shared" si="162"/>
        <v>24</v>
      </c>
      <c r="U260" s="1931">
        <f t="shared" si="162"/>
        <v>24</v>
      </c>
      <c r="V260" s="1934">
        <f t="shared" ref="V260:V276" si="163">AVERAGE(J260:U260)</f>
        <v>22.166666666666668</v>
      </c>
      <c r="W260" s="5"/>
      <c r="Y260" s="5"/>
      <c r="Z260" s="1636"/>
      <c r="AA260" s="1636"/>
      <c r="AB260" s="1636"/>
      <c r="AC260" s="1930"/>
      <c r="AD260" s="1636"/>
      <c r="AE260" s="1636"/>
      <c r="AF260" s="1636"/>
      <c r="AG260" s="1636"/>
      <c r="AH260" s="1636"/>
    </row>
    <row r="261" spans="1:34" ht="18.75" customHeight="1">
      <c r="A261" s="7225"/>
      <c r="B261" s="7300"/>
      <c r="C261" s="1935"/>
      <c r="D261" s="1936"/>
      <c r="E261" s="1937"/>
      <c r="F261" s="7290" t="s">
        <v>195</v>
      </c>
      <c r="G261" s="7291"/>
      <c r="H261" s="7291"/>
      <c r="I261" s="1938"/>
      <c r="J261" s="4713">
        <f>J255</f>
        <v>22.36481815865368</v>
      </c>
      <c r="K261" s="5383">
        <f t="shared" ref="K261:U261" si="164">K255</f>
        <v>34.135714079204682</v>
      </c>
      <c r="L261" s="6202">
        <f t="shared" si="164"/>
        <v>23.682631115459248</v>
      </c>
      <c r="M261" s="6203">
        <f t="shared" si="164"/>
        <v>25.167981218685856</v>
      </c>
      <c r="N261" s="1941">
        <f t="shared" si="164"/>
        <v>23.150130291436952</v>
      </c>
      <c r="O261" s="1939">
        <f>O255</f>
        <v>27.06865233769232</v>
      </c>
      <c r="P261" s="1940">
        <f t="shared" si="164"/>
        <v>27.42246186808379</v>
      </c>
      <c r="Q261" s="1941">
        <f t="shared" si="164"/>
        <v>25.342839661938442</v>
      </c>
      <c r="R261" s="1939">
        <f t="shared" si="164"/>
        <v>21.932241119854098</v>
      </c>
      <c r="S261" s="1940">
        <f t="shared" si="164"/>
        <v>17.288096165882948</v>
      </c>
      <c r="T261" s="1941">
        <f t="shared" si="164"/>
        <v>20.875054181962373</v>
      </c>
      <c r="U261" s="1939">
        <f t="shared" si="164"/>
        <v>19.257068353828821</v>
      </c>
      <c r="V261" s="1942">
        <f t="shared" si="163"/>
        <v>23.973974046056934</v>
      </c>
      <c r="W261" s="5"/>
      <c r="Y261" s="5"/>
      <c r="Z261" s="4"/>
      <c r="AA261" s="4"/>
      <c r="AB261" s="4"/>
      <c r="AC261" s="1938"/>
      <c r="AD261" s="4"/>
      <c r="AE261" s="4"/>
      <c r="AF261" s="4"/>
      <c r="AG261" s="4"/>
      <c r="AH261" s="1636"/>
    </row>
    <row r="262" spans="1:34" s="1530" customFormat="1" ht="18.75" customHeight="1">
      <c r="A262" s="7225"/>
      <c r="B262" s="7300"/>
      <c r="C262" s="1943"/>
      <c r="D262" s="1944"/>
      <c r="E262" s="1945"/>
      <c r="F262" s="7293" t="s">
        <v>196</v>
      </c>
      <c r="G262" s="7294"/>
      <c r="H262" s="7294"/>
      <c r="I262" s="1946"/>
      <c r="J262" s="4714">
        <f>J260-J261</f>
        <v>-2.3648181586536801</v>
      </c>
      <c r="K262" s="5384">
        <f t="shared" ref="K262:U262" si="165">K260-K261</f>
        <v>-14.135714079204682</v>
      </c>
      <c r="L262" s="6204">
        <f t="shared" si="165"/>
        <v>-3.6826311154592482</v>
      </c>
      <c r="M262" s="6205">
        <f t="shared" si="165"/>
        <v>-5.1679812186858562</v>
      </c>
      <c r="N262" s="1949">
        <f t="shared" si="165"/>
        <v>-3.1501302914369518</v>
      </c>
      <c r="O262" s="1947">
        <f t="shared" si="165"/>
        <v>-5.0686523376923205</v>
      </c>
      <c r="P262" s="1948">
        <f t="shared" si="165"/>
        <v>-3.4224618680837899</v>
      </c>
      <c r="Q262" s="1949">
        <f t="shared" si="165"/>
        <v>-1.3428396619384415</v>
      </c>
      <c r="R262" s="1947">
        <f t="shared" si="165"/>
        <v>2.0677588801459024</v>
      </c>
      <c r="S262" s="1948">
        <f t="shared" si="165"/>
        <v>6.7119038341170523</v>
      </c>
      <c r="T262" s="1949">
        <f t="shared" si="165"/>
        <v>3.1249458180376273</v>
      </c>
      <c r="U262" s="1947">
        <f t="shared" si="165"/>
        <v>4.7429316461711792</v>
      </c>
      <c r="V262" s="1950">
        <f t="shared" si="163"/>
        <v>-1.8073073793902674</v>
      </c>
      <c r="W262" s="5"/>
      <c r="X262" s="1535"/>
      <c r="Y262" s="5"/>
      <c r="Z262" s="1637"/>
      <c r="AA262" s="1637"/>
      <c r="AB262" s="1637"/>
      <c r="AC262" s="1946"/>
      <c r="AD262" s="1637"/>
      <c r="AE262" s="1637"/>
      <c r="AF262" s="1637"/>
      <c r="AG262" s="1637"/>
      <c r="AH262" s="1817"/>
    </row>
    <row r="263" spans="1:34" ht="18.75" customHeight="1">
      <c r="A263" s="7225"/>
      <c r="B263" s="7300"/>
      <c r="C263" s="1951" t="s">
        <v>234</v>
      </c>
      <c r="D263" s="1952"/>
      <c r="E263" s="1953"/>
      <c r="F263" s="7287" t="s">
        <v>194</v>
      </c>
      <c r="G263" s="7288"/>
      <c r="H263" s="7288"/>
      <c r="I263" s="1954"/>
      <c r="J263" s="4715">
        <v>7</v>
      </c>
      <c r="K263" s="5385">
        <v>7</v>
      </c>
      <c r="L263" s="6206">
        <v>4</v>
      </c>
      <c r="M263" s="6207">
        <f t="shared" ref="M263" si="166">L263</f>
        <v>4</v>
      </c>
      <c r="N263" s="1957">
        <f t="shared" ref="N263" si="167">M263</f>
        <v>4</v>
      </c>
      <c r="O263" s="1955">
        <v>2</v>
      </c>
      <c r="P263" s="1956">
        <v>2</v>
      </c>
      <c r="Q263" s="1957">
        <f t="shared" ref="Q263" si="168">P263</f>
        <v>2</v>
      </c>
      <c r="R263" s="1955">
        <f t="shared" ref="R263" si="169">Q263</f>
        <v>2</v>
      </c>
      <c r="S263" s="1956">
        <f t="shared" ref="S263" si="170">R263</f>
        <v>2</v>
      </c>
      <c r="T263" s="1957">
        <f t="shared" ref="T263" si="171">S263</f>
        <v>2</v>
      </c>
      <c r="U263" s="1955">
        <f t="shared" ref="U263" si="172">T263</f>
        <v>2</v>
      </c>
      <c r="V263" s="1958">
        <f t="shared" si="163"/>
        <v>3.3333333333333335</v>
      </c>
      <c r="W263" s="5"/>
      <c r="Y263" s="5"/>
      <c r="Z263" s="4"/>
      <c r="AA263" s="4"/>
      <c r="AB263" s="4"/>
      <c r="AC263" s="1954"/>
      <c r="AD263" s="4"/>
      <c r="AE263" s="4"/>
      <c r="AF263" s="4"/>
      <c r="AG263" s="4"/>
      <c r="AH263" s="1636"/>
    </row>
    <row r="264" spans="1:34" ht="18.75" customHeight="1">
      <c r="A264" s="7225"/>
      <c r="B264" s="7300"/>
      <c r="C264" s="1935"/>
      <c r="D264" s="1936"/>
      <c r="E264" s="1937"/>
      <c r="F264" s="7290" t="s">
        <v>195</v>
      </c>
      <c r="G264" s="7291"/>
      <c r="H264" s="7291"/>
      <c r="I264" s="1938"/>
      <c r="J264" s="4713">
        <f t="shared" ref="J264:U264" si="173">J256</f>
        <v>1.3747462918734294</v>
      </c>
      <c r="K264" s="5383">
        <f t="shared" si="173"/>
        <v>2.0657809932839881</v>
      </c>
      <c r="L264" s="6202">
        <f t="shared" si="173"/>
        <v>2.1004264274807589</v>
      </c>
      <c r="M264" s="6203">
        <f t="shared" si="173"/>
        <v>2.252222509070581</v>
      </c>
      <c r="N264" s="1941">
        <f t="shared" si="173"/>
        <v>1.7261665014338696</v>
      </c>
      <c r="O264" s="1939">
        <f t="shared" si="173"/>
        <v>1.7903772682287458</v>
      </c>
      <c r="P264" s="1940">
        <f t="shared" si="173"/>
        <v>1.9715334516575354</v>
      </c>
      <c r="Q264" s="1941">
        <f t="shared" si="173"/>
        <v>2.0644185251203702</v>
      </c>
      <c r="R264" s="1939">
        <f t="shared" si="173"/>
        <v>2.2129605217333728</v>
      </c>
      <c r="S264" s="1940">
        <f t="shared" si="173"/>
        <v>1.9506508912305469</v>
      </c>
      <c r="T264" s="1941">
        <f t="shared" si="173"/>
        <v>2.0781242609073467</v>
      </c>
      <c r="U264" s="1939">
        <f t="shared" si="173"/>
        <v>1.9241891304697654</v>
      </c>
      <c r="V264" s="1942">
        <f t="shared" si="163"/>
        <v>1.9592997310408595</v>
      </c>
      <c r="W264" s="5"/>
      <c r="Y264" s="5"/>
      <c r="Z264" s="4"/>
      <c r="AA264" s="4"/>
      <c r="AB264" s="4"/>
      <c r="AC264" s="1938"/>
      <c r="AD264" s="4"/>
      <c r="AE264" s="4"/>
      <c r="AF264" s="4"/>
      <c r="AG264" s="4"/>
      <c r="AH264" s="1636"/>
    </row>
    <row r="265" spans="1:34" s="1530" customFormat="1" ht="18.75" customHeight="1">
      <c r="A265" s="7225"/>
      <c r="B265" s="7300"/>
      <c r="C265" s="1959"/>
      <c r="D265" s="1960"/>
      <c r="E265" s="1961"/>
      <c r="F265" s="7290" t="s">
        <v>187</v>
      </c>
      <c r="G265" s="7291"/>
      <c r="H265" s="7291"/>
      <c r="I265" s="1938"/>
      <c r="J265" s="4716">
        <f>J263-J264</f>
        <v>5.6252537081265706</v>
      </c>
      <c r="K265" s="5386">
        <f t="shared" ref="K265:U265" si="174">K263-K264</f>
        <v>4.9342190067160114</v>
      </c>
      <c r="L265" s="6208">
        <f t="shared" si="174"/>
        <v>1.8995735725192411</v>
      </c>
      <c r="M265" s="6209">
        <f t="shared" si="174"/>
        <v>1.747777490929419</v>
      </c>
      <c r="N265" s="1964">
        <f t="shared" si="174"/>
        <v>2.2738334985661304</v>
      </c>
      <c r="O265" s="1962">
        <f t="shared" si="174"/>
        <v>0.20962273177125423</v>
      </c>
      <c r="P265" s="1963">
        <f t="shared" si="174"/>
        <v>2.8466548342464648E-2</v>
      </c>
      <c r="Q265" s="1964">
        <f t="shared" si="174"/>
        <v>-6.4418525120370163E-2</v>
      </c>
      <c r="R265" s="1962">
        <f t="shared" si="174"/>
        <v>-0.21296052173337277</v>
      </c>
      <c r="S265" s="1963">
        <f t="shared" si="174"/>
        <v>4.9349108769453087E-2</v>
      </c>
      <c r="T265" s="1964">
        <f t="shared" si="174"/>
        <v>-7.8124260907346699E-2</v>
      </c>
      <c r="U265" s="1962">
        <f t="shared" si="174"/>
        <v>7.5810869530234637E-2</v>
      </c>
      <c r="V265" s="1965">
        <f t="shared" si="163"/>
        <v>1.3740336022924737</v>
      </c>
      <c r="W265" s="5"/>
      <c r="X265" s="1535"/>
      <c r="Y265" s="5"/>
      <c r="Z265" s="1637"/>
      <c r="AA265" s="1637"/>
      <c r="AB265" s="1637"/>
      <c r="AC265" s="1938"/>
      <c r="AD265" s="1637"/>
      <c r="AE265" s="1637"/>
      <c r="AF265" s="1637"/>
      <c r="AG265" s="1637"/>
      <c r="AH265" s="1817"/>
    </row>
    <row r="266" spans="1:34" s="1530" customFormat="1" ht="18.75" customHeight="1" thickBot="1">
      <c r="A266" s="7298"/>
      <c r="B266" s="7339"/>
      <c r="C266" s="7338" t="s">
        <v>197</v>
      </c>
      <c r="D266" s="7338"/>
      <c r="E266" s="7338"/>
      <c r="F266" s="7338"/>
      <c r="G266" s="7338"/>
      <c r="H266" s="7338"/>
      <c r="I266" s="1967"/>
      <c r="J266" s="4717">
        <f>J261+J264</f>
        <v>23.739564450527109</v>
      </c>
      <c r="K266" s="5387">
        <f t="shared" ref="K266:U266" si="175">K261+K264</f>
        <v>36.201495072488669</v>
      </c>
      <c r="L266" s="6210">
        <f t="shared" si="175"/>
        <v>25.783057542940007</v>
      </c>
      <c r="M266" s="6211">
        <f t="shared" si="175"/>
        <v>27.420203727756437</v>
      </c>
      <c r="N266" s="1970">
        <f t="shared" si="175"/>
        <v>24.876296792870821</v>
      </c>
      <c r="O266" s="1968">
        <f t="shared" si="175"/>
        <v>28.859029605921066</v>
      </c>
      <c r="P266" s="1969">
        <f t="shared" si="175"/>
        <v>29.393995319741325</v>
      </c>
      <c r="Q266" s="1970">
        <f t="shared" si="175"/>
        <v>27.407258187058812</v>
      </c>
      <c r="R266" s="1968">
        <f t="shared" si="175"/>
        <v>24.14520164158747</v>
      </c>
      <c r="S266" s="1969">
        <f t="shared" si="175"/>
        <v>19.238747057113496</v>
      </c>
      <c r="T266" s="1970">
        <f t="shared" si="175"/>
        <v>22.953178442869721</v>
      </c>
      <c r="U266" s="1968">
        <f t="shared" si="175"/>
        <v>21.181257484298587</v>
      </c>
      <c r="V266" s="1971">
        <f t="shared" si="163"/>
        <v>25.933273777097796</v>
      </c>
      <c r="W266" s="5"/>
      <c r="X266" s="1535"/>
      <c r="Y266" s="5"/>
      <c r="Z266" s="1637"/>
      <c r="AA266" s="1637"/>
      <c r="AB266" s="1637"/>
      <c r="AC266" s="1967"/>
      <c r="AD266" s="1637"/>
      <c r="AE266" s="1637"/>
      <c r="AF266" s="1637"/>
      <c r="AG266" s="1637"/>
      <c r="AH266" s="1817"/>
    </row>
    <row r="267" spans="1:34" s="1530" customFormat="1" ht="18.75" customHeight="1">
      <c r="A267" s="7285">
        <v>2</v>
      </c>
      <c r="B267" s="7197" t="s">
        <v>101</v>
      </c>
      <c r="C267" s="2274" t="s">
        <v>1316</v>
      </c>
      <c r="D267" s="1972"/>
      <c r="E267" s="1973"/>
      <c r="F267" s="7333" t="s">
        <v>985</v>
      </c>
      <c r="G267" s="7334"/>
      <c r="H267" s="7334"/>
      <c r="I267" s="1930">
        <v>145</v>
      </c>
      <c r="J267" s="4718">
        <v>147</v>
      </c>
      <c r="K267" s="5388">
        <f t="shared" ref="K267:U267" si="176">J267</f>
        <v>147</v>
      </c>
      <c r="L267" s="6212">
        <f t="shared" si="176"/>
        <v>147</v>
      </c>
      <c r="M267" s="6213">
        <f t="shared" si="176"/>
        <v>147</v>
      </c>
      <c r="N267" s="1976">
        <f t="shared" si="176"/>
        <v>147</v>
      </c>
      <c r="O267" s="1974">
        <f t="shared" si="176"/>
        <v>147</v>
      </c>
      <c r="P267" s="1975">
        <f t="shared" si="176"/>
        <v>147</v>
      </c>
      <c r="Q267" s="1976">
        <f t="shared" si="176"/>
        <v>147</v>
      </c>
      <c r="R267" s="1974">
        <f t="shared" si="176"/>
        <v>147</v>
      </c>
      <c r="S267" s="1975">
        <f t="shared" si="176"/>
        <v>147</v>
      </c>
      <c r="T267" s="1976">
        <f t="shared" si="176"/>
        <v>147</v>
      </c>
      <c r="U267" s="1974">
        <f t="shared" si="176"/>
        <v>147</v>
      </c>
      <c r="V267" s="1934">
        <f t="shared" si="163"/>
        <v>147</v>
      </c>
      <c r="W267" s="5"/>
      <c r="X267" s="1535"/>
      <c r="Y267" s="5"/>
      <c r="Z267" s="1817"/>
      <c r="AA267" s="1817"/>
      <c r="AB267" s="1817"/>
      <c r="AC267" s="1930">
        <v>145</v>
      </c>
      <c r="AD267" s="1817"/>
      <c r="AE267" s="1817"/>
      <c r="AF267" s="1817"/>
      <c r="AG267" s="1817"/>
      <c r="AH267" s="1817"/>
    </row>
    <row r="268" spans="1:34" s="1530" customFormat="1" ht="18.75" customHeight="1">
      <c r="A268" s="7286"/>
      <c r="B268" s="7200"/>
      <c r="C268" s="1764"/>
      <c r="D268" s="1977"/>
      <c r="E268" s="1978"/>
      <c r="F268" s="7290" t="s">
        <v>195</v>
      </c>
      <c r="G268" s="7291"/>
      <c r="H268" s="7291"/>
      <c r="I268" s="1938"/>
      <c r="J268" s="4719">
        <f>J374</f>
        <v>116.99580848546454</v>
      </c>
      <c r="K268" s="5389">
        <f>K374</f>
        <v>137.32262856192793</v>
      </c>
      <c r="L268" s="6214">
        <f t="shared" ref="L268:Q268" si="177">L374</f>
        <v>142.25609004098743</v>
      </c>
      <c r="M268" s="6215">
        <f t="shared" si="177"/>
        <v>116.70139629321331</v>
      </c>
      <c r="N268" s="1981">
        <f t="shared" si="177"/>
        <v>122.81906822712423</v>
      </c>
      <c r="O268" s="1979">
        <f t="shared" si="177"/>
        <v>110.55041575079896</v>
      </c>
      <c r="P268" s="1980">
        <f t="shared" si="177"/>
        <v>112.91379639388023</v>
      </c>
      <c r="Q268" s="1981">
        <f t="shared" si="177"/>
        <v>138.59688295818009</v>
      </c>
      <c r="R268" s="1979">
        <f>R374</f>
        <v>152.85538798420464</v>
      </c>
      <c r="S268" s="1980">
        <f t="shared" ref="S268:U268" si="178">S374</f>
        <v>140.13373441422129</v>
      </c>
      <c r="T268" s="1981">
        <f t="shared" si="178"/>
        <v>142.45113996542094</v>
      </c>
      <c r="U268" s="1979">
        <f t="shared" si="178"/>
        <v>137.79504234014922</v>
      </c>
      <c r="V268" s="1942">
        <f t="shared" si="163"/>
        <v>130.9492826179644</v>
      </c>
      <c r="W268" s="5"/>
      <c r="X268" s="1535"/>
      <c r="Y268" s="5"/>
      <c r="Z268" s="1637"/>
      <c r="AA268" s="1637"/>
      <c r="AB268" s="1637"/>
      <c r="AC268" s="1938"/>
      <c r="AD268" s="1637"/>
      <c r="AE268" s="1637"/>
      <c r="AF268" s="1637"/>
      <c r="AG268" s="1637"/>
      <c r="AH268" s="1817"/>
    </row>
    <row r="269" spans="1:34" s="1530" customFormat="1" ht="18.75" customHeight="1" thickBot="1">
      <c r="A269" s="7286"/>
      <c r="B269" s="7200"/>
      <c r="C269" s="1764"/>
      <c r="D269" s="1977"/>
      <c r="E269" s="1978"/>
      <c r="F269" s="7290" t="s">
        <v>187</v>
      </c>
      <c r="G269" s="7291"/>
      <c r="H269" s="7291"/>
      <c r="I269" s="1938"/>
      <c r="J269" s="4720">
        <f t="shared" ref="J269:U269" si="179">J267-J268</f>
        <v>30.004191514535464</v>
      </c>
      <c r="K269" s="5390">
        <f t="shared" si="179"/>
        <v>9.6773714380720719</v>
      </c>
      <c r="L269" s="6216">
        <f t="shared" si="179"/>
        <v>4.7439099590125693</v>
      </c>
      <c r="M269" s="6217">
        <f t="shared" si="179"/>
        <v>30.298603706786693</v>
      </c>
      <c r="N269" s="3556">
        <f t="shared" si="179"/>
        <v>24.180931772875766</v>
      </c>
      <c r="O269" s="3554">
        <f t="shared" si="179"/>
        <v>36.449584249201038</v>
      </c>
      <c r="P269" s="3555">
        <f t="shared" si="179"/>
        <v>34.086203606119767</v>
      </c>
      <c r="Q269" s="3556">
        <f t="shared" si="179"/>
        <v>8.403117041819911</v>
      </c>
      <c r="R269" s="3554">
        <f t="shared" si="179"/>
        <v>-5.8553879842046399</v>
      </c>
      <c r="S269" s="3555">
        <f t="shared" si="179"/>
        <v>6.8662655857787058</v>
      </c>
      <c r="T269" s="3556">
        <f t="shared" si="179"/>
        <v>4.5488600345790644</v>
      </c>
      <c r="U269" s="3554">
        <f t="shared" si="179"/>
        <v>9.204957659850777</v>
      </c>
      <c r="V269" s="1965">
        <f t="shared" si="163"/>
        <v>16.050717382035597</v>
      </c>
      <c r="W269" s="5"/>
      <c r="X269" s="1988"/>
      <c r="Y269" s="5"/>
      <c r="Z269" s="1817"/>
      <c r="AA269" s="1817"/>
      <c r="AB269" s="1817"/>
      <c r="AC269" s="1983"/>
      <c r="AD269" s="1817"/>
      <c r="AE269" s="1817"/>
      <c r="AF269" s="1817"/>
      <c r="AG269" s="1817"/>
      <c r="AH269" s="1817"/>
    </row>
    <row r="270" spans="1:34" s="1530" customFormat="1" ht="18.75" customHeight="1">
      <c r="A270" s="7286"/>
      <c r="B270" s="7200"/>
      <c r="C270" s="3575" t="s">
        <v>1315</v>
      </c>
      <c r="D270" s="3573"/>
      <c r="E270" s="3574"/>
      <c r="F270" s="7287" t="s">
        <v>1280</v>
      </c>
      <c r="G270" s="7288"/>
      <c r="H270" s="7288"/>
      <c r="I270" s="1954"/>
      <c r="J270" s="4721">
        <v>1</v>
      </c>
      <c r="K270" s="5391">
        <f t="shared" ref="K270:T270" si="180">J270</f>
        <v>1</v>
      </c>
      <c r="L270" s="6218">
        <v>1</v>
      </c>
      <c r="M270" s="6219">
        <f t="shared" si="180"/>
        <v>1</v>
      </c>
      <c r="N270" s="3731">
        <v>1</v>
      </c>
      <c r="O270" s="3729">
        <f t="shared" si="180"/>
        <v>1</v>
      </c>
      <c r="P270" s="3730">
        <f t="shared" si="180"/>
        <v>1</v>
      </c>
      <c r="Q270" s="3731">
        <f t="shared" si="180"/>
        <v>1</v>
      </c>
      <c r="R270" s="3729">
        <f t="shared" si="180"/>
        <v>1</v>
      </c>
      <c r="S270" s="3730">
        <v>2</v>
      </c>
      <c r="T270" s="3731">
        <f t="shared" si="180"/>
        <v>2</v>
      </c>
      <c r="U270" s="3729">
        <v>3</v>
      </c>
      <c r="V270" s="3732">
        <f t="shared" si="163"/>
        <v>1.3333333333333333</v>
      </c>
      <c r="W270" s="5"/>
      <c r="X270" s="1988"/>
      <c r="Y270" s="5"/>
      <c r="Z270" s="1817"/>
      <c r="AA270" s="1817"/>
      <c r="AB270" s="1817"/>
      <c r="AC270" s="1938"/>
      <c r="AD270" s="1817"/>
      <c r="AE270" s="1817"/>
      <c r="AF270" s="1817"/>
      <c r="AG270" s="1817"/>
      <c r="AH270" s="1817"/>
    </row>
    <row r="271" spans="1:34" s="1530" customFormat="1" ht="18.75" customHeight="1">
      <c r="A271" s="7286"/>
      <c r="B271" s="7200"/>
      <c r="C271" s="1764"/>
      <c r="D271" s="1977"/>
      <c r="E271" s="1978"/>
      <c r="F271" s="7290" t="s">
        <v>195</v>
      </c>
      <c r="G271" s="7291"/>
      <c r="H271" s="7291"/>
      <c r="I271" s="1938"/>
      <c r="J271" s="4720">
        <f>J382</f>
        <v>0</v>
      </c>
      <c r="K271" s="5390">
        <f t="shared" ref="K271:U271" si="181">K382</f>
        <v>0.17776162199536341</v>
      </c>
      <c r="L271" s="6216">
        <f t="shared" si="181"/>
        <v>0</v>
      </c>
      <c r="M271" s="6217">
        <f t="shared" si="181"/>
        <v>1.6097420292320037</v>
      </c>
      <c r="N271" s="3556">
        <f t="shared" si="181"/>
        <v>0.23478260869565218</v>
      </c>
      <c r="O271" s="3554">
        <f t="shared" si="181"/>
        <v>0</v>
      </c>
      <c r="P271" s="3555">
        <f t="shared" si="181"/>
        <v>0</v>
      </c>
      <c r="Q271" s="3556">
        <f t="shared" si="181"/>
        <v>1.1614955996133041</v>
      </c>
      <c r="R271" s="3554">
        <f t="shared" si="181"/>
        <v>1.8874303493716191</v>
      </c>
      <c r="S271" s="3555">
        <f t="shared" si="181"/>
        <v>1.1184772440720705</v>
      </c>
      <c r="T271" s="3556">
        <f t="shared" si="181"/>
        <v>1.2079554235978363</v>
      </c>
      <c r="U271" s="3554">
        <f t="shared" si="181"/>
        <v>1.1184772440720705</v>
      </c>
      <c r="V271" s="1965">
        <f t="shared" si="163"/>
        <v>0.70967684338749326</v>
      </c>
      <c r="W271" s="5"/>
      <c r="X271" s="1988"/>
      <c r="Y271" s="5"/>
      <c r="Z271" s="1817"/>
      <c r="AA271" s="1817"/>
      <c r="AB271" s="1817"/>
      <c r="AC271" s="1938"/>
      <c r="AD271" s="1817"/>
      <c r="AE271" s="1817"/>
      <c r="AF271" s="1817"/>
      <c r="AG271" s="1817"/>
      <c r="AH271" s="1817"/>
    </row>
    <row r="272" spans="1:34" s="1530" customFormat="1" ht="18.75" customHeight="1">
      <c r="A272" s="7286"/>
      <c r="B272" s="7200"/>
      <c r="C272" s="3134"/>
      <c r="D272" s="1977"/>
      <c r="E272" s="1978"/>
      <c r="F272" s="7290" t="s">
        <v>187</v>
      </c>
      <c r="G272" s="7291"/>
      <c r="H272" s="7291"/>
      <c r="I272" s="1938"/>
      <c r="J272" s="4720">
        <f>J270-J271</f>
        <v>1</v>
      </c>
      <c r="K272" s="5390">
        <f t="shared" ref="K272:U272" si="182">K270-K271</f>
        <v>0.82223837800463662</v>
      </c>
      <c r="L272" s="6216">
        <f t="shared" si="182"/>
        <v>1</v>
      </c>
      <c r="M272" s="6217">
        <f t="shared" si="182"/>
        <v>-0.60974202923200371</v>
      </c>
      <c r="N272" s="3556">
        <f t="shared" si="182"/>
        <v>0.76521739130434785</v>
      </c>
      <c r="O272" s="3554">
        <f t="shared" si="182"/>
        <v>1</v>
      </c>
      <c r="P272" s="3555">
        <f t="shared" si="182"/>
        <v>1</v>
      </c>
      <c r="Q272" s="3556">
        <f t="shared" si="182"/>
        <v>-0.16149559961330406</v>
      </c>
      <c r="R272" s="3554">
        <f t="shared" si="182"/>
        <v>-0.88743034937161913</v>
      </c>
      <c r="S272" s="3555">
        <f t="shared" si="182"/>
        <v>0.8815227559279295</v>
      </c>
      <c r="T272" s="3556">
        <f t="shared" si="182"/>
        <v>0.79204457640216375</v>
      </c>
      <c r="U272" s="3554">
        <f t="shared" si="182"/>
        <v>1.8815227559279295</v>
      </c>
      <c r="V272" s="1965">
        <f t="shared" si="163"/>
        <v>0.62365648994584</v>
      </c>
      <c r="W272" s="5"/>
      <c r="X272" s="1988"/>
      <c r="Y272" s="5"/>
      <c r="Z272" s="1817"/>
      <c r="AA272" s="1817"/>
      <c r="AB272" s="1817"/>
      <c r="AC272" s="1938"/>
      <c r="AD272" s="1817"/>
      <c r="AE272" s="1817"/>
      <c r="AF272" s="1817"/>
      <c r="AG272" s="1817"/>
      <c r="AH272" s="1817"/>
    </row>
    <row r="273" spans="1:47" s="1530" customFormat="1" ht="18.75" customHeight="1" thickBot="1">
      <c r="A273" s="7094"/>
      <c r="B273" s="7199"/>
      <c r="C273" s="7335" t="s">
        <v>1274</v>
      </c>
      <c r="D273" s="7336"/>
      <c r="E273" s="7336"/>
      <c r="F273" s="7336"/>
      <c r="G273" s="7336"/>
      <c r="H273" s="7336"/>
      <c r="I273" s="7337"/>
      <c r="J273" s="4722"/>
      <c r="K273" s="5392"/>
      <c r="L273" s="6220"/>
      <c r="M273" s="6221"/>
      <c r="N273" s="3577"/>
      <c r="O273" s="3578"/>
      <c r="P273" s="3576"/>
      <c r="Q273" s="3577"/>
      <c r="R273" s="3578"/>
      <c r="S273" s="3576"/>
      <c r="T273" s="3577"/>
      <c r="U273" s="3578"/>
      <c r="V273" s="3579"/>
      <c r="W273" s="5"/>
      <c r="X273" s="1988"/>
      <c r="Y273" s="5"/>
      <c r="Z273" s="1817"/>
      <c r="AA273" s="1817"/>
      <c r="AB273" s="1817"/>
      <c r="AC273" s="1938"/>
      <c r="AD273" s="1817"/>
      <c r="AE273" s="1817"/>
      <c r="AF273" s="1817"/>
      <c r="AG273" s="1817"/>
      <c r="AH273" s="1817"/>
    </row>
    <row r="274" spans="1:47" s="1530" customFormat="1" ht="18.75" customHeight="1">
      <c r="A274" s="7224">
        <v>3</v>
      </c>
      <c r="B274" s="7197" t="s">
        <v>280</v>
      </c>
      <c r="C274" s="1959"/>
      <c r="D274" s="1977"/>
      <c r="E274" s="1978"/>
      <c r="F274" s="7290" t="s">
        <v>194</v>
      </c>
      <c r="G274" s="7291"/>
      <c r="H274" s="7292"/>
      <c r="I274" s="7309"/>
      <c r="J274" s="4719">
        <v>22</v>
      </c>
      <c r="K274" s="5389">
        <f t="shared" ref="K274" si="183">J274</f>
        <v>22</v>
      </c>
      <c r="L274" s="6214">
        <f t="shared" ref="L274" si="184">K274</f>
        <v>22</v>
      </c>
      <c r="M274" s="6215">
        <f t="shared" ref="M274" si="185">L274</f>
        <v>22</v>
      </c>
      <c r="N274" s="1981">
        <f t="shared" ref="N274" si="186">M274</f>
        <v>22</v>
      </c>
      <c r="O274" s="1979">
        <f t="shared" ref="O274" si="187">N274</f>
        <v>22</v>
      </c>
      <c r="P274" s="1980">
        <f t="shared" ref="P274" si="188">O274</f>
        <v>22</v>
      </c>
      <c r="Q274" s="1981">
        <f t="shared" ref="Q274" si="189">P274</f>
        <v>22</v>
      </c>
      <c r="R274" s="1979">
        <f t="shared" ref="R274" si="190">Q274</f>
        <v>22</v>
      </c>
      <c r="S274" s="1980">
        <f t="shared" ref="S274" si="191">R274</f>
        <v>22</v>
      </c>
      <c r="T274" s="1981">
        <f t="shared" ref="T274" si="192">S274</f>
        <v>22</v>
      </c>
      <c r="U274" s="1979">
        <f t="shared" ref="U274" si="193">T274</f>
        <v>22</v>
      </c>
      <c r="V274" s="1942">
        <f t="shared" si="163"/>
        <v>22</v>
      </c>
      <c r="W274" s="5"/>
      <c r="X274" s="1535"/>
      <c r="Y274" s="5"/>
      <c r="Z274" s="1637"/>
      <c r="AA274" s="1637"/>
      <c r="AB274" s="1637"/>
      <c r="AC274" s="7308"/>
      <c r="AD274" s="1637"/>
      <c r="AE274" s="1637"/>
      <c r="AF274" s="1637"/>
      <c r="AG274" s="1637"/>
      <c r="AH274" s="1817"/>
    </row>
    <row r="275" spans="1:47" s="1530" customFormat="1" ht="18.75" customHeight="1">
      <c r="A275" s="7225"/>
      <c r="B275" s="7200"/>
      <c r="C275" s="1959"/>
      <c r="D275" s="1977"/>
      <c r="E275" s="1978"/>
      <c r="F275" s="7290" t="s">
        <v>195</v>
      </c>
      <c r="G275" s="7291"/>
      <c r="H275" s="7292"/>
      <c r="I275" s="7309"/>
      <c r="J275" s="4713">
        <f>J396</f>
        <v>5.5960214604589629</v>
      </c>
      <c r="K275" s="5383">
        <f t="shared" ref="K275:U275" si="194">K396</f>
        <v>13.389593470217434</v>
      </c>
      <c r="L275" s="6202">
        <f t="shared" si="194"/>
        <v>9.5354232410923885</v>
      </c>
      <c r="M275" s="6203">
        <f t="shared" si="194"/>
        <v>13.177295302211723</v>
      </c>
      <c r="N275" s="1941">
        <f t="shared" si="194"/>
        <v>11.112442532781433</v>
      </c>
      <c r="O275" s="1939">
        <f t="shared" si="194"/>
        <v>11.942785207686613</v>
      </c>
      <c r="P275" s="1940">
        <f t="shared" si="194"/>
        <v>11.470891415908794</v>
      </c>
      <c r="Q275" s="1941">
        <f t="shared" si="194"/>
        <v>6.5233950990302043</v>
      </c>
      <c r="R275" s="1939">
        <f t="shared" si="194"/>
        <v>3.2678796266928098</v>
      </c>
      <c r="S275" s="1940">
        <f t="shared" si="194"/>
        <v>2.4206515753280069</v>
      </c>
      <c r="T275" s="1941">
        <f t="shared" si="194"/>
        <v>2.7123400901550321</v>
      </c>
      <c r="U275" s="1939">
        <f t="shared" si="194"/>
        <v>2.5114260094028076</v>
      </c>
      <c r="V275" s="1942">
        <f t="shared" si="163"/>
        <v>7.8050120859138516</v>
      </c>
      <c r="W275" s="5"/>
      <c r="X275" s="1535"/>
      <c r="Y275" s="5"/>
      <c r="Z275" s="1817"/>
      <c r="AA275" s="1817"/>
      <c r="AB275" s="1817"/>
      <c r="AC275" s="7309"/>
      <c r="AD275" s="1817"/>
      <c r="AE275" s="1817"/>
      <c r="AF275" s="1817"/>
      <c r="AG275" s="1817"/>
      <c r="AH275" s="1817"/>
    </row>
    <row r="276" spans="1:47" s="1530" customFormat="1" ht="18.75" customHeight="1" thickBot="1">
      <c r="A276" s="7226"/>
      <c r="B276" s="7199"/>
      <c r="C276" s="1632"/>
      <c r="D276" s="1982"/>
      <c r="E276" s="1633"/>
      <c r="F276" s="7296" t="s">
        <v>187</v>
      </c>
      <c r="G276" s="7297"/>
      <c r="H276" s="7311"/>
      <c r="I276" s="7310"/>
      <c r="J276" s="4723">
        <f>J274-J275</f>
        <v>16.403978539541036</v>
      </c>
      <c r="K276" s="5393">
        <f t="shared" ref="K276:U276" si="195">K274-K275</f>
        <v>8.6104065297825656</v>
      </c>
      <c r="L276" s="6222">
        <f t="shared" si="195"/>
        <v>12.464576758907612</v>
      </c>
      <c r="M276" s="6223">
        <f t="shared" si="195"/>
        <v>8.8227046977882768</v>
      </c>
      <c r="N276" s="1991">
        <f t="shared" si="195"/>
        <v>10.887557467218567</v>
      </c>
      <c r="O276" s="1989">
        <f t="shared" si="195"/>
        <v>10.057214792313387</v>
      </c>
      <c r="P276" s="1990">
        <f t="shared" si="195"/>
        <v>10.529108584091206</v>
      </c>
      <c r="Q276" s="1991">
        <f t="shared" si="195"/>
        <v>15.476604900969797</v>
      </c>
      <c r="R276" s="1989">
        <f t="shared" si="195"/>
        <v>18.73212037330719</v>
      </c>
      <c r="S276" s="1990">
        <f t="shared" si="195"/>
        <v>19.579348424671991</v>
      </c>
      <c r="T276" s="1991">
        <f t="shared" si="195"/>
        <v>19.287659909844969</v>
      </c>
      <c r="U276" s="1989">
        <f t="shared" si="195"/>
        <v>19.488573990597192</v>
      </c>
      <c r="V276" s="1987">
        <f t="shared" si="163"/>
        <v>14.194987914086148</v>
      </c>
      <c r="W276" s="5"/>
      <c r="X276" s="1535"/>
      <c r="Y276" s="5"/>
      <c r="Z276" s="1820"/>
      <c r="AA276" s="1820"/>
      <c r="AB276" s="1820"/>
      <c r="AC276" s="7310"/>
      <c r="AD276" s="1820"/>
      <c r="AE276" s="1820"/>
      <c r="AF276" s="1820"/>
      <c r="AG276" s="1820"/>
      <c r="AH276" s="1820"/>
      <c r="AI276" s="1992"/>
      <c r="AJ276" s="1992"/>
      <c r="AK276" s="1992"/>
      <c r="AL276" s="1992"/>
      <c r="AM276" s="1992"/>
      <c r="AN276" s="1992"/>
      <c r="AO276" s="1992"/>
      <c r="AP276" s="1992"/>
      <c r="AQ276" s="1992"/>
      <c r="AR276" s="1992"/>
      <c r="AS276" s="1992"/>
      <c r="AT276" s="1992"/>
      <c r="AU276" s="1992"/>
    </row>
    <row r="277" spans="1:47" s="1530" customFormat="1" ht="18.75" customHeight="1">
      <c r="A277" s="7285">
        <v>4</v>
      </c>
      <c r="B277" s="7197" t="s">
        <v>1550</v>
      </c>
      <c r="C277" s="7197" t="s">
        <v>1279</v>
      </c>
      <c r="D277" s="1972"/>
      <c r="E277" s="1973"/>
      <c r="F277" s="7333" t="s">
        <v>1280</v>
      </c>
      <c r="G277" s="7334"/>
      <c r="H277" s="7334"/>
      <c r="I277" s="1930">
        <v>145</v>
      </c>
      <c r="J277" s="4718">
        <v>5</v>
      </c>
      <c r="K277" s="5388">
        <f t="shared" ref="K277:U277" si="196">J277</f>
        <v>5</v>
      </c>
      <c r="L277" s="6212">
        <f t="shared" si="196"/>
        <v>5</v>
      </c>
      <c r="M277" s="6213">
        <v>6</v>
      </c>
      <c r="N277" s="1976">
        <f t="shared" si="196"/>
        <v>6</v>
      </c>
      <c r="O277" s="1974">
        <f t="shared" si="196"/>
        <v>6</v>
      </c>
      <c r="P277" s="1975">
        <f t="shared" si="196"/>
        <v>6</v>
      </c>
      <c r="Q277" s="1976">
        <f t="shared" si="196"/>
        <v>6</v>
      </c>
      <c r="R277" s="1974">
        <f t="shared" si="196"/>
        <v>6</v>
      </c>
      <c r="S277" s="1975">
        <f t="shared" si="196"/>
        <v>6</v>
      </c>
      <c r="T277" s="1976">
        <f t="shared" si="196"/>
        <v>6</v>
      </c>
      <c r="U277" s="1974">
        <f t="shared" si="196"/>
        <v>6</v>
      </c>
      <c r="V277" s="1934">
        <f t="shared" ref="V277:V288" si="197">AVERAGE(J277:U277)</f>
        <v>5.75</v>
      </c>
      <c r="W277" s="5"/>
      <c r="X277" s="1535"/>
      <c r="Y277" s="5"/>
      <c r="Z277" s="1817"/>
      <c r="AA277" s="1817"/>
      <c r="AB277" s="1817"/>
      <c r="AC277" s="1930">
        <v>145</v>
      </c>
      <c r="AD277" s="1817"/>
      <c r="AE277" s="1817"/>
      <c r="AF277" s="1817"/>
      <c r="AG277" s="1817"/>
      <c r="AH277" s="1817"/>
    </row>
    <row r="278" spans="1:47" s="1530" customFormat="1" ht="18.75" customHeight="1">
      <c r="A278" s="7286"/>
      <c r="B278" s="7200"/>
      <c r="C278" s="7200"/>
      <c r="D278" s="1977"/>
      <c r="E278" s="1978"/>
      <c r="F278" s="7290" t="s">
        <v>195</v>
      </c>
      <c r="G278" s="7291"/>
      <c r="H278" s="7291"/>
      <c r="I278" s="1938"/>
      <c r="J278" s="4719">
        <f t="shared" ref="J278:U278" si="198">J406</f>
        <v>3.4860323886639679</v>
      </c>
      <c r="K278" s="5389">
        <f t="shared" si="198"/>
        <v>4.9387337810672509</v>
      </c>
      <c r="L278" s="6214">
        <f t="shared" si="198"/>
        <v>2.7987530926675666</v>
      </c>
      <c r="M278" s="6215">
        <f t="shared" si="198"/>
        <v>3.0023984914938859</v>
      </c>
      <c r="N278" s="1981">
        <f t="shared" si="198"/>
        <v>3.0435964912280702</v>
      </c>
      <c r="O278" s="1979">
        <f t="shared" si="198"/>
        <v>4.9349134053081416</v>
      </c>
      <c r="P278" s="1980">
        <f t="shared" si="198"/>
        <v>5.2929391379683786</v>
      </c>
      <c r="Q278" s="1981">
        <f t="shared" si="198"/>
        <v>5.3770242914979764</v>
      </c>
      <c r="R278" s="1979">
        <f t="shared" si="198"/>
        <v>4.0128533138401563</v>
      </c>
      <c r="S278" s="1980">
        <f t="shared" si="198"/>
        <v>2.8881037470218756</v>
      </c>
      <c r="T278" s="1981">
        <f t="shared" si="198"/>
        <v>3.1366126286179585</v>
      </c>
      <c r="U278" s="1979">
        <f t="shared" si="198"/>
        <v>2.7848375431468186</v>
      </c>
      <c r="V278" s="1942">
        <f t="shared" si="197"/>
        <v>3.8080665260435036</v>
      </c>
      <c r="W278" s="5"/>
      <c r="X278" s="1535"/>
      <c r="Y278" s="5"/>
      <c r="Z278" s="1637"/>
      <c r="AA278" s="1637"/>
      <c r="AB278" s="1637"/>
      <c r="AC278" s="1938"/>
      <c r="AD278" s="1637"/>
      <c r="AE278" s="1637"/>
      <c r="AF278" s="1637"/>
      <c r="AG278" s="1637"/>
      <c r="AH278" s="1817"/>
    </row>
    <row r="279" spans="1:47" s="1530" customFormat="1" ht="18.75" customHeight="1" thickBot="1">
      <c r="A279" s="7094"/>
      <c r="B279" s="7200"/>
      <c r="C279" s="7200"/>
      <c r="D279" s="1977"/>
      <c r="E279" s="1978"/>
      <c r="F279" s="7290" t="s">
        <v>187</v>
      </c>
      <c r="G279" s="7291"/>
      <c r="H279" s="7291"/>
      <c r="I279" s="1938"/>
      <c r="J279" s="4724">
        <f t="shared" ref="J279:U279" si="199">J277-J278</f>
        <v>1.5139676113360321</v>
      </c>
      <c r="K279" s="5394">
        <f t="shared" si="199"/>
        <v>6.1266218932749084E-2</v>
      </c>
      <c r="L279" s="6224">
        <f t="shared" si="199"/>
        <v>2.2012469073324334</v>
      </c>
      <c r="M279" s="6225">
        <f t="shared" si="199"/>
        <v>2.9976015085061141</v>
      </c>
      <c r="N279" s="1986">
        <f t="shared" si="199"/>
        <v>2.9564035087719298</v>
      </c>
      <c r="O279" s="1984">
        <f t="shared" si="199"/>
        <v>1.0650865946918584</v>
      </c>
      <c r="P279" s="1985">
        <f t="shared" si="199"/>
        <v>0.70706086203162144</v>
      </c>
      <c r="Q279" s="1986">
        <f t="shared" si="199"/>
        <v>0.62297570850202355</v>
      </c>
      <c r="R279" s="1984">
        <f t="shared" si="199"/>
        <v>1.9871466861598437</v>
      </c>
      <c r="S279" s="1985">
        <f t="shared" si="199"/>
        <v>3.1118962529781244</v>
      </c>
      <c r="T279" s="1986">
        <f t="shared" si="199"/>
        <v>2.8633873713820415</v>
      </c>
      <c r="U279" s="1984">
        <f t="shared" si="199"/>
        <v>3.2151624568531814</v>
      </c>
      <c r="V279" s="1987">
        <f t="shared" si="197"/>
        <v>1.9419334739564962</v>
      </c>
      <c r="W279" s="5"/>
      <c r="X279" s="1988"/>
      <c r="Y279" s="5"/>
      <c r="Z279" s="1817"/>
      <c r="AA279" s="1817"/>
      <c r="AB279" s="1817"/>
      <c r="AC279" s="1983"/>
      <c r="AD279" s="1817"/>
      <c r="AE279" s="1817"/>
      <c r="AF279" s="1817"/>
      <c r="AG279" s="1817"/>
      <c r="AH279" s="1817"/>
    </row>
    <row r="280" spans="1:47" s="1530" customFormat="1" ht="18.75" customHeight="1">
      <c r="A280" s="7285">
        <v>5</v>
      </c>
      <c r="B280" s="7200"/>
      <c r="C280" s="7284" t="s">
        <v>1552</v>
      </c>
      <c r="D280" s="3573"/>
      <c r="E280" s="5846"/>
      <c r="F280" s="7287" t="s">
        <v>1280</v>
      </c>
      <c r="G280" s="7288"/>
      <c r="H280" s="7289"/>
      <c r="I280" s="1954">
        <v>3</v>
      </c>
      <c r="J280" s="4712">
        <v>3</v>
      </c>
      <c r="K280" s="5382">
        <f>J280</f>
        <v>3</v>
      </c>
      <c r="L280" s="6200">
        <f t="shared" ref="L280:N280" si="200">K280</f>
        <v>3</v>
      </c>
      <c r="M280" s="6201">
        <v>4</v>
      </c>
      <c r="N280" s="1933">
        <f t="shared" si="200"/>
        <v>4</v>
      </c>
      <c r="O280" s="4916">
        <f t="shared" ref="O280:U280" si="201">N280</f>
        <v>4</v>
      </c>
      <c r="P280" s="1932">
        <f t="shared" si="201"/>
        <v>4</v>
      </c>
      <c r="Q280" s="1933">
        <f t="shared" si="201"/>
        <v>4</v>
      </c>
      <c r="R280" s="4916">
        <f t="shared" si="201"/>
        <v>4</v>
      </c>
      <c r="S280" s="1932">
        <f t="shared" si="201"/>
        <v>4</v>
      </c>
      <c r="T280" s="1933">
        <f t="shared" si="201"/>
        <v>4</v>
      </c>
      <c r="U280" s="4916">
        <f t="shared" si="201"/>
        <v>4</v>
      </c>
      <c r="V280" s="1934">
        <f t="shared" si="197"/>
        <v>3.75</v>
      </c>
      <c r="W280" s="5"/>
      <c r="X280" s="1988"/>
      <c r="Y280" s="5"/>
      <c r="Z280" s="1817"/>
      <c r="AA280" s="1817"/>
      <c r="AB280" s="1817"/>
      <c r="AC280" s="4785"/>
      <c r="AD280" s="1817"/>
      <c r="AE280" s="1817"/>
      <c r="AF280" s="1817"/>
      <c r="AG280" s="1817"/>
      <c r="AH280" s="1817"/>
    </row>
    <row r="281" spans="1:47" s="1530" customFormat="1" ht="18.75" customHeight="1">
      <c r="A281" s="7286"/>
      <c r="B281" s="7200"/>
      <c r="C281" s="7284"/>
      <c r="D281" s="1977"/>
      <c r="E281" s="5846"/>
      <c r="F281" s="7290" t="s">
        <v>195</v>
      </c>
      <c r="G281" s="7291"/>
      <c r="H281" s="7292"/>
      <c r="I281" s="1938"/>
      <c r="J281" s="4719">
        <f>J419</f>
        <v>2.5352962826647039</v>
      </c>
      <c r="K281" s="5389">
        <f t="shared" ref="K281:U281" si="202">K419</f>
        <v>3.5918063862307288</v>
      </c>
      <c r="L281" s="6214">
        <f t="shared" si="202"/>
        <v>2.0354567946673212</v>
      </c>
      <c r="M281" s="6215">
        <f t="shared" si="202"/>
        <v>2.1835625392682814</v>
      </c>
      <c r="N281" s="1981">
        <f t="shared" si="202"/>
        <v>2.2135247208931421</v>
      </c>
      <c r="O281" s="1979">
        <f t="shared" si="202"/>
        <v>3.5890279311331947</v>
      </c>
      <c r="P281" s="1980">
        <f t="shared" si="202"/>
        <v>3.849410282158821</v>
      </c>
      <c r="Q281" s="1981">
        <f t="shared" si="202"/>
        <v>3.9105631210894378</v>
      </c>
      <c r="R281" s="1979">
        <f t="shared" si="202"/>
        <v>2.9184387737019319</v>
      </c>
      <c r="S281" s="1980">
        <f t="shared" si="202"/>
        <v>2.2050426290192378</v>
      </c>
      <c r="T281" s="1981">
        <f t="shared" si="202"/>
        <v>3.190381496510744</v>
      </c>
      <c r="U281" s="1979">
        <f t="shared" si="202"/>
        <v>2.8873225307084218</v>
      </c>
      <c r="V281" s="1942">
        <f t="shared" si="197"/>
        <v>2.9258194573371643</v>
      </c>
      <c r="W281" s="5"/>
      <c r="X281" s="1988"/>
      <c r="Y281" s="5"/>
      <c r="Z281" s="1817"/>
      <c r="AA281" s="1817"/>
      <c r="AB281" s="1817"/>
      <c r="AC281" s="4785"/>
      <c r="AD281" s="1817"/>
      <c r="AE281" s="1817"/>
      <c r="AF281" s="1817"/>
      <c r="AG281" s="1817"/>
      <c r="AH281" s="1817"/>
    </row>
    <row r="282" spans="1:47" s="1530" customFormat="1" ht="18.75" customHeight="1" thickBot="1">
      <c r="A282" s="7094"/>
      <c r="B282" s="7200"/>
      <c r="C282" s="7284"/>
      <c r="D282" s="1977"/>
      <c r="E282" s="3574"/>
      <c r="F282" s="7290" t="s">
        <v>187</v>
      </c>
      <c r="G282" s="7291"/>
      <c r="H282" s="7292"/>
      <c r="I282" s="1938"/>
      <c r="J282" s="4724">
        <f t="shared" ref="J282:U282" si="203">J280-J281</f>
        <v>0.46470371733529614</v>
      </c>
      <c r="K282" s="5394">
        <f t="shared" si="203"/>
        <v>-0.59180638623072879</v>
      </c>
      <c r="L282" s="6224">
        <f t="shared" si="203"/>
        <v>0.96454320533267879</v>
      </c>
      <c r="M282" s="6225">
        <f t="shared" si="203"/>
        <v>1.8164374607317186</v>
      </c>
      <c r="N282" s="1986">
        <f t="shared" si="203"/>
        <v>1.7864752791068579</v>
      </c>
      <c r="O282" s="1984">
        <f t="shared" si="203"/>
        <v>0.41097206886680526</v>
      </c>
      <c r="P282" s="1985">
        <f t="shared" si="203"/>
        <v>0.15058971784117903</v>
      </c>
      <c r="Q282" s="1986">
        <f t="shared" si="203"/>
        <v>8.9436878910562179E-2</v>
      </c>
      <c r="R282" s="1984">
        <f t="shared" si="203"/>
        <v>1.0815612262980681</v>
      </c>
      <c r="S282" s="1985">
        <f t="shared" si="203"/>
        <v>1.7949573709807622</v>
      </c>
      <c r="T282" s="1986">
        <f t="shared" si="203"/>
        <v>0.80961850348925601</v>
      </c>
      <c r="U282" s="1984">
        <f t="shared" si="203"/>
        <v>1.1126774692915782</v>
      </c>
      <c r="V282" s="1987">
        <f t="shared" si="197"/>
        <v>0.82418054266283614</v>
      </c>
      <c r="W282" s="5"/>
      <c r="X282" s="1988"/>
      <c r="Y282" s="5"/>
      <c r="Z282" s="1817"/>
      <c r="AA282" s="1817"/>
      <c r="AB282" s="1817"/>
      <c r="AC282" s="4785"/>
      <c r="AD282" s="1817"/>
      <c r="AE282" s="1817"/>
      <c r="AF282" s="1817"/>
      <c r="AG282" s="1817"/>
      <c r="AH282" s="1817"/>
    </row>
    <row r="283" spans="1:47" s="1530" customFormat="1" ht="18.75" customHeight="1">
      <c r="A283" s="7285">
        <v>6</v>
      </c>
      <c r="B283" s="7200"/>
      <c r="C283" s="7284" t="s">
        <v>1520</v>
      </c>
      <c r="D283" s="3573"/>
      <c r="E283" s="5846"/>
      <c r="F283" s="7287" t="s">
        <v>1280</v>
      </c>
      <c r="G283" s="7288"/>
      <c r="H283" s="7289"/>
      <c r="I283" s="1954">
        <v>6</v>
      </c>
      <c r="J283" s="4712">
        <v>3</v>
      </c>
      <c r="K283" s="5382">
        <v>3</v>
      </c>
      <c r="L283" s="6200">
        <f>K283</f>
        <v>3</v>
      </c>
      <c r="M283" s="6201">
        <f t="shared" ref="M283" si="204">L283</f>
        <v>3</v>
      </c>
      <c r="N283" s="1933">
        <v>6</v>
      </c>
      <c r="O283" s="4916">
        <f t="shared" ref="O283:U283" si="205">N283</f>
        <v>6</v>
      </c>
      <c r="P283" s="1932">
        <f t="shared" si="205"/>
        <v>6</v>
      </c>
      <c r="Q283" s="1933">
        <f t="shared" si="205"/>
        <v>6</v>
      </c>
      <c r="R283" s="4916">
        <f t="shared" si="205"/>
        <v>6</v>
      </c>
      <c r="S283" s="1932">
        <f t="shared" si="205"/>
        <v>6</v>
      </c>
      <c r="T283" s="1933">
        <f t="shared" si="205"/>
        <v>6</v>
      </c>
      <c r="U283" s="4916">
        <f t="shared" si="205"/>
        <v>6</v>
      </c>
      <c r="V283" s="1934">
        <f t="shared" si="197"/>
        <v>5</v>
      </c>
      <c r="W283" s="5"/>
      <c r="X283" s="1988"/>
      <c r="Y283" s="5"/>
      <c r="Z283" s="1817"/>
      <c r="AA283" s="1817"/>
      <c r="AB283" s="1817"/>
      <c r="AC283" s="4785"/>
      <c r="AD283" s="1817"/>
      <c r="AE283" s="1817"/>
      <c r="AF283" s="1817"/>
      <c r="AG283" s="1817"/>
      <c r="AH283" s="1817"/>
    </row>
    <row r="284" spans="1:47" s="1530" customFormat="1" ht="18.75" customHeight="1">
      <c r="A284" s="7286"/>
      <c r="B284" s="7200"/>
      <c r="C284" s="7284"/>
      <c r="D284" s="1977"/>
      <c r="E284" s="5846"/>
      <c r="F284" s="7290" t="s">
        <v>195</v>
      </c>
      <c r="G284" s="7291"/>
      <c r="H284" s="7292"/>
      <c r="I284" s="1938"/>
      <c r="J284" s="4713">
        <f>J431</f>
        <v>3.3803950435529386</v>
      </c>
      <c r="K284" s="5383">
        <f t="shared" ref="K284:U284" si="206">K431</f>
        <v>4.7890751816409711</v>
      </c>
      <c r="L284" s="6202">
        <f t="shared" si="206"/>
        <v>2.713942392889761</v>
      </c>
      <c r="M284" s="6203">
        <f t="shared" si="206"/>
        <v>2.9114167190243747</v>
      </c>
      <c r="N284" s="1941">
        <f t="shared" si="206"/>
        <v>2.9513662945241892</v>
      </c>
      <c r="O284" s="1939">
        <f t="shared" si="206"/>
        <v>4.7853705748442597</v>
      </c>
      <c r="P284" s="1940">
        <f t="shared" si="206"/>
        <v>5.1325470428784268</v>
      </c>
      <c r="Q284" s="1941">
        <f t="shared" si="206"/>
        <v>5.2140841614525835</v>
      </c>
      <c r="R284" s="1939">
        <f t="shared" si="206"/>
        <v>3.8912516982692424</v>
      </c>
      <c r="S284" s="1940">
        <f t="shared" si="206"/>
        <v>2.9121625612853688</v>
      </c>
      <c r="T284" s="1941">
        <f t="shared" si="206"/>
        <v>4.0055899882682029</v>
      </c>
      <c r="U284" s="1939">
        <f t="shared" si="206"/>
        <v>3.5930654037101593</v>
      </c>
      <c r="V284" s="1942">
        <f t="shared" si="197"/>
        <v>3.8566889218617071</v>
      </c>
      <c r="W284" s="5"/>
      <c r="X284" s="1988"/>
      <c r="Y284" s="5"/>
      <c r="Z284" s="1817"/>
      <c r="AA284" s="1817"/>
      <c r="AB284" s="1817"/>
      <c r="AC284" s="4785"/>
      <c r="AD284" s="1817"/>
      <c r="AE284" s="1817"/>
      <c r="AF284" s="1817"/>
      <c r="AG284" s="1817"/>
      <c r="AH284" s="1817"/>
    </row>
    <row r="285" spans="1:47" s="1530" customFormat="1" ht="18.75" customHeight="1" thickBot="1">
      <c r="A285" s="7094"/>
      <c r="B285" s="7200"/>
      <c r="C285" s="7284"/>
      <c r="D285" s="5847"/>
      <c r="E285" s="5846"/>
      <c r="F285" s="7293" t="s">
        <v>187</v>
      </c>
      <c r="G285" s="7294"/>
      <c r="H285" s="7295"/>
      <c r="I285" s="1946"/>
      <c r="J285" s="4724">
        <f t="shared" ref="J285:U285" si="207">J283-J284</f>
        <v>-0.38039504355293863</v>
      </c>
      <c r="K285" s="5394">
        <f t="shared" si="207"/>
        <v>-1.7890751816409711</v>
      </c>
      <c r="L285" s="6224">
        <f t="shared" si="207"/>
        <v>0.28605760711023898</v>
      </c>
      <c r="M285" s="6225">
        <f t="shared" si="207"/>
        <v>8.8583280975625289E-2</v>
      </c>
      <c r="N285" s="1986">
        <f t="shared" si="207"/>
        <v>3.0486337054758108</v>
      </c>
      <c r="O285" s="1984">
        <f t="shared" si="207"/>
        <v>1.2146294251557403</v>
      </c>
      <c r="P285" s="1985">
        <f t="shared" si="207"/>
        <v>0.86745295712157322</v>
      </c>
      <c r="Q285" s="1986">
        <f t="shared" si="207"/>
        <v>0.78591583854741653</v>
      </c>
      <c r="R285" s="1984">
        <f t="shared" si="207"/>
        <v>2.1087483017307576</v>
      </c>
      <c r="S285" s="1985">
        <f t="shared" si="207"/>
        <v>3.0878374387146312</v>
      </c>
      <c r="T285" s="1986">
        <f t="shared" si="207"/>
        <v>1.9944100117317971</v>
      </c>
      <c r="U285" s="1984">
        <f t="shared" si="207"/>
        <v>2.4069345962898407</v>
      </c>
      <c r="V285" s="1987">
        <f t="shared" si="197"/>
        <v>1.1433110781382936</v>
      </c>
      <c r="W285" s="5"/>
      <c r="X285" s="1988"/>
      <c r="Y285" s="5"/>
      <c r="Z285" s="1817"/>
      <c r="AA285" s="1817"/>
      <c r="AB285" s="1817"/>
      <c r="AC285" s="4785"/>
      <c r="AD285" s="1817"/>
      <c r="AE285" s="1817"/>
      <c r="AF285" s="1817"/>
      <c r="AG285" s="1817"/>
      <c r="AH285" s="1817"/>
    </row>
    <row r="286" spans="1:47" s="1530" customFormat="1" ht="18.75" customHeight="1">
      <c r="A286" s="7285">
        <v>7</v>
      </c>
      <c r="B286" s="7200"/>
      <c r="C286" s="7200" t="s">
        <v>1551</v>
      </c>
      <c r="D286" s="1977"/>
      <c r="E286" s="1978"/>
      <c r="F286" s="7290" t="s">
        <v>1280</v>
      </c>
      <c r="G286" s="7291"/>
      <c r="H286" s="7291"/>
      <c r="I286" s="1938">
        <v>6</v>
      </c>
      <c r="J286" s="4712">
        <v>6</v>
      </c>
      <c r="K286" s="5382">
        <f>J286</f>
        <v>6</v>
      </c>
      <c r="L286" s="6200">
        <f t="shared" ref="L286:N286" si="208">K286</f>
        <v>6</v>
      </c>
      <c r="M286" s="6201">
        <f t="shared" si="208"/>
        <v>6</v>
      </c>
      <c r="N286" s="1933">
        <f t="shared" si="208"/>
        <v>6</v>
      </c>
      <c r="O286" s="4916">
        <v>9</v>
      </c>
      <c r="P286" s="1932">
        <f t="shared" ref="P286:U286" si="209">O286</f>
        <v>9</v>
      </c>
      <c r="Q286" s="1933">
        <f t="shared" si="209"/>
        <v>9</v>
      </c>
      <c r="R286" s="4916">
        <f t="shared" si="209"/>
        <v>9</v>
      </c>
      <c r="S286" s="1932">
        <f t="shared" si="209"/>
        <v>9</v>
      </c>
      <c r="T286" s="1933">
        <f t="shared" si="209"/>
        <v>9</v>
      </c>
      <c r="U286" s="4916">
        <f t="shared" si="209"/>
        <v>9</v>
      </c>
      <c r="V286" s="1934">
        <f t="shared" si="197"/>
        <v>7.75</v>
      </c>
      <c r="W286" s="5"/>
      <c r="X286" s="1988"/>
      <c r="Y286" s="5"/>
      <c r="Z286" s="1817"/>
      <c r="AA286" s="1817"/>
      <c r="AB286" s="1817"/>
      <c r="AC286" s="4785"/>
      <c r="AD286" s="1817"/>
      <c r="AE286" s="1817"/>
      <c r="AF286" s="1817"/>
      <c r="AG286" s="1817"/>
      <c r="AH286" s="1817"/>
    </row>
    <row r="287" spans="1:47" s="1530" customFormat="1" ht="18.75" customHeight="1">
      <c r="A287" s="7286"/>
      <c r="B287" s="7200"/>
      <c r="C287" s="7200"/>
      <c r="D287" s="1977"/>
      <c r="E287" s="1978"/>
      <c r="F287" s="7290" t="s">
        <v>195</v>
      </c>
      <c r="G287" s="7291"/>
      <c r="H287" s="7291"/>
      <c r="I287" s="1938"/>
      <c r="J287" s="4719">
        <f>J443</f>
        <v>4.2254938044411725</v>
      </c>
      <c r="K287" s="5389">
        <f t="shared" ref="K287:U287" si="210">K443</f>
        <v>5.9863439770512139</v>
      </c>
      <c r="L287" s="6214">
        <f t="shared" si="210"/>
        <v>3.3924279911122017</v>
      </c>
      <c r="M287" s="6215">
        <f t="shared" si="210"/>
        <v>3.6392708987804681</v>
      </c>
      <c r="N287" s="1981">
        <f t="shared" si="210"/>
        <v>3.6892078681552372</v>
      </c>
      <c r="O287" s="1979">
        <f t="shared" si="210"/>
        <v>5.9817132185553232</v>
      </c>
      <c r="P287" s="1980">
        <f t="shared" si="210"/>
        <v>6.4156838035980339</v>
      </c>
      <c r="Q287" s="1981">
        <f t="shared" si="210"/>
        <v>6.5176052018157282</v>
      </c>
      <c r="R287" s="1979">
        <f t="shared" si="210"/>
        <v>4.8640646228365529</v>
      </c>
      <c r="S287" s="1980">
        <f t="shared" si="210"/>
        <v>3.640203201606711</v>
      </c>
      <c r="T287" s="1981">
        <f t="shared" si="210"/>
        <v>5.0069874853352534</v>
      </c>
      <c r="U287" s="1979">
        <f t="shared" si="210"/>
        <v>4.4913317546376987</v>
      </c>
      <c r="V287" s="1942">
        <f t="shared" si="197"/>
        <v>4.8208611523271321</v>
      </c>
      <c r="W287" s="5"/>
      <c r="X287" s="1988"/>
      <c r="Y287" s="5"/>
      <c r="Z287" s="1817"/>
      <c r="AA287" s="1817"/>
      <c r="AB287" s="1817"/>
      <c r="AC287" s="4785"/>
      <c r="AD287" s="1817"/>
      <c r="AE287" s="1817"/>
      <c r="AF287" s="1817"/>
      <c r="AG287" s="1817"/>
      <c r="AH287" s="1817"/>
    </row>
    <row r="288" spans="1:47" s="1530" customFormat="1" ht="18.75" customHeight="1" thickBot="1">
      <c r="A288" s="7094"/>
      <c r="B288" s="7199"/>
      <c r="C288" s="7199"/>
      <c r="D288" s="1982"/>
      <c r="E288" s="1633"/>
      <c r="F288" s="7296" t="s">
        <v>187</v>
      </c>
      <c r="G288" s="7297"/>
      <c r="H288" s="7297"/>
      <c r="I288" s="1983"/>
      <c r="J288" s="4724">
        <f t="shared" ref="J288:U288" si="211">J286-J287</f>
        <v>1.7745061955588275</v>
      </c>
      <c r="K288" s="5394">
        <f t="shared" si="211"/>
        <v>1.3656022948786095E-2</v>
      </c>
      <c r="L288" s="6224">
        <f t="shared" si="211"/>
        <v>2.6075720088877983</v>
      </c>
      <c r="M288" s="6225">
        <f t="shared" si="211"/>
        <v>2.3607291012195319</v>
      </c>
      <c r="N288" s="1986">
        <f t="shared" si="211"/>
        <v>2.3107921318447628</v>
      </c>
      <c r="O288" s="1984">
        <f t="shared" si="211"/>
        <v>3.0182867814446768</v>
      </c>
      <c r="P288" s="1985">
        <f t="shared" si="211"/>
        <v>2.5843161964019661</v>
      </c>
      <c r="Q288" s="1986">
        <f t="shared" si="211"/>
        <v>2.4823947981842718</v>
      </c>
      <c r="R288" s="1984">
        <f t="shared" si="211"/>
        <v>4.1359353771634471</v>
      </c>
      <c r="S288" s="1985">
        <f t="shared" si="211"/>
        <v>5.3597967983932886</v>
      </c>
      <c r="T288" s="1986">
        <f t="shared" si="211"/>
        <v>3.9930125146647466</v>
      </c>
      <c r="U288" s="1984">
        <f t="shared" si="211"/>
        <v>4.5086682453623013</v>
      </c>
      <c r="V288" s="1987">
        <f t="shared" si="197"/>
        <v>2.929138847672867</v>
      </c>
      <c r="W288" s="5"/>
      <c r="X288" s="1988"/>
      <c r="Y288" s="5"/>
      <c r="Z288" s="1817"/>
      <c r="AA288" s="1817"/>
      <c r="AB288" s="1817"/>
      <c r="AC288" s="4785"/>
      <c r="AD288" s="1817"/>
      <c r="AE288" s="1817"/>
      <c r="AF288" s="1817"/>
      <c r="AG288" s="1817"/>
      <c r="AH288" s="1817"/>
    </row>
    <row r="289" spans="1:34" s="1530" customFormat="1" ht="18.75" customHeight="1">
      <c r="A289" s="1531"/>
      <c r="B289" s="1531"/>
      <c r="C289" s="2454"/>
      <c r="D289" s="2454"/>
      <c r="E289" s="2454"/>
      <c r="F289" s="3382"/>
      <c r="G289" s="3382"/>
      <c r="H289" s="3382"/>
      <c r="I289" s="2491"/>
      <c r="J289" s="4786"/>
      <c r="K289" s="4786"/>
      <c r="L289" s="4786"/>
      <c r="M289" s="4786"/>
      <c r="N289" s="2144"/>
      <c r="O289" s="4914"/>
      <c r="P289" s="4915"/>
      <c r="Q289" s="2144"/>
      <c r="R289" s="2144"/>
      <c r="S289" s="2144"/>
      <c r="T289" s="2144"/>
      <c r="U289" s="4787"/>
      <c r="V289" s="4788"/>
      <c r="W289" s="5"/>
      <c r="X289" s="1988"/>
      <c r="Y289" s="5"/>
      <c r="Z289" s="1988"/>
      <c r="AA289" s="1988"/>
      <c r="AB289" s="1988"/>
      <c r="AC289" s="2491"/>
      <c r="AD289" s="1988"/>
      <c r="AE289" s="1988"/>
      <c r="AF289" s="1988"/>
      <c r="AG289" s="1988"/>
      <c r="AH289" s="1988"/>
    </row>
    <row r="290" spans="1:34" s="1530" customFormat="1" ht="18.75" customHeight="1">
      <c r="A290" s="1531"/>
      <c r="B290" s="1531"/>
      <c r="C290" s="2454"/>
      <c r="D290" s="2454"/>
      <c r="E290" s="2454"/>
      <c r="F290" s="3382"/>
      <c r="G290" s="3382"/>
      <c r="H290" s="3382"/>
      <c r="I290" s="2491"/>
      <c r="J290" s="4786"/>
      <c r="K290" s="4786"/>
      <c r="L290" s="4786"/>
      <c r="M290" s="4786"/>
      <c r="N290" s="4787"/>
      <c r="O290" s="4787"/>
      <c r="P290" s="4787"/>
      <c r="Q290" s="4787"/>
      <c r="R290" s="4787"/>
      <c r="S290" s="4787"/>
      <c r="T290" s="4787"/>
      <c r="U290" s="4787"/>
      <c r="V290" s="4788"/>
      <c r="W290" s="5"/>
      <c r="X290" s="1988"/>
      <c r="Y290" s="5"/>
      <c r="Z290" s="1988"/>
      <c r="AA290" s="1988"/>
      <c r="AB290" s="1988"/>
      <c r="AC290" s="2491"/>
      <c r="AD290" s="1988"/>
      <c r="AE290" s="1988"/>
      <c r="AF290" s="1988"/>
      <c r="AG290" s="1988"/>
      <c r="AH290" s="1988"/>
    </row>
    <row r="291" spans="1:34" ht="22.5" customHeight="1">
      <c r="A291" s="1993"/>
      <c r="J291" s="1536"/>
      <c r="W291" s="5"/>
      <c r="Y291" s="5"/>
      <c r="Z291" s="1636"/>
      <c r="AD291" s="1636"/>
      <c r="AE291" s="1636"/>
      <c r="AF291" s="1636"/>
      <c r="AG291" s="1636"/>
      <c r="AH291" s="1636"/>
    </row>
    <row r="292" spans="1:34" s="1610" customFormat="1" ht="22.5" customHeight="1" thickBot="1">
      <c r="A292" s="1538" t="s">
        <v>507</v>
      </c>
      <c r="F292" s="1611" t="s">
        <v>88</v>
      </c>
      <c r="G292" s="1994"/>
      <c r="H292" s="1789"/>
      <c r="I292" s="1790"/>
      <c r="J292" s="1534"/>
      <c r="K292" s="1534"/>
      <c r="L292" s="1534"/>
      <c r="M292" s="1534"/>
      <c r="N292" s="1612"/>
      <c r="O292" s="1612"/>
      <c r="P292" s="1612"/>
      <c r="Q292" s="1612"/>
      <c r="R292" s="1612"/>
      <c r="S292" s="1612"/>
      <c r="T292" s="1612"/>
      <c r="U292" s="1612"/>
      <c r="V292" s="1537" t="s">
        <v>104</v>
      </c>
      <c r="W292" s="1569"/>
      <c r="X292" s="1535"/>
      <c r="Y292" s="1569"/>
      <c r="Z292" s="1535"/>
      <c r="AA292" s="1994"/>
      <c r="AB292" s="1789"/>
      <c r="AC292" s="1790"/>
      <c r="AD292" s="1535"/>
      <c r="AE292" s="1535"/>
      <c r="AF292" s="1535"/>
      <c r="AG292" s="1535"/>
      <c r="AH292" s="1535"/>
    </row>
    <row r="293" spans="1:34" s="1610" customFormat="1" ht="30" customHeight="1" thickBot="1">
      <c r="A293" s="1539" t="s">
        <v>40</v>
      </c>
      <c r="B293" s="74" t="s">
        <v>106</v>
      </c>
      <c r="C293" s="74" t="s">
        <v>45</v>
      </c>
      <c r="D293" s="1925" t="s">
        <v>989</v>
      </c>
      <c r="E293" s="74" t="s">
        <v>1011</v>
      </c>
      <c r="F293" s="74" t="s">
        <v>107</v>
      </c>
      <c r="G293" s="74" t="s">
        <v>182</v>
      </c>
      <c r="H293" s="1995" t="s">
        <v>189</v>
      </c>
      <c r="I293" s="1927" t="s">
        <v>241</v>
      </c>
      <c r="J293" s="4490" t="s">
        <v>1292</v>
      </c>
      <c r="K293" s="5005" t="s">
        <v>1293</v>
      </c>
      <c r="L293" s="5494" t="s">
        <v>1294</v>
      </c>
      <c r="M293" s="4490" t="s">
        <v>1295</v>
      </c>
      <c r="N293" s="74" t="s">
        <v>1296</v>
      </c>
      <c r="O293" s="1540" t="s">
        <v>1297</v>
      </c>
      <c r="P293" s="1539" t="s">
        <v>1298</v>
      </c>
      <c r="Q293" s="74" t="s">
        <v>1299</v>
      </c>
      <c r="R293" s="1540" t="s">
        <v>1300</v>
      </c>
      <c r="S293" s="1539" t="s">
        <v>1301</v>
      </c>
      <c r="T293" s="74" t="s">
        <v>1302</v>
      </c>
      <c r="U293" s="1540" t="s">
        <v>1303</v>
      </c>
      <c r="V293" s="1541" t="s">
        <v>1311</v>
      </c>
      <c r="W293" s="1569"/>
      <c r="X293" s="1535"/>
      <c r="Y293" s="1569"/>
      <c r="Z293" s="1535"/>
      <c r="AA293" s="74" t="s">
        <v>182</v>
      </c>
      <c r="AB293" s="1995" t="s">
        <v>189</v>
      </c>
      <c r="AC293" s="1927" t="s">
        <v>241</v>
      </c>
      <c r="AD293" s="1535"/>
      <c r="AE293" s="1535"/>
      <c r="AF293" s="1535"/>
      <c r="AG293" s="1535"/>
      <c r="AH293" s="1535"/>
    </row>
    <row r="294" spans="1:34" ht="18" customHeight="1">
      <c r="A294" s="7225">
        <v>1</v>
      </c>
      <c r="B294" s="7200" t="s">
        <v>16</v>
      </c>
      <c r="C294" s="1658" t="s">
        <v>19</v>
      </c>
      <c r="D294" s="54" t="str">
        <f>D5</f>
        <v>Mobile</v>
      </c>
      <c r="E294" s="54">
        <f>VLOOKUP(F294,B.BasicInfomation!B:C,2,0)</f>
        <v>1</v>
      </c>
      <c r="F294" s="54" t="str">
        <f t="shared" ref="F294:F307" si="212">F175</f>
        <v>Galaxy Tap</v>
      </c>
      <c r="G294" s="1658"/>
      <c r="H294" s="1765">
        <v>1</v>
      </c>
      <c r="I294" s="1938"/>
      <c r="J294" s="4725"/>
      <c r="K294" s="5395"/>
      <c r="L294" s="6226"/>
      <c r="M294" s="4725"/>
      <c r="N294" s="3184"/>
      <c r="O294" s="3184"/>
      <c r="P294" s="3183"/>
      <c r="Q294" s="3184"/>
      <c r="R294" s="3185"/>
      <c r="S294" s="3183"/>
      <c r="T294" s="3184"/>
      <c r="U294" s="3185"/>
      <c r="V294" s="1557"/>
      <c r="W294" s="1569"/>
      <c r="Y294" s="1569"/>
      <c r="AA294" s="1670">
        <f t="shared" ref="AA294:AA329" si="213">G294</f>
        <v>0</v>
      </c>
      <c r="AB294" s="1996">
        <f t="shared" ref="AB294:AB329" si="214">H294</f>
        <v>1</v>
      </c>
      <c r="AC294" s="1845">
        <f t="shared" ref="AC294:AC329" si="215">I294</f>
        <v>0</v>
      </c>
      <c r="AD294" s="1535" t="b">
        <f t="shared" ref="AD294:AD329" si="216">AA294=G294</f>
        <v>1</v>
      </c>
      <c r="AE294" s="1535" t="b">
        <f t="shared" ref="AE294:AE329" si="217">AB294=H294</f>
        <v>1</v>
      </c>
      <c r="AF294" s="1535" t="b">
        <f t="shared" ref="AF294:AF329" si="218">AC294=I294</f>
        <v>1</v>
      </c>
    </row>
    <row r="295" spans="1:34" ht="18" customHeight="1">
      <c r="A295" s="7225"/>
      <c r="B295" s="7200"/>
      <c r="C295" s="2000"/>
      <c r="D295" s="54"/>
      <c r="E295" s="10">
        <f>VLOOKUP(F295,B.BasicInfomation!B:C,2,0)</f>
        <v>2</v>
      </c>
      <c r="F295" s="24" t="str">
        <f t="shared" si="212"/>
        <v>A15/17</v>
      </c>
      <c r="G295" s="1658"/>
      <c r="H295" s="1765">
        <v>1</v>
      </c>
      <c r="I295" s="1938"/>
      <c r="J295" s="4725"/>
      <c r="K295" s="5395"/>
      <c r="L295" s="6226"/>
      <c r="M295" s="4725"/>
      <c r="N295" s="3184"/>
      <c r="O295" s="3186"/>
      <c r="P295" s="3183"/>
      <c r="Q295" s="3184"/>
      <c r="R295" s="3185"/>
      <c r="S295" s="3183"/>
      <c r="T295" s="3184"/>
      <c r="U295" s="3185"/>
      <c r="V295" s="1557"/>
      <c r="W295" s="1569"/>
      <c r="Y295" s="1569"/>
      <c r="AA295" s="1658">
        <f t="shared" si="213"/>
        <v>0</v>
      </c>
      <c r="AB295" s="1765">
        <f t="shared" si="214"/>
        <v>1</v>
      </c>
      <c r="AC295" s="1724">
        <f t="shared" si="215"/>
        <v>0</v>
      </c>
      <c r="AD295" s="1535" t="b">
        <f t="shared" si="216"/>
        <v>1</v>
      </c>
      <c r="AE295" s="1535" t="b">
        <f t="shared" si="217"/>
        <v>1</v>
      </c>
      <c r="AF295" s="1535" t="b">
        <f t="shared" si="218"/>
        <v>1</v>
      </c>
    </row>
    <row r="296" spans="1:34" ht="18" customHeight="1">
      <c r="A296" s="7225"/>
      <c r="B296" s="7200"/>
      <c r="C296" s="2000"/>
      <c r="D296" s="54"/>
      <c r="E296" s="10">
        <f>VLOOKUP(F296,B.BasicInfomation!B:C,2,0)</f>
        <v>3</v>
      </c>
      <c r="F296" s="24" t="str">
        <f t="shared" si="212"/>
        <v>A36</v>
      </c>
      <c r="G296" s="1658"/>
      <c r="H296" s="1765">
        <v>1</v>
      </c>
      <c r="I296" s="1938"/>
      <c r="J296" s="4725"/>
      <c r="K296" s="5395"/>
      <c r="L296" s="6226"/>
      <c r="M296" s="4725"/>
      <c r="N296" s="3184"/>
      <c r="O296" s="3186"/>
      <c r="P296" s="3183"/>
      <c r="Q296" s="3184"/>
      <c r="R296" s="3185"/>
      <c r="S296" s="3183"/>
      <c r="T296" s="3184"/>
      <c r="U296" s="3185"/>
      <c r="V296" s="1557"/>
      <c r="W296" s="1569"/>
      <c r="Y296" s="1569"/>
      <c r="AA296" s="1658">
        <f t="shared" si="213"/>
        <v>0</v>
      </c>
      <c r="AB296" s="1765">
        <f t="shared" si="214"/>
        <v>1</v>
      </c>
      <c r="AC296" s="1724">
        <f t="shared" si="215"/>
        <v>0</v>
      </c>
      <c r="AD296" s="1535" t="b">
        <f t="shared" si="216"/>
        <v>1</v>
      </c>
      <c r="AE296" s="1535" t="b">
        <f t="shared" si="217"/>
        <v>1</v>
      </c>
      <c r="AF296" s="1535" t="b">
        <f t="shared" si="218"/>
        <v>1</v>
      </c>
    </row>
    <row r="297" spans="1:34" ht="18" customHeight="1">
      <c r="A297" s="7225"/>
      <c r="B297" s="7200"/>
      <c r="C297" s="2000"/>
      <c r="D297" s="54"/>
      <c r="E297" s="10">
        <f>VLOOKUP(F297,B.BasicInfomation!B:C,2,0)</f>
        <v>4</v>
      </c>
      <c r="F297" s="24" t="str">
        <f t="shared" si="212"/>
        <v>A26</v>
      </c>
      <c r="G297" s="1658"/>
      <c r="H297" s="1765">
        <v>1</v>
      </c>
      <c r="I297" s="1938"/>
      <c r="J297" s="4725"/>
      <c r="K297" s="5395"/>
      <c r="L297" s="6226"/>
      <c r="M297" s="4725"/>
      <c r="N297" s="3184"/>
      <c r="O297" s="3186"/>
      <c r="P297" s="3183"/>
      <c r="Q297" s="3184"/>
      <c r="R297" s="3185"/>
      <c r="S297" s="3183"/>
      <c r="T297" s="3184"/>
      <c r="U297" s="3185"/>
      <c r="V297" s="1557"/>
      <c r="W297" s="1569"/>
      <c r="Y297" s="1569"/>
      <c r="AA297" s="1658">
        <f t="shared" si="213"/>
        <v>0</v>
      </c>
      <c r="AB297" s="1765">
        <f t="shared" si="214"/>
        <v>1</v>
      </c>
      <c r="AC297" s="1724">
        <f t="shared" si="215"/>
        <v>0</v>
      </c>
      <c r="AD297" s="1535" t="b">
        <f t="shared" si="216"/>
        <v>1</v>
      </c>
      <c r="AE297" s="1535" t="b">
        <f t="shared" si="217"/>
        <v>1</v>
      </c>
      <c r="AF297" s="1535" t="b">
        <f t="shared" si="218"/>
        <v>1</v>
      </c>
    </row>
    <row r="298" spans="1:34" ht="18" customHeight="1">
      <c r="A298" s="7225"/>
      <c r="B298" s="7200"/>
      <c r="C298" s="2000"/>
      <c r="D298" s="54"/>
      <c r="E298" s="10">
        <f>VLOOKUP(F298,B.BasicInfomation!B:C,2,0)</f>
        <v>5</v>
      </c>
      <c r="F298" s="24" t="str">
        <f t="shared" si="212"/>
        <v>A27</v>
      </c>
      <c r="G298" s="1658"/>
      <c r="H298" s="1765">
        <v>1</v>
      </c>
      <c r="I298" s="1938"/>
      <c r="J298" s="4725"/>
      <c r="K298" s="5395"/>
      <c r="L298" s="6226"/>
      <c r="M298" s="4725"/>
      <c r="N298" s="3184"/>
      <c r="O298" s="3186"/>
      <c r="P298" s="3183"/>
      <c r="Q298" s="3184"/>
      <c r="R298" s="3185"/>
      <c r="S298" s="3183"/>
      <c r="T298" s="3184"/>
      <c r="U298" s="3185"/>
      <c r="V298" s="1557"/>
      <c r="W298" s="1569"/>
      <c r="Y298" s="1569"/>
      <c r="AA298" s="1658">
        <f t="shared" si="213"/>
        <v>0</v>
      </c>
      <c r="AB298" s="1765">
        <f t="shared" si="214"/>
        <v>1</v>
      </c>
      <c r="AC298" s="1724">
        <f t="shared" si="215"/>
        <v>0</v>
      </c>
      <c r="AD298" s="1535" t="b">
        <f t="shared" si="216"/>
        <v>1</v>
      </c>
      <c r="AE298" s="1535" t="b">
        <f t="shared" si="217"/>
        <v>1</v>
      </c>
      <c r="AF298" s="1535" t="b">
        <f t="shared" si="218"/>
        <v>1</v>
      </c>
    </row>
    <row r="299" spans="1:34" ht="18" customHeight="1">
      <c r="A299" s="7225"/>
      <c r="B299" s="7200"/>
      <c r="C299" s="2000"/>
      <c r="D299" s="54"/>
      <c r="E299" s="10">
        <f>VLOOKUP(F299,B.BasicInfomation!B:C,2,0)</f>
        <v>6</v>
      </c>
      <c r="F299" s="24" t="str">
        <f t="shared" si="212"/>
        <v>A37</v>
      </c>
      <c r="G299" s="1658"/>
      <c r="H299" s="1765">
        <v>1</v>
      </c>
      <c r="I299" s="1938"/>
      <c r="J299" s="4725"/>
      <c r="K299" s="5395"/>
      <c r="L299" s="6226"/>
      <c r="M299" s="4725"/>
      <c r="N299" s="3184"/>
      <c r="O299" s="3186"/>
      <c r="P299" s="3183"/>
      <c r="Q299" s="3184"/>
      <c r="R299" s="3185"/>
      <c r="S299" s="3183"/>
      <c r="T299" s="3184"/>
      <c r="U299" s="3185"/>
      <c r="V299" s="1557"/>
      <c r="W299" s="1569"/>
      <c r="Y299" s="1569"/>
      <c r="AA299" s="1658">
        <f t="shared" si="213"/>
        <v>0</v>
      </c>
      <c r="AB299" s="1765">
        <f t="shared" si="214"/>
        <v>1</v>
      </c>
      <c r="AC299" s="1724">
        <f t="shared" si="215"/>
        <v>0</v>
      </c>
      <c r="AD299" s="1535" t="b">
        <f t="shared" si="216"/>
        <v>1</v>
      </c>
      <c r="AE299" s="1535" t="b">
        <f t="shared" si="217"/>
        <v>1</v>
      </c>
      <c r="AF299" s="1535" t="b">
        <f t="shared" si="218"/>
        <v>1</v>
      </c>
    </row>
    <row r="300" spans="1:34" ht="18" customHeight="1">
      <c r="A300" s="7225"/>
      <c r="B300" s="7200"/>
      <c r="C300" s="2000"/>
      <c r="D300" s="54"/>
      <c r="E300" s="10">
        <f>VLOOKUP(F300,B.BasicInfomation!B:C,2,0)</f>
        <v>7</v>
      </c>
      <c r="F300" s="24" t="str">
        <f t="shared" si="212"/>
        <v>A18</v>
      </c>
      <c r="G300" s="1658"/>
      <c r="H300" s="1765">
        <v>1</v>
      </c>
      <c r="I300" s="1938"/>
      <c r="J300" s="4725"/>
      <c r="K300" s="5395"/>
      <c r="L300" s="6226"/>
      <c r="M300" s="4725"/>
      <c r="N300" s="3184"/>
      <c r="O300" s="3186"/>
      <c r="P300" s="3183"/>
      <c r="Q300" s="3184"/>
      <c r="R300" s="3185"/>
      <c r="S300" s="3183"/>
      <c r="T300" s="3184"/>
      <c r="U300" s="3185"/>
      <c r="V300" s="1557"/>
      <c r="W300" s="1569"/>
      <c r="Y300" s="1569"/>
      <c r="AA300" s="1658">
        <f t="shared" si="213"/>
        <v>0</v>
      </c>
      <c r="AB300" s="1765">
        <f t="shared" si="214"/>
        <v>1</v>
      </c>
      <c r="AC300" s="1724">
        <f t="shared" si="215"/>
        <v>0</v>
      </c>
      <c r="AD300" s="1535" t="b">
        <f t="shared" si="216"/>
        <v>1</v>
      </c>
      <c r="AE300" s="1535" t="b">
        <f t="shared" si="217"/>
        <v>1</v>
      </c>
      <c r="AF300" s="1535" t="b">
        <f t="shared" si="218"/>
        <v>1</v>
      </c>
    </row>
    <row r="301" spans="1:34" ht="18" customHeight="1">
      <c r="A301" s="7225"/>
      <c r="B301" s="7200"/>
      <c r="C301" s="1997"/>
      <c r="D301" s="53"/>
      <c r="E301" s="6">
        <f>VLOOKUP(F301,B.BasicInfomation!B:C,2,0)</f>
        <v>8</v>
      </c>
      <c r="F301" s="28" t="str">
        <f t="shared" si="212"/>
        <v>CNC</v>
      </c>
      <c r="G301" s="1713"/>
      <c r="H301" s="1998">
        <v>1</v>
      </c>
      <c r="I301" s="1999">
        <v>0</v>
      </c>
      <c r="J301" s="4726">
        <v>25</v>
      </c>
      <c r="K301" s="5396">
        <v>25</v>
      </c>
      <c r="L301" s="6227">
        <v>25</v>
      </c>
      <c r="M301" s="4726">
        <v>25</v>
      </c>
      <c r="N301" s="1549">
        <v>30</v>
      </c>
      <c r="O301" s="1550">
        <v>30</v>
      </c>
      <c r="P301" s="1548">
        <v>30</v>
      </c>
      <c r="Q301" s="1549">
        <v>60</v>
      </c>
      <c r="R301" s="1550">
        <v>60</v>
      </c>
      <c r="S301" s="1548">
        <f>R301</f>
        <v>60</v>
      </c>
      <c r="T301" s="1549">
        <f>S301</f>
        <v>60</v>
      </c>
      <c r="U301" s="1550">
        <f>T301</f>
        <v>60</v>
      </c>
      <c r="V301" s="1551">
        <f t="shared" ref="V301:V311" si="219">AVERAGE(J301:U301)</f>
        <v>40.833333333333336</v>
      </c>
      <c r="W301" s="1569"/>
      <c r="Y301" s="1569"/>
      <c r="AA301" s="1658">
        <f t="shared" si="213"/>
        <v>0</v>
      </c>
      <c r="AB301" s="1765">
        <f t="shared" si="214"/>
        <v>1</v>
      </c>
      <c r="AC301" s="1724">
        <f t="shared" si="215"/>
        <v>0</v>
      </c>
      <c r="AD301" s="1535" t="b">
        <f t="shared" si="216"/>
        <v>1</v>
      </c>
      <c r="AE301" s="1535" t="b">
        <f t="shared" si="217"/>
        <v>1</v>
      </c>
      <c r="AF301" s="1535" t="b">
        <f t="shared" si="218"/>
        <v>1</v>
      </c>
    </row>
    <row r="302" spans="1:34" ht="18" customHeight="1">
      <c r="A302" s="7225"/>
      <c r="B302" s="7300"/>
      <c r="C302" s="2000" t="s">
        <v>150</v>
      </c>
      <c r="D302" s="1735" t="str">
        <f>D294</f>
        <v>Mobile</v>
      </c>
      <c r="E302" s="10">
        <f>VLOOKUP(F302,B.BasicInfomation!B:C,2,0)</f>
        <v>9</v>
      </c>
      <c r="F302" s="24" t="str">
        <f t="shared" si="212"/>
        <v>MTP+IDP+ADP</v>
      </c>
      <c r="G302" s="1658">
        <v>332</v>
      </c>
      <c r="H302" s="1765">
        <v>1</v>
      </c>
      <c r="I302" s="1938"/>
      <c r="J302" s="4727">
        <f>J97/$G302/$H302/'4. L PLAN'!F$109</f>
        <v>2.3169601482854496</v>
      </c>
      <c r="K302" s="5006">
        <f>K97/$G302/$H302/'4. L PLAN'!G$109</f>
        <v>1.2778614457831325</v>
      </c>
      <c r="L302" s="5498">
        <f>L97/$G302/$H302/'4. L PLAN'!H$109</f>
        <v>2.2225323430142709</v>
      </c>
      <c r="M302" s="4695">
        <f>M97/$G302/$H302/'4. L PLAN'!I$109</f>
        <v>2.4339783375927952</v>
      </c>
      <c r="N302" s="1857">
        <f>N97/$G302/$H302/'4. L PLAN'!J$109</f>
        <v>1.9491091780248408</v>
      </c>
      <c r="O302" s="1855">
        <f>O97/$G302/$H302/'4. L PLAN'!K$109</f>
        <v>2.3512523512523513</v>
      </c>
      <c r="P302" s="1856">
        <f>P97/$G302/$H302/'4. L PLAN'!L$109</f>
        <v>2.2641689308355972</v>
      </c>
      <c r="Q302" s="1857">
        <f>Q97/$G302/$H302/'4. L PLAN'!M$109</f>
        <v>2.3512523512523513</v>
      </c>
      <c r="R302" s="1855">
        <f>R97/$G302/$H302/'4. L PLAN'!N$109</f>
        <v>2.547190047190047</v>
      </c>
      <c r="S302" s="1856">
        <f>S97/$G302/$H302/'4. L PLAN'!O$109</f>
        <v>2.2641689308355972</v>
      </c>
      <c r="T302" s="1857">
        <f>T97/$G302/$H302/'4. L PLAN'!P$109</f>
        <v>1.8250608612054395</v>
      </c>
      <c r="U302" s="1855">
        <f>U97/$G302/$H302/'4. L PLAN'!Q$109</f>
        <v>1.6898711677828144</v>
      </c>
      <c r="V302" s="1858">
        <f t="shared" si="219"/>
        <v>2.1244505077545575</v>
      </c>
      <c r="Z302" s="1610"/>
      <c r="AA302" s="1658">
        <f t="shared" si="213"/>
        <v>332</v>
      </c>
      <c r="AB302" s="1765">
        <f t="shared" si="214"/>
        <v>1</v>
      </c>
      <c r="AC302" s="1724">
        <f t="shared" si="215"/>
        <v>0</v>
      </c>
      <c r="AD302" s="1535" t="b">
        <f t="shared" si="216"/>
        <v>1</v>
      </c>
      <c r="AE302" s="1535" t="b">
        <f t="shared" si="217"/>
        <v>1</v>
      </c>
      <c r="AF302" s="1535" t="b">
        <f t="shared" si="218"/>
        <v>1</v>
      </c>
    </row>
    <row r="303" spans="1:34" ht="18" customHeight="1">
      <c r="A303" s="7225"/>
      <c r="B303" s="7300"/>
      <c r="C303" s="2000"/>
      <c r="D303" s="1658"/>
      <c r="E303" s="10">
        <f>VLOOKUP(F303,B.BasicInfomation!B:C,2,0)</f>
        <v>10</v>
      </c>
      <c r="F303" s="54" t="str">
        <f t="shared" si="212"/>
        <v>Ride5</v>
      </c>
      <c r="G303" s="1658">
        <v>518</v>
      </c>
      <c r="H303" s="1765">
        <v>1</v>
      </c>
      <c r="I303" s="1938"/>
      <c r="J303" s="4727">
        <f>J98/$G303/$H303/'4. L PLAN'!F$109</f>
        <v>1.65000165000165E-2</v>
      </c>
      <c r="K303" s="5397">
        <f>K98/$G303/$H303/'4. L PLAN'!G$109</f>
        <v>2.6812526812526813E-2</v>
      </c>
      <c r="L303" s="6228">
        <f>L98/$G303/$H303/'4. L PLAN'!H$109</f>
        <v>0</v>
      </c>
      <c r="M303" s="4727">
        <f>M98/$G303/$H303/'4. L PLAN'!I$109</f>
        <v>1.3844931946569912E-2</v>
      </c>
      <c r="N303" s="2002">
        <f>N98/$G303/$H303/'4. L PLAN'!J$109</f>
        <v>1.7160017160017159E-2</v>
      </c>
      <c r="O303" s="2003">
        <f>O98/$G303/$H303/'4. L PLAN'!K$109</f>
        <v>1.65000165000165E-2</v>
      </c>
      <c r="P303" s="2001">
        <f>P98/$G303/$H303/'4. L PLAN'!L$109</f>
        <v>1.9861130972242076E-2</v>
      </c>
      <c r="Q303" s="2002">
        <f>Q98/$G303/$H303/'4. L PLAN'!M$109</f>
        <v>2.0625020625020619E-2</v>
      </c>
      <c r="R303" s="2003">
        <f>R98/$G303/$H303/'4. L PLAN'!N$109</f>
        <v>2.2343772343772338E-2</v>
      </c>
      <c r="S303" s="2001">
        <f>S98/$G303/$H303/'4. L PLAN'!O$109</f>
        <v>1.5888904777793669E-2</v>
      </c>
      <c r="T303" s="2002">
        <f>T98/$G303/$H303/'4. L PLAN'!P$109</f>
        <v>8.5800085800085794E-3</v>
      </c>
      <c r="U303" s="2003">
        <f>U98/$G303/$H303/'4. L PLAN'!Q$109</f>
        <v>7.9444523888968343E-3</v>
      </c>
      <c r="V303" s="1858">
        <f t="shared" si="219"/>
        <v>1.5505066550573413E-2</v>
      </c>
      <c r="Z303" s="1610"/>
      <c r="AA303" s="1658">
        <f t="shared" si="213"/>
        <v>518</v>
      </c>
      <c r="AB303" s="1765">
        <f t="shared" si="214"/>
        <v>1</v>
      </c>
      <c r="AC303" s="1724">
        <f t="shared" si="215"/>
        <v>0</v>
      </c>
      <c r="AD303" s="1535" t="b">
        <f t="shared" si="216"/>
        <v>1</v>
      </c>
      <c r="AE303" s="1535" t="b">
        <f t="shared" si="217"/>
        <v>1</v>
      </c>
      <c r="AF303" s="1535" t="b">
        <f t="shared" si="218"/>
        <v>1</v>
      </c>
    </row>
    <row r="304" spans="1:34" ht="18" customHeight="1">
      <c r="A304" s="7225"/>
      <c r="B304" s="7300"/>
      <c r="C304" s="2000"/>
      <c r="D304" s="1658"/>
      <c r="E304" s="10" t="str">
        <f>VLOOKUP(F304,B.BasicInfomation!B:C,2,0)</f>
        <v/>
      </c>
      <c r="F304" s="54" t="str">
        <f t="shared" si="212"/>
        <v>Glymur</v>
      </c>
      <c r="G304" s="1658">
        <v>271</v>
      </c>
      <c r="H304" s="1765">
        <v>1</v>
      </c>
      <c r="I304" s="1938"/>
      <c r="J304" s="4727">
        <f>J99/$G304/$H304/'4. L PLAN'!F$109</f>
        <v>0</v>
      </c>
      <c r="K304" s="5397">
        <f>K99/$G304/$H304/'4. L PLAN'!G$109</f>
        <v>0</v>
      </c>
      <c r="L304" s="6228">
        <f>L99/$G304/$H304/'4. L PLAN'!H$109</f>
        <v>0</v>
      </c>
      <c r="M304" s="4727">
        <f>M99/$G304/$H304/'4. L PLAN'!I$109</f>
        <v>0</v>
      </c>
      <c r="N304" s="2002">
        <f>N99/$G304/$H304/'4. L PLAN'!J$109</f>
        <v>0</v>
      </c>
      <c r="O304" s="2003">
        <f>O99/$G304/$H304/'4. L PLAN'!K$109</f>
        <v>0</v>
      </c>
      <c r="P304" s="2001">
        <f>P99/$G304/$H304/'4. L PLAN'!L$109</f>
        <v>0</v>
      </c>
      <c r="Q304" s="2002">
        <f>Q99/$G304/$H304/'4. L PLAN'!M$109</f>
        <v>0</v>
      </c>
      <c r="R304" s="2003">
        <f>R99/$G304/$H304/'4. L PLAN'!N$109</f>
        <v>0</v>
      </c>
      <c r="S304" s="2001">
        <f>S99/$G304/$H304/'4. L PLAN'!O$109</f>
        <v>0</v>
      </c>
      <c r="T304" s="2002">
        <f>T99/$G304/$H304/'4. L PLAN'!P$109</f>
        <v>0</v>
      </c>
      <c r="U304" s="2003">
        <f>U99/$G304/$H304/'4. L PLAN'!Q$109</f>
        <v>0</v>
      </c>
      <c r="V304" s="1858">
        <f t="shared" si="219"/>
        <v>0</v>
      </c>
      <c r="Z304" s="1610"/>
      <c r="AA304" s="1658">
        <f t="shared" si="213"/>
        <v>271</v>
      </c>
      <c r="AB304" s="1765">
        <f t="shared" si="214"/>
        <v>1</v>
      </c>
      <c r="AC304" s="1724">
        <f t="shared" si="215"/>
        <v>0</v>
      </c>
      <c r="AD304" s="1535" t="b">
        <f t="shared" si="216"/>
        <v>1</v>
      </c>
      <c r="AE304" s="1535" t="b">
        <f t="shared" si="217"/>
        <v>1</v>
      </c>
      <c r="AF304" s="1535" t="b">
        <f t="shared" si="218"/>
        <v>1</v>
      </c>
    </row>
    <row r="305" spans="1:32" ht="18" customHeight="1">
      <c r="A305" s="7225"/>
      <c r="B305" s="7300"/>
      <c r="C305" s="2000"/>
      <c r="D305" s="1658"/>
      <c r="E305" s="10">
        <f>VLOOKUP(F305,B.BasicInfomation!B:C,2,0)</f>
        <v>11</v>
      </c>
      <c r="F305" s="54" t="str">
        <f t="shared" si="212"/>
        <v>MTP Hawi</v>
      </c>
      <c r="G305" s="1658">
        <v>183</v>
      </c>
      <c r="H305" s="1765">
        <v>1</v>
      </c>
      <c r="I305" s="1938"/>
      <c r="J305" s="4727">
        <f>J100/$G305/$H305/'4. L PLAN'!F$109</f>
        <v>0.23352482368875813</v>
      </c>
      <c r="K305" s="5397">
        <f>K100/$G305/$H305/'4. L PLAN'!G$109</f>
        <v>0.30816164151323405</v>
      </c>
      <c r="L305" s="6228">
        <f>L100/$G305/$H305/'4. L PLAN'!H$109</f>
        <v>0.23352482368875813</v>
      </c>
      <c r="M305" s="4727">
        <f>M100/$G305/$H305/'4. L PLAN'!I$109</f>
        <v>0.27598388254125961</v>
      </c>
      <c r="N305" s="2002">
        <f>N100/$G305/$H305/'4. L PLAN'!J$109</f>
        <v>0.24286581663630843</v>
      </c>
      <c r="O305" s="2003">
        <f>O100/$G305/$H305/'4. L PLAN'!K$109</f>
        <v>0.23352482368875813</v>
      </c>
      <c r="P305" s="2001">
        <f>P100/$G305/$H305/'4. L PLAN'!L$109</f>
        <v>0.22487575614473004</v>
      </c>
      <c r="Q305" s="2002">
        <f>Q100/$G305/$H305/'4. L PLAN'!M$109</f>
        <v>0.23352482368875813</v>
      </c>
      <c r="R305" s="3152">
        <f>R100/$G305/$H305/'4. L PLAN'!N$109</f>
        <v>0.25298522566282128</v>
      </c>
      <c r="S305" s="3150">
        <f>S100/$G305/$H305/'4. L PLAN'!O$109</f>
        <v>0.22487575614473004</v>
      </c>
      <c r="T305" s="3151">
        <f>T100/$G305/$H305/'4. L PLAN'!P$109</f>
        <v>0.24286581663630843</v>
      </c>
      <c r="U305" s="3152">
        <f>U100/$G305/$H305/'4. L PLAN'!Q$109</f>
        <v>0.22487575614473004</v>
      </c>
      <c r="V305" s="1858">
        <f t="shared" si="219"/>
        <v>0.24429907884826285</v>
      </c>
      <c r="Z305" s="1610"/>
      <c r="AA305" s="1658">
        <f t="shared" si="213"/>
        <v>183</v>
      </c>
      <c r="AB305" s="1765">
        <f t="shared" si="214"/>
        <v>1</v>
      </c>
      <c r="AC305" s="1724">
        <f t="shared" si="215"/>
        <v>0</v>
      </c>
      <c r="AD305" s="1535" t="b">
        <f t="shared" si="216"/>
        <v>1</v>
      </c>
      <c r="AE305" s="1535" t="b">
        <f t="shared" si="217"/>
        <v>1</v>
      </c>
      <c r="AF305" s="1535" t="b">
        <f t="shared" si="218"/>
        <v>1</v>
      </c>
    </row>
    <row r="306" spans="1:32" ht="18" customHeight="1">
      <c r="A306" s="7225"/>
      <c r="B306" s="7300"/>
      <c r="C306" s="2000"/>
      <c r="D306" s="1658"/>
      <c r="E306" s="10">
        <f>VLOOKUP(F306,B.BasicInfomation!B:C,2,0)</f>
        <v>12</v>
      </c>
      <c r="F306" s="54" t="str">
        <f t="shared" si="212"/>
        <v>QMP Amboseli</v>
      </c>
      <c r="G306" s="1658">
        <v>213</v>
      </c>
      <c r="H306" s="1765">
        <v>1</v>
      </c>
      <c r="I306" s="1938"/>
      <c r="J306" s="4727">
        <f>J101/$G306/$H306/'4. L PLAN'!F$109</f>
        <v>0.10031700172545242</v>
      </c>
      <c r="K306" s="5397">
        <f>K101/$G306/$H306/'4. L PLAN'!G$109</f>
        <v>0.16301512780386018</v>
      </c>
      <c r="L306" s="6228">
        <f>L101/$G306/$H306/'4. L PLAN'!H$109</f>
        <v>0.10658224338850013</v>
      </c>
      <c r="M306" s="4727">
        <f>M101/$G306/$H306/'4. L PLAN'!I$109</f>
        <v>0</v>
      </c>
      <c r="N306" s="2002">
        <f>N101/$G306/$H306/'4. L PLAN'!J$109</f>
        <v>0.10432968179447051</v>
      </c>
      <c r="O306" s="2003">
        <f>O101/$G306/$H306/'4. L PLAN'!K$109</f>
        <v>0</v>
      </c>
      <c r="P306" s="2001">
        <f>P101/$G306/$H306/'4. L PLAN'!L$109</f>
        <v>9.6601557217102327E-2</v>
      </c>
      <c r="Q306" s="2002">
        <f>Q101/$G306/$H306/'4. L PLAN'!M$109</f>
        <v>0</v>
      </c>
      <c r="R306" s="2003">
        <f>R101/$G306/$H306/'4. L PLAN'!N$109</f>
        <v>0.10867675186924013</v>
      </c>
      <c r="S306" s="2001">
        <f>S101/$G306/$H306/'4. L PLAN'!O$109</f>
        <v>0</v>
      </c>
      <c r="T306" s="2002">
        <f>T101/$G306/$H306/'4. L PLAN'!P$109</f>
        <v>0.10432968179447051</v>
      </c>
      <c r="U306" s="2003">
        <f>U101/$G306/$H306/'4. L PLAN'!Q$109</f>
        <v>0</v>
      </c>
      <c r="V306" s="1858">
        <f t="shared" si="219"/>
        <v>6.5321003799424682E-2</v>
      </c>
      <c r="Z306" s="1610"/>
      <c r="AA306" s="1658">
        <f t="shared" si="213"/>
        <v>213</v>
      </c>
      <c r="AB306" s="1765">
        <f t="shared" si="214"/>
        <v>1</v>
      </c>
      <c r="AC306" s="1724">
        <f t="shared" si="215"/>
        <v>0</v>
      </c>
      <c r="AD306" s="1535" t="b">
        <f t="shared" si="216"/>
        <v>1</v>
      </c>
      <c r="AE306" s="1535" t="b">
        <f t="shared" si="217"/>
        <v>1</v>
      </c>
      <c r="AF306" s="1535" t="b">
        <f t="shared" si="218"/>
        <v>1</v>
      </c>
    </row>
    <row r="307" spans="1:32" ht="18" customHeight="1">
      <c r="A307" s="7225"/>
      <c r="B307" s="7300"/>
      <c r="C307" s="1997"/>
      <c r="D307" s="1713"/>
      <c r="E307" s="6">
        <f>VLOOKUP(F307,B.BasicInfomation!B:C,2,0)</f>
        <v>13</v>
      </c>
      <c r="F307" s="28" t="str">
        <f t="shared" si="212"/>
        <v>LDS Antenna</v>
      </c>
      <c r="G307" s="1658">
        <v>0</v>
      </c>
      <c r="H307" s="1765">
        <v>1</v>
      </c>
      <c r="I307" s="1938"/>
      <c r="J307" s="4728">
        <f>IFERROR(J102/$G$307/$H$307/'4. L PLAN'!F109,0)</f>
        <v>0</v>
      </c>
      <c r="K307" s="4728">
        <f>IFERROR(K102/$G$307/$H$307/'4. L PLAN'!G109,0)</f>
        <v>0</v>
      </c>
      <c r="L307" s="6229">
        <f>IFERROR(L102/$G$307/$H$307/'4. L PLAN'!H109,0)</f>
        <v>0</v>
      </c>
      <c r="M307" s="6230">
        <f>IFERROR(M102/$G$307/$H$307/'4. L PLAN'!I109,0)</f>
        <v>0</v>
      </c>
      <c r="N307" s="2005">
        <f>IFERROR(N102/$G$307/$H$307/'4. L PLAN'!J109,0)</f>
        <v>0</v>
      </c>
      <c r="O307" s="2006">
        <f>IFERROR(O102/$G$307/$H$307/'4. L PLAN'!K109,0)</f>
        <v>0</v>
      </c>
      <c r="P307" s="2004">
        <f>IFERROR(P102/$G$307/$H$307/'4. L PLAN'!L109,0)</f>
        <v>0</v>
      </c>
      <c r="Q307" s="2005">
        <f>IFERROR(Q102/$G$307/$H$307/'4. L PLAN'!M109,0)</f>
        <v>0</v>
      </c>
      <c r="R307" s="2006">
        <f>IFERROR(R102/$G$307/$H$307/'4. L PLAN'!N109,0)</f>
        <v>0</v>
      </c>
      <c r="S307" s="2004">
        <f>IFERROR(S102/$G$307/$H$307/'4. L PLAN'!O109,0)</f>
        <v>0</v>
      </c>
      <c r="T307" s="2005">
        <f>IFERROR(T102/$G$307/$H$307/'4. L PLAN'!P109,0)</f>
        <v>0</v>
      </c>
      <c r="U307" s="2006">
        <f>IFERROR(U102/$G$307/$H$307/'4. L PLAN'!Q109,0)</f>
        <v>0</v>
      </c>
      <c r="V307" s="1858">
        <f t="shared" si="219"/>
        <v>0</v>
      </c>
      <c r="Z307" s="1610"/>
      <c r="AA307" s="1658">
        <f t="shared" si="213"/>
        <v>0</v>
      </c>
      <c r="AB307" s="1765">
        <f t="shared" si="214"/>
        <v>1</v>
      </c>
      <c r="AC307" s="1724">
        <f t="shared" si="215"/>
        <v>0</v>
      </c>
      <c r="AD307" s="1535" t="b">
        <f t="shared" si="216"/>
        <v>1</v>
      </c>
      <c r="AE307" s="1535" t="b">
        <f t="shared" si="217"/>
        <v>1</v>
      </c>
      <c r="AF307" s="1535" t="b">
        <f t="shared" si="218"/>
        <v>1</v>
      </c>
    </row>
    <row r="308" spans="1:32" ht="18" customHeight="1">
      <c r="A308" s="7298"/>
      <c r="B308" s="7301"/>
      <c r="C308" s="1726" t="s">
        <v>43</v>
      </c>
      <c r="D308" s="1966"/>
      <c r="E308" s="2007"/>
      <c r="F308" s="1727"/>
      <c r="G308" s="3704"/>
      <c r="H308" s="1865">
        <v>1</v>
      </c>
      <c r="I308" s="1967"/>
      <c r="J308" s="4494">
        <f>SUM(J294:J307)</f>
        <v>27.667301990199679</v>
      </c>
      <c r="K308" s="4734">
        <f t="shared" ref="K308:U308" si="220">SUM(K294:K307)</f>
        <v>26.775850741912752</v>
      </c>
      <c r="L308" s="5510">
        <f t="shared" si="220"/>
        <v>27.562639410091531</v>
      </c>
      <c r="M308" s="4494">
        <f t="shared" si="220"/>
        <v>27.723807152080621</v>
      </c>
      <c r="N308" s="1620">
        <f t="shared" si="220"/>
        <v>32.313464693615636</v>
      </c>
      <c r="O308" s="1621">
        <f t="shared" si="220"/>
        <v>32.601277191441127</v>
      </c>
      <c r="P308" s="1619">
        <f t="shared" si="220"/>
        <v>32.605507375169672</v>
      </c>
      <c r="Q308" s="1620">
        <f t="shared" si="220"/>
        <v>62.605402195566128</v>
      </c>
      <c r="R308" s="1621">
        <f t="shared" si="220"/>
        <v>62.931195797065882</v>
      </c>
      <c r="S308" s="1619">
        <f t="shared" si="220"/>
        <v>62.504933591758125</v>
      </c>
      <c r="T308" s="1620">
        <f t="shared" si="220"/>
        <v>62.180836368216227</v>
      </c>
      <c r="U308" s="1621">
        <f t="shared" si="220"/>
        <v>61.922691376316443</v>
      </c>
      <c r="V308" s="1566">
        <f>AVERAGE(J308:U308)</f>
        <v>43.282908990286153</v>
      </c>
      <c r="Z308" s="1610"/>
      <c r="AA308" s="1658">
        <f t="shared" si="213"/>
        <v>0</v>
      </c>
      <c r="AB308" s="1765">
        <f t="shared" si="214"/>
        <v>1</v>
      </c>
      <c r="AC308" s="1724">
        <f t="shared" si="215"/>
        <v>0</v>
      </c>
      <c r="AD308" s="1535" t="b">
        <f t="shared" si="216"/>
        <v>1</v>
      </c>
      <c r="AE308" s="1535" t="b">
        <f t="shared" si="217"/>
        <v>1</v>
      </c>
      <c r="AF308" s="1535" t="b">
        <f t="shared" si="218"/>
        <v>1</v>
      </c>
    </row>
    <row r="309" spans="1:32" ht="18" customHeight="1">
      <c r="A309" s="3551">
        <v>2</v>
      </c>
      <c r="B309" s="3552" t="s">
        <v>23</v>
      </c>
      <c r="C309" s="1735" t="s">
        <v>20</v>
      </c>
      <c r="D309" s="1735" t="str">
        <f>'2. S Plan'!D127</f>
        <v>Motor HSG</v>
      </c>
      <c r="E309" s="1735">
        <f>VLOOKUP(F309,B.BasicInfomation!B:C,2,0)</f>
        <v>14</v>
      </c>
      <c r="F309" s="2008" t="str">
        <f t="shared" ref="F309:F340" si="221">F190</f>
        <v>GEN3 AL5 Housing (YT)</v>
      </c>
      <c r="G309" s="3705">
        <v>1180</v>
      </c>
      <c r="H309" s="1765">
        <v>1</v>
      </c>
      <c r="I309" s="2786"/>
      <c r="J309" s="4729">
        <f>IFERROR(J104/$G309/$H309/'4. L PLAN'!F$109,0)</f>
        <v>2.0580419120390969</v>
      </c>
      <c r="K309" s="5398">
        <f>IFERROR(K104/$G309/$H309/'4. L PLAN'!G$109,0)</f>
        <v>3.2699999269065656</v>
      </c>
      <c r="L309" s="6231">
        <f>IFERROR(L104/$G309/$H309/'4. L PLAN'!H$109,0)</f>
        <v>2.9269929415667164</v>
      </c>
      <c r="M309" s="4729">
        <f>IFERROR(M104/$G309/$H309/'4. L PLAN'!I$109,0)</f>
        <v>3.428709164531031</v>
      </c>
      <c r="N309" s="2010">
        <f>IFERROR(N104/$G309/$H309/'4. L PLAN'!J$109,0)</f>
        <v>2.6223057265082677</v>
      </c>
      <c r="O309" s="2011">
        <f>IFERROR(O104/$G309/$H309/'4. L PLAN'!K$109,0)</f>
        <v>3.7246400947479299</v>
      </c>
      <c r="P309" s="2009">
        <f>IFERROR(P104/$G309/$H309/'4. L PLAN'!L$109,0)</f>
        <v>2.8886500731718239</v>
      </c>
      <c r="Q309" s="2010">
        <f>IFERROR(Q104/$G309/$H309/'4. L PLAN'!M$109,0)</f>
        <v>2.8338469116504799</v>
      </c>
      <c r="R309" s="2011">
        <f>IFERROR(R104/$G309/$H309/'4. L PLAN'!N$109,0)</f>
        <v>0</v>
      </c>
      <c r="S309" s="2009">
        <f>IFERROR(S104/$G309/$H309/'4. L PLAN'!O$109,0)</f>
        <v>0</v>
      </c>
      <c r="T309" s="2010">
        <f>IFERROR(T104/$G309/$H309/'4. L PLAN'!P$109,0)</f>
        <v>0</v>
      </c>
      <c r="U309" s="2011">
        <f>IFERROR(U104/$G309/$H309/'4. L PLAN'!Q$109,0)</f>
        <v>0</v>
      </c>
      <c r="V309" s="2012">
        <f t="shared" si="219"/>
        <v>1.9794322292601594</v>
      </c>
      <c r="Z309" s="1610"/>
      <c r="AA309" s="1658">
        <f t="shared" si="213"/>
        <v>1180</v>
      </c>
      <c r="AB309" s="1765">
        <f t="shared" si="214"/>
        <v>1</v>
      </c>
      <c r="AC309" s="1724">
        <f t="shared" si="215"/>
        <v>0</v>
      </c>
      <c r="AD309" s="1535" t="b">
        <f t="shared" si="216"/>
        <v>1</v>
      </c>
      <c r="AE309" s="1535" t="b">
        <f t="shared" si="217"/>
        <v>1</v>
      </c>
      <c r="AF309" s="1535" t="b">
        <f t="shared" si="218"/>
        <v>1</v>
      </c>
    </row>
    <row r="310" spans="1:32" ht="18" customHeight="1">
      <c r="A310" s="2039"/>
      <c r="B310" s="1763"/>
      <c r="C310" s="1658"/>
      <c r="D310" s="1658"/>
      <c r="E310" s="1658" t="str">
        <f>VLOOKUP(F310,B.BasicInfomation!B:C,2,0)</f>
        <v/>
      </c>
      <c r="F310" s="2013" t="str">
        <f t="shared" si="221"/>
        <v>GEN3 AL6 Housing (YT)</v>
      </c>
      <c r="G310" s="1863">
        <v>1180</v>
      </c>
      <c r="H310" s="1765">
        <v>1</v>
      </c>
      <c r="I310" s="1938"/>
      <c r="J310" s="4727">
        <f>IFERROR(J105/$G310/$H310/'4. L PLAN'!F$109,0)</f>
        <v>0</v>
      </c>
      <c r="K310" s="5397">
        <f>IFERROR(K105/$G310/$H310/'4. L PLAN'!G$109,0)</f>
        <v>0</v>
      </c>
      <c r="L310" s="6228">
        <f>IFERROR(L105/$G310/$H310/'4. L PLAN'!H$109,0)</f>
        <v>0.18304861657316335</v>
      </c>
      <c r="M310" s="4727">
        <f>IFERROR(M105/$G310/$H310/'4. L PLAN'!I$109,0)</f>
        <v>0.3493828180368706</v>
      </c>
      <c r="N310" s="2002">
        <f>IFERROR(N105/$G310/$H310/'4. L PLAN'!J$109,0)</f>
        <v>2.8806533579373302E-2</v>
      </c>
      <c r="O310" s="2003">
        <f>IFERROR(O105/$G310/$H310/'4. L PLAN'!K$109,0)</f>
        <v>0</v>
      </c>
      <c r="P310" s="2001">
        <f>IFERROR(P105/$G310/$H310/'4. L PLAN'!L$109,0)</f>
        <v>0</v>
      </c>
      <c r="Q310" s="2002">
        <f>IFERROR(Q105/$G310/$H310/'4. L PLAN'!M$109,0)</f>
        <v>0</v>
      </c>
      <c r="R310" s="2003">
        <f>IFERROR(R105/$G310/$H310/'4. L PLAN'!N$109,0)</f>
        <v>0</v>
      </c>
      <c r="S310" s="2001">
        <f>IFERROR(S105/$G310/$H310/'4. L PLAN'!O$109,0)</f>
        <v>0</v>
      </c>
      <c r="T310" s="2002">
        <f>IFERROR(T105/$G310/$H310/'4. L PLAN'!P$109,0)</f>
        <v>0</v>
      </c>
      <c r="U310" s="2003">
        <f>IFERROR(U105/$G310/$H310/'4. L PLAN'!Q$109,0)</f>
        <v>0</v>
      </c>
      <c r="V310" s="1858">
        <f t="shared" si="219"/>
        <v>4.6769830682450608E-2</v>
      </c>
      <c r="X310" s="1533"/>
      <c r="Z310" s="1610"/>
      <c r="AA310" s="1658">
        <f t="shared" si="213"/>
        <v>1180</v>
      </c>
      <c r="AB310" s="1765">
        <f t="shared" si="214"/>
        <v>1</v>
      </c>
      <c r="AC310" s="1724">
        <f t="shared" si="215"/>
        <v>0</v>
      </c>
      <c r="AD310" s="1535" t="b">
        <f t="shared" si="216"/>
        <v>1</v>
      </c>
      <c r="AE310" s="1535" t="b">
        <f t="shared" si="217"/>
        <v>1</v>
      </c>
      <c r="AF310" s="1535" t="b">
        <f t="shared" si="218"/>
        <v>1</v>
      </c>
    </row>
    <row r="311" spans="1:32" ht="18" customHeight="1">
      <c r="A311" s="2039"/>
      <c r="B311" s="1763"/>
      <c r="C311" s="1658"/>
      <c r="D311" s="1658"/>
      <c r="E311" s="1658" t="str">
        <f>VLOOKUP(F311,B.BasicInfomation!B:C,2,0)</f>
        <v/>
      </c>
      <c r="F311" s="2013" t="str">
        <f t="shared" si="221"/>
        <v>GEN3 AL5  Housing (MX)</v>
      </c>
      <c r="G311" s="1863">
        <v>1180</v>
      </c>
      <c r="H311" s="1765">
        <v>1</v>
      </c>
      <c r="I311" s="1938"/>
      <c r="J311" s="4727">
        <f>IFERROR(J106/$G311/$H311/'4. L PLAN'!F$109,0)</f>
        <v>0</v>
      </c>
      <c r="K311" s="5397">
        <f>IFERROR(K106/$G311/$H311/'4. L PLAN'!G$109,0)</f>
        <v>0</v>
      </c>
      <c r="L311" s="6228">
        <f>IFERROR(L106/$G311/$H311/'4. L PLAN'!H$109,0)</f>
        <v>0</v>
      </c>
      <c r="M311" s="4727">
        <f>IFERROR(M106/$G311/$H311/'4. L PLAN'!I$109,0)</f>
        <v>0</v>
      </c>
      <c r="N311" s="2002">
        <f>IFERROR(N106/$G311/$H311/'4. L PLAN'!J$109,0)</f>
        <v>0</v>
      </c>
      <c r="O311" s="2003">
        <f>IFERROR(O106/$G311/$H311/'4. L PLAN'!K$109,0)</f>
        <v>0</v>
      </c>
      <c r="P311" s="2001">
        <f>IFERROR(P106/$G311/$H311/'4. L PLAN'!L$109,0)</f>
        <v>0</v>
      </c>
      <c r="Q311" s="2002">
        <f>IFERROR(Q106/$G311/$H311/'4. L PLAN'!M$109,0)</f>
        <v>0</v>
      </c>
      <c r="R311" s="2003">
        <f>IFERROR(R106/$G311/$H311/'4. L PLAN'!N$109,0)</f>
        <v>0</v>
      </c>
      <c r="S311" s="2001">
        <f>IFERROR(S106/$G311/$H311/'4. L PLAN'!O$109,0)</f>
        <v>0</v>
      </c>
      <c r="T311" s="2002">
        <f>IFERROR(T106/$G311/$H311/'4. L PLAN'!P$109,0)</f>
        <v>0</v>
      </c>
      <c r="U311" s="2003">
        <f>IFERROR(U106/$G311/$H311/'4. L PLAN'!Q$109,0)</f>
        <v>0</v>
      </c>
      <c r="V311" s="1858">
        <f t="shared" si="219"/>
        <v>0</v>
      </c>
      <c r="Z311" s="1610"/>
      <c r="AA311" s="1658">
        <f t="shared" si="213"/>
        <v>1180</v>
      </c>
      <c r="AB311" s="1765">
        <f t="shared" si="214"/>
        <v>1</v>
      </c>
      <c r="AC311" s="1724">
        <f t="shared" si="215"/>
        <v>0</v>
      </c>
      <c r="AD311" s="1535" t="b">
        <f t="shared" si="216"/>
        <v>1</v>
      </c>
      <c r="AE311" s="1535" t="b">
        <f t="shared" si="217"/>
        <v>1</v>
      </c>
      <c r="AF311" s="1535" t="b">
        <f t="shared" si="218"/>
        <v>1</v>
      </c>
    </row>
    <row r="312" spans="1:32" ht="18" customHeight="1">
      <c r="A312" s="2039"/>
      <c r="B312" s="1763"/>
      <c r="C312" s="1658"/>
      <c r="D312" s="1658"/>
      <c r="E312" s="1658" t="str">
        <f>VLOOKUP(F312,B.BasicInfomation!B:C,2,0)</f>
        <v/>
      </c>
      <c r="F312" s="2013" t="str">
        <f t="shared" si="221"/>
        <v>GEN3 AL6  Housing (MX)</v>
      </c>
      <c r="G312" s="1863">
        <v>1181</v>
      </c>
      <c r="H312" s="1765">
        <v>1</v>
      </c>
      <c r="I312" s="1938"/>
      <c r="J312" s="4727">
        <f>IFERROR(J107/$G312/$H312/'4. L PLAN'!F$109,0)</f>
        <v>0</v>
      </c>
      <c r="K312" s="5397">
        <f>IFERROR(K107/$G312/$H312/'4. L PLAN'!G$109,0)</f>
        <v>0</v>
      </c>
      <c r="L312" s="6228">
        <f>IFERROR(L107/$G312/$H312/'4. L PLAN'!H$109,0)</f>
        <v>0</v>
      </c>
      <c r="M312" s="4727">
        <f>IFERROR(M107/$G312/$H312/'4. L PLAN'!I$109,0)</f>
        <v>0</v>
      </c>
      <c r="N312" s="2002">
        <f>IFERROR(N107/$G312/$H312/'4. L PLAN'!J$109,0)</f>
        <v>0</v>
      </c>
      <c r="O312" s="2003">
        <f>IFERROR(O107/$G312/$H312/'4. L PLAN'!K$109,0)</f>
        <v>0</v>
      </c>
      <c r="P312" s="2001">
        <f>IFERROR(P107/$G312/$H312/'4. L PLAN'!L$109,0)</f>
        <v>0</v>
      </c>
      <c r="Q312" s="2002">
        <f>IFERROR(Q107/$G312/$H312/'4. L PLAN'!M$109,0)</f>
        <v>0</v>
      </c>
      <c r="R312" s="2003">
        <f>IFERROR(R107/$G312/$H312/'4. L PLAN'!N$109,0)</f>
        <v>0</v>
      </c>
      <c r="S312" s="2001">
        <f>IFERROR(S107/$G312/$H312/'4. L PLAN'!O$109,0)</f>
        <v>0</v>
      </c>
      <c r="T312" s="2002">
        <f>IFERROR(T107/$G312/$H312/'4. L PLAN'!P$109,0)</f>
        <v>0</v>
      </c>
      <c r="U312" s="2003">
        <f>IFERROR(U107/$G312/$H312/'4. L PLAN'!Q$109,0)</f>
        <v>0</v>
      </c>
      <c r="V312" s="1858">
        <f>AVERAGE(J312:U312)</f>
        <v>0</v>
      </c>
      <c r="Z312" s="1610"/>
      <c r="AA312" s="1658">
        <f t="shared" si="213"/>
        <v>1181</v>
      </c>
      <c r="AB312" s="1765">
        <f t="shared" si="214"/>
        <v>1</v>
      </c>
      <c r="AC312" s="1724">
        <f t="shared" si="215"/>
        <v>0</v>
      </c>
      <c r="AD312" s="1535" t="b">
        <f t="shared" si="216"/>
        <v>1</v>
      </c>
      <c r="AE312" s="1535" t="b">
        <f t="shared" si="217"/>
        <v>1</v>
      </c>
      <c r="AF312" s="1535" t="b">
        <f t="shared" si="218"/>
        <v>1</v>
      </c>
    </row>
    <row r="313" spans="1:32" ht="18" customHeight="1">
      <c r="A313" s="2039"/>
      <c r="B313" s="1763"/>
      <c r="C313" s="1658"/>
      <c r="D313" s="1658"/>
      <c r="E313" s="1658" t="str">
        <f>VLOOKUP(F313,B.BasicInfomation!B:C,2,0)</f>
        <v/>
      </c>
      <c r="F313" s="2013" t="str">
        <f t="shared" si="221"/>
        <v>T6 Housing</v>
      </c>
      <c r="G313" s="1863">
        <v>180</v>
      </c>
      <c r="H313" s="1765">
        <v>1</v>
      </c>
      <c r="I313" s="1938"/>
      <c r="J313" s="4727">
        <f>IFERROR(J108/$G313/$H313/'4. L PLAN'!F$109,0)</f>
        <v>0</v>
      </c>
      <c r="K313" s="5397">
        <f>IFERROR(K108/$G313/$H313/'4. L PLAN'!G$109,0)</f>
        <v>0</v>
      </c>
      <c r="L313" s="6228">
        <f>IFERROR(L108/$G313/$H313/'4. L PLAN'!H$109,0)</f>
        <v>8.3444086892876879</v>
      </c>
      <c r="M313" s="4727">
        <f>IFERROR(M108/$G313/$H313/'4. L PLAN'!I$109,0)</f>
        <v>5.1765259341807566</v>
      </c>
      <c r="N313" s="2002">
        <f>IFERROR(N108/$G313/$H313/'4. L PLAN'!J$109,0)</f>
        <v>0</v>
      </c>
      <c r="O313" s="2003">
        <f>IFERROR(O108/$G313/$H313/'4. L PLAN'!K$109,0)</f>
        <v>0</v>
      </c>
      <c r="P313" s="2001">
        <f>IFERROR(P108/$G313/$H313/'4. L PLAN'!L$109,0)</f>
        <v>0</v>
      </c>
      <c r="Q313" s="2002">
        <f>IFERROR(Q108/$G313/$H313/'4. L PLAN'!M$109,0)</f>
        <v>0</v>
      </c>
      <c r="R313" s="2003">
        <f>IFERROR(R108/$G313/$H313/'4. L PLAN'!N$109,0)</f>
        <v>0</v>
      </c>
      <c r="S313" s="2001">
        <f>IFERROR(S108/$G313/$H313/'4. L PLAN'!O$109,0)</f>
        <v>0</v>
      </c>
      <c r="T313" s="2002">
        <f>IFERROR(T108/$G313/$H313/'4. L PLAN'!P$109,0)</f>
        <v>0</v>
      </c>
      <c r="U313" s="2003">
        <f>IFERROR(U108/$G313/$H313/'4. L PLAN'!Q$109,0)</f>
        <v>0</v>
      </c>
      <c r="V313" s="1858">
        <f t="shared" ref="V313:V316" si="222">AVERAGE(J313:U313)</f>
        <v>1.1267445519557038</v>
      </c>
      <c r="Z313" s="1610"/>
      <c r="AA313" s="1658">
        <f t="shared" si="213"/>
        <v>180</v>
      </c>
      <c r="AB313" s="1765">
        <f t="shared" si="214"/>
        <v>1</v>
      </c>
      <c r="AC313" s="1724">
        <f t="shared" si="215"/>
        <v>0</v>
      </c>
      <c r="AD313" s="1535" t="b">
        <f t="shared" si="216"/>
        <v>1</v>
      </c>
      <c r="AE313" s="1535" t="b">
        <f t="shared" si="217"/>
        <v>1</v>
      </c>
      <c r="AF313" s="1535" t="b">
        <f t="shared" si="218"/>
        <v>1</v>
      </c>
    </row>
    <row r="314" spans="1:32" ht="18" customHeight="1">
      <c r="A314" s="2039"/>
      <c r="B314" s="1763"/>
      <c r="C314" s="1658"/>
      <c r="D314" s="1658"/>
      <c r="E314" s="1658">
        <f>VLOOKUP(F314,B.BasicInfomation!B:C,2,0)</f>
        <v>15</v>
      </c>
      <c r="F314" s="2013" t="str">
        <f t="shared" si="221"/>
        <v>CL4 Housing (YT)</v>
      </c>
      <c r="G314" s="1863">
        <v>460</v>
      </c>
      <c r="H314" s="1765">
        <v>1</v>
      </c>
      <c r="I314" s="1938"/>
      <c r="J314" s="4727">
        <f>IFERROR(J109/$G314/$H314/'4. L PLAN'!F$109,0)</f>
        <v>5.5333199372864401</v>
      </c>
      <c r="K314" s="5397">
        <f>IFERROR(K109/$G314/$H314/'4. L PLAN'!G$109,0)</f>
        <v>6.0559939250030972</v>
      </c>
      <c r="L314" s="6228">
        <f>IFERROR(L109/$G314/$H314/'4. L PLAN'!H$109,0)</f>
        <v>4.4053719671860447</v>
      </c>
      <c r="M314" s="4727">
        <f>IFERROR(M109/$G314/$H314/'4. L PLAN'!I$109,0)</f>
        <v>6.1834992337559189</v>
      </c>
      <c r="N314" s="2002">
        <f>IFERROR(N109/$G314/$H314/'4. L PLAN'!J$109,0)</f>
        <v>5.8116705585776618</v>
      </c>
      <c r="O314" s="2003">
        <f>IFERROR(O109/$G314/$H314/'4. L PLAN'!K$109,0)</f>
        <v>3.3524234987968313</v>
      </c>
      <c r="P314" s="2001">
        <f>IFERROR(P109/$G314/$H314/'4. L PLAN'!L$109,0)</f>
        <v>0</v>
      </c>
      <c r="Q314" s="2002">
        <f>IFERROR(Q109/$G314/$H314/'4. L PLAN'!M$109,0)</f>
        <v>0</v>
      </c>
      <c r="R314" s="2003">
        <f>IFERROR(R109/$G314/$H314/'4. L PLAN'!N$109,0)</f>
        <v>0</v>
      </c>
      <c r="S314" s="2001">
        <f>IFERROR(S109/$G314/$H314/'4. L PLAN'!O$109,0)</f>
        <v>0</v>
      </c>
      <c r="T314" s="2002">
        <f>IFERROR(T109/$G314/$H314/'4. L PLAN'!P$109,0)</f>
        <v>0</v>
      </c>
      <c r="U314" s="2003">
        <f>IFERROR(U109/$G314/$H314/'4. L PLAN'!Q$109,0)</f>
        <v>0</v>
      </c>
      <c r="V314" s="1858">
        <f t="shared" si="222"/>
        <v>2.6118565933838327</v>
      </c>
      <c r="Z314" s="1610"/>
      <c r="AA314" s="1658">
        <f t="shared" si="213"/>
        <v>460</v>
      </c>
      <c r="AB314" s="1765">
        <f t="shared" si="214"/>
        <v>1</v>
      </c>
      <c r="AC314" s="1724">
        <f t="shared" si="215"/>
        <v>0</v>
      </c>
      <c r="AD314" s="1535" t="b">
        <f t="shared" si="216"/>
        <v>1</v>
      </c>
      <c r="AE314" s="1535" t="b">
        <f t="shared" si="217"/>
        <v>1</v>
      </c>
      <c r="AF314" s="1535" t="b">
        <f t="shared" si="218"/>
        <v>1</v>
      </c>
    </row>
    <row r="315" spans="1:32" ht="18" customHeight="1">
      <c r="A315" s="2039"/>
      <c r="B315" s="1763"/>
      <c r="C315" s="1658"/>
      <c r="D315" s="2000"/>
      <c r="E315" s="1658"/>
      <c r="F315" s="2013" t="str">
        <f t="shared" si="221"/>
        <v>CL4 Housing (MX)</v>
      </c>
      <c r="G315" s="1863">
        <v>460</v>
      </c>
      <c r="H315" s="1765">
        <v>1</v>
      </c>
      <c r="I315" s="1938"/>
      <c r="J315" s="4727"/>
      <c r="K315" s="5397"/>
      <c r="L315" s="6228"/>
      <c r="M315" s="4727"/>
      <c r="N315" s="2002"/>
      <c r="O315" s="2003"/>
      <c r="P315" s="2001"/>
      <c r="Q315" s="2002"/>
      <c r="R315" s="2003"/>
      <c r="S315" s="2001"/>
      <c r="T315" s="2002"/>
      <c r="U315" s="2003"/>
      <c r="V315" s="1858"/>
      <c r="Z315" s="1610"/>
      <c r="AA315" s="1658"/>
      <c r="AB315" s="1765"/>
      <c r="AC315" s="1724"/>
    </row>
    <row r="316" spans="1:32" ht="18" customHeight="1">
      <c r="A316" s="2039"/>
      <c r="B316" s="1763"/>
      <c r="C316" s="1658"/>
      <c r="D316" s="2000"/>
      <c r="E316" s="1658">
        <f>VLOOKUP(F316,B.BasicInfomation!B:C,2,0)</f>
        <v>17</v>
      </c>
      <c r="F316" s="2013" t="str">
        <f t="shared" si="221"/>
        <v>MQ4a PE Housing (YT)</v>
      </c>
      <c r="G316" s="1863">
        <v>430</v>
      </c>
      <c r="H316" s="1765">
        <v>1</v>
      </c>
      <c r="I316" s="1938"/>
      <c r="J316" s="4727">
        <f>IFERROR(J111/$G316/$H316/'4. L PLAN'!F$109,0)</f>
        <v>7.406848907549117E-2</v>
      </c>
      <c r="K316" s="5397">
        <f>IFERROR(K111/$G316/$H316/'4. L PLAN'!G$109,0)</f>
        <v>3.2497549581871747</v>
      </c>
      <c r="L316" s="6228">
        <f>IFERROR(L111/$G316/$H316/'4. L PLAN'!H$109,0)</f>
        <v>3.3861644255678716</v>
      </c>
      <c r="M316" s="4727">
        <f>IFERROR(M111/$G316/$H316/'4. L PLAN'!I$109,0)</f>
        <v>3.1969348287722825</v>
      </c>
      <c r="N316" s="2002">
        <f>IFERROR(N111/$G316/$H316/'4. L PLAN'!J$109,0)</f>
        <v>3.5498255324678394</v>
      </c>
      <c r="O316" s="2003">
        <f>IFERROR(O111/$G316/$H316/'4. L PLAN'!K$109,0)</f>
        <v>1.2795812597312286</v>
      </c>
      <c r="P316" s="2001">
        <f>IFERROR(P111/$G316/$H316/'4. L PLAN'!L$109,0)</f>
        <v>2.0163098638189059</v>
      </c>
      <c r="Q316" s="2002">
        <f>IFERROR(Q111/$G316/$H316/'4. L PLAN'!M$109,0)</f>
        <v>3.7746570073468773</v>
      </c>
      <c r="R316" s="2003">
        <f>IFERROR(R111/$G316/$H316/'4. L PLAN'!N$109,0)</f>
        <v>1.4019654521865828</v>
      </c>
      <c r="S316" s="2001">
        <f>IFERROR(S111/$G316/$H316/'4. L PLAN'!O$109,0)</f>
        <v>0</v>
      </c>
      <c r="T316" s="2002">
        <f>IFERROR(T111/$G316/$H316/'4. L PLAN'!P$109,0)</f>
        <v>0</v>
      </c>
      <c r="U316" s="2003">
        <f>IFERROR(U111/$G316/$H316/'4. L PLAN'!Q$109,0)</f>
        <v>0</v>
      </c>
      <c r="V316" s="1858">
        <f t="shared" si="222"/>
        <v>1.8274384847628546</v>
      </c>
      <c r="Z316" s="1610"/>
      <c r="AA316" s="1658">
        <f t="shared" si="213"/>
        <v>430</v>
      </c>
      <c r="AB316" s="1765">
        <f t="shared" si="214"/>
        <v>1</v>
      </c>
      <c r="AC316" s="1724">
        <f t="shared" si="215"/>
        <v>0</v>
      </c>
      <c r="AD316" s="1535" t="b">
        <f t="shared" si="216"/>
        <v>1</v>
      </c>
      <c r="AE316" s="1535" t="b">
        <f t="shared" si="217"/>
        <v>1</v>
      </c>
      <c r="AF316" s="1535" t="b">
        <f t="shared" si="218"/>
        <v>1</v>
      </c>
    </row>
    <row r="317" spans="1:32" ht="18" customHeight="1">
      <c r="A317" s="2039"/>
      <c r="B317" s="1763"/>
      <c r="C317" s="1658"/>
      <c r="D317" s="2000"/>
      <c r="E317" s="1658"/>
      <c r="F317" s="2013" t="str">
        <f t="shared" si="221"/>
        <v>MQ4a PE Housing (MX)</v>
      </c>
      <c r="G317" s="1863">
        <v>430</v>
      </c>
      <c r="H317" s="1765">
        <v>1</v>
      </c>
      <c r="I317" s="1938"/>
      <c r="J317" s="4727"/>
      <c r="K317" s="5397"/>
      <c r="L317" s="6228"/>
      <c r="M317" s="4727"/>
      <c r="N317" s="2002"/>
      <c r="O317" s="2003"/>
      <c r="P317" s="2001"/>
      <c r="Q317" s="2002"/>
      <c r="R317" s="2003"/>
      <c r="S317" s="2001"/>
      <c r="T317" s="2002"/>
      <c r="U317" s="2003"/>
      <c r="V317" s="1858"/>
      <c r="Z317" s="1610"/>
      <c r="AA317" s="1658"/>
      <c r="AB317" s="1765"/>
      <c r="AC317" s="1724"/>
    </row>
    <row r="318" spans="1:32" ht="18" customHeight="1">
      <c r="A318" s="2039"/>
      <c r="B318" s="1763"/>
      <c r="C318" s="1658"/>
      <c r="D318" s="2000"/>
      <c r="E318" s="1658" t="str">
        <f>VLOOKUP(F318,B.BasicInfomation!B:C,2,0)</f>
        <v/>
      </c>
      <c r="F318" s="2013" t="str">
        <f t="shared" si="221"/>
        <v>BYD Housing</v>
      </c>
      <c r="G318" s="1863">
        <v>430</v>
      </c>
      <c r="H318" s="1765">
        <v>1</v>
      </c>
      <c r="I318" s="1938"/>
      <c r="J318" s="4727">
        <f>IFERROR(J113/$G318/$H318/'4. L PLAN'!F$109,0)</f>
        <v>0</v>
      </c>
      <c r="K318" s="5397">
        <f>IFERROR(K113/$G318/$H318/'4. L PLAN'!G$109,0)</f>
        <v>0</v>
      </c>
      <c r="L318" s="6228">
        <f>IFERROR(L113/$G318/$H318/'4. L PLAN'!H$109,0)</f>
        <v>0</v>
      </c>
      <c r="M318" s="4727">
        <f>IFERROR(M113/$G318/$H318/'4. L PLAN'!I$109,0)</f>
        <v>0</v>
      </c>
      <c r="N318" s="2002">
        <f>IFERROR(N113/$G318/$H318/'4. L PLAN'!J$109,0)</f>
        <v>0</v>
      </c>
      <c r="O318" s="2003">
        <f>IFERROR(O113/$G318/$H318/'4. L PLAN'!K$109,0)</f>
        <v>0</v>
      </c>
      <c r="P318" s="2001">
        <f>IFERROR(P113/$G318/$H318/'4. L PLAN'!L$109,0)</f>
        <v>0</v>
      </c>
      <c r="Q318" s="2002">
        <f>IFERROR(Q113/$G318/$H318/'4. L PLAN'!M$109,0)</f>
        <v>0</v>
      </c>
      <c r="R318" s="2003">
        <f>IFERROR(R113/$G318/$H318/'4. L PLAN'!N$109,0)</f>
        <v>0</v>
      </c>
      <c r="S318" s="2001">
        <f>IFERROR(S113/$G318/$H318/'4. L PLAN'!O$109,0)</f>
        <v>0</v>
      </c>
      <c r="T318" s="2002">
        <f>IFERROR(T113/$G318/$H318/'4. L PLAN'!P$109,0)</f>
        <v>0</v>
      </c>
      <c r="U318" s="2003">
        <f>IFERROR(U113/$G318/$H318/'4. L PLAN'!Q$109,0)</f>
        <v>0</v>
      </c>
      <c r="V318" s="1858">
        <f>AVERAGE(J318:U318)</f>
        <v>0</v>
      </c>
      <c r="Z318" s="1610"/>
      <c r="AA318" s="1658">
        <f t="shared" si="213"/>
        <v>430</v>
      </c>
      <c r="AB318" s="1765">
        <f t="shared" si="214"/>
        <v>1</v>
      </c>
      <c r="AC318" s="1724">
        <f t="shared" si="215"/>
        <v>0</v>
      </c>
      <c r="AD318" s="1535" t="b">
        <f t="shared" si="216"/>
        <v>1</v>
      </c>
      <c r="AE318" s="1535" t="b">
        <f t="shared" si="217"/>
        <v>1</v>
      </c>
      <c r="AF318" s="1535" t="b">
        <f t="shared" si="218"/>
        <v>1</v>
      </c>
    </row>
    <row r="319" spans="1:32" ht="18" customHeight="1">
      <c r="A319" s="2039"/>
      <c r="B319" s="1763"/>
      <c r="C319" s="1658"/>
      <c r="D319" s="2000"/>
      <c r="E319" s="1658" t="str">
        <f>VLOOKUP(F319,B.BasicInfomation!B:C,2,0)</f>
        <v/>
      </c>
      <c r="F319" s="2013" t="str">
        <f t="shared" si="221"/>
        <v>MX5 Housing</v>
      </c>
      <c r="G319" s="1863">
        <v>430</v>
      </c>
      <c r="H319" s="1765">
        <v>1</v>
      </c>
      <c r="I319" s="1938"/>
      <c r="J319" s="4727">
        <f>IFERROR(J114/$G319/$H319/'4. L PLAN'!F$109,0)</f>
        <v>0</v>
      </c>
      <c r="K319" s="5397">
        <f>IFERROR(K114/$G319/$H319/'4. L PLAN'!G$109,0)</f>
        <v>0</v>
      </c>
      <c r="L319" s="6228">
        <f>IFERROR(L114/$G319/$H319/'4. L PLAN'!H$109,0)</f>
        <v>0</v>
      </c>
      <c r="M319" s="4727">
        <f>IFERROR(M114/$G319/$H319/'4. L PLAN'!I$109,0)</f>
        <v>0</v>
      </c>
      <c r="N319" s="2002">
        <f>IFERROR(N114/$G319/$H319/'4. L PLAN'!J$109,0)</f>
        <v>0</v>
      </c>
      <c r="O319" s="2003">
        <f>IFERROR(O114/$G319/$H319/'4. L PLAN'!K$109,0)</f>
        <v>0</v>
      </c>
      <c r="P319" s="2001">
        <f>IFERROR(P114/$G319/$H319/'4. L PLAN'!L$109,0)</f>
        <v>0</v>
      </c>
      <c r="Q319" s="2002">
        <f>IFERROR(Q114/$G319/$H319/'4. L PLAN'!M$109,0)</f>
        <v>0</v>
      </c>
      <c r="R319" s="2003">
        <f>IFERROR(R114/$G319/$H319/'4. L PLAN'!N$109,0)</f>
        <v>0</v>
      </c>
      <c r="S319" s="2001">
        <f>IFERROR(S114/$G319/$H319/'4. L PLAN'!O$109,0)</f>
        <v>0</v>
      </c>
      <c r="T319" s="2002">
        <f>IFERROR(T114/$G319/$H319/'4. L PLAN'!P$109,0)</f>
        <v>0</v>
      </c>
      <c r="U319" s="2003">
        <f>IFERROR(U114/$G319/$H319/'4. L PLAN'!Q$109,0)</f>
        <v>0</v>
      </c>
      <c r="V319" s="1858">
        <f t="shared" ref="V319:V322" si="223">AVERAGE(J319:U319)</f>
        <v>0</v>
      </c>
      <c r="Z319" s="1610"/>
      <c r="AA319" s="1658">
        <f t="shared" si="213"/>
        <v>430</v>
      </c>
      <c r="AB319" s="1765">
        <f t="shared" si="214"/>
        <v>1</v>
      </c>
      <c r="AC319" s="1724">
        <f t="shared" si="215"/>
        <v>0</v>
      </c>
      <c r="AD319" s="1535" t="b">
        <f t="shared" si="216"/>
        <v>1</v>
      </c>
      <c r="AE319" s="1535" t="b">
        <f t="shared" si="217"/>
        <v>1</v>
      </c>
      <c r="AF319" s="1535" t="b">
        <f t="shared" si="218"/>
        <v>1</v>
      </c>
    </row>
    <row r="320" spans="1:32" ht="18" customHeight="1">
      <c r="A320" s="2039"/>
      <c r="B320" s="1763"/>
      <c r="C320" s="1658"/>
      <c r="D320" s="2014" t="str">
        <f>'2. S Plan'!D139</f>
        <v>Motor CVR</v>
      </c>
      <c r="E320" s="1746">
        <f>VLOOKUP(F320,B.BasicInfomation!B:C,2,0)</f>
        <v>19</v>
      </c>
      <c r="F320" s="2013" t="str">
        <f t="shared" si="221"/>
        <v>Gen2 Cover</v>
      </c>
      <c r="G320" s="3706">
        <v>1280</v>
      </c>
      <c r="H320" s="2015">
        <v>1</v>
      </c>
      <c r="I320" s="1954"/>
      <c r="J320" s="4730">
        <f>IFERROR(J115/$G320/$H320/'4. L PLAN'!F$109,0)</f>
        <v>0.14057925555359888</v>
      </c>
      <c r="K320" s="5399">
        <f>IFERROR(K115/$G320/$H320/'4. L PLAN'!G$109,0)</f>
        <v>0</v>
      </c>
      <c r="L320" s="6232">
        <f>IFERROR(L115/$G320/$H320/'4. L PLAN'!H$109,0)</f>
        <v>0</v>
      </c>
      <c r="M320" s="4730">
        <f>IFERROR(M115/$G320/$H320/'4. L PLAN'!I$109,0)</f>
        <v>0</v>
      </c>
      <c r="N320" s="2017">
        <f>IFERROR(N115/$G320/$H320/'4. L PLAN'!J$109,0)</f>
        <v>0</v>
      </c>
      <c r="O320" s="2018">
        <f>IFERROR(O115/$G320/$H320/'4. L PLAN'!K$109,0)</f>
        <v>0</v>
      </c>
      <c r="P320" s="2016">
        <f>IFERROR(P115/$G320/$H320/'4. L PLAN'!L$109,0)</f>
        <v>0.83061309864213917</v>
      </c>
      <c r="Q320" s="2017">
        <f>IFERROR(Q115/$G320/$H320/'4. L PLAN'!M$109,0)</f>
        <v>0</v>
      </c>
      <c r="R320" s="2018">
        <f>IFERROR(R115/$G320/$H320/'4. L PLAN'!N$109,0)</f>
        <v>0</v>
      </c>
      <c r="S320" s="2016">
        <f>IFERROR(S115/$G320/$H320/'4. L PLAN'!O$109,0)</f>
        <v>0</v>
      </c>
      <c r="T320" s="2017">
        <f>IFERROR(T115/$G320/$H320/'4. L PLAN'!P$109,0)</f>
        <v>0</v>
      </c>
      <c r="U320" s="2018">
        <f>IFERROR(U115/$G320/$H320/'4. L PLAN'!Q$109,0)</f>
        <v>0</v>
      </c>
      <c r="V320" s="2019">
        <f t="shared" si="223"/>
        <v>8.0932696182978173E-2</v>
      </c>
      <c r="Z320" s="1610"/>
      <c r="AA320" s="1658">
        <f t="shared" si="213"/>
        <v>1280</v>
      </c>
      <c r="AB320" s="1765">
        <f t="shared" si="214"/>
        <v>1</v>
      </c>
      <c r="AC320" s="1724">
        <f t="shared" si="215"/>
        <v>0</v>
      </c>
      <c r="AD320" s="1535" t="b">
        <f t="shared" si="216"/>
        <v>1</v>
      </c>
      <c r="AE320" s="1535" t="b">
        <f t="shared" si="217"/>
        <v>1</v>
      </c>
      <c r="AF320" s="1535" t="b">
        <f t="shared" si="218"/>
        <v>1</v>
      </c>
    </row>
    <row r="321" spans="1:32" ht="18" customHeight="1">
      <c r="A321" s="2039"/>
      <c r="B321" s="1763"/>
      <c r="C321" s="1658"/>
      <c r="D321" s="2000"/>
      <c r="E321" s="1658" t="str">
        <f>VLOOKUP(F321,B.BasicInfomation!B:C,2,0)</f>
        <v/>
      </c>
      <c r="F321" s="2013" t="str">
        <f t="shared" si="221"/>
        <v>T6 Cover</v>
      </c>
      <c r="G321" s="1863">
        <v>1930</v>
      </c>
      <c r="H321" s="1765">
        <v>1</v>
      </c>
      <c r="I321" s="1938"/>
      <c r="J321" s="4727">
        <f>IFERROR(J116/$G321/$H321/'4. L PLAN'!F$109,0)</f>
        <v>0</v>
      </c>
      <c r="K321" s="5397">
        <f>IFERROR(K116/$G321/$H321/'4. L PLAN'!G$109,0)</f>
        <v>0</v>
      </c>
      <c r="L321" s="6228">
        <f>IFERROR(L116/$G321/$H321/'4. L PLAN'!H$109,0)</f>
        <v>0.3676268095776965</v>
      </c>
      <c r="M321" s="4727">
        <f>IFERROR(M116/$G321/$H321/'4. L PLAN'!I$109,0)</f>
        <v>0.82819682313477927</v>
      </c>
      <c r="N321" s="2002">
        <f>IFERROR(N116/$G321/$H321/'4. L PLAN'!J$109,0)</f>
        <v>0</v>
      </c>
      <c r="O321" s="2003">
        <f>IFERROR(O116/$G321/$H321/'4. L PLAN'!K$109,0)</f>
        <v>0</v>
      </c>
      <c r="P321" s="2001">
        <f>IFERROR(P116/$G321/$H321/'4. L PLAN'!L$109,0)</f>
        <v>0</v>
      </c>
      <c r="Q321" s="2002">
        <f>IFERROR(Q116/$G321/$H321/'4. L PLAN'!M$109,0)</f>
        <v>0</v>
      </c>
      <c r="R321" s="2003">
        <f>IFERROR(R116/$G321/$H321/'4. L PLAN'!N$109,0)</f>
        <v>0</v>
      </c>
      <c r="S321" s="2001">
        <f>IFERROR(S116/$G321/$H321/'4. L PLAN'!O$109,0)</f>
        <v>0</v>
      </c>
      <c r="T321" s="2002">
        <f>IFERROR(T116/$G321/$H321/'4. L PLAN'!P$109,0)</f>
        <v>0</v>
      </c>
      <c r="U321" s="2003">
        <f>IFERROR(U116/$G321/$H321/'4. L PLAN'!Q$109,0)</f>
        <v>0</v>
      </c>
      <c r="V321" s="1858">
        <f t="shared" si="223"/>
        <v>9.9651969392706319E-2</v>
      </c>
      <c r="Z321" s="1610"/>
      <c r="AA321" s="1658">
        <f t="shared" si="213"/>
        <v>1930</v>
      </c>
      <c r="AB321" s="1765">
        <f t="shared" si="214"/>
        <v>1</v>
      </c>
      <c r="AC321" s="1724">
        <f t="shared" si="215"/>
        <v>0</v>
      </c>
      <c r="AD321" s="1535" t="b">
        <f t="shared" si="216"/>
        <v>1</v>
      </c>
      <c r="AE321" s="1535" t="b">
        <f t="shared" si="217"/>
        <v>1</v>
      </c>
      <c r="AF321" s="1535" t="b">
        <f t="shared" si="218"/>
        <v>1</v>
      </c>
    </row>
    <row r="322" spans="1:32" ht="18" customHeight="1">
      <c r="A322" s="2039"/>
      <c r="B322" s="1763"/>
      <c r="C322" s="1658"/>
      <c r="D322" s="2000"/>
      <c r="E322" s="1658">
        <f>VLOOKUP(F322,B.BasicInfomation!B:C,2,0)</f>
        <v>20</v>
      </c>
      <c r="F322" s="2013" t="str">
        <f t="shared" si="221"/>
        <v>EK_Part Cover</v>
      </c>
      <c r="G322" s="1863">
        <v>990</v>
      </c>
      <c r="H322" s="1765">
        <v>1</v>
      </c>
      <c r="I322" s="1938"/>
      <c r="J322" s="4727">
        <f>IFERROR(J117/$G322/$H322/'4. L PLAN'!F$109,0)</f>
        <v>1.1072617066329842</v>
      </c>
      <c r="K322" s="5397">
        <f>IFERROR(K117/$G322/$H322/'4. L PLAN'!G$109,0)</f>
        <v>1.2852144809132853</v>
      </c>
      <c r="L322" s="6228">
        <f>IFERROR(L117/$G322/$H322/'4. L PLAN'!H$109,0)</f>
        <v>0.71181109712120427</v>
      </c>
      <c r="M322" s="4727">
        <f>IFERROR(M117/$G322/$H322/'4. L PLAN'!I$109,0)</f>
        <v>1.066808383699883</v>
      </c>
      <c r="N322" s="2002">
        <f>IFERROR(N117/$G322/$H322/'4. L PLAN'!J$109,0)</f>
        <v>1.0647268063658344</v>
      </c>
      <c r="O322" s="2003">
        <f>IFERROR(O117/$G322/$H322/'4. L PLAN'!K$109,0)</f>
        <v>0.9026840169768241</v>
      </c>
      <c r="P322" s="2001">
        <f>IFERROR(P117/$G322/$H322/'4. L PLAN'!L$109,0)</f>
        <v>0.86925127560731208</v>
      </c>
      <c r="Q322" s="2002">
        <f>IFERROR(Q117/$G322/$H322/'4. L PLAN'!M$109,0)</f>
        <v>0.73922063672228522</v>
      </c>
      <c r="R322" s="2003">
        <f>IFERROR(R117/$G322/$H322/'4. L PLAN'!N$109,0)</f>
        <v>0</v>
      </c>
      <c r="S322" s="2001">
        <f>IFERROR(S117/$G322/$H322/'4. L PLAN'!O$109,0)</f>
        <v>0</v>
      </c>
      <c r="T322" s="2002">
        <f>IFERROR(T117/$G322/$H322/'4. L PLAN'!P$109,0)</f>
        <v>0</v>
      </c>
      <c r="U322" s="2003">
        <f>IFERROR(U117/$G322/$H322/'4. L PLAN'!Q$109,0)</f>
        <v>0</v>
      </c>
      <c r="V322" s="1858">
        <f t="shared" si="223"/>
        <v>0.64558153366996784</v>
      </c>
      <c r="Z322" s="1610"/>
      <c r="AA322" s="1658">
        <f t="shared" si="213"/>
        <v>990</v>
      </c>
      <c r="AB322" s="1765">
        <f t="shared" si="214"/>
        <v>1</v>
      </c>
      <c r="AC322" s="1724">
        <f t="shared" si="215"/>
        <v>0</v>
      </c>
      <c r="AD322" s="1535" t="b">
        <f t="shared" si="216"/>
        <v>1</v>
      </c>
      <c r="AE322" s="1535" t="b">
        <f t="shared" si="217"/>
        <v>1</v>
      </c>
      <c r="AF322" s="1535" t="b">
        <f t="shared" si="218"/>
        <v>1</v>
      </c>
    </row>
    <row r="323" spans="1:32" ht="18" customHeight="1">
      <c r="A323" s="2039"/>
      <c r="B323" s="1763"/>
      <c r="C323" s="1658"/>
      <c r="D323" s="2000"/>
      <c r="E323" s="1658" t="str">
        <f>VLOOKUP(F323,B.BasicInfomation!B:C,2,0)</f>
        <v/>
      </c>
      <c r="F323" s="2013" t="str">
        <f t="shared" si="221"/>
        <v>570W Cover</v>
      </c>
      <c r="G323" s="1863">
        <v>900</v>
      </c>
      <c r="H323" s="1765">
        <v>1</v>
      </c>
      <c r="I323" s="1938"/>
      <c r="J323" s="4727">
        <f>IFERROR(J118/$G323/$H323/'4. L PLAN'!F$109,0)</f>
        <v>0</v>
      </c>
      <c r="K323" s="5397">
        <f>IFERROR(K118/$G323/$H323/'4. L PLAN'!G$109,0)</f>
        <v>0</v>
      </c>
      <c r="L323" s="6228">
        <f>IFERROR(L118/$G323/$H323/'4. L PLAN'!H$109,0)</f>
        <v>0</v>
      </c>
      <c r="M323" s="4727">
        <f>IFERROR(M118/$G323/$H323/'4. L PLAN'!I$109,0)</f>
        <v>0</v>
      </c>
      <c r="N323" s="2002">
        <f>IFERROR(N118/$G323/$H323/'4. L PLAN'!J$109,0)</f>
        <v>0</v>
      </c>
      <c r="O323" s="2003">
        <f>IFERROR(O118/$G323/$H323/'4. L PLAN'!K$109,0)</f>
        <v>0</v>
      </c>
      <c r="P323" s="2001">
        <f>IFERROR(P118/$G323/$H323/'4. L PLAN'!L$109,0)</f>
        <v>0</v>
      </c>
      <c r="Q323" s="2002">
        <f>IFERROR(Q118/$G323/$H323/'4. L PLAN'!M$109,0)</f>
        <v>0</v>
      </c>
      <c r="R323" s="2003">
        <f>IFERROR(R118/$G323/$H323/'4. L PLAN'!N$109,0)</f>
        <v>0</v>
      </c>
      <c r="S323" s="2001">
        <f>IFERROR(S118/$G323/$H323/'4. L PLAN'!O$109,0)</f>
        <v>0</v>
      </c>
      <c r="T323" s="2002">
        <f>IFERROR(T118/$G323/$H323/'4. L PLAN'!P$109,0)</f>
        <v>0</v>
      </c>
      <c r="U323" s="2003">
        <f>IFERROR(U118/$G323/$H323/'4. L PLAN'!Q$109,0)</f>
        <v>0</v>
      </c>
      <c r="V323" s="1858">
        <f>AVERAGE(J323:U323)</f>
        <v>0</v>
      </c>
      <c r="Z323" s="1610"/>
      <c r="AA323" s="1658">
        <f t="shared" si="213"/>
        <v>900</v>
      </c>
      <c r="AB323" s="1765">
        <f t="shared" si="214"/>
        <v>1</v>
      </c>
      <c r="AC323" s="1724">
        <f t="shared" si="215"/>
        <v>0</v>
      </c>
      <c r="AD323" s="1535" t="b">
        <f t="shared" si="216"/>
        <v>1</v>
      </c>
      <c r="AE323" s="1535" t="b">
        <f t="shared" si="217"/>
        <v>1</v>
      </c>
      <c r="AF323" s="1535" t="b">
        <f t="shared" si="218"/>
        <v>1</v>
      </c>
    </row>
    <row r="324" spans="1:32" ht="18" customHeight="1">
      <c r="A324" s="2039"/>
      <c r="B324" s="1763"/>
      <c r="C324" s="1658"/>
      <c r="D324" s="2000"/>
      <c r="E324" s="1658">
        <f>VLOOKUP(F324,B.BasicInfomation!B:C,2,0)</f>
        <v>21</v>
      </c>
      <c r="F324" s="2013" t="str">
        <f t="shared" si="221"/>
        <v>CL4 Cover (YT)</v>
      </c>
      <c r="G324" s="1863">
        <v>1020</v>
      </c>
      <c r="H324" s="1765">
        <v>1</v>
      </c>
      <c r="I324" s="1938"/>
      <c r="J324" s="4727">
        <f>IFERROR(J119/$G324/$H324/'4. L PLAN'!F$109,0)</f>
        <v>0.36370887595845142</v>
      </c>
      <c r="K324" s="5397">
        <f>IFERROR(K119/$G324/$H324/'4. L PLAN'!G$109,0)</f>
        <v>1.4781541192469057</v>
      </c>
      <c r="L324" s="6228">
        <f>IFERROR(L119/$G324/$H324/'4. L PLAN'!H$109,0)</f>
        <v>0.92587420455069647</v>
      </c>
      <c r="M324" s="4727">
        <f>IFERROR(M119/$G324/$H324/'4. L PLAN'!I$109,0)</f>
        <v>0.4246207342444171</v>
      </c>
      <c r="N324" s="2002">
        <f>IFERROR(N119/$G324/$H324/'4. L PLAN'!J$109,0)</f>
        <v>0.68044162104846084</v>
      </c>
      <c r="O324" s="2003">
        <f>IFERROR(O119/$G324/$H324/'4. L PLAN'!K$109,0)</f>
        <v>0.59327944468860261</v>
      </c>
      <c r="P324" s="2001">
        <f>IFERROR(P119/$G324/$H324/'4. L PLAN'!L$109,0)</f>
        <v>0</v>
      </c>
      <c r="Q324" s="2002">
        <f>IFERROR(Q119/$G324/$H324/'4. L PLAN'!M$109,0)</f>
        <v>0</v>
      </c>
      <c r="R324" s="2003">
        <f>IFERROR(R119/$G324/$H324/'4. L PLAN'!N$109,0)</f>
        <v>0</v>
      </c>
      <c r="S324" s="2001">
        <f>IFERROR(S119/$G324/$H324/'4. L PLAN'!O$109,0)</f>
        <v>0</v>
      </c>
      <c r="T324" s="2002">
        <f>IFERROR(T119/$G324/$H324/'4. L PLAN'!P$109,0)</f>
        <v>0</v>
      </c>
      <c r="U324" s="2003">
        <f>IFERROR(U119/$G324/$H324/'4. L PLAN'!Q$109,0)</f>
        <v>0</v>
      </c>
      <c r="V324" s="1858">
        <f t="shared" ref="V324:V326" si="224">AVERAGE(J324:U324)</f>
        <v>0.37217324997812784</v>
      </c>
      <c r="Z324" s="1610"/>
      <c r="AA324" s="1658">
        <f t="shared" si="213"/>
        <v>1020</v>
      </c>
      <c r="AB324" s="1765">
        <f t="shared" si="214"/>
        <v>1</v>
      </c>
      <c r="AC324" s="1724">
        <f t="shared" si="215"/>
        <v>0</v>
      </c>
      <c r="AD324" s="1535" t="b">
        <f t="shared" si="216"/>
        <v>1</v>
      </c>
      <c r="AE324" s="1535" t="b">
        <f t="shared" si="217"/>
        <v>1</v>
      </c>
      <c r="AF324" s="1535" t="b">
        <f t="shared" si="218"/>
        <v>1</v>
      </c>
    </row>
    <row r="325" spans="1:32" ht="18" customHeight="1">
      <c r="A325" s="2039"/>
      <c r="B325" s="1763"/>
      <c r="C325" s="1658"/>
      <c r="D325" s="2000"/>
      <c r="E325" s="1658"/>
      <c r="F325" s="2013" t="str">
        <f t="shared" si="221"/>
        <v>CL4 Cover (MX)</v>
      </c>
      <c r="G325" s="1863">
        <v>1020</v>
      </c>
      <c r="H325" s="1765">
        <v>1</v>
      </c>
      <c r="I325" s="1938"/>
      <c r="J325" s="4727"/>
      <c r="K325" s="5397"/>
      <c r="L325" s="6228"/>
      <c r="M325" s="4727"/>
      <c r="N325" s="2002"/>
      <c r="O325" s="2003"/>
      <c r="P325" s="2001"/>
      <c r="Q325" s="2002"/>
      <c r="R325" s="2003"/>
      <c r="S325" s="2001"/>
      <c r="T325" s="2002"/>
      <c r="U325" s="2003"/>
      <c r="V325" s="1858"/>
      <c r="Z325" s="1610"/>
      <c r="AA325" s="1658"/>
      <c r="AB325" s="1765"/>
      <c r="AC325" s="1724"/>
    </row>
    <row r="326" spans="1:32" ht="18" customHeight="1">
      <c r="A326" s="2039"/>
      <c r="B326" s="1763"/>
      <c r="C326" s="1658"/>
      <c r="D326" s="2000"/>
      <c r="E326" s="1658">
        <f>VLOOKUP(F326,B.BasicInfomation!B:C,2,0)</f>
        <v>23</v>
      </c>
      <c r="F326" s="2013" t="str">
        <f t="shared" si="221"/>
        <v>MQ4a PE Cover (YT)</v>
      </c>
      <c r="G326" s="1863">
        <v>1120</v>
      </c>
      <c r="H326" s="1765">
        <v>1</v>
      </c>
      <c r="I326" s="1938"/>
      <c r="J326" s="4727">
        <f>IFERROR(J121/$G326/$H326/'4. L PLAN'!F$109,0)</f>
        <v>0.10454458048015568</v>
      </c>
      <c r="K326" s="5397">
        <f>IFERROR(K121/$G326/$H326/'4. L PLAN'!G$109,0)</f>
        <v>1.1387043226162412</v>
      </c>
      <c r="L326" s="6228">
        <f>IFERROR(L121/$G326/$H326/'4. L PLAN'!H$109,0)</f>
        <v>1.1211857945759913</v>
      </c>
      <c r="M326" s="4727">
        <f>IFERROR(M121/$G326/$H326/'4. L PLAN'!I$109,0)</f>
        <v>0.85847516665357615</v>
      </c>
      <c r="N326" s="2002">
        <f>IFERROR(N121/$G326/$H326/'4. L PLAN'!J$109,0)</f>
        <v>1.3466862614287398</v>
      </c>
      <c r="O326" s="2003">
        <f>IFERROR(O121/$G326/$H326/'4. L PLAN'!K$109,0)</f>
        <v>1.294890635989173</v>
      </c>
      <c r="P326" s="2001">
        <f>IFERROR(P121/$G326/$H326/'4. L PLAN'!L$109,0)</f>
        <v>1.2469317235451296</v>
      </c>
      <c r="Q326" s="2002">
        <f>IFERROR(Q121/$G326/$H326/'4. L PLAN'!M$109,0)</f>
        <v>0.7173853986421499</v>
      </c>
      <c r="R326" s="2003">
        <f>IFERROR(R121/$G326/$H326/'4. L PLAN'!N$109,0)</f>
        <v>0</v>
      </c>
      <c r="S326" s="2001">
        <f>IFERROR(S121/$G326/$H326/'4. L PLAN'!O$109,0)</f>
        <v>0</v>
      </c>
      <c r="T326" s="2002">
        <f>IFERROR(T121/$G326/$H326/'4. L PLAN'!P$109,0)</f>
        <v>0</v>
      </c>
      <c r="U326" s="2003">
        <f>IFERROR(U121/$G326/$H326/'4. L PLAN'!Q$109,0)</f>
        <v>0</v>
      </c>
      <c r="V326" s="1858">
        <f t="shared" si="224"/>
        <v>0.6524003236609297</v>
      </c>
      <c r="Z326" s="5"/>
      <c r="AA326" s="1658">
        <f t="shared" si="213"/>
        <v>1120</v>
      </c>
      <c r="AB326" s="1765">
        <f t="shared" si="214"/>
        <v>1</v>
      </c>
      <c r="AC326" s="1724">
        <f t="shared" si="215"/>
        <v>0</v>
      </c>
      <c r="AD326" s="1535" t="b">
        <f t="shared" si="216"/>
        <v>1</v>
      </c>
      <c r="AE326" s="1535" t="b">
        <f t="shared" si="217"/>
        <v>1</v>
      </c>
      <c r="AF326" s="1535" t="b">
        <f t="shared" si="218"/>
        <v>1</v>
      </c>
    </row>
    <row r="327" spans="1:32" ht="18" customHeight="1">
      <c r="A327" s="2039"/>
      <c r="B327" s="1763"/>
      <c r="C327" s="1658"/>
      <c r="D327" s="2000"/>
      <c r="E327" s="1658"/>
      <c r="F327" s="2013" t="str">
        <f t="shared" si="221"/>
        <v>MQ4a PE Cover (MX)</v>
      </c>
      <c r="G327" s="1863">
        <v>1120</v>
      </c>
      <c r="H327" s="1765">
        <v>1</v>
      </c>
      <c r="I327" s="1938"/>
      <c r="J327" s="4727"/>
      <c r="K327" s="5397"/>
      <c r="L327" s="6228"/>
      <c r="M327" s="4727"/>
      <c r="N327" s="2002"/>
      <c r="O327" s="2003"/>
      <c r="P327" s="2001"/>
      <c r="Q327" s="2002"/>
      <c r="R327" s="2003"/>
      <c r="S327" s="2001"/>
      <c r="T327" s="2002"/>
      <c r="U327" s="2003"/>
      <c r="V327" s="1858"/>
      <c r="Z327" s="5"/>
      <c r="AA327" s="1658"/>
      <c r="AB327" s="1765"/>
      <c r="AC327" s="1724"/>
    </row>
    <row r="328" spans="1:32" ht="18" customHeight="1">
      <c r="A328" s="2039"/>
      <c r="B328" s="1763"/>
      <c r="C328" s="1658"/>
      <c r="D328" s="2000"/>
      <c r="E328" s="1658">
        <f>VLOOKUP(F328,B.BasicInfomation!B:C,2,0)</f>
        <v>25</v>
      </c>
      <c r="F328" s="2013" t="str">
        <f t="shared" si="221"/>
        <v>BYD Cover</v>
      </c>
      <c r="G328" s="1863">
        <v>1120</v>
      </c>
      <c r="H328" s="1765">
        <v>1</v>
      </c>
      <c r="I328" s="1938"/>
      <c r="J328" s="4727">
        <f>IFERROR(J123/$G328/$H328/'4. L PLAN'!F$109,0)</f>
        <v>0</v>
      </c>
      <c r="K328" s="5397">
        <f>IFERROR(K123/$G328/$H328/'4. L PLAN'!G$109,0)</f>
        <v>0</v>
      </c>
      <c r="L328" s="6228">
        <f>IFERROR(L123/$G328/$H328/'4. L PLAN'!H$109,0)</f>
        <v>0</v>
      </c>
      <c r="M328" s="4727">
        <f>IFERROR(M123/$G328/$H328/'4. L PLAN'!I$109,0)</f>
        <v>0</v>
      </c>
      <c r="N328" s="2002">
        <f>IFERROR(N123/$G328/$H328/'4. L PLAN'!J$109,0)</f>
        <v>0</v>
      </c>
      <c r="O328" s="2003">
        <f>IFERROR(O123/$G328/$H328/'4. L PLAN'!K$109,0)</f>
        <v>0</v>
      </c>
      <c r="P328" s="2001">
        <f>IFERROR(P123/$G328/$H328/'4. L PLAN'!L$109,0)</f>
        <v>0</v>
      </c>
      <c r="Q328" s="2002">
        <f>IFERROR(Q123/$G328/$H328/'4. L PLAN'!M$109,0)</f>
        <v>0</v>
      </c>
      <c r="R328" s="2003">
        <f>IFERROR(R123/$G328/$H328/'4. L PLAN'!N$109,0)</f>
        <v>0</v>
      </c>
      <c r="S328" s="2001">
        <f>IFERROR(S123/$G328/$H328/'4. L PLAN'!O$109,0)</f>
        <v>0</v>
      </c>
      <c r="T328" s="2002">
        <f>IFERROR(T123/$G328/$H328/'4. L PLAN'!P$109,0)</f>
        <v>0</v>
      </c>
      <c r="U328" s="2003">
        <f>IFERROR(U123/$G328/$H328/'4. L PLAN'!Q$109,0)</f>
        <v>0</v>
      </c>
      <c r="V328" s="1858">
        <f t="shared" ref="V328:V333" si="225">AVERAGE(J328:U328)</f>
        <v>0</v>
      </c>
      <c r="Z328" s="5"/>
      <c r="AA328" s="1658">
        <f t="shared" si="213"/>
        <v>1120</v>
      </c>
      <c r="AB328" s="1765">
        <f t="shared" si="214"/>
        <v>1</v>
      </c>
      <c r="AC328" s="1724">
        <f t="shared" si="215"/>
        <v>0</v>
      </c>
      <c r="AD328" s="1535" t="b">
        <f t="shared" si="216"/>
        <v>1</v>
      </c>
      <c r="AE328" s="1535" t="b">
        <f t="shared" si="217"/>
        <v>1</v>
      </c>
      <c r="AF328" s="1535" t="b">
        <f t="shared" si="218"/>
        <v>1</v>
      </c>
    </row>
    <row r="329" spans="1:32" ht="18" customHeight="1">
      <c r="A329" s="2039"/>
      <c r="B329" s="1763"/>
      <c r="C329" s="1658"/>
      <c r="D329" s="7" t="s">
        <v>991</v>
      </c>
      <c r="E329" s="1746" t="str">
        <f>VLOOKUP(F329,B.BasicInfomation!B:C,2,0)</f>
        <v/>
      </c>
      <c r="F329" s="1746" t="str">
        <f t="shared" si="221"/>
        <v>MX5 Cover</v>
      </c>
      <c r="G329" s="3706">
        <v>1120</v>
      </c>
      <c r="H329" s="2015">
        <v>1</v>
      </c>
      <c r="I329" s="1954"/>
      <c r="J329" s="4730">
        <f>IFERROR(J124/$G329/$H329/'4. L PLAN'!F$109,0)</f>
        <v>0</v>
      </c>
      <c r="K329" s="5399">
        <f>IFERROR(K124/$G329/$H329/'4. L PLAN'!G$109,0)</f>
        <v>0</v>
      </c>
      <c r="L329" s="6232">
        <f>IFERROR(L124/$G329/$H329/'4. L PLAN'!H$109,0)</f>
        <v>0</v>
      </c>
      <c r="M329" s="4730">
        <f>IFERROR(M124/$G329/$H329/'4. L PLAN'!I$109,0)</f>
        <v>0</v>
      </c>
      <c r="N329" s="2017">
        <f>IFERROR(N124/$G329/$H329/'4. L PLAN'!J$109,0)</f>
        <v>0</v>
      </c>
      <c r="O329" s="2018">
        <f>IFERROR(O124/$G329/$H329/'4. L PLAN'!K$109,0)</f>
        <v>0</v>
      </c>
      <c r="P329" s="2016">
        <f>IFERROR(P124/$G329/$H329/'4. L PLAN'!L$109,0)</f>
        <v>0</v>
      </c>
      <c r="Q329" s="2017">
        <f>IFERROR(Q124/$G329/$H329/'4. L PLAN'!M$109,0)</f>
        <v>0</v>
      </c>
      <c r="R329" s="2018">
        <f>IFERROR(R124/$G329/$H329/'4. L PLAN'!N$109,0)</f>
        <v>0</v>
      </c>
      <c r="S329" s="2016">
        <f>IFERROR(S124/$G329/$H329/'4. L PLAN'!O$109,0)</f>
        <v>0</v>
      </c>
      <c r="T329" s="2017">
        <f>IFERROR(T124/$G329/$H329/'4. L PLAN'!P$109,0)</f>
        <v>0</v>
      </c>
      <c r="U329" s="2018">
        <f>IFERROR(U124/$G329/$H329/'4. L PLAN'!Q$109,0)</f>
        <v>0</v>
      </c>
      <c r="V329" s="2019">
        <f t="shared" si="225"/>
        <v>0</v>
      </c>
      <c r="Z329" s="5"/>
      <c r="AA329" s="1658">
        <f t="shared" si="213"/>
        <v>1120</v>
      </c>
      <c r="AB329" s="1765">
        <f t="shared" si="214"/>
        <v>1</v>
      </c>
      <c r="AC329" s="1724">
        <f t="shared" si="215"/>
        <v>0</v>
      </c>
      <c r="AD329" s="1535" t="b">
        <f t="shared" si="216"/>
        <v>1</v>
      </c>
      <c r="AE329" s="1535" t="b">
        <f t="shared" si="217"/>
        <v>1</v>
      </c>
      <c r="AF329" s="1535" t="b">
        <f t="shared" si="218"/>
        <v>1</v>
      </c>
    </row>
    <row r="330" spans="1:32" ht="18" customHeight="1">
      <c r="A330" s="2039"/>
      <c r="B330" s="1763"/>
      <c r="C330" s="1658"/>
      <c r="D330" s="10"/>
      <c r="E330" s="1658" t="str">
        <f>VLOOKUP(F330,B.BasicInfomation!B:C,2,0)</f>
        <v/>
      </c>
      <c r="F330" s="1658" t="str">
        <f t="shared" si="221"/>
        <v>FCM30-Upper Housing</v>
      </c>
      <c r="G330" s="1863">
        <v>0</v>
      </c>
      <c r="H330" s="1765">
        <v>1</v>
      </c>
      <c r="I330" s="1938"/>
      <c r="J330" s="4727">
        <f>IFERROR(J125/$G330/$H330/'4. L PLAN'!F$109,0)</f>
        <v>0</v>
      </c>
      <c r="K330" s="5397">
        <f>IFERROR(K125/$G330/$H330/'4. L PLAN'!G$109,0)</f>
        <v>0</v>
      </c>
      <c r="L330" s="6228">
        <f>IFERROR(L125/$G330/$H330/'4. L PLAN'!H$109,0)</f>
        <v>0</v>
      </c>
      <c r="M330" s="4727">
        <f>IFERROR(M125/$G330/$H330/'4. L PLAN'!I$109,0)</f>
        <v>0</v>
      </c>
      <c r="N330" s="2002">
        <f>IFERROR(N125/$G330/$H330/'4. L PLAN'!J$109,0)</f>
        <v>0</v>
      </c>
      <c r="O330" s="2003">
        <f>IFERROR(O125/$G330/$H330/'4. L PLAN'!K$109,0)</f>
        <v>0</v>
      </c>
      <c r="P330" s="2001">
        <f>IFERROR(P125/$G330/$H330/'4. L PLAN'!L$109,0)</f>
        <v>0</v>
      </c>
      <c r="Q330" s="2002">
        <f>IFERROR(Q125/$G330/$H330/'4. L PLAN'!M$109,0)</f>
        <v>0</v>
      </c>
      <c r="R330" s="2003">
        <f>IFERROR(R125/$G330/$H330/'4. L PLAN'!N$109,0)</f>
        <v>0</v>
      </c>
      <c r="S330" s="2001">
        <f>IFERROR(S125/$G330/$H330/'4. L PLAN'!O$109,0)</f>
        <v>0</v>
      </c>
      <c r="T330" s="2002">
        <f>IFERROR(T125/$G330/$H330/'4. L PLAN'!P$109,0)</f>
        <v>0</v>
      </c>
      <c r="U330" s="2003">
        <f>IFERROR(U125/$G330/$H330/'4. L PLAN'!Q$109,0)</f>
        <v>0</v>
      </c>
      <c r="V330" s="1858">
        <f t="shared" si="225"/>
        <v>0</v>
      </c>
      <c r="Z330" s="5"/>
      <c r="AA330" s="1658">
        <f t="shared" ref="AA330:AA361" si="226">G330</f>
        <v>0</v>
      </c>
      <c r="AB330" s="1765">
        <f t="shared" ref="AB330:AB361" si="227">H330</f>
        <v>1</v>
      </c>
      <c r="AC330" s="1724">
        <f t="shared" ref="AC330:AC361" si="228">I330</f>
        <v>0</v>
      </c>
      <c r="AD330" s="1535" t="b">
        <f t="shared" ref="AD330:AD361" si="229">AA330=G330</f>
        <v>1</v>
      </c>
      <c r="AE330" s="1535" t="b">
        <f t="shared" ref="AE330:AE361" si="230">AB330=H330</f>
        <v>1</v>
      </c>
      <c r="AF330" s="1535" t="b">
        <f t="shared" ref="AF330:AF361" si="231">AC330=I330</f>
        <v>1</v>
      </c>
    </row>
    <row r="331" spans="1:32" ht="18" customHeight="1">
      <c r="A331" s="2039"/>
      <c r="B331" s="1763"/>
      <c r="C331" s="1658"/>
      <c r="D331" s="2020"/>
      <c r="E331" s="1753">
        <f>VLOOKUP(F331,B.BasicInfomation!B:C,2,0)</f>
        <v>26</v>
      </c>
      <c r="F331" s="1753" t="str">
        <f t="shared" si="221"/>
        <v>DCU15 Housing</v>
      </c>
      <c r="G331" s="3707">
        <v>0</v>
      </c>
      <c r="H331" s="2021">
        <v>1</v>
      </c>
      <c r="I331" s="1946"/>
      <c r="J331" s="4731">
        <f>IFERROR(J126/$G331/$H331/'4. L PLAN'!F$109,0)</f>
        <v>0</v>
      </c>
      <c r="K331" s="5400">
        <f>IFERROR(K126/$G331/$H331/'4. L PLAN'!G$109,0)</f>
        <v>0</v>
      </c>
      <c r="L331" s="6233">
        <f>IFERROR(L126/$G331/$H331/'4. L PLAN'!H$109,0)</f>
        <v>0</v>
      </c>
      <c r="M331" s="4731">
        <f>IFERROR(M126/$G331/$H331/'4. L PLAN'!I$109,0)</f>
        <v>0</v>
      </c>
      <c r="N331" s="2023">
        <f>IFERROR(N126/$G331/$H331/'4. L PLAN'!J$109,0)</f>
        <v>0</v>
      </c>
      <c r="O331" s="2024">
        <f>IFERROR(O126/$G331/$H331/'4. L PLAN'!K$109,0)</f>
        <v>0</v>
      </c>
      <c r="P331" s="2022">
        <f>IFERROR(P126/$G331/$H331/'4. L PLAN'!L$109,0)</f>
        <v>0</v>
      </c>
      <c r="Q331" s="2023">
        <f>IFERROR(Q126/$G331/$H331/'4. L PLAN'!M$109,0)</f>
        <v>0</v>
      </c>
      <c r="R331" s="2024">
        <f>IFERROR(R126/$G331/$H331/'4. L PLAN'!N$109,0)</f>
        <v>0</v>
      </c>
      <c r="S331" s="2022">
        <f>IFERROR(S126/$G331/$H331/'4. L PLAN'!O$109,0)</f>
        <v>0</v>
      </c>
      <c r="T331" s="2023">
        <f>IFERROR(T126/$G331/$H331/'4. L PLAN'!P$109,0)</f>
        <v>0</v>
      </c>
      <c r="U331" s="2024">
        <f>IFERROR(U126/$G331/$H331/'4. L PLAN'!Q$109,0)</f>
        <v>0</v>
      </c>
      <c r="V331" s="2025">
        <f t="shared" si="225"/>
        <v>0</v>
      </c>
      <c r="Z331" s="5"/>
      <c r="AA331" s="1658">
        <f t="shared" si="226"/>
        <v>0</v>
      </c>
      <c r="AB331" s="1765">
        <f t="shared" si="227"/>
        <v>1</v>
      </c>
      <c r="AC331" s="1724">
        <f t="shared" si="228"/>
        <v>0</v>
      </c>
      <c r="AD331" s="1535" t="b">
        <f t="shared" si="229"/>
        <v>1</v>
      </c>
      <c r="AE331" s="1535" t="b">
        <f t="shared" si="230"/>
        <v>1</v>
      </c>
      <c r="AF331" s="1535" t="b">
        <f t="shared" si="231"/>
        <v>1</v>
      </c>
    </row>
    <row r="332" spans="1:32" ht="18" customHeight="1">
      <c r="A332" s="2039"/>
      <c r="B332" s="1763"/>
      <c r="C332" s="1658"/>
      <c r="D332" s="26" t="s">
        <v>865</v>
      </c>
      <c r="E332" s="1658">
        <f>VLOOKUP(F332,B.BasicInfomation!B:C,2,0)</f>
        <v>27</v>
      </c>
      <c r="F332" s="1658" t="str">
        <f t="shared" si="221"/>
        <v>DCU15 Cover</v>
      </c>
      <c r="G332" s="1863">
        <v>0</v>
      </c>
      <c r="H332" s="1765">
        <v>1</v>
      </c>
      <c r="I332" s="1938"/>
      <c r="J332" s="4727">
        <f>IFERROR(J127/$G332/$H332/'4. L PLAN'!F$109,0)</f>
        <v>0</v>
      </c>
      <c r="K332" s="5397">
        <f>IFERROR(K127/$G332/$H332/'4. L PLAN'!G$109,0)</f>
        <v>0</v>
      </c>
      <c r="L332" s="6228">
        <f>IFERROR(L127/$G332/$H332/'4. L PLAN'!H$109,0)</f>
        <v>0</v>
      </c>
      <c r="M332" s="4727">
        <f>IFERROR(M127/$G332/$H332/'4. L PLAN'!I$109,0)</f>
        <v>0</v>
      </c>
      <c r="N332" s="2002">
        <f>IFERROR(N127/$G332/$H332/'4. L PLAN'!J$109,0)</f>
        <v>0</v>
      </c>
      <c r="O332" s="2003">
        <f>IFERROR(O127/$G332/$H332/'4. L PLAN'!K$109,0)</f>
        <v>0</v>
      </c>
      <c r="P332" s="2001">
        <f>IFERROR(P127/$G332/$H332/'4. L PLAN'!L$109,0)</f>
        <v>0</v>
      </c>
      <c r="Q332" s="2002">
        <f>IFERROR(Q127/$G332/$H332/'4. L PLAN'!M$109,0)</f>
        <v>0</v>
      </c>
      <c r="R332" s="2003">
        <f>IFERROR(R127/$G332/$H332/'4. L PLAN'!N$109,0)</f>
        <v>0</v>
      </c>
      <c r="S332" s="2001">
        <f>IFERROR(S127/$G332/$H332/'4. L PLAN'!O$109,0)</f>
        <v>0</v>
      </c>
      <c r="T332" s="2002">
        <f>IFERROR(T127/$G332/$H332/'4. L PLAN'!P$109,0)</f>
        <v>0</v>
      </c>
      <c r="U332" s="2003">
        <f>IFERROR(U127/$G332/$H332/'4. L PLAN'!Q$109,0)</f>
        <v>0</v>
      </c>
      <c r="V332" s="1858">
        <f t="shared" si="225"/>
        <v>0</v>
      </c>
      <c r="Z332" s="5"/>
      <c r="AA332" s="1658">
        <f t="shared" si="226"/>
        <v>0</v>
      </c>
      <c r="AB332" s="1765">
        <f t="shared" si="227"/>
        <v>1</v>
      </c>
      <c r="AC332" s="1724">
        <f t="shared" si="228"/>
        <v>0</v>
      </c>
      <c r="AD332" s="1535" t="b">
        <f t="shared" si="229"/>
        <v>1</v>
      </c>
      <c r="AE332" s="1535" t="b">
        <f t="shared" si="230"/>
        <v>1</v>
      </c>
      <c r="AF332" s="1535" t="b">
        <f t="shared" si="231"/>
        <v>1</v>
      </c>
    </row>
    <row r="333" spans="1:32" ht="18" customHeight="1">
      <c r="A333" s="2039"/>
      <c r="B333" s="1763"/>
      <c r="C333" s="1658"/>
      <c r="D333" s="2000"/>
      <c r="E333" s="1658" t="str">
        <f>VLOOKUP(F333,B.BasicInfomation!B:C,2,0)</f>
        <v/>
      </c>
      <c r="F333" s="1658" t="str">
        <f t="shared" si="221"/>
        <v>FCM30-Lower Housing</v>
      </c>
      <c r="G333" s="1863">
        <v>0</v>
      </c>
      <c r="H333" s="1765">
        <v>1</v>
      </c>
      <c r="I333" s="1938"/>
      <c r="J333" s="4727">
        <f>IFERROR(J128/$G333/$H333/'4. L PLAN'!F$109,0)</f>
        <v>0</v>
      </c>
      <c r="K333" s="5397">
        <f>IFERROR(K128/$G333/$H333/'4. L PLAN'!G$109,0)</f>
        <v>0</v>
      </c>
      <c r="L333" s="6228">
        <f>IFERROR(L128/$G333/$H333/'4. L PLAN'!H$109,0)</f>
        <v>0</v>
      </c>
      <c r="M333" s="4727">
        <f>IFERROR(M128/$G333/$H333/'4. L PLAN'!I$109,0)</f>
        <v>0</v>
      </c>
      <c r="N333" s="2002">
        <f>IFERROR(N128/$G333/$H333/'4. L PLAN'!J$109,0)</f>
        <v>0</v>
      </c>
      <c r="O333" s="2003">
        <f>IFERROR(O128/$G333/$H333/'4. L PLAN'!K$109,0)</f>
        <v>0</v>
      </c>
      <c r="P333" s="2001">
        <f>IFERROR(P128/$G333/$H333/'4. L PLAN'!L$109,0)</f>
        <v>0</v>
      </c>
      <c r="Q333" s="2002">
        <f>IFERROR(Q128/$G333/$H333/'4. L PLAN'!M$109,0)</f>
        <v>0</v>
      </c>
      <c r="R333" s="2003">
        <f>IFERROR(R128/$G333/$H333/'4. L PLAN'!N$109,0)</f>
        <v>0</v>
      </c>
      <c r="S333" s="2001">
        <f>IFERROR(S128/$G333/$H333/'4. L PLAN'!O$109,0)</f>
        <v>0</v>
      </c>
      <c r="T333" s="2002">
        <f>IFERROR(T128/$G333/$H333/'4. L PLAN'!P$109,0)</f>
        <v>0</v>
      </c>
      <c r="U333" s="2003">
        <f>IFERROR(U128/$G333/$H333/'4. L PLAN'!Q$109,0)</f>
        <v>0</v>
      </c>
      <c r="V333" s="1858">
        <f t="shared" si="225"/>
        <v>0</v>
      </c>
      <c r="Z333" s="5"/>
      <c r="AA333" s="1658">
        <f t="shared" si="226"/>
        <v>0</v>
      </c>
      <c r="AB333" s="1765">
        <f t="shared" si="227"/>
        <v>1</v>
      </c>
      <c r="AC333" s="1724">
        <f t="shared" si="228"/>
        <v>0</v>
      </c>
      <c r="AD333" s="1535" t="b">
        <f t="shared" si="229"/>
        <v>1</v>
      </c>
      <c r="AE333" s="1535" t="b">
        <f t="shared" si="230"/>
        <v>1</v>
      </c>
      <c r="AF333" s="1535" t="b">
        <f t="shared" si="231"/>
        <v>1</v>
      </c>
    </row>
    <row r="334" spans="1:32" ht="18" customHeight="1">
      <c r="A334" s="2039"/>
      <c r="B334" s="1763"/>
      <c r="C334" s="1658"/>
      <c r="D334" s="25"/>
      <c r="E334" s="54" t="str">
        <f>VLOOKUP(F334,B.BasicInfomation!B:C,2,0)</f>
        <v/>
      </c>
      <c r="F334" s="1658" t="str">
        <f t="shared" si="221"/>
        <v>OMS Entry Vcsel Cover(250A)</v>
      </c>
      <c r="G334" s="1863">
        <v>2120</v>
      </c>
      <c r="H334" s="1765">
        <v>1</v>
      </c>
      <c r="I334" s="1938"/>
      <c r="J334" s="4727">
        <f>IFERROR(J129/$G334/$H334/'4. L PLAN'!F$109,0)</f>
        <v>0</v>
      </c>
      <c r="K334" s="5397">
        <f>IFERROR(K129/$G334/$H334/'4. L PLAN'!G$109,0)</f>
        <v>0</v>
      </c>
      <c r="L334" s="6228">
        <f>IFERROR(L129/$G334/$H334/'4. L PLAN'!H$109,0)</f>
        <v>0</v>
      </c>
      <c r="M334" s="4727">
        <f>IFERROR(M129/$G334/$H334/'4. L PLAN'!I$109,0)</f>
        <v>0</v>
      </c>
      <c r="N334" s="2002">
        <f>IFERROR(N129/$G334/$H334/'4. L PLAN'!J$109,0)</f>
        <v>0</v>
      </c>
      <c r="O334" s="2003">
        <f>IFERROR(O129/$G334/$H334/'4. L PLAN'!K$109,0)</f>
        <v>0</v>
      </c>
      <c r="P334" s="2001">
        <f>IFERROR(P129/$G334/$H334/'4. L PLAN'!L$109,0)</f>
        <v>0</v>
      </c>
      <c r="Q334" s="2002">
        <f>IFERROR(Q129/$G334/$H334/'4. L PLAN'!M$109,0)</f>
        <v>0</v>
      </c>
      <c r="R334" s="2003">
        <f>IFERROR(R129/$G334/$H334/'4. L PLAN'!N$109,0)</f>
        <v>0</v>
      </c>
      <c r="S334" s="2001">
        <f>IFERROR(S129/$G334/$H334/'4. L PLAN'!O$109,0)</f>
        <v>0</v>
      </c>
      <c r="T334" s="2002">
        <f>IFERROR(T129/$G334/$H334/'4. L PLAN'!P$109,0)</f>
        <v>0</v>
      </c>
      <c r="U334" s="2003">
        <f>IFERROR(U129/$G334/$H334/'4. L PLAN'!Q$109,0)</f>
        <v>0</v>
      </c>
      <c r="V334" s="1858">
        <f t="shared" ref="V334" si="232">AVERAGE(J334:U334)</f>
        <v>0</v>
      </c>
      <c r="Z334" s="5"/>
      <c r="AA334" s="1658">
        <f t="shared" si="226"/>
        <v>2120</v>
      </c>
      <c r="AB334" s="1765">
        <f t="shared" si="227"/>
        <v>1</v>
      </c>
      <c r="AC334" s="1724">
        <f t="shared" si="228"/>
        <v>0</v>
      </c>
      <c r="AD334" s="1535" t="b">
        <f t="shared" si="229"/>
        <v>1</v>
      </c>
      <c r="AE334" s="1535" t="b">
        <f t="shared" si="230"/>
        <v>1</v>
      </c>
      <c r="AF334" s="1535" t="b">
        <f t="shared" si="231"/>
        <v>1</v>
      </c>
    </row>
    <row r="335" spans="1:32" ht="18" customHeight="1">
      <c r="A335" s="2039"/>
      <c r="B335" s="1763"/>
      <c r="C335" s="1658"/>
      <c r="D335" s="22"/>
      <c r="E335" s="2026">
        <f>VLOOKUP(F335,B.BasicInfomation!B:C,2,0)</f>
        <v>28</v>
      </c>
      <c r="F335" s="1753" t="str">
        <f t="shared" si="221"/>
        <v>HKMC Ikc Camera Base</v>
      </c>
      <c r="G335" s="3707">
        <v>2120</v>
      </c>
      <c r="H335" s="2021">
        <v>1</v>
      </c>
      <c r="I335" s="1946"/>
      <c r="J335" s="4731">
        <f>IFERROR(J130/$G335/$H335/'4. L PLAN'!F$109,0)</f>
        <v>4.5110422468913045E-2</v>
      </c>
      <c r="K335" s="5400">
        <f>IFERROR(K130/$G335/$H335/'4. L PLAN'!G$109,0)</f>
        <v>0</v>
      </c>
      <c r="L335" s="6233">
        <f>IFERROR(L130/$G335/$H335/'4. L PLAN'!H$109,0)</f>
        <v>4.65814145059428E-3</v>
      </c>
      <c r="M335" s="4731">
        <f>IFERROR(M130/$G335/$H335/'4. L PLAN'!I$109,0)</f>
        <v>3.5702512117606458E-2</v>
      </c>
      <c r="N335" s="2023">
        <f>IFERROR(N130/$G335/$H335/'4. L PLAN'!J$109,0)</f>
        <v>0</v>
      </c>
      <c r="O335" s="2024">
        <f>IFERROR(O130/$G335/$H335/'4. L PLAN'!K$109,0)</f>
        <v>4.3775633398274907E-2</v>
      </c>
      <c r="P335" s="2022">
        <f>IFERROR(P130/$G335/$H335/'4. L PLAN'!L$109,0)</f>
        <v>0</v>
      </c>
      <c r="Q335" s="2023">
        <f>IFERROR(Q130/$G335/$H335/'4. L PLAN'!M$109,0)</f>
        <v>0</v>
      </c>
      <c r="R335" s="2024">
        <f>IFERROR(R130/$G335/$H335/'4. L PLAN'!N$109,0)</f>
        <v>0</v>
      </c>
      <c r="S335" s="2022">
        <f>IFERROR(S130/$G335/$H335/'4. L PLAN'!O$109,0)</f>
        <v>0</v>
      </c>
      <c r="T335" s="2023">
        <f>IFERROR(T130/$G335/$H335/'4. L PLAN'!P$109,0)</f>
        <v>0</v>
      </c>
      <c r="U335" s="2024">
        <f>IFERROR(U130/$G335/$H335/'4. L PLAN'!Q$109,0)</f>
        <v>0</v>
      </c>
      <c r="V335" s="2025">
        <f>AVERAGE(J335:U335)</f>
        <v>1.0770559119615724E-2</v>
      </c>
      <c r="Z335" s="5"/>
      <c r="AA335" s="1658">
        <f t="shared" si="226"/>
        <v>2120</v>
      </c>
      <c r="AB335" s="1765">
        <f t="shared" si="227"/>
        <v>1</v>
      </c>
      <c r="AC335" s="1724">
        <f t="shared" si="228"/>
        <v>0</v>
      </c>
      <c r="AD335" s="1535" t="b">
        <f t="shared" si="229"/>
        <v>1</v>
      </c>
      <c r="AE335" s="1535" t="b">
        <f t="shared" si="230"/>
        <v>1</v>
      </c>
      <c r="AF335" s="1535" t="b">
        <f t="shared" si="231"/>
        <v>1</v>
      </c>
    </row>
    <row r="336" spans="1:32" ht="18" customHeight="1">
      <c r="A336" s="2039"/>
      <c r="B336" s="1763"/>
      <c r="C336" s="1658"/>
      <c r="D336" s="2014" t="str">
        <f>'2. S Plan'!D159</f>
        <v>CAM L.Mount</v>
      </c>
      <c r="E336" s="1746" t="str">
        <f>VLOOKUP(F336,B.BasicInfomation!B:C,2,0)</f>
        <v/>
      </c>
      <c r="F336" s="1746" t="str">
        <f t="shared" si="221"/>
        <v>OMS Entry Lens Holder (203A)</v>
      </c>
      <c r="G336" s="3706">
        <v>880</v>
      </c>
      <c r="H336" s="2015">
        <v>1</v>
      </c>
      <c r="I336" s="1954"/>
      <c r="J336" s="4730">
        <f>IFERROR(J131/$G336/$H336/'4. L PLAN'!F$109,0)</f>
        <v>0</v>
      </c>
      <c r="K336" s="5399">
        <f>IFERROR(K131/$G336/$H336/'4. L PLAN'!G$109,0)</f>
        <v>0</v>
      </c>
      <c r="L336" s="6232">
        <f>IFERROR(L131/$G336/$H336/'4. L PLAN'!H$109,0)</f>
        <v>0</v>
      </c>
      <c r="M336" s="4730">
        <f>IFERROR(M131/$G336/$H336/'4. L PLAN'!I$109,0)</f>
        <v>0</v>
      </c>
      <c r="N336" s="2017">
        <f>IFERROR(N131/$G336/$H336/'4. L PLAN'!J$109,0)</f>
        <v>0</v>
      </c>
      <c r="O336" s="2018">
        <f>IFERROR(O131/$G336/$H336/'4. L PLAN'!K$109,0)</f>
        <v>0</v>
      </c>
      <c r="P336" s="2016">
        <f>IFERROR(P131/$G336/$H336/'4. L PLAN'!L$109,0)</f>
        <v>0</v>
      </c>
      <c r="Q336" s="2017">
        <f>IFERROR(Q131/$G336/$H336/'4. L PLAN'!M$109,0)</f>
        <v>0</v>
      </c>
      <c r="R336" s="2018">
        <f>IFERROR(R131/$G336/$H336/'4. L PLAN'!N$109,0)</f>
        <v>0</v>
      </c>
      <c r="S336" s="2016">
        <f>IFERROR(S131/$G336/$H336/'4. L PLAN'!O$109,0)</f>
        <v>0</v>
      </c>
      <c r="T336" s="2017">
        <f>IFERROR(T131/$G336/$H336/'4. L PLAN'!P$109,0)</f>
        <v>0</v>
      </c>
      <c r="U336" s="2018">
        <f>IFERROR(U131/$G336/$H336/'4. L PLAN'!Q$109,0)</f>
        <v>0</v>
      </c>
      <c r="V336" s="2019">
        <f t="shared" ref="V336:V373" si="233">AVERAGE(J336:U336)</f>
        <v>0</v>
      </c>
      <c r="Z336" s="5"/>
      <c r="AA336" s="1658">
        <f t="shared" si="226"/>
        <v>880</v>
      </c>
      <c r="AB336" s="1765">
        <f t="shared" si="227"/>
        <v>1</v>
      </c>
      <c r="AC336" s="1724">
        <f t="shared" si="228"/>
        <v>0</v>
      </c>
      <c r="AD336" s="1535" t="b">
        <f t="shared" si="229"/>
        <v>1</v>
      </c>
      <c r="AE336" s="1535" t="b">
        <f t="shared" si="230"/>
        <v>1</v>
      </c>
      <c r="AF336" s="1535" t="b">
        <f t="shared" si="231"/>
        <v>1</v>
      </c>
    </row>
    <row r="337" spans="1:32" ht="18" customHeight="1">
      <c r="A337" s="2039"/>
      <c r="B337" s="1763"/>
      <c r="C337" s="1658"/>
      <c r="D337" s="2000"/>
      <c r="E337" s="2027" t="str">
        <f>VLOOKUP(F337,B.BasicInfomation!B:C,2,0)</f>
        <v/>
      </c>
      <c r="F337" s="1658" t="str">
        <f t="shared" si="221"/>
        <v>OMS Front Lens Holder (207A)</v>
      </c>
      <c r="G337" s="1863">
        <v>830</v>
      </c>
      <c r="H337" s="1765">
        <v>1</v>
      </c>
      <c r="I337" s="1938"/>
      <c r="J337" s="4727">
        <f>IFERROR(J132/$G337/$H337/'4. L PLAN'!F$109,0)</f>
        <v>0</v>
      </c>
      <c r="K337" s="5397">
        <f>IFERROR(K132/$G337/$H337/'4. L PLAN'!G$109,0)</f>
        <v>0</v>
      </c>
      <c r="L337" s="6228">
        <f>IFERROR(L132/$G337/$H337/'4. L PLAN'!H$109,0)</f>
        <v>0</v>
      </c>
      <c r="M337" s="4727">
        <f>IFERROR(M132/$G337/$H337/'4. L PLAN'!I$109,0)</f>
        <v>0</v>
      </c>
      <c r="N337" s="2002">
        <f>IFERROR(N132/$G337/$H337/'4. L PLAN'!J$109,0)</f>
        <v>4.6265060240963853</v>
      </c>
      <c r="O337" s="2003">
        <f>IFERROR(O132/$G337/$H337/'4. L PLAN'!K$109,0)</f>
        <v>5.6877080973466523</v>
      </c>
      <c r="P337" s="2001">
        <f>IFERROR(P132/$G337/$H337/'4. L PLAN'!L$109,0)</f>
        <v>5.4770522418893686</v>
      </c>
      <c r="Q337" s="2002">
        <f>IFERROR(Q132/$G337/$H337/'4. L PLAN'!M$109,0)</f>
        <v>5.6877080973466523</v>
      </c>
      <c r="R337" s="2003">
        <f>IFERROR(R132/$G337/$H337/'4. L PLAN'!N$109,0)</f>
        <v>6.1616837721255395</v>
      </c>
      <c r="S337" s="2001">
        <f>IFERROR(S132/$G337/$H337/'4. L PLAN'!O$109,0)</f>
        <v>5.4770522418893686</v>
      </c>
      <c r="T337" s="2002">
        <f>IFERROR(T132/$G337/$H337/'4. L PLAN'!P$109,0)</f>
        <v>5.9152164212405181</v>
      </c>
      <c r="U337" s="2003">
        <f>IFERROR(U132/$G337/$H337/'4. L PLAN'!Q$109,0)</f>
        <v>5.4770522418893686</v>
      </c>
      <c r="V337" s="1858">
        <f t="shared" si="233"/>
        <v>3.7091649281519872</v>
      </c>
      <c r="Z337" s="5"/>
      <c r="AA337" s="1658">
        <f t="shared" si="226"/>
        <v>830</v>
      </c>
      <c r="AB337" s="1765">
        <f t="shared" si="227"/>
        <v>1</v>
      </c>
      <c r="AC337" s="1724">
        <f t="shared" si="228"/>
        <v>0</v>
      </c>
      <c r="AD337" s="1535" t="b">
        <f t="shared" si="229"/>
        <v>1</v>
      </c>
      <c r="AE337" s="1535" t="b">
        <f t="shared" si="230"/>
        <v>1</v>
      </c>
      <c r="AF337" s="1535" t="b">
        <f t="shared" si="231"/>
        <v>1</v>
      </c>
    </row>
    <row r="338" spans="1:32" ht="18" customHeight="1">
      <c r="A338" s="2039"/>
      <c r="B338" s="1763"/>
      <c r="C338" s="1658"/>
      <c r="D338" s="1936"/>
      <c r="E338" s="2027">
        <f>VLOOKUP(F338,B.BasicInfomation!B:C,2,0)</f>
        <v>29</v>
      </c>
      <c r="F338" s="1658" t="str">
        <f t="shared" si="221"/>
        <v>MPC5.5 Cover Lens</v>
      </c>
      <c r="G338" s="1863">
        <v>1250</v>
      </c>
      <c r="H338" s="1765">
        <v>1</v>
      </c>
      <c r="I338" s="1938"/>
      <c r="J338" s="4727">
        <f>IFERROR(J133/$G338/$H338/'4. L PLAN'!F$109,0)</f>
        <v>6.2296677793459327</v>
      </c>
      <c r="K338" s="5397">
        <f>IFERROR(K133/$G338/$H338/'4. L PLAN'!G$109,0)</f>
        <v>5.6118872410391507</v>
      </c>
      <c r="L338" s="6228">
        <f>IFERROR(L133/$G338/$H338/'4. L PLAN'!H$109,0)</f>
        <v>6.2296677793459327</v>
      </c>
      <c r="M338" s="4727">
        <f>IFERROR(M133/$G338/$H338/'4. L PLAN'!I$109,0)</f>
        <v>6.0585422900973409</v>
      </c>
      <c r="N338" s="2002">
        <f>IFERROR(N133/$G338/$H338/'4. L PLAN'!J$109,0)</f>
        <v>2.8790192962542562</v>
      </c>
      <c r="O338" s="2003">
        <f>IFERROR(O133/$G338/$H338/'4. L PLAN'!K$109,0)</f>
        <v>3.5393926385129566</v>
      </c>
      <c r="P338" s="2001">
        <f>IFERROR(P133/$G338/$H338/'4. L PLAN'!L$109,0)</f>
        <v>3.4083040222717358</v>
      </c>
      <c r="Q338" s="2002">
        <f>IFERROR(Q133/$G338/$H338/'4. L PLAN'!M$109,0)</f>
        <v>3.5393926385129566</v>
      </c>
      <c r="R338" s="2003">
        <f>IFERROR(R133/$G338/$H338/'4. L PLAN'!N$109,0)</f>
        <v>3.8343420250557028</v>
      </c>
      <c r="S338" s="2001">
        <f>IFERROR(S133/$G338/$H338/'4. L PLAN'!O$109,0)</f>
        <v>3.4083040222717358</v>
      </c>
      <c r="T338" s="2002">
        <f>IFERROR(T133/$G338/$H338/'4. L PLAN'!P$109,0)</f>
        <v>3.6809683440534746</v>
      </c>
      <c r="U338" s="2003">
        <f>IFERROR(U133/$G338/$H338/'4. L PLAN'!Q$109,0)</f>
        <v>3.4083040222717358</v>
      </c>
      <c r="V338" s="1858">
        <f t="shared" si="233"/>
        <v>4.3189826749194102</v>
      </c>
      <c r="Z338" s="5"/>
      <c r="AA338" s="1658">
        <f t="shared" si="226"/>
        <v>1250</v>
      </c>
      <c r="AB338" s="1765">
        <f t="shared" si="227"/>
        <v>1</v>
      </c>
      <c r="AC338" s="1724">
        <f t="shared" si="228"/>
        <v>0</v>
      </c>
      <c r="AD338" s="1535" t="b">
        <f t="shared" si="229"/>
        <v>1</v>
      </c>
      <c r="AE338" s="1535" t="b">
        <f t="shared" si="230"/>
        <v>1</v>
      </c>
      <c r="AF338" s="1535" t="b">
        <f t="shared" si="231"/>
        <v>1</v>
      </c>
    </row>
    <row r="339" spans="1:32" ht="18" customHeight="1">
      <c r="A339" s="2039"/>
      <c r="B339" s="1763"/>
      <c r="C339" s="1658"/>
      <c r="D339" s="1936"/>
      <c r="E339" s="2027" t="str">
        <f>VLOOKUP(F339,B.BasicInfomation!B:C,2,0)</f>
        <v/>
      </c>
      <c r="F339" s="1658" t="str">
        <f t="shared" si="221"/>
        <v xml:space="preserve">FCM30 Lens Holder </v>
      </c>
      <c r="G339" s="1863"/>
      <c r="H339" s="1765">
        <v>1</v>
      </c>
      <c r="I339" s="1938"/>
      <c r="J339" s="4727">
        <f>IFERROR(J134/$G339/$H339/'4. L PLAN'!F$109,0)</f>
        <v>0</v>
      </c>
      <c r="K339" s="5397">
        <f>IFERROR(K134/$G339/$H339/'4. L PLAN'!G$109,0)</f>
        <v>0</v>
      </c>
      <c r="L339" s="6228">
        <f>IFERROR(L134/$G339/$H339/'4. L PLAN'!H$109,0)</f>
        <v>0</v>
      </c>
      <c r="M339" s="4727">
        <f>IFERROR(M134/$G339/$H339/'4. L PLAN'!I$109,0)</f>
        <v>0</v>
      </c>
      <c r="N339" s="2002">
        <f>IFERROR(N134/$G339/$H339/'4. L PLAN'!J$109,0)</f>
        <v>0</v>
      </c>
      <c r="O339" s="2003">
        <f>IFERROR(O134/$G339/$H339/'4. L PLAN'!K$109,0)</f>
        <v>0</v>
      </c>
      <c r="P339" s="2001">
        <f>IFERROR(P134/$G339/$H339/'4. L PLAN'!L$109,0)</f>
        <v>0</v>
      </c>
      <c r="Q339" s="2002">
        <f>IFERROR(Q134/$G339/$H339/'4. L PLAN'!M$109,0)</f>
        <v>0</v>
      </c>
      <c r="R339" s="2003">
        <f>IFERROR(R134/$G339/$H339/'4. L PLAN'!N$109,0)</f>
        <v>0</v>
      </c>
      <c r="S339" s="2001">
        <f>IFERROR(S134/$G339/$H339/'4. L PLAN'!O$109,0)</f>
        <v>0</v>
      </c>
      <c r="T339" s="2002">
        <f>IFERROR(T134/$G339/$H339/'4. L PLAN'!P$109,0)</f>
        <v>0</v>
      </c>
      <c r="U339" s="2003">
        <f>IFERROR(U134/$G339/$H339/'4. L PLAN'!Q$109,0)</f>
        <v>0</v>
      </c>
      <c r="V339" s="1858">
        <f t="shared" si="233"/>
        <v>0</v>
      </c>
      <c r="Z339" s="5"/>
      <c r="AA339" s="1658">
        <f t="shared" si="226"/>
        <v>0</v>
      </c>
      <c r="AB339" s="1765">
        <f t="shared" si="227"/>
        <v>1</v>
      </c>
      <c r="AC339" s="1724">
        <f t="shared" si="228"/>
        <v>0</v>
      </c>
      <c r="AD339" s="1535" t="b">
        <f t="shared" si="229"/>
        <v>1</v>
      </c>
      <c r="AE339" s="1535" t="b">
        <f t="shared" si="230"/>
        <v>1</v>
      </c>
      <c r="AF339" s="1535" t="b">
        <f t="shared" si="231"/>
        <v>1</v>
      </c>
    </row>
    <row r="340" spans="1:32" ht="18" customHeight="1">
      <c r="A340" s="2039"/>
      <c r="B340" s="1763"/>
      <c r="C340" s="1735" t="s">
        <v>347</v>
      </c>
      <c r="D340" s="3271" t="str">
        <f>'2. S Plan'!D165</f>
        <v>Motor HSG</v>
      </c>
      <c r="E340" s="1735">
        <f>VLOOKUP(F340,B.BasicInfomation!B:C,2,0)</f>
        <v>30</v>
      </c>
      <c r="F340" s="1735" t="str">
        <f t="shared" si="221"/>
        <v>NX4 HSG</v>
      </c>
      <c r="G340" s="3705">
        <v>400</v>
      </c>
      <c r="H340" s="2028">
        <v>1</v>
      </c>
      <c r="I340" s="2786"/>
      <c r="J340" s="4729">
        <f>IFERROR(J135/$G340/$H340/'4. L PLAN'!F$109,0)</f>
        <v>4.0758805446657522</v>
      </c>
      <c r="K340" s="5398">
        <f>IFERROR(K135/$G340/$H340/'4. L PLAN'!G$109,0)</f>
        <v>12.1943022326787</v>
      </c>
      <c r="L340" s="6231">
        <f>IFERROR(L135/$G340/$H340/'4. L PLAN'!H$109,0)</f>
        <v>7.1680677552504708</v>
      </c>
      <c r="M340" s="4729">
        <f>IFERROR(M135/$G340/$H340/'4. L PLAN'!I$109,0)</f>
        <v>6.7444944507705458</v>
      </c>
      <c r="N340" s="2010">
        <f>IFERROR(N135/$G340/$H340/'4. L PLAN'!J$109,0)</f>
        <v>0</v>
      </c>
      <c r="O340" s="2011">
        <f>IFERROR(O135/$G340/$H340/'4. L PLAN'!K$109,0)</f>
        <v>0</v>
      </c>
      <c r="P340" s="2009">
        <f>IFERROR(P135/$G340/$H340/'4. L PLAN'!L$109,0)</f>
        <v>0</v>
      </c>
      <c r="Q340" s="2010">
        <f>IFERROR(Q135/$G340/$H340/'4. L PLAN'!M$109,0)</f>
        <v>0</v>
      </c>
      <c r="R340" s="2011">
        <f>IFERROR(R135/$G340/$H340/'4. L PLAN'!N$109,0)</f>
        <v>7.1788560712611345</v>
      </c>
      <c r="S340" s="2009">
        <f>IFERROR(S135/$G340/$H340/'4. L PLAN'!O$109,0)</f>
        <v>6.3812053966765641</v>
      </c>
      <c r="T340" s="2010">
        <f>IFERROR(T135/$G340/$H340/'4. L PLAN'!P$109,0)</f>
        <v>5.2039381153305202</v>
      </c>
      <c r="U340" s="2011">
        <f>IFERROR(U135/$G340/$H340/'4. L PLAN'!Q$109,0)</f>
        <v>4.8184612178986299</v>
      </c>
      <c r="V340" s="2012">
        <f t="shared" si="233"/>
        <v>4.480433815377693</v>
      </c>
      <c r="Z340" s="5"/>
      <c r="AA340" s="1658">
        <f t="shared" si="226"/>
        <v>400</v>
      </c>
      <c r="AB340" s="1765">
        <f t="shared" si="227"/>
        <v>1</v>
      </c>
      <c r="AC340" s="1724">
        <f t="shared" si="228"/>
        <v>0</v>
      </c>
      <c r="AD340" s="1535" t="b">
        <f t="shared" si="229"/>
        <v>1</v>
      </c>
      <c r="AE340" s="1535" t="b">
        <f t="shared" si="230"/>
        <v>1</v>
      </c>
      <c r="AF340" s="1535" t="b">
        <f t="shared" si="231"/>
        <v>1</v>
      </c>
    </row>
    <row r="341" spans="1:32" ht="18" customHeight="1">
      <c r="A341" s="2039"/>
      <c r="B341" s="1763"/>
      <c r="C341" s="1658"/>
      <c r="D341" s="2000"/>
      <c r="E341" s="1658">
        <f>VLOOKUP(F341,B.BasicInfomation!B:C,2,0)</f>
        <v>31</v>
      </c>
      <c r="F341" s="1658" t="str">
        <f t="shared" ref="F341:F365" si="234">F222</f>
        <v>IMEB2 Housing</v>
      </c>
      <c r="G341" s="1863">
        <v>530</v>
      </c>
      <c r="H341" s="1765">
        <v>1</v>
      </c>
      <c r="I341" s="1938"/>
      <c r="J341" s="4727">
        <f>IFERROR(J136/$G341/$H341/'4. L PLAN'!F$109,0)</f>
        <v>4.3395218033509479</v>
      </c>
      <c r="K341" s="5397">
        <f>IFERROR(K136/$G341/$H341/'4. L PLAN'!G$109,0)</f>
        <v>4.6718180691758056</v>
      </c>
      <c r="L341" s="6228">
        <f>IFERROR(L136/$G341/$H341/'4. L PLAN'!H$109,0)</f>
        <v>4.6436386385854025</v>
      </c>
      <c r="M341" s="4727">
        <f>IFERROR(M136/$G341/$H341/'4. L PLAN'!I$109,0)</f>
        <v>4.8614490609135688</v>
      </c>
      <c r="N341" s="2002">
        <f>IFERROR(N136/$G341/$H341/'4. L PLAN'!J$109,0)</f>
        <v>4.508390632659987</v>
      </c>
      <c r="O341" s="2003">
        <f>IFERROR(O136/$G341/$H341/'4. L PLAN'!K$109,0)</f>
        <v>4.497437122228142</v>
      </c>
      <c r="P341" s="2001">
        <f>IFERROR(P136/$G341/$H341/'4. L PLAN'!L$109,0)</f>
        <v>4.3245750859263588</v>
      </c>
      <c r="Q341" s="2002">
        <f>IFERROR(Q136/$G341/$H341/'4. L PLAN'!M$109,0)</f>
        <v>4.2867728561542746</v>
      </c>
      <c r="R341" s="2003">
        <f>IFERROR(R136/$G341/$H341/'4. L PLAN'!N$109,0)</f>
        <v>5.3074330600005304</v>
      </c>
      <c r="S341" s="2001">
        <f>IFERROR(S136/$G341/$H341/'4. L PLAN'!O$109,0)</f>
        <v>3.9314318962966892</v>
      </c>
      <c r="T341" s="2002">
        <f>IFERROR(T136/$G341/$H341/'4. L PLAN'!P$109,0)</f>
        <v>4.4051694398004404</v>
      </c>
      <c r="U341" s="2003">
        <f>IFERROR(U136/$G341/$H341/'4. L PLAN'!Q$109,0)</f>
        <v>4.078860592407815</v>
      </c>
      <c r="V341" s="1858">
        <f t="shared" si="233"/>
        <v>4.4880415214583307</v>
      </c>
      <c r="Z341" s="5"/>
      <c r="AA341" s="1658">
        <f t="shared" si="226"/>
        <v>530</v>
      </c>
      <c r="AB341" s="1765">
        <f t="shared" si="227"/>
        <v>1</v>
      </c>
      <c r="AC341" s="1724">
        <f t="shared" si="228"/>
        <v>0</v>
      </c>
      <c r="AD341" s="1535" t="b">
        <f t="shared" si="229"/>
        <v>1</v>
      </c>
      <c r="AE341" s="1535" t="b">
        <f t="shared" si="230"/>
        <v>1</v>
      </c>
      <c r="AF341" s="1535" t="b">
        <f t="shared" si="231"/>
        <v>1</v>
      </c>
    </row>
    <row r="342" spans="1:32" ht="18" customHeight="1">
      <c r="A342" s="2039"/>
      <c r="B342" s="1763"/>
      <c r="C342" s="1658"/>
      <c r="D342" s="2000"/>
      <c r="E342" s="1658">
        <f>VLOOKUP(F342,B.BasicInfomation!B:C,2,0)</f>
        <v>32</v>
      </c>
      <c r="F342" s="1658" t="str">
        <f t="shared" si="234"/>
        <v>J100 Housing</v>
      </c>
      <c r="G342" s="1863">
        <v>390</v>
      </c>
      <c r="H342" s="1765">
        <v>1</v>
      </c>
      <c r="I342" s="1938"/>
      <c r="J342" s="4727">
        <f>IFERROR(J137/$G342/$H342/'4. L PLAN'!F$109,0)</f>
        <v>0.69907372731131245</v>
      </c>
      <c r="K342" s="5397">
        <f>IFERROR(K137/$G342/$H342/'4. L PLAN'!G$109,0)</f>
        <v>1.1916675682498465</v>
      </c>
      <c r="L342" s="6228">
        <f>IFERROR(L137/$G342/$H342/'4. L PLAN'!H$109,0)</f>
        <v>0</v>
      </c>
      <c r="M342" s="4727">
        <f>IFERROR(M137/$G342/$H342/'4. L PLAN'!I$109,0)</f>
        <v>1.7157401123645852</v>
      </c>
      <c r="N342" s="2002">
        <f>IFERROR(N137/$G342/$H342/'4. L PLAN'!J$109,0)</f>
        <v>0.90158318006419247</v>
      </c>
      <c r="O342" s="2003">
        <f>IFERROR(O137/$G342/$H342/'4. L PLAN'!K$109,0)</f>
        <v>0.90158318006419269</v>
      </c>
      <c r="P342" s="2001">
        <f>IFERROR(P137/$G342/$H342/'4. L PLAN'!L$109,0)</f>
        <v>0.8681912104321855</v>
      </c>
      <c r="Q342" s="2002">
        <f>IFERROR(Q137/$G342/$H342/'4. L PLAN'!M$109,0)</f>
        <v>0.90158318006419269</v>
      </c>
      <c r="R342" s="2003">
        <f>IFERROR(R137/$G342/$H342/'4. L PLAN'!N$109,0)</f>
        <v>0.97671511173620873</v>
      </c>
      <c r="S342" s="2001">
        <f>IFERROR(S137/$G342/$H342/'4. L PLAN'!O$109,0)</f>
        <v>1.1420053614146441</v>
      </c>
      <c r="T342" s="2002">
        <f>IFERROR(T137/$G342/$H342/'4. L PLAN'!P$109,0)</f>
        <v>0.82224386021854368</v>
      </c>
      <c r="U342" s="2003">
        <f>IFERROR(U137/$G342/$H342/'4. L PLAN'!Q$109,0)</f>
        <v>0.76133690760976269</v>
      </c>
      <c r="V342" s="1858">
        <f t="shared" si="233"/>
        <v>0.90681028329413893</v>
      </c>
      <c r="Z342" s="5"/>
      <c r="AA342" s="1658">
        <f t="shared" si="226"/>
        <v>390</v>
      </c>
      <c r="AB342" s="1765">
        <f t="shared" si="227"/>
        <v>1</v>
      </c>
      <c r="AC342" s="1724">
        <f t="shared" si="228"/>
        <v>0</v>
      </c>
      <c r="AD342" s="1535" t="b">
        <f t="shared" si="229"/>
        <v>1</v>
      </c>
      <c r="AE342" s="1535" t="b">
        <f t="shared" si="230"/>
        <v>1</v>
      </c>
      <c r="AF342" s="1535" t="b">
        <f t="shared" si="231"/>
        <v>1</v>
      </c>
    </row>
    <row r="343" spans="1:32" ht="18" customHeight="1">
      <c r="A343" s="2039"/>
      <c r="B343" s="1763"/>
      <c r="C343" s="1658"/>
      <c r="D343" s="2000"/>
      <c r="E343" s="1658" t="str">
        <f>VLOOKUP(F343,B.BasicInfomation!B:C,2,0)</f>
        <v/>
      </c>
      <c r="F343" s="1658" t="str">
        <f t="shared" si="234"/>
        <v>BENZ R-EPS HSG (Anodizing)</v>
      </c>
      <c r="G343" s="1863">
        <v>390</v>
      </c>
      <c r="H343" s="1765">
        <v>1</v>
      </c>
      <c r="I343" s="1938"/>
      <c r="J343" s="4727">
        <f>IFERROR(J138/$G343/$H343/'4. L PLAN'!F$109,0)</f>
        <v>0</v>
      </c>
      <c r="K343" s="5397">
        <f>IFERROR(K138/$G343/$H343/'4. L PLAN'!G$109,0)</f>
        <v>0</v>
      </c>
      <c r="L343" s="6228">
        <f>IFERROR(L138/$G343/$H343/'4. L PLAN'!H$109,0)</f>
        <v>0</v>
      </c>
      <c r="M343" s="4727">
        <f>IFERROR(M138/$G343/$H343/'4. L PLAN'!I$109,0)</f>
        <v>0</v>
      </c>
      <c r="N343" s="2002">
        <f>IFERROR(N138/$G343/$H343/'4. L PLAN'!J$109,0)</f>
        <v>0</v>
      </c>
      <c r="O343" s="2003">
        <f>IFERROR(O138/$G343/$H343/'4. L PLAN'!K$109,0)</f>
        <v>0</v>
      </c>
      <c r="P343" s="2001">
        <f>IFERROR(P138/$G343/$H343/'4. L PLAN'!L$109,0)</f>
        <v>0</v>
      </c>
      <c r="Q343" s="2002">
        <f>IFERROR(Q138/$G343/$H343/'4. L PLAN'!M$109,0)</f>
        <v>0</v>
      </c>
      <c r="R343" s="2003">
        <f>IFERROR(R138/$G343/$H343/'4. L PLAN'!N$109,0)</f>
        <v>0</v>
      </c>
      <c r="S343" s="2001">
        <f>IFERROR(S138/$G343/$H343/'4. L PLAN'!O$109,0)</f>
        <v>0</v>
      </c>
      <c r="T343" s="2002">
        <f>IFERROR(T138/$G343/$H343/'4. L PLAN'!P$109,0)</f>
        <v>0</v>
      </c>
      <c r="U343" s="2003">
        <f>IFERROR(U138/$G343/$H343/'4. L PLAN'!Q$109,0)</f>
        <v>0</v>
      </c>
      <c r="V343" s="1858">
        <f t="shared" si="233"/>
        <v>0</v>
      </c>
      <c r="Z343" s="5"/>
      <c r="AA343" s="1658">
        <f t="shared" si="226"/>
        <v>390</v>
      </c>
      <c r="AB343" s="1765">
        <f t="shared" si="227"/>
        <v>1</v>
      </c>
      <c r="AC343" s="1724">
        <f t="shared" si="228"/>
        <v>0</v>
      </c>
      <c r="AD343" s="1535" t="b">
        <f t="shared" si="229"/>
        <v>1</v>
      </c>
      <c r="AE343" s="1535" t="b">
        <f t="shared" si="230"/>
        <v>1</v>
      </c>
      <c r="AF343" s="1535" t="b">
        <f t="shared" si="231"/>
        <v>1</v>
      </c>
    </row>
    <row r="344" spans="1:32" ht="18" customHeight="1">
      <c r="A344" s="2039"/>
      <c r="B344" s="1763"/>
      <c r="C344" s="1658"/>
      <c r="D344" s="2000"/>
      <c r="E344" s="1658" t="str">
        <f>VLOOKUP(F344,B.BasicInfomation!B:C,2,0)</f>
        <v/>
      </c>
      <c r="F344" s="1658" t="str">
        <f t="shared" si="234"/>
        <v>NE2 R-EPS HSG</v>
      </c>
      <c r="G344" s="1863">
        <v>390</v>
      </c>
      <c r="H344" s="1765">
        <v>1</v>
      </c>
      <c r="I344" s="1938"/>
      <c r="J344" s="4727">
        <f>IFERROR(J139/$G344/$H344/'4. L PLAN'!F$109,0)</f>
        <v>0</v>
      </c>
      <c r="K344" s="5397">
        <f>IFERROR(K139/$G344/$H344/'4. L PLAN'!G$109,0)</f>
        <v>0</v>
      </c>
      <c r="L344" s="6228">
        <f>IFERROR(L139/$G344/$H344/'4. L PLAN'!H$109,0)</f>
        <v>0</v>
      </c>
      <c r="M344" s="4727">
        <f>IFERROR(M139/$G344/$H344/'4. L PLAN'!I$109,0)</f>
        <v>0</v>
      </c>
      <c r="N344" s="2002">
        <f>IFERROR(N139/$G344/$H344/'4. L PLAN'!J$109,0)</f>
        <v>0</v>
      </c>
      <c r="O344" s="2003">
        <f>IFERROR(O139/$G344/$H344/'4. L PLAN'!K$109,0)</f>
        <v>0</v>
      </c>
      <c r="P344" s="2001">
        <f>IFERROR(P139/$G344/$H344/'4. L PLAN'!L$109,0)</f>
        <v>0</v>
      </c>
      <c r="Q344" s="2002">
        <f>IFERROR(Q139/$G344/$H344/'4. L PLAN'!M$109,0)</f>
        <v>0</v>
      </c>
      <c r="R344" s="2003">
        <f>IFERROR(R139/$G344/$H344/'4. L PLAN'!N$109,0)</f>
        <v>0</v>
      </c>
      <c r="S344" s="2001">
        <f>IFERROR(S139/$G344/$H344/'4. L PLAN'!O$109,0)</f>
        <v>0</v>
      </c>
      <c r="T344" s="2002">
        <f>IFERROR(T139/$G344/$H344/'4. L PLAN'!P$109,0)</f>
        <v>0</v>
      </c>
      <c r="U344" s="2003">
        <f>IFERROR(U139/$G344/$H344/'4. L PLAN'!Q$109,0)</f>
        <v>0</v>
      </c>
      <c r="V344" s="1858">
        <f t="shared" si="233"/>
        <v>0</v>
      </c>
      <c r="Z344" s="5"/>
      <c r="AA344" s="1658">
        <f t="shared" si="226"/>
        <v>390</v>
      </c>
      <c r="AB344" s="1765">
        <f t="shared" si="227"/>
        <v>1</v>
      </c>
      <c r="AC344" s="1724">
        <f t="shared" si="228"/>
        <v>0</v>
      </c>
      <c r="AD344" s="1535" t="b">
        <f t="shared" si="229"/>
        <v>1</v>
      </c>
      <c r="AE344" s="1535" t="b">
        <f t="shared" si="230"/>
        <v>1</v>
      </c>
      <c r="AF344" s="1535" t="b">
        <f t="shared" si="231"/>
        <v>1</v>
      </c>
    </row>
    <row r="345" spans="1:32" ht="18" customHeight="1">
      <c r="A345" s="2039"/>
      <c r="B345" s="1763"/>
      <c r="C345" s="1658"/>
      <c r="D345" s="2000"/>
      <c r="E345" s="1658" t="str">
        <f>VLOOKUP(F345,B.BasicInfomation!B:C,2,0)</f>
        <v/>
      </c>
      <c r="F345" s="1658" t="str">
        <f t="shared" si="234"/>
        <v>M184 R-EPS HSG</v>
      </c>
      <c r="G345" s="1863">
        <v>390</v>
      </c>
      <c r="H345" s="1765">
        <v>1</v>
      </c>
      <c r="I345" s="1938"/>
      <c r="J345" s="4727">
        <f>IFERROR(J140/$G345/$H345/'4. L PLAN'!F$109,0)</f>
        <v>0</v>
      </c>
      <c r="K345" s="5397">
        <f>IFERROR(K140/$G345/$H345/'4. L PLAN'!G$109,0)</f>
        <v>0</v>
      </c>
      <c r="L345" s="6228">
        <f>IFERROR(L140/$G345/$H345/'4. L PLAN'!H$109,0)</f>
        <v>0</v>
      </c>
      <c r="M345" s="4727">
        <f>IFERROR(M140/$G345/$H345/'4. L PLAN'!I$109,0)</f>
        <v>0</v>
      </c>
      <c r="N345" s="2002">
        <f>IFERROR(N140/$G345/$H345/'4. L PLAN'!J$109,0)</f>
        <v>0</v>
      </c>
      <c r="O345" s="2003">
        <f>IFERROR(O140/$G345/$H345/'4. L PLAN'!K$109,0)</f>
        <v>0</v>
      </c>
      <c r="P345" s="2001">
        <f>IFERROR(P140/$G345/$H345/'4. L PLAN'!L$109,0)</f>
        <v>0</v>
      </c>
      <c r="Q345" s="2002">
        <f>IFERROR(Q140/$G345/$H345/'4. L PLAN'!M$109,0)</f>
        <v>0</v>
      </c>
      <c r="R345" s="2003">
        <f>IFERROR(R140/$G345/$H345/'4. L PLAN'!N$109,0)</f>
        <v>0</v>
      </c>
      <c r="S345" s="2001">
        <f>IFERROR(S140/$G345/$H345/'4. L PLAN'!O$109,0)</f>
        <v>0</v>
      </c>
      <c r="T345" s="2002">
        <f>IFERROR(T140/$G345/$H345/'4. L PLAN'!P$109,0)</f>
        <v>0</v>
      </c>
      <c r="U345" s="2003">
        <f>IFERROR(U140/$G345/$H345/'4. L PLAN'!Q$109,0)</f>
        <v>0</v>
      </c>
      <c r="V345" s="1858">
        <f t="shared" si="233"/>
        <v>0</v>
      </c>
      <c r="Z345" s="5"/>
      <c r="AA345" s="1658">
        <f t="shared" si="226"/>
        <v>390</v>
      </c>
      <c r="AB345" s="1765">
        <f t="shared" si="227"/>
        <v>1</v>
      </c>
      <c r="AC345" s="1724">
        <f t="shared" si="228"/>
        <v>0</v>
      </c>
      <c r="AD345" s="1535" t="b">
        <f t="shared" si="229"/>
        <v>1</v>
      </c>
      <c r="AE345" s="1535" t="b">
        <f t="shared" si="230"/>
        <v>1</v>
      </c>
      <c r="AF345" s="1535" t="b">
        <f t="shared" si="231"/>
        <v>1</v>
      </c>
    </row>
    <row r="346" spans="1:32" ht="18" customHeight="1">
      <c r="A346" s="2039"/>
      <c r="B346" s="1763"/>
      <c r="C346" s="1658"/>
      <c r="D346" s="1746" t="str">
        <f>D227</f>
        <v>Motor CVR</v>
      </c>
      <c r="E346" s="1746">
        <f>VLOOKUP(F346,B.BasicInfomation!B:C,2,0)</f>
        <v>33</v>
      </c>
      <c r="F346" s="2029" t="str">
        <f t="shared" si="234"/>
        <v>NX4 Cover</v>
      </c>
      <c r="G346" s="3706">
        <v>760</v>
      </c>
      <c r="H346" s="2015">
        <v>1</v>
      </c>
      <c r="I346" s="1954"/>
      <c r="J346" s="4730">
        <f>IFERROR(J141/$G346/$H346/'4. L PLAN'!F$109,0)</f>
        <v>4.980165186865448</v>
      </c>
      <c r="K346" s="5399">
        <f>IFERROR(K141/$G346/$H346/'4. L PLAN'!G$109,0)</f>
        <v>12.103063509838428</v>
      </c>
      <c r="L346" s="6232">
        <f>IFERROR(L141/$G346/$H346/'4. L PLAN'!H$109,0)</f>
        <v>8.0816091267752324</v>
      </c>
      <c r="M346" s="4730">
        <f>IFERROR(M141/$G346/$H346/'4. L PLAN'!I$109,0)</f>
        <v>4.4623051108680079</v>
      </c>
      <c r="N346" s="2017">
        <f>IFERROR(N141/$G346/$H346/'4. L PLAN'!J$109,0)</f>
        <v>2.0306084359835763</v>
      </c>
      <c r="O346" s="2018">
        <f>IFERROR(O141/$G346/$H346/'4. L PLAN'!K$109,0)</f>
        <v>2.0530048525569242</v>
      </c>
      <c r="P346" s="2016">
        <f>IFERROR(P141/$G346/$H346/'4. L PLAN'!L$109,0)</f>
        <v>2.0737422753100248</v>
      </c>
      <c r="Q346" s="2017">
        <f>IFERROR(Q141/$G346/$H346/'4. L PLAN'!M$109,0)</f>
        <v>1.0767507967955898</v>
      </c>
      <c r="R346" s="2018">
        <f>IFERROR(R141/$G346/$H346/'4. L PLAN'!N$109,0)</f>
        <v>1.1664800298618889</v>
      </c>
      <c r="S346" s="2016">
        <f>IFERROR(S141/$G346/$H346/'4. L PLAN'!O$109,0)</f>
        <v>1.0368711376550124</v>
      </c>
      <c r="T346" s="2017">
        <f>IFERROR(T141/$G346/$H346/'4. L PLAN'!P$109,0)</f>
        <v>1.1198208286674134</v>
      </c>
      <c r="U346" s="2018">
        <f>IFERROR(U141/$G346/$H346/'4. L PLAN'!Q$109,0)</f>
        <v>1.0368711376550124</v>
      </c>
      <c r="V346" s="2019">
        <f t="shared" si="233"/>
        <v>3.4351077024027137</v>
      </c>
      <c r="Z346" s="5"/>
      <c r="AA346" s="1658">
        <f t="shared" si="226"/>
        <v>760</v>
      </c>
      <c r="AB346" s="1765">
        <f t="shared" si="227"/>
        <v>1</v>
      </c>
      <c r="AC346" s="1724">
        <f t="shared" si="228"/>
        <v>0</v>
      </c>
      <c r="AD346" s="1535" t="b">
        <f t="shared" si="229"/>
        <v>1</v>
      </c>
      <c r="AE346" s="1535" t="b">
        <f t="shared" si="230"/>
        <v>1</v>
      </c>
      <c r="AF346" s="1535" t="b">
        <f t="shared" si="231"/>
        <v>1</v>
      </c>
    </row>
    <row r="347" spans="1:32" ht="18" customHeight="1">
      <c r="A347" s="2039"/>
      <c r="B347" s="1763"/>
      <c r="C347" s="1658"/>
      <c r="D347" s="1658"/>
      <c r="E347" s="1658">
        <f>VLOOKUP(F347,B.BasicInfomation!B:C,2,0)</f>
        <v>34</v>
      </c>
      <c r="F347" s="2013" t="str">
        <f t="shared" si="234"/>
        <v>Tey Gen4 Cover</v>
      </c>
      <c r="G347" s="1863">
        <v>230</v>
      </c>
      <c r="H347" s="1765">
        <v>1</v>
      </c>
      <c r="I347" s="1938"/>
      <c r="J347" s="4727">
        <f>IFERROR(J142/$G347/$H347/'4. L PLAN'!F$109,0)</f>
        <v>18.373774237777717</v>
      </c>
      <c r="K347" s="5397">
        <f>IFERROR(K142/$G347/$H347/'4. L PLAN'!G$109,0)</f>
        <v>25.363214450122602</v>
      </c>
      <c r="L347" s="6228">
        <f>IFERROR(L142/$G347/$H347/'4. L PLAN'!H$109,0)</f>
        <v>18.663125013175794</v>
      </c>
      <c r="M347" s="4727">
        <f>IFERROR(M142/$G347/$H347/'4. L PLAN'!I$109,0)</f>
        <v>18.183142598354348</v>
      </c>
      <c r="N347" s="2002">
        <f>IFERROR(N142/$G347/$H347/'4. L PLAN'!J$109,0)</f>
        <v>17.505225881682815</v>
      </c>
      <c r="O347" s="2003">
        <f>IFERROR(O142/$G347/$H347/'4. L PLAN'!K$109,0)</f>
        <v>18.738861430418872</v>
      </c>
      <c r="P347" s="2001">
        <f>IFERROR(P142/$G347/$H347/'4. L PLAN'!L$109,0)</f>
        <v>15.69638650739677</v>
      </c>
      <c r="Q347" s="2002">
        <f>IFERROR(Q142/$G347/$H347/'4. L PLAN'!M$109,0)</f>
        <v>15.91199621216871</v>
      </c>
      <c r="R347" s="2003">
        <f>IFERROR(R142/$G347/$H347/'4. L PLAN'!N$109,0)</f>
        <v>17.658434820821366</v>
      </c>
      <c r="S347" s="2001">
        <f>IFERROR(S142/$G347/$H347/'4. L PLAN'!O$109,0)</f>
        <v>15.322663019125423</v>
      </c>
      <c r="T347" s="2002">
        <f>IFERROR(T142/$G347/$H347/'4. L PLAN'!P$109,0)</f>
        <v>16.548476060655457</v>
      </c>
      <c r="U347" s="2003">
        <f>IFERROR(U142/$G347/$H347/'4. L PLAN'!Q$109,0)</f>
        <v>15.322663019125423</v>
      </c>
      <c r="V347" s="1858">
        <f t="shared" si="233"/>
        <v>17.773996937568771</v>
      </c>
      <c r="Z347" s="5"/>
      <c r="AA347" s="1658">
        <f t="shared" si="226"/>
        <v>230</v>
      </c>
      <c r="AB347" s="1765">
        <f t="shared" si="227"/>
        <v>1</v>
      </c>
      <c r="AC347" s="1724">
        <f t="shared" si="228"/>
        <v>0</v>
      </c>
      <c r="AD347" s="1535" t="b">
        <f t="shared" si="229"/>
        <v>1</v>
      </c>
      <c r="AE347" s="1535" t="b">
        <f t="shared" si="230"/>
        <v>1</v>
      </c>
      <c r="AF347" s="1535" t="b">
        <f t="shared" si="231"/>
        <v>1</v>
      </c>
    </row>
    <row r="348" spans="1:32" ht="18" customHeight="1">
      <c r="A348" s="2039"/>
      <c r="B348" s="1763"/>
      <c r="C348" s="1658"/>
      <c r="D348" s="2000"/>
      <c r="E348" s="1658" t="str">
        <f>VLOOKUP(F348,B.BasicInfomation!B:C,2,0)</f>
        <v/>
      </c>
      <c r="F348" s="2013" t="str">
        <f t="shared" si="234"/>
        <v>CEER RWA CVR-만도향</v>
      </c>
      <c r="G348" s="1863">
        <v>230</v>
      </c>
      <c r="H348" s="1765">
        <v>1</v>
      </c>
      <c r="I348" s="1938"/>
      <c r="J348" s="4727">
        <f>IFERROR(J143/$G348/$H348/'4. L PLAN'!F$109,0)</f>
        <v>0</v>
      </c>
      <c r="K348" s="5397">
        <f>IFERROR(K143/$G348/$H348/'4. L PLAN'!G$109,0)</f>
        <v>0</v>
      </c>
      <c r="L348" s="6228">
        <f>IFERROR(L143/$G348/$H348/'4. L PLAN'!H$109,0)</f>
        <v>0</v>
      </c>
      <c r="M348" s="4727">
        <f>IFERROR(M143/$G348/$H348/'4. L PLAN'!I$109,0)</f>
        <v>0</v>
      </c>
      <c r="N348" s="2002">
        <f>IFERROR(N143/$G348/$H348/'4. L PLAN'!J$109,0)</f>
        <v>0</v>
      </c>
      <c r="O348" s="2003">
        <f>IFERROR(O143/$G348/$H348/'4. L PLAN'!K$109,0)</f>
        <v>0</v>
      </c>
      <c r="P348" s="2001">
        <f>IFERROR(P143/$G348/$H348/'4. L PLAN'!L$109,0)</f>
        <v>0</v>
      </c>
      <c r="Q348" s="2002">
        <f>IFERROR(Q143/$G348/$H348/'4. L PLAN'!M$109,0)</f>
        <v>0</v>
      </c>
      <c r="R348" s="2003">
        <f>IFERROR(R143/$G348/$H348/'4. L PLAN'!N$109,0)</f>
        <v>0</v>
      </c>
      <c r="S348" s="2001">
        <f>IFERROR(S143/$G348/$H348/'4. L PLAN'!O$109,0)</f>
        <v>0</v>
      </c>
      <c r="T348" s="2002">
        <f>IFERROR(T143/$G348/$H348/'4. L PLAN'!P$109,0)</f>
        <v>0</v>
      </c>
      <c r="U348" s="2003">
        <f>IFERROR(U143/$G348/$H348/'4. L PLAN'!Q$109,0)</f>
        <v>0</v>
      </c>
      <c r="V348" s="1858">
        <f t="shared" si="233"/>
        <v>0</v>
      </c>
      <c r="Z348" s="5"/>
      <c r="AA348" s="1658">
        <f t="shared" si="226"/>
        <v>230</v>
      </c>
      <c r="AB348" s="1765">
        <f t="shared" si="227"/>
        <v>1</v>
      </c>
      <c r="AC348" s="1724">
        <f t="shared" si="228"/>
        <v>0</v>
      </c>
      <c r="AD348" s="1535" t="b">
        <f t="shared" si="229"/>
        <v>1</v>
      </c>
      <c r="AE348" s="1535" t="b">
        <f t="shared" si="230"/>
        <v>1</v>
      </c>
      <c r="AF348" s="1535" t="b">
        <f t="shared" si="231"/>
        <v>1</v>
      </c>
    </row>
    <row r="349" spans="1:32" ht="18" customHeight="1">
      <c r="A349" s="2039"/>
      <c r="B349" s="1763"/>
      <c r="C349" s="1658"/>
      <c r="D349" s="2000"/>
      <c r="E349" s="1658" t="str">
        <f>VLOOKUP(F349,B.BasicInfomation!B:C,2,0)</f>
        <v/>
      </c>
      <c r="F349" s="2013" t="str">
        <f t="shared" si="234"/>
        <v>CEER RWS CVR-만도향</v>
      </c>
      <c r="G349" s="1863">
        <v>230</v>
      </c>
      <c r="H349" s="1765">
        <v>1</v>
      </c>
      <c r="I349" s="1938"/>
      <c r="J349" s="4727">
        <f>IFERROR(J144/$G349/$H349/'4. L PLAN'!F$109,0)</f>
        <v>0</v>
      </c>
      <c r="K349" s="5397">
        <f>IFERROR(K144/$G349/$H349/'4. L PLAN'!G$109,0)</f>
        <v>0</v>
      </c>
      <c r="L349" s="6228">
        <f>IFERROR(L144/$G349/$H349/'4. L PLAN'!H$109,0)</f>
        <v>0</v>
      </c>
      <c r="M349" s="4727">
        <f>IFERROR(M144/$G349/$H349/'4. L PLAN'!I$109,0)</f>
        <v>0</v>
      </c>
      <c r="N349" s="2002">
        <f>IFERROR(N144/$G349/$H349/'4. L PLAN'!J$109,0)</f>
        <v>0</v>
      </c>
      <c r="O349" s="2003">
        <f>IFERROR(O144/$G349/$H349/'4. L PLAN'!K$109,0)</f>
        <v>0</v>
      </c>
      <c r="P349" s="2001">
        <f>IFERROR(P144/$G349/$H349/'4. L PLAN'!L$109,0)</f>
        <v>0</v>
      </c>
      <c r="Q349" s="2002">
        <f>IFERROR(Q144/$G349/$H349/'4. L PLAN'!M$109,0)</f>
        <v>0</v>
      </c>
      <c r="R349" s="2003">
        <f>IFERROR(R144/$G349/$H349/'4. L PLAN'!N$109,0)</f>
        <v>0</v>
      </c>
      <c r="S349" s="2001">
        <f>IFERROR(S144/$G349/$H349/'4. L PLAN'!O$109,0)</f>
        <v>0</v>
      </c>
      <c r="T349" s="2002">
        <f>IFERROR(T144/$G349/$H349/'4. L PLAN'!P$109,0)</f>
        <v>0</v>
      </c>
      <c r="U349" s="2003">
        <f>IFERROR(U144/$G349/$H349/'4. L PLAN'!Q$109,0)</f>
        <v>0.7548733837488194</v>
      </c>
      <c r="V349" s="1858">
        <f t="shared" si="233"/>
        <v>6.2906115312401617E-2</v>
      </c>
      <c r="Z349" s="5"/>
      <c r="AA349" s="1658">
        <f t="shared" si="226"/>
        <v>230</v>
      </c>
      <c r="AB349" s="1765">
        <f t="shared" si="227"/>
        <v>1</v>
      </c>
      <c r="AC349" s="1724">
        <f t="shared" si="228"/>
        <v>0</v>
      </c>
      <c r="AD349" s="1535" t="b">
        <f t="shared" si="229"/>
        <v>1</v>
      </c>
      <c r="AE349" s="1535" t="b">
        <f t="shared" si="230"/>
        <v>1</v>
      </c>
      <c r="AF349" s="1535" t="b">
        <f t="shared" si="231"/>
        <v>1</v>
      </c>
    </row>
    <row r="350" spans="1:32" ht="18" customHeight="1">
      <c r="A350" s="2039"/>
      <c r="B350" s="1763"/>
      <c r="C350" s="1658"/>
      <c r="D350" s="2000"/>
      <c r="E350" s="1658">
        <f>VLOOKUP(F350,B.BasicInfomation!B:C,2,0)</f>
        <v>35</v>
      </c>
      <c r="F350" s="2013" t="str">
        <f t="shared" si="234"/>
        <v>JG R-EPS CVR-만도향</v>
      </c>
      <c r="G350" s="1863">
        <v>230</v>
      </c>
      <c r="H350" s="1765">
        <v>1</v>
      </c>
      <c r="I350" s="1938"/>
      <c r="J350" s="4727">
        <f>IFERROR(J145/$G350/$H350/'4. L PLAN'!F$109,0)</f>
        <v>0</v>
      </c>
      <c r="K350" s="5397">
        <f>IFERROR(K145/$G350/$H350/'4. L PLAN'!G$109,0)</f>
        <v>0</v>
      </c>
      <c r="L350" s="6228">
        <f>IFERROR(L145/$G350/$H350/'4. L PLAN'!H$109,0)</f>
        <v>0</v>
      </c>
      <c r="M350" s="4727">
        <f>IFERROR(M145/$G350/$H350/'4. L PLAN'!I$109,0)</f>
        <v>1.073498269538149</v>
      </c>
      <c r="N350" s="2002">
        <f>IFERROR(N145/$G350/$H350/'4. L PLAN'!J$109,0)</f>
        <v>0</v>
      </c>
      <c r="O350" s="2003">
        <f>IFERROR(O145/$G350/$H350/'4. L PLAN'!K$109,0)</f>
        <v>0.55301570524383559</v>
      </c>
      <c r="P350" s="2001">
        <f>IFERROR(P145/$G350/$H350/'4. L PLAN'!L$109,0)</f>
        <v>0.63904037050398776</v>
      </c>
      <c r="Q350" s="2002">
        <f>IFERROR(Q145/$G350/$H350/'4. L PLAN'!M$109,0)</f>
        <v>0.44241256419506853</v>
      </c>
      <c r="R350" s="2003">
        <f>IFERROR(R145/$G350/$H350/'4. L PLAN'!N$109,0)</f>
        <v>0.47928027787799093</v>
      </c>
      <c r="S350" s="2001">
        <f>IFERROR(S145/$G350/$H350/'4. L PLAN'!O$109,0)</f>
        <v>0.38342422230239276</v>
      </c>
      <c r="T350" s="2002">
        <f>IFERROR(T145/$G350/$H350/'4. L PLAN'!P$109,0)</f>
        <v>0.27606544005772277</v>
      </c>
      <c r="U350" s="2003">
        <f>IFERROR(U145/$G350/$H350/'4. L PLAN'!Q$109,0)</f>
        <v>0</v>
      </c>
      <c r="V350" s="1858">
        <f t="shared" si="233"/>
        <v>0.32056140414326223</v>
      </c>
      <c r="Z350" s="5"/>
      <c r="AA350" s="1658">
        <f t="shared" si="226"/>
        <v>230</v>
      </c>
      <c r="AB350" s="1765">
        <f t="shared" si="227"/>
        <v>1</v>
      </c>
      <c r="AC350" s="1724">
        <f t="shared" si="228"/>
        <v>0</v>
      </c>
      <c r="AD350" s="1535" t="b">
        <f t="shared" si="229"/>
        <v>1</v>
      </c>
      <c r="AE350" s="1535" t="b">
        <f t="shared" si="230"/>
        <v>1</v>
      </c>
      <c r="AF350" s="1535" t="b">
        <f t="shared" si="231"/>
        <v>1</v>
      </c>
    </row>
    <row r="351" spans="1:32" ht="18" customHeight="1">
      <c r="A351" s="2039"/>
      <c r="B351" s="1763"/>
      <c r="C351" s="1658"/>
      <c r="D351" s="2000"/>
      <c r="E351" s="1658">
        <f>VLOOKUP(F351,B.BasicInfomation!B:C,2,0)</f>
        <v>36</v>
      </c>
      <c r="F351" s="2013" t="str">
        <f t="shared" si="234"/>
        <v>JG RWS CVR-만도향</v>
      </c>
      <c r="G351" s="1863">
        <v>230</v>
      </c>
      <c r="H351" s="1765">
        <v>1</v>
      </c>
      <c r="I351" s="1938"/>
      <c r="J351" s="4727">
        <f>IFERROR(J146/$G351/$H351/'4. L PLAN'!F$109,0)</f>
        <v>0</v>
      </c>
      <c r="K351" s="5397">
        <f>IFERROR(K146/$G351/$H351/'4. L PLAN'!G$109,0)</f>
        <v>0</v>
      </c>
      <c r="L351" s="6228">
        <f>IFERROR(L146/$G351/$H351/'4. L PLAN'!H$109,0)</f>
        <v>0</v>
      </c>
      <c r="M351" s="4727">
        <f>IFERROR(M146/$G351/$H351/'4. L PLAN'!I$109,0)</f>
        <v>7.4786373380459528E-2</v>
      </c>
      <c r="N351" s="2002">
        <f>IFERROR(N146/$G351/$H351/'4. L PLAN'!J$109,0)</f>
        <v>0</v>
      </c>
      <c r="O351" s="2003">
        <f>IFERROR(O146/$G351/$H351/'4. L PLAN'!K$109,0)</f>
        <v>0</v>
      </c>
      <c r="P351" s="2001">
        <f>IFERROR(P146/$G351/$H351/'4. L PLAN'!L$109,0)</f>
        <v>0</v>
      </c>
      <c r="Q351" s="2002">
        <f>IFERROR(Q146/$G351/$H351/'4. L PLAN'!M$109,0)</f>
        <v>0</v>
      </c>
      <c r="R351" s="2003">
        <f>IFERROR(R146/$G351/$H351/'4. L PLAN'!N$109,0)</f>
        <v>0</v>
      </c>
      <c r="S351" s="2001">
        <f>IFERROR(S146/$G351/$H351/'4. L PLAN'!O$109,0)</f>
        <v>0</v>
      </c>
      <c r="T351" s="2002">
        <f>IFERROR(T146/$G351/$H351/'4. L PLAN'!P$109,0)</f>
        <v>0</v>
      </c>
      <c r="U351" s="2003">
        <f>IFERROR(U146/$G351/$H351/'4. L PLAN'!Q$109,0)</f>
        <v>0</v>
      </c>
      <c r="V351" s="1858">
        <f t="shared" si="233"/>
        <v>6.2321977817049604E-3</v>
      </c>
      <c r="Z351" s="5"/>
      <c r="AA351" s="1658">
        <f t="shared" si="226"/>
        <v>230</v>
      </c>
      <c r="AB351" s="1765">
        <f t="shared" si="227"/>
        <v>1</v>
      </c>
      <c r="AC351" s="1724">
        <f t="shared" si="228"/>
        <v>0</v>
      </c>
      <c r="AD351" s="1535" t="b">
        <f t="shared" si="229"/>
        <v>1</v>
      </c>
      <c r="AE351" s="1535" t="b">
        <f t="shared" si="230"/>
        <v>1</v>
      </c>
      <c r="AF351" s="1535" t="b">
        <f t="shared" si="231"/>
        <v>1</v>
      </c>
    </row>
    <row r="352" spans="1:32" ht="18" customHeight="1">
      <c r="A352" s="2039"/>
      <c r="B352" s="1763"/>
      <c r="C352" s="3388" t="s">
        <v>235</v>
      </c>
      <c r="D352" s="2030" t="s">
        <v>857</v>
      </c>
      <c r="E352" s="3388">
        <f>VLOOKUP(F352,B.BasicInfomation!B:C,2,0)</f>
        <v>37</v>
      </c>
      <c r="F352" s="3388" t="str">
        <f t="shared" si="234"/>
        <v>MAS65 Heatsink Cover</v>
      </c>
      <c r="G352" s="3738">
        <v>1220</v>
      </c>
      <c r="H352" s="3739">
        <v>1</v>
      </c>
      <c r="I352" s="2787"/>
      <c r="J352" s="4732">
        <f>IFERROR(J147/$G352/$H352/'4. L PLAN'!F$109,0)</f>
        <v>3.7605083318467218</v>
      </c>
      <c r="K352" s="5401">
        <f>IFERROR(K147/$G352/$H352/'4. L PLAN'!G$109,0)</f>
        <v>4.1127264425693255</v>
      </c>
      <c r="L352" s="6234">
        <f>IFERROR(L147/$G352/$H352/'4. L PLAN'!H$109,0)</f>
        <v>2.5309085800426621</v>
      </c>
      <c r="M352" s="4732">
        <f>IFERROR(M147/$G352/$H352/'4. L PLAN'!I$109,0)</f>
        <v>4.4866106646210824</v>
      </c>
      <c r="N352" s="3740">
        <f>IFERROR(N147/$G352/$H352/'4. L PLAN'!J$109,0)</f>
        <v>2.6321449232443683</v>
      </c>
      <c r="O352" s="2038">
        <f>IFERROR(O147/$G352/$H352/'4. L PLAN'!K$109,0)</f>
        <v>3.6532460158353901</v>
      </c>
      <c r="P352" s="2037">
        <f>IFERROR(P147/$G352/$H352/'4. L PLAN'!L$109,0)</f>
        <v>3.6376231233659904</v>
      </c>
      <c r="Q352" s="3740">
        <f>IFERROR(Q147/$G352/$H352/'4. L PLAN'!M$109,0)</f>
        <v>2.5309085800426621</v>
      </c>
      <c r="R352" s="2038">
        <f>IFERROR(R147/$G352/$H352/'4. L PLAN'!N$109,0)</f>
        <v>2.7418176283795503</v>
      </c>
      <c r="S352" s="2037">
        <f>IFERROR(S147/$G352/$H352/'4. L PLAN'!O$109,0)</f>
        <v>2.4371712252262672</v>
      </c>
      <c r="T352" s="3740">
        <f>IFERROR(T147/$G352/$H352/'4. L PLAN'!P$109,0)</f>
        <v>2.6321449232443683</v>
      </c>
      <c r="U352" s="2038">
        <f>IFERROR(U147/$G352/$H352/'4. L PLAN'!Q$109,0)</f>
        <v>2.4371712252262672</v>
      </c>
      <c r="V352" s="1905">
        <f t="shared" si="233"/>
        <v>3.132748471970388</v>
      </c>
      <c r="Z352" s="5"/>
      <c r="AA352" s="1658">
        <f t="shared" si="226"/>
        <v>1220</v>
      </c>
      <c r="AB352" s="1765">
        <f t="shared" si="227"/>
        <v>1</v>
      </c>
      <c r="AC352" s="1724">
        <f t="shared" si="228"/>
        <v>0</v>
      </c>
      <c r="AD352" s="1535" t="b">
        <f t="shared" si="229"/>
        <v>1</v>
      </c>
      <c r="AE352" s="1535" t="b">
        <f t="shared" si="230"/>
        <v>1</v>
      </c>
      <c r="AF352" s="1535" t="b">
        <f t="shared" si="231"/>
        <v>1</v>
      </c>
    </row>
    <row r="353" spans="1:32" ht="18" customHeight="1">
      <c r="A353" s="2039"/>
      <c r="B353" s="1763"/>
      <c r="C353" s="1658" t="s">
        <v>401</v>
      </c>
      <c r="D353" s="1735" t="str">
        <f>D234</f>
        <v>CAM HSG</v>
      </c>
      <c r="E353" s="1658">
        <f>VLOOKUP(F353,B.BasicInfomation!B:C,2,0)</f>
        <v>41</v>
      </c>
      <c r="F353" s="2013" t="str">
        <f t="shared" si="234"/>
        <v>FCA Housing</v>
      </c>
      <c r="G353" s="1863">
        <v>1030</v>
      </c>
      <c r="H353" s="1765">
        <v>1</v>
      </c>
      <c r="I353" s="1938"/>
      <c r="J353" s="4727">
        <f>IFERROR(J148/$G353/$H353/'4. L PLAN'!F$109,0)</f>
        <v>2.386012122153276</v>
      </c>
      <c r="K353" s="5397">
        <f>IFERROR(K148/$G353/$H353/'4. L PLAN'!G$109,0)</f>
        <v>3.8772696984990733</v>
      </c>
      <c r="L353" s="6228">
        <f>IFERROR(L148/$G353/$H353/'4. L PLAN'!H$109,0)</f>
        <v>2.4743829414922862</v>
      </c>
      <c r="M353" s="4727">
        <f>IFERROR(M148/$G353/$H353/'4. L PLAN'!I$109,0)</f>
        <v>3.9099470995669225</v>
      </c>
      <c r="N353" s="2002">
        <f>IFERROR(N148/$G353/$H353/'4. L PLAN'!J$109,0)</f>
        <v>5.8680127565122202</v>
      </c>
      <c r="O353" s="2003">
        <f>IFERROR(O148/$G353/$H353/'4. L PLAN'!K$109,0)</f>
        <v>2.7529061086305004</v>
      </c>
      <c r="P353" s="2001">
        <f>IFERROR(P148/$G353/$H353/'4. L PLAN'!L$109,0)</f>
        <v>2.0486869693353231</v>
      </c>
      <c r="Q353" s="2002">
        <f>IFERROR(Q148/$G353/$H353/'4. L PLAN'!M$109,0)</f>
        <v>2.1274826220020659</v>
      </c>
      <c r="R353" s="2003">
        <f>IFERROR(R148/$G353/$H353/'4. L PLAN'!N$109,0)</f>
        <v>2.3047728405022383</v>
      </c>
      <c r="S353" s="2001">
        <f>IFERROR(S148/$G353/$H353/'4. L PLAN'!O$109,0)</f>
        <v>2.0486869693353231</v>
      </c>
      <c r="T353" s="2002">
        <f>IFERROR(T148/$G353/$H353/'4. L PLAN'!P$109,0)</f>
        <v>2.2125819268821489</v>
      </c>
      <c r="U353" s="2003">
        <f>IFERROR(U148/$G353/$H353/'4. L PLAN'!Q$109,0)</f>
        <v>2.0486869693353231</v>
      </c>
      <c r="V353" s="1858">
        <f t="shared" si="233"/>
        <v>2.8382857520205587</v>
      </c>
      <c r="Z353" s="5"/>
      <c r="AA353" s="1658">
        <f t="shared" si="226"/>
        <v>1030</v>
      </c>
      <c r="AB353" s="1765">
        <f t="shared" si="227"/>
        <v>1</v>
      </c>
      <c r="AC353" s="1724">
        <f t="shared" si="228"/>
        <v>0</v>
      </c>
      <c r="AD353" s="1535" t="b">
        <f t="shared" si="229"/>
        <v>1</v>
      </c>
      <c r="AE353" s="1535" t="b">
        <f t="shared" si="230"/>
        <v>1</v>
      </c>
      <c r="AF353" s="1535" t="b">
        <f t="shared" si="231"/>
        <v>1</v>
      </c>
    </row>
    <row r="354" spans="1:32" ht="18" customHeight="1">
      <c r="A354" s="2039"/>
      <c r="B354" s="1763"/>
      <c r="C354" s="1658"/>
      <c r="D354" s="1658"/>
      <c r="E354" s="1658">
        <f>VLOOKUP(F354,B.BasicInfomation!B:C,2,0)</f>
        <v>42</v>
      </c>
      <c r="F354" s="2013" t="str">
        <f t="shared" si="234"/>
        <v>GM EU2L Housing</v>
      </c>
      <c r="G354" s="1863">
        <v>1000</v>
      </c>
      <c r="H354" s="1765">
        <v>1</v>
      </c>
      <c r="I354" s="1938"/>
      <c r="J354" s="4727">
        <f>IFERROR(J149/$G354/$H354/'4. L PLAN'!F$109,0)</f>
        <v>2.3689027530800502</v>
      </c>
      <c r="K354" s="5397">
        <f>IFERROR(K149/$G354/$H354/'4. L PLAN'!G$109,0)</f>
        <v>3.3789396877234092</v>
      </c>
      <c r="L354" s="6228">
        <f>IFERROR(L149/$G354/$H354/'4. L PLAN'!H$109,0)</f>
        <v>2.6297891690976112</v>
      </c>
      <c r="M354" s="4727">
        <f>IFERROR(M149/$G354/$H354/'4. L PLAN'!I$109,0)</f>
        <v>0.44036901328877848</v>
      </c>
      <c r="N354" s="2002">
        <f>IFERROR(N149/$G354/$H354/'4. L PLAN'!J$109,0)</f>
        <v>3.8603802450462741</v>
      </c>
      <c r="O354" s="2003">
        <f>IFERROR(O149/$G354/$H354/'4. L PLAN'!K$109,0)</f>
        <v>1.4836891512676706</v>
      </c>
      <c r="P354" s="2001">
        <f>IFERROR(P149/$G354/$H354/'4. L PLAN'!L$109,0)</f>
        <v>2.3790103440464625</v>
      </c>
      <c r="Q354" s="2002">
        <f>IFERROR(Q149/$G354/$H354/'4. L PLAN'!M$109,0)</f>
        <v>1.7286661662605682</v>
      </c>
      <c r="R354" s="2003">
        <f>IFERROR(R149/$G354/$H354/'4. L PLAN'!N$109,0)</f>
        <v>1.8111507903474007</v>
      </c>
      <c r="S354" s="2001">
        <f>IFERROR(S149/$G354/$H354/'4. L PLAN'!O$109,0)</f>
        <v>1.609911813642134</v>
      </c>
      <c r="T354" s="2002">
        <f>IFERROR(T149/$G354/$H354/'4. L PLAN'!P$109,0)</f>
        <v>1.7387047587335047</v>
      </c>
      <c r="U354" s="2003">
        <f>IFERROR(U149/$G354/$H354/'4. L PLAN'!Q$109,0)</f>
        <v>1.6646414934361029</v>
      </c>
      <c r="V354" s="1858">
        <f t="shared" si="233"/>
        <v>2.0911796154974973</v>
      </c>
      <c r="Z354" s="5"/>
      <c r="AA354" s="1658">
        <f t="shared" si="226"/>
        <v>1000</v>
      </c>
      <c r="AB354" s="1765">
        <f t="shared" si="227"/>
        <v>1</v>
      </c>
      <c r="AC354" s="1724">
        <f t="shared" si="228"/>
        <v>0</v>
      </c>
      <c r="AD354" s="1535" t="b">
        <f t="shared" si="229"/>
        <v>1</v>
      </c>
      <c r="AE354" s="1535" t="b">
        <f t="shared" si="230"/>
        <v>1</v>
      </c>
      <c r="AF354" s="1535" t="b">
        <f t="shared" si="231"/>
        <v>1</v>
      </c>
    </row>
    <row r="355" spans="1:32" ht="18" customHeight="1">
      <c r="A355" s="2039"/>
      <c r="B355" s="1763"/>
      <c r="C355" s="1658"/>
      <c r="D355" s="1658"/>
      <c r="E355" s="1658">
        <f>VLOOKUP(F355,B.BasicInfomation!B:C,2,0)</f>
        <v>43</v>
      </c>
      <c r="F355" s="2013" t="str">
        <f t="shared" si="234"/>
        <v>GM ACP Housing</v>
      </c>
      <c r="G355" s="1863">
        <v>570</v>
      </c>
      <c r="H355" s="1765">
        <v>1</v>
      </c>
      <c r="I355" s="1938"/>
      <c r="J355" s="4727">
        <f>IFERROR(J150/$G355/$H355/'4. L PLAN'!F$109,0)</f>
        <v>9.6846977668922456</v>
      </c>
      <c r="K355" s="5397">
        <f>IFERROR(K150/$G355/$H355/'4. L PLAN'!G$109,0)</f>
        <v>0</v>
      </c>
      <c r="L355" s="6228">
        <f>IFERROR(L150/$G355/$H355/'4. L PLAN'!H$109,0)</f>
        <v>12.618081437163678</v>
      </c>
      <c r="M355" s="4727">
        <f>IFERROR(M150/$G355/$H355/'4. L PLAN'!I$109,0)</f>
        <v>1.8085269854368555</v>
      </c>
      <c r="N355" s="2002">
        <f>IFERROR(N150/$G355/$H355/'4. L PLAN'!J$109,0)</f>
        <v>3.1516495420968185</v>
      </c>
      <c r="O355" s="2003">
        <f>IFERROR(O150/$G355/$H355/'4. L PLAN'!K$109,0)</f>
        <v>3.8996694028059404</v>
      </c>
      <c r="P355" s="2001">
        <f>IFERROR(P150/$G355/$H355/'4. L PLAN'!L$109,0)</f>
        <v>8.0166848941450173</v>
      </c>
      <c r="Q355" s="2002">
        <f>IFERROR(Q150/$G355/$H355/'4. L PLAN'!M$109,0)</f>
        <v>6.5922886867450217</v>
      </c>
      <c r="R355" s="2003">
        <f>IFERROR(R150/$G355/$H355/'4. L PLAN'!N$109,0)</f>
        <v>10.658592420127999</v>
      </c>
      <c r="S355" s="2001">
        <f>IFERROR(S150/$G355/$H355/'4. L PLAN'!O$109,0)</f>
        <v>9.4743043734471097</v>
      </c>
      <c r="T355" s="2002">
        <f>IFERROR(T150/$G355/$H355/'4. L PLAN'!P$109,0)</f>
        <v>9.6647029964617648</v>
      </c>
      <c r="U355" s="2003">
        <f>IFERROR(U150/$G355/$H355/'4. L PLAN'!Q$109,0)</f>
        <v>9.3818662967675905</v>
      </c>
      <c r="V355" s="1858">
        <f t="shared" si="233"/>
        <v>7.0792554001741719</v>
      </c>
      <c r="W355" s="1988"/>
      <c r="Y355" s="1988"/>
      <c r="Z355" s="5"/>
      <c r="AA355" s="1658">
        <f t="shared" si="226"/>
        <v>570</v>
      </c>
      <c r="AB355" s="1765">
        <f t="shared" si="227"/>
        <v>1</v>
      </c>
      <c r="AC355" s="1724">
        <f t="shared" si="228"/>
        <v>0</v>
      </c>
      <c r="AD355" s="1535" t="b">
        <f t="shared" si="229"/>
        <v>1</v>
      </c>
      <c r="AE355" s="1535" t="b">
        <f t="shared" si="230"/>
        <v>1</v>
      </c>
      <c r="AF355" s="1535" t="b">
        <f t="shared" si="231"/>
        <v>1</v>
      </c>
    </row>
    <row r="356" spans="1:32" ht="18" customHeight="1">
      <c r="A356" s="2039"/>
      <c r="B356" s="1763"/>
      <c r="C356" s="1658"/>
      <c r="D356" s="2000"/>
      <c r="E356" s="1658">
        <f>VLOOKUP(F356,B.BasicInfomation!B:C,2,0)</f>
        <v>41</v>
      </c>
      <c r="F356" s="2013" t="str">
        <f t="shared" si="234"/>
        <v>FCA Cover</v>
      </c>
      <c r="G356" s="1863">
        <v>570</v>
      </c>
      <c r="H356" s="1765">
        <v>1</v>
      </c>
      <c r="I356" s="1938"/>
      <c r="J356" s="4727">
        <f>IFERROR(J151/$G356/$H356/'4. L PLAN'!F$109,0)</f>
        <v>4.314467112857999</v>
      </c>
      <c r="K356" s="5397">
        <f>IFERROR(K151/$G356/$H356/'4. L PLAN'!G$109,0)</f>
        <v>7.0110090583942482</v>
      </c>
      <c r="L356" s="6228">
        <f>IFERROR(L151/$G356/$H356/'4. L PLAN'!H$109,0)</f>
        <v>4.314467112857999</v>
      </c>
      <c r="M356" s="4727">
        <f>IFERROR(M151/$G356/$H356/'4. L PLAN'!I$109,0)</f>
        <v>4.4953112971292848</v>
      </c>
      <c r="N356" s="2002">
        <f>IFERROR(N151/$G356/$H356/'4. L PLAN'!J$109,0)</f>
        <v>8.4693108470446479</v>
      </c>
      <c r="O356" s="2003">
        <f>IFERROR(O151/$G356/$H356/'4. L PLAN'!K$109,0)</f>
        <v>4.9268587139057809</v>
      </c>
      <c r="P356" s="2001">
        <f>IFERROR(P151/$G356/$H356/'4. L PLAN'!L$109,0)</f>
        <v>3.6665221582715954</v>
      </c>
      <c r="Q356" s="2002">
        <f>IFERROR(Q151/$G356/$H356/'4. L PLAN'!M$109,0)</f>
        <v>3.8075422412820412</v>
      </c>
      <c r="R356" s="2003">
        <f>IFERROR(R151/$G356/$H356/'4. L PLAN'!N$109,0)</f>
        <v>4.1248374280555451</v>
      </c>
      <c r="S356" s="2001">
        <f>IFERROR(S151/$G356/$H356/'4. L PLAN'!O$109,0)</f>
        <v>3.6665221582715954</v>
      </c>
      <c r="T356" s="2002">
        <f>IFERROR(T151/$G356/$H356/'4. L PLAN'!P$109,0)</f>
        <v>3.9598439309333231</v>
      </c>
      <c r="U356" s="2003">
        <f>IFERROR(U151/$G356/$H356/'4. L PLAN'!Q$109,0)</f>
        <v>3.6665221582715954</v>
      </c>
      <c r="V356" s="1858">
        <f t="shared" si="233"/>
        <v>4.701934518106305</v>
      </c>
      <c r="W356" s="1988"/>
      <c r="Y356" s="1988"/>
      <c r="Z356" s="5"/>
      <c r="AA356" s="1658">
        <f t="shared" si="226"/>
        <v>570</v>
      </c>
      <c r="AB356" s="1765">
        <f t="shared" si="227"/>
        <v>1</v>
      </c>
      <c r="AC356" s="1724">
        <f t="shared" si="228"/>
        <v>0</v>
      </c>
      <c r="AD356" s="1535" t="b">
        <f t="shared" si="229"/>
        <v>1</v>
      </c>
      <c r="AE356" s="1535" t="b">
        <f t="shared" si="230"/>
        <v>1</v>
      </c>
      <c r="AF356" s="1535" t="b">
        <f t="shared" si="231"/>
        <v>1</v>
      </c>
    </row>
    <row r="357" spans="1:32" ht="18" customHeight="1">
      <c r="A357" s="2039"/>
      <c r="B357" s="1763"/>
      <c r="C357" s="1658"/>
      <c r="D357" s="2000"/>
      <c r="E357" s="1658">
        <f>VLOOKUP(F357,B.BasicInfomation!B:C,2,0)</f>
        <v>42</v>
      </c>
      <c r="F357" s="2013" t="str">
        <f t="shared" si="234"/>
        <v>GM EU2L Cover</v>
      </c>
      <c r="G357" s="1863">
        <v>570</v>
      </c>
      <c r="H357" s="1765">
        <v>1</v>
      </c>
      <c r="I357" s="1938"/>
      <c r="J357" s="4727">
        <f>IFERROR(J152/$G357/$H357/'4. L PLAN'!F$109,0)</f>
        <v>4.0535979001033855</v>
      </c>
      <c r="K357" s="5397">
        <f>IFERROR(K152/$G357/$H357/'4. L PLAN'!G$109,0)</f>
        <v>5.7904573397846351</v>
      </c>
      <c r="L357" s="6228">
        <f>IFERROR(L152/$G357/$H357/'4. L PLAN'!H$109,0)</f>
        <v>4.5437679411019172</v>
      </c>
      <c r="M357" s="4727">
        <f>IFERROR(M152/$G357/$H357/'4. L PLAN'!I$109,0)</f>
        <v>0.77591315839385833</v>
      </c>
      <c r="N357" s="2002">
        <f>IFERROR(N152/$G357/$H357/'4. L PLAN'!J$109,0)</f>
        <v>6.6208522835773191</v>
      </c>
      <c r="O357" s="2003">
        <f>IFERROR(O152/$G357/$H357/'4. L PLAN'!K$109,0)</f>
        <v>4.6032121769162213</v>
      </c>
      <c r="P357" s="2001">
        <f>IFERROR(P152/$G357/$H357/'4. L PLAN'!L$109,0)</f>
        <v>4.8520240602908817</v>
      </c>
      <c r="Q357" s="2002">
        <f>IFERROR(Q152/$G357/$H357/'4. L PLAN'!M$109,0)</f>
        <v>5.0386403703020699</v>
      </c>
      <c r="R357" s="2003">
        <f>IFERROR(R152/$G357/$H357/'4. L PLAN'!N$109,0)</f>
        <v>5.3490894485562643</v>
      </c>
      <c r="S357" s="2001">
        <f>IFERROR(S152/$G357/$H357/'4. L PLAN'!O$109,0)</f>
        <v>4.7547461764944572</v>
      </c>
      <c r="T357" s="2002">
        <f>IFERROR(T152/$G357/$H357/'4. L PLAN'!P$109,0)</f>
        <v>5.1351258706140142</v>
      </c>
      <c r="U357" s="2003">
        <f>IFERROR(U152/$G357/$H357/'4. L PLAN'!Q$109,0)</f>
        <v>4.8520240602908817</v>
      </c>
      <c r="V357" s="1858">
        <f t="shared" si="233"/>
        <v>4.6974542322021584</v>
      </c>
      <c r="W357" s="1988"/>
      <c r="Y357" s="1988"/>
      <c r="Z357" s="5"/>
      <c r="AA357" s="1658">
        <f t="shared" si="226"/>
        <v>570</v>
      </c>
      <c r="AB357" s="1765">
        <f t="shared" si="227"/>
        <v>1</v>
      </c>
      <c r="AC357" s="1724">
        <f t="shared" si="228"/>
        <v>0</v>
      </c>
      <c r="AD357" s="1535" t="b">
        <f t="shared" si="229"/>
        <v>1</v>
      </c>
      <c r="AE357" s="1535" t="b">
        <f t="shared" si="230"/>
        <v>1</v>
      </c>
      <c r="AF357" s="1535" t="b">
        <f t="shared" si="231"/>
        <v>1</v>
      </c>
    </row>
    <row r="358" spans="1:32" ht="18" customHeight="1">
      <c r="A358" s="2039"/>
      <c r="B358" s="1763"/>
      <c r="C358" s="1658"/>
      <c r="D358" s="2020"/>
      <c r="E358" s="1753">
        <f>VLOOKUP(F358,B.BasicInfomation!B:C,2,0)</f>
        <v>43</v>
      </c>
      <c r="F358" s="3543" t="str">
        <f t="shared" si="234"/>
        <v>GM ACP Cover</v>
      </c>
      <c r="G358" s="3707">
        <v>570</v>
      </c>
      <c r="H358" s="2021">
        <v>1</v>
      </c>
      <c r="I358" s="1946"/>
      <c r="J358" s="4731">
        <f>IFERROR(J153/$G358/$H358/'4. L PLAN'!F$109,0)</f>
        <v>9.6064971013391744</v>
      </c>
      <c r="K358" s="5400">
        <f>IFERROR(K153/$G358/$H358/'4. L PLAN'!G$109,0)</f>
        <v>0</v>
      </c>
      <c r="L358" s="6233">
        <f>IFERROR(L153/$G358/$H358/'4. L PLAN'!H$109,0)</f>
        <v>12.475397839276017</v>
      </c>
      <c r="M358" s="4731">
        <f>IFERROR(M153/$G358/$H358/'4. L PLAN'!I$109,0)</f>
        <v>1.9363007977571365</v>
      </c>
      <c r="N358" s="2023">
        <f>IFERROR(N153/$G358/$H358/'4. L PLAN'!J$109,0)</f>
        <v>3.1445697496302705</v>
      </c>
      <c r="O358" s="2024">
        <f>IFERROR(O153/$G358/$H358/'4. L PLAN'!K$109,0)</f>
        <v>3.9675057576725852</v>
      </c>
      <c r="P358" s="2022">
        <f>IFERROR(P153/$G358/$H358/'4. L PLAN'!L$109,0)</f>
        <v>8.037954305261632</v>
      </c>
      <c r="Q358" s="2023">
        <f>IFERROR(Q153/$G358/$H358/'4. L PLAN'!M$109,0)</f>
        <v>6.6438329561148475</v>
      </c>
      <c r="R358" s="2024">
        <f>IFERROR(R153/$G358/$H358/'4. L PLAN'!N$109,0)</f>
        <v>10.611939549381189</v>
      </c>
      <c r="S358" s="2022">
        <f>IFERROR(S153/$G358/$H358/'4. L PLAN'!O$109,0)</f>
        <v>9.4328351550055007</v>
      </c>
      <c r="T358" s="2023">
        <f>IFERROR(T153/$G358/$H358/'4. L PLAN'!P$109,0)</f>
        <v>9.6295646456008122</v>
      </c>
      <c r="U358" s="2024">
        <f>IFERROR(U153/$G358/$H358/'4. L PLAN'!Q$109,0)</f>
        <v>9.3799273168700577</v>
      </c>
      <c r="V358" s="2025">
        <f t="shared" si="233"/>
        <v>7.072193764492436</v>
      </c>
      <c r="W358" s="1988"/>
      <c r="Y358" s="1988"/>
      <c r="Z358" s="5"/>
      <c r="AA358" s="1658">
        <f t="shared" si="226"/>
        <v>570</v>
      </c>
      <c r="AB358" s="1765">
        <f t="shared" si="227"/>
        <v>1</v>
      </c>
      <c r="AC358" s="1724">
        <f t="shared" si="228"/>
        <v>0</v>
      </c>
      <c r="AD358" s="1535" t="b">
        <f t="shared" si="229"/>
        <v>1</v>
      </c>
      <c r="AE358" s="1535" t="b">
        <f t="shared" si="230"/>
        <v>1</v>
      </c>
      <c r="AF358" s="1535" t="b">
        <f t="shared" si="231"/>
        <v>1</v>
      </c>
    </row>
    <row r="359" spans="1:32" ht="18" customHeight="1">
      <c r="A359" s="2039"/>
      <c r="B359" s="1763"/>
      <c r="C359" s="1658"/>
      <c r="D359" s="2014" t="str">
        <f>D240</f>
        <v>CAM L.Mount</v>
      </c>
      <c r="E359" s="1746">
        <f>VLOOKUP(F359,B.BasicInfomation!B:C,2,0)</f>
        <v>44</v>
      </c>
      <c r="F359" s="2029" t="str">
        <f t="shared" si="234"/>
        <v>Lens Mount</v>
      </c>
      <c r="G359" s="3706">
        <v>2040</v>
      </c>
      <c r="H359" s="2015">
        <v>1</v>
      </c>
      <c r="I359" s="1954"/>
      <c r="J359" s="4730">
        <f>IFERROR(J154/$G359/$H359/'4. L PLAN'!F$109,0)</f>
        <v>3.8947755401730269</v>
      </c>
      <c r="K359" s="5399">
        <f>IFERROR(K154/$G359/$H359/'4. L PLAN'!G$109,0)</f>
        <v>7.3614536952417104</v>
      </c>
      <c r="L359" s="6232">
        <f>IFERROR(L154/$G359/$H359/'4. L PLAN'!H$109,0)</f>
        <v>4.7280156083535054</v>
      </c>
      <c r="M359" s="4727">
        <f>IFERROR(M154/$G359/$H359/'4. L PLAN'!I$109,0)</f>
        <v>4.5016823232495806</v>
      </c>
      <c r="N359" s="2002">
        <f>IFERROR(N154/$G359/$H359/'4. L PLAN'!J$109,0)</f>
        <v>7.4738423012759334</v>
      </c>
      <c r="O359" s="2003">
        <f>IFERROR(O154/$G359/$H359/'4. L PLAN'!K$109,0)</f>
        <v>3.7545098184258161</v>
      </c>
      <c r="P359" s="2001">
        <f>IFERROR(P154/$G359/$H359/'4. L PLAN'!L$109,0)</f>
        <v>5.6537170841968818</v>
      </c>
      <c r="Q359" s="2002">
        <f>IFERROR(Q154/$G359/$H359/'4. L PLAN'!M$109,0)</f>
        <v>6.004947065075096</v>
      </c>
      <c r="R359" s="2003">
        <f>IFERROR(R154/$G359/$H359/'4. L PLAN'!N$109,0)</f>
        <v>6.4175685377387213</v>
      </c>
      <c r="S359" s="2001">
        <f>IFERROR(S154/$G359/$H359/'4. L PLAN'!O$109,0)</f>
        <v>5.5756808328552827</v>
      </c>
      <c r="T359" s="2002">
        <f>IFERROR(T154/$G359/$H359/'4. L PLAN'!P$109,0)</f>
        <v>5.7975886200982609</v>
      </c>
      <c r="U359" s="2003">
        <f>IFERROR(U154/$G359/$H359/'4. L PLAN'!Q$109,0)</f>
        <v>5.3681376112020933</v>
      </c>
      <c r="V359" s="1858">
        <f t="shared" si="233"/>
        <v>5.5443265864904925</v>
      </c>
      <c r="Z359" s="5"/>
      <c r="AA359" s="1658">
        <f t="shared" si="226"/>
        <v>2040</v>
      </c>
      <c r="AB359" s="1765">
        <f t="shared" si="227"/>
        <v>1</v>
      </c>
      <c r="AC359" s="1724">
        <f t="shared" si="228"/>
        <v>0</v>
      </c>
      <c r="AD359" s="1535" t="b">
        <f t="shared" si="229"/>
        <v>1</v>
      </c>
      <c r="AE359" s="1535" t="b">
        <f t="shared" si="230"/>
        <v>1</v>
      </c>
      <c r="AF359" s="1535" t="b">
        <f t="shared" si="231"/>
        <v>1</v>
      </c>
    </row>
    <row r="360" spans="1:32" s="1569" customFormat="1" ht="18" customHeight="1">
      <c r="A360" s="2039"/>
      <c r="B360" s="1763"/>
      <c r="C360" s="1658"/>
      <c r="D360" s="2014" t="str">
        <f>D241</f>
        <v>Heatsink</v>
      </c>
      <c r="E360" s="1746">
        <f>VLOOKUP(F360,B.BasicInfomation!B:C,2,0)</f>
        <v>45</v>
      </c>
      <c r="F360" s="2029" t="str">
        <f t="shared" si="234"/>
        <v>IPM 1.0 Housing</v>
      </c>
      <c r="G360" s="3706">
        <v>640</v>
      </c>
      <c r="H360" s="2015">
        <v>1</v>
      </c>
      <c r="I360" s="3737"/>
      <c r="J360" s="4730">
        <f>IFERROR(J155/$G360/$H360/'4. L PLAN'!F$109,0)</f>
        <v>0.7713810536470409</v>
      </c>
      <c r="K360" s="5399">
        <f>IFERROR(K155/$G360/$H360/'4. L PLAN'!G$109,0)</f>
        <v>1.1838556448333057</v>
      </c>
      <c r="L360" s="6232">
        <f>IFERROR(L155/$G360/$H360/'4. L PLAN'!H$109,0)</f>
        <v>0.81423555662743208</v>
      </c>
      <c r="M360" s="4730">
        <f>IFERROR(M155/$G360/$H360/'4. L PLAN'!I$109,0)</f>
        <v>1.3963059360874555</v>
      </c>
      <c r="N360" s="2017">
        <f>IFERROR(N155/$G360/$H360/'4. L PLAN'!J$109,0)</f>
        <v>1.0922215322284099</v>
      </c>
      <c r="O360" s="2018">
        <f>IFERROR(O155/$G360/$H360/'4. L PLAN'!K$109,0)</f>
        <v>1.2690073892076876</v>
      </c>
      <c r="P360" s="2016">
        <f>IFERROR(P155/$G360/$H360/'4. L PLAN'!L$109,0)</f>
        <v>1.0218507776442489</v>
      </c>
      <c r="Q360" s="2017">
        <f>IFERROR(Q155/$G360/$H360/'4. L PLAN'!M$109,0)</f>
        <v>1.0611527306305661</v>
      </c>
      <c r="R360" s="2018">
        <f>IFERROR(R155/$G360/$H360/'4. L PLAN'!N$109,0)</f>
        <v>1.14958212484978</v>
      </c>
      <c r="S360" s="2016">
        <f>IFERROR(S155/$G360/$H360/'4. L PLAN'!O$109,0)</f>
        <v>1.0218507776442489</v>
      </c>
      <c r="T360" s="2017">
        <f>IFERROR(T155/$G360/$H360/'4. L PLAN'!P$109,0)</f>
        <v>1.1035988398557888</v>
      </c>
      <c r="U360" s="2018">
        <f>IFERROR(U155/$G360/$H360/'4. L PLAN'!Q$109,0)</f>
        <v>1.0218507776442489</v>
      </c>
      <c r="V360" s="2031">
        <f t="shared" si="233"/>
        <v>1.075574428408351</v>
      </c>
      <c r="W360" s="1535"/>
      <c r="X360" s="1535"/>
      <c r="Y360" s="1535"/>
      <c r="Z360" s="5"/>
      <c r="AA360" s="1658">
        <f t="shared" si="226"/>
        <v>640</v>
      </c>
      <c r="AB360" s="1765">
        <f t="shared" si="227"/>
        <v>1</v>
      </c>
      <c r="AC360" s="1724">
        <f t="shared" si="228"/>
        <v>0</v>
      </c>
      <c r="AD360" s="1535" t="b">
        <f t="shared" si="229"/>
        <v>1</v>
      </c>
      <c r="AE360" s="1535" t="b">
        <f t="shared" si="230"/>
        <v>1</v>
      </c>
      <c r="AF360" s="1535" t="b">
        <f t="shared" si="231"/>
        <v>1</v>
      </c>
    </row>
    <row r="361" spans="1:32" s="1569" customFormat="1" ht="18" customHeight="1">
      <c r="A361" s="2039"/>
      <c r="B361" s="1763"/>
      <c r="C361" s="1658"/>
      <c r="D361" s="2000"/>
      <c r="E361" s="1658">
        <f>VLOOKUP(F361,B.BasicInfomation!B:C,2,0)</f>
        <v>46</v>
      </c>
      <c r="F361" s="2013" t="str">
        <f t="shared" si="234"/>
        <v>IPM 2.0  Base Housing</v>
      </c>
      <c r="G361" s="1863">
        <v>510</v>
      </c>
      <c r="H361" s="1765">
        <v>1</v>
      </c>
      <c r="I361" s="3674"/>
      <c r="J361" s="4727">
        <f>IFERROR(J156/$G361/$H361/'4. L PLAN'!F$109,0)</f>
        <v>0.36294835435970718</v>
      </c>
      <c r="K361" s="5402">
        <f>IFERROR(K156/$G361/$H361/'4. L PLAN'!G$109,0)</f>
        <v>0.2172914489916668</v>
      </c>
      <c r="L361" s="6235">
        <f>IFERROR(L156/$G361/$H361/'4. L PLAN'!H$109,0)</f>
        <v>0.40115344429230804</v>
      </c>
      <c r="M361" s="6236">
        <f>IFERROR(M156/$G361/$H361/'4. L PLAN'!I$109,0)</f>
        <v>0.50380800018759642</v>
      </c>
      <c r="N361" s="2032">
        <f>IFERROR(N156/$G361/$H361/'4. L PLAN'!J$109,0)</f>
        <v>0.63682286213494144</v>
      </c>
      <c r="O361" s="2033">
        <f>IFERROR(O156/$G361/$H361/'4. L PLAN'!K$109,0)</f>
        <v>0.47625641398980673</v>
      </c>
      <c r="P361" s="2034">
        <f>IFERROR(P156/$G361/$H361/'4. L PLAN'!L$109,0)</f>
        <v>0.65516755363677104</v>
      </c>
      <c r="Q361" s="2032">
        <f>IFERROR(Q156/$G361/$H361/'4. L PLAN'!M$109,0)</f>
        <v>0.54429304455977912</v>
      </c>
      <c r="R361" s="2033">
        <f>IFERROR(R156/$G361/$H361/'4. L PLAN'!N$109,0)</f>
        <v>0.58965079827309397</v>
      </c>
      <c r="S361" s="2034">
        <f>IFERROR(S156/$G361/$H361/'4. L PLAN'!O$109,0)</f>
        <v>0.5241340429094169</v>
      </c>
      <c r="T361" s="2032">
        <f>IFERROR(T156/$G361/$H361/'4. L PLAN'!P$109,0)</f>
        <v>0.42454857475662772</v>
      </c>
      <c r="U361" s="2033">
        <f>IFERROR(U156/$G361/$H361/'4. L PLAN'!Q$109,0)</f>
        <v>0.3931005321820627</v>
      </c>
      <c r="V361" s="2035">
        <f t="shared" si="233"/>
        <v>0.47743125585614815</v>
      </c>
      <c r="W361" s="1535"/>
      <c r="X361" s="1535"/>
      <c r="Y361" s="1535"/>
      <c r="AA361" s="1658">
        <f t="shared" si="226"/>
        <v>510</v>
      </c>
      <c r="AB361" s="1765">
        <f t="shared" si="227"/>
        <v>1</v>
      </c>
      <c r="AC361" s="1724">
        <f t="shared" si="228"/>
        <v>0</v>
      </c>
      <c r="AD361" s="1535" t="b">
        <f t="shared" si="229"/>
        <v>1</v>
      </c>
      <c r="AE361" s="1535" t="b">
        <f t="shared" si="230"/>
        <v>1</v>
      </c>
      <c r="AF361" s="1535" t="b">
        <f t="shared" si="231"/>
        <v>1</v>
      </c>
    </row>
    <row r="362" spans="1:32" s="1569" customFormat="1" ht="18" customHeight="1">
      <c r="A362" s="2039"/>
      <c r="B362" s="2127"/>
      <c r="C362" s="1658"/>
      <c r="D362" s="2000"/>
      <c r="E362" s="1658" t="str">
        <f>VLOOKUP(F362,B.BasicInfomation!B:C,2,0)</f>
        <v/>
      </c>
      <c r="F362" s="2013" t="str">
        <f t="shared" si="234"/>
        <v>IPM 2.0 Advanced HSG</v>
      </c>
      <c r="G362" s="1863">
        <v>510</v>
      </c>
      <c r="H362" s="1765">
        <v>1</v>
      </c>
      <c r="I362" s="3674"/>
      <c r="J362" s="4727">
        <f>IFERROR(J157/$G362/$H362/'4. L PLAN'!F$109,0)</f>
        <v>0</v>
      </c>
      <c r="K362" s="5402">
        <f>IFERROR(K157/$G362/$H362/'4. L PLAN'!G$109,0)</f>
        <v>0</v>
      </c>
      <c r="L362" s="6235">
        <f>IFERROR(L157/$G362/$H362/'4. L PLAN'!H$109,0)</f>
        <v>0</v>
      </c>
      <c r="M362" s="6236">
        <f>IFERROR(M157/$G362/$H362/'4. L PLAN'!I$109,0)</f>
        <v>0</v>
      </c>
      <c r="N362" s="2032">
        <f>IFERROR(N157/$G362/$H362/'4. L PLAN'!J$109,0)</f>
        <v>0</v>
      </c>
      <c r="O362" s="2033">
        <f>IFERROR(O157/$G362/$H362/'4. L PLAN'!K$109,0)</f>
        <v>0</v>
      </c>
      <c r="P362" s="2034">
        <f>IFERROR(P157/$G362/$H362/'4. L PLAN'!L$109,0)</f>
        <v>0</v>
      </c>
      <c r="Q362" s="2032">
        <f>IFERROR(Q157/$G362/$H362/'4. L PLAN'!M$109,0)</f>
        <v>0</v>
      </c>
      <c r="R362" s="2033">
        <f>IFERROR(R157/$G362/$H362/'4. L PLAN'!N$109,0)</f>
        <v>0</v>
      </c>
      <c r="S362" s="2034">
        <f>IFERROR(S157/$G362/$H362/'4. L PLAN'!O$109,0)</f>
        <v>0</v>
      </c>
      <c r="T362" s="2032">
        <f>IFERROR(T157/$G362/$H362/'4. L PLAN'!P$109,0)</f>
        <v>0</v>
      </c>
      <c r="U362" s="2033">
        <f>IFERROR(U157/$G362/$H362/'4. L PLAN'!Q$109,0)</f>
        <v>0</v>
      </c>
      <c r="V362" s="2035">
        <f t="shared" si="233"/>
        <v>0</v>
      </c>
      <c r="W362" s="1535"/>
      <c r="X362" s="1535"/>
      <c r="Y362" s="1535"/>
      <c r="AA362" s="1658">
        <f t="shared" ref="AA362:AA373" si="235">G362</f>
        <v>510</v>
      </c>
      <c r="AB362" s="1765">
        <f t="shared" ref="AB362:AB373" si="236">H362</f>
        <v>1</v>
      </c>
      <c r="AC362" s="1724">
        <f t="shared" ref="AC362:AC373" si="237">I362</f>
        <v>0</v>
      </c>
      <c r="AD362" s="1535" t="b">
        <f t="shared" ref="AD362:AD373" si="238">AA362=G362</f>
        <v>1</v>
      </c>
      <c r="AE362" s="1535" t="b">
        <f t="shared" ref="AE362:AE373" si="239">AB362=H362</f>
        <v>1</v>
      </c>
      <c r="AF362" s="1535" t="b">
        <f t="shared" ref="AF362:AF373" si="240">AC362=I362</f>
        <v>1</v>
      </c>
    </row>
    <row r="363" spans="1:32" s="1569" customFormat="1" ht="18" customHeight="1">
      <c r="A363" s="2039"/>
      <c r="B363" s="2127"/>
      <c r="C363" s="1658"/>
      <c r="D363" s="2000"/>
      <c r="E363" s="1658" t="str">
        <f>VLOOKUP(F363,B.BasicInfomation!B:C,2,0)</f>
        <v/>
      </c>
      <c r="F363" s="2013" t="str">
        <f t="shared" si="234"/>
        <v>IPM 2.0 HSG Base+</v>
      </c>
      <c r="G363" s="1863">
        <v>510</v>
      </c>
      <c r="H363" s="1765">
        <v>1</v>
      </c>
      <c r="I363" s="3674"/>
      <c r="J363" s="4727">
        <f>IFERROR(J158/$G363/$H363/'4. L PLAN'!F$109,0)</f>
        <v>0</v>
      </c>
      <c r="K363" s="5402">
        <f>IFERROR(K158/$G363/$H363/'4. L PLAN'!G$109,0)</f>
        <v>0</v>
      </c>
      <c r="L363" s="6235">
        <f>IFERROR(L158/$G363/$H363/'4. L PLAN'!H$109,0)</f>
        <v>0</v>
      </c>
      <c r="M363" s="6236">
        <f>IFERROR(M158/$G363/$H363/'4. L PLAN'!I$109,0)</f>
        <v>0</v>
      </c>
      <c r="N363" s="2032">
        <f>IFERROR(N158/$G363/$H363/'4. L PLAN'!J$109,0)</f>
        <v>0</v>
      </c>
      <c r="O363" s="2033">
        <f>IFERROR(O158/$G363/$H363/'4. L PLAN'!K$109,0)</f>
        <v>0</v>
      </c>
      <c r="P363" s="2034">
        <f>IFERROR(P158/$G363/$H363/'4. L PLAN'!L$109,0)</f>
        <v>0</v>
      </c>
      <c r="Q363" s="2032">
        <f>IFERROR(Q158/$G363/$H363/'4. L PLAN'!M$109,0)</f>
        <v>0</v>
      </c>
      <c r="R363" s="2033">
        <f>IFERROR(R158/$G363/$H363/'4. L PLAN'!N$109,0)</f>
        <v>0</v>
      </c>
      <c r="S363" s="2034">
        <f>IFERROR(S158/$G363/$H363/'4. L PLAN'!O$109,0)</f>
        <v>0</v>
      </c>
      <c r="T363" s="2032">
        <f>IFERROR(T158/$G363/$H363/'4. L PLAN'!P$109,0)</f>
        <v>0</v>
      </c>
      <c r="U363" s="2033">
        <f>IFERROR(U158/$G363/$H363/'4. L PLAN'!Q$109,0)</f>
        <v>0</v>
      </c>
      <c r="V363" s="2035">
        <f t="shared" si="233"/>
        <v>0</v>
      </c>
      <c r="W363" s="1535"/>
      <c r="X363" s="1535"/>
      <c r="Y363" s="1535"/>
      <c r="AA363" s="1658">
        <f t="shared" si="235"/>
        <v>510</v>
      </c>
      <c r="AB363" s="1765">
        <f t="shared" si="236"/>
        <v>1</v>
      </c>
      <c r="AC363" s="1724">
        <f t="shared" si="237"/>
        <v>0</v>
      </c>
      <c r="AD363" s="1535" t="b">
        <f t="shared" si="238"/>
        <v>1</v>
      </c>
      <c r="AE363" s="1535" t="b">
        <f t="shared" si="239"/>
        <v>1</v>
      </c>
      <c r="AF363" s="1535" t="b">
        <f t="shared" si="240"/>
        <v>1</v>
      </c>
    </row>
    <row r="364" spans="1:32" s="1569" customFormat="1" ht="18" customHeight="1">
      <c r="A364" s="2039"/>
      <c r="B364" s="2127"/>
      <c r="C364" s="1658"/>
      <c r="D364" s="2000"/>
      <c r="E364" s="1658" t="str">
        <f>VLOOKUP(F364,B.BasicInfomation!B:C,2,0)</f>
        <v/>
      </c>
      <c r="F364" s="2013" t="str">
        <f t="shared" si="234"/>
        <v>IPM 2.0 HSG Premium</v>
      </c>
      <c r="G364" s="1863">
        <v>510</v>
      </c>
      <c r="H364" s="1765">
        <v>1</v>
      </c>
      <c r="I364" s="3674"/>
      <c r="J364" s="4727">
        <f>IFERROR(J159/$G364/$H364/'4. L PLAN'!F$109,0)</f>
        <v>0</v>
      </c>
      <c r="K364" s="5402">
        <f>IFERROR(K159/$G364/$H364/'4. L PLAN'!G$109,0)</f>
        <v>0</v>
      </c>
      <c r="L364" s="6235">
        <f>IFERROR(L159/$G364/$H364/'4. L PLAN'!H$109,0)</f>
        <v>0</v>
      </c>
      <c r="M364" s="6236">
        <f>IFERROR(M159/$G364/$H364/'4. L PLAN'!I$109,0)</f>
        <v>0</v>
      </c>
      <c r="N364" s="2032">
        <f>IFERROR(N159/$G364/$H364/'4. L PLAN'!J$109,0)</f>
        <v>0</v>
      </c>
      <c r="O364" s="2033">
        <f>IFERROR(O159/$G364/$H364/'4. L PLAN'!K$109,0)</f>
        <v>0</v>
      </c>
      <c r="P364" s="2034">
        <f>IFERROR(P159/$G364/$H364/'4. L PLAN'!L$109,0)</f>
        <v>0</v>
      </c>
      <c r="Q364" s="2032">
        <f>IFERROR(Q159/$G364/$H364/'4. L PLAN'!M$109,0)</f>
        <v>0</v>
      </c>
      <c r="R364" s="2033">
        <f>IFERROR(R159/$G364/$H364/'4. L PLAN'!N$109,0)</f>
        <v>0</v>
      </c>
      <c r="S364" s="2034">
        <f>IFERROR(S159/$G364/$H364/'4. L PLAN'!O$109,0)</f>
        <v>0</v>
      </c>
      <c r="T364" s="2032">
        <f>IFERROR(T159/$G364/$H364/'4. L PLAN'!P$109,0)</f>
        <v>0</v>
      </c>
      <c r="U364" s="2033">
        <f>IFERROR(U159/$G364/$H364/'4. L PLAN'!Q$109,0)</f>
        <v>0</v>
      </c>
      <c r="V364" s="2035">
        <f t="shared" si="233"/>
        <v>0</v>
      </c>
      <c r="W364" s="1535"/>
      <c r="X364" s="1535"/>
      <c r="Y364" s="1535"/>
      <c r="AA364" s="1658">
        <f t="shared" si="235"/>
        <v>510</v>
      </c>
      <c r="AB364" s="1765">
        <f t="shared" si="236"/>
        <v>1</v>
      </c>
      <c r="AC364" s="1724">
        <f t="shared" si="237"/>
        <v>0</v>
      </c>
      <c r="AD364" s="1535" t="b">
        <f t="shared" si="238"/>
        <v>1</v>
      </c>
      <c r="AE364" s="1535" t="b">
        <f t="shared" si="239"/>
        <v>1</v>
      </c>
      <c r="AF364" s="1535" t="b">
        <f t="shared" si="240"/>
        <v>1</v>
      </c>
    </row>
    <row r="365" spans="1:32" s="1569" customFormat="1" ht="18" customHeight="1">
      <c r="A365" s="2039"/>
      <c r="B365" s="2127"/>
      <c r="C365" s="3507" t="s">
        <v>1262</v>
      </c>
      <c r="D365" s="3507" t="s">
        <v>1272</v>
      </c>
      <c r="E365" s="3389"/>
      <c r="F365" s="2008" t="str">
        <f t="shared" si="234"/>
        <v>Glass Frame (ZF60A-T5)</v>
      </c>
      <c r="G365" s="3710">
        <v>0</v>
      </c>
      <c r="H365" s="3533">
        <v>1</v>
      </c>
      <c r="I365" s="3675"/>
      <c r="J365" s="4729">
        <f>IFERROR(J76/$G365/$H365/'4. L PLAN'!F$109,0)</f>
        <v>0</v>
      </c>
      <c r="K365" s="5403">
        <f>IFERROR(K76/$G365/$H365/'4. L PLAN'!G$109,0)</f>
        <v>0</v>
      </c>
      <c r="L365" s="6237">
        <f>IFERROR(L76/$G365/$H365/'4. L PLAN'!H$109,0)</f>
        <v>0</v>
      </c>
      <c r="M365" s="6238">
        <f>IFERROR(M76/$G365/$H365/'4. L PLAN'!I$109,0)</f>
        <v>0</v>
      </c>
      <c r="N365" s="3534">
        <f>IFERROR(N76/$G365/$H365/'4. L PLAN'!J$109,0)</f>
        <v>0</v>
      </c>
      <c r="O365" s="3535">
        <f>IFERROR(O76/$G365/$H365/'4. L PLAN'!K$109,0)</f>
        <v>0</v>
      </c>
      <c r="P365" s="3536">
        <f>IFERROR(P76/$G365/$H365/'4. L PLAN'!L$109,0)</f>
        <v>0</v>
      </c>
      <c r="Q365" s="3534">
        <f>IFERROR(Q76/$G365/$H365/'4. L PLAN'!M$109,0)</f>
        <v>0</v>
      </c>
      <c r="R365" s="3535">
        <f>IFERROR(R76/$G365/$H365/'4. L PLAN'!N$109,0)</f>
        <v>0</v>
      </c>
      <c r="S365" s="3536">
        <f>IFERROR(S76/$G365/$H365/'4. L PLAN'!O$109,0)</f>
        <v>0</v>
      </c>
      <c r="T365" s="3534">
        <f>IFERROR(T76/$G365/$H365/'4. L PLAN'!P$109,0)</f>
        <v>0</v>
      </c>
      <c r="U365" s="3535">
        <f>IFERROR(U76/$G365/$H365/'4. L PLAN'!Q$109,0)</f>
        <v>0</v>
      </c>
      <c r="V365" s="3537">
        <f t="shared" ref="V365:V372" si="241">AVERAGE(J365:U365)</f>
        <v>0</v>
      </c>
      <c r="W365" s="1535"/>
      <c r="X365" s="1535"/>
      <c r="Y365" s="1535"/>
      <c r="AA365" s="1658">
        <f t="shared" si="235"/>
        <v>0</v>
      </c>
      <c r="AB365" s="1765">
        <f t="shared" si="236"/>
        <v>1</v>
      </c>
      <c r="AC365" s="1724">
        <f t="shared" si="237"/>
        <v>0</v>
      </c>
      <c r="AD365" s="1535" t="b">
        <f t="shared" si="238"/>
        <v>1</v>
      </c>
      <c r="AE365" s="1535" t="b">
        <f t="shared" si="239"/>
        <v>1</v>
      </c>
      <c r="AF365" s="1535" t="b">
        <f t="shared" si="240"/>
        <v>1</v>
      </c>
    </row>
    <row r="366" spans="1:32" s="1569" customFormat="1" ht="18" customHeight="1">
      <c r="A366" s="2039"/>
      <c r="B366" s="2127"/>
      <c r="C366" s="1658"/>
      <c r="D366" s="2000"/>
      <c r="E366" s="1658"/>
      <c r="F366" s="2013" t="e">
        <f>#REF!</f>
        <v>#REF!</v>
      </c>
      <c r="G366" s="1863">
        <v>0</v>
      </c>
      <c r="H366" s="1765">
        <v>1</v>
      </c>
      <c r="I366" s="3674"/>
      <c r="J366" s="4727">
        <f>IFERROR(#REF!/$G366/$H366/'4. L PLAN'!F$109,0)</f>
        <v>0</v>
      </c>
      <c r="K366" s="5402">
        <f>IFERROR(#REF!/$G366/$H366/'4. L PLAN'!G$109,0)</f>
        <v>0</v>
      </c>
      <c r="L366" s="6235">
        <f>IFERROR(#REF!/$G366/$H366/'4. L PLAN'!H$109,0)</f>
        <v>0</v>
      </c>
      <c r="M366" s="6236">
        <f>IFERROR(#REF!/$G366/$H366/'4. L PLAN'!I$109,0)</f>
        <v>0</v>
      </c>
      <c r="N366" s="2032">
        <f>IFERROR(#REF!/$G366/$H366/'4. L PLAN'!J$109,0)</f>
        <v>0</v>
      </c>
      <c r="O366" s="2033">
        <f>IFERROR(#REF!/$G366/$H366/'4. L PLAN'!K$109,0)</f>
        <v>0</v>
      </c>
      <c r="P366" s="2034">
        <f>IFERROR(#REF!/$G366/$H366/'4. L PLAN'!L$109,0)</f>
        <v>0</v>
      </c>
      <c r="Q366" s="2032">
        <f>IFERROR(#REF!/$G366/$H366/'4. L PLAN'!M$109,0)</f>
        <v>0</v>
      </c>
      <c r="R366" s="2033">
        <f>IFERROR(#REF!/$G366/$H366/'4. L PLAN'!N$109,0)</f>
        <v>0</v>
      </c>
      <c r="S366" s="2034">
        <f>IFERROR(#REF!/$G366/$H366/'4. L PLAN'!O$109,0)</f>
        <v>0</v>
      </c>
      <c r="T366" s="2032">
        <f>IFERROR(#REF!/$G366/$H366/'4. L PLAN'!P$109,0)</f>
        <v>0</v>
      </c>
      <c r="U366" s="2033">
        <f>IFERROR(#REF!/$G366/$H366/'4. L PLAN'!Q$109,0)</f>
        <v>0</v>
      </c>
      <c r="V366" s="2035">
        <f t="shared" si="241"/>
        <v>0</v>
      </c>
      <c r="W366" s="1535"/>
      <c r="X366" s="1535"/>
      <c r="Y366" s="1535"/>
      <c r="AA366" s="1658">
        <f t="shared" si="235"/>
        <v>0</v>
      </c>
      <c r="AB366" s="1765">
        <f t="shared" si="236"/>
        <v>1</v>
      </c>
      <c r="AC366" s="1724">
        <f t="shared" si="237"/>
        <v>0</v>
      </c>
      <c r="AD366" s="1535" t="b">
        <f t="shared" si="238"/>
        <v>1</v>
      </c>
      <c r="AE366" s="1535" t="b">
        <f t="shared" si="239"/>
        <v>1</v>
      </c>
      <c r="AF366" s="1535" t="b">
        <f t="shared" si="240"/>
        <v>1</v>
      </c>
    </row>
    <row r="367" spans="1:32" s="1569" customFormat="1" ht="18" customHeight="1">
      <c r="A367" s="2039"/>
      <c r="B367" s="2127"/>
      <c r="C367" s="1658"/>
      <c r="D367" s="2000"/>
      <c r="E367" s="1658"/>
      <c r="F367" s="2013" t="str">
        <f t="shared" ref="F367:F372" si="242">F247</f>
        <v>Body Compute enclosure (AL6061-T6)</v>
      </c>
      <c r="G367" s="1863">
        <v>0</v>
      </c>
      <c r="H367" s="1765">
        <v>1</v>
      </c>
      <c r="I367" s="3674"/>
      <c r="J367" s="4727">
        <f>IFERROR(J77/$G367/$H367/'4. L PLAN'!F$109,0)</f>
        <v>0</v>
      </c>
      <c r="K367" s="5402">
        <f>IFERROR(K77/$G367/$H367/'4. L PLAN'!G$109,0)</f>
        <v>0</v>
      </c>
      <c r="L367" s="6235">
        <f>IFERROR(L77/$G367/$H367/'4. L PLAN'!H$109,0)</f>
        <v>0</v>
      </c>
      <c r="M367" s="6236">
        <f>IFERROR(M77/$G367/$H367/'4. L PLAN'!I$109,0)</f>
        <v>0</v>
      </c>
      <c r="N367" s="2032">
        <f>IFERROR(N77/$G367/$H367/'4. L PLAN'!J$109,0)</f>
        <v>0</v>
      </c>
      <c r="O367" s="2033">
        <f>IFERROR(O77/$G367/$H367/'4. L PLAN'!K$109,0)</f>
        <v>0</v>
      </c>
      <c r="P367" s="2034">
        <f>IFERROR(P77/$G367/$H367/'4. L PLAN'!L$109,0)</f>
        <v>0</v>
      </c>
      <c r="Q367" s="2032">
        <f>IFERROR(Q77/$G367/$H367/'4. L PLAN'!M$109,0)</f>
        <v>0</v>
      </c>
      <c r="R367" s="2033">
        <f>IFERROR(R77/$G367/$H367/'4. L PLAN'!N$109,0)</f>
        <v>0</v>
      </c>
      <c r="S367" s="2034">
        <f>IFERROR(S77/$G367/$H367/'4. L PLAN'!O$109,0)</f>
        <v>0</v>
      </c>
      <c r="T367" s="2032">
        <f>IFERROR(T77/$G367/$H367/'4. L PLAN'!P$109,0)</f>
        <v>0</v>
      </c>
      <c r="U367" s="2033">
        <f>IFERROR(U77/$G367/$H367/'4. L PLAN'!Q$109,0)</f>
        <v>0</v>
      </c>
      <c r="V367" s="2035">
        <f t="shared" si="241"/>
        <v>0</v>
      </c>
      <c r="W367" s="1535"/>
      <c r="X367" s="1535"/>
      <c r="Y367" s="1535"/>
      <c r="AA367" s="1658">
        <f t="shared" si="235"/>
        <v>0</v>
      </c>
      <c r="AB367" s="1765">
        <f t="shared" si="236"/>
        <v>1</v>
      </c>
      <c r="AC367" s="1724">
        <f t="shared" si="237"/>
        <v>0</v>
      </c>
      <c r="AD367" s="1535" t="b">
        <f t="shared" si="238"/>
        <v>1</v>
      </c>
      <c r="AE367" s="1535" t="b">
        <f t="shared" si="239"/>
        <v>1</v>
      </c>
      <c r="AF367" s="1535" t="b">
        <f t="shared" si="240"/>
        <v>1</v>
      </c>
    </row>
    <row r="368" spans="1:32" s="1569" customFormat="1" ht="18" hidden="1" customHeight="1">
      <c r="A368" s="2039"/>
      <c r="B368" s="2127"/>
      <c r="C368" s="1658"/>
      <c r="D368" s="2000"/>
      <c r="E368" s="1658"/>
      <c r="F368" s="2013" t="str">
        <f t="shared" si="242"/>
        <v>Others Part</v>
      </c>
      <c r="G368" s="1863">
        <v>0</v>
      </c>
      <c r="H368" s="1765">
        <v>1</v>
      </c>
      <c r="I368" s="3674"/>
      <c r="J368" s="4727">
        <f>IFERROR(J78/$G368/$H368/'4. L PLAN'!F$109,0)</f>
        <v>0</v>
      </c>
      <c r="K368" s="5402">
        <f>IFERROR(K78/$G368/$H368/'4. L PLAN'!G$109,0)</f>
        <v>0</v>
      </c>
      <c r="L368" s="6235">
        <f>IFERROR(L78/$G368/$H368/'4. L PLAN'!H$109,0)</f>
        <v>0</v>
      </c>
      <c r="M368" s="6236">
        <f>IFERROR(M78/$G368/$H368/'4. L PLAN'!I$109,0)</f>
        <v>0</v>
      </c>
      <c r="N368" s="2032">
        <f>IFERROR(N78/$G368/$H368/'4. L PLAN'!J$109,0)</f>
        <v>0</v>
      </c>
      <c r="O368" s="2033">
        <f>IFERROR(O78/$G368/$H368/'4. L PLAN'!K$109,0)</f>
        <v>0</v>
      </c>
      <c r="P368" s="2034">
        <f>IFERROR(P78/$G368/$H368/'4. L PLAN'!L$109,0)</f>
        <v>0</v>
      </c>
      <c r="Q368" s="2032">
        <f>IFERROR(Q78/$G368/$H368/'4. L PLAN'!M$109,0)</f>
        <v>0</v>
      </c>
      <c r="R368" s="2033">
        <f>IFERROR(R78/$G368/$H368/'4. L PLAN'!N$109,0)</f>
        <v>0</v>
      </c>
      <c r="S368" s="2034">
        <f>IFERROR(S78/$G368/$H368/'4. L PLAN'!O$109,0)</f>
        <v>0</v>
      </c>
      <c r="T368" s="2032">
        <f>IFERROR(T78/$G368/$H368/'4. L PLAN'!P$109,0)</f>
        <v>0</v>
      </c>
      <c r="U368" s="2033">
        <f>IFERROR(U78/$G368/$H368/'4. L PLAN'!Q$109,0)</f>
        <v>0</v>
      </c>
      <c r="V368" s="2035">
        <f t="shared" si="241"/>
        <v>0</v>
      </c>
      <c r="W368" s="1535"/>
      <c r="X368" s="1535"/>
      <c r="Y368" s="1535"/>
      <c r="AA368" s="1658">
        <f t="shared" si="235"/>
        <v>0</v>
      </c>
      <c r="AB368" s="1765">
        <f t="shared" si="236"/>
        <v>1</v>
      </c>
      <c r="AC368" s="1724">
        <f t="shared" si="237"/>
        <v>0</v>
      </c>
      <c r="AD368" s="1535" t="b">
        <f t="shared" si="238"/>
        <v>1</v>
      </c>
      <c r="AE368" s="1535" t="b">
        <f t="shared" si="239"/>
        <v>1</v>
      </c>
      <c r="AF368" s="1535" t="b">
        <f t="shared" si="240"/>
        <v>1</v>
      </c>
    </row>
    <row r="369" spans="1:34" s="1569" customFormat="1" ht="18" hidden="1" customHeight="1">
      <c r="A369" s="2039"/>
      <c r="B369" s="2127"/>
      <c r="C369" s="1658"/>
      <c r="D369" s="2000"/>
      <c r="E369" s="1658"/>
      <c r="F369" s="2013" t="e">
        <f t="shared" si="242"/>
        <v>#REF!</v>
      </c>
      <c r="G369" s="1863">
        <v>0</v>
      </c>
      <c r="H369" s="1765">
        <v>1</v>
      </c>
      <c r="I369" s="3674"/>
      <c r="J369" s="4727">
        <f>IFERROR(J79/$G369/$H369/'4. L PLAN'!F$109,0)</f>
        <v>0</v>
      </c>
      <c r="K369" s="5402">
        <f>IFERROR(K79/$G369/$H369/'4. L PLAN'!G$109,0)</f>
        <v>0</v>
      </c>
      <c r="L369" s="6235">
        <f>IFERROR(L79/$G369/$H369/'4. L PLAN'!H$109,0)</f>
        <v>0</v>
      </c>
      <c r="M369" s="6236">
        <f>IFERROR(M79/$G369/$H369/'4. L PLAN'!I$109,0)</f>
        <v>0</v>
      </c>
      <c r="N369" s="2032">
        <f>IFERROR(N79/$G369/$H369/'4. L PLAN'!J$109,0)</f>
        <v>0</v>
      </c>
      <c r="O369" s="2033">
        <f>IFERROR(O79/$G369/$H369/'4. L PLAN'!K$109,0)</f>
        <v>0</v>
      </c>
      <c r="P369" s="2034">
        <f>IFERROR(P79/$G369/$H369/'4. L PLAN'!L$109,0)</f>
        <v>0</v>
      </c>
      <c r="Q369" s="2032">
        <f>IFERROR(Q79/$G369/$H369/'4. L PLAN'!M$109,0)</f>
        <v>0</v>
      </c>
      <c r="R369" s="2033">
        <f>IFERROR(R79/$G369/$H369/'4. L PLAN'!N$109,0)</f>
        <v>0</v>
      </c>
      <c r="S369" s="2034">
        <f>IFERROR(S79/$G369/$H369/'4. L PLAN'!O$109,0)</f>
        <v>0</v>
      </c>
      <c r="T369" s="2032">
        <f>IFERROR(T79/$G369/$H369/'4. L PLAN'!P$109,0)</f>
        <v>0</v>
      </c>
      <c r="U369" s="2033">
        <f>IFERROR(U79/$G369/$H369/'4. L PLAN'!Q$109,0)</f>
        <v>0</v>
      </c>
      <c r="V369" s="2035">
        <f t="shared" si="241"/>
        <v>0</v>
      </c>
      <c r="W369" s="1535"/>
      <c r="X369" s="1535"/>
      <c r="Y369" s="1535"/>
      <c r="AA369" s="1658">
        <f t="shared" si="235"/>
        <v>0</v>
      </c>
      <c r="AB369" s="1765">
        <f t="shared" si="236"/>
        <v>1</v>
      </c>
      <c r="AC369" s="1724">
        <f t="shared" si="237"/>
        <v>0</v>
      </c>
      <c r="AD369" s="1535" t="b">
        <f t="shared" si="238"/>
        <v>1</v>
      </c>
      <c r="AE369" s="1535" t="b">
        <f t="shared" si="239"/>
        <v>1</v>
      </c>
      <c r="AF369" s="1535" t="b">
        <f t="shared" si="240"/>
        <v>1</v>
      </c>
    </row>
    <row r="370" spans="1:34" s="1569" customFormat="1" ht="18" hidden="1" customHeight="1">
      <c r="A370" s="2039"/>
      <c r="B370" s="2127"/>
      <c r="C370" s="1658"/>
      <c r="D370" s="2000"/>
      <c r="E370" s="1658"/>
      <c r="F370" s="2013" t="e">
        <f t="shared" si="242"/>
        <v>#REF!</v>
      </c>
      <c r="G370" s="1863">
        <v>0</v>
      </c>
      <c r="H370" s="1765">
        <v>1</v>
      </c>
      <c r="I370" s="3674"/>
      <c r="J370" s="4727">
        <f>IFERROR(J80/$G370/$H370/'4. L PLAN'!F$109,0)</f>
        <v>0</v>
      </c>
      <c r="K370" s="5402">
        <f>IFERROR(K80/$G370/$H370/'4. L PLAN'!G$109,0)</f>
        <v>0</v>
      </c>
      <c r="L370" s="6235">
        <f>IFERROR(L80/$G370/$H370/'4. L PLAN'!H$109,0)</f>
        <v>0</v>
      </c>
      <c r="M370" s="6236">
        <f>IFERROR(M80/$G370/$H370/'4. L PLAN'!I$109,0)</f>
        <v>0</v>
      </c>
      <c r="N370" s="2032">
        <f>IFERROR(N80/$G370/$H370/'4. L PLAN'!J$109,0)</f>
        <v>0</v>
      </c>
      <c r="O370" s="2033">
        <f>IFERROR(O80/$G370/$H370/'4. L PLAN'!K$109,0)</f>
        <v>0</v>
      </c>
      <c r="P370" s="2034">
        <f>IFERROR(P80/$G370/$H370/'4. L PLAN'!L$109,0)</f>
        <v>0</v>
      </c>
      <c r="Q370" s="2032">
        <f>IFERROR(Q80/$G370/$H370/'4. L PLAN'!M$109,0)</f>
        <v>0</v>
      </c>
      <c r="R370" s="2033">
        <f>IFERROR(R80/$G370/$H370/'4. L PLAN'!N$109,0)</f>
        <v>0</v>
      </c>
      <c r="S370" s="2034">
        <f>IFERROR(S80/$G370/$H370/'4. L PLAN'!O$109,0)</f>
        <v>0</v>
      </c>
      <c r="T370" s="2032">
        <f>IFERROR(T80/$G370/$H370/'4. L PLAN'!P$109,0)</f>
        <v>0</v>
      </c>
      <c r="U370" s="2033">
        <f>IFERROR(U80/$G370/$H370/'4. L PLAN'!Q$109,0)</f>
        <v>0</v>
      </c>
      <c r="V370" s="2035">
        <f t="shared" si="241"/>
        <v>0</v>
      </c>
      <c r="W370" s="1535"/>
      <c r="X370" s="1535"/>
      <c r="Y370" s="1535"/>
      <c r="AA370" s="1658">
        <f t="shared" si="235"/>
        <v>0</v>
      </c>
      <c r="AB370" s="1765">
        <f t="shared" si="236"/>
        <v>1</v>
      </c>
      <c r="AC370" s="1724">
        <f t="shared" si="237"/>
        <v>0</v>
      </c>
      <c r="AD370" s="1535" t="b">
        <f t="shared" si="238"/>
        <v>1</v>
      </c>
      <c r="AE370" s="1535" t="b">
        <f t="shared" si="239"/>
        <v>1</v>
      </c>
      <c r="AF370" s="1535" t="b">
        <f t="shared" si="240"/>
        <v>1</v>
      </c>
    </row>
    <row r="371" spans="1:34" s="1569" customFormat="1" ht="18" hidden="1" customHeight="1">
      <c r="A371" s="2039"/>
      <c r="B371" s="2127"/>
      <c r="C371" s="1658"/>
      <c r="D371" s="2000"/>
      <c r="E371" s="1658"/>
      <c r="F371" s="2013" t="e">
        <f t="shared" si="242"/>
        <v>#REF!</v>
      </c>
      <c r="G371" s="1863">
        <v>0</v>
      </c>
      <c r="H371" s="1765">
        <v>1</v>
      </c>
      <c r="I371" s="3674"/>
      <c r="J371" s="4727">
        <f>IFERROR(J81/$G371/$H371/'4. L PLAN'!F$109,0)</f>
        <v>0</v>
      </c>
      <c r="K371" s="5402">
        <f>IFERROR(K81/$G371/$H371/'4. L PLAN'!G$109,0)</f>
        <v>0</v>
      </c>
      <c r="L371" s="6235">
        <f>IFERROR(L81/$G371/$H371/'4. L PLAN'!H$109,0)</f>
        <v>0</v>
      </c>
      <c r="M371" s="6236">
        <f>IFERROR(M81/$G371/$H371/'4. L PLAN'!I$109,0)</f>
        <v>0</v>
      </c>
      <c r="N371" s="2032">
        <f>IFERROR(N81/$G371/$H371/'4. L PLAN'!J$109,0)</f>
        <v>0</v>
      </c>
      <c r="O371" s="2033">
        <f>IFERROR(O81/$G371/$H371/'4. L PLAN'!K$109,0)</f>
        <v>0</v>
      </c>
      <c r="P371" s="2034">
        <f>IFERROR(P81/$G371/$H371/'4. L PLAN'!L$109,0)</f>
        <v>0</v>
      </c>
      <c r="Q371" s="2032">
        <f>IFERROR(Q81/$G371/$H371/'4. L PLAN'!M$109,0)</f>
        <v>0</v>
      </c>
      <c r="R371" s="2033">
        <f>IFERROR(R81/$G371/$H371/'4. L PLAN'!N$109,0)</f>
        <v>0</v>
      </c>
      <c r="S371" s="2034">
        <f>IFERROR(S81/$G371/$H371/'4. L PLAN'!O$109,0)</f>
        <v>0</v>
      </c>
      <c r="T371" s="2032">
        <f>IFERROR(T81/$G371/$H371/'4. L PLAN'!P$109,0)</f>
        <v>0</v>
      </c>
      <c r="U371" s="2033">
        <f>IFERROR(U81/$G371/$H371/'4. L PLAN'!Q$109,0)</f>
        <v>0</v>
      </c>
      <c r="V371" s="2035">
        <f t="shared" si="241"/>
        <v>0</v>
      </c>
      <c r="W371" s="1535"/>
      <c r="X371" s="1535"/>
      <c r="Y371" s="1535"/>
      <c r="AA371" s="1658">
        <f t="shared" si="235"/>
        <v>0</v>
      </c>
      <c r="AB371" s="1765">
        <f t="shared" si="236"/>
        <v>1</v>
      </c>
      <c r="AC371" s="1724">
        <f t="shared" si="237"/>
        <v>0</v>
      </c>
      <c r="AD371" s="1535" t="b">
        <f t="shared" si="238"/>
        <v>1</v>
      </c>
      <c r="AE371" s="1535" t="b">
        <f t="shared" si="239"/>
        <v>1</v>
      </c>
      <c r="AF371" s="1535" t="b">
        <f t="shared" si="240"/>
        <v>1</v>
      </c>
    </row>
    <row r="372" spans="1:34" s="1569" customFormat="1" ht="18" hidden="1" customHeight="1">
      <c r="A372" s="2039"/>
      <c r="B372" s="2127"/>
      <c r="C372" s="1713"/>
      <c r="D372" s="1997"/>
      <c r="E372" s="1713"/>
      <c r="F372" s="3392" t="e">
        <f t="shared" si="242"/>
        <v>#REF!</v>
      </c>
      <c r="G372" s="3708">
        <v>0</v>
      </c>
      <c r="H372" s="1998">
        <v>1</v>
      </c>
      <c r="I372" s="3676"/>
      <c r="J372" s="4733">
        <f>IFERROR(J82/$G372/$H372/'4. L PLAN'!F$109,0)</f>
        <v>0</v>
      </c>
      <c r="K372" s="5404">
        <f>IFERROR(K82/$G372/$H372/'4. L PLAN'!G$109,0)</f>
        <v>0</v>
      </c>
      <c r="L372" s="6239">
        <f>IFERROR(L82/$G372/$H372/'4. L PLAN'!H$109,0)</f>
        <v>0</v>
      </c>
      <c r="M372" s="6240">
        <f>IFERROR(M82/$G372/$H372/'4. L PLAN'!I$109,0)</f>
        <v>0</v>
      </c>
      <c r="N372" s="3538">
        <f>IFERROR(N82/$G372/$H372/'4. L PLAN'!J$109,0)</f>
        <v>0</v>
      </c>
      <c r="O372" s="3539">
        <f>IFERROR(O82/$G372/$H372/'4. L PLAN'!K$109,0)</f>
        <v>0</v>
      </c>
      <c r="P372" s="3540">
        <f>IFERROR(P82/$G372/$H372/'4. L PLAN'!L$109,0)</f>
        <v>0</v>
      </c>
      <c r="Q372" s="3538">
        <f>IFERROR(Q82/$G372/$H372/'4. L PLAN'!M$109,0)</f>
        <v>0</v>
      </c>
      <c r="R372" s="3539">
        <f>IFERROR(R82/$G372/$H372/'4. L PLAN'!N$109,0)</f>
        <v>0</v>
      </c>
      <c r="S372" s="3540">
        <f>IFERROR(S82/$G372/$H372/'4. L PLAN'!O$109,0)</f>
        <v>0</v>
      </c>
      <c r="T372" s="3538">
        <f>IFERROR(T82/$G372/$H372/'4. L PLAN'!P$109,0)</f>
        <v>0</v>
      </c>
      <c r="U372" s="3539">
        <f>IFERROR(U82/$G372/$H372/'4. L PLAN'!Q$109,0)</f>
        <v>0</v>
      </c>
      <c r="V372" s="3541">
        <f t="shared" si="241"/>
        <v>0</v>
      </c>
      <c r="W372" s="1535"/>
      <c r="X372" s="1535"/>
      <c r="Y372" s="1535"/>
      <c r="AA372" s="1658">
        <f t="shared" si="235"/>
        <v>0</v>
      </c>
      <c r="AB372" s="1765">
        <f t="shared" si="236"/>
        <v>1</v>
      </c>
      <c r="AC372" s="1724">
        <f t="shared" si="237"/>
        <v>0</v>
      </c>
      <c r="AD372" s="1535" t="b">
        <f t="shared" si="238"/>
        <v>1</v>
      </c>
      <c r="AE372" s="1535" t="b">
        <f t="shared" si="239"/>
        <v>1</v>
      </c>
      <c r="AF372" s="1535" t="b">
        <f t="shared" si="240"/>
        <v>1</v>
      </c>
    </row>
    <row r="373" spans="1:34" ht="18" customHeight="1" thickBot="1">
      <c r="A373" s="2040"/>
      <c r="B373" s="1966"/>
      <c r="C373" s="1726" t="s">
        <v>43</v>
      </c>
      <c r="D373" s="1726"/>
      <c r="E373" s="1726"/>
      <c r="F373" s="1727"/>
      <c r="G373" s="1901"/>
      <c r="H373" s="2036">
        <f>H263</f>
        <v>0</v>
      </c>
      <c r="I373" s="2787"/>
      <c r="J373" s="4734">
        <f t="shared" ref="J373:U373" si="243">SUM(J309:J372)</f>
        <v>89.328506495264861</v>
      </c>
      <c r="K373" s="4734">
        <f t="shared" si="243"/>
        <v>110.54677782001518</v>
      </c>
      <c r="L373" s="5510">
        <f t="shared" si="243"/>
        <v>114.6934506308959</v>
      </c>
      <c r="M373" s="4494">
        <f t="shared" si="243"/>
        <v>88.977589141132682</v>
      </c>
      <c r="N373" s="1620">
        <f t="shared" si="243"/>
        <v>90.505603533508591</v>
      </c>
      <c r="O373" s="1621">
        <f t="shared" si="243"/>
        <v>77.949138559357834</v>
      </c>
      <c r="P373" s="1619">
        <f t="shared" si="243"/>
        <v>80.308289018710553</v>
      </c>
      <c r="Q373" s="1620">
        <f t="shared" si="243"/>
        <v>75.991480762613961</v>
      </c>
      <c r="R373" s="1621">
        <f t="shared" si="243"/>
        <v>89.924192187138743</v>
      </c>
      <c r="S373" s="1619">
        <f t="shared" si="243"/>
        <v>77.628800822463177</v>
      </c>
      <c r="T373" s="1620">
        <f t="shared" si="243"/>
        <v>80.270303597204716</v>
      </c>
      <c r="U373" s="1621">
        <f t="shared" si="243"/>
        <v>75.872350963832773</v>
      </c>
      <c r="V373" s="1566">
        <f t="shared" si="233"/>
        <v>87.66637362767824</v>
      </c>
      <c r="AA373" s="1658">
        <f t="shared" si="235"/>
        <v>0</v>
      </c>
      <c r="AB373" s="1765">
        <f t="shared" si="236"/>
        <v>0</v>
      </c>
      <c r="AC373" s="1724">
        <f t="shared" si="237"/>
        <v>0</v>
      </c>
      <c r="AD373" s="1535" t="b">
        <f t="shared" si="238"/>
        <v>1</v>
      </c>
      <c r="AE373" s="1535" t="b">
        <f t="shared" si="239"/>
        <v>1</v>
      </c>
      <c r="AF373" s="1535" t="b">
        <f t="shared" si="240"/>
        <v>1</v>
      </c>
    </row>
    <row r="374" spans="1:34" ht="18" customHeight="1" thickBot="1">
      <c r="A374" s="7081" t="s">
        <v>137</v>
      </c>
      <c r="B374" s="7082"/>
      <c r="C374" s="7082"/>
      <c r="D374" s="7082"/>
      <c r="E374" s="7082"/>
      <c r="F374" s="7082"/>
      <c r="G374" s="7082"/>
      <c r="H374" s="7082"/>
      <c r="I374" s="7083"/>
      <c r="J374" s="3952">
        <f>(J308+J373)</f>
        <v>116.99580848546454</v>
      </c>
      <c r="K374" s="5012">
        <f t="shared" ref="K374:U374" si="244">(K308+K373)</f>
        <v>137.32262856192793</v>
      </c>
      <c r="L374" s="5505">
        <f t="shared" si="244"/>
        <v>142.25609004098743</v>
      </c>
      <c r="M374" s="3952">
        <f t="shared" si="244"/>
        <v>116.70139629321331</v>
      </c>
      <c r="N374" s="1605">
        <f t="shared" si="244"/>
        <v>122.81906822712423</v>
      </c>
      <c r="O374" s="1606">
        <f t="shared" si="244"/>
        <v>110.55041575079896</v>
      </c>
      <c r="P374" s="1604">
        <f t="shared" si="244"/>
        <v>112.91379639388023</v>
      </c>
      <c r="Q374" s="1605">
        <f t="shared" si="244"/>
        <v>138.59688295818009</v>
      </c>
      <c r="R374" s="1606">
        <f t="shared" si="244"/>
        <v>152.85538798420464</v>
      </c>
      <c r="S374" s="1604">
        <f t="shared" si="244"/>
        <v>140.13373441422129</v>
      </c>
      <c r="T374" s="1605">
        <f t="shared" si="244"/>
        <v>142.45113996542094</v>
      </c>
      <c r="U374" s="1606">
        <f t="shared" si="244"/>
        <v>137.79504234014922</v>
      </c>
      <c r="V374" s="1674">
        <f>(V308+V373)</f>
        <v>130.9492826179644</v>
      </c>
      <c r="AA374" s="1535"/>
      <c r="AB374" s="1535"/>
      <c r="AC374" s="1535"/>
    </row>
    <row r="375" spans="1:34" ht="18" customHeight="1">
      <c r="J375" s="1536"/>
      <c r="V375" s="1613" t="b">
        <f>(AVERAGE(J374:U374))=V374</f>
        <v>1</v>
      </c>
    </row>
    <row r="376" spans="1:34" s="1610" customFormat="1" ht="18" customHeight="1" thickBot="1">
      <c r="A376" s="1538" t="s">
        <v>1317</v>
      </c>
      <c r="F376" s="1611" t="s">
        <v>88</v>
      </c>
      <c r="G376" s="1838">
        <v>0.9</v>
      </c>
      <c r="H376" s="1789"/>
      <c r="I376" s="1790"/>
      <c r="J376" s="1534"/>
      <c r="K376" s="1534"/>
      <c r="L376" s="1534"/>
      <c r="M376" s="1534"/>
      <c r="N376" s="1612"/>
      <c r="O376" s="1612"/>
      <c r="P376" s="1612"/>
      <c r="Q376" s="1612"/>
      <c r="R376" s="1612"/>
      <c r="S376" s="1612"/>
      <c r="T376" s="1612"/>
      <c r="U376" s="1612"/>
      <c r="V376" s="1537" t="s">
        <v>278</v>
      </c>
      <c r="W376" s="1535"/>
      <c r="X376" s="1535"/>
      <c r="Y376" s="1535"/>
      <c r="Z376" s="1535"/>
      <c r="AA376" s="1838">
        <v>0.9</v>
      </c>
      <c r="AB376" s="1789"/>
      <c r="AC376" s="1790"/>
      <c r="AD376" s="1535"/>
      <c r="AE376" s="1535"/>
      <c r="AF376" s="1535"/>
      <c r="AG376" s="1535"/>
      <c r="AH376" s="1535"/>
    </row>
    <row r="377" spans="1:34" s="1610" customFormat="1" ht="24.9" customHeight="1" thickBot="1">
      <c r="A377" s="1539" t="s">
        <v>40</v>
      </c>
      <c r="B377" s="74" t="s">
        <v>106</v>
      </c>
      <c r="C377" s="74" t="s">
        <v>45</v>
      </c>
      <c r="D377" s="65" t="s">
        <v>989</v>
      </c>
      <c r="E377" s="74" t="s">
        <v>1011</v>
      </c>
      <c r="F377" s="74" t="s">
        <v>107</v>
      </c>
      <c r="G377" s="74" t="s">
        <v>182</v>
      </c>
      <c r="H377" s="1995" t="s">
        <v>189</v>
      </c>
      <c r="I377" s="1927" t="s">
        <v>247</v>
      </c>
      <c r="J377" s="4490" t="s">
        <v>1292</v>
      </c>
      <c r="K377" s="5005" t="s">
        <v>1293</v>
      </c>
      <c r="L377" s="5494" t="s">
        <v>1294</v>
      </c>
      <c r="M377" s="4490" t="s">
        <v>1295</v>
      </c>
      <c r="N377" s="74" t="s">
        <v>1296</v>
      </c>
      <c r="O377" s="1540" t="s">
        <v>1297</v>
      </c>
      <c r="P377" s="1539" t="s">
        <v>1298</v>
      </c>
      <c r="Q377" s="74" t="s">
        <v>1299</v>
      </c>
      <c r="R377" s="1540" t="s">
        <v>1300</v>
      </c>
      <c r="S377" s="1539" t="s">
        <v>1301</v>
      </c>
      <c r="T377" s="74" t="s">
        <v>1302</v>
      </c>
      <c r="U377" s="1540" t="s">
        <v>1303</v>
      </c>
      <c r="V377" s="1541" t="s">
        <v>1304</v>
      </c>
      <c r="W377" s="1535"/>
      <c r="X377" s="1535"/>
      <c r="Y377" s="1535"/>
      <c r="Z377" s="1535"/>
      <c r="AA377" s="74" t="s">
        <v>182</v>
      </c>
      <c r="AB377" s="1995" t="s">
        <v>189</v>
      </c>
      <c r="AC377" s="1927" t="s">
        <v>247</v>
      </c>
      <c r="AD377" s="1535"/>
      <c r="AE377" s="1535"/>
      <c r="AF377" s="1535"/>
      <c r="AG377" s="1535"/>
      <c r="AH377" s="1535"/>
    </row>
    <row r="378" spans="1:34" s="1569" customFormat="1" ht="18" customHeight="1">
      <c r="A378" s="2039"/>
      <c r="B378" s="2127"/>
      <c r="C378" s="3507" t="s">
        <v>1262</v>
      </c>
      <c r="D378" s="3507" t="s">
        <v>1272</v>
      </c>
      <c r="E378" s="1670">
        <f>VLOOKUP(F365,B.BasicInfomation!B:C,2,0)</f>
        <v>47</v>
      </c>
      <c r="F378" s="3192" t="str">
        <f>F246</f>
        <v>Glass Frame (ZF60A-T5)</v>
      </c>
      <c r="G378" s="3699">
        <f>23/9</f>
        <v>2.5555555555555554</v>
      </c>
      <c r="H378" s="3533">
        <v>1</v>
      </c>
      <c r="I378" s="3675"/>
      <c r="J378" s="4729">
        <f>IFERROR(J76/$G378/$H378/'4. L PLAN'!F$109,0)</f>
        <v>0</v>
      </c>
      <c r="K378" s="5403">
        <f>IFERROR(K76/$G378/$H378/'4. L PLAN'!G$109,0)</f>
        <v>0.17776162199536341</v>
      </c>
      <c r="L378" s="6237">
        <f>IFERROR(L76/$G378/$H378/'4. L PLAN'!H$109,0)</f>
        <v>0</v>
      </c>
      <c r="M378" s="6238">
        <f>IFERROR(M76/$G378/$H378/'4. L PLAN'!I$109,0)</f>
        <v>1.6097420292320037</v>
      </c>
      <c r="N378" s="3534">
        <f>IFERROR(N76/$G378/$H378/'4. L PLAN'!J$109,0)</f>
        <v>0.23478260869565218</v>
      </c>
      <c r="O378" s="3535">
        <f>IFERROR(O76/$G378/$H378/'4. L PLAN'!K$109,0)</f>
        <v>0</v>
      </c>
      <c r="P378" s="3536">
        <f>IFERROR(P76/$G378/$H378/'4. L PLAN'!L$109,0)</f>
        <v>0</v>
      </c>
      <c r="Q378" s="3534">
        <f>IFERROR(Q76/$G378/$H378/'4. L PLAN'!M$109,0)</f>
        <v>1.1614955996133041</v>
      </c>
      <c r="R378" s="3535">
        <f>IFERROR(R76/$G378/$H378/'4. L PLAN'!N$109,0)</f>
        <v>1.8874303493716191</v>
      </c>
      <c r="S378" s="3536">
        <f>IFERROR(S76/$G378/$H378/'4. L PLAN'!O$109,0)</f>
        <v>1.1184772440720705</v>
      </c>
      <c r="T378" s="3534">
        <f>IFERROR(T76/$G378/$H378/'4. L PLAN'!P$109,0)</f>
        <v>1.2079554235978363</v>
      </c>
      <c r="U378" s="3535">
        <f>IFERROR(U76/$G378/$H378/'4. L PLAN'!Q$109,0)</f>
        <v>1.1184772440720705</v>
      </c>
      <c r="V378" s="3537">
        <f t="shared" ref="V378:V381" si="245">AVERAGE(J378:U378)</f>
        <v>0.70967684338749326</v>
      </c>
      <c r="W378" s="1535"/>
      <c r="X378" s="1535"/>
      <c r="Y378" s="1535"/>
      <c r="AA378" s="1658">
        <f t="shared" ref="AA378:AC381" si="246">G378</f>
        <v>2.5555555555555554</v>
      </c>
      <c r="AB378" s="1765">
        <f t="shared" si="246"/>
        <v>1</v>
      </c>
      <c r="AC378" s="1724">
        <f t="shared" si="246"/>
        <v>0</v>
      </c>
      <c r="AD378" s="1535" t="b">
        <f t="shared" ref="AD378:AF381" si="247">AA378=G378</f>
        <v>1</v>
      </c>
      <c r="AE378" s="1535" t="b">
        <f t="shared" si="247"/>
        <v>1</v>
      </c>
      <c r="AF378" s="1535" t="b">
        <f t="shared" si="247"/>
        <v>1</v>
      </c>
    </row>
    <row r="379" spans="1:34" s="1569" customFormat="1" ht="18" customHeight="1">
      <c r="A379" s="2039"/>
      <c r="B379" s="2127"/>
      <c r="C379" s="1658"/>
      <c r="D379" s="2000"/>
      <c r="E379" s="1658"/>
      <c r="F379" s="2013" t="str">
        <f>F247</f>
        <v>Body Compute enclosure (AL6061-T6)</v>
      </c>
      <c r="G379" s="3700"/>
      <c r="H379" s="1765"/>
      <c r="I379" s="3674"/>
      <c r="J379" s="4727">
        <f>IFERROR(J77/$G379/$H379/'4. L PLAN'!F$109,0)</f>
        <v>0</v>
      </c>
      <c r="K379" s="5402">
        <f>IFERROR(K77/$G379/$H379/'4. L PLAN'!G$109,0)</f>
        <v>0</v>
      </c>
      <c r="L379" s="6235">
        <f>IFERROR(L77/$G379/$H379/'4. L PLAN'!H$109,0)</f>
        <v>0</v>
      </c>
      <c r="M379" s="6236">
        <f>IFERROR(M77/$G379/$H379/'4. L PLAN'!I$109,0)</f>
        <v>0</v>
      </c>
      <c r="N379" s="2032">
        <f>IFERROR(N77/$G379/$H379/'4. L PLAN'!J$109,0)</f>
        <v>0</v>
      </c>
      <c r="O379" s="2033">
        <f>IFERROR(O77/$G379/$H379/'4. L PLAN'!K$109,0)</f>
        <v>0</v>
      </c>
      <c r="P379" s="2034">
        <f>IFERROR(P77/$G379/$H379/'4. L PLAN'!L$109,0)</f>
        <v>0</v>
      </c>
      <c r="Q379" s="2032">
        <f>IFERROR(Q77/$G379/$H379/'4. L PLAN'!M$109,0)</f>
        <v>0</v>
      </c>
      <c r="R379" s="2033">
        <f>IFERROR(R77/$G379/$H379/'4. L PLAN'!N$109,0)</f>
        <v>0</v>
      </c>
      <c r="S379" s="2034">
        <f>IFERROR(S77/$G379/$H379/'4. L PLAN'!O$109,0)</f>
        <v>0</v>
      </c>
      <c r="T379" s="2032">
        <f>IFERROR(T77/$G379/$H379/'4. L PLAN'!P$109,0)</f>
        <v>0</v>
      </c>
      <c r="U379" s="2033">
        <f>IFERROR(U77/$G379/$H379/'4. L PLAN'!Q$109,0)</f>
        <v>0</v>
      </c>
      <c r="V379" s="2035">
        <f t="shared" si="245"/>
        <v>0</v>
      </c>
      <c r="W379" s="1535"/>
      <c r="X379" s="1535"/>
      <c r="Y379" s="1535"/>
      <c r="AA379" s="1658">
        <f t="shared" si="246"/>
        <v>0</v>
      </c>
      <c r="AB379" s="1765">
        <f t="shared" si="246"/>
        <v>0</v>
      </c>
      <c r="AC379" s="1724">
        <f t="shared" si="246"/>
        <v>0</v>
      </c>
      <c r="AD379" s="1535" t="b">
        <f t="shared" si="247"/>
        <v>1</v>
      </c>
      <c r="AE379" s="1535" t="b">
        <f t="shared" si="247"/>
        <v>1</v>
      </c>
      <c r="AF379" s="1535" t="b">
        <f t="shared" si="247"/>
        <v>1</v>
      </c>
    </row>
    <row r="380" spans="1:34" s="1569" customFormat="1" ht="18" customHeight="1">
      <c r="A380" s="2039"/>
      <c r="B380" s="2127"/>
      <c r="C380" s="1658"/>
      <c r="D380" s="2000"/>
      <c r="E380" s="1658"/>
      <c r="F380" s="2013" t="str">
        <f>F248</f>
        <v>Others Part</v>
      </c>
      <c r="G380" s="3700"/>
      <c r="H380" s="1765"/>
      <c r="I380" s="3674"/>
      <c r="J380" s="4727">
        <f>IFERROR(J78/$G380/$H380/'4. L PLAN'!F$109,0)</f>
        <v>0</v>
      </c>
      <c r="K380" s="5402">
        <f>IFERROR(K78/$G380/$H380/'4. L PLAN'!G$109,0)</f>
        <v>0</v>
      </c>
      <c r="L380" s="6235">
        <f>IFERROR(L78/$G380/$H380/'4. L PLAN'!H$109,0)</f>
        <v>0</v>
      </c>
      <c r="M380" s="6236">
        <f>IFERROR(M78/$G380/$H380/'4. L PLAN'!I$109,0)</f>
        <v>0</v>
      </c>
      <c r="N380" s="2032">
        <f>IFERROR(N78/$G380/$H380/'4. L PLAN'!J$109,0)</f>
        <v>0</v>
      </c>
      <c r="O380" s="2033">
        <f>IFERROR(O78/$G380/$H380/'4. L PLAN'!K$109,0)</f>
        <v>0</v>
      </c>
      <c r="P380" s="2034">
        <f>IFERROR(P78/$G380/$H380/'4. L PLAN'!L$109,0)</f>
        <v>0</v>
      </c>
      <c r="Q380" s="2032">
        <f>IFERROR(Q78/$G380/$H380/'4. L PLAN'!M$109,0)</f>
        <v>0</v>
      </c>
      <c r="R380" s="2033">
        <f>IFERROR(R78/$G380/$H380/'4. L PLAN'!N$109,0)</f>
        <v>0</v>
      </c>
      <c r="S380" s="2034">
        <f>IFERROR(S78/$G380/$H380/'4. L PLAN'!O$109,0)</f>
        <v>0</v>
      </c>
      <c r="T380" s="2032">
        <f>IFERROR(T78/$G380/$H380/'4. L PLAN'!P$109,0)</f>
        <v>0</v>
      </c>
      <c r="U380" s="2033">
        <f>IFERROR(U78/$G380/$H380/'4. L PLAN'!Q$109,0)</f>
        <v>0</v>
      </c>
      <c r="V380" s="2035">
        <f t="shared" si="245"/>
        <v>0</v>
      </c>
      <c r="W380" s="1535"/>
      <c r="X380" s="1535"/>
      <c r="Y380" s="1535"/>
      <c r="AA380" s="1658">
        <f t="shared" si="246"/>
        <v>0</v>
      </c>
      <c r="AB380" s="1765">
        <f t="shared" si="246"/>
        <v>0</v>
      </c>
      <c r="AC380" s="1724">
        <f t="shared" si="246"/>
        <v>0</v>
      </c>
      <c r="AD380" s="1535" t="b">
        <f t="shared" si="247"/>
        <v>1</v>
      </c>
      <c r="AE380" s="1535" t="b">
        <f t="shared" si="247"/>
        <v>1</v>
      </c>
      <c r="AF380" s="1535" t="b">
        <f t="shared" si="247"/>
        <v>1</v>
      </c>
    </row>
    <row r="381" spans="1:34" ht="18" customHeight="1" thickBot="1">
      <c r="A381" s="2040"/>
      <c r="B381" s="1966"/>
      <c r="C381" s="1726" t="s">
        <v>43</v>
      </c>
      <c r="D381" s="1726"/>
      <c r="E381" s="1726"/>
      <c r="F381" s="1727"/>
      <c r="G381" s="1901"/>
      <c r="H381" s="2036"/>
      <c r="I381" s="2787"/>
      <c r="J381" s="4553">
        <f t="shared" ref="J381:U381" si="248">SUM(J378:J380)</f>
        <v>0</v>
      </c>
      <c r="K381" s="5008">
        <f t="shared" si="248"/>
        <v>0.17776162199536341</v>
      </c>
      <c r="L381" s="5500">
        <f t="shared" si="248"/>
        <v>0</v>
      </c>
      <c r="M381" s="4553">
        <f t="shared" si="248"/>
        <v>1.6097420292320037</v>
      </c>
      <c r="N381" s="1564">
        <f t="shared" si="248"/>
        <v>0.23478260869565218</v>
      </c>
      <c r="O381" s="1565">
        <f t="shared" si="248"/>
        <v>0</v>
      </c>
      <c r="P381" s="1563">
        <f t="shared" si="248"/>
        <v>0</v>
      </c>
      <c r="Q381" s="1564">
        <f t="shared" si="248"/>
        <v>1.1614955996133041</v>
      </c>
      <c r="R381" s="1565">
        <f t="shared" si="248"/>
        <v>1.8874303493716191</v>
      </c>
      <c r="S381" s="1563">
        <f t="shared" si="248"/>
        <v>1.1184772440720705</v>
      </c>
      <c r="T381" s="1564">
        <f t="shared" si="248"/>
        <v>1.2079554235978363</v>
      </c>
      <c r="U381" s="1565">
        <f t="shared" si="248"/>
        <v>1.1184772440720705</v>
      </c>
      <c r="V381" s="1905">
        <f t="shared" si="245"/>
        <v>0.70967684338749326</v>
      </c>
      <c r="AA381" s="1901">
        <f t="shared" si="246"/>
        <v>0</v>
      </c>
      <c r="AB381" s="2036">
        <f t="shared" si="246"/>
        <v>0</v>
      </c>
      <c r="AC381" s="1902">
        <f t="shared" si="246"/>
        <v>0</v>
      </c>
      <c r="AD381" s="1535" t="b">
        <f t="shared" si="247"/>
        <v>1</v>
      </c>
      <c r="AE381" s="1535" t="b">
        <f t="shared" si="247"/>
        <v>1</v>
      </c>
      <c r="AF381" s="1535" t="b">
        <f t="shared" si="247"/>
        <v>1</v>
      </c>
    </row>
    <row r="382" spans="1:34" ht="18" customHeight="1" thickBot="1">
      <c r="A382" s="7081" t="s">
        <v>137</v>
      </c>
      <c r="B382" s="7082"/>
      <c r="C382" s="7082"/>
      <c r="D382" s="7082"/>
      <c r="E382" s="7082"/>
      <c r="F382" s="7082"/>
      <c r="G382" s="7082"/>
      <c r="H382" s="7082"/>
      <c r="I382" s="7083"/>
      <c r="J382" s="3952">
        <f t="shared" ref="J382:V382" si="249">(+J381)</f>
        <v>0</v>
      </c>
      <c r="K382" s="5012">
        <f t="shared" si="249"/>
        <v>0.17776162199536341</v>
      </c>
      <c r="L382" s="5505">
        <f t="shared" si="249"/>
        <v>0</v>
      </c>
      <c r="M382" s="3952">
        <f t="shared" si="249"/>
        <v>1.6097420292320037</v>
      </c>
      <c r="N382" s="1605">
        <f t="shared" si="249"/>
        <v>0.23478260869565218</v>
      </c>
      <c r="O382" s="1606">
        <f t="shared" si="249"/>
        <v>0</v>
      </c>
      <c r="P382" s="1604">
        <f t="shared" si="249"/>
        <v>0</v>
      </c>
      <c r="Q382" s="1605">
        <f t="shared" si="249"/>
        <v>1.1614955996133041</v>
      </c>
      <c r="R382" s="1606">
        <f t="shared" si="249"/>
        <v>1.8874303493716191</v>
      </c>
      <c r="S382" s="1604">
        <f t="shared" si="249"/>
        <v>1.1184772440720705</v>
      </c>
      <c r="T382" s="1605">
        <f t="shared" si="249"/>
        <v>1.2079554235978363</v>
      </c>
      <c r="U382" s="1606">
        <f t="shared" si="249"/>
        <v>1.1184772440720705</v>
      </c>
      <c r="V382" s="1674">
        <f t="shared" si="249"/>
        <v>0.70967684338749326</v>
      </c>
      <c r="AA382" s="1535"/>
      <c r="AB382" s="1535"/>
      <c r="AC382" s="1535"/>
    </row>
    <row r="383" spans="1:34" ht="18" customHeight="1">
      <c r="J383" s="1536"/>
      <c r="V383" s="1613"/>
    </row>
    <row r="384" spans="1:34" s="1610" customFormat="1" ht="18" customHeight="1" thickBot="1">
      <c r="A384" s="1538" t="s">
        <v>1273</v>
      </c>
      <c r="F384" s="1611" t="s">
        <v>88</v>
      </c>
      <c r="G384" s="1838">
        <v>0.9</v>
      </c>
      <c r="H384" s="1789"/>
      <c r="I384" s="1790"/>
      <c r="J384" s="1534"/>
      <c r="K384" s="1534"/>
      <c r="L384" s="1534"/>
      <c r="M384" s="1534"/>
      <c r="N384" s="1612"/>
      <c r="O384" s="1612"/>
      <c r="P384" s="1612"/>
      <c r="Q384" s="1612"/>
      <c r="R384" s="1612"/>
      <c r="S384" s="1612"/>
      <c r="T384" s="1612"/>
      <c r="U384" s="1612"/>
      <c r="V384" s="1537" t="s">
        <v>278</v>
      </c>
      <c r="W384" s="1535"/>
      <c r="X384" s="1535"/>
      <c r="Y384" s="1535"/>
      <c r="Z384" s="1535"/>
      <c r="AA384" s="1838">
        <v>0.9</v>
      </c>
      <c r="AB384" s="1789"/>
      <c r="AC384" s="1790"/>
      <c r="AD384" s="1535"/>
      <c r="AE384" s="1535"/>
      <c r="AF384" s="1535"/>
      <c r="AG384" s="1535"/>
      <c r="AH384" s="1535"/>
    </row>
    <row r="385" spans="1:34" s="1610" customFormat="1" ht="24.9" customHeight="1" thickBot="1">
      <c r="A385" s="1539" t="s">
        <v>40</v>
      </c>
      <c r="B385" s="74" t="s">
        <v>106</v>
      </c>
      <c r="C385" s="74" t="s">
        <v>45</v>
      </c>
      <c r="D385" s="65" t="s">
        <v>989</v>
      </c>
      <c r="E385" s="74" t="s">
        <v>1011</v>
      </c>
      <c r="F385" s="74" t="s">
        <v>107</v>
      </c>
      <c r="G385" s="74" t="s">
        <v>182</v>
      </c>
      <c r="H385" s="1995" t="s">
        <v>189</v>
      </c>
      <c r="I385" s="1927" t="s">
        <v>247</v>
      </c>
      <c r="J385" s="4490" t="s">
        <v>1292</v>
      </c>
      <c r="K385" s="5005" t="s">
        <v>1293</v>
      </c>
      <c r="L385" s="5494" t="s">
        <v>1294</v>
      </c>
      <c r="M385" s="4490" t="s">
        <v>1295</v>
      </c>
      <c r="N385" s="74" t="s">
        <v>1296</v>
      </c>
      <c r="O385" s="1540" t="s">
        <v>1297</v>
      </c>
      <c r="P385" s="1539" t="s">
        <v>1298</v>
      </c>
      <c r="Q385" s="74" t="s">
        <v>1299</v>
      </c>
      <c r="R385" s="1540" t="s">
        <v>1300</v>
      </c>
      <c r="S385" s="1539" t="s">
        <v>1301</v>
      </c>
      <c r="T385" s="74" t="s">
        <v>1302</v>
      </c>
      <c r="U385" s="1540" t="s">
        <v>1303</v>
      </c>
      <c r="V385" s="1541" t="s">
        <v>1304</v>
      </c>
      <c r="W385" s="1535"/>
      <c r="X385" s="1535"/>
      <c r="Y385" s="1535"/>
      <c r="Z385" s="1535"/>
      <c r="AA385" s="74" t="s">
        <v>182</v>
      </c>
      <c r="AB385" s="1995" t="s">
        <v>189</v>
      </c>
      <c r="AC385" s="1927" t="s">
        <v>247</v>
      </c>
      <c r="AD385" s="1535"/>
      <c r="AE385" s="1535"/>
      <c r="AF385" s="1535"/>
      <c r="AG385" s="1535"/>
      <c r="AH385" s="1535"/>
    </row>
    <row r="386" spans="1:34" ht="18" customHeight="1">
      <c r="A386" s="2039"/>
      <c r="B386" s="1763"/>
      <c r="C386" s="1658" t="s">
        <v>544</v>
      </c>
      <c r="D386" s="54"/>
      <c r="E386" s="54">
        <f>VLOOKUP(F386,B.BasicInfomation!B:C,2,0)</f>
        <v>14</v>
      </c>
      <c r="F386" s="10" t="str">
        <f>F309</f>
        <v>GEN3 AL5 Housing (YT)</v>
      </c>
      <c r="G386" s="1863">
        <v>1170</v>
      </c>
      <c r="H386" s="1765">
        <v>0.98</v>
      </c>
      <c r="I386" s="1938">
        <v>1</v>
      </c>
      <c r="J386" s="4727">
        <f>(J104+J105+J107+J106)/($G$386/$I$386/(100%+(100%-$H$386)))/'4. L PLAN'!F$109</f>
        <v>2.1171446541284249</v>
      </c>
      <c r="K386" s="5397">
        <f>(K104+K105+K107+K106)/($G$386/$I$386/(100%+(100%-$H$386)))/'4. L PLAN'!G$109</f>
        <v>3.3639076171151645</v>
      </c>
      <c r="L386" s="6228">
        <f>(L104+L105+L107+L106)/($G$386/$I$386/(100%+(100%-$H$386)))/'4. L PLAN'!H$109</f>
        <v>3.1993555721172302</v>
      </c>
      <c r="M386" s="4727">
        <f>(M104+M105+M107+M106)/($G$386/$I$386/(100%+(100%-$H$386)))/'4. L PLAN'!I$109</f>
        <v>3.8865910343749799</v>
      </c>
      <c r="N386" s="3702">
        <f>(N104+N105+N107+N106)/($G$386/$I$386/(100%+(100%-$H$386)))/'4. L PLAN'!J$109</f>
        <v>2.7272467660183635</v>
      </c>
      <c r="O386" s="3703">
        <f>(O104+O105+O107+O106)/($G$386/$I$386/(100%+(100%-$H$386)))/'4. L PLAN'!K$109</f>
        <v>3.8316041179817169</v>
      </c>
      <c r="P386" s="3701">
        <f>(P104+P105+P107+P106)/($G$386/$I$386/(100%+(100%-$H$386)))/'4. L PLAN'!L$109</f>
        <v>2.9716061778372715</v>
      </c>
      <c r="Q386" s="3702">
        <f>(Q104+Q105+Q107+Q106)/($G$386/$I$386/(100%+(100%-$H$386)))/'4. L PLAN'!M$109</f>
        <v>2.9152291819337757</v>
      </c>
      <c r="R386" s="3703">
        <f>(R104+R105+R107+R106)/($G$386/$I$386/(100%+(100%-$H$386)))/'4. L PLAN'!N$109</f>
        <v>0</v>
      </c>
      <c r="S386" s="3701">
        <f>(S104+S105+S107+S106)/($G$386/$I$386/(100%+(100%-$H$386)))/'4. L PLAN'!O$109</f>
        <v>0</v>
      </c>
      <c r="T386" s="3702">
        <f>(T104+T105+T107+T106)/($G$386/$I$386/(100%+(100%-$H$386)))/'4. L PLAN'!P$109</f>
        <v>0</v>
      </c>
      <c r="U386" s="3703">
        <f>(U104+U105+U107+U106)/($G$386/$I$386/(100%+(100%-$H$386)))/'4. L PLAN'!Q$109</f>
        <v>0</v>
      </c>
      <c r="V386" s="1557">
        <f t="shared" ref="V386:V395" si="250">AVERAGE(J386:U386)</f>
        <v>2.0843904267922437</v>
      </c>
      <c r="AA386" s="1863">
        <f t="shared" ref="AA386:AC395" si="251">G386</f>
        <v>1170</v>
      </c>
      <c r="AB386" s="1765">
        <f t="shared" si="251"/>
        <v>0.98</v>
      </c>
      <c r="AC386" s="1766">
        <f t="shared" si="251"/>
        <v>1</v>
      </c>
      <c r="AD386" s="1535" t="b">
        <f t="shared" ref="AD386:AF394" si="252">AA386=G386</f>
        <v>1</v>
      </c>
      <c r="AE386" s="1535" t="b">
        <f t="shared" si="252"/>
        <v>1</v>
      </c>
      <c r="AF386" s="1535" t="b">
        <f t="shared" si="252"/>
        <v>1</v>
      </c>
    </row>
    <row r="387" spans="1:34" ht="18" customHeight="1">
      <c r="A387" s="2039"/>
      <c r="B387" s="1763"/>
      <c r="C387" s="1658"/>
      <c r="D387" s="54"/>
      <c r="E387" s="54" t="str">
        <f>VLOOKUP(F387,B.BasicInfomation!B:C,2,0)</f>
        <v/>
      </c>
      <c r="F387" s="10" t="s">
        <v>1312</v>
      </c>
      <c r="G387" s="1863">
        <v>878</v>
      </c>
      <c r="H387" s="1765">
        <v>0.98</v>
      </c>
      <c r="I387" s="1938">
        <v>1</v>
      </c>
      <c r="J387" s="4727">
        <f>(J116/($G$387/$I$387/(100%+(100%-$H$387)))/'4. L PLAN'!F109)</f>
        <v>0</v>
      </c>
      <c r="K387" s="5397">
        <f>(K116/($G$387/$I$387/(100%+(100%-$H$387)))/'4. L PLAN'!G109)</f>
        <v>0</v>
      </c>
      <c r="L387" s="6228">
        <f>(L116/($G$387/$I$387/(100%+(100%-$H$387)))/'4. L PLAN'!H109)</f>
        <v>0.82427122703263467</v>
      </c>
      <c r="M387" s="4727">
        <f>(M116/($G$387/$I$387/(100%+(100%-$H$387)))/'4. L PLAN'!I109)</f>
        <v>1.856934243762103</v>
      </c>
      <c r="N387" s="3702">
        <f>(N116/($G$387/$I$387/(100%+(100%-$H$387)))/'4. L PLAN'!J109)</f>
        <v>0</v>
      </c>
      <c r="O387" s="3703">
        <f>(O116/($G$387/$I$387/(100%+(100%-$H$387)))/'4. L PLAN'!K109)</f>
        <v>0</v>
      </c>
      <c r="P387" s="3701">
        <f>(P116/($G$387/$I$387/(100%+(100%-$H$387)))/'4. L PLAN'!L109)</f>
        <v>0</v>
      </c>
      <c r="Q387" s="3702">
        <f>(Q116/($G$387/$I$387/(100%+(100%-$H$387)))/'4. L PLAN'!M109)</f>
        <v>0</v>
      </c>
      <c r="R387" s="3703">
        <f>(R116/($G$387/$I$387/(100%+(100%-$H$387)))/'4. L PLAN'!N109)</f>
        <v>0</v>
      </c>
      <c r="S387" s="3701">
        <f>(S116/($G$387/$I$387/(100%+(100%-$H$387)))/'4. L PLAN'!O109)</f>
        <v>0</v>
      </c>
      <c r="T387" s="3702">
        <f>(T116/($G$387/$I$387/(100%+(100%-$H$387)))/'4. L PLAN'!P109)</f>
        <v>0</v>
      </c>
      <c r="U387" s="3703">
        <f>(U116/($G$387/$I$387/(100%+(100%-$H$387)))/'4. L PLAN'!Q109)</f>
        <v>0</v>
      </c>
      <c r="V387" s="1557">
        <f t="shared" si="250"/>
        <v>0.22343378923289481</v>
      </c>
      <c r="AA387" s="1863">
        <f t="shared" si="251"/>
        <v>878</v>
      </c>
      <c r="AB387" s="1765">
        <f t="shared" si="251"/>
        <v>0.98</v>
      </c>
      <c r="AC387" s="1766">
        <f t="shared" si="251"/>
        <v>1</v>
      </c>
      <c r="AD387" s="1535" t="b">
        <f t="shared" si="252"/>
        <v>1</v>
      </c>
      <c r="AE387" s="1535" t="b">
        <f t="shared" si="252"/>
        <v>1</v>
      </c>
      <c r="AF387" s="1535" t="b">
        <f t="shared" si="252"/>
        <v>1</v>
      </c>
    </row>
    <row r="388" spans="1:34" ht="18" customHeight="1">
      <c r="A388" s="2039"/>
      <c r="B388" s="1763"/>
      <c r="C388" s="1658"/>
      <c r="D388" s="54"/>
      <c r="E388" s="54">
        <f>VLOOKUP(F388,B.BasicInfomation!B:C,2,0)</f>
        <v>23</v>
      </c>
      <c r="F388" s="10" t="s">
        <v>1411</v>
      </c>
      <c r="G388" s="1863">
        <v>846</v>
      </c>
      <c r="H388" s="1765">
        <v>0.98</v>
      </c>
      <c r="I388" s="1938">
        <v>1</v>
      </c>
      <c r="J388" s="4727">
        <f>(J121/($G$388/$I$388/(100%+(100%-$H$388)))/'4. L PLAN'!F109)</f>
        <v>0.14117225619447973</v>
      </c>
      <c r="K388" s="5397">
        <f>(K121/($G$388/$I$388/(100%+(100%-$H$388)))/'4. L PLAN'!G109)</f>
        <v>1.5376546313910096</v>
      </c>
      <c r="L388" s="6228">
        <f>(L121/($G$388/$I$388/(100%+(100%-$H$388)))/'4. L PLAN'!H109)</f>
        <v>1.5139984062926861</v>
      </c>
      <c r="M388" s="4727">
        <f>(M121/($G$388/$I$388/(100%+(100%-$H$388)))/'4. L PLAN'!I109)</f>
        <v>1.1592458988002898</v>
      </c>
      <c r="N388" s="3702">
        <f>(N121/($G$388/$I$388/(100%+(100%-$H$388)))/'4. L PLAN'!J109)</f>
        <v>1.8185040012484546</v>
      </c>
      <c r="O388" s="3703">
        <f>(O121/($G$388/$I$388/(100%+(100%-$H$388)))/'4. L PLAN'!K109)</f>
        <v>1.7485615396619756</v>
      </c>
      <c r="P388" s="3701">
        <f>(P121/($G$388/$I$388/(100%+(100%-$H$388)))/'4. L PLAN'!L109)</f>
        <v>1.6838000011559766</v>
      </c>
      <c r="Q388" s="3702">
        <f>(Q121/($G$388/$I$388/(100%+(100%-$H$388)))/'4. L PLAN'!M109)</f>
        <v>0.96872468015223645</v>
      </c>
      <c r="R388" s="3703">
        <f>(R121/($G$388/$I$388/(100%+(100%-$H$388)))/'4. L PLAN'!N109)</f>
        <v>0</v>
      </c>
      <c r="S388" s="3701">
        <f>(S121/($G$388/$I$388/(100%+(100%-$H$388)))/'4. L PLAN'!O109)</f>
        <v>0</v>
      </c>
      <c r="T388" s="3702">
        <f>(T121/($G$388/$I$388/(100%+(100%-$H$388)))/'4. L PLAN'!P109)</f>
        <v>0</v>
      </c>
      <c r="U388" s="3703">
        <f>(U121/($G$388/$I$388/(100%+(100%-$H$388)))/'4. L PLAN'!Q109)</f>
        <v>0</v>
      </c>
      <c r="V388" s="1557">
        <f t="shared" si="250"/>
        <v>0.880971784574759</v>
      </c>
      <c r="AA388" s="1863">
        <f t="shared" si="251"/>
        <v>846</v>
      </c>
      <c r="AB388" s="1765">
        <f t="shared" si="251"/>
        <v>0.98</v>
      </c>
      <c r="AC388" s="1766">
        <f t="shared" si="251"/>
        <v>1</v>
      </c>
      <c r="AD388" s="1535" t="b">
        <f t="shared" si="252"/>
        <v>1</v>
      </c>
      <c r="AE388" s="1535" t="b">
        <f t="shared" si="252"/>
        <v>1</v>
      </c>
      <c r="AF388" s="1535" t="b">
        <f t="shared" si="252"/>
        <v>1</v>
      </c>
    </row>
    <row r="389" spans="1:34" ht="18" customHeight="1">
      <c r="A389" s="2039"/>
      <c r="B389" s="1763"/>
      <c r="C389" s="1658"/>
      <c r="D389" s="54"/>
      <c r="E389" s="54"/>
      <c r="F389" s="10" t="s">
        <v>1412</v>
      </c>
      <c r="G389" s="1863">
        <v>846</v>
      </c>
      <c r="H389" s="1765">
        <v>0.98</v>
      </c>
      <c r="I389" s="1938">
        <v>1</v>
      </c>
      <c r="J389" s="4727">
        <f>(J122/($G$389/$I$389/(100%+(100%-$H$389)))/'4. L PLAN'!F109)</f>
        <v>0</v>
      </c>
      <c r="K389" s="5397">
        <f>(K122/($G$389/$I$389/(100%+(100%-$H$389)))/'4. L PLAN'!G109)</f>
        <v>1.8976571492941416</v>
      </c>
      <c r="L389" s="6228">
        <f>(L122/($G$389/$I$389/(100%+(100%-$H$389)))/'4. L PLAN'!H109)</f>
        <v>0</v>
      </c>
      <c r="M389" s="4727">
        <f>(M122/($G$389/$I$389/(100%+(100%-$H$389)))/'4. L PLAN'!I109)</f>
        <v>1.3801142903957393</v>
      </c>
      <c r="N389" s="3702">
        <f>(N122/($G$389/$I$389/(100%+(100%-$H$389)))/'4. L PLAN'!J109)</f>
        <v>1.6161532658902797</v>
      </c>
      <c r="O389" s="3703">
        <f>(O122/($G$389/$I$389/(100%+(100%-$H$389)))/'4. L PLAN'!K109)</f>
        <v>1.3512987172995647</v>
      </c>
      <c r="P389" s="3701">
        <f>(P122/($G$389/$I$389/(100%+(100%-$H$389)))/'4. L PLAN'!L109)</f>
        <v>1.1245375699520839</v>
      </c>
      <c r="Q389" s="3702">
        <f>(Q122/($G$389/$I$389/(100%+(100%-$H$389)))/'4. L PLAN'!M109)</f>
        <v>0</v>
      </c>
      <c r="R389" s="3703">
        <f>(R122/($G$389/$I$389/(100%+(100%-$H$389)))/'4. L PLAN'!N109)</f>
        <v>0</v>
      </c>
      <c r="S389" s="3701">
        <f>(S122/($G$389/$I$389/(100%+(100%-$H$389)))/'4. L PLAN'!O109)</f>
        <v>0</v>
      </c>
      <c r="T389" s="3702">
        <f>(T122/($G$389/$I$389/(100%+(100%-$H$389)))/'4. L PLAN'!P109)</f>
        <v>0</v>
      </c>
      <c r="U389" s="3703">
        <f>(U122/($G$389/$I$389/(100%+(100%-$H$389)))/'4. L PLAN'!Q109)</f>
        <v>0</v>
      </c>
      <c r="V389" s="1557">
        <f t="shared" si="250"/>
        <v>0.61414674940265079</v>
      </c>
      <c r="AA389" s="1863"/>
      <c r="AB389" s="1765"/>
      <c r="AC389" s="1766"/>
    </row>
    <row r="390" spans="1:34" ht="18" customHeight="1">
      <c r="A390" s="2039"/>
      <c r="B390" s="1763"/>
      <c r="C390" s="1658"/>
      <c r="D390" s="54"/>
      <c r="E390" s="54">
        <f>VLOOKUP(F390,B.BasicInfomation!B:C,2,0)</f>
        <v>19</v>
      </c>
      <c r="F390" s="10" t="s">
        <v>858</v>
      </c>
      <c r="G390" s="1863">
        <v>840</v>
      </c>
      <c r="H390" s="1765">
        <v>0.98</v>
      </c>
      <c r="I390" s="1938">
        <v>1</v>
      </c>
      <c r="J390" s="4727">
        <f>(J115/($G$390/$I$390/(100%+(100%-$H$390)))/'4. L PLAN'!F109)</f>
        <v>0.21850032863187938</v>
      </c>
      <c r="K390" s="5397">
        <f>(K115/($G$390/$I$390/(100%+(100%-$H$390)))/'4. L PLAN'!G109)</f>
        <v>0</v>
      </c>
      <c r="L390" s="6228">
        <f>(L115/($G$390/$I$390/(100%+(100%-$H$390)))/'4. L PLAN'!H109)</f>
        <v>0</v>
      </c>
      <c r="M390" s="4727">
        <f>(M115/($G$390/$I$390/(100%+(100%-$H$390)))/'4. L PLAN'!I109)</f>
        <v>0</v>
      </c>
      <c r="N390" s="3702">
        <f>(N115/($G$390/$I$390/(100%+(100%-$H$390)))/'4. L PLAN'!J109)</f>
        <v>0</v>
      </c>
      <c r="O390" s="3703">
        <f>(O115/($G$390/$I$390/(100%+(100%-$H$390)))/'4. L PLAN'!K109)</f>
        <v>0</v>
      </c>
      <c r="P390" s="3701">
        <f>(P115/($G$390/$I$390/(100%+(100%-$H$390)))/'4. L PLAN'!L109)</f>
        <v>1.2910100733180678</v>
      </c>
      <c r="Q390" s="3702">
        <f>(Q115/($G$390/$I$390/(100%+(100%-$H$390)))/'4. L PLAN'!M109)</f>
        <v>0</v>
      </c>
      <c r="R390" s="3703">
        <f>(R115/($G$390/$I$390/(100%+(100%-$H$390)))/'4. L PLAN'!N109)</f>
        <v>0</v>
      </c>
      <c r="S390" s="3701">
        <f>(S115/($G$390/$I$390/(100%+(100%-$H$390)))/'4. L PLAN'!O109)</f>
        <v>0</v>
      </c>
      <c r="T390" s="3702">
        <f>(T115/($G$390/$I$390/(100%+(100%-$H$390)))/'4. L PLAN'!P109)</f>
        <v>0</v>
      </c>
      <c r="U390" s="3703">
        <f>(U115/($G$390/$I$390/(100%+(100%-$H$390)))/'4. L PLAN'!Q109)</f>
        <v>0</v>
      </c>
      <c r="V390" s="1557">
        <f t="shared" si="250"/>
        <v>0.12579253349582895</v>
      </c>
      <c r="AA390" s="1863">
        <f t="shared" si="251"/>
        <v>840</v>
      </c>
      <c r="AB390" s="1765">
        <f t="shared" si="251"/>
        <v>0.98</v>
      </c>
      <c r="AC390" s="1766">
        <f t="shared" si="251"/>
        <v>1</v>
      </c>
      <c r="AD390" s="1535" t="b">
        <f t="shared" si="252"/>
        <v>1</v>
      </c>
      <c r="AE390" s="1535" t="b">
        <f t="shared" si="252"/>
        <v>1</v>
      </c>
      <c r="AF390" s="1535" t="b">
        <f t="shared" si="252"/>
        <v>1</v>
      </c>
    </row>
    <row r="391" spans="1:34" ht="18" customHeight="1">
      <c r="A391" s="2039"/>
      <c r="B391" s="1763"/>
      <c r="C391" s="1658"/>
      <c r="D391" s="54"/>
      <c r="E391" s="54">
        <f>VLOOKUP(F391,B.BasicInfomation!B:C,2,0)</f>
        <v>21</v>
      </c>
      <c r="F391" s="10" t="s">
        <v>1413</v>
      </c>
      <c r="G391" s="1863">
        <v>846</v>
      </c>
      <c r="H391" s="1765">
        <v>0.98</v>
      </c>
      <c r="I391" s="1938">
        <v>1</v>
      </c>
      <c r="J391" s="4727">
        <f>(J119/($G$391/$I$391/(100%+(100%-$H$391)))/'4. L PLAN'!F109)</f>
        <v>0.44728453256167006</v>
      </c>
      <c r="K391" s="5397">
        <f>(K119/($G$391/$I$391/(100%+(100%-$H$391)))/'4. L PLAN'!G109)</f>
        <v>1.8178150657972587</v>
      </c>
      <c r="L391" s="6228">
        <f>(L119/($G$391/$I$391/(100%+(100%-$H$391)))/'4. L PLAN'!H109)</f>
        <v>1.1386282770857501</v>
      </c>
      <c r="M391" s="4727">
        <f>(M119/($G$391/$I$391/(100%+(100%-$H$391)))/'4. L PLAN'!I109)</f>
        <v>0.52219315828355972</v>
      </c>
      <c r="N391" s="3702">
        <f>(N119/($G$391/$I$391/(100%+(100%-$H$391)))/'4. L PLAN'!J109)</f>
        <v>0.83679841907661778</v>
      </c>
      <c r="O391" s="3703">
        <f>(O119/($G$391/$I$391/(100%+(100%-$H$391)))/'4. L PLAN'!K109)</f>
        <v>0.72960748729789848</v>
      </c>
      <c r="P391" s="3701">
        <f>(P119/($G$391/$I$391/(100%+(100%-$H$391)))/'4. L PLAN'!L109)</f>
        <v>0</v>
      </c>
      <c r="Q391" s="3702">
        <f>(Q119/($G$391/$I$391/(100%+(100%-$H$391)))/'4. L PLAN'!M109)</f>
        <v>0</v>
      </c>
      <c r="R391" s="3703">
        <f>(R119/($G$391/$I$391/(100%+(100%-$H$391)))/'4. L PLAN'!N109)</f>
        <v>0</v>
      </c>
      <c r="S391" s="3701">
        <f>(S119/($G$391/$I$391/(100%+(100%-$H$391)))/'4. L PLAN'!O109)</f>
        <v>0</v>
      </c>
      <c r="T391" s="3702">
        <f>(T119/($G$391/$I$391/(100%+(100%-$H$391)))/'4. L PLAN'!P109)</f>
        <v>0</v>
      </c>
      <c r="U391" s="3703">
        <f>(U119/($G$391/$I$391/(100%+(100%-$H$391)))/'4. L PLAN'!Q109)</f>
        <v>0</v>
      </c>
      <c r="V391" s="1557">
        <f t="shared" si="250"/>
        <v>0.4576939116752296</v>
      </c>
      <c r="AA391" s="1863">
        <f>G391</f>
        <v>846</v>
      </c>
      <c r="AB391" s="1765">
        <f>H391</f>
        <v>0.98</v>
      </c>
      <c r="AC391" s="1766">
        <f>I391</f>
        <v>1</v>
      </c>
      <c r="AD391" s="1535" t="b">
        <f>AA391=G391</f>
        <v>1</v>
      </c>
      <c r="AE391" s="1535" t="b">
        <f>AB391=H391</f>
        <v>1</v>
      </c>
      <c r="AF391" s="1535" t="b">
        <f>AC391=I391</f>
        <v>1</v>
      </c>
    </row>
    <row r="392" spans="1:34" ht="18" customHeight="1">
      <c r="A392" s="2039"/>
      <c r="B392" s="1763"/>
      <c r="C392" s="1658"/>
      <c r="D392" s="54"/>
      <c r="E392" s="54"/>
      <c r="F392" s="10" t="s">
        <v>1414</v>
      </c>
      <c r="G392" s="1863">
        <v>846</v>
      </c>
      <c r="H392" s="1765">
        <v>0.98</v>
      </c>
      <c r="I392" s="1938">
        <v>1</v>
      </c>
      <c r="J392" s="4727">
        <f>(J120/($G$392/$I$392/(100%+(100%-$H$392)))/'4. L PLAN'!F109)</f>
        <v>0</v>
      </c>
      <c r="K392" s="5397">
        <f>(K120/($G$392/$I$392/(100%+(100%-$H$392)))/'4. L PLAN'!G109)</f>
        <v>1.8960386783778993</v>
      </c>
      <c r="L392" s="6228">
        <f>(L120/($G$392/$I$392/(100%+(100%-$H$392)))/'4. L PLAN'!H109)</f>
        <v>0</v>
      </c>
      <c r="M392" s="4727">
        <f>(M120/($G$392/$I$392/(100%+(100%-$H$392)))/'4. L PLAN'!I109)</f>
        <v>1.3789372206384722</v>
      </c>
      <c r="N392" s="3702">
        <f>(N120/($G$392/$I$392/(100%+(100%-$H$392)))/'4. L PLAN'!J109)</f>
        <v>1.3378448914634458</v>
      </c>
      <c r="O392" s="3703">
        <f>(O120/($G$392/$I$392/(100%+(100%-$H$392)))/'4. L PLAN'!K109)</f>
        <v>1.5125624248571508</v>
      </c>
      <c r="P392" s="3701">
        <f>(P120/($G$392/$I$392/(100%+(100%-$H$392)))/'4. L PLAN'!L109)</f>
        <v>1.737220860784586</v>
      </c>
      <c r="Q392" s="3702">
        <f>(Q120/($G$392/$I$392/(100%+(100%-$H$392)))/'4. L PLAN'!M109)</f>
        <v>0</v>
      </c>
      <c r="R392" s="3703">
        <f>(R120/($G$392/$I$392/(100%+(100%-$H$392)))/'4. L PLAN'!N109)</f>
        <v>0</v>
      </c>
      <c r="S392" s="3701">
        <f>(S120/($G$392/$I$392/(100%+(100%-$H$392)))/'4. L PLAN'!O109)</f>
        <v>0</v>
      </c>
      <c r="T392" s="3702">
        <f>(T120/($G$392/$I$392/(100%+(100%-$H$392)))/'4. L PLAN'!P109)</f>
        <v>0</v>
      </c>
      <c r="U392" s="3703">
        <f>(U120/($G$392/$I$392/(100%+(100%-$H$392)))/'4. L PLAN'!Q109)</f>
        <v>0</v>
      </c>
      <c r="V392" s="1557">
        <f t="shared" si="250"/>
        <v>0.65521700634346292</v>
      </c>
      <c r="AA392" s="1863"/>
      <c r="AB392" s="1765"/>
      <c r="AC392" s="1766"/>
    </row>
    <row r="393" spans="1:34" ht="18" customHeight="1">
      <c r="A393" s="2039"/>
      <c r="B393" s="1763"/>
      <c r="C393" s="3544" t="s">
        <v>347</v>
      </c>
      <c r="D393" s="3733"/>
      <c r="E393" s="3733">
        <f>VLOOKUP(F393,B.BasicInfomation!B:C,2,0)</f>
        <v>31</v>
      </c>
      <c r="F393" s="1622" t="s">
        <v>1313</v>
      </c>
      <c r="G393" s="3709">
        <v>878</v>
      </c>
      <c r="H393" s="3545">
        <v>0.98</v>
      </c>
      <c r="I393" s="3673">
        <v>1</v>
      </c>
      <c r="J393" s="4735">
        <f>(J136/($G$393/$I$393/(100%+(100%-$H$393)))/'4. L PLAN'!F109)</f>
        <v>2.6719196889425088</v>
      </c>
      <c r="K393" s="5405">
        <f>(K136/($G$393/$I$393/(100%+(100%-$H$393)))/'4. L PLAN'!G109)</f>
        <v>2.87652032824196</v>
      </c>
      <c r="L393" s="6241">
        <f>(L136/($G$393/$I$393/(100%+(100%-$H$393)))/'4. L PLAN'!H109)</f>
        <v>2.8591697585640876</v>
      </c>
      <c r="M393" s="4735">
        <f>(M136/($G$393/$I$393/(100%+(100%-$H$393)))/'4. L PLAN'!I109)</f>
        <v>2.9932794559565781</v>
      </c>
      <c r="N393" s="3735">
        <f>(N136/($G$393/$I$393/(100%+(100%-$H$393)))/'4. L PLAN'!J109)</f>
        <v>2.7758951890842694</v>
      </c>
      <c r="O393" s="3736">
        <f>(O136/($G$393/$I$393/(100%+(100%-$H$393)))/'4. L PLAN'!K109)</f>
        <v>2.7691509205883071</v>
      </c>
      <c r="P393" s="3734">
        <f>(P136/($G$393/$I$393/(100%+(100%-$H$393)))/'4. L PLAN'!L109)</f>
        <v>2.6627167328608077</v>
      </c>
      <c r="Q393" s="3735">
        <f>(Q136/($G$393/$I$393/(100%+(100%-$H$393)))/'4. L PLAN'!M109)</f>
        <v>2.639441236944192</v>
      </c>
      <c r="R393" s="3736">
        <f>(R136/($G$393/$I$393/(100%+(100%-$H$393)))/'4. L PLAN'!N109)</f>
        <v>3.2678796266928098</v>
      </c>
      <c r="S393" s="3734">
        <f>(S136/($G$393/$I$393/(100%+(100%-$H$393)))/'4. L PLAN'!O109)</f>
        <v>2.4206515753280069</v>
      </c>
      <c r="T393" s="3735">
        <f>(T136/($G$393/$I$393/(100%+(100%-$H$393)))/'4. L PLAN'!P109)</f>
        <v>2.7123400901550321</v>
      </c>
      <c r="U393" s="3736">
        <f>(U136/($G$393/$I$393/(100%+(100%-$H$393)))/'4. L PLAN'!Q109)</f>
        <v>2.5114260094028076</v>
      </c>
      <c r="V393" s="1595">
        <f t="shared" si="250"/>
        <v>2.7633658843967801</v>
      </c>
      <c r="AA393" s="1863">
        <f t="shared" si="251"/>
        <v>878</v>
      </c>
      <c r="AB393" s="1765">
        <f t="shared" si="251"/>
        <v>0.98</v>
      </c>
      <c r="AC393" s="1766">
        <f t="shared" si="251"/>
        <v>1</v>
      </c>
      <c r="AD393" s="1535" t="b">
        <f t="shared" si="252"/>
        <v>1</v>
      </c>
      <c r="AE393" s="1535" t="b">
        <f t="shared" si="252"/>
        <v>1</v>
      </c>
      <c r="AF393" s="1535" t="b">
        <f t="shared" si="252"/>
        <v>1</v>
      </c>
    </row>
    <row r="394" spans="1:34" ht="18" customHeight="1">
      <c r="A394" s="2040"/>
      <c r="B394" s="1966"/>
      <c r="C394" s="1726" t="s">
        <v>43</v>
      </c>
      <c r="D394" s="1726"/>
      <c r="E394" s="1726"/>
      <c r="F394" s="1727"/>
      <c r="G394" s="1901"/>
      <c r="H394" s="2036"/>
      <c r="I394" s="2787"/>
      <c r="J394" s="4553">
        <f t="shared" ref="J394:U394" si="253">SUM(J386:J393)</f>
        <v>5.5960214604589629</v>
      </c>
      <c r="K394" s="5008">
        <f t="shared" si="253"/>
        <v>13.389593470217434</v>
      </c>
      <c r="L394" s="5500">
        <f t="shared" si="253"/>
        <v>9.5354232410923885</v>
      </c>
      <c r="M394" s="4553">
        <f t="shared" si="253"/>
        <v>13.177295302211723</v>
      </c>
      <c r="N394" s="1564">
        <f t="shared" si="253"/>
        <v>11.112442532781433</v>
      </c>
      <c r="O394" s="1565">
        <f t="shared" si="253"/>
        <v>11.942785207686613</v>
      </c>
      <c r="P394" s="1563">
        <f t="shared" si="253"/>
        <v>11.470891415908794</v>
      </c>
      <c r="Q394" s="1564">
        <f t="shared" si="253"/>
        <v>6.5233950990302043</v>
      </c>
      <c r="R394" s="1565">
        <f t="shared" si="253"/>
        <v>3.2678796266928098</v>
      </c>
      <c r="S394" s="1563">
        <f t="shared" si="253"/>
        <v>2.4206515753280069</v>
      </c>
      <c r="T394" s="1564">
        <f t="shared" si="253"/>
        <v>2.7123400901550321</v>
      </c>
      <c r="U394" s="1565">
        <f t="shared" si="253"/>
        <v>2.5114260094028076</v>
      </c>
      <c r="V394" s="1905">
        <f t="shared" si="250"/>
        <v>7.8050120859138516</v>
      </c>
      <c r="AA394" s="1901">
        <f t="shared" si="251"/>
        <v>0</v>
      </c>
      <c r="AB394" s="2036">
        <f t="shared" si="251"/>
        <v>0</v>
      </c>
      <c r="AC394" s="1902">
        <f t="shared" si="251"/>
        <v>0</v>
      </c>
      <c r="AD394" s="1535" t="b">
        <f t="shared" si="252"/>
        <v>1</v>
      </c>
      <c r="AE394" s="1535" t="b">
        <f t="shared" si="252"/>
        <v>1</v>
      </c>
      <c r="AF394" s="1535" t="b">
        <f t="shared" si="252"/>
        <v>1</v>
      </c>
    </row>
    <row r="395" spans="1:34" ht="18" customHeight="1" thickBot="1">
      <c r="A395" s="58">
        <v>2</v>
      </c>
      <c r="B395" s="7312" t="s">
        <v>475</v>
      </c>
      <c r="C395" s="7064"/>
      <c r="D395" s="7064"/>
      <c r="E395" s="7064"/>
      <c r="F395" s="7324"/>
      <c r="G395" s="2041">
        <v>450</v>
      </c>
      <c r="H395" s="2042"/>
      <c r="I395" s="1983">
        <v>1</v>
      </c>
      <c r="J395" s="4736"/>
      <c r="K395" s="5406"/>
      <c r="L395" s="6242"/>
      <c r="M395" s="4736"/>
      <c r="N395" s="2045"/>
      <c r="O395" s="2046"/>
      <c r="P395" s="2044"/>
      <c r="Q395" s="2045"/>
      <c r="R395" s="2046"/>
      <c r="S395" s="2044"/>
      <c r="T395" s="2045"/>
      <c r="U395" s="2046"/>
      <c r="V395" s="1551" t="e">
        <f t="shared" si="250"/>
        <v>#DIV/0!</v>
      </c>
      <c r="AA395" s="2041">
        <f t="shared" si="251"/>
        <v>450</v>
      </c>
      <c r="AB395" s="2042">
        <f t="shared" si="251"/>
        <v>0</v>
      </c>
      <c r="AC395" s="2043">
        <f t="shared" si="251"/>
        <v>1</v>
      </c>
    </row>
    <row r="396" spans="1:34" ht="18" customHeight="1" thickBot="1">
      <c r="A396" s="7081" t="s">
        <v>137</v>
      </c>
      <c r="B396" s="7082"/>
      <c r="C396" s="7082"/>
      <c r="D396" s="7082"/>
      <c r="E396" s="7082"/>
      <c r="F396" s="7082"/>
      <c r="G396" s="7082"/>
      <c r="H396" s="7082"/>
      <c r="I396" s="7083"/>
      <c r="J396" s="3952">
        <f t="shared" ref="J396:V396" si="254">(+J394+J395)</f>
        <v>5.5960214604589629</v>
      </c>
      <c r="K396" s="5012">
        <f t="shared" si="254"/>
        <v>13.389593470217434</v>
      </c>
      <c r="L396" s="5505">
        <f t="shared" si="254"/>
        <v>9.5354232410923885</v>
      </c>
      <c r="M396" s="3952">
        <f t="shared" si="254"/>
        <v>13.177295302211723</v>
      </c>
      <c r="N396" s="1605">
        <f t="shared" si="254"/>
        <v>11.112442532781433</v>
      </c>
      <c r="O396" s="1606">
        <f t="shared" si="254"/>
        <v>11.942785207686613</v>
      </c>
      <c r="P396" s="1604">
        <f t="shared" si="254"/>
        <v>11.470891415908794</v>
      </c>
      <c r="Q396" s="1605">
        <f t="shared" si="254"/>
        <v>6.5233950990302043</v>
      </c>
      <c r="R396" s="1606">
        <f t="shared" si="254"/>
        <v>3.2678796266928098</v>
      </c>
      <c r="S396" s="1604">
        <f t="shared" si="254"/>
        <v>2.4206515753280069</v>
      </c>
      <c r="T396" s="1605">
        <f t="shared" si="254"/>
        <v>2.7123400901550321</v>
      </c>
      <c r="U396" s="1606">
        <f t="shared" si="254"/>
        <v>2.5114260094028076</v>
      </c>
      <c r="V396" s="1674" t="e">
        <f t="shared" si="254"/>
        <v>#DIV/0!</v>
      </c>
      <c r="AA396" s="1535"/>
      <c r="AB396" s="1535"/>
      <c r="AC396" s="1535"/>
    </row>
    <row r="397" spans="1:34" ht="18" customHeight="1">
      <c r="J397" s="1536"/>
    </row>
    <row r="398" spans="1:34" s="1610" customFormat="1" ht="18" customHeight="1" thickBot="1">
      <c r="A398" s="1538" t="s">
        <v>1275</v>
      </c>
      <c r="F398" s="1611" t="s">
        <v>88</v>
      </c>
      <c r="G398" s="1838">
        <v>0.9</v>
      </c>
      <c r="H398" s="1789"/>
      <c r="I398" s="1790"/>
      <c r="J398" s="1534"/>
      <c r="K398" s="1534"/>
      <c r="L398" s="1534"/>
      <c r="M398" s="1534"/>
      <c r="N398" s="1612"/>
      <c r="O398" s="1612"/>
      <c r="P398" s="1612"/>
      <c r="Q398" s="1612"/>
      <c r="R398" s="1612"/>
      <c r="S398" s="1612"/>
      <c r="T398" s="1612"/>
      <c r="U398" s="1612"/>
      <c r="V398" s="1537" t="s">
        <v>278</v>
      </c>
      <c r="W398" s="1535"/>
      <c r="X398" s="1535"/>
      <c r="Y398" s="1535"/>
      <c r="Z398" s="1535"/>
      <c r="AA398" s="1838">
        <v>0.9</v>
      </c>
      <c r="AB398" s="1789"/>
      <c r="AC398" s="1790"/>
      <c r="AD398" s="1535"/>
      <c r="AE398" s="1535"/>
      <c r="AF398" s="1535"/>
      <c r="AG398" s="1535"/>
      <c r="AH398" s="1535"/>
    </row>
    <row r="399" spans="1:34" s="1610" customFormat="1" ht="24.9" customHeight="1" thickBot="1">
      <c r="A399" s="1539" t="s">
        <v>40</v>
      </c>
      <c r="B399" s="74" t="s">
        <v>106</v>
      </c>
      <c r="C399" s="74" t="s">
        <v>45</v>
      </c>
      <c r="D399" s="65" t="s">
        <v>989</v>
      </c>
      <c r="E399" s="74" t="s">
        <v>1011</v>
      </c>
      <c r="F399" s="74" t="s">
        <v>107</v>
      </c>
      <c r="G399" s="74" t="s">
        <v>182</v>
      </c>
      <c r="H399" s="1995" t="s">
        <v>189</v>
      </c>
      <c r="I399" s="1927" t="s">
        <v>247</v>
      </c>
      <c r="J399" s="4490" t="s">
        <v>1292</v>
      </c>
      <c r="K399" s="5005" t="s">
        <v>1293</v>
      </c>
      <c r="L399" s="5494" t="s">
        <v>1294</v>
      </c>
      <c r="M399" s="4490" t="s">
        <v>1295</v>
      </c>
      <c r="N399" s="74" t="s">
        <v>1296</v>
      </c>
      <c r="O399" s="1540" t="s">
        <v>1297</v>
      </c>
      <c r="P399" s="1539" t="s">
        <v>1298</v>
      </c>
      <c r="Q399" s="74" t="s">
        <v>1299</v>
      </c>
      <c r="R399" s="1540" t="s">
        <v>1300</v>
      </c>
      <c r="S399" s="1539" t="s">
        <v>1301</v>
      </c>
      <c r="T399" s="74" t="s">
        <v>1302</v>
      </c>
      <c r="U399" s="1540" t="s">
        <v>1303</v>
      </c>
      <c r="V399" s="1541" t="s">
        <v>1304</v>
      </c>
      <c r="W399" s="1535"/>
      <c r="X399" s="1535"/>
      <c r="Y399" s="1535"/>
      <c r="Z399" s="1535"/>
      <c r="AA399" s="74" t="s">
        <v>182</v>
      </c>
      <c r="AB399" s="1995" t="s">
        <v>189</v>
      </c>
      <c r="AC399" s="1927" t="s">
        <v>247</v>
      </c>
      <c r="AD399" s="1535"/>
      <c r="AE399" s="1535"/>
      <c r="AF399" s="1535"/>
      <c r="AG399" s="1535"/>
      <c r="AH399" s="1535"/>
    </row>
    <row r="400" spans="1:34" ht="18" customHeight="1">
      <c r="A400" s="2039"/>
      <c r="B400" s="1763"/>
      <c r="C400" s="1658" t="s">
        <v>1314</v>
      </c>
      <c r="D400" s="54"/>
      <c r="E400" s="54">
        <f>VLOOKUP(F400,B.BasicInfomation!B:C,2,0)</f>
        <v>1</v>
      </c>
      <c r="F400" s="10" t="str">
        <f t="shared" ref="F400:F405" si="255">F5</f>
        <v>Galaxy Tap</v>
      </c>
      <c r="G400" s="1863">
        <f>3600/7.5*20*2</f>
        <v>19200</v>
      </c>
      <c r="H400" s="1765">
        <v>0.98</v>
      </c>
      <c r="I400" s="1938">
        <v>1</v>
      </c>
      <c r="J400" s="4727">
        <f>(J89/($G$400/$I$400/(100%+(100%-$H$400)))/'4. L PLAN'!F$109)</f>
        <v>0</v>
      </c>
      <c r="K400" s="5397">
        <f>(K89/($G$400/$I$400/(100%+(100%-$H$400)))/'4. L PLAN'!G$109)</f>
        <v>0</v>
      </c>
      <c r="L400" s="6228">
        <f>(L89/($G$400/$I$400/(100%+(100%-$H$400)))/'4. L PLAN'!H$109)</f>
        <v>0</v>
      </c>
      <c r="M400" s="4727">
        <f>(M89/($G$400/$I$400/(100%+(100%-$H$400)))/'4. L PLAN'!I$109)</f>
        <v>0</v>
      </c>
      <c r="N400" s="3702">
        <f>(N89/($G$400/$I$400/(100%+(100%-$H$400)))/'4. L PLAN'!J$109)</f>
        <v>0</v>
      </c>
      <c r="O400" s="3703">
        <f>(O89/($G$400/$I$400/(100%+(100%-$H$400)))/'4. L PLAN'!K$109)</f>
        <v>0</v>
      </c>
      <c r="P400" s="3701">
        <f>(P89/($G$400/$I$400/(100%+(100%-$H$400)))/'4. L PLAN'!L$109)</f>
        <v>0</v>
      </c>
      <c r="Q400" s="3702">
        <f>(Q89/($G$400/$I$400/(100%+(100%-$H$400)))/'4. L PLAN'!M$109)</f>
        <v>0</v>
      </c>
      <c r="R400" s="3703">
        <f>(R89/($G$400/$I$400/(100%+(100%-$H$400)))/'4. L PLAN'!N$109)</f>
        <v>0</v>
      </c>
      <c r="S400" s="3701">
        <f>(S89/($G$400/$I$400/(100%+(100%-$H$400)))/'4. L PLAN'!O$109)</f>
        <v>0</v>
      </c>
      <c r="T400" s="3702">
        <f>(T89/($G$400/$I$400/(100%+(100%-$H$400)))/'4. L PLAN'!P$109)</f>
        <v>2.9887482419127986E-2</v>
      </c>
      <c r="U400" s="3703">
        <f>(U89/($G$400/$I$400/(100%+(100%-$H$400)))/'4. L PLAN'!Q$109)</f>
        <v>0.13836797416262955</v>
      </c>
      <c r="V400" s="1557">
        <f t="shared" ref="V400:V406" si="256">AVERAGE(J400:U400)</f>
        <v>1.4021288048479795E-2</v>
      </c>
      <c r="AA400" s="1863">
        <f t="shared" ref="AA400:AC406" si="257">G400</f>
        <v>19200</v>
      </c>
      <c r="AB400" s="1765">
        <f t="shared" si="257"/>
        <v>0.98</v>
      </c>
      <c r="AC400" s="1766">
        <f t="shared" si="257"/>
        <v>1</v>
      </c>
      <c r="AD400" s="1535" t="b">
        <f t="shared" ref="AD400:AF406" si="258">AA400=G400</f>
        <v>1</v>
      </c>
      <c r="AE400" s="1535" t="b">
        <f t="shared" si="258"/>
        <v>1</v>
      </c>
      <c r="AF400" s="1535" t="b">
        <f t="shared" si="258"/>
        <v>1</v>
      </c>
    </row>
    <row r="401" spans="1:32" ht="18" customHeight="1">
      <c r="A401" s="2039"/>
      <c r="B401" s="1763"/>
      <c r="C401" s="1658"/>
      <c r="D401" s="54"/>
      <c r="E401" s="54">
        <f>VLOOKUP(F401,B.BasicInfomation!B:C,2,0)</f>
        <v>2</v>
      </c>
      <c r="F401" s="10" t="str">
        <f t="shared" si="255"/>
        <v>A15/17</v>
      </c>
      <c r="G401" s="1863">
        <f t="shared" ref="G401:G405" si="259">3600/7.5*20*2</f>
        <v>19200</v>
      </c>
      <c r="H401" s="1765">
        <v>0.98</v>
      </c>
      <c r="I401" s="1938">
        <v>1</v>
      </c>
      <c r="J401" s="4727">
        <f>(J90/($G$401/$I$401/(100%+(100%-$H$401)))/'4. L PLAN'!F$109)</f>
        <v>2.7104026090868198</v>
      </c>
      <c r="K401" s="5397">
        <f>(K90/($G$401/$I$401/(100%+(100%-$H$401)))/'4. L PLAN'!G$109)</f>
        <v>3.1244334795321635</v>
      </c>
      <c r="L401" s="6228">
        <f>(L90/($G$401/$I$401/(100%+(100%-$H$401)))/'4. L PLAN'!H$109)</f>
        <v>2.1211046446243818</v>
      </c>
      <c r="M401" s="4727">
        <f>(M90/($G$401/$I$401/(100%+(100%-$H$401)))/'4. L PLAN'!I$109)</f>
        <v>2.7467545520999468</v>
      </c>
      <c r="N401" s="3702">
        <f>(N90/($G$401/$I$401/(100%+(100%-$H$401)))/'4. L PLAN'!J$109)</f>
        <v>2.4128070175438596</v>
      </c>
      <c r="O401" s="3703">
        <f>(O90/($G$401/$I$401/(100%+(100%-$H$401)))/'4. L PLAN'!K$109)</f>
        <v>2.7721547458389559</v>
      </c>
      <c r="P401" s="3701">
        <f>(P90/($G$401/$I$401/(100%+(100%-$H$401)))/'4. L PLAN'!L$109)</f>
        <v>2.7615334632878494</v>
      </c>
      <c r="Q401" s="3702">
        <f>(Q90/($G$401/$I$401/(100%+(100%-$H$401)))/'4. L PLAN'!M$109)</f>
        <v>2.8677462887989202</v>
      </c>
      <c r="R401" s="3703">
        <f>(R90/($G$401/$I$401/(100%+(100%-$H$401)))/'4. L PLAN'!N$109)</f>
        <v>2.0711500974658867</v>
      </c>
      <c r="S401" s="3701">
        <f>(S90/($G$401/$I$401/(100%+(100%-$H$401)))/'4. L PLAN'!O$109)</f>
        <v>1.7259584145549058</v>
      </c>
      <c r="T401" s="3702">
        <f>(T90/($G$401/$I$401/(100%+(100%-$H$401)))/'4. L PLAN'!P$109)</f>
        <v>1.8640350877192984</v>
      </c>
      <c r="U401" s="3703">
        <f>(U90/($G$401/$I$401/(100%+(100%-$H$401)))/'4. L PLAN'!Q$109)</f>
        <v>1.7259584145549058</v>
      </c>
      <c r="V401" s="1557">
        <f t="shared" si="256"/>
        <v>2.4086699012589912</v>
      </c>
      <c r="AA401" s="1863">
        <f t="shared" si="257"/>
        <v>19200</v>
      </c>
      <c r="AB401" s="1765">
        <f t="shared" si="257"/>
        <v>0.98</v>
      </c>
      <c r="AC401" s="1766">
        <f t="shared" si="257"/>
        <v>1</v>
      </c>
      <c r="AD401" s="1535" t="b">
        <f t="shared" si="258"/>
        <v>1</v>
      </c>
      <c r="AE401" s="1535" t="b">
        <f t="shared" si="258"/>
        <v>1</v>
      </c>
      <c r="AF401" s="1535" t="b">
        <f t="shared" si="258"/>
        <v>1</v>
      </c>
    </row>
    <row r="402" spans="1:32" ht="18" customHeight="1">
      <c r="A402" s="2039"/>
      <c r="B402" s="1763"/>
      <c r="C402" s="1658"/>
      <c r="D402" s="54"/>
      <c r="E402" s="54">
        <f>VLOOKUP(F402,B.BasicInfomation!B:C,2,0)</f>
        <v>3</v>
      </c>
      <c r="F402" s="10" t="str">
        <f t="shared" si="255"/>
        <v>A36</v>
      </c>
      <c r="G402" s="1863">
        <f t="shared" si="259"/>
        <v>19200</v>
      </c>
      <c r="H402" s="1765">
        <v>0.98</v>
      </c>
      <c r="I402" s="1938">
        <v>1</v>
      </c>
      <c r="J402" s="4727">
        <f>(J91/($G$402/$I$402/(100%+(100%-$H$402)))/'4. L PLAN'!F$109)</f>
        <v>0.11069500674763834</v>
      </c>
      <c r="K402" s="5397">
        <f>(K91/($G$402/$I$402/(100%+(100%-$H$402)))/'4. L PLAN'!G$109)</f>
        <v>0</v>
      </c>
      <c r="L402" s="6228">
        <f>(L91/($G$402/$I$402/(100%+(100%-$H$402)))/'4. L PLAN'!H$109)</f>
        <v>0.14568151147098513</v>
      </c>
      <c r="M402" s="4727">
        <f>(M91/($G$402/$I$402/(100%+(100%-$H$402)))/'4. L PLAN'!I$109)</f>
        <v>0.22775119617224879</v>
      </c>
      <c r="N402" s="3702">
        <f>(N91/($G$402/$I$402/(100%+(100%-$H$402)))/'4. L PLAN'!J$109)</f>
        <v>5.0105263157894736E-2</v>
      </c>
      <c r="O402" s="3703">
        <f>(O91/($G$402/$I$402/(100%+(100%-$H$402)))/'4. L PLAN'!K$109)</f>
        <v>3.5846828609986496E-2</v>
      </c>
      <c r="P402" s="3701">
        <f>(P91/($G$402/$I$402/(100%+(100%-$H$402)))/'4. L PLAN'!L$109)</f>
        <v>0</v>
      </c>
      <c r="Q402" s="3702">
        <f>(Q91/($G$402/$I$402/(100%+(100%-$H$402)))/'4. L PLAN'!M$109)</f>
        <v>0</v>
      </c>
      <c r="R402" s="3703">
        <f>(R91/($G$402/$I$402/(100%+(100%-$H$402)))/'4. L PLAN'!N$109)</f>
        <v>0</v>
      </c>
      <c r="S402" s="3701">
        <f>(S91/($G$402/$I$402/(100%+(100%-$H$402)))/'4. L PLAN'!O$109)</f>
        <v>0</v>
      </c>
      <c r="T402" s="3702">
        <f>(T91/($G$402/$I$402/(100%+(100%-$H$402)))/'4. L PLAN'!P$109)</f>
        <v>0</v>
      </c>
      <c r="U402" s="3703">
        <f>(U91/($G$402/$I$402/(100%+(100%-$H$402)))/'4. L PLAN'!Q$109)</f>
        <v>0</v>
      </c>
      <c r="V402" s="1557">
        <f t="shared" si="256"/>
        <v>4.7506650513229449E-2</v>
      </c>
      <c r="AA402" s="1863">
        <f t="shared" si="257"/>
        <v>19200</v>
      </c>
      <c r="AB402" s="1765">
        <f t="shared" si="257"/>
        <v>0.98</v>
      </c>
      <c r="AC402" s="1766">
        <f t="shared" si="257"/>
        <v>1</v>
      </c>
      <c r="AD402" s="1535" t="b">
        <f t="shared" si="258"/>
        <v>1</v>
      </c>
      <c r="AE402" s="1535" t="b">
        <f t="shared" si="258"/>
        <v>1</v>
      </c>
      <c r="AF402" s="1535" t="b">
        <f t="shared" si="258"/>
        <v>1</v>
      </c>
    </row>
    <row r="403" spans="1:32" ht="18" customHeight="1">
      <c r="A403" s="2039"/>
      <c r="B403" s="1763"/>
      <c r="C403" s="1658"/>
      <c r="D403" s="54"/>
      <c r="E403" s="54">
        <f>VLOOKUP(F403,B.BasicInfomation!B:C,2,0)</f>
        <v>4</v>
      </c>
      <c r="F403" s="10" t="str">
        <f t="shared" si="255"/>
        <v>A26</v>
      </c>
      <c r="G403" s="1863">
        <f t="shared" si="259"/>
        <v>19200</v>
      </c>
      <c r="H403" s="1765">
        <v>0.98</v>
      </c>
      <c r="I403" s="1938">
        <v>1</v>
      </c>
      <c r="J403" s="4727">
        <f>(J92/($G$403/$I$403/(100%+(100%-$H$403)))/'4. L PLAN'!F$109)</f>
        <v>0.49956140350877187</v>
      </c>
      <c r="K403" s="5397">
        <f>(K92/($G$403/$I$403/(100%+(100%-$H$403)))/'4. L PLAN'!G$109)</f>
        <v>0.21472519188596492</v>
      </c>
      <c r="L403" s="6228">
        <f>(L92/($G$403/$I$403/(100%+(100%-$H$403)))/'4. L PLAN'!H$109)</f>
        <v>0</v>
      </c>
      <c r="M403" s="4727">
        <f>(M92/($G$403/$I$403/(100%+(100%-$H$403)))/'4. L PLAN'!I$109)</f>
        <v>2.7892743221690594E-2</v>
      </c>
      <c r="N403" s="3702">
        <f>(N92/($G$403/$I$403/(100%+(100%-$H$403)))/'4. L PLAN'!J$109)</f>
        <v>0.20698245614035085</v>
      </c>
      <c r="O403" s="3703">
        <f>(O92/($G$403/$I$403/(100%+(100%-$H$403)))/'4. L PLAN'!K$109)</f>
        <v>0</v>
      </c>
      <c r="P403" s="3701">
        <f>(P92/($G$403/$I$403/(100%+(100%-$H$403)))/'4. L PLAN'!L$109)</f>
        <v>0</v>
      </c>
      <c r="Q403" s="3702">
        <f>(Q92/($G$403/$I$403/(100%+(100%-$H$403)))/'4. L PLAN'!M$109)</f>
        <v>0</v>
      </c>
      <c r="R403" s="3703">
        <f>(R92/($G$403/$I$403/(100%+(100%-$H$403)))/'4. L PLAN'!N$109)</f>
        <v>0</v>
      </c>
      <c r="S403" s="3701">
        <f>(S92/($G$403/$I$403/(100%+(100%-$H$403)))/'4. L PLAN'!O$109)</f>
        <v>0</v>
      </c>
      <c r="T403" s="3702">
        <f>(T92/($G$403/$I$403/(100%+(100%-$H$403)))/'4. L PLAN'!P$109)</f>
        <v>0</v>
      </c>
      <c r="U403" s="3703">
        <f>(U92/($G$403/$I$403/(100%+(100%-$H$403)))/'4. L PLAN'!Q$109)</f>
        <v>0</v>
      </c>
      <c r="V403" s="1557">
        <f t="shared" si="256"/>
        <v>7.9096816229731512E-2</v>
      </c>
      <c r="AA403" s="1863">
        <f t="shared" si="257"/>
        <v>19200</v>
      </c>
      <c r="AB403" s="1765">
        <f t="shared" si="257"/>
        <v>0.98</v>
      </c>
      <c r="AC403" s="1766">
        <f t="shared" si="257"/>
        <v>1</v>
      </c>
      <c r="AD403" s="1535" t="b">
        <f t="shared" si="258"/>
        <v>1</v>
      </c>
      <c r="AE403" s="1535" t="b">
        <f t="shared" si="258"/>
        <v>1</v>
      </c>
      <c r="AF403" s="1535" t="b">
        <f t="shared" si="258"/>
        <v>1</v>
      </c>
    </row>
    <row r="404" spans="1:32" ht="18" customHeight="1">
      <c r="A404" s="2039"/>
      <c r="B404" s="1763"/>
      <c r="C404" s="1658"/>
      <c r="D404" s="54"/>
      <c r="E404" s="54">
        <f>VLOOKUP(F404,B.BasicInfomation!B:C,2,0)</f>
        <v>5</v>
      </c>
      <c r="F404" s="10" t="str">
        <f t="shared" si="255"/>
        <v>A27</v>
      </c>
      <c r="G404" s="1863">
        <f t="shared" si="259"/>
        <v>19200</v>
      </c>
      <c r="H404" s="1765">
        <v>0.98</v>
      </c>
      <c r="I404" s="1938">
        <v>1</v>
      </c>
      <c r="J404" s="4727">
        <f>(J93/($G$404/$I$404/(100%+(100%-$H$404)))/'4. L PLAN'!F$109)</f>
        <v>0</v>
      </c>
      <c r="K404" s="5397">
        <f>(K93/($G$404/$I$404/(100%+(100%-$H$404)))/'4. L PLAN'!G$109)</f>
        <v>0</v>
      </c>
      <c r="L404" s="6228">
        <f>(L93/($G$404/$I$404/(100%+(100%-$H$404)))/'4. L PLAN'!H$109)</f>
        <v>0</v>
      </c>
      <c r="M404" s="4727">
        <f>(M93/($G$404/$I$404/(100%+(100%-$H$404)))/'4. L PLAN'!I$109)</f>
        <v>0</v>
      </c>
      <c r="N404" s="3702">
        <f>(N93/($G$404/$I$404/(100%+(100%-$H$404)))/'4. L PLAN'!J$109)</f>
        <v>0.25291228070175437</v>
      </c>
      <c r="O404" s="3703">
        <f>(O93/($G$404/$I$404/(100%+(100%-$H$404)))/'4. L PLAN'!K$109)</f>
        <v>1.8879329734592893</v>
      </c>
      <c r="P404" s="3701">
        <f>(P93/($G$404/$I$404/(100%+(100%-$H$404)))/'4. L PLAN'!L$109)</f>
        <v>2.3012778860732079</v>
      </c>
      <c r="Q404" s="3702">
        <f>(Q93/($G$404/$I$404/(100%+(100%-$H$404)))/'4. L PLAN'!M$109)</f>
        <v>2.3897885739991005</v>
      </c>
      <c r="R404" s="3703">
        <f>(R93/($G$404/$I$404/(100%+(100%-$H$404)))/'4. L PLAN'!N$109)</f>
        <v>1.8122563352826513</v>
      </c>
      <c r="S404" s="3701">
        <f>(S93/($G$404/$I$404/(100%+(100%-$H$404)))/'4. L PLAN'!O$109)</f>
        <v>1.150638943036604</v>
      </c>
      <c r="T404" s="3702">
        <f>(T93/($G$404/$I$404/(100%+(100%-$H$404)))/'4. L PLAN'!P$109)</f>
        <v>1.2426900584795322</v>
      </c>
      <c r="U404" s="3703">
        <f>(U93/($G$404/$I$404/(100%+(100%-$H$404)))/'4. L PLAN'!Q$109)</f>
        <v>0.92051115442928311</v>
      </c>
      <c r="V404" s="1557">
        <f t="shared" si="256"/>
        <v>0.9965006837884518</v>
      </c>
      <c r="AA404" s="1863">
        <f t="shared" si="257"/>
        <v>19200</v>
      </c>
      <c r="AB404" s="1765">
        <f t="shared" si="257"/>
        <v>0.98</v>
      </c>
      <c r="AC404" s="1766">
        <f t="shared" si="257"/>
        <v>1</v>
      </c>
      <c r="AD404" s="1535" t="b">
        <f t="shared" si="258"/>
        <v>1</v>
      </c>
      <c r="AE404" s="1535" t="b">
        <f t="shared" si="258"/>
        <v>1</v>
      </c>
      <c r="AF404" s="1535" t="b">
        <f t="shared" si="258"/>
        <v>1</v>
      </c>
    </row>
    <row r="405" spans="1:32" ht="18" customHeight="1">
      <c r="A405" s="2039"/>
      <c r="B405" s="1763"/>
      <c r="C405" s="1658"/>
      <c r="D405" s="54"/>
      <c r="E405" s="54">
        <f>VLOOKUP(F405,B.BasicInfomation!B:C,2,0)</f>
        <v>6</v>
      </c>
      <c r="F405" s="10" t="str">
        <f t="shared" si="255"/>
        <v>A37</v>
      </c>
      <c r="G405" s="1863">
        <f t="shared" si="259"/>
        <v>19200</v>
      </c>
      <c r="H405" s="1765">
        <v>0.98</v>
      </c>
      <c r="I405" s="1938">
        <v>1</v>
      </c>
      <c r="J405" s="4727">
        <f>(J94/($G$405/$I$405/(100%+(100%-$H$405)))/'4. L PLAN'!F$109)</f>
        <v>0.16537336932073773</v>
      </c>
      <c r="K405" s="5397">
        <f>(K94/($G$405/$I$405/(100%+(100%-$H$405)))/'4. L PLAN'!G$109)</f>
        <v>1.5995751096491229</v>
      </c>
      <c r="L405" s="6228">
        <f>(L94/($G$405/$I$405/(100%+(100%-$H$405)))/'4. L PLAN'!H$109)</f>
        <v>0.53196693657219973</v>
      </c>
      <c r="M405" s="4727">
        <f>(M94/($G$405/$I$405/(100%+(100%-$H$405)))/'4. L PLAN'!I$109)</f>
        <v>0</v>
      </c>
      <c r="N405" s="3702">
        <f>(N94/($G$405/$I$405/(100%+(100%-$H$405)))/'4. L PLAN'!J$109)</f>
        <v>0.12078947368421052</v>
      </c>
      <c r="O405" s="3703">
        <f>(O94/($G$405/$I$405/(100%+(100%-$H$405)))/'4. L PLAN'!K$109)</f>
        <v>0.23897885739991004</v>
      </c>
      <c r="P405" s="3701">
        <f>(P94/($G$405/$I$405/(100%+(100%-$H$405)))/'4. L PLAN'!L$109)</f>
        <v>0.23012778860732078</v>
      </c>
      <c r="Q405" s="3702">
        <f>(Q94/($G$405/$I$405/(100%+(100%-$H$405)))/'4. L PLAN'!M$109)</f>
        <v>0.11948942869995502</v>
      </c>
      <c r="R405" s="3703">
        <f>(R94/($G$405/$I$405/(100%+(100%-$H$405)))/'4. L PLAN'!N$109)</f>
        <v>0.12944688109161792</v>
      </c>
      <c r="S405" s="3701">
        <f>(S94/($G$405/$I$405/(100%+(100%-$H$405)))/'4. L PLAN'!O$109)</f>
        <v>1.1506389430366038E-2</v>
      </c>
      <c r="T405" s="3702">
        <f>(T94/($G$405/$I$405/(100%+(100%-$H$405)))/'4. L PLAN'!P$109)</f>
        <v>0</v>
      </c>
      <c r="U405" s="3703">
        <f>(U94/($G$405/$I$405/(100%+(100%-$H$405)))/'4. L PLAN'!Q$109)</f>
        <v>0</v>
      </c>
      <c r="V405" s="1557">
        <f t="shared" si="256"/>
        <v>0.26227118620462003</v>
      </c>
      <c r="AA405" s="1863">
        <f t="shared" si="257"/>
        <v>19200</v>
      </c>
      <c r="AB405" s="1765">
        <f t="shared" si="257"/>
        <v>0.98</v>
      </c>
      <c r="AC405" s="1766">
        <f t="shared" si="257"/>
        <v>1</v>
      </c>
      <c r="AD405" s="1535" t="b">
        <f t="shared" si="258"/>
        <v>1</v>
      </c>
      <c r="AE405" s="1535" t="b">
        <f t="shared" si="258"/>
        <v>1</v>
      </c>
      <c r="AF405" s="1535" t="b">
        <f t="shared" si="258"/>
        <v>1</v>
      </c>
    </row>
    <row r="406" spans="1:32" ht="18" customHeight="1" thickBot="1">
      <c r="A406" s="2040"/>
      <c r="B406" s="1966"/>
      <c r="C406" s="1726" t="s">
        <v>43</v>
      </c>
      <c r="D406" s="1726"/>
      <c r="E406" s="1726"/>
      <c r="F406" s="1727"/>
      <c r="G406" s="1901"/>
      <c r="H406" s="2036"/>
      <c r="I406" s="2787"/>
      <c r="J406" s="4737">
        <f t="shared" ref="J406:U406" si="260">SUM(J400:J405)</f>
        <v>3.4860323886639679</v>
      </c>
      <c r="K406" s="5407">
        <f t="shared" si="260"/>
        <v>4.9387337810672509</v>
      </c>
      <c r="L406" s="6243">
        <f t="shared" si="260"/>
        <v>2.7987530926675666</v>
      </c>
      <c r="M406" s="4737">
        <f t="shared" si="260"/>
        <v>3.0023984914938859</v>
      </c>
      <c r="N406" s="3723">
        <f t="shared" si="260"/>
        <v>3.0435964912280702</v>
      </c>
      <c r="O406" s="3724">
        <f t="shared" si="260"/>
        <v>4.9349134053081416</v>
      </c>
      <c r="P406" s="3722">
        <f t="shared" si="260"/>
        <v>5.2929391379683786</v>
      </c>
      <c r="Q406" s="3723">
        <f t="shared" si="260"/>
        <v>5.3770242914979764</v>
      </c>
      <c r="R406" s="3724">
        <f t="shared" si="260"/>
        <v>4.0128533138401563</v>
      </c>
      <c r="S406" s="3722">
        <f t="shared" si="260"/>
        <v>2.8881037470218756</v>
      </c>
      <c r="T406" s="3723">
        <f t="shared" si="260"/>
        <v>3.1366126286179585</v>
      </c>
      <c r="U406" s="3724">
        <f t="shared" si="260"/>
        <v>2.7848375431468186</v>
      </c>
      <c r="V406" s="1905">
        <f t="shared" si="256"/>
        <v>3.8080665260435036</v>
      </c>
      <c r="AA406" s="1901">
        <f t="shared" si="257"/>
        <v>0</v>
      </c>
      <c r="AB406" s="2036">
        <f t="shared" si="257"/>
        <v>0</v>
      </c>
      <c r="AC406" s="1902">
        <f t="shared" si="257"/>
        <v>0</v>
      </c>
      <c r="AD406" s="1535" t="b">
        <f t="shared" si="258"/>
        <v>1</v>
      </c>
      <c r="AE406" s="1535" t="b">
        <f t="shared" si="258"/>
        <v>1</v>
      </c>
      <c r="AF406" s="1535" t="b">
        <f t="shared" si="258"/>
        <v>1</v>
      </c>
    </row>
    <row r="407" spans="1:32" ht="18" customHeight="1" thickBot="1">
      <c r="A407" s="7081" t="s">
        <v>137</v>
      </c>
      <c r="B407" s="7082"/>
      <c r="C407" s="7082"/>
      <c r="D407" s="7082"/>
      <c r="E407" s="7082"/>
      <c r="F407" s="7082"/>
      <c r="G407" s="7082"/>
      <c r="H407" s="7082"/>
      <c r="I407" s="7083"/>
      <c r="J407" s="4738">
        <f t="shared" ref="J407:V407" si="261">(+J406)</f>
        <v>3.4860323886639679</v>
      </c>
      <c r="K407" s="5408">
        <f t="shared" si="261"/>
        <v>4.9387337810672509</v>
      </c>
      <c r="L407" s="6244">
        <f t="shared" si="261"/>
        <v>2.7987530926675666</v>
      </c>
      <c r="M407" s="4738">
        <f t="shared" si="261"/>
        <v>3.0023984914938859</v>
      </c>
      <c r="N407" s="3726">
        <f t="shared" si="261"/>
        <v>3.0435964912280702</v>
      </c>
      <c r="O407" s="3727">
        <f t="shared" si="261"/>
        <v>4.9349134053081416</v>
      </c>
      <c r="P407" s="3725">
        <f t="shared" si="261"/>
        <v>5.2929391379683786</v>
      </c>
      <c r="Q407" s="3726">
        <f t="shared" si="261"/>
        <v>5.3770242914979764</v>
      </c>
      <c r="R407" s="3727">
        <f t="shared" si="261"/>
        <v>4.0128533138401563</v>
      </c>
      <c r="S407" s="3725">
        <f t="shared" si="261"/>
        <v>2.8881037470218756</v>
      </c>
      <c r="T407" s="3726">
        <f t="shared" si="261"/>
        <v>3.1366126286179585</v>
      </c>
      <c r="U407" s="3727">
        <f t="shared" si="261"/>
        <v>2.7848375431468186</v>
      </c>
      <c r="V407" s="3728">
        <f t="shared" si="261"/>
        <v>3.8080665260435036</v>
      </c>
      <c r="AA407" s="1535"/>
      <c r="AB407" s="1535"/>
      <c r="AC407" s="1535"/>
    </row>
    <row r="408" spans="1:32" ht="18" customHeight="1">
      <c r="A408" s="1531"/>
      <c r="B408" s="1531"/>
      <c r="C408" s="1531"/>
      <c r="D408" s="1531"/>
      <c r="E408" s="1531"/>
      <c r="F408" s="1531"/>
      <c r="G408" s="1531"/>
      <c r="H408" s="1531"/>
      <c r="I408" s="1531"/>
      <c r="J408" s="4782"/>
      <c r="K408" s="4782"/>
      <c r="L408" s="4782"/>
      <c r="M408" s="4782"/>
      <c r="N408" s="4783"/>
      <c r="O408" s="4783"/>
      <c r="P408" s="4783"/>
      <c r="Q408" s="4783"/>
      <c r="R408" s="4783"/>
      <c r="S408" s="4783"/>
      <c r="T408" s="4783"/>
      <c r="U408" s="4783"/>
      <c r="V408" s="4783"/>
      <c r="AA408" s="1535"/>
      <c r="AB408" s="1535"/>
      <c r="AC408" s="1535"/>
    </row>
    <row r="409" spans="1:32" ht="18" customHeight="1">
      <c r="A409" s="1531"/>
      <c r="B409" s="1531"/>
      <c r="C409" s="1531"/>
      <c r="D409" s="1531"/>
      <c r="E409" s="1531"/>
      <c r="F409" s="1531"/>
      <c r="G409" s="1531"/>
      <c r="H409" s="1531"/>
      <c r="I409" s="1531"/>
      <c r="J409" s="4782"/>
      <c r="K409" s="4782"/>
      <c r="L409" s="4782"/>
      <c r="M409" s="4782"/>
      <c r="N409" s="4783"/>
      <c r="O409" s="4783"/>
      <c r="P409" s="4783"/>
      <c r="Q409" s="4783"/>
      <c r="R409" s="4783"/>
      <c r="S409" s="4783"/>
      <c r="T409" s="4783"/>
      <c r="U409" s="4783"/>
      <c r="V409" s="4783"/>
      <c r="AA409" s="1535"/>
      <c r="AB409" s="1535"/>
      <c r="AC409" s="1535"/>
    </row>
    <row r="410" spans="1:32" ht="18" customHeight="1" thickBot="1">
      <c r="A410" s="1538" t="s">
        <v>1516</v>
      </c>
      <c r="B410" s="1610"/>
      <c r="C410" s="1610"/>
      <c r="D410" s="1610"/>
      <c r="E410" s="1610"/>
      <c r="F410" s="1611" t="s">
        <v>88</v>
      </c>
      <c r="G410" s="1838">
        <v>0.9</v>
      </c>
      <c r="H410" s="1789"/>
      <c r="I410" s="1790"/>
      <c r="J410" s="1612"/>
      <c r="K410" s="1534"/>
      <c r="L410" s="1534"/>
      <c r="M410" s="1534"/>
      <c r="N410" s="1612"/>
      <c r="O410" s="1612"/>
      <c r="P410" s="1612"/>
      <c r="Q410" s="1612"/>
      <c r="R410" s="1612"/>
      <c r="S410" s="1612"/>
      <c r="T410" s="1612"/>
      <c r="U410" s="1612"/>
      <c r="V410" s="1537" t="s">
        <v>278</v>
      </c>
      <c r="AA410" s="1535"/>
      <c r="AB410" s="1535"/>
      <c r="AC410" s="1535"/>
    </row>
    <row r="411" spans="1:32" ht="18" customHeight="1" thickBot="1">
      <c r="A411" s="1539" t="s">
        <v>40</v>
      </c>
      <c r="B411" s="74" t="s">
        <v>106</v>
      </c>
      <c r="C411" s="74" t="s">
        <v>45</v>
      </c>
      <c r="D411" s="65" t="s">
        <v>989</v>
      </c>
      <c r="E411" s="74" t="s">
        <v>1517</v>
      </c>
      <c r="F411" s="74" t="s">
        <v>107</v>
      </c>
      <c r="G411" s="74" t="s">
        <v>182</v>
      </c>
      <c r="H411" s="1995" t="s">
        <v>189</v>
      </c>
      <c r="I411" s="1927" t="s">
        <v>247</v>
      </c>
      <c r="J411" s="1539" t="s">
        <v>1292</v>
      </c>
      <c r="K411" s="5005" t="s">
        <v>1293</v>
      </c>
      <c r="L411" s="5494" t="s">
        <v>1294</v>
      </c>
      <c r="M411" s="4490" t="s">
        <v>1295</v>
      </c>
      <c r="N411" s="74" t="s">
        <v>1296</v>
      </c>
      <c r="O411" s="1540" t="s">
        <v>1297</v>
      </c>
      <c r="P411" s="1539" t="s">
        <v>1298</v>
      </c>
      <c r="Q411" s="74" t="s">
        <v>1299</v>
      </c>
      <c r="R411" s="1540" t="s">
        <v>1300</v>
      </c>
      <c r="S411" s="1539" t="s">
        <v>1301</v>
      </c>
      <c r="T411" s="74" t="s">
        <v>1302</v>
      </c>
      <c r="U411" s="1540" t="s">
        <v>1303</v>
      </c>
      <c r="V411" s="1541" t="s">
        <v>1304</v>
      </c>
      <c r="AA411" s="1535"/>
      <c r="AB411" s="1535"/>
      <c r="AC411" s="1535"/>
    </row>
    <row r="412" spans="1:32" ht="18" customHeight="1">
      <c r="A412" s="2039"/>
      <c r="B412" s="1763"/>
      <c r="C412" s="1658" t="s">
        <v>1518</v>
      </c>
      <c r="D412" s="54"/>
      <c r="E412" s="54">
        <f>VLOOKUP(F412,B.BasicInfomation!B:C,2,0)</f>
        <v>1</v>
      </c>
      <c r="F412" s="10" t="str">
        <f t="shared" ref="F412:F418" si="262">F5</f>
        <v>Galaxy Tap</v>
      </c>
      <c r="G412" s="1863">
        <f>3600/15*22*4</f>
        <v>21120</v>
      </c>
      <c r="H412" s="1765">
        <v>0.98</v>
      </c>
      <c r="I412" s="1938">
        <v>1</v>
      </c>
      <c r="J412" s="3701">
        <f>(J89/($G412/$I412/(100%+(100%-$H412)))/'4. L PLAN'!F$109)</f>
        <v>0</v>
      </c>
      <c r="K412" s="5397">
        <f>(K89/($G412/$I412/(100%+(100%-$H412)))/'4. L PLAN'!G$109)</f>
        <v>0</v>
      </c>
      <c r="L412" s="6228">
        <f>(L89/($G412/$I412/(100%+(100%-$H412)))/'4. L PLAN'!H$109)</f>
        <v>0</v>
      </c>
      <c r="M412" s="4727">
        <f>(M89/($G412/$I412/(100%+(100%-$H412)))/'4. L PLAN'!I$109)</f>
        <v>0</v>
      </c>
      <c r="N412" s="3702">
        <f>(N89/($G412/$I412/(100%+(100%-$H412)))/'4. L PLAN'!J$109)</f>
        <v>0</v>
      </c>
      <c r="O412" s="3703">
        <f>(O89/($G412/$I412/(100%+(100%-$H412)))/'4. L PLAN'!K$109)</f>
        <v>0</v>
      </c>
      <c r="P412" s="3701">
        <f>(P89/($G412/$I412/(100%+(100%-$H412)))/'4. L PLAN'!L$109)</f>
        <v>0</v>
      </c>
      <c r="Q412" s="3702">
        <f>(Q89/($G412/$I412/(100%+(100%-$H412)))/'4. L PLAN'!M$109)</f>
        <v>0</v>
      </c>
      <c r="R412" s="3703">
        <f>(R89/($G412/$I412/(100%+(100%-$H412)))/'4. L PLAN'!N$109)</f>
        <v>0</v>
      </c>
      <c r="S412" s="3701">
        <f>(S89/($G412/$I412/(100%+(100%-$H412)))/'4. L PLAN'!O$109)</f>
        <v>0</v>
      </c>
      <c r="T412" s="3702">
        <f>(T89/($G412/$I412/(100%+(100%-$H412)))/'4. L PLAN'!P$109)</f>
        <v>2.7170438562843624E-2</v>
      </c>
      <c r="U412" s="3703">
        <f>(U89/($G412/$I412/(100%+(100%-$H412)))/'4. L PLAN'!Q$109)</f>
        <v>0.12578906742057233</v>
      </c>
      <c r="V412" s="1557">
        <f t="shared" ref="V412:V419" si="263">AVERAGE(J412:U412)</f>
        <v>1.2746625498617997E-2</v>
      </c>
      <c r="AA412" s="1535"/>
      <c r="AB412" s="1535"/>
      <c r="AC412" s="1535"/>
    </row>
    <row r="413" spans="1:32" ht="18" customHeight="1">
      <c r="A413" s="2039"/>
      <c r="B413" s="1763"/>
      <c r="C413" s="1658"/>
      <c r="D413" s="54"/>
      <c r="E413" s="54">
        <f>VLOOKUP(F413,B.BasicInfomation!B:C,2,0)</f>
        <v>2</v>
      </c>
      <c r="F413" s="10" t="str">
        <f t="shared" si="262"/>
        <v>A15/17</v>
      </c>
      <c r="G413" s="1863">
        <f>3600/12*22*4</f>
        <v>26400</v>
      </c>
      <c r="H413" s="1765">
        <v>0.98</v>
      </c>
      <c r="I413" s="1938">
        <v>1</v>
      </c>
      <c r="J413" s="3701">
        <f>(J90/($G413/$I413/(100%+(100%-$H413)))/'4. L PLAN'!F$109)</f>
        <v>1.9712018975176875</v>
      </c>
      <c r="K413" s="5397">
        <f>(K90/($G413/$I413/(100%+(100%-$H413)))/'4. L PLAN'!G$109)</f>
        <v>2.2723152578415737</v>
      </c>
      <c r="L413" s="6228">
        <f>(L90/($G413/$I413/(100%+(100%-$H413)))/'4. L PLAN'!H$109)</f>
        <v>1.5426215597268231</v>
      </c>
      <c r="M413" s="4727">
        <f>(M90/($G413/$I413/(100%+(100%-$H413)))/'4. L PLAN'!I$109)</f>
        <v>1.9976396742545071</v>
      </c>
      <c r="N413" s="3702">
        <f>(N90/($G413/$I413/(100%+(100%-$H413)))/'4. L PLAN'!J$109)</f>
        <v>1.7547687400318981</v>
      </c>
      <c r="O413" s="3703">
        <f>(O90/($G413/$I413/(100%+(100%-$H413)))/'4. L PLAN'!K$109)</f>
        <v>2.0161125424283322</v>
      </c>
      <c r="P413" s="3701">
        <f>(P90/($G413/$I413/(100%+(100%-$H413)))/'4. L PLAN'!L$109)</f>
        <v>2.0083879733002545</v>
      </c>
      <c r="Q413" s="3702">
        <f>(Q90/($G413/$I413/(100%+(100%-$H413)))/'4. L PLAN'!M$109)</f>
        <v>2.0856336645810334</v>
      </c>
      <c r="R413" s="3703">
        <f>(R90/($G413/$I413/(100%+(100%-$H413)))/'4. L PLAN'!N$109)</f>
        <v>1.5062909799751907</v>
      </c>
      <c r="S413" s="3701">
        <f>(S90/($G413/$I413/(100%+(100%-$H413)))/'4. L PLAN'!O$109)</f>
        <v>1.255242483312659</v>
      </c>
      <c r="T413" s="3702">
        <f>(T90/($G413/$I413/(100%+(100%-$H413)))/'4. L PLAN'!P$109)</f>
        <v>1.3556618819776716</v>
      </c>
      <c r="U413" s="3703">
        <f>(U90/($G413/$I413/(100%+(100%-$H413)))/'4. L PLAN'!Q$109)</f>
        <v>1.255242483312659</v>
      </c>
      <c r="V413" s="1557">
        <f t="shared" si="263"/>
        <v>1.7517599281883578</v>
      </c>
      <c r="AA413" s="1535"/>
      <c r="AB413" s="1535"/>
      <c r="AC413" s="1535"/>
    </row>
    <row r="414" spans="1:32" ht="18" customHeight="1">
      <c r="A414" s="2039"/>
      <c r="B414" s="1763"/>
      <c r="C414" s="1658"/>
      <c r="D414" s="54"/>
      <c r="E414" s="54">
        <f>VLOOKUP(F414,B.BasicInfomation!B:C,2,0)</f>
        <v>3</v>
      </c>
      <c r="F414" s="10" t="str">
        <f t="shared" si="262"/>
        <v>A36</v>
      </c>
      <c r="G414" s="1863">
        <f t="shared" ref="G414:G417" si="264">3600/12*22*4</f>
        <v>26400</v>
      </c>
      <c r="H414" s="1765">
        <v>0.98</v>
      </c>
      <c r="I414" s="1938">
        <v>1</v>
      </c>
      <c r="J414" s="3701">
        <f>(J91/($G414/$I414/(100%+(100%-$H414)))/'4. L PLAN'!F$109)</f>
        <v>8.0505459452827888E-2</v>
      </c>
      <c r="K414" s="5397">
        <f>(K91/($G414/$I414/(100%+(100%-$H414)))/'4. L PLAN'!G$109)</f>
        <v>0</v>
      </c>
      <c r="L414" s="6228">
        <f>(L91/($G414/$I414/(100%+(100%-$H414)))/'4. L PLAN'!H$109)</f>
        <v>0.10595019016071648</v>
      </c>
      <c r="M414" s="4727">
        <f>(M91/($G414/$I414/(100%+(100%-$H414)))/'4. L PLAN'!I$109)</f>
        <v>0.1656372335798173</v>
      </c>
      <c r="N414" s="3702">
        <f>(N91/($G414/$I414/(100%+(100%-$H414)))/'4. L PLAN'!J$109)</f>
        <v>3.6440191387559807E-2</v>
      </c>
      <c r="O414" s="3703">
        <f>(O91/($G414/$I414/(100%+(100%-$H414)))/'4. L PLAN'!K$109)</f>
        <v>2.607042080726291E-2</v>
      </c>
      <c r="P414" s="3701">
        <f>(P91/($G414/$I414/(100%+(100%-$H414)))/'4. L PLAN'!L$109)</f>
        <v>0</v>
      </c>
      <c r="Q414" s="3702">
        <f>(Q91/($G414/$I414/(100%+(100%-$H414)))/'4. L PLAN'!M$109)</f>
        <v>0</v>
      </c>
      <c r="R414" s="3703">
        <f>(R91/($G414/$I414/(100%+(100%-$H414)))/'4. L PLAN'!N$109)</f>
        <v>0</v>
      </c>
      <c r="S414" s="3701">
        <f>(S91/($G414/$I414/(100%+(100%-$H414)))/'4. L PLAN'!O$109)</f>
        <v>0</v>
      </c>
      <c r="T414" s="3702">
        <f>(T91/($G414/$I414/(100%+(100%-$H414)))/'4. L PLAN'!P$109)</f>
        <v>0</v>
      </c>
      <c r="U414" s="3703">
        <f>(U91/($G414/$I414/(100%+(100%-$H414)))/'4. L PLAN'!Q$109)</f>
        <v>0</v>
      </c>
      <c r="V414" s="1557">
        <f t="shared" si="263"/>
        <v>3.4550291282348704E-2</v>
      </c>
      <c r="AA414" s="1535"/>
      <c r="AB414" s="1535"/>
      <c r="AC414" s="1535"/>
    </row>
    <row r="415" spans="1:32" ht="18" customHeight="1">
      <c r="A415" s="2039"/>
      <c r="B415" s="1763"/>
      <c r="C415" s="1658"/>
      <c r="D415" s="54"/>
      <c r="E415" s="54">
        <f>VLOOKUP(F415,B.BasicInfomation!B:C,2,0)</f>
        <v>4</v>
      </c>
      <c r="F415" s="10" t="str">
        <f t="shared" si="262"/>
        <v>A26</v>
      </c>
      <c r="G415" s="1863">
        <f t="shared" si="264"/>
        <v>26400</v>
      </c>
      <c r="H415" s="1765">
        <v>0.98</v>
      </c>
      <c r="I415" s="1938">
        <v>1</v>
      </c>
      <c r="J415" s="3701">
        <f>(J92/($G415/$I415/(100%+(100%-$H415)))/'4. L PLAN'!F$109)</f>
        <v>0.36331738437001593</v>
      </c>
      <c r="K415" s="5397">
        <f>(K92/($G415/$I415/(100%+(100%-$H415)))/'4. L PLAN'!G$109)</f>
        <v>0.15616377591706543</v>
      </c>
      <c r="L415" s="6228">
        <f>(L92/($G415/$I415/(100%+(100%-$H415)))/'4. L PLAN'!H$109)</f>
        <v>0</v>
      </c>
      <c r="M415" s="4727">
        <f>(M92/($G415/$I415/(100%+(100%-$H415)))/'4. L PLAN'!I$109)</f>
        <v>2.0285631433956799E-2</v>
      </c>
      <c r="N415" s="3702">
        <f>(N92/($G415/$I415/(100%+(100%-$H415)))/'4. L PLAN'!J$109)</f>
        <v>0.15053269537480063</v>
      </c>
      <c r="O415" s="3703">
        <f>(O92/($G415/$I415/(100%+(100%-$H415)))/'4. L PLAN'!K$109)</f>
        <v>0</v>
      </c>
      <c r="P415" s="3701">
        <f>(P92/($G415/$I415/(100%+(100%-$H415)))/'4. L PLAN'!L$109)</f>
        <v>0</v>
      </c>
      <c r="Q415" s="3702">
        <f>(Q92/($G415/$I415/(100%+(100%-$H415)))/'4. L PLAN'!M$109)</f>
        <v>0</v>
      </c>
      <c r="R415" s="3703">
        <f>(R92/($G415/$I415/(100%+(100%-$H415)))/'4. L PLAN'!N$109)</f>
        <v>0</v>
      </c>
      <c r="S415" s="3701">
        <f>(S92/($G415/$I415/(100%+(100%-$H415)))/'4. L PLAN'!O$109)</f>
        <v>0</v>
      </c>
      <c r="T415" s="3702">
        <f>(T92/($G415/$I415/(100%+(100%-$H415)))/'4. L PLAN'!P$109)</f>
        <v>0</v>
      </c>
      <c r="U415" s="3703">
        <f>(U92/($G415/$I415/(100%+(100%-$H415)))/'4. L PLAN'!Q$109)</f>
        <v>0</v>
      </c>
      <c r="V415" s="1557">
        <f t="shared" si="263"/>
        <v>5.7524957257986564E-2</v>
      </c>
      <c r="AA415" s="1535"/>
      <c r="AB415" s="1535"/>
      <c r="AC415" s="1535"/>
    </row>
    <row r="416" spans="1:32" ht="18" customHeight="1">
      <c r="A416" s="2039"/>
      <c r="B416" s="1763"/>
      <c r="C416" s="1658"/>
      <c r="D416" s="54"/>
      <c r="E416" s="54">
        <f>VLOOKUP(F416,B.BasicInfomation!B:C,2,0)</f>
        <v>5</v>
      </c>
      <c r="F416" s="10" t="str">
        <f t="shared" si="262"/>
        <v>A27</v>
      </c>
      <c r="G416" s="1863">
        <f t="shared" si="264"/>
        <v>26400</v>
      </c>
      <c r="H416" s="1765">
        <v>0.98</v>
      </c>
      <c r="I416" s="1938">
        <v>1</v>
      </c>
      <c r="J416" s="3701">
        <f>(J93/($G416/$I416/(100%+(100%-$H416)))/'4. L PLAN'!F$109)</f>
        <v>0</v>
      </c>
      <c r="K416" s="5397">
        <f>(K93/($G416/$I416/(100%+(100%-$H416)))/'4. L PLAN'!G$109)</f>
        <v>0</v>
      </c>
      <c r="L416" s="6228">
        <f>(L93/($G416/$I416/(100%+(100%-$H416)))/'4. L PLAN'!H$109)</f>
        <v>0</v>
      </c>
      <c r="M416" s="4727">
        <f>(M93/($G416/$I416/(100%+(100%-$H416)))/'4. L PLAN'!I$109)</f>
        <v>0</v>
      </c>
      <c r="N416" s="3702">
        <f>(N93/($G416/$I416/(100%+(100%-$H416)))/'4. L PLAN'!J$109)</f>
        <v>0.18393620414673048</v>
      </c>
      <c r="O416" s="3703">
        <f>(O93/($G416/$I416/(100%+(100%-$H416)))/'4. L PLAN'!K$109)</f>
        <v>1.3730421625158469</v>
      </c>
      <c r="P416" s="3701">
        <f>(P93/($G416/$I416/(100%+(100%-$H416)))/'4. L PLAN'!L$109)</f>
        <v>1.6736566444168788</v>
      </c>
      <c r="Q416" s="3702">
        <f>(Q93/($G416/$I416/(100%+(100%-$H416)))/'4. L PLAN'!M$109)</f>
        <v>1.7380280538175279</v>
      </c>
      <c r="R416" s="3703">
        <f>(R93/($G416/$I416/(100%+(100%-$H416)))/'4. L PLAN'!N$109)</f>
        <v>1.3180046074782921</v>
      </c>
      <c r="S416" s="3701">
        <f>(S93/($G416/$I416/(100%+(100%-$H416)))/'4. L PLAN'!O$109)</f>
        <v>0.83682832220843939</v>
      </c>
      <c r="T416" s="3702">
        <f>(T93/($G416/$I416/(100%+(100%-$H416)))/'4. L PLAN'!P$109)</f>
        <v>0.90377458798511456</v>
      </c>
      <c r="U416" s="3703">
        <f>(U93/($G416/$I416/(100%+(100%-$H416)))/'4. L PLAN'!Q$109)</f>
        <v>0.6694626577667514</v>
      </c>
      <c r="V416" s="1557">
        <f t="shared" si="263"/>
        <v>0.72472777002796507</v>
      </c>
      <c r="AA416" s="1535"/>
      <c r="AB416" s="1535"/>
      <c r="AC416" s="1535"/>
    </row>
    <row r="417" spans="1:29" ht="18" customHeight="1">
      <c r="A417" s="2039"/>
      <c r="B417" s="1763"/>
      <c r="C417" s="1658"/>
      <c r="D417" s="54"/>
      <c r="E417" s="54">
        <f>VLOOKUP(F417,B.BasicInfomation!B:C,2,0)</f>
        <v>6</v>
      </c>
      <c r="F417" s="10" t="str">
        <f t="shared" si="262"/>
        <v>A37</v>
      </c>
      <c r="G417" s="1863">
        <f t="shared" si="264"/>
        <v>26400</v>
      </c>
      <c r="H417" s="1765">
        <v>0.98</v>
      </c>
      <c r="I417" s="1938">
        <v>1</v>
      </c>
      <c r="J417" s="3701">
        <f>(J94/($G417/$I417/(100%+(100%-$H417)))/'4. L PLAN'!F$109)</f>
        <v>0.12027154132417291</v>
      </c>
      <c r="K417" s="5397">
        <f>(K94/($G417/$I417/(100%+(100%-$H417)))/'4. L PLAN'!G$109)</f>
        <v>1.1633273524720895</v>
      </c>
      <c r="L417" s="6228">
        <f>(L94/($G417/$I417/(100%+(100%-$H417)))/'4. L PLAN'!H$109)</f>
        <v>0.38688504477978164</v>
      </c>
      <c r="M417" s="4727">
        <f>(M94/($G417/$I417/(100%+(100%-$H417)))/'4. L PLAN'!I$109)</f>
        <v>0</v>
      </c>
      <c r="N417" s="3702">
        <f>(N94/($G417/$I417/(100%+(100%-$H417)))/'4. L PLAN'!J$109)</f>
        <v>8.7846889952153118E-2</v>
      </c>
      <c r="O417" s="3703">
        <f>(O94/($G417/$I417/(100%+(100%-$H417)))/'4. L PLAN'!K$109)</f>
        <v>0.17380280538175277</v>
      </c>
      <c r="P417" s="3701">
        <f>(P94/($G417/$I417/(100%+(100%-$H417)))/'4. L PLAN'!L$109)</f>
        <v>0.16736566444168785</v>
      </c>
      <c r="Q417" s="3702">
        <f>(Q94/($G417/$I417/(100%+(100%-$H417)))/'4. L PLAN'!M$109)</f>
        <v>8.6901402690876386E-2</v>
      </c>
      <c r="R417" s="3703">
        <f>(R94/($G417/$I417/(100%+(100%-$H417)))/'4. L PLAN'!N$109)</f>
        <v>9.4143186248449418E-2</v>
      </c>
      <c r="S417" s="3701">
        <f>(S94/($G417/$I417/(100%+(100%-$H417)))/'4. L PLAN'!O$109)</f>
        <v>8.3682832220843932E-3</v>
      </c>
      <c r="T417" s="3702">
        <f>(T94/($G417/$I417/(100%+(100%-$H417)))/'4. L PLAN'!P$109)</f>
        <v>0</v>
      </c>
      <c r="U417" s="3703">
        <f>(U94/($G417/$I417/(100%+(100%-$H417)))/'4. L PLAN'!Q$109)</f>
        <v>0</v>
      </c>
      <c r="V417" s="1557">
        <f t="shared" si="263"/>
        <v>0.19074268087608734</v>
      </c>
      <c r="AA417" s="1535"/>
      <c r="AB417" s="1535"/>
      <c r="AC417" s="1535"/>
    </row>
    <row r="418" spans="1:29" ht="18" customHeight="1">
      <c r="A418" s="2039"/>
      <c r="B418" s="1763"/>
      <c r="C418" s="1658"/>
      <c r="D418" s="54"/>
      <c r="E418" s="54">
        <f>VLOOKUP(F418,B.BasicInfomation!B:C,2,0)</f>
        <v>7</v>
      </c>
      <c r="F418" s="10" t="str">
        <f t="shared" si="262"/>
        <v>A18</v>
      </c>
      <c r="G418" s="1863">
        <f t="shared" ref="G418" si="265">3600/15*22*4</f>
        <v>21120</v>
      </c>
      <c r="H418" s="1765">
        <v>0.98</v>
      </c>
      <c r="I418" s="1938">
        <v>1</v>
      </c>
      <c r="J418" s="3701">
        <f>(J95/($G418/$I418/(100%+(100%-$H418)))/'4. L PLAN'!F$109)</f>
        <v>0</v>
      </c>
      <c r="K418" s="5397">
        <f>(K95/($G418/$I418/(100%+(100%-$H418)))/'4. L PLAN'!G$109)</f>
        <v>0</v>
      </c>
      <c r="L418" s="6228">
        <f>(L95/($G418/$I418/(100%+(100%-$H418)))/'4. L PLAN'!H$109)</f>
        <v>0</v>
      </c>
      <c r="M418" s="4727">
        <f>(M95/($G418/$I418/(100%+(100%-$H418)))/'4. L PLAN'!I$109)</f>
        <v>0</v>
      </c>
      <c r="N418" s="3702">
        <f>(N95/($G418/$I418/(100%+(100%-$H418)))/'4. L PLAN'!J$109)</f>
        <v>0</v>
      </c>
      <c r="O418" s="3703">
        <f>(O95/($G418/$I418/(100%+(100%-$H418)))/'4. L PLAN'!K$109)</f>
        <v>0</v>
      </c>
      <c r="P418" s="3701">
        <f>(P95/($G418/$I418/(100%+(100%-$H418)))/'4. L PLAN'!L$109)</f>
        <v>0</v>
      </c>
      <c r="Q418" s="3702">
        <f>(Q95/($G418/$I418/(100%+(100%-$H418)))/'4. L PLAN'!M$109)</f>
        <v>0</v>
      </c>
      <c r="R418" s="3703">
        <f>(R95/($G418/$I418/(100%+(100%-$H418)))/'4. L PLAN'!N$109)</f>
        <v>0</v>
      </c>
      <c r="S418" s="3701">
        <f>(S95/($G418/$I418/(100%+(100%-$H418)))/'4. L PLAN'!O$109)</f>
        <v>0.10460354027605491</v>
      </c>
      <c r="T418" s="3702">
        <f>(T95/($G418/$I418/(100%+(100%-$H418)))/'4. L PLAN'!P$109)</f>
        <v>0.90377458798511445</v>
      </c>
      <c r="U418" s="3703">
        <f>(U95/($G418/$I418/(100%+(100%-$H418)))/'4. L PLAN'!Q$109)</f>
        <v>0.83682832220843928</v>
      </c>
      <c r="V418" s="1557">
        <f t="shared" si="263"/>
        <v>0.15376720420580073</v>
      </c>
      <c r="AA418" s="1535"/>
      <c r="AB418" s="1535"/>
      <c r="AC418" s="1535"/>
    </row>
    <row r="419" spans="1:29" ht="18" customHeight="1" thickBot="1">
      <c r="A419" s="2040"/>
      <c r="B419" s="1966"/>
      <c r="C419" s="1726" t="s">
        <v>43</v>
      </c>
      <c r="D419" s="1726"/>
      <c r="E419" s="1726"/>
      <c r="F419" s="1727"/>
      <c r="G419" s="3738"/>
      <c r="H419" s="3739"/>
      <c r="I419" s="2787"/>
      <c r="J419" s="3722">
        <f>SUM(J412:J418)</f>
        <v>2.5352962826647039</v>
      </c>
      <c r="K419" s="5409">
        <f t="shared" ref="K419:U419" si="266">SUM(K412:K418)</f>
        <v>3.5918063862307288</v>
      </c>
      <c r="L419" s="6243">
        <f t="shared" si="266"/>
        <v>2.0354567946673212</v>
      </c>
      <c r="M419" s="4737">
        <f t="shared" si="266"/>
        <v>2.1835625392682814</v>
      </c>
      <c r="N419" s="4784">
        <f t="shared" si="266"/>
        <v>2.2135247208931421</v>
      </c>
      <c r="O419" s="3724">
        <f t="shared" si="266"/>
        <v>3.5890279311331947</v>
      </c>
      <c r="P419" s="3722">
        <f t="shared" si="266"/>
        <v>3.849410282158821</v>
      </c>
      <c r="Q419" s="4784">
        <f t="shared" si="266"/>
        <v>3.9105631210894378</v>
      </c>
      <c r="R419" s="3724">
        <f t="shared" si="266"/>
        <v>2.9184387737019319</v>
      </c>
      <c r="S419" s="3722">
        <f t="shared" si="266"/>
        <v>2.2050426290192378</v>
      </c>
      <c r="T419" s="4784">
        <f t="shared" si="266"/>
        <v>3.190381496510744</v>
      </c>
      <c r="U419" s="3724">
        <f t="shared" si="266"/>
        <v>2.8873225307084218</v>
      </c>
      <c r="V419" s="1905">
        <f t="shared" si="263"/>
        <v>2.9258194573371643</v>
      </c>
      <c r="AA419" s="1535"/>
      <c r="AB419" s="1535"/>
      <c r="AC419" s="1535"/>
    </row>
    <row r="420" spans="1:29" ht="18" customHeight="1" thickBot="1">
      <c r="A420" s="7081" t="s">
        <v>137</v>
      </c>
      <c r="B420" s="7082"/>
      <c r="C420" s="7082"/>
      <c r="D420" s="7082"/>
      <c r="E420" s="7082"/>
      <c r="F420" s="7082"/>
      <c r="G420" s="7082"/>
      <c r="H420" s="7082"/>
      <c r="I420" s="7083"/>
      <c r="J420" s="3725">
        <f t="shared" ref="J420:V420" si="267">(+J419)</f>
        <v>2.5352962826647039</v>
      </c>
      <c r="K420" s="5408">
        <f t="shared" si="267"/>
        <v>3.5918063862307288</v>
      </c>
      <c r="L420" s="6244">
        <f t="shared" si="267"/>
        <v>2.0354567946673212</v>
      </c>
      <c r="M420" s="4738">
        <f t="shared" si="267"/>
        <v>2.1835625392682814</v>
      </c>
      <c r="N420" s="3726">
        <f t="shared" si="267"/>
        <v>2.2135247208931421</v>
      </c>
      <c r="O420" s="3727">
        <f t="shared" si="267"/>
        <v>3.5890279311331947</v>
      </c>
      <c r="P420" s="3725">
        <f t="shared" si="267"/>
        <v>3.849410282158821</v>
      </c>
      <c r="Q420" s="3726">
        <f t="shared" si="267"/>
        <v>3.9105631210894378</v>
      </c>
      <c r="R420" s="3727">
        <f t="shared" si="267"/>
        <v>2.9184387737019319</v>
      </c>
      <c r="S420" s="3725">
        <f t="shared" si="267"/>
        <v>2.2050426290192378</v>
      </c>
      <c r="T420" s="3726">
        <f t="shared" si="267"/>
        <v>3.190381496510744</v>
      </c>
      <c r="U420" s="3727">
        <f t="shared" si="267"/>
        <v>2.8873225307084218</v>
      </c>
      <c r="V420" s="3728">
        <f t="shared" si="267"/>
        <v>2.9258194573371643</v>
      </c>
      <c r="AA420" s="1535"/>
      <c r="AB420" s="1535"/>
      <c r="AC420" s="1535"/>
    </row>
    <row r="421" spans="1:29" ht="18" customHeight="1">
      <c r="A421" s="1531"/>
      <c r="B421" s="1531"/>
      <c r="C421" s="1531"/>
      <c r="D421" s="1531"/>
      <c r="E421" s="1531"/>
      <c r="F421" s="1531"/>
      <c r="G421" s="1531"/>
      <c r="H421" s="1531"/>
      <c r="I421" s="1531"/>
      <c r="J421" s="4783"/>
      <c r="K421" s="4782"/>
      <c r="L421" s="4782"/>
      <c r="M421" s="4782"/>
      <c r="N421" s="4783"/>
      <c r="O421" s="4783"/>
      <c r="P421" s="4783"/>
      <c r="Q421" s="4783"/>
      <c r="R421" s="4783"/>
      <c r="S421" s="4783"/>
      <c r="T421" s="4783"/>
      <c r="U421" s="4783"/>
      <c r="V421" s="4783"/>
      <c r="AA421" s="1535"/>
      <c r="AB421" s="1535"/>
      <c r="AC421" s="1535"/>
    </row>
    <row r="422" spans="1:29" ht="18" customHeight="1" thickBot="1">
      <c r="A422" s="1538" t="s">
        <v>1519</v>
      </c>
      <c r="B422" s="1610"/>
      <c r="C422" s="1610"/>
      <c r="D422" s="1610"/>
      <c r="E422" s="1610"/>
      <c r="F422" s="1611" t="s">
        <v>88</v>
      </c>
      <c r="G422" s="1838">
        <v>0.9</v>
      </c>
      <c r="H422" s="1789"/>
      <c r="I422" s="1790"/>
      <c r="J422" s="1612"/>
      <c r="K422" s="1534"/>
      <c r="L422" s="1534"/>
      <c r="M422" s="1534"/>
      <c r="N422" s="1612"/>
      <c r="O422" s="1612"/>
      <c r="P422" s="1612"/>
      <c r="Q422" s="1612"/>
      <c r="R422" s="1612"/>
      <c r="S422" s="1612"/>
      <c r="T422" s="1612"/>
      <c r="U422" s="1612"/>
      <c r="V422" s="1537" t="s">
        <v>278</v>
      </c>
      <c r="AA422" s="1535"/>
      <c r="AB422" s="1535"/>
      <c r="AC422" s="1535"/>
    </row>
    <row r="423" spans="1:29" ht="18" customHeight="1" thickBot="1">
      <c r="A423" s="1539" t="s">
        <v>40</v>
      </c>
      <c r="B423" s="74" t="s">
        <v>106</v>
      </c>
      <c r="C423" s="74" t="s">
        <v>45</v>
      </c>
      <c r="D423" s="65" t="s">
        <v>989</v>
      </c>
      <c r="E423" s="74" t="s">
        <v>1517</v>
      </c>
      <c r="F423" s="74" t="s">
        <v>107</v>
      </c>
      <c r="G423" s="74" t="s">
        <v>182</v>
      </c>
      <c r="H423" s="1995" t="s">
        <v>189</v>
      </c>
      <c r="I423" s="1927" t="s">
        <v>247</v>
      </c>
      <c r="J423" s="1539" t="s">
        <v>1292</v>
      </c>
      <c r="K423" s="5005" t="s">
        <v>1293</v>
      </c>
      <c r="L423" s="5494" t="s">
        <v>1294</v>
      </c>
      <c r="M423" s="4490" t="s">
        <v>1295</v>
      </c>
      <c r="N423" s="74" t="s">
        <v>1296</v>
      </c>
      <c r="O423" s="1540" t="s">
        <v>1297</v>
      </c>
      <c r="P423" s="1539" t="s">
        <v>1298</v>
      </c>
      <c r="Q423" s="74" t="s">
        <v>1299</v>
      </c>
      <c r="R423" s="1540" t="s">
        <v>1300</v>
      </c>
      <c r="S423" s="1539" t="s">
        <v>1301</v>
      </c>
      <c r="T423" s="74" t="s">
        <v>1302</v>
      </c>
      <c r="U423" s="1540" t="s">
        <v>1303</v>
      </c>
      <c r="V423" s="1541" t="s">
        <v>1304</v>
      </c>
      <c r="AA423" s="1535"/>
      <c r="AB423" s="1535"/>
      <c r="AC423" s="1535"/>
    </row>
    <row r="424" spans="1:29" ht="18" customHeight="1">
      <c r="A424" s="2039"/>
      <c r="B424" s="1763"/>
      <c r="C424" s="1658" t="s">
        <v>1518</v>
      </c>
      <c r="D424" s="54"/>
      <c r="E424" s="54">
        <f>VLOOKUP(F424,B.BasicInfomation!B:C,2,0)</f>
        <v>1</v>
      </c>
      <c r="F424" s="10" t="str">
        <f t="shared" ref="F424:F430" si="268">F5</f>
        <v>Galaxy Tap</v>
      </c>
      <c r="G424" s="1863">
        <f>3600/8*22*2</f>
        <v>19800</v>
      </c>
      <c r="H424" s="1765">
        <v>0.98</v>
      </c>
      <c r="I424" s="1938">
        <v>1</v>
      </c>
      <c r="J424" s="3701">
        <f>(J89/($G424/$I424/(100%+(100%-$H424)))/'4. L PLAN'!F$109)</f>
        <v>0</v>
      </c>
      <c r="K424" s="5397">
        <f>(K89/($G424/$I424/(100%+(100%-$H424)))/'4. L PLAN'!G$109)</f>
        <v>0</v>
      </c>
      <c r="L424" s="6228">
        <f>(L89/($G424/$I424/(100%+(100%-$H424)))/'4. L PLAN'!H$109)</f>
        <v>0</v>
      </c>
      <c r="M424" s="4727">
        <f>(M89/($G424/$I424/(100%+(100%-$H424)))/'4. L PLAN'!I$109)</f>
        <v>0</v>
      </c>
      <c r="N424" s="3702">
        <f>(N89/($G424/$I424/(100%+(100%-$H424)))/'4. L PLAN'!J$109)</f>
        <v>0</v>
      </c>
      <c r="O424" s="3703">
        <f>(O89/($G424/$I424/(100%+(100%-$H424)))/'4. L PLAN'!K$109)</f>
        <v>0</v>
      </c>
      <c r="P424" s="3701">
        <f>(P89/($G424/$I424/(100%+(100%-$H424)))/'4. L PLAN'!L$109)</f>
        <v>0</v>
      </c>
      <c r="Q424" s="3702">
        <f>(Q89/($G424/$I424/(100%+(100%-$H424)))/'4. L PLAN'!M$109)</f>
        <v>0</v>
      </c>
      <c r="R424" s="3703">
        <f>(R89/($G424/$I424/(100%+(100%-$H424)))/'4. L PLAN'!N$109)</f>
        <v>0</v>
      </c>
      <c r="S424" s="3701">
        <f>(S89/($G424/$I424/(100%+(100%-$H424)))/'4. L PLAN'!O$109)</f>
        <v>0</v>
      </c>
      <c r="T424" s="3702">
        <f>(T89/($G424/$I424/(100%+(100%-$H424)))/'4. L PLAN'!P$109)</f>
        <v>2.8981801133699862E-2</v>
      </c>
      <c r="U424" s="3703">
        <f>(U89/($G424/$I424/(100%+(100%-$H424)))/'4. L PLAN'!Q$109)</f>
        <v>0.13417500524861048</v>
      </c>
      <c r="V424" s="1557">
        <f t="shared" ref="V424:V431" si="269">AVERAGE(J424:U424)</f>
        <v>1.3596400531859195E-2</v>
      </c>
      <c r="AA424" s="1535"/>
      <c r="AB424" s="1535"/>
      <c r="AC424" s="1535"/>
    </row>
    <row r="425" spans="1:29" ht="18" customHeight="1">
      <c r="A425" s="2039"/>
      <c r="B425" s="1763"/>
      <c r="C425" s="1658"/>
      <c r="D425" s="54"/>
      <c r="E425" s="54">
        <f>VLOOKUP(F425,B.BasicInfomation!B:C,2,0)</f>
        <v>2</v>
      </c>
      <c r="F425" s="10" t="str">
        <f t="shared" si="268"/>
        <v>A15/17</v>
      </c>
      <c r="G425" s="1863">
        <f t="shared" ref="G425:G430" si="270">3600/8*22*2</f>
        <v>19800</v>
      </c>
      <c r="H425" s="1765">
        <v>0.98</v>
      </c>
      <c r="I425" s="1938">
        <v>1</v>
      </c>
      <c r="J425" s="3701">
        <f>(J90/($G425/$I425/(100%+(100%-$H425)))/'4. L PLAN'!F$109)</f>
        <v>2.6282691966902498</v>
      </c>
      <c r="K425" s="5397">
        <f>(K90/($G425/$I425/(100%+(100%-$H425)))/'4. L PLAN'!G$109)</f>
        <v>3.0297536771220979</v>
      </c>
      <c r="L425" s="6228">
        <f>(L90/($G425/$I425/(100%+(100%-$H425)))/'4. L PLAN'!H$109)</f>
        <v>2.0568287463024304</v>
      </c>
      <c r="M425" s="4727">
        <f>(M90/($G425/$I425/(100%+(100%-$H425)))/'4. L PLAN'!I$109)</f>
        <v>2.6635195656726758</v>
      </c>
      <c r="N425" s="3702">
        <f>(N90/($G425/$I425/(100%+(100%-$H425)))/'4. L PLAN'!J$109)</f>
        <v>2.3396916533758638</v>
      </c>
      <c r="O425" s="3703">
        <f>(O90/($G425/$I425/(100%+(100%-$H425)))/'4. L PLAN'!K$109)</f>
        <v>2.6881500565711089</v>
      </c>
      <c r="P425" s="3701">
        <f>(P90/($G425/$I425/(100%+(100%-$H425)))/'4. L PLAN'!L$109)</f>
        <v>2.6778506310670056</v>
      </c>
      <c r="Q425" s="3702">
        <f>(Q90/($G425/$I425/(100%+(100%-$H425)))/'4. L PLAN'!M$109)</f>
        <v>2.7808448861080444</v>
      </c>
      <c r="R425" s="3703">
        <f>(R90/($G425/$I425/(100%+(100%-$H425)))/'4. L PLAN'!N$109)</f>
        <v>2.0083879733002541</v>
      </c>
      <c r="S425" s="3701">
        <f>(S90/($G425/$I425/(100%+(100%-$H425)))/'4. L PLAN'!O$109)</f>
        <v>1.6736566444168786</v>
      </c>
      <c r="T425" s="3702">
        <f>(T90/($G425/$I425/(100%+(100%-$H425)))/'4. L PLAN'!P$109)</f>
        <v>1.8075491759702289</v>
      </c>
      <c r="U425" s="3703">
        <f>(U90/($G425/$I425/(100%+(100%-$H425)))/'4. L PLAN'!Q$109)</f>
        <v>1.6736566444168786</v>
      </c>
      <c r="V425" s="1557">
        <f t="shared" si="269"/>
        <v>2.3356799042511436</v>
      </c>
      <c r="AA425" s="1535"/>
      <c r="AB425" s="1535"/>
      <c r="AC425" s="1535"/>
    </row>
    <row r="426" spans="1:29" ht="18" customHeight="1">
      <c r="A426" s="2039"/>
      <c r="B426" s="1763"/>
      <c r="C426" s="1658"/>
      <c r="D426" s="54"/>
      <c r="E426" s="54">
        <f>VLOOKUP(F426,B.BasicInfomation!B:C,2,0)</f>
        <v>3</v>
      </c>
      <c r="F426" s="10" t="str">
        <f t="shared" si="268"/>
        <v>A36</v>
      </c>
      <c r="G426" s="1863">
        <f t="shared" si="270"/>
        <v>19800</v>
      </c>
      <c r="H426" s="1765">
        <v>0.98</v>
      </c>
      <c r="I426" s="1938">
        <v>1</v>
      </c>
      <c r="J426" s="3701">
        <f>(J91/($G426/$I426/(100%+(100%-$H426)))/'4. L PLAN'!F$109)</f>
        <v>0.10734061260377051</v>
      </c>
      <c r="K426" s="5397">
        <f>(K91/($G426/$I426/(100%+(100%-$H426)))/'4. L PLAN'!G$109)</f>
        <v>0</v>
      </c>
      <c r="L426" s="6228">
        <f>(L91/($G426/$I426/(100%+(100%-$H426)))/'4. L PLAN'!H$109)</f>
        <v>0.14126692021428863</v>
      </c>
      <c r="M426" s="4727">
        <f>(M91/($G426/$I426/(100%+(100%-$H426)))/'4. L PLAN'!I$109)</f>
        <v>0.22084964477308971</v>
      </c>
      <c r="N426" s="3702">
        <f>(N91/($G426/$I426/(100%+(100%-$H426)))/'4. L PLAN'!J$109)</f>
        <v>4.8586921850079741E-2</v>
      </c>
      <c r="O426" s="3703">
        <f>(O91/($G426/$I426/(100%+(100%-$H426)))/'4. L PLAN'!K$109)</f>
        <v>3.4760561076350546E-2</v>
      </c>
      <c r="P426" s="3701">
        <f>(P91/($G426/$I426/(100%+(100%-$H426)))/'4. L PLAN'!L$109)</f>
        <v>0</v>
      </c>
      <c r="Q426" s="3702">
        <f>(Q91/($G426/$I426/(100%+(100%-$H426)))/'4. L PLAN'!M$109)</f>
        <v>0</v>
      </c>
      <c r="R426" s="3703">
        <f>(R91/($G426/$I426/(100%+(100%-$H426)))/'4. L PLAN'!N$109)</f>
        <v>0</v>
      </c>
      <c r="S426" s="3701">
        <f>(S91/($G426/$I426/(100%+(100%-$H426)))/'4. L PLAN'!O$109)</f>
        <v>0</v>
      </c>
      <c r="T426" s="3702">
        <f>(T91/($G426/$I426/(100%+(100%-$H426)))/'4. L PLAN'!P$109)</f>
        <v>0</v>
      </c>
      <c r="U426" s="3703">
        <f>(U91/($G426/$I426/(100%+(100%-$H426)))/'4. L PLAN'!Q$109)</f>
        <v>0</v>
      </c>
      <c r="V426" s="1557">
        <f t="shared" si="269"/>
        <v>4.6067055043131598E-2</v>
      </c>
      <c r="AA426" s="1535"/>
      <c r="AB426" s="1535"/>
      <c r="AC426" s="1535"/>
    </row>
    <row r="427" spans="1:29" ht="18" customHeight="1">
      <c r="A427" s="2039"/>
      <c r="B427" s="1763"/>
      <c r="C427" s="1658"/>
      <c r="D427" s="54"/>
      <c r="E427" s="54">
        <f>VLOOKUP(F427,B.BasicInfomation!B:C,2,0)</f>
        <v>4</v>
      </c>
      <c r="F427" s="10" t="str">
        <f t="shared" si="268"/>
        <v>A26</v>
      </c>
      <c r="G427" s="1863">
        <f t="shared" si="270"/>
        <v>19800</v>
      </c>
      <c r="H427" s="1765">
        <v>0.98</v>
      </c>
      <c r="I427" s="1938">
        <v>1</v>
      </c>
      <c r="J427" s="3701">
        <f>(J92/($G427/$I427/(100%+(100%-$H427)))/'4. L PLAN'!F$109)</f>
        <v>0.4844231791600212</v>
      </c>
      <c r="K427" s="5397">
        <f>(K92/($G427/$I427/(100%+(100%-$H427)))/'4. L PLAN'!G$109)</f>
        <v>0.20821836788942052</v>
      </c>
      <c r="L427" s="6228">
        <f>(L92/($G427/$I427/(100%+(100%-$H427)))/'4. L PLAN'!H$109)</f>
        <v>0</v>
      </c>
      <c r="M427" s="4727">
        <f>(M92/($G427/$I427/(100%+(100%-$H427)))/'4. L PLAN'!I$109)</f>
        <v>2.7047508578609061E-2</v>
      </c>
      <c r="N427" s="3702">
        <f>(N92/($G427/$I427/(100%+(100%-$H427)))/'4. L PLAN'!J$109)</f>
        <v>0.20071026049973414</v>
      </c>
      <c r="O427" s="3703">
        <f>(O92/($G427/$I427/(100%+(100%-$H427)))/'4. L PLAN'!K$109)</f>
        <v>0</v>
      </c>
      <c r="P427" s="3701">
        <f>(P92/($G427/$I427/(100%+(100%-$H427)))/'4. L PLAN'!L$109)</f>
        <v>0</v>
      </c>
      <c r="Q427" s="3702">
        <f>(Q92/($G427/$I427/(100%+(100%-$H427)))/'4. L PLAN'!M$109)</f>
        <v>0</v>
      </c>
      <c r="R427" s="3703">
        <f>(R92/($G427/$I427/(100%+(100%-$H427)))/'4. L PLAN'!N$109)</f>
        <v>0</v>
      </c>
      <c r="S427" s="3701">
        <f>(S92/($G427/$I427/(100%+(100%-$H427)))/'4. L PLAN'!O$109)</f>
        <v>0</v>
      </c>
      <c r="T427" s="3702">
        <f>(T92/($G427/$I427/(100%+(100%-$H427)))/'4. L PLAN'!P$109)</f>
        <v>0</v>
      </c>
      <c r="U427" s="3703">
        <f>(U92/($G427/$I427/(100%+(100%-$H427)))/'4. L PLAN'!Q$109)</f>
        <v>0</v>
      </c>
      <c r="V427" s="1557">
        <f t="shared" si="269"/>
        <v>7.6699943010648738E-2</v>
      </c>
      <c r="AA427" s="1535"/>
      <c r="AB427" s="1535"/>
      <c r="AC427" s="1535"/>
    </row>
    <row r="428" spans="1:29" ht="18" customHeight="1">
      <c r="A428" s="2039"/>
      <c r="B428" s="1763"/>
      <c r="C428" s="1658"/>
      <c r="D428" s="54"/>
      <c r="E428" s="54">
        <f>VLOOKUP(F428,B.BasicInfomation!B:C,2,0)</f>
        <v>5</v>
      </c>
      <c r="F428" s="10" t="str">
        <f t="shared" si="268"/>
        <v>A27</v>
      </c>
      <c r="G428" s="1863">
        <f t="shared" si="270"/>
        <v>19800</v>
      </c>
      <c r="H428" s="1765">
        <v>0.98</v>
      </c>
      <c r="I428" s="1938">
        <v>1</v>
      </c>
      <c r="J428" s="3701">
        <f>(J93/($G428/$I428/(100%+(100%-$H428)))/'4. L PLAN'!F$109)</f>
        <v>0</v>
      </c>
      <c r="K428" s="5397">
        <f>(K93/($G428/$I428/(100%+(100%-$H428)))/'4. L PLAN'!G$109)</f>
        <v>0</v>
      </c>
      <c r="L428" s="6228">
        <f>(L93/($G428/$I428/(100%+(100%-$H428)))/'4. L PLAN'!H$109)</f>
        <v>0</v>
      </c>
      <c r="M428" s="4727">
        <f>(M93/($G428/$I428/(100%+(100%-$H428)))/'4. L PLAN'!I$109)</f>
        <v>0</v>
      </c>
      <c r="N428" s="3702">
        <f>(N93/($G428/$I428/(100%+(100%-$H428)))/'4. L PLAN'!J$109)</f>
        <v>0.24524827219564063</v>
      </c>
      <c r="O428" s="3703">
        <f>(O93/($G428/$I428/(100%+(100%-$H428)))/'4. L PLAN'!K$109)</f>
        <v>1.8307228833544624</v>
      </c>
      <c r="P428" s="3701">
        <f>(P93/($G428/$I428/(100%+(100%-$H428)))/'4. L PLAN'!L$109)</f>
        <v>2.2315421925558381</v>
      </c>
      <c r="Q428" s="3702">
        <f>(Q93/($G428/$I428/(100%+(100%-$H428)))/'4. L PLAN'!M$109)</f>
        <v>2.3173707384233704</v>
      </c>
      <c r="R428" s="3703">
        <f>(R93/($G428/$I428/(100%+(100%-$H428)))/'4. L PLAN'!N$109)</f>
        <v>1.7573394766377224</v>
      </c>
      <c r="S428" s="3701">
        <f>(S93/($G428/$I428/(100%+(100%-$H428)))/'4. L PLAN'!O$109)</f>
        <v>1.115771096277919</v>
      </c>
      <c r="T428" s="3702">
        <f>(T93/($G428/$I428/(100%+(100%-$H428)))/'4. L PLAN'!P$109)</f>
        <v>1.2050327839801525</v>
      </c>
      <c r="U428" s="3703">
        <f>(U93/($G428/$I428/(100%+(100%-$H428)))/'4. L PLAN'!Q$109)</f>
        <v>0.89261687702233505</v>
      </c>
      <c r="V428" s="1557">
        <f t="shared" si="269"/>
        <v>0.96630369337062005</v>
      </c>
      <c r="AA428" s="1535"/>
      <c r="AB428" s="1535"/>
      <c r="AC428" s="1535"/>
    </row>
    <row r="429" spans="1:29" ht="18" customHeight="1">
      <c r="A429" s="2039"/>
      <c r="B429" s="1763"/>
      <c r="C429" s="1658"/>
      <c r="D429" s="54"/>
      <c r="E429" s="54">
        <f>VLOOKUP(F429,B.BasicInfomation!B:C,2,0)</f>
        <v>6</v>
      </c>
      <c r="F429" s="10" t="str">
        <f t="shared" si="268"/>
        <v>A37</v>
      </c>
      <c r="G429" s="1863">
        <f t="shared" si="270"/>
        <v>19800</v>
      </c>
      <c r="H429" s="1765">
        <v>0.98</v>
      </c>
      <c r="I429" s="1938">
        <v>1</v>
      </c>
      <c r="J429" s="3701">
        <f>(J94/($G429/$I429/(100%+(100%-$H429)))/'4. L PLAN'!F$109)</f>
        <v>0.16036205509889717</v>
      </c>
      <c r="K429" s="5397">
        <f>(K94/($G429/$I429/(100%+(100%-$H429)))/'4. L PLAN'!G$109)</f>
        <v>1.5511031366294525</v>
      </c>
      <c r="L429" s="6228">
        <f>(L94/($G429/$I429/(100%+(100%-$H429)))/'4. L PLAN'!H$109)</f>
        <v>0.51584672637304219</v>
      </c>
      <c r="M429" s="4727">
        <f>(M94/($G429/$I429/(100%+(100%-$H429)))/'4. L PLAN'!I$109)</f>
        <v>0</v>
      </c>
      <c r="N429" s="3702">
        <f>(N94/($G429/$I429/(100%+(100%-$H429)))/'4. L PLAN'!J$109)</f>
        <v>0.11712918660287081</v>
      </c>
      <c r="O429" s="3703">
        <f>(O94/($G429/$I429/(100%+(100%-$H429)))/'4. L PLAN'!K$109)</f>
        <v>0.23173707384233699</v>
      </c>
      <c r="P429" s="3701">
        <f>(P94/($G429/$I429/(100%+(100%-$H429)))/'4. L PLAN'!L$109)</f>
        <v>0.22315421925558376</v>
      </c>
      <c r="Q429" s="3702">
        <f>(Q94/($G429/$I429/(100%+(100%-$H429)))/'4. L PLAN'!M$109)</f>
        <v>0.1158685369211685</v>
      </c>
      <c r="R429" s="3703">
        <f>(R94/($G429/$I429/(100%+(100%-$H429)))/'4. L PLAN'!N$109)</f>
        <v>0.12552424833126588</v>
      </c>
      <c r="S429" s="3701">
        <f>(S94/($G429/$I429/(100%+(100%-$H429)))/'4. L PLAN'!O$109)</f>
        <v>1.1157710962779189E-2</v>
      </c>
      <c r="T429" s="3702">
        <f>(T94/($G429/$I429/(100%+(100%-$H429)))/'4. L PLAN'!P$109)</f>
        <v>0</v>
      </c>
      <c r="U429" s="3703">
        <f>(U94/($G429/$I429/(100%+(100%-$H429)))/'4. L PLAN'!Q$109)</f>
        <v>0</v>
      </c>
      <c r="V429" s="1557">
        <f t="shared" si="269"/>
        <v>0.25432357450144971</v>
      </c>
      <c r="AA429" s="1535"/>
      <c r="AB429" s="1535"/>
      <c r="AC429" s="1535"/>
    </row>
    <row r="430" spans="1:29" ht="18" customHeight="1">
      <c r="A430" s="2039"/>
      <c r="B430" s="1763"/>
      <c r="C430" s="1658"/>
      <c r="D430" s="54"/>
      <c r="E430" s="54">
        <f>VLOOKUP(F430,B.BasicInfomation!B:C,2,0)</f>
        <v>7</v>
      </c>
      <c r="F430" s="10" t="str">
        <f t="shared" si="268"/>
        <v>A18</v>
      </c>
      <c r="G430" s="1863">
        <f t="shared" si="270"/>
        <v>19800</v>
      </c>
      <c r="H430" s="1765">
        <v>0.98</v>
      </c>
      <c r="I430" s="1938">
        <v>1</v>
      </c>
      <c r="J430" s="3701">
        <f>(J95/($G430/$I430/(100%+(100%-$H430)))/'4. L PLAN'!F$109)</f>
        <v>0</v>
      </c>
      <c r="K430" s="5397">
        <f>(K95/($G430/$I430/(100%+(100%-$H430)))/'4. L PLAN'!G$109)</f>
        <v>0</v>
      </c>
      <c r="L430" s="6228">
        <f>(L95/($G430/$I430/(100%+(100%-$H430)))/'4. L PLAN'!H$109)</f>
        <v>0</v>
      </c>
      <c r="M430" s="4727">
        <f>(M95/($G430/$I430/(100%+(100%-$H430)))/'4. L PLAN'!I$109)</f>
        <v>0</v>
      </c>
      <c r="N430" s="3702">
        <f>(N95/($G430/$I430/(100%+(100%-$H430)))/'4. L PLAN'!J$109)</f>
        <v>0</v>
      </c>
      <c r="O430" s="3703">
        <f>(O95/($G430/$I430/(100%+(100%-$H430)))/'4. L PLAN'!K$109)</f>
        <v>0</v>
      </c>
      <c r="P430" s="3701">
        <f>(P95/($G430/$I430/(100%+(100%-$H430)))/'4. L PLAN'!L$109)</f>
        <v>0</v>
      </c>
      <c r="Q430" s="3702">
        <f>(Q95/($G430/$I430/(100%+(100%-$H430)))/'4. L PLAN'!M$109)</f>
        <v>0</v>
      </c>
      <c r="R430" s="3703">
        <f>(R95/($G430/$I430/(100%+(100%-$H430)))/'4. L PLAN'!N$109)</f>
        <v>0</v>
      </c>
      <c r="S430" s="3701">
        <f>(S95/($G430/$I430/(100%+(100%-$H430)))/'4. L PLAN'!O$109)</f>
        <v>0.11157710962779188</v>
      </c>
      <c r="T430" s="3702">
        <f>(T95/($G430/$I430/(100%+(100%-$H430)))/'4. L PLAN'!P$109)</f>
        <v>0.9640262271841219</v>
      </c>
      <c r="U430" s="3703">
        <f>(U95/($G430/$I430/(100%+(100%-$H430)))/'4. L PLAN'!Q$109)</f>
        <v>0.89261687702233505</v>
      </c>
      <c r="V430" s="1557">
        <f t="shared" si="269"/>
        <v>0.16401835115285407</v>
      </c>
      <c r="AA430" s="1535"/>
      <c r="AB430" s="1535"/>
      <c r="AC430" s="1535"/>
    </row>
    <row r="431" spans="1:29" ht="18" customHeight="1" thickBot="1">
      <c r="A431" s="2040"/>
      <c r="B431" s="1966"/>
      <c r="C431" s="1726" t="s">
        <v>43</v>
      </c>
      <c r="D431" s="1726"/>
      <c r="E431" s="1726"/>
      <c r="F431" s="1727"/>
      <c r="G431" s="3738"/>
      <c r="H431" s="3739"/>
      <c r="I431" s="2787"/>
      <c r="J431" s="3722">
        <f>SUM(J424:J430)</f>
        <v>3.3803950435529386</v>
      </c>
      <c r="K431" s="5409">
        <f t="shared" ref="K431:U431" si="271">SUM(K424:K430)</f>
        <v>4.7890751816409711</v>
      </c>
      <c r="L431" s="6243">
        <f t="shared" si="271"/>
        <v>2.713942392889761</v>
      </c>
      <c r="M431" s="4737">
        <f t="shared" si="271"/>
        <v>2.9114167190243747</v>
      </c>
      <c r="N431" s="4784">
        <f t="shared" si="271"/>
        <v>2.9513662945241892</v>
      </c>
      <c r="O431" s="3724">
        <f t="shared" si="271"/>
        <v>4.7853705748442597</v>
      </c>
      <c r="P431" s="3722">
        <f t="shared" si="271"/>
        <v>5.1325470428784268</v>
      </c>
      <c r="Q431" s="4784">
        <f t="shared" si="271"/>
        <v>5.2140841614525835</v>
      </c>
      <c r="R431" s="3724">
        <f t="shared" si="271"/>
        <v>3.8912516982692424</v>
      </c>
      <c r="S431" s="3722">
        <f t="shared" si="271"/>
        <v>2.9121625612853688</v>
      </c>
      <c r="T431" s="4784">
        <f t="shared" si="271"/>
        <v>4.0055899882682029</v>
      </c>
      <c r="U431" s="3724">
        <f t="shared" si="271"/>
        <v>3.5930654037101593</v>
      </c>
      <c r="V431" s="1905">
        <f t="shared" si="269"/>
        <v>3.8566889218617071</v>
      </c>
      <c r="AA431" s="1535"/>
      <c r="AB431" s="1535"/>
      <c r="AC431" s="1535"/>
    </row>
    <row r="432" spans="1:29" ht="18" customHeight="1" thickBot="1">
      <c r="A432" s="7081" t="s">
        <v>137</v>
      </c>
      <c r="B432" s="7082"/>
      <c r="C432" s="7082"/>
      <c r="D432" s="7082"/>
      <c r="E432" s="7082"/>
      <c r="F432" s="7082"/>
      <c r="G432" s="7082"/>
      <c r="H432" s="7082"/>
      <c r="I432" s="7083"/>
      <c r="J432" s="3725">
        <f t="shared" ref="J432:V432" si="272">(+J431)</f>
        <v>3.3803950435529386</v>
      </c>
      <c r="K432" s="5408">
        <f t="shared" si="272"/>
        <v>4.7890751816409711</v>
      </c>
      <c r="L432" s="6244">
        <f t="shared" si="272"/>
        <v>2.713942392889761</v>
      </c>
      <c r="M432" s="4738">
        <f t="shared" si="272"/>
        <v>2.9114167190243747</v>
      </c>
      <c r="N432" s="3726">
        <f t="shared" si="272"/>
        <v>2.9513662945241892</v>
      </c>
      <c r="O432" s="3727">
        <f t="shared" si="272"/>
        <v>4.7853705748442597</v>
      </c>
      <c r="P432" s="3725">
        <f t="shared" si="272"/>
        <v>5.1325470428784268</v>
      </c>
      <c r="Q432" s="3726">
        <f t="shared" si="272"/>
        <v>5.2140841614525835</v>
      </c>
      <c r="R432" s="3727">
        <f t="shared" si="272"/>
        <v>3.8912516982692424</v>
      </c>
      <c r="S432" s="3725">
        <f t="shared" si="272"/>
        <v>2.9121625612853688</v>
      </c>
      <c r="T432" s="3726">
        <f t="shared" si="272"/>
        <v>4.0055899882682029</v>
      </c>
      <c r="U432" s="3727">
        <f t="shared" si="272"/>
        <v>3.5930654037101593</v>
      </c>
      <c r="V432" s="3728">
        <f t="shared" si="272"/>
        <v>3.8566889218617071</v>
      </c>
      <c r="AA432" s="1535"/>
      <c r="AB432" s="1535"/>
      <c r="AC432" s="1535"/>
    </row>
    <row r="433" spans="1:34" ht="18" customHeight="1">
      <c r="A433" s="1531"/>
      <c r="B433" s="1531"/>
      <c r="C433" s="1531"/>
      <c r="D433" s="1531"/>
      <c r="E433" s="1531"/>
      <c r="F433" s="1531"/>
      <c r="G433" s="1531"/>
      <c r="H433" s="1531"/>
      <c r="I433" s="1531"/>
      <c r="J433" s="4783"/>
      <c r="K433" s="4782"/>
      <c r="L433" s="4782"/>
      <c r="M433" s="4782"/>
      <c r="N433" s="4783"/>
      <c r="O433" s="4783"/>
      <c r="P433" s="4783"/>
      <c r="Q433" s="4783"/>
      <c r="R433" s="4783"/>
      <c r="S433" s="4783"/>
      <c r="T433" s="4783"/>
      <c r="U433" s="4783"/>
      <c r="V433" s="4783"/>
      <c r="AA433" s="1535"/>
      <c r="AB433" s="1535"/>
      <c r="AC433" s="1535"/>
    </row>
    <row r="434" spans="1:34" ht="18" customHeight="1" thickBot="1">
      <c r="A434" s="1538" t="s">
        <v>1521</v>
      </c>
      <c r="B434" s="1610"/>
      <c r="C434" s="1610"/>
      <c r="D434" s="1610"/>
      <c r="E434" s="1610"/>
      <c r="F434" s="1611" t="s">
        <v>88</v>
      </c>
      <c r="G434" s="1838">
        <v>0.9</v>
      </c>
      <c r="H434" s="1789"/>
      <c r="I434" s="1790"/>
      <c r="J434" s="1612"/>
      <c r="K434" s="1534"/>
      <c r="L434" s="1534"/>
      <c r="M434" s="1534"/>
      <c r="N434" s="1612"/>
      <c r="O434" s="1612"/>
      <c r="P434" s="1612"/>
      <c r="Q434" s="1612"/>
      <c r="R434" s="1612"/>
      <c r="S434" s="1612"/>
      <c r="T434" s="1612"/>
      <c r="U434" s="1612"/>
      <c r="V434" s="1537" t="s">
        <v>278</v>
      </c>
      <c r="AA434" s="1535"/>
      <c r="AB434" s="1535"/>
      <c r="AC434" s="1535"/>
    </row>
    <row r="435" spans="1:34" ht="18" customHeight="1" thickBot="1">
      <c r="A435" s="1539" t="s">
        <v>40</v>
      </c>
      <c r="B435" s="74" t="s">
        <v>106</v>
      </c>
      <c r="C435" s="74" t="s">
        <v>45</v>
      </c>
      <c r="D435" s="65" t="s">
        <v>989</v>
      </c>
      <c r="E435" s="74" t="s">
        <v>1517</v>
      </c>
      <c r="F435" s="74" t="s">
        <v>107</v>
      </c>
      <c r="G435" s="74" t="s">
        <v>182</v>
      </c>
      <c r="H435" s="1995" t="s">
        <v>189</v>
      </c>
      <c r="I435" s="1927" t="s">
        <v>247</v>
      </c>
      <c r="J435" s="1539" t="s">
        <v>1292</v>
      </c>
      <c r="K435" s="5005" t="s">
        <v>1293</v>
      </c>
      <c r="L435" s="5494" t="s">
        <v>1294</v>
      </c>
      <c r="M435" s="4490" t="s">
        <v>1295</v>
      </c>
      <c r="N435" s="74" t="s">
        <v>1296</v>
      </c>
      <c r="O435" s="1540" t="s">
        <v>1297</v>
      </c>
      <c r="P435" s="1539" t="s">
        <v>1298</v>
      </c>
      <c r="Q435" s="74" t="s">
        <v>1299</v>
      </c>
      <c r="R435" s="1540" t="s">
        <v>1300</v>
      </c>
      <c r="S435" s="1539" t="s">
        <v>1301</v>
      </c>
      <c r="T435" s="74" t="s">
        <v>1302</v>
      </c>
      <c r="U435" s="1540" t="s">
        <v>1303</v>
      </c>
      <c r="V435" s="1541" t="s">
        <v>1304</v>
      </c>
      <c r="AA435" s="1535"/>
      <c r="AB435" s="1535"/>
      <c r="AC435" s="1535"/>
    </row>
    <row r="436" spans="1:34" ht="18" customHeight="1">
      <c r="A436" s="2039"/>
      <c r="B436" s="1763"/>
      <c r="C436" s="1658" t="s">
        <v>1518</v>
      </c>
      <c r="D436" s="54"/>
      <c r="E436" s="54">
        <f>VLOOKUP(F436,B.BasicInfomation!B:C,2,0)</f>
        <v>1</v>
      </c>
      <c r="F436" s="10" t="str">
        <f t="shared" ref="F436:F442" si="273">F5</f>
        <v>Galaxy Tap</v>
      </c>
      <c r="G436" s="1863">
        <f>3600/5*22*1</f>
        <v>15840</v>
      </c>
      <c r="H436" s="1765">
        <v>0.98</v>
      </c>
      <c r="I436" s="1938">
        <v>1</v>
      </c>
      <c r="J436" s="3701">
        <f>(J89/($G436/$I436/(100%+(100%-$H436)))/'4. L PLAN'!F$109)</f>
        <v>0</v>
      </c>
      <c r="K436" s="5397">
        <f>(K89/($G436/$I436/(100%+(100%-$H436)))/'4. L PLAN'!G$109)</f>
        <v>0</v>
      </c>
      <c r="L436" s="6228">
        <f>(L89/($G436/$I436/(100%+(100%-$H436)))/'4. L PLAN'!H$109)</f>
        <v>0</v>
      </c>
      <c r="M436" s="4727">
        <f>(M89/($G436/$I436/(100%+(100%-$H436)))/'4. L PLAN'!I$109)</f>
        <v>0</v>
      </c>
      <c r="N436" s="3702">
        <f>(N89/($G436/$I436/(100%+(100%-$H436)))/'4. L PLAN'!J$109)</f>
        <v>0</v>
      </c>
      <c r="O436" s="3703">
        <f>(O89/($G436/$I436/(100%+(100%-$H436)))/'4. L PLAN'!K$109)</f>
        <v>0</v>
      </c>
      <c r="P436" s="3701">
        <f>(P89/($G436/$I436/(100%+(100%-$H436)))/'4. L PLAN'!L$109)</f>
        <v>0</v>
      </c>
      <c r="Q436" s="3702">
        <f>(Q89/($G436/$I436/(100%+(100%-$H436)))/'4. L PLAN'!M$109)</f>
        <v>0</v>
      </c>
      <c r="R436" s="3703">
        <f>(R89/($G436/$I436/(100%+(100%-$H436)))/'4. L PLAN'!N$109)</f>
        <v>0</v>
      </c>
      <c r="S436" s="3701">
        <f>(S89/($G436/$I436/(100%+(100%-$H436)))/'4. L PLAN'!O$109)</f>
        <v>0</v>
      </c>
      <c r="T436" s="3702">
        <f>(T89/($G436/$I436/(100%+(100%-$H436)))/'4. L PLAN'!P$109)</f>
        <v>3.622725141712483E-2</v>
      </c>
      <c r="U436" s="3703">
        <f>(U89/($G436/$I436/(100%+(100%-$H436)))/'4. L PLAN'!Q$109)</f>
        <v>0.16771875656076307</v>
      </c>
      <c r="V436" s="1557">
        <f t="shared" ref="V436:V443" si="274">AVERAGE(J436:U436)</f>
        <v>1.6995500664823991E-2</v>
      </c>
      <c r="AA436" s="1535"/>
      <c r="AB436" s="1535"/>
      <c r="AC436" s="1535"/>
    </row>
    <row r="437" spans="1:34" ht="18" customHeight="1">
      <c r="A437" s="2039"/>
      <c r="B437" s="1763"/>
      <c r="C437" s="1658"/>
      <c r="D437" s="54"/>
      <c r="E437" s="54">
        <f>VLOOKUP(F437,B.BasicInfomation!B:C,2,0)</f>
        <v>2</v>
      </c>
      <c r="F437" s="10" t="str">
        <f t="shared" si="273"/>
        <v>A15/17</v>
      </c>
      <c r="G437" s="1863">
        <f t="shared" ref="G437:G442" si="275">3600/5*22*1</f>
        <v>15840</v>
      </c>
      <c r="H437" s="1765">
        <v>0.98</v>
      </c>
      <c r="I437" s="1938">
        <v>1</v>
      </c>
      <c r="J437" s="3701">
        <f>(J90/($G437/$I437/(100%+(100%-$H437)))/'4. L PLAN'!F$109)</f>
        <v>3.2853364958628122</v>
      </c>
      <c r="K437" s="5397">
        <f>(K90/($G437/$I437/(100%+(100%-$H437)))/'4. L PLAN'!G$109)</f>
        <v>3.7871920964026224</v>
      </c>
      <c r="L437" s="6228">
        <f>(L90/($G437/$I437/(100%+(100%-$H437)))/'4. L PLAN'!H$109)</f>
        <v>2.5710359328780381</v>
      </c>
      <c r="M437" s="4727">
        <f>(M90/($G437/$I437/(100%+(100%-$H437)))/'4. L PLAN'!I$109)</f>
        <v>3.3293994570908443</v>
      </c>
      <c r="N437" s="3702">
        <f>(N90/($G437/$I437/(100%+(100%-$H437)))/'4. L PLAN'!J$109)</f>
        <v>2.9246145667198302</v>
      </c>
      <c r="O437" s="3703">
        <f>(O90/($G437/$I437/(100%+(100%-$H437)))/'4. L PLAN'!K$109)</f>
        <v>3.3601875707138862</v>
      </c>
      <c r="P437" s="3701">
        <f>(P90/($G437/$I437/(100%+(100%-$H437)))/'4. L PLAN'!L$109)</f>
        <v>3.3473132888337571</v>
      </c>
      <c r="Q437" s="3702">
        <f>(Q90/($G437/$I437/(100%+(100%-$H437)))/'4. L PLAN'!M$109)</f>
        <v>3.4760561076350553</v>
      </c>
      <c r="R437" s="3703">
        <f>(R90/($G437/$I437/(100%+(100%-$H437)))/'4. L PLAN'!N$109)</f>
        <v>2.5104849666253175</v>
      </c>
      <c r="S437" s="3701">
        <f>(S90/($G437/$I437/(100%+(100%-$H437)))/'4. L PLAN'!O$109)</f>
        <v>2.0920708055210984</v>
      </c>
      <c r="T437" s="3702">
        <f>(T90/($G437/$I437/(100%+(100%-$H437)))/'4. L PLAN'!P$109)</f>
        <v>2.259436469962786</v>
      </c>
      <c r="U437" s="3703">
        <f>(U90/($G437/$I437/(100%+(100%-$H437)))/'4. L PLAN'!Q$109)</f>
        <v>2.0920708055210984</v>
      </c>
      <c r="V437" s="1557">
        <f t="shared" si="274"/>
        <v>2.9195998803139287</v>
      </c>
      <c r="AA437" s="1535"/>
      <c r="AB437" s="1535"/>
      <c r="AC437" s="1535"/>
    </row>
    <row r="438" spans="1:34" ht="18" customHeight="1">
      <c r="A438" s="2039"/>
      <c r="B438" s="1763"/>
      <c r="C438" s="1658"/>
      <c r="D438" s="54"/>
      <c r="E438" s="54">
        <f>VLOOKUP(F438,B.BasicInfomation!B:C,2,0)</f>
        <v>3</v>
      </c>
      <c r="F438" s="10" t="str">
        <f t="shared" si="273"/>
        <v>A36</v>
      </c>
      <c r="G438" s="1863">
        <f t="shared" si="275"/>
        <v>15840</v>
      </c>
      <c r="H438" s="1765">
        <v>0.98</v>
      </c>
      <c r="I438" s="1938">
        <v>1</v>
      </c>
      <c r="J438" s="3701">
        <f>(J91/($G438/$I438/(100%+(100%-$H438)))/'4. L PLAN'!F$109)</f>
        <v>0.13417576575471313</v>
      </c>
      <c r="K438" s="5397">
        <f>(K91/($G438/$I438/(100%+(100%-$H438)))/'4. L PLAN'!G$109)</f>
        <v>0</v>
      </c>
      <c r="L438" s="6228">
        <f>(L91/($G438/$I438/(100%+(100%-$H438)))/'4. L PLAN'!H$109)</f>
        <v>0.1765836502678608</v>
      </c>
      <c r="M438" s="4727">
        <f>(M91/($G438/$I438/(100%+(100%-$H438)))/'4. L PLAN'!I$109)</f>
        <v>0.27606205596636219</v>
      </c>
      <c r="N438" s="3702">
        <f>(N91/($G438/$I438/(100%+(100%-$H438)))/'4. L PLAN'!J$109)</f>
        <v>6.0733652312599674E-2</v>
      </c>
      <c r="O438" s="3703">
        <f>(O91/($G438/$I438/(100%+(100%-$H438)))/'4. L PLAN'!K$109)</f>
        <v>4.3450701345438186E-2</v>
      </c>
      <c r="P438" s="3701">
        <f>(P91/($G438/$I438/(100%+(100%-$H438)))/'4. L PLAN'!L$109)</f>
        <v>0</v>
      </c>
      <c r="Q438" s="3702">
        <f>(Q91/($G438/$I438/(100%+(100%-$H438)))/'4. L PLAN'!M$109)</f>
        <v>0</v>
      </c>
      <c r="R438" s="3703">
        <f>(R91/($G438/$I438/(100%+(100%-$H438)))/'4. L PLAN'!N$109)</f>
        <v>0</v>
      </c>
      <c r="S438" s="3701">
        <f>(S91/($G438/$I438/(100%+(100%-$H438)))/'4. L PLAN'!O$109)</f>
        <v>0</v>
      </c>
      <c r="T438" s="3702">
        <f>(T91/($G438/$I438/(100%+(100%-$H438)))/'4. L PLAN'!P$109)</f>
        <v>0</v>
      </c>
      <c r="U438" s="3703">
        <f>(U91/($G438/$I438/(100%+(100%-$H438)))/'4. L PLAN'!Q$109)</f>
        <v>0</v>
      </c>
      <c r="V438" s="1557">
        <f t="shared" si="274"/>
        <v>5.7583818803914499E-2</v>
      </c>
      <c r="AA438" s="1535"/>
      <c r="AB438" s="1535"/>
      <c r="AC438" s="1535"/>
    </row>
    <row r="439" spans="1:34" ht="18" customHeight="1">
      <c r="A439" s="2039"/>
      <c r="B439" s="1763"/>
      <c r="C439" s="1658"/>
      <c r="D439" s="54"/>
      <c r="E439" s="54">
        <f>VLOOKUP(F439,B.BasicInfomation!B:C,2,0)</f>
        <v>4</v>
      </c>
      <c r="F439" s="10" t="str">
        <f t="shared" si="273"/>
        <v>A26</v>
      </c>
      <c r="G439" s="1863">
        <f t="shared" si="275"/>
        <v>15840</v>
      </c>
      <c r="H439" s="1765">
        <v>0.98</v>
      </c>
      <c r="I439" s="1938">
        <v>1</v>
      </c>
      <c r="J439" s="3701">
        <f>(J92/($G439/$I439/(100%+(100%-$H439)))/'4. L PLAN'!F$109)</f>
        <v>0.60552897395002647</v>
      </c>
      <c r="K439" s="5397">
        <f>(K92/($G439/$I439/(100%+(100%-$H439)))/'4. L PLAN'!G$109)</f>
        <v>0.26027295986177568</v>
      </c>
      <c r="L439" s="6228">
        <f>(L92/($G439/$I439/(100%+(100%-$H439)))/'4. L PLAN'!H$109)</f>
        <v>0</v>
      </c>
      <c r="M439" s="4727">
        <f>(M92/($G439/$I439/(100%+(100%-$H439)))/'4. L PLAN'!I$109)</f>
        <v>3.3809385723261323E-2</v>
      </c>
      <c r="N439" s="3702">
        <f>(N92/($G439/$I439/(100%+(100%-$H439)))/'4. L PLAN'!J$109)</f>
        <v>0.25088782562466772</v>
      </c>
      <c r="O439" s="3703">
        <f>(O92/($G439/$I439/(100%+(100%-$H439)))/'4. L PLAN'!K$109)</f>
        <v>0</v>
      </c>
      <c r="P439" s="3701">
        <f>(P92/($G439/$I439/(100%+(100%-$H439)))/'4. L PLAN'!L$109)</f>
        <v>0</v>
      </c>
      <c r="Q439" s="3702">
        <f>(Q92/($G439/$I439/(100%+(100%-$H439)))/'4. L PLAN'!M$109)</f>
        <v>0</v>
      </c>
      <c r="R439" s="3703">
        <f>(R92/($G439/$I439/(100%+(100%-$H439)))/'4. L PLAN'!N$109)</f>
        <v>0</v>
      </c>
      <c r="S439" s="3701">
        <f>(S92/($G439/$I439/(100%+(100%-$H439)))/'4. L PLAN'!O$109)</f>
        <v>0</v>
      </c>
      <c r="T439" s="3702">
        <f>(T92/($G439/$I439/(100%+(100%-$H439)))/'4. L PLAN'!P$109)</f>
        <v>0</v>
      </c>
      <c r="U439" s="3703">
        <f>(U92/($G439/$I439/(100%+(100%-$H439)))/'4. L PLAN'!Q$109)</f>
        <v>0</v>
      </c>
      <c r="V439" s="1557">
        <f t="shared" si="274"/>
        <v>9.587492876331094E-2</v>
      </c>
      <c r="AA439" s="1535"/>
      <c r="AB439" s="1535"/>
      <c r="AC439" s="1535"/>
    </row>
    <row r="440" spans="1:34" ht="18" customHeight="1">
      <c r="A440" s="2039"/>
      <c r="B440" s="1763"/>
      <c r="C440" s="1658"/>
      <c r="D440" s="54"/>
      <c r="E440" s="54">
        <f>VLOOKUP(F440,B.BasicInfomation!B:C,2,0)</f>
        <v>5</v>
      </c>
      <c r="F440" s="10" t="str">
        <f t="shared" si="273"/>
        <v>A27</v>
      </c>
      <c r="G440" s="1863">
        <f t="shared" si="275"/>
        <v>15840</v>
      </c>
      <c r="H440" s="1765">
        <v>0.98</v>
      </c>
      <c r="I440" s="1938">
        <v>1</v>
      </c>
      <c r="J440" s="3701">
        <f>(J93/($G440/$I440/(100%+(100%-$H440)))/'4. L PLAN'!F$109)</f>
        <v>0</v>
      </c>
      <c r="K440" s="5397">
        <f>(K93/($G440/$I440/(100%+(100%-$H440)))/'4. L PLAN'!G$109)</f>
        <v>0</v>
      </c>
      <c r="L440" s="6228">
        <f>(L93/($G440/$I440/(100%+(100%-$H440)))/'4. L PLAN'!H$109)</f>
        <v>0</v>
      </c>
      <c r="M440" s="4727">
        <f>(M93/($G440/$I440/(100%+(100%-$H440)))/'4. L PLAN'!I$109)</f>
        <v>0</v>
      </c>
      <c r="N440" s="3702">
        <f>(N93/($G440/$I440/(100%+(100%-$H440)))/'4. L PLAN'!J$109)</f>
        <v>0.30656034024455076</v>
      </c>
      <c r="O440" s="3703">
        <f>(O93/($G440/$I440/(100%+(100%-$H440)))/'4. L PLAN'!K$109)</f>
        <v>2.288403604193078</v>
      </c>
      <c r="P440" s="3701">
        <f>(P93/($G440/$I440/(100%+(100%-$H440)))/'4. L PLAN'!L$109)</f>
        <v>2.7894277406947974</v>
      </c>
      <c r="Q440" s="3702">
        <f>(Q93/($G440/$I440/(100%+(100%-$H440)))/'4. L PLAN'!M$109)</f>
        <v>2.8967134230292126</v>
      </c>
      <c r="R440" s="3703">
        <f>(R93/($G440/$I440/(100%+(100%-$H440)))/'4. L PLAN'!N$109)</f>
        <v>2.1966743457971529</v>
      </c>
      <c r="S440" s="3701">
        <f>(S93/($G440/$I440/(100%+(100%-$H440)))/'4. L PLAN'!O$109)</f>
        <v>1.3947138703473987</v>
      </c>
      <c r="T440" s="3702">
        <f>(T93/($G440/$I440/(100%+(100%-$H440)))/'4. L PLAN'!P$109)</f>
        <v>1.5062909799751907</v>
      </c>
      <c r="U440" s="3703">
        <f>(U93/($G440/$I440/(100%+(100%-$H440)))/'4. L PLAN'!Q$109)</f>
        <v>1.1157710962779188</v>
      </c>
      <c r="V440" s="1557">
        <f t="shared" si="274"/>
        <v>1.207879616713275</v>
      </c>
      <c r="AA440" s="1535"/>
      <c r="AB440" s="1535"/>
      <c r="AC440" s="1535"/>
    </row>
    <row r="441" spans="1:34" ht="18" customHeight="1">
      <c r="A441" s="2039"/>
      <c r="B441" s="1763"/>
      <c r="C441" s="1658"/>
      <c r="D441" s="54"/>
      <c r="E441" s="54">
        <f>VLOOKUP(F441,B.BasicInfomation!B:C,2,0)</f>
        <v>6</v>
      </c>
      <c r="F441" s="10" t="str">
        <f t="shared" si="273"/>
        <v>A37</v>
      </c>
      <c r="G441" s="1863">
        <f t="shared" si="275"/>
        <v>15840</v>
      </c>
      <c r="H441" s="1765">
        <v>0.98</v>
      </c>
      <c r="I441" s="1938">
        <v>1</v>
      </c>
      <c r="J441" s="3701">
        <f>(J94/($G441/$I441/(100%+(100%-$H441)))/'4. L PLAN'!F$109)</f>
        <v>0.20045256887362145</v>
      </c>
      <c r="K441" s="5397">
        <f>(K94/($G441/$I441/(100%+(100%-$H441)))/'4. L PLAN'!G$109)</f>
        <v>1.9388789207868156</v>
      </c>
      <c r="L441" s="6228">
        <f>(L94/($G441/$I441/(100%+(100%-$H441)))/'4. L PLAN'!H$109)</f>
        <v>0.64480840796630257</v>
      </c>
      <c r="M441" s="4727">
        <f>(M94/($G441/$I441/(100%+(100%-$H441)))/'4. L PLAN'!I$109)</f>
        <v>0</v>
      </c>
      <c r="N441" s="3702">
        <f>(N94/($G441/$I441/(100%+(100%-$H441)))/'4. L PLAN'!J$109)</f>
        <v>0.14641148325358849</v>
      </c>
      <c r="O441" s="3703">
        <f>(O94/($G441/$I441/(100%+(100%-$H441)))/'4. L PLAN'!K$109)</f>
        <v>0.28967134230292124</v>
      </c>
      <c r="P441" s="3701">
        <f>(P94/($G441/$I441/(100%+(100%-$H441)))/'4. L PLAN'!L$109)</f>
        <v>0.2789427740694797</v>
      </c>
      <c r="Q441" s="3702">
        <f>(Q94/($G441/$I441/(100%+(100%-$H441)))/'4. L PLAN'!M$109)</f>
        <v>0.14483567115146062</v>
      </c>
      <c r="R441" s="3703">
        <f>(R94/($G441/$I441/(100%+(100%-$H441)))/'4. L PLAN'!N$109)</f>
        <v>0.15690531041408234</v>
      </c>
      <c r="S441" s="3701">
        <f>(S94/($G441/$I441/(100%+(100%-$H441)))/'4. L PLAN'!O$109)</f>
        <v>1.3947138703473987E-2</v>
      </c>
      <c r="T441" s="3702">
        <f>(T94/($G441/$I441/(100%+(100%-$H441)))/'4. L PLAN'!P$109)</f>
        <v>0</v>
      </c>
      <c r="U441" s="3703">
        <f>(U94/($G441/$I441/(100%+(100%-$H441)))/'4. L PLAN'!Q$109)</f>
        <v>0</v>
      </c>
      <c r="V441" s="1557">
        <f t="shared" si="274"/>
        <v>0.31790446812681222</v>
      </c>
      <c r="AA441" s="1535"/>
      <c r="AB441" s="1535"/>
      <c r="AC441" s="1535"/>
    </row>
    <row r="442" spans="1:34" ht="18" customHeight="1">
      <c r="A442" s="2039"/>
      <c r="B442" s="1763"/>
      <c r="C442" s="1658"/>
      <c r="D442" s="54"/>
      <c r="E442" s="54">
        <f>VLOOKUP(F442,B.BasicInfomation!B:C,2,0)</f>
        <v>7</v>
      </c>
      <c r="F442" s="10" t="str">
        <f t="shared" si="273"/>
        <v>A18</v>
      </c>
      <c r="G442" s="1863">
        <f t="shared" si="275"/>
        <v>15840</v>
      </c>
      <c r="H442" s="1765">
        <v>0.98</v>
      </c>
      <c r="I442" s="1938">
        <v>1</v>
      </c>
      <c r="J442" s="3701">
        <f>(J95/($G442/$I442/(100%+(100%-$H442)))/'4. L PLAN'!F$109)</f>
        <v>0</v>
      </c>
      <c r="K442" s="5397">
        <f>(K95/($G442/$I442/(100%+(100%-$H442)))/'4. L PLAN'!G$109)</f>
        <v>0</v>
      </c>
      <c r="L442" s="6228">
        <f>(L95/($G442/$I442/(100%+(100%-$H442)))/'4. L PLAN'!H$109)</f>
        <v>0</v>
      </c>
      <c r="M442" s="4727">
        <f>(M95/($G442/$I442/(100%+(100%-$H442)))/'4. L PLAN'!I$109)</f>
        <v>0</v>
      </c>
      <c r="N442" s="3702">
        <f>(N95/($G442/$I442/(100%+(100%-$H442)))/'4. L PLAN'!J$109)</f>
        <v>0</v>
      </c>
      <c r="O442" s="3703">
        <f>(O95/($G442/$I442/(100%+(100%-$H442)))/'4. L PLAN'!K$109)</f>
        <v>0</v>
      </c>
      <c r="P442" s="3701">
        <f>(P95/($G442/$I442/(100%+(100%-$H442)))/'4. L PLAN'!L$109)</f>
        <v>0</v>
      </c>
      <c r="Q442" s="3702">
        <f>(Q95/($G442/$I442/(100%+(100%-$H442)))/'4. L PLAN'!M$109)</f>
        <v>0</v>
      </c>
      <c r="R442" s="3703">
        <f>(R95/($G442/$I442/(100%+(100%-$H442)))/'4. L PLAN'!N$109)</f>
        <v>0</v>
      </c>
      <c r="S442" s="3701">
        <f>(S95/($G442/$I442/(100%+(100%-$H442)))/'4. L PLAN'!O$109)</f>
        <v>0.13947138703473985</v>
      </c>
      <c r="T442" s="3702">
        <f>(T95/($G442/$I442/(100%+(100%-$H442)))/'4. L PLAN'!P$109)</f>
        <v>1.2050327839801525</v>
      </c>
      <c r="U442" s="3703">
        <f>(U95/($G442/$I442/(100%+(100%-$H442)))/'4. L PLAN'!Q$109)</f>
        <v>1.1157710962779188</v>
      </c>
      <c r="V442" s="1557">
        <f t="shared" si="274"/>
        <v>0.2050229389410676</v>
      </c>
      <c r="AA442" s="1535"/>
      <c r="AB442" s="1535"/>
      <c r="AC442" s="1535"/>
    </row>
    <row r="443" spans="1:34" ht="18" customHeight="1" thickBot="1">
      <c r="A443" s="2040"/>
      <c r="B443" s="1966"/>
      <c r="C443" s="1726" t="s">
        <v>43</v>
      </c>
      <c r="D443" s="1726"/>
      <c r="E443" s="1726"/>
      <c r="F443" s="1727"/>
      <c r="G443" s="3738"/>
      <c r="H443" s="3739"/>
      <c r="I443" s="2787"/>
      <c r="J443" s="3722">
        <f>SUM(J436:J442)</f>
        <v>4.2254938044411725</v>
      </c>
      <c r="K443" s="5409">
        <f t="shared" ref="K443:U443" si="276">SUM(K436:K442)</f>
        <v>5.9863439770512139</v>
      </c>
      <c r="L443" s="6243">
        <f t="shared" si="276"/>
        <v>3.3924279911122017</v>
      </c>
      <c r="M443" s="4737">
        <f t="shared" si="276"/>
        <v>3.6392708987804681</v>
      </c>
      <c r="N443" s="4784">
        <f t="shared" si="276"/>
        <v>3.6892078681552372</v>
      </c>
      <c r="O443" s="3724">
        <f t="shared" si="276"/>
        <v>5.9817132185553232</v>
      </c>
      <c r="P443" s="3722">
        <f t="shared" si="276"/>
        <v>6.4156838035980339</v>
      </c>
      <c r="Q443" s="4784">
        <f t="shared" si="276"/>
        <v>6.5176052018157282</v>
      </c>
      <c r="R443" s="3724">
        <f t="shared" si="276"/>
        <v>4.8640646228365529</v>
      </c>
      <c r="S443" s="3722">
        <f t="shared" si="276"/>
        <v>3.640203201606711</v>
      </c>
      <c r="T443" s="4784">
        <f t="shared" si="276"/>
        <v>5.0069874853352534</v>
      </c>
      <c r="U443" s="3724">
        <f t="shared" si="276"/>
        <v>4.4913317546376987</v>
      </c>
      <c r="V443" s="1905">
        <f t="shared" si="274"/>
        <v>4.8208611523271321</v>
      </c>
      <c r="AA443" s="1535"/>
      <c r="AB443" s="1535"/>
      <c r="AC443" s="1535"/>
    </row>
    <row r="444" spans="1:34" ht="18" customHeight="1" thickBot="1">
      <c r="A444" s="7081" t="s">
        <v>137</v>
      </c>
      <c r="B444" s="7082"/>
      <c r="C444" s="7082"/>
      <c r="D444" s="7082"/>
      <c r="E444" s="7082"/>
      <c r="F444" s="7082"/>
      <c r="G444" s="7082"/>
      <c r="H444" s="7082"/>
      <c r="I444" s="7083"/>
      <c r="J444" s="3725">
        <f t="shared" ref="J444:V444" si="277">(+J443)</f>
        <v>4.2254938044411725</v>
      </c>
      <c r="K444" s="5408">
        <f t="shared" si="277"/>
        <v>5.9863439770512139</v>
      </c>
      <c r="L444" s="6244">
        <f t="shared" si="277"/>
        <v>3.3924279911122017</v>
      </c>
      <c r="M444" s="4738">
        <f t="shared" si="277"/>
        <v>3.6392708987804681</v>
      </c>
      <c r="N444" s="3726">
        <f t="shared" si="277"/>
        <v>3.6892078681552372</v>
      </c>
      <c r="O444" s="3727">
        <f t="shared" si="277"/>
        <v>5.9817132185553232</v>
      </c>
      <c r="P444" s="3725">
        <f t="shared" si="277"/>
        <v>6.4156838035980339</v>
      </c>
      <c r="Q444" s="3726">
        <f t="shared" si="277"/>
        <v>6.5176052018157282</v>
      </c>
      <c r="R444" s="3727">
        <f t="shared" si="277"/>
        <v>4.8640646228365529</v>
      </c>
      <c r="S444" s="3725">
        <f t="shared" si="277"/>
        <v>3.640203201606711</v>
      </c>
      <c r="T444" s="3726">
        <f t="shared" si="277"/>
        <v>5.0069874853352534</v>
      </c>
      <c r="U444" s="3727">
        <f t="shared" si="277"/>
        <v>4.4913317546376987</v>
      </c>
      <c r="V444" s="3728">
        <f t="shared" si="277"/>
        <v>4.8208611523271321</v>
      </c>
      <c r="AA444" s="1535"/>
      <c r="AB444" s="1535"/>
      <c r="AC444" s="1535"/>
    </row>
    <row r="445" spans="1:34" ht="18" customHeight="1">
      <c r="A445" s="1531"/>
      <c r="B445" s="1531"/>
      <c r="C445" s="1531"/>
      <c r="D445" s="1531"/>
      <c r="E445" s="1531"/>
      <c r="F445" s="1531"/>
      <c r="G445" s="1531"/>
      <c r="H445" s="1531"/>
      <c r="I445" s="1531"/>
      <c r="J445" s="4782"/>
      <c r="K445" s="4782"/>
      <c r="L445" s="4782"/>
      <c r="M445" s="4782"/>
      <c r="N445" s="4783"/>
      <c r="O445" s="4783"/>
      <c r="P445" s="4783"/>
      <c r="Q445" s="4783"/>
      <c r="R445" s="4783"/>
      <c r="S445" s="4783"/>
      <c r="T445" s="4783"/>
      <c r="U445" s="4783"/>
      <c r="V445" s="4783"/>
      <c r="AA445" s="1535"/>
      <c r="AB445" s="1535"/>
      <c r="AC445" s="1535"/>
    </row>
    <row r="446" spans="1:34" ht="18" customHeight="1">
      <c r="A446" s="1538" t="s">
        <v>1515</v>
      </c>
      <c r="J446" s="1536"/>
      <c r="V446" s="1537" t="s">
        <v>279</v>
      </c>
    </row>
    <row r="447" spans="1:34" ht="18" customHeight="1" thickBot="1">
      <c r="A447" s="2047" t="s">
        <v>1024</v>
      </c>
      <c r="J447" s="1536"/>
      <c r="V447" s="1537"/>
    </row>
    <row r="448" spans="1:34" s="1610" customFormat="1" ht="24.9" customHeight="1" thickBot="1">
      <c r="A448" s="81" t="s">
        <v>40</v>
      </c>
      <c r="B448" s="7081" t="s">
        <v>108</v>
      </c>
      <c r="C448" s="7082"/>
      <c r="D448" s="7082"/>
      <c r="E448" s="7082"/>
      <c r="F448" s="7082"/>
      <c r="G448" s="7082"/>
      <c r="H448" s="7082"/>
      <c r="I448" s="7083"/>
      <c r="J448" s="4490" t="s">
        <v>1292</v>
      </c>
      <c r="K448" s="5005" t="s">
        <v>1293</v>
      </c>
      <c r="L448" s="5494" t="s">
        <v>1294</v>
      </c>
      <c r="M448" s="4490" t="s">
        <v>1295</v>
      </c>
      <c r="N448" s="74" t="s">
        <v>1296</v>
      </c>
      <c r="O448" s="1540" t="s">
        <v>1297</v>
      </c>
      <c r="P448" s="1539" t="s">
        <v>1298</v>
      </c>
      <c r="Q448" s="74" t="s">
        <v>1299</v>
      </c>
      <c r="R448" s="1540" t="s">
        <v>1300</v>
      </c>
      <c r="S448" s="1539" t="s">
        <v>1301</v>
      </c>
      <c r="T448" s="74" t="s">
        <v>1302</v>
      </c>
      <c r="U448" s="1540" t="s">
        <v>1303</v>
      </c>
      <c r="V448" s="1541" t="s">
        <v>1304</v>
      </c>
      <c r="W448" s="1535"/>
      <c r="X448" s="1535"/>
      <c r="Y448" s="1535"/>
      <c r="Z448" s="1535"/>
      <c r="AA448" s="1535"/>
      <c r="AB448" s="1535"/>
      <c r="AC448" s="1535"/>
      <c r="AD448" s="1535"/>
      <c r="AE448" s="1535"/>
      <c r="AF448" s="1535"/>
      <c r="AG448" s="1535"/>
      <c r="AH448" s="1535"/>
    </row>
    <row r="449" spans="1:34" ht="18" customHeight="1">
      <c r="A449" s="3907">
        <v>1</v>
      </c>
      <c r="B449" s="7326" t="s">
        <v>97</v>
      </c>
      <c r="C449" s="7315"/>
      <c r="D449" s="7315"/>
      <c r="E449" s="7315"/>
      <c r="F449" s="7315"/>
      <c r="G449" s="7315"/>
      <c r="H449" s="7315"/>
      <c r="I449" s="7316"/>
      <c r="J449" s="4739">
        <f t="array" ref="J449">SUMPRODUCT(($I$5:$I$82=$B449)*($H$5:$H$82)*(J$5:J$82))</f>
        <v>110109.06176843621</v>
      </c>
      <c r="K449" s="5104">
        <f t="array" ref="K449">SUMPRODUCT(($I$5:$I$82=$B449)*($H$5:$H$82)*(K$5:K$82))</f>
        <v>134938.39093551345</v>
      </c>
      <c r="L449" s="5581">
        <f t="array" ref="L449">SUMPRODUCT(($I$5:$I$82=$B449)*($H$5:$H$82)*(L$5:L$82))</f>
        <v>150555.98458741419</v>
      </c>
      <c r="M449" s="4559">
        <f t="array" ref="M449">SUMPRODUCT(($I$5:$I$82=$B449)*($H$5:$H$82)*(M$5:M$82))</f>
        <v>161761.85386002439</v>
      </c>
      <c r="N449" s="2049">
        <f t="array" ref="N449">SUMPRODUCT(($I$5:$I$82=$B449)*($H$5:$H$82)*(N$5:N$82))</f>
        <v>134076.78240070707</v>
      </c>
      <c r="O449" s="2050">
        <f t="array" ref="O449">SUMPRODUCT(($I$5:$I$82=$B449)*($H$5:$H$82)*(O$5:O$82))</f>
        <v>127899.78531893247</v>
      </c>
      <c r="P449" s="2051">
        <f t="array" ref="P449">SUMPRODUCT(($I$5:$I$82=$B449)*($H$5:$H$82)*(P$5:P$82))</f>
        <v>112710.61739728352</v>
      </c>
      <c r="Q449" s="2049">
        <f t="array" ref="Q449">SUMPRODUCT(($I$5:$I$82=$B449)*($H$5:$H$82)*(Q$5:Q$82))</f>
        <v>81306.466142222416</v>
      </c>
      <c r="R449" s="2050">
        <f t="array" ref="R449">SUMPRODUCT(($I$5:$I$82=$B449)*($H$5:$H$82)*(R$5:R$82))</f>
        <v>74754.162385462623</v>
      </c>
      <c r="S449" s="2051">
        <f t="array" ref="S449">SUMPRODUCT(($I$5:$I$82=$B449)*($H$5:$H$82)*(S$5:S$82))</f>
        <v>67275.748123672136</v>
      </c>
      <c r="T449" s="2049">
        <f t="array" ref="T449">SUMPRODUCT(($I$5:$I$82=$B449)*($H$5:$H$82)*(T$5:T$82))</f>
        <v>60427.261049564768</v>
      </c>
      <c r="U449" s="2050">
        <f t="array" ref="U449">SUMPRODUCT(($I$5:$I$82=$B449)*($H$5:$H$82)*(U$5:U$82))</f>
        <v>61115.713551423505</v>
      </c>
      <c r="V449" s="2052">
        <f>SUM(J449:U449)</f>
        <v>1276931.8275206566</v>
      </c>
      <c r="AA449" s="1535"/>
      <c r="AB449" s="1535"/>
      <c r="AC449" s="1535"/>
    </row>
    <row r="450" spans="1:34" ht="18" customHeight="1">
      <c r="A450" s="3908">
        <v>2</v>
      </c>
      <c r="B450" s="7325" t="s">
        <v>1054</v>
      </c>
      <c r="C450" s="7318"/>
      <c r="D450" s="7318"/>
      <c r="E450" s="7318"/>
      <c r="F450" s="7318"/>
      <c r="G450" s="7318"/>
      <c r="H450" s="7318"/>
      <c r="I450" s="7319"/>
      <c r="J450" s="4739">
        <f t="array" ref="J450">SUMPRODUCT(($I$5:$I$82=$B450)*($H$5:$H$82)*(J$5:J$82))</f>
        <v>54789.523200000003</v>
      </c>
      <c r="K450" s="5095">
        <f t="array" ref="K450">SUMPRODUCT(($I$5:$I$82=$B450)*($H$5:$H$82)*(K$5:K$82))</f>
        <v>47767.042680000006</v>
      </c>
      <c r="L450" s="5572">
        <f t="array" ref="L450">SUMPRODUCT(($I$5:$I$82=$B450)*($H$5:$H$82)*(L$5:L$82))</f>
        <v>43987.642800000001</v>
      </c>
      <c r="M450" s="4636">
        <f t="array" ref="M450">SUMPRODUCT(($I$5:$I$82=$B450)*($H$5:$H$82)*(M$5:M$82))</f>
        <v>39928.571160000007</v>
      </c>
      <c r="N450" s="2054">
        <f t="array" ref="N450">SUMPRODUCT(($I$5:$I$82=$B450)*($H$5:$H$82)*(N$5:N$82))</f>
        <v>45995.976000000002</v>
      </c>
      <c r="O450" s="1819">
        <f t="array" ref="O450">SUMPRODUCT(($I$5:$I$82=$B450)*($H$5:$H$82)*(O$5:O$82))</f>
        <v>77561.400000000009</v>
      </c>
      <c r="P450" s="2055">
        <f t="array" ref="P450">SUMPRODUCT(($I$5:$I$82=$B450)*($H$5:$H$82)*(P$5:P$82))</f>
        <v>86388</v>
      </c>
      <c r="Q450" s="2054">
        <f t="array" ref="Q450">SUMPRODUCT(($I$5:$I$82=$B450)*($H$5:$H$82)*(Q$5:Q$82))</f>
        <v>84510</v>
      </c>
      <c r="R450" s="1819">
        <f t="array" ref="R450">SUMPRODUCT(($I$5:$I$82=$B450)*($H$5:$H$82)*(R$5:R$82))</f>
        <v>58218.000000000007</v>
      </c>
      <c r="S450" s="2055">
        <f t="array" ref="S450">SUMPRODUCT(($I$5:$I$82=$B450)*($H$5:$H$82)*(S$5:S$82))</f>
        <v>49015.8</v>
      </c>
      <c r="T450" s="2054">
        <f t="array" ref="T450">SUMPRODUCT(($I$5:$I$82=$B450)*($H$5:$H$82)*(T$5:T$82))</f>
        <v>62389</v>
      </c>
      <c r="U450" s="1819">
        <f t="array" ref="U450">SUMPRODUCT(($I$5:$I$82=$B450)*($H$5:$H$82)*(U$5:U$82))</f>
        <v>60293.000000000007</v>
      </c>
      <c r="V450" s="2056">
        <f>SUM(J450:U450)</f>
        <v>710843.95584000007</v>
      </c>
      <c r="AA450" s="1535"/>
      <c r="AB450" s="1535"/>
      <c r="AC450" s="1535"/>
    </row>
    <row r="451" spans="1:34" ht="18" customHeight="1">
      <c r="A451" s="2640">
        <v>3</v>
      </c>
      <c r="B451" s="7323" t="s">
        <v>1055</v>
      </c>
      <c r="C451" s="7321"/>
      <c r="D451" s="7321"/>
      <c r="E451" s="7321"/>
      <c r="F451" s="7321"/>
      <c r="G451" s="7321"/>
      <c r="H451" s="7321"/>
      <c r="I451" s="7322"/>
      <c r="J451" s="4739" cm="1">
        <f t="array" ref="J451">SUMPRODUCT(($I$5:$I$82="S3Y")*($H$5:$H$82)*(J$5:J$82))</f>
        <v>15913.862506551903</v>
      </c>
      <c r="K451" s="5095">
        <f t="shared" ref="K451:U451" si="278">SUMPRODUCT(($I$5:$I$82="S3Y")*($H$5:$H$82)*(K$5:K$82))</f>
        <v>8003.3404735644372</v>
      </c>
      <c r="L451" s="5572" cm="1">
        <f t="array" ref="L451">SUMPRODUCT(($I$5:$I$82="S3Y")*($H$5:$H$82)*(L$5:L$82))</f>
        <v>18775.943072217546</v>
      </c>
      <c r="M451" s="4636">
        <f t="shared" si="278"/>
        <v>6582.2715402459698</v>
      </c>
      <c r="N451" s="2054">
        <f t="shared" si="278"/>
        <v>17199.241930275391</v>
      </c>
      <c r="O451" s="1819">
        <f t="shared" si="278"/>
        <v>11257.390600370125</v>
      </c>
      <c r="P451" s="2055">
        <f t="shared" si="278"/>
        <v>15330.69021939193</v>
      </c>
      <c r="Q451" s="2054">
        <f t="shared" si="278"/>
        <v>13142.71217203267</v>
      </c>
      <c r="R451" s="1819">
        <f t="shared" si="278"/>
        <v>15753.628740210592</v>
      </c>
      <c r="S451" s="2055">
        <f t="shared" si="278"/>
        <v>15478.179705194632</v>
      </c>
      <c r="T451" s="2054">
        <f t="shared" si="278"/>
        <v>15295.782155967447</v>
      </c>
      <c r="U451" s="1819">
        <f t="shared" si="278"/>
        <v>15490.574814707546</v>
      </c>
      <c r="V451" s="2056">
        <f>SUM(J451:U451)</f>
        <v>168223.61793073016</v>
      </c>
      <c r="AA451" s="1535"/>
      <c r="AB451" s="1535"/>
      <c r="AC451" s="1535"/>
    </row>
    <row r="452" spans="1:34" s="1530" customFormat="1" ht="18" customHeight="1" thickBot="1">
      <c r="A452" s="2239"/>
      <c r="B452" s="7063" t="s">
        <v>15</v>
      </c>
      <c r="C452" s="7064"/>
      <c r="D452" s="7064"/>
      <c r="E452" s="7064"/>
      <c r="F452" s="7064"/>
      <c r="G452" s="7064"/>
      <c r="H452" s="7064"/>
      <c r="I452" s="7065"/>
      <c r="J452" s="4740">
        <f t="shared" ref="J452:V452" si="279">SUM(J449:J451)</f>
        <v>180812.44747498812</v>
      </c>
      <c r="K452" s="5410">
        <f t="shared" si="279"/>
        <v>190708.7740890779</v>
      </c>
      <c r="L452" s="6245">
        <f t="shared" si="279"/>
        <v>213319.57045963174</v>
      </c>
      <c r="M452" s="4740">
        <f t="shared" si="279"/>
        <v>208272.69656027039</v>
      </c>
      <c r="N452" s="2058">
        <f t="shared" si="279"/>
        <v>197272.00033098247</v>
      </c>
      <c r="O452" s="2059">
        <f t="shared" si="279"/>
        <v>216718.57591930259</v>
      </c>
      <c r="P452" s="2057">
        <f t="shared" si="279"/>
        <v>214429.30761667545</v>
      </c>
      <c r="Q452" s="2058">
        <f t="shared" si="279"/>
        <v>178959.17831425508</v>
      </c>
      <c r="R452" s="2059">
        <f t="shared" si="279"/>
        <v>148725.79112567322</v>
      </c>
      <c r="S452" s="2057">
        <f t="shared" si="279"/>
        <v>131769.72782886677</v>
      </c>
      <c r="T452" s="2058">
        <f t="shared" si="279"/>
        <v>138112.04320553222</v>
      </c>
      <c r="U452" s="2059">
        <f t="shared" si="279"/>
        <v>136899.28836613105</v>
      </c>
      <c r="V452" s="2060">
        <f t="shared" si="279"/>
        <v>2155999.4012913872</v>
      </c>
      <c r="W452" s="1535"/>
      <c r="X452" s="1535"/>
      <c r="Y452" s="1535"/>
      <c r="Z452" s="1988"/>
      <c r="AA452" s="1988"/>
      <c r="AB452" s="1988"/>
      <c r="AC452" s="1988"/>
      <c r="AD452" s="1988"/>
      <c r="AE452" s="1988"/>
      <c r="AF452" s="1988"/>
      <c r="AG452" s="1988"/>
      <c r="AH452" s="1988"/>
    </row>
    <row r="453" spans="1:34" ht="18" customHeight="1">
      <c r="A453" s="1993"/>
      <c r="B453" s="1618"/>
      <c r="C453" s="1618"/>
      <c r="D453" s="1618"/>
      <c r="E453" s="1618"/>
      <c r="F453" s="2061"/>
      <c r="G453" s="1618"/>
      <c r="H453" s="2062"/>
      <c r="J453" s="1536"/>
      <c r="V453" s="5" t="b">
        <f>V452=SUM(J452:U452)</f>
        <v>1</v>
      </c>
      <c r="AA453" s="1618"/>
      <c r="AB453" s="2062"/>
    </row>
    <row r="454" spans="1:34" ht="18" customHeight="1" thickBot="1">
      <c r="A454" s="2063" t="s">
        <v>1025</v>
      </c>
      <c r="B454" s="1618"/>
      <c r="C454" s="1618"/>
      <c r="D454" s="1618"/>
      <c r="E454" s="1618"/>
      <c r="F454" s="2061"/>
      <c r="G454" s="1618"/>
      <c r="H454" s="2062"/>
      <c r="J454" s="1536"/>
      <c r="AA454" s="1618"/>
      <c r="AB454" s="2062"/>
    </row>
    <row r="455" spans="1:34" s="1610" customFormat="1" ht="24.9" customHeight="1" thickBot="1">
      <c r="A455" s="1539" t="s">
        <v>40</v>
      </c>
      <c r="B455" s="7313" t="s">
        <v>108</v>
      </c>
      <c r="C455" s="7082"/>
      <c r="D455" s="7082"/>
      <c r="E455" s="7082"/>
      <c r="F455" s="7082"/>
      <c r="G455" s="7082"/>
      <c r="H455" s="7082"/>
      <c r="I455" s="7083"/>
      <c r="J455" s="4490" t="s">
        <v>1292</v>
      </c>
      <c r="K455" s="5005" t="s">
        <v>1293</v>
      </c>
      <c r="L455" s="5494" t="s">
        <v>1294</v>
      </c>
      <c r="M455" s="4490" t="s">
        <v>1295</v>
      </c>
      <c r="N455" s="74" t="s">
        <v>1296</v>
      </c>
      <c r="O455" s="1540" t="s">
        <v>1297</v>
      </c>
      <c r="P455" s="1539" t="s">
        <v>1298</v>
      </c>
      <c r="Q455" s="74" t="s">
        <v>1299</v>
      </c>
      <c r="R455" s="1540" t="s">
        <v>1300</v>
      </c>
      <c r="S455" s="1539" t="s">
        <v>1301</v>
      </c>
      <c r="T455" s="74" t="s">
        <v>1302</v>
      </c>
      <c r="U455" s="1540" t="s">
        <v>1303</v>
      </c>
      <c r="V455" s="1541" t="s">
        <v>1304</v>
      </c>
      <c r="W455" s="1535"/>
      <c r="X455" s="1535"/>
      <c r="Y455" s="1535"/>
      <c r="Z455" s="1535"/>
      <c r="AA455" s="1535"/>
      <c r="AB455" s="1535"/>
      <c r="AC455" s="1535"/>
      <c r="AD455" s="1535"/>
      <c r="AE455" s="1535"/>
      <c r="AF455" s="1535"/>
      <c r="AG455" s="1535"/>
      <c r="AH455" s="1535"/>
    </row>
    <row r="456" spans="1:34" ht="18" customHeight="1">
      <c r="A456" s="2048">
        <v>1</v>
      </c>
      <c r="B456" s="7314" t="s">
        <v>97</v>
      </c>
      <c r="C456" s="7315"/>
      <c r="D456" s="7315"/>
      <c r="E456" s="7315"/>
      <c r="F456" s="7315"/>
      <c r="G456" s="7315"/>
      <c r="H456" s="7315"/>
      <c r="I456" s="7316"/>
      <c r="J456" s="4739">
        <f t="array" ref="J456">SUMPRODUCT(($I$89:$I$166=$B456)*($H$89:$H$166)*(J$89:J$166))</f>
        <v>428851.83338659164</v>
      </c>
      <c r="K456" s="5104">
        <f t="array" ref="K456">SUMPRODUCT(($I$89:$I$166=$B456)*($H$89:$H$166)*(K$89:K$166))</f>
        <v>569082.36735394597</v>
      </c>
      <c r="L456" s="5581">
        <f t="array" ref="L456">SUMPRODUCT(($I$89:$I$166=$B456)*($H$89:$H$166)*(L$89:L$166))</f>
        <v>616847.00303786376</v>
      </c>
      <c r="M456" s="4559">
        <f t="array" ref="M456">SUMPRODUCT(($I$89:$I$166=$B456)*($H$89:$H$166)*(M$89:M$166))</f>
        <v>700149.38742199051</v>
      </c>
      <c r="N456" s="2049">
        <f t="array" ref="N456">SUMPRODUCT(($I$89:$I$166=$B456)*($H$89:$H$166)*(N$89:N$166))</f>
        <v>592656.69645688264</v>
      </c>
      <c r="O456" s="2050">
        <f t="array" ref="O456">SUMPRODUCT(($I$89:$I$166=$B456)*($H$89:$H$166)*(O$89:O$166))</f>
        <v>566555.69781624817</v>
      </c>
      <c r="P456" s="2051">
        <f t="array" ref="P456">SUMPRODUCT(($I$89:$I$166=$B456)*($H$89:$H$166)*(P$89:P$166))</f>
        <v>528112.42654248071</v>
      </c>
      <c r="Q456" s="2049">
        <f t="array" ref="Q456">SUMPRODUCT(($I$89:$I$166=$B456)*($H$89:$H$166)*(Q$89:Q$166))</f>
        <v>323002.25110315869</v>
      </c>
      <c r="R456" s="2050">
        <f t="array" ref="R456">SUMPRODUCT(($I$89:$I$166=$B456)*($H$89:$H$166)*(R$89:R$166))</f>
        <v>266941.08299230871</v>
      </c>
      <c r="S456" s="2051">
        <f t="array" ref="S456">SUMPRODUCT(($I$89:$I$166=$B456)*($H$89:$H$166)*(S$89:S$166))</f>
        <v>240437.2825490057</v>
      </c>
      <c r="T456" s="2049">
        <f t="array" ref="T456">SUMPRODUCT(($I$89:$I$166=$B456)*($H$89:$H$166)*(T$89:T$166))</f>
        <v>217466.68709696486</v>
      </c>
      <c r="U456" s="2050">
        <f t="array" ref="U456">SUMPRODUCT(($I$89:$I$166=$B456)*($H$89:$H$166)*(U$89:U$166))</f>
        <v>219543.96217884336</v>
      </c>
      <c r="V456" s="2052">
        <f>SUM(J456:U456)</f>
        <v>5269646.6779362848</v>
      </c>
      <c r="AA456" s="1535"/>
      <c r="AB456" s="1535"/>
      <c r="AC456" s="1535"/>
    </row>
    <row r="457" spans="1:34" ht="18" customHeight="1">
      <c r="A457" s="2053">
        <v>2</v>
      </c>
      <c r="B457" s="7317" t="s">
        <v>1054</v>
      </c>
      <c r="C457" s="7318"/>
      <c r="D457" s="7318"/>
      <c r="E457" s="7318"/>
      <c r="F457" s="7318"/>
      <c r="G457" s="7318"/>
      <c r="H457" s="7318"/>
      <c r="I457" s="7319"/>
      <c r="J457" s="4739">
        <f t="array" ref="J457">SUMPRODUCT(($I$89:$I$166=$B457)*($H$89:$H$166)*(J$89:J$166))</f>
        <v>324160</v>
      </c>
      <c r="K457" s="5095">
        <f t="array" ref="K457">SUMPRODUCT((($I$89:$I$166="S3Y")+($I$89:$I$166="S36"))*($H$89:$H$166)*(K$89:K$166))</f>
        <v>310177.49745366967</v>
      </c>
      <c r="L457" s="5572">
        <f t="array" ref="L457">SUMPRODUCT((($I$89:$I$166="S3Y")+($I$89:$I$166="S36"))*($H$89:$H$166)*(L$89:L$166))</f>
        <v>324916.61274210119</v>
      </c>
      <c r="M457" s="4636">
        <f t="array" ref="M457">SUMPRODUCT((($I$89:$I$166="S3Y")+($I$89:$I$166="S36"))*($H$89:$H$166)*(M$89:M$166))</f>
        <v>260191.29592979985</v>
      </c>
      <c r="N457" s="2054">
        <f t="array" ref="N457">SUMPRODUCT((($I$89:$I$166="S3Y")+($I$89:$I$166="S36"))*($H$89:$H$166)*(N$89:N$166))</f>
        <v>330295.9960894197</v>
      </c>
      <c r="O457" s="1819">
        <f t="array" ref="O457">SUMPRODUCT((($I$89:$I$166="S3Y")+($I$89:$I$166="S36"))*($H$89:$H$166)*(O$89:O$166))</f>
        <v>496505.91377666546</v>
      </c>
      <c r="P457" s="2055">
        <f t="array" ref="P457">SUMPRODUCT((($I$89:$I$166="S3Y")+($I$89:$I$166="S36"))*($H$89:$H$166)*(P$89:P$166))</f>
        <v>563518.68845031573</v>
      </c>
      <c r="Q457" s="2054">
        <f t="array" ref="Q457">SUMPRODUCT((($I$89:$I$166="S3Y")+($I$89:$I$166="S36"))*($H$89:$H$166)*(Q$89:Q$166))</f>
        <v>543886.68392347184</v>
      </c>
      <c r="R457" s="1819">
        <f t="array" ref="R457">SUMPRODUCT((($I$89:$I$166="S3Y")+($I$89:$I$166="S36"))*($H$89:$H$166)*(R$89:R$166))</f>
        <v>398638.72025075875</v>
      </c>
      <c r="S457" s="2055">
        <f t="array" ref="S457">SUMPRODUCT((($I$89:$I$166="S3Y")+($I$89:$I$166="S36"))*($H$89:$H$166)*(S$89:S$166))</f>
        <v>342075.95500808657</v>
      </c>
      <c r="T457" s="2054">
        <f t="array" ref="T457">SUMPRODUCT((($I$89:$I$166="S3Y")+($I$89:$I$166="S36"))*($H$89:$H$166)*(T$89:T$166))</f>
        <v>423023.24403908796</v>
      </c>
      <c r="U457" s="1819">
        <f t="array" ref="U457">SUMPRODUCT((($I$89:$I$166="S3Y")+($I$89:$I$166="S36"))*($H$89:$H$166)*(U$89:U$166))</f>
        <v>415265.45525101037</v>
      </c>
      <c r="V457" s="2056">
        <f>SUM(J457:U457)</f>
        <v>4732656.0629143873</v>
      </c>
      <c r="AA457" s="1535"/>
      <c r="AB457" s="1535"/>
      <c r="AC457" s="1535"/>
    </row>
    <row r="458" spans="1:34" ht="18" customHeight="1">
      <c r="A458" s="40">
        <v>3</v>
      </c>
      <c r="B458" s="7320" t="s">
        <v>1055</v>
      </c>
      <c r="C458" s="7321"/>
      <c r="D458" s="7321"/>
      <c r="E458" s="7321"/>
      <c r="F458" s="7321"/>
      <c r="G458" s="7321"/>
      <c r="H458" s="7321"/>
      <c r="I458" s="7322"/>
      <c r="J458" s="4739" cm="1">
        <f t="array" ref="J458">SUMPRODUCT(($I$89:$I$166="S3Y")*($H$89:$H$166)*(J$89:J$166))</f>
        <v>54938.43726714544</v>
      </c>
      <c r="K458" s="5095">
        <f t="shared" ref="K458:U458" si="280">SUMPRODUCT(($I$89:$I$166="S3Y")*($H$89:$H$166)*(K$89:K$166))</f>
        <v>27565.719675891924</v>
      </c>
      <c r="L458" s="5572">
        <f t="shared" si="280"/>
        <v>64665.501630990155</v>
      </c>
      <c r="M458" s="4636">
        <f t="shared" si="280"/>
        <v>23955.518152022083</v>
      </c>
      <c r="N458" s="2054">
        <f t="shared" si="280"/>
        <v>58162.662756086313</v>
      </c>
      <c r="O458" s="1819">
        <f t="shared" si="280"/>
        <v>37617.024887776453</v>
      </c>
      <c r="P458" s="2055">
        <f t="shared" si="280"/>
        <v>52407.577339204479</v>
      </c>
      <c r="Q458" s="2054">
        <f t="shared" si="280"/>
        <v>43886.683923471683</v>
      </c>
      <c r="R458" s="1819">
        <f t="shared" si="280"/>
        <v>54194.275806314196</v>
      </c>
      <c r="S458" s="2055">
        <f t="shared" si="280"/>
        <v>52075.955008086486</v>
      </c>
      <c r="T458" s="2054">
        <f t="shared" si="280"/>
        <v>52601.30311081784</v>
      </c>
      <c r="U458" s="1819">
        <f t="shared" si="280"/>
        <v>52044.639498548961</v>
      </c>
      <c r="V458" s="2056">
        <f>SUM(J458:U458)</f>
        <v>574115.29905635607</v>
      </c>
      <c r="AA458" s="1535"/>
      <c r="AB458" s="1535"/>
      <c r="AC458" s="1535"/>
    </row>
    <row r="459" spans="1:34" s="1530" customFormat="1" ht="18" customHeight="1" thickBot="1">
      <c r="A459" s="69"/>
      <c r="B459" s="7312" t="s">
        <v>15</v>
      </c>
      <c r="C459" s="7064"/>
      <c r="D459" s="7064"/>
      <c r="E459" s="7064"/>
      <c r="F459" s="7064"/>
      <c r="G459" s="7064"/>
      <c r="H459" s="7064"/>
      <c r="I459" s="7065"/>
      <c r="J459" s="4740">
        <f t="shared" ref="J459:V459" si="281">SUM(J456:J458)</f>
        <v>807950.27065373713</v>
      </c>
      <c r="K459" s="5410">
        <f t="shared" si="281"/>
        <v>906825.58448350755</v>
      </c>
      <c r="L459" s="6245">
        <f t="shared" si="281"/>
        <v>1006429.1174109551</v>
      </c>
      <c r="M459" s="4740">
        <f t="shared" si="281"/>
        <v>984296.20150381234</v>
      </c>
      <c r="N459" s="2058">
        <f t="shared" si="281"/>
        <v>981115.35530238866</v>
      </c>
      <c r="O459" s="2059">
        <f t="shared" si="281"/>
        <v>1100678.63648069</v>
      </c>
      <c r="P459" s="2057">
        <f t="shared" si="281"/>
        <v>1144038.6923320009</v>
      </c>
      <c r="Q459" s="2058">
        <f t="shared" si="281"/>
        <v>910775.61895010225</v>
      </c>
      <c r="R459" s="2059">
        <f t="shared" si="281"/>
        <v>719774.07904938166</v>
      </c>
      <c r="S459" s="2057">
        <f t="shared" si="281"/>
        <v>634589.19256517873</v>
      </c>
      <c r="T459" s="2058">
        <f t="shared" si="281"/>
        <v>693091.23424687062</v>
      </c>
      <c r="U459" s="2059">
        <f t="shared" si="281"/>
        <v>686854.05692840263</v>
      </c>
      <c r="V459" s="2060">
        <f t="shared" si="281"/>
        <v>10576418.039907029</v>
      </c>
      <c r="W459" s="1535"/>
      <c r="X459" s="1535"/>
      <c r="Y459" s="1535"/>
      <c r="Z459" s="1988"/>
      <c r="AA459" s="1988"/>
      <c r="AB459" s="1988"/>
      <c r="AC459" s="1988"/>
      <c r="AD459" s="1988"/>
      <c r="AE459" s="1988"/>
      <c r="AF459" s="1988"/>
      <c r="AG459" s="1988"/>
      <c r="AH459" s="1988"/>
    </row>
    <row r="460" spans="1:34" ht="18" customHeight="1">
      <c r="J460" s="1536"/>
    </row>
    <row r="461" spans="1:34" ht="18" customHeight="1" thickBot="1">
      <c r="A461" s="2063" t="s">
        <v>1026</v>
      </c>
      <c r="B461" s="1618"/>
      <c r="C461" s="1618"/>
      <c r="D461" s="1618"/>
      <c r="E461" s="1618"/>
      <c r="F461" s="2061"/>
      <c r="G461" s="1618"/>
      <c r="H461" s="2062"/>
      <c r="J461" s="1536"/>
      <c r="AA461" s="1618"/>
      <c r="AB461" s="2062"/>
    </row>
    <row r="462" spans="1:34" ht="24.9" customHeight="1" thickBot="1">
      <c r="A462" s="1539" t="s">
        <v>40</v>
      </c>
      <c r="B462" s="7313" t="s">
        <v>108</v>
      </c>
      <c r="C462" s="7082"/>
      <c r="D462" s="7082"/>
      <c r="E462" s="7082"/>
      <c r="F462" s="7082"/>
      <c r="G462" s="7082"/>
      <c r="H462" s="7082"/>
      <c r="I462" s="7083"/>
      <c r="J462" s="4490" t="s">
        <v>1292</v>
      </c>
      <c r="K462" s="5005" t="s">
        <v>1293</v>
      </c>
      <c r="L462" s="5494" t="s">
        <v>1294</v>
      </c>
      <c r="M462" s="4490" t="s">
        <v>1295</v>
      </c>
      <c r="N462" s="74" t="s">
        <v>1296</v>
      </c>
      <c r="O462" s="1540" t="s">
        <v>1297</v>
      </c>
      <c r="P462" s="1539" t="s">
        <v>1298</v>
      </c>
      <c r="Q462" s="74" t="s">
        <v>1299</v>
      </c>
      <c r="R462" s="1540" t="s">
        <v>1300</v>
      </c>
      <c r="S462" s="1539" t="s">
        <v>1301</v>
      </c>
      <c r="T462" s="74" t="s">
        <v>1302</v>
      </c>
      <c r="U462" s="1540" t="s">
        <v>1303</v>
      </c>
      <c r="V462" s="1541" t="s">
        <v>1304</v>
      </c>
      <c r="AA462" s="1535"/>
      <c r="AB462" s="1535"/>
      <c r="AC462" s="1535"/>
    </row>
    <row r="463" spans="1:34" ht="18" customHeight="1">
      <c r="A463" s="2048">
        <v>1</v>
      </c>
      <c r="B463" s="7314" t="s">
        <v>97</v>
      </c>
      <c r="C463" s="7315"/>
      <c r="D463" s="7315"/>
      <c r="E463" s="7315"/>
      <c r="F463" s="7315"/>
      <c r="G463" s="7315"/>
      <c r="H463" s="7315"/>
      <c r="I463" s="7316"/>
      <c r="J463" s="4739">
        <f t="shared" ref="J463:U463" si="282">J456-J449</f>
        <v>318742.77161815541</v>
      </c>
      <c r="K463" s="5104">
        <f t="shared" si="282"/>
        <v>434143.97641843255</v>
      </c>
      <c r="L463" s="5581">
        <f t="shared" si="282"/>
        <v>466291.01845044957</v>
      </c>
      <c r="M463" s="4559">
        <f t="shared" si="282"/>
        <v>538387.53356196615</v>
      </c>
      <c r="N463" s="2049">
        <f t="shared" si="282"/>
        <v>458579.91405617556</v>
      </c>
      <c r="O463" s="2050">
        <f t="shared" si="282"/>
        <v>438655.91249731567</v>
      </c>
      <c r="P463" s="2051">
        <f t="shared" si="282"/>
        <v>415401.80914519716</v>
      </c>
      <c r="Q463" s="2049">
        <f t="shared" si="282"/>
        <v>241695.78496093629</v>
      </c>
      <c r="R463" s="2050">
        <f t="shared" si="282"/>
        <v>192186.92060684611</v>
      </c>
      <c r="S463" s="2051">
        <f t="shared" si="282"/>
        <v>173161.53442533355</v>
      </c>
      <c r="T463" s="2049">
        <f t="shared" si="282"/>
        <v>157039.42604740011</v>
      </c>
      <c r="U463" s="2050">
        <f t="shared" si="282"/>
        <v>158428.24862741985</v>
      </c>
      <c r="V463" s="2052">
        <f>SUM(J463:U463)</f>
        <v>3992714.8504156279</v>
      </c>
      <c r="AA463" s="1535"/>
      <c r="AB463" s="1535"/>
      <c r="AC463" s="1535"/>
    </row>
    <row r="464" spans="1:34" ht="18" customHeight="1">
      <c r="A464" s="2053">
        <v>2</v>
      </c>
      <c r="B464" s="7317" t="s">
        <v>1054</v>
      </c>
      <c r="C464" s="7318"/>
      <c r="D464" s="7318"/>
      <c r="E464" s="7318"/>
      <c r="F464" s="7318"/>
      <c r="G464" s="7318"/>
      <c r="H464" s="7318"/>
      <c r="I464" s="7319"/>
      <c r="J464" s="4739">
        <f>J457-J450</f>
        <v>269370.4768</v>
      </c>
      <c r="K464" s="5095">
        <f t="shared" ref="K464:U464" si="283">K457-K450</f>
        <v>262410.45477366965</v>
      </c>
      <c r="L464" s="5572">
        <f t="shared" si="283"/>
        <v>280928.96994210116</v>
      </c>
      <c r="M464" s="4636">
        <f t="shared" si="283"/>
        <v>220262.72476979985</v>
      </c>
      <c r="N464" s="2054">
        <f t="shared" si="283"/>
        <v>284300.02008941968</v>
      </c>
      <c r="O464" s="1819">
        <f t="shared" si="283"/>
        <v>418944.51377666544</v>
      </c>
      <c r="P464" s="2055">
        <f t="shared" si="283"/>
        <v>477130.68845031573</v>
      </c>
      <c r="Q464" s="2054">
        <f t="shared" si="283"/>
        <v>459376.68392347184</v>
      </c>
      <c r="R464" s="1819">
        <f t="shared" si="283"/>
        <v>340420.72025075875</v>
      </c>
      <c r="S464" s="2055">
        <f t="shared" si="283"/>
        <v>293060.15500808659</v>
      </c>
      <c r="T464" s="2054">
        <f t="shared" si="283"/>
        <v>360634.24403908796</v>
      </c>
      <c r="U464" s="1819">
        <f t="shared" si="283"/>
        <v>354972.45525101037</v>
      </c>
      <c r="V464" s="2056">
        <f>SUM(J464:U464)</f>
        <v>4021812.1070743874</v>
      </c>
      <c r="AA464" s="1535"/>
      <c r="AB464" s="1535"/>
      <c r="AC464" s="1535"/>
    </row>
    <row r="465" spans="1:29" ht="18" customHeight="1">
      <c r="A465" s="40">
        <v>3</v>
      </c>
      <c r="B465" s="7320" t="s">
        <v>1055</v>
      </c>
      <c r="C465" s="7321"/>
      <c r="D465" s="7321"/>
      <c r="E465" s="7321"/>
      <c r="F465" s="7321"/>
      <c r="G465" s="7321"/>
      <c r="H465" s="7321"/>
      <c r="I465" s="7322"/>
      <c r="J465" s="4739">
        <f t="shared" ref="J465:U465" si="284">J458-J451</f>
        <v>39024.574760593539</v>
      </c>
      <c r="K465" s="5095">
        <f t="shared" si="284"/>
        <v>19562.379202327487</v>
      </c>
      <c r="L465" s="5572">
        <f t="shared" si="284"/>
        <v>45889.558558772609</v>
      </c>
      <c r="M465" s="4636">
        <f t="shared" si="284"/>
        <v>17373.246611776114</v>
      </c>
      <c r="N465" s="2054">
        <f t="shared" si="284"/>
        <v>40963.420825810921</v>
      </c>
      <c r="O465" s="1819">
        <f t="shared" si="284"/>
        <v>26359.634287406327</v>
      </c>
      <c r="P465" s="2055">
        <f t="shared" si="284"/>
        <v>37076.887119812549</v>
      </c>
      <c r="Q465" s="2054">
        <f t="shared" si="284"/>
        <v>30743.971751439014</v>
      </c>
      <c r="R465" s="1819">
        <f t="shared" si="284"/>
        <v>38440.6470661036</v>
      </c>
      <c r="S465" s="2055">
        <f t="shared" si="284"/>
        <v>36597.775302891852</v>
      </c>
      <c r="T465" s="2054">
        <f t="shared" si="284"/>
        <v>37305.520954850392</v>
      </c>
      <c r="U465" s="1819">
        <f t="shared" si="284"/>
        <v>36554.06468384141</v>
      </c>
      <c r="V465" s="2056">
        <f>SUM(J465:U465)</f>
        <v>405891.68112562585</v>
      </c>
      <c r="AA465" s="1535"/>
      <c r="AB465" s="1535"/>
      <c r="AC465" s="1535"/>
    </row>
    <row r="466" spans="1:29" ht="18" customHeight="1" thickBot="1">
      <c r="A466" s="69"/>
      <c r="B466" s="7312" t="s">
        <v>15</v>
      </c>
      <c r="C466" s="7064"/>
      <c r="D466" s="7064"/>
      <c r="E466" s="7064"/>
      <c r="F466" s="7064"/>
      <c r="G466" s="7064"/>
      <c r="H466" s="7064"/>
      <c r="I466" s="7065"/>
      <c r="J466" s="4740">
        <f t="shared" ref="J466:V466" si="285">SUM(J463:J465)</f>
        <v>627137.82317874895</v>
      </c>
      <c r="K466" s="5410">
        <f t="shared" si="285"/>
        <v>716116.8103944296</v>
      </c>
      <c r="L466" s="6245">
        <f t="shared" si="285"/>
        <v>793109.54695132328</v>
      </c>
      <c r="M466" s="4740">
        <f t="shared" si="285"/>
        <v>776023.50494354207</v>
      </c>
      <c r="N466" s="2058">
        <f t="shared" si="285"/>
        <v>783843.35497140605</v>
      </c>
      <c r="O466" s="2059">
        <f t="shared" si="285"/>
        <v>883960.06056138745</v>
      </c>
      <c r="P466" s="2057">
        <f t="shared" si="285"/>
        <v>929609.38471532543</v>
      </c>
      <c r="Q466" s="2058">
        <f t="shared" si="285"/>
        <v>731816.44063584716</v>
      </c>
      <c r="R466" s="2059">
        <f t="shared" si="285"/>
        <v>571048.28792370844</v>
      </c>
      <c r="S466" s="2057">
        <f t="shared" si="285"/>
        <v>502819.46473631199</v>
      </c>
      <c r="T466" s="2058">
        <f t="shared" si="285"/>
        <v>554979.19104133849</v>
      </c>
      <c r="U466" s="2059">
        <f t="shared" si="285"/>
        <v>549954.76856227161</v>
      </c>
      <c r="V466" s="2060">
        <f t="shared" si="285"/>
        <v>8420418.6386156417</v>
      </c>
      <c r="AA466" s="1535"/>
      <c r="AB466" s="1535"/>
      <c r="AC466" s="1535"/>
    </row>
    <row r="467" spans="1:29" ht="18" customHeight="1">
      <c r="A467" s="1531"/>
      <c r="B467" s="1531"/>
      <c r="C467" s="1531"/>
      <c r="D467" s="1531"/>
      <c r="E467" s="1531"/>
      <c r="F467" s="1531"/>
      <c r="G467" s="1531"/>
      <c r="H467" s="1531"/>
      <c r="I467" s="1531"/>
      <c r="J467" s="4741"/>
      <c r="K467" s="4741"/>
      <c r="L467" s="4741"/>
      <c r="M467" s="4741"/>
      <c r="N467" s="2064"/>
      <c r="O467" s="2064"/>
      <c r="P467" s="2064"/>
      <c r="Q467" s="2064"/>
      <c r="R467" s="2064"/>
      <c r="S467" s="2064"/>
      <c r="T467" s="2064"/>
      <c r="U467" s="2064"/>
      <c r="V467" s="2064"/>
      <c r="AA467" s="1531"/>
      <c r="AB467" s="1531"/>
      <c r="AC467" s="1531"/>
    </row>
    <row r="468" spans="1:29" ht="18" customHeight="1" thickBot="1">
      <c r="A468" s="2063" t="s">
        <v>1023</v>
      </c>
      <c r="J468" s="1536"/>
    </row>
    <row r="469" spans="1:29" ht="24.9" customHeight="1" thickBot="1">
      <c r="A469" s="1539" t="s">
        <v>40</v>
      </c>
      <c r="B469" s="7313" t="s">
        <v>108</v>
      </c>
      <c r="C469" s="7082"/>
      <c r="D469" s="7082"/>
      <c r="E469" s="7082"/>
      <c r="F469" s="7082"/>
      <c r="G469" s="7082"/>
      <c r="H469" s="7082"/>
      <c r="I469" s="7083"/>
      <c r="J469" s="4490" t="s">
        <v>1292</v>
      </c>
      <c r="K469" s="5005" t="s">
        <v>1293</v>
      </c>
      <c r="L469" s="5494" t="s">
        <v>1294</v>
      </c>
      <c r="M469" s="4490" t="s">
        <v>1295</v>
      </c>
      <c r="N469" s="74" t="s">
        <v>1296</v>
      </c>
      <c r="O469" s="1540" t="s">
        <v>1297</v>
      </c>
      <c r="P469" s="1539" t="s">
        <v>1298</v>
      </c>
      <c r="Q469" s="74" t="s">
        <v>1299</v>
      </c>
      <c r="R469" s="1540" t="s">
        <v>1300</v>
      </c>
      <c r="S469" s="1539" t="s">
        <v>1301</v>
      </c>
      <c r="T469" s="74" t="s">
        <v>1302</v>
      </c>
      <c r="U469" s="1540" t="s">
        <v>1303</v>
      </c>
      <c r="V469" s="1541" t="s">
        <v>1304</v>
      </c>
      <c r="AA469" s="1535"/>
      <c r="AB469" s="1535"/>
      <c r="AC469" s="1535"/>
    </row>
    <row r="470" spans="1:29" ht="18" customHeight="1">
      <c r="A470" s="2048">
        <v>1</v>
      </c>
      <c r="B470" s="7314" t="s">
        <v>97</v>
      </c>
      <c r="C470" s="7315"/>
      <c r="D470" s="7315"/>
      <c r="E470" s="7315"/>
      <c r="F470" s="7315"/>
      <c r="G470" s="7315"/>
      <c r="H470" s="7315"/>
      <c r="I470" s="7316"/>
      <c r="J470" s="4742">
        <f t="shared" ref="J470:V470" si="286">IFERROR(J449/J456,"")</f>
        <v>0.25675315620996209</v>
      </c>
      <c r="K470" s="5411">
        <f t="shared" si="286"/>
        <v>0.23711574751987929</v>
      </c>
      <c r="L470" s="6246">
        <f t="shared" si="286"/>
        <v>0.24407346367243785</v>
      </c>
      <c r="M470" s="6247">
        <f t="shared" si="286"/>
        <v>0.23103905647285541</v>
      </c>
      <c r="N470" s="2066">
        <f t="shared" si="286"/>
        <v>0.22623009779905781</v>
      </c>
      <c r="O470" s="2067">
        <f t="shared" si="286"/>
        <v>0.22574971147923109</v>
      </c>
      <c r="P470" s="2068">
        <f t="shared" si="286"/>
        <v>0.21342163473636275</v>
      </c>
      <c r="Q470" s="2066">
        <f t="shared" si="286"/>
        <v>0.25172105105934756</v>
      </c>
      <c r="R470" s="2067">
        <f t="shared" si="286"/>
        <v>0.28003993071241301</v>
      </c>
      <c r="S470" s="2068">
        <f t="shared" si="286"/>
        <v>0.27980580802796279</v>
      </c>
      <c r="T470" s="2066">
        <f t="shared" si="286"/>
        <v>0.2778690467778232</v>
      </c>
      <c r="U470" s="2067">
        <f t="shared" si="286"/>
        <v>0.27837574281199251</v>
      </c>
      <c r="V470" s="2069">
        <f t="shared" si="286"/>
        <v>0.24231830055458908</v>
      </c>
      <c r="AA470" s="1535"/>
      <c r="AB470" s="1535"/>
      <c r="AC470" s="1535"/>
    </row>
    <row r="471" spans="1:29" ht="18" customHeight="1">
      <c r="A471" s="2053">
        <v>2</v>
      </c>
      <c r="B471" s="7317" t="s">
        <v>1054</v>
      </c>
      <c r="C471" s="7318"/>
      <c r="D471" s="7318"/>
      <c r="E471" s="7318"/>
      <c r="F471" s="7318"/>
      <c r="G471" s="7318"/>
      <c r="H471" s="7318"/>
      <c r="I471" s="7319"/>
      <c r="J471" s="4742">
        <f t="shared" ref="J471:V471" si="287">IFERROR(J450/J457,"")</f>
        <v>0.16902</v>
      </c>
      <c r="K471" s="5412">
        <f t="shared" si="287"/>
        <v>0.1539990588360938</v>
      </c>
      <c r="L471" s="6248">
        <f t="shared" si="287"/>
        <v>0.13538132885471968</v>
      </c>
      <c r="M471" s="6249">
        <f t="shared" si="287"/>
        <v>0.15345851988366596</v>
      </c>
      <c r="N471" s="2070">
        <f t="shared" si="287"/>
        <v>0.13925683794104393</v>
      </c>
      <c r="O471" s="2071">
        <f t="shared" si="287"/>
        <v>0.15621445353999971</v>
      </c>
      <c r="P471" s="2072">
        <f t="shared" si="287"/>
        <v>0.15330103822744229</v>
      </c>
      <c r="Q471" s="2070">
        <f t="shared" si="287"/>
        <v>0.15538163094997021</v>
      </c>
      <c r="R471" s="2071">
        <f t="shared" si="287"/>
        <v>0.14604201007714127</v>
      </c>
      <c r="S471" s="2072">
        <f t="shared" si="287"/>
        <v>0.14328922943105218</v>
      </c>
      <c r="T471" s="2070">
        <f t="shared" si="287"/>
        <v>0.14748362147739372</v>
      </c>
      <c r="U471" s="2071">
        <f t="shared" si="287"/>
        <v>0.14519146545323749</v>
      </c>
      <c r="V471" s="2073">
        <f t="shared" si="287"/>
        <v>0.15019979191182967</v>
      </c>
      <c r="AA471" s="1535"/>
      <c r="AB471" s="1535"/>
      <c r="AC471" s="1535"/>
    </row>
    <row r="472" spans="1:29" ht="18" customHeight="1">
      <c r="A472" s="40">
        <v>3</v>
      </c>
      <c r="B472" s="7320" t="s">
        <v>1055</v>
      </c>
      <c r="C472" s="7321"/>
      <c r="D472" s="7321"/>
      <c r="E472" s="7321"/>
      <c r="F472" s="7321"/>
      <c r="G472" s="7321"/>
      <c r="H472" s="7321"/>
      <c r="I472" s="7322"/>
      <c r="J472" s="4742">
        <f t="shared" ref="J472:V472" si="288">IFERROR(J451/J458,"")</f>
        <v>0.2896671856385109</v>
      </c>
      <c r="K472" s="5412">
        <f t="shared" si="288"/>
        <v>0.29033671413860807</v>
      </c>
      <c r="L472" s="6248">
        <f t="shared" si="288"/>
        <v>0.29035486617518796</v>
      </c>
      <c r="M472" s="6249">
        <f t="shared" si="288"/>
        <v>0.27477057680300526</v>
      </c>
      <c r="N472" s="2070">
        <f t="shared" si="288"/>
        <v>0.2957093282060167</v>
      </c>
      <c r="O472" s="2071">
        <f t="shared" si="288"/>
        <v>0.29926318293258175</v>
      </c>
      <c r="P472" s="2072">
        <f t="shared" si="288"/>
        <v>0.29252812279730239</v>
      </c>
      <c r="Q472" s="2070">
        <f t="shared" si="288"/>
        <v>0.29946924663869678</v>
      </c>
      <c r="R472" s="2071">
        <f t="shared" si="288"/>
        <v>0.29068805710242795</v>
      </c>
      <c r="S472" s="2072">
        <f t="shared" si="288"/>
        <v>0.29722315611477773</v>
      </c>
      <c r="T472" s="2070">
        <f t="shared" si="288"/>
        <v>0.29078713361421948</v>
      </c>
      <c r="U472" s="2071">
        <f t="shared" si="288"/>
        <v>0.29764015975438612</v>
      </c>
      <c r="V472" s="2073">
        <f t="shared" si="288"/>
        <v>0.29301364761961701</v>
      </c>
      <c r="AA472" s="1535"/>
      <c r="AB472" s="1535"/>
      <c r="AC472" s="1535"/>
    </row>
    <row r="473" spans="1:29" ht="18" customHeight="1" thickBot="1">
      <c r="A473" s="69"/>
      <c r="B473" s="7312" t="s">
        <v>15</v>
      </c>
      <c r="C473" s="7064"/>
      <c r="D473" s="7064"/>
      <c r="E473" s="7064"/>
      <c r="F473" s="7064"/>
      <c r="G473" s="7064"/>
      <c r="H473" s="7064"/>
      <c r="I473" s="7065"/>
      <c r="J473" s="4743">
        <f t="shared" ref="J473:V473" si="289">IFERROR(J452/J459,"")</f>
        <v>0.22379155505287135</v>
      </c>
      <c r="K473" s="5413">
        <f t="shared" si="289"/>
        <v>0.21030369825493858</v>
      </c>
      <c r="L473" s="6250">
        <f t="shared" si="289"/>
        <v>0.21195687482532063</v>
      </c>
      <c r="M473" s="4743">
        <f t="shared" si="289"/>
        <v>0.21159555044718287</v>
      </c>
      <c r="N473" s="2075">
        <f t="shared" si="289"/>
        <v>0.20106911920686579</v>
      </c>
      <c r="O473" s="2076">
        <f t="shared" si="289"/>
        <v>0.19689541409855885</v>
      </c>
      <c r="P473" s="2074">
        <f t="shared" si="289"/>
        <v>0.1874318666439368</v>
      </c>
      <c r="Q473" s="2075">
        <f t="shared" si="289"/>
        <v>0.19649096285707615</v>
      </c>
      <c r="R473" s="2076">
        <f t="shared" si="289"/>
        <v>0.20662843446946297</v>
      </c>
      <c r="S473" s="2074">
        <f t="shared" si="289"/>
        <v>0.20764571690264436</v>
      </c>
      <c r="T473" s="2075">
        <f t="shared" si="289"/>
        <v>0.19926964356374821</v>
      </c>
      <c r="U473" s="2076">
        <f t="shared" si="289"/>
        <v>0.19931350333481596</v>
      </c>
      <c r="V473" s="2077">
        <f t="shared" si="289"/>
        <v>0.20384967700372209</v>
      </c>
      <c r="AA473" s="1535"/>
      <c r="AB473" s="1535"/>
      <c r="AC473" s="1535"/>
    </row>
    <row r="474" spans="1:29" ht="18" customHeight="1">
      <c r="J474" s="2078"/>
    </row>
  </sheetData>
  <mergeCells count="99">
    <mergeCell ref="A190:A253"/>
    <mergeCell ref="B190:B253"/>
    <mergeCell ref="A254:I254"/>
    <mergeCell ref="A260:A266"/>
    <mergeCell ref="A255:I255"/>
    <mergeCell ref="A256:I256"/>
    <mergeCell ref="F265:H265"/>
    <mergeCell ref="F259:H259"/>
    <mergeCell ref="C266:H266"/>
    <mergeCell ref="F260:H260"/>
    <mergeCell ref="F261:H261"/>
    <mergeCell ref="F263:H263"/>
    <mergeCell ref="B260:B266"/>
    <mergeCell ref="A294:A308"/>
    <mergeCell ref="B294:B308"/>
    <mergeCell ref="F262:H262"/>
    <mergeCell ref="F267:H267"/>
    <mergeCell ref="F268:H268"/>
    <mergeCell ref="F269:H269"/>
    <mergeCell ref="F264:H264"/>
    <mergeCell ref="F270:H270"/>
    <mergeCell ref="F271:H271"/>
    <mergeCell ref="F272:H272"/>
    <mergeCell ref="C273:I273"/>
    <mergeCell ref="A277:A279"/>
    <mergeCell ref="F277:H277"/>
    <mergeCell ref="F278:H278"/>
    <mergeCell ref="F279:H279"/>
    <mergeCell ref="A280:A282"/>
    <mergeCell ref="B89:B103"/>
    <mergeCell ref="A168:I168"/>
    <mergeCell ref="A169:I169"/>
    <mergeCell ref="A170:I170"/>
    <mergeCell ref="B175:B189"/>
    <mergeCell ref="B451:I451"/>
    <mergeCell ref="A374:I374"/>
    <mergeCell ref="A396:I396"/>
    <mergeCell ref="B395:F395"/>
    <mergeCell ref="B450:I450"/>
    <mergeCell ref="B449:I449"/>
    <mergeCell ref="B448:I448"/>
    <mergeCell ref="A382:I382"/>
    <mergeCell ref="A407:I407"/>
    <mergeCell ref="A420:I420"/>
    <mergeCell ref="A432:I432"/>
    <mergeCell ref="A444:I444"/>
    <mergeCell ref="B455:I455"/>
    <mergeCell ref="B456:I456"/>
    <mergeCell ref="B457:I457"/>
    <mergeCell ref="B458:I458"/>
    <mergeCell ref="B452:I452"/>
    <mergeCell ref="B459:I459"/>
    <mergeCell ref="B469:I469"/>
    <mergeCell ref="B470:I470"/>
    <mergeCell ref="B471:I471"/>
    <mergeCell ref="B472:I472"/>
    <mergeCell ref="B473:I473"/>
    <mergeCell ref="B462:I462"/>
    <mergeCell ref="B463:I463"/>
    <mergeCell ref="B464:I464"/>
    <mergeCell ref="B465:I465"/>
    <mergeCell ref="B466:I466"/>
    <mergeCell ref="AC274:AC276"/>
    <mergeCell ref="I274:I276"/>
    <mergeCell ref="F275:H275"/>
    <mergeCell ref="F276:H276"/>
    <mergeCell ref="F274:H274"/>
    <mergeCell ref="D5:D12"/>
    <mergeCell ref="B274:B276"/>
    <mergeCell ref="A274:A276"/>
    <mergeCell ref="A267:A273"/>
    <mergeCell ref="B267:B273"/>
    <mergeCell ref="A5:A19"/>
    <mergeCell ref="B5:B19"/>
    <mergeCell ref="C5:C12"/>
    <mergeCell ref="A20:A83"/>
    <mergeCell ref="B20:B83"/>
    <mergeCell ref="C13:C18"/>
    <mergeCell ref="A84:I84"/>
    <mergeCell ref="A104:A167"/>
    <mergeCell ref="B104:B167"/>
    <mergeCell ref="A175:A189"/>
    <mergeCell ref="A89:A103"/>
    <mergeCell ref="C283:C285"/>
    <mergeCell ref="B277:B288"/>
    <mergeCell ref="A283:A285"/>
    <mergeCell ref="F283:H283"/>
    <mergeCell ref="F284:H284"/>
    <mergeCell ref="F285:H285"/>
    <mergeCell ref="C286:C288"/>
    <mergeCell ref="A286:A288"/>
    <mergeCell ref="F286:H286"/>
    <mergeCell ref="F287:H287"/>
    <mergeCell ref="F288:H288"/>
    <mergeCell ref="F280:H280"/>
    <mergeCell ref="F281:H281"/>
    <mergeCell ref="F282:H282"/>
    <mergeCell ref="C277:C279"/>
    <mergeCell ref="C280:C282"/>
  </mergeCells>
  <phoneticPr fontId="9" type="noConversion"/>
  <conditionalFormatting sqref="J260:U290">
    <cfRule type="cellIs" dxfId="37" priority="1" operator="lessThan">
      <formula>0</formula>
    </cfRule>
  </conditionalFormatting>
  <pageMargins left="0.23622047244094491" right="0.23622047244094491" top="0.74803149606299213" bottom="0.74803149606299213" header="0.31496062992125984" footer="0.31496062992125984"/>
  <pageSetup paperSize="9" scale="27" orientation="portrait" r:id="rId1"/>
  <ignoredErrors>
    <ignoredError sqref="V19 V83" formula="1"/>
  </ignoredError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X167"/>
  <sheetViews>
    <sheetView showGridLines="0" topLeftCell="D1" zoomScale="70" zoomScaleNormal="70" workbookViewId="0">
      <selection activeCell="N1" sqref="N1:O1048576"/>
    </sheetView>
  </sheetViews>
  <sheetFormatPr defaultColWidth="9" defaultRowHeight="15.6"/>
  <cols>
    <col min="1" max="1" width="4.69921875" style="1528" customWidth="1"/>
    <col min="2" max="2" width="14.09765625" style="5" customWidth="1"/>
    <col min="3" max="3" width="13.09765625" style="5" customWidth="1"/>
    <col min="4" max="4" width="17.69921875" style="5" customWidth="1"/>
    <col min="5" max="5" width="7.3984375" style="5" customWidth="1"/>
    <col min="6" max="6" width="26.3984375" style="5" customWidth="1"/>
    <col min="7" max="7" width="7.09765625" style="5" customWidth="1"/>
    <col min="8" max="8" width="10.09765625" style="5" customWidth="1"/>
    <col min="9" max="9" width="11.3984375" style="1695" customWidth="1"/>
    <col min="10" max="10" width="11.8984375" style="1695" customWidth="1"/>
    <col min="11" max="11" width="11.3984375" style="1532" customWidth="1"/>
    <col min="12" max="12" width="12.69921875" style="1532" customWidth="1"/>
    <col min="13" max="15" width="12.69921875" style="1534" customWidth="1"/>
    <col min="16" max="23" width="12.69921875" style="1532" customWidth="1"/>
    <col min="24" max="24" width="18.09765625" style="1532" customWidth="1"/>
    <col min="25" max="16384" width="9" style="5"/>
  </cols>
  <sheetData>
    <row r="1" spans="1:24" ht="23.25" customHeight="1">
      <c r="A1" s="1529" t="s">
        <v>33</v>
      </c>
      <c r="B1" s="1530"/>
      <c r="C1" s="1530"/>
      <c r="D1" s="1530"/>
      <c r="E1" s="1530"/>
      <c r="F1" s="1530"/>
      <c r="G1" s="1532"/>
      <c r="H1" s="1532"/>
    </row>
    <row r="2" spans="1:24" ht="23.25" customHeight="1">
      <c r="A2" s="1697"/>
    </row>
    <row r="3" spans="1:24" ht="23.25" customHeight="1" thickBot="1">
      <c r="A3" s="1538" t="s">
        <v>954</v>
      </c>
      <c r="W3" s="2580"/>
      <c r="X3" s="2580" t="s">
        <v>104</v>
      </c>
    </row>
    <row r="4" spans="1:24" ht="26.25" customHeight="1" thickBot="1">
      <c r="A4" s="1539" t="s">
        <v>40</v>
      </c>
      <c r="B4" s="74" t="s">
        <v>106</v>
      </c>
      <c r="C4" s="74" t="s">
        <v>105</v>
      </c>
      <c r="D4" s="74" t="s">
        <v>989</v>
      </c>
      <c r="E4" s="74" t="s">
        <v>1035</v>
      </c>
      <c r="F4" s="74" t="s">
        <v>107</v>
      </c>
      <c r="G4" s="74" t="s">
        <v>955</v>
      </c>
      <c r="H4" s="74" t="s">
        <v>183</v>
      </c>
      <c r="I4" s="2079" t="s">
        <v>207</v>
      </c>
      <c r="J4" s="3395" t="s">
        <v>956</v>
      </c>
      <c r="K4" s="3741" t="s">
        <v>1318</v>
      </c>
      <c r="L4" s="4744" t="str">
        <f>'3. P PLAN'!J4</f>
        <v>Jan.26</v>
      </c>
      <c r="M4" s="5414" t="str">
        <f>'3. P PLAN'!K4</f>
        <v>Feb.26</v>
      </c>
      <c r="N4" s="6503" t="str">
        <f>'3. P PLAN'!L4</f>
        <v>Mar.26</v>
      </c>
      <c r="O4" s="4744" t="str">
        <f>'3. P PLAN'!M4</f>
        <v>Apr.26</v>
      </c>
      <c r="P4" s="2309" t="str">
        <f>'3. P PLAN'!N4</f>
        <v>May.26</v>
      </c>
      <c r="Q4" s="17" t="str">
        <f>'3. P PLAN'!O4</f>
        <v>Jun.26</v>
      </c>
      <c r="R4" s="18" t="str">
        <f>'3. P PLAN'!P4</f>
        <v>Jul.26</v>
      </c>
      <c r="S4" s="2309" t="str">
        <f>'3. P PLAN'!Q4</f>
        <v>Aug.26</v>
      </c>
      <c r="T4" s="17" t="str">
        <f>'3. P PLAN'!R4</f>
        <v>Sep.26</v>
      </c>
      <c r="U4" s="18" t="str">
        <f>'3. P PLAN'!S4</f>
        <v>Oct.26</v>
      </c>
      <c r="V4" s="2309" t="str">
        <f>'3. P PLAN'!T4</f>
        <v>Nov.26</v>
      </c>
      <c r="W4" s="17" t="str">
        <f>'3. P PLAN'!U4</f>
        <v>Dec.26</v>
      </c>
      <c r="X4" s="3412" t="str">
        <f>'3. P PLAN'!V4</f>
        <v>2026
Total</v>
      </c>
    </row>
    <row r="5" spans="1:24" ht="18" customHeight="1">
      <c r="A5" s="7224">
        <v>1</v>
      </c>
      <c r="B5" s="7197" t="s">
        <v>16</v>
      </c>
      <c r="C5" s="1670" t="s">
        <v>19</v>
      </c>
      <c r="D5" s="55" t="s">
        <v>844</v>
      </c>
      <c r="E5" s="1746"/>
      <c r="F5" s="1670" t="str">
        <f>'2. S Plan'!F5</f>
        <v>Galaxy Tap</v>
      </c>
      <c r="G5" s="1844">
        <v>2</v>
      </c>
      <c r="H5" s="2080">
        <v>100000</v>
      </c>
      <c r="I5" s="3192">
        <f>IFERROR(ROUNDUP(#REF!/$H5/$G5,0),0)</f>
        <v>0</v>
      </c>
      <c r="J5" s="3396">
        <v>19000</v>
      </c>
      <c r="K5" s="3192">
        <f t="shared" ref="K5:K36" si="0">IFERROR(ROUNDUP(X5/$H5/$G5,0),0)</f>
        <v>1</v>
      </c>
      <c r="L5" s="4525">
        <f>'3. P PLAN'!J89</f>
        <v>0</v>
      </c>
      <c r="M5" s="5027">
        <f>'3. P PLAN'!K89</f>
        <v>0</v>
      </c>
      <c r="N5" s="5544">
        <f>'3. P PLAN'!L89</f>
        <v>0</v>
      </c>
      <c r="O5" s="4525">
        <f>'3. P PLAN'!M89</f>
        <v>0</v>
      </c>
      <c r="P5" s="1682">
        <f>'3. P PLAN'!N89</f>
        <v>0</v>
      </c>
      <c r="Q5" s="1683">
        <f>'3. P PLAN'!O89</f>
        <v>0</v>
      </c>
      <c r="R5" s="2081">
        <f>'3. P PLAN'!P89</f>
        <v>0</v>
      </c>
      <c r="S5" s="1682">
        <f>'3. P PLAN'!Q89</f>
        <v>0</v>
      </c>
      <c r="T5" s="1683">
        <f>'3. P PLAN'!R89</f>
        <v>0</v>
      </c>
      <c r="U5" s="2081">
        <f>'3. P PLAN'!S89</f>
        <v>0</v>
      </c>
      <c r="V5" s="1682">
        <f>'3. P PLAN'!T89</f>
        <v>14064.697609001405</v>
      </c>
      <c r="W5" s="1683">
        <f>'3. P PLAN'!U89</f>
        <v>70323.48804500702</v>
      </c>
      <c r="X5" s="1545">
        <f t="shared" ref="X5:X18" si="1">SUM(L5:W5)</f>
        <v>84388.185654008426</v>
      </c>
    </row>
    <row r="6" spans="1:24" ht="18" customHeight="1">
      <c r="A6" s="7225"/>
      <c r="B6" s="7200"/>
      <c r="C6" s="1658"/>
      <c r="D6" s="54"/>
      <c r="E6" s="1658">
        <v>1</v>
      </c>
      <c r="F6" s="1658" t="s">
        <v>1215</v>
      </c>
      <c r="G6" s="1854">
        <v>2</v>
      </c>
      <c r="H6" s="2027">
        <v>100000</v>
      </c>
      <c r="I6" s="2013">
        <f>IFERROR(ROUNDUP(#REF!/$H6/$G6,0),0)</f>
        <v>0</v>
      </c>
      <c r="J6" s="3397">
        <v>19000</v>
      </c>
      <c r="K6" s="2013">
        <f t="shared" si="0"/>
        <v>67</v>
      </c>
      <c r="L6" s="4745">
        <f>'3. P PLAN'!J90</f>
        <v>1326502.9239766083</v>
      </c>
      <c r="M6" s="4728">
        <f>'3. P PLAN'!K90</f>
        <v>941005.84795321629</v>
      </c>
      <c r="N6" s="6229">
        <f>'3. P PLAN'!L90</f>
        <v>1038093.567251462</v>
      </c>
      <c r="O6" s="4745">
        <f>'3. P PLAN'!M90</f>
        <v>1137479.5321637427</v>
      </c>
      <c r="P6" s="1652">
        <f>'3. P PLAN'!N90</f>
        <v>1135438.5964912281</v>
      </c>
      <c r="Q6" s="1653">
        <f>'3. P PLAN'!O90</f>
        <v>1356725.1461988303</v>
      </c>
      <c r="R6" s="3413">
        <f>'3. P PLAN'!P90</f>
        <v>1403508.7719298247</v>
      </c>
      <c r="S6" s="1652">
        <f>'3. P PLAN'!Q90</f>
        <v>1403508.7719298247</v>
      </c>
      <c r="T6" s="1653">
        <f>'3. P PLAN'!R90</f>
        <v>935672.51461988303</v>
      </c>
      <c r="U6" s="3413">
        <f>'3. P PLAN'!S90</f>
        <v>877192.98245614045</v>
      </c>
      <c r="V6" s="1652">
        <f>'3. P PLAN'!T90</f>
        <v>877192.98245614045</v>
      </c>
      <c r="W6" s="1653">
        <f>'3. P PLAN'!U90</f>
        <v>877192.98245614045</v>
      </c>
      <c r="X6" s="1557">
        <f t="shared" si="1"/>
        <v>13309514.619883042</v>
      </c>
    </row>
    <row r="7" spans="1:24" ht="18" customHeight="1">
      <c r="A7" s="7225"/>
      <c r="B7" s="7200"/>
      <c r="C7" s="1658"/>
      <c r="D7" s="54"/>
      <c r="E7" s="1658">
        <v>2</v>
      </c>
      <c r="F7" s="1658" t="s">
        <v>1190</v>
      </c>
      <c r="G7" s="1854">
        <v>2</v>
      </c>
      <c r="H7" s="2027">
        <v>100000</v>
      </c>
      <c r="I7" s="2013">
        <f>IFERROR(ROUNDUP(#REF!/$H7/$G7,0),0)</f>
        <v>0</v>
      </c>
      <c r="J7" s="3397">
        <v>19000</v>
      </c>
      <c r="K7" s="2013">
        <f t="shared" si="0"/>
        <v>2</v>
      </c>
      <c r="L7" s="4745">
        <f>'3. P PLAN'!J91</f>
        <v>54175.438596491229</v>
      </c>
      <c r="M7" s="4728">
        <f>'3. P PLAN'!K91</f>
        <v>0</v>
      </c>
      <c r="N7" s="6229">
        <f>'3. P PLAN'!L91</f>
        <v>71298.245614035084</v>
      </c>
      <c r="O7" s="4745">
        <f>'3. P PLAN'!M91</f>
        <v>94315.789473684199</v>
      </c>
      <c r="P7" s="1652">
        <f>'3. P PLAN'!N91</f>
        <v>23578.94736842105</v>
      </c>
      <c r="Q7" s="1653">
        <f>'3. P PLAN'!O91</f>
        <v>17543.859649122805</v>
      </c>
      <c r="R7" s="3413">
        <f>'3. P PLAN'!P91</f>
        <v>0</v>
      </c>
      <c r="S7" s="1652">
        <f>'3. P PLAN'!Q91</f>
        <v>0</v>
      </c>
      <c r="T7" s="1653">
        <f>'3. P PLAN'!R91</f>
        <v>0</v>
      </c>
      <c r="U7" s="3413">
        <f>'3. P PLAN'!S91</f>
        <v>0</v>
      </c>
      <c r="V7" s="1652">
        <f>'3. P PLAN'!T91</f>
        <v>0</v>
      </c>
      <c r="W7" s="1653">
        <f>'3. P PLAN'!U91</f>
        <v>0</v>
      </c>
      <c r="X7" s="1557">
        <f t="shared" si="1"/>
        <v>260912.28070175435</v>
      </c>
    </row>
    <row r="8" spans="1:24" ht="18" customHeight="1">
      <c r="A8" s="7225"/>
      <c r="B8" s="7200"/>
      <c r="C8" s="1658"/>
      <c r="D8" s="54"/>
      <c r="E8" s="1658">
        <v>3</v>
      </c>
      <c r="F8" s="1658" t="s">
        <v>1191</v>
      </c>
      <c r="G8" s="1854">
        <v>2</v>
      </c>
      <c r="H8" s="2027">
        <v>100000</v>
      </c>
      <c r="I8" s="2013">
        <f>IFERROR(ROUNDUP(#REF!/$H8/$G8,0),0)</f>
        <v>0</v>
      </c>
      <c r="J8" s="3397">
        <v>19000</v>
      </c>
      <c r="K8" s="2013">
        <f t="shared" si="0"/>
        <v>3</v>
      </c>
      <c r="L8" s="4745">
        <f>'3. P PLAN'!J92</f>
        <v>244491.22807017542</v>
      </c>
      <c r="M8" s="4728">
        <f>'3. P PLAN'!K92</f>
        <v>64670.175438596496</v>
      </c>
      <c r="N8" s="6229">
        <f>'3. P PLAN'!L92</f>
        <v>0</v>
      </c>
      <c r="O8" s="4745">
        <f>'3. P PLAN'!M92</f>
        <v>11550.877192982458</v>
      </c>
      <c r="P8" s="1652">
        <f>'3. P PLAN'!N92</f>
        <v>97403.508771929817</v>
      </c>
      <c r="Q8" s="1653">
        <f>'3. P PLAN'!O92</f>
        <v>0</v>
      </c>
      <c r="R8" s="3413">
        <f>'3. P PLAN'!P92</f>
        <v>0</v>
      </c>
      <c r="S8" s="1652">
        <f>'3. P PLAN'!Q92</f>
        <v>0</v>
      </c>
      <c r="T8" s="1653">
        <f>'3. P PLAN'!R92</f>
        <v>0</v>
      </c>
      <c r="U8" s="3413">
        <f>'3. P PLAN'!S92</f>
        <v>0</v>
      </c>
      <c r="V8" s="1652">
        <f>'3. P PLAN'!T92</f>
        <v>0</v>
      </c>
      <c r="W8" s="1653">
        <f>'3. P PLAN'!U92</f>
        <v>0</v>
      </c>
      <c r="X8" s="1557">
        <f t="shared" si="1"/>
        <v>418115.78947368421</v>
      </c>
    </row>
    <row r="9" spans="1:24" ht="18" customHeight="1">
      <c r="A9" s="7225"/>
      <c r="B9" s="7200"/>
      <c r="C9" s="1658"/>
      <c r="D9" s="54"/>
      <c r="E9" s="1658">
        <v>4</v>
      </c>
      <c r="F9" s="1658" t="s">
        <v>1216</v>
      </c>
      <c r="G9" s="1854">
        <v>2</v>
      </c>
      <c r="H9" s="2027">
        <v>100000</v>
      </c>
      <c r="I9" s="2013">
        <f>IFERROR(ROUNDUP(#REF!/$H9/$G9,0),0)</f>
        <v>0</v>
      </c>
      <c r="J9" s="3397">
        <v>19000</v>
      </c>
      <c r="K9" s="2013">
        <f t="shared" si="0"/>
        <v>30</v>
      </c>
      <c r="L9" s="4745">
        <f>'3. P PLAN'!J93</f>
        <v>0</v>
      </c>
      <c r="M9" s="4728">
        <f>'3. P PLAN'!K93</f>
        <v>0</v>
      </c>
      <c r="N9" s="6229">
        <f>'3. P PLAN'!L93</f>
        <v>0</v>
      </c>
      <c r="O9" s="4745">
        <f>'3. P PLAN'!M93</f>
        <v>0</v>
      </c>
      <c r="P9" s="1652">
        <f>'3. P PLAN'!N93</f>
        <v>119017.54385964913</v>
      </c>
      <c r="Q9" s="1653">
        <f>'3. P PLAN'!O93</f>
        <v>923976.60818713461</v>
      </c>
      <c r="R9" s="3413">
        <f>'3. P PLAN'!P93</f>
        <v>1169590.6432748539</v>
      </c>
      <c r="S9" s="1652">
        <f>'3. P PLAN'!Q93</f>
        <v>1169590.6432748539</v>
      </c>
      <c r="T9" s="1653">
        <f>'3. P PLAN'!R93</f>
        <v>818713.45029239776</v>
      </c>
      <c r="U9" s="3413">
        <f>'3. P PLAN'!S93</f>
        <v>584795.32163742697</v>
      </c>
      <c r="V9" s="1652">
        <f>'3. P PLAN'!T93</f>
        <v>584795.32163742697</v>
      </c>
      <c r="W9" s="1653">
        <f>'3. P PLAN'!U93</f>
        <v>467836.25730994152</v>
      </c>
      <c r="X9" s="1557">
        <f t="shared" si="1"/>
        <v>5838315.7894736864</v>
      </c>
    </row>
    <row r="10" spans="1:24" ht="18" customHeight="1">
      <c r="A10" s="7225"/>
      <c r="B10" s="7200"/>
      <c r="C10" s="1658"/>
      <c r="D10" s="54"/>
      <c r="E10" s="1658">
        <v>5</v>
      </c>
      <c r="F10" s="1658" t="s">
        <v>1217</v>
      </c>
      <c r="G10" s="1854">
        <v>2</v>
      </c>
      <c r="H10" s="2027">
        <v>100000</v>
      </c>
      <c r="I10" s="2013">
        <f>IFERROR(ROUNDUP(#REF!/$H10/$G10,0),0)</f>
        <v>0</v>
      </c>
      <c r="J10" s="3397">
        <v>19000</v>
      </c>
      <c r="K10" s="2013">
        <f t="shared" si="0"/>
        <v>7</v>
      </c>
      <c r="L10" s="4745">
        <f>'3. P PLAN'!J94</f>
        <v>80935.672514619873</v>
      </c>
      <c r="M10" s="4728">
        <f>'3. P PLAN'!K94</f>
        <v>481754.3859649123</v>
      </c>
      <c r="N10" s="6229">
        <f>'3. P PLAN'!L94</f>
        <v>260350.87719298244</v>
      </c>
      <c r="O10" s="4745">
        <f>'3. P PLAN'!M94</f>
        <v>0</v>
      </c>
      <c r="P10" s="1652">
        <f>'3. P PLAN'!N94</f>
        <v>56842.105263157893</v>
      </c>
      <c r="Q10" s="1653">
        <f>'3. P PLAN'!O94</f>
        <v>116959.06432748538</v>
      </c>
      <c r="R10" s="3413">
        <f>'3. P PLAN'!P94</f>
        <v>116959.06432748538</v>
      </c>
      <c r="S10" s="1652">
        <f>'3. P PLAN'!Q94</f>
        <v>58479.53216374269</v>
      </c>
      <c r="T10" s="1653">
        <f>'3. P PLAN'!R94</f>
        <v>58479.53216374269</v>
      </c>
      <c r="U10" s="3413">
        <f>'3. P PLAN'!S94</f>
        <v>5847.9532163742697</v>
      </c>
      <c r="V10" s="1652">
        <f>'3. P PLAN'!T94</f>
        <v>0</v>
      </c>
      <c r="W10" s="1653">
        <f>'3. P PLAN'!U94</f>
        <v>0</v>
      </c>
      <c r="X10" s="1557">
        <f t="shared" si="1"/>
        <v>1236608.1871345029</v>
      </c>
    </row>
    <row r="11" spans="1:24" ht="18" customHeight="1">
      <c r="A11" s="7225"/>
      <c r="B11" s="7200"/>
      <c r="C11" s="1658"/>
      <c r="D11" s="54"/>
      <c r="E11" s="1658">
        <v>6</v>
      </c>
      <c r="F11" s="1658" t="s">
        <v>1218</v>
      </c>
      <c r="G11" s="1854">
        <v>2</v>
      </c>
      <c r="H11" s="2027">
        <v>100000</v>
      </c>
      <c r="I11" s="2013">
        <f>IFERROR(ROUNDUP(#REF!/$H11/$G11,0),0)</f>
        <v>0</v>
      </c>
      <c r="J11" s="3397">
        <v>19000</v>
      </c>
      <c r="K11" s="2013">
        <f t="shared" si="0"/>
        <v>5</v>
      </c>
      <c r="L11" s="4745">
        <f>'3. P PLAN'!J95</f>
        <v>0</v>
      </c>
      <c r="M11" s="4728">
        <f>'3. P PLAN'!K95</f>
        <v>0</v>
      </c>
      <c r="N11" s="6229">
        <f>'3. P PLAN'!L95</f>
        <v>0</v>
      </c>
      <c r="O11" s="4745">
        <f>'3. P PLAN'!M95</f>
        <v>0</v>
      </c>
      <c r="P11" s="1652">
        <f>'3. P PLAN'!N95</f>
        <v>0</v>
      </c>
      <c r="Q11" s="1653">
        <f>'3. P PLAN'!O95</f>
        <v>0</v>
      </c>
      <c r="R11" s="3413">
        <f>'3. P PLAN'!P95</f>
        <v>0</v>
      </c>
      <c r="S11" s="1652">
        <f>'3. P PLAN'!Q95</f>
        <v>0</v>
      </c>
      <c r="T11" s="1653">
        <f>'3. P PLAN'!R95</f>
        <v>0</v>
      </c>
      <c r="U11" s="3413">
        <f>'3. P PLAN'!S95</f>
        <v>58479.53216374269</v>
      </c>
      <c r="V11" s="1652">
        <f>'3. P PLAN'!T95</f>
        <v>467836.25730994152</v>
      </c>
      <c r="W11" s="1653">
        <f>'3. P PLAN'!U95</f>
        <v>467836.25730994152</v>
      </c>
      <c r="X11" s="1557">
        <f t="shared" si="1"/>
        <v>994152.04678362561</v>
      </c>
    </row>
    <row r="12" spans="1:24" ht="18" customHeight="1">
      <c r="A12" s="7225"/>
      <c r="B12" s="7200"/>
      <c r="C12" s="1713"/>
      <c r="D12" s="53"/>
      <c r="E12" s="53"/>
      <c r="F12" s="1713" t="s">
        <v>91</v>
      </c>
      <c r="G12" s="1850">
        <v>0</v>
      </c>
      <c r="H12" s="1713"/>
      <c r="I12" s="2082">
        <f>IFERROR(ROUNDUP(#REF!/$H12/$G12,0),0)</f>
        <v>0</v>
      </c>
      <c r="J12" s="3398"/>
      <c r="K12" s="3392">
        <f t="shared" si="0"/>
        <v>0</v>
      </c>
      <c r="L12" s="4746">
        <f>'3. P PLAN'!J96</f>
        <v>563322.80701754382</v>
      </c>
      <c r="M12" s="5028">
        <f>'3. P PLAN'!K96</f>
        <v>362535.67251461989</v>
      </c>
      <c r="N12" s="6504">
        <f>'3. P PLAN'!L96</f>
        <v>608361.40350877191</v>
      </c>
      <c r="O12" s="4746">
        <f>'3. P PLAN'!M96</f>
        <v>450084.21052631579</v>
      </c>
      <c r="P12" s="3415">
        <f>'3. P PLAN'!N96</f>
        <v>460451.4619883041</v>
      </c>
      <c r="Q12" s="3416">
        <f>'3. P PLAN'!O96</f>
        <v>526315.78947368416</v>
      </c>
      <c r="R12" s="3414">
        <f>'3. P PLAN'!P96</f>
        <v>561403.50877192977</v>
      </c>
      <c r="S12" s="3415">
        <f>'3. P PLAN'!Q96</f>
        <v>662573.09941520472</v>
      </c>
      <c r="T12" s="3416">
        <f>'3. P PLAN'!R96</f>
        <v>643274.85380116967</v>
      </c>
      <c r="U12" s="3414">
        <f>'3. P PLAN'!S96</f>
        <v>656140.35087719304</v>
      </c>
      <c r="V12" s="3415">
        <f>'3. P PLAN'!T96</f>
        <v>604678.36257309944</v>
      </c>
      <c r="W12" s="3416">
        <f>'3. P PLAN'!U96</f>
        <v>578947.3684210527</v>
      </c>
      <c r="X12" s="1551">
        <f t="shared" si="1"/>
        <v>6678088.8888888881</v>
      </c>
    </row>
    <row r="13" spans="1:24" ht="18" customHeight="1">
      <c r="A13" s="7225"/>
      <c r="B13" s="7200"/>
      <c r="C13" s="54" t="s">
        <v>24</v>
      </c>
      <c r="D13" s="54" t="s">
        <v>844</v>
      </c>
      <c r="E13" s="54">
        <v>7</v>
      </c>
      <c r="F13" s="1735" t="s">
        <v>846</v>
      </c>
      <c r="G13" s="1854">
        <v>1</v>
      </c>
      <c r="H13" s="1658">
        <v>100000</v>
      </c>
      <c r="I13" s="2083">
        <f>IFERROR(ROUNDUP(#REF!/$H13/$G13,0),0)</f>
        <v>0</v>
      </c>
      <c r="J13" s="3399">
        <v>19000</v>
      </c>
      <c r="K13" s="2083">
        <f t="shared" si="0"/>
        <v>3</v>
      </c>
      <c r="L13" s="4745">
        <f>'3. P PLAN'!J97</f>
        <v>20000</v>
      </c>
      <c r="M13" s="4728">
        <f>'3. P PLAN'!K97</f>
        <v>6788</v>
      </c>
      <c r="N13" s="6229">
        <f>'3. P PLAN'!L97</f>
        <v>19184.899184899186</v>
      </c>
      <c r="O13" s="4745">
        <f>'3. P PLAN'!M97</f>
        <v>17777.777777777777</v>
      </c>
      <c r="P13" s="1652">
        <f>'3. P PLAN'!N97</f>
        <v>16177.60617760618</v>
      </c>
      <c r="Q13" s="1653">
        <f>'3. P PLAN'!O97</f>
        <v>20296.010296010296</v>
      </c>
      <c r="R13" s="3413">
        <f>'3. P PLAN'!P97</f>
        <v>20296.010296010296</v>
      </c>
      <c r="S13" s="1652">
        <f>'3. P PLAN'!Q97</f>
        <v>20296.010296010296</v>
      </c>
      <c r="T13" s="1653">
        <f>'3. P PLAN'!R97</f>
        <v>20296.010296010296</v>
      </c>
      <c r="U13" s="3413">
        <f>'3. P PLAN'!S97</f>
        <v>20296.010296010296</v>
      </c>
      <c r="V13" s="1652">
        <f>'3. P PLAN'!T97</f>
        <v>15148.005148005148</v>
      </c>
      <c r="W13" s="1653">
        <f>'3. P PLAN'!U97</f>
        <v>15148.005148005148</v>
      </c>
      <c r="X13" s="1557">
        <f t="shared" si="1"/>
        <v>211704.34491634491</v>
      </c>
    </row>
    <row r="14" spans="1:24" ht="18" customHeight="1">
      <c r="A14" s="7225"/>
      <c r="B14" s="7200"/>
      <c r="C14" s="54"/>
      <c r="D14" s="54"/>
      <c r="E14" s="54">
        <v>8</v>
      </c>
      <c r="F14" s="10" t="s">
        <v>847</v>
      </c>
      <c r="G14" s="1854">
        <v>1</v>
      </c>
      <c r="H14" s="1658">
        <v>100000</v>
      </c>
      <c r="I14" s="2013">
        <f>IFERROR(ROUNDUP(#REF!/$H14/$G14,0),0)</f>
        <v>0</v>
      </c>
      <c r="J14" s="3397">
        <v>24000</v>
      </c>
      <c r="K14" s="2013">
        <f t="shared" si="0"/>
        <v>1</v>
      </c>
      <c r="L14" s="4551">
        <f>'3. P PLAN'!J98</f>
        <v>222.22222222222223</v>
      </c>
      <c r="M14" s="5006">
        <f>'3. P PLAN'!K98</f>
        <v>222.22222222222223</v>
      </c>
      <c r="N14" s="5498">
        <f>'3. P PLAN'!L98</f>
        <v>0</v>
      </c>
      <c r="O14" s="4551">
        <f>'3. P PLAN'!M98</f>
        <v>157.77684446311073</v>
      </c>
      <c r="P14" s="1642">
        <f>'3. P PLAN'!N98</f>
        <v>222.22222222222223</v>
      </c>
      <c r="Q14" s="1643">
        <f>'3. P PLAN'!O98</f>
        <v>222.22222222222223</v>
      </c>
      <c r="R14" s="1759">
        <f>'3. P PLAN'!P98</f>
        <v>277.77777777777771</v>
      </c>
      <c r="S14" s="1642">
        <f>'3. P PLAN'!Q98</f>
        <v>277.77777777777771</v>
      </c>
      <c r="T14" s="1643">
        <f>'3. P PLAN'!R98</f>
        <v>277.77777777777771</v>
      </c>
      <c r="U14" s="1644">
        <f>'3. P PLAN'!S98</f>
        <v>222.22222222222223</v>
      </c>
      <c r="V14" s="1642">
        <f>'3. P PLAN'!T98</f>
        <v>111.11111111111111</v>
      </c>
      <c r="W14" s="2084">
        <f>'3. P PLAN'!U98</f>
        <v>111.11111111111111</v>
      </c>
      <c r="X14" s="2085">
        <f t="shared" si="1"/>
        <v>2324.4435111297776</v>
      </c>
    </row>
    <row r="15" spans="1:24" ht="18" customHeight="1">
      <c r="A15" s="7225"/>
      <c r="B15" s="7200"/>
      <c r="C15" s="54"/>
      <c r="D15" s="54"/>
      <c r="E15" s="54"/>
      <c r="F15" s="10" t="s">
        <v>1171</v>
      </c>
      <c r="G15" s="1854">
        <v>1</v>
      </c>
      <c r="H15" s="1658">
        <v>100000</v>
      </c>
      <c r="I15" s="2013">
        <f>IFERROR(ROUNDUP(#REF!/$H15/$G15,0),0)</f>
        <v>0</v>
      </c>
      <c r="J15" s="3397">
        <v>24000</v>
      </c>
      <c r="K15" s="2013">
        <f t="shared" si="0"/>
        <v>0</v>
      </c>
      <c r="L15" s="4551">
        <f>'3. P PLAN'!J99</f>
        <v>0</v>
      </c>
      <c r="M15" s="5006">
        <f>'3. P PLAN'!K99</f>
        <v>0</v>
      </c>
      <c r="N15" s="5498">
        <f>'3. P PLAN'!L99</f>
        <v>0</v>
      </c>
      <c r="O15" s="4551">
        <f>'3. P PLAN'!M99</f>
        <v>0</v>
      </c>
      <c r="P15" s="1642">
        <f>'3. P PLAN'!N99</f>
        <v>0</v>
      </c>
      <c r="Q15" s="1643">
        <f>'3. P PLAN'!O99</f>
        <v>0</v>
      </c>
      <c r="R15" s="1759">
        <f>'3. P PLAN'!P99</f>
        <v>0</v>
      </c>
      <c r="S15" s="1642">
        <f>'3. P PLAN'!Q99</f>
        <v>0</v>
      </c>
      <c r="T15" s="1643">
        <f>'3. P PLAN'!R99</f>
        <v>0</v>
      </c>
      <c r="U15" s="1644">
        <f>'3. P PLAN'!S99</f>
        <v>0</v>
      </c>
      <c r="V15" s="1642">
        <f>'3. P PLAN'!T99</f>
        <v>0</v>
      </c>
      <c r="W15" s="2084">
        <f>'3. P PLAN'!U99</f>
        <v>0</v>
      </c>
      <c r="X15" s="2085">
        <f t="shared" si="1"/>
        <v>0</v>
      </c>
    </row>
    <row r="16" spans="1:24" ht="18" customHeight="1">
      <c r="A16" s="7225"/>
      <c r="B16" s="7200"/>
      <c r="C16" s="54"/>
      <c r="D16" s="54"/>
      <c r="E16" s="54">
        <v>9</v>
      </c>
      <c r="F16" s="10" t="s">
        <v>1048</v>
      </c>
      <c r="G16" s="1854">
        <v>1</v>
      </c>
      <c r="H16" s="1658">
        <v>100000</v>
      </c>
      <c r="I16" s="2013">
        <f>IFERROR(ROUNDUP(#REF!/$H16/$G16,0),0)</f>
        <v>0</v>
      </c>
      <c r="J16" s="3397">
        <v>24000</v>
      </c>
      <c r="K16" s="2013">
        <f t="shared" si="0"/>
        <v>1</v>
      </c>
      <c r="L16" s="4551">
        <f>'3. P PLAN'!J100</f>
        <v>1111.1111111111111</v>
      </c>
      <c r="M16" s="5006">
        <f>'3. P PLAN'!K100</f>
        <v>902.29728635074923</v>
      </c>
      <c r="N16" s="5498">
        <f>'3. P PLAN'!L100</f>
        <v>1111.1111111111111</v>
      </c>
      <c r="O16" s="4551">
        <f>'3. P PLAN'!M100</f>
        <v>1111.1111111111111</v>
      </c>
      <c r="P16" s="1642">
        <f>'3. P PLAN'!N100</f>
        <v>1111.1111111111111</v>
      </c>
      <c r="Q16" s="1643">
        <f>'3. P PLAN'!O100</f>
        <v>1111.1111111111111</v>
      </c>
      <c r="R16" s="1759">
        <f>'3. P PLAN'!P100</f>
        <v>1111.1111111111111</v>
      </c>
      <c r="S16" s="1642">
        <f>'3. P PLAN'!Q100</f>
        <v>1111.1111111111111</v>
      </c>
      <c r="T16" s="1643">
        <f>'3. P PLAN'!R100</f>
        <v>1111.1111111111111</v>
      </c>
      <c r="U16" s="1644">
        <f>'3. P PLAN'!S100</f>
        <v>1111.1111111111111</v>
      </c>
      <c r="V16" s="1642">
        <f>'3. P PLAN'!T100</f>
        <v>1111.1111111111111</v>
      </c>
      <c r="W16" s="2084">
        <f>'3. P PLAN'!U100</f>
        <v>1111.1111111111111</v>
      </c>
      <c r="X16" s="2085">
        <f t="shared" si="1"/>
        <v>13124.519508572972</v>
      </c>
    </row>
    <row r="17" spans="1:24" ht="18" customHeight="1">
      <c r="A17" s="7225"/>
      <c r="B17" s="7200"/>
      <c r="C17" s="54"/>
      <c r="D17" s="54"/>
      <c r="E17" s="54">
        <v>10</v>
      </c>
      <c r="F17" s="10" t="s">
        <v>1049</v>
      </c>
      <c r="G17" s="1854">
        <v>1</v>
      </c>
      <c r="H17" s="1658">
        <v>100000</v>
      </c>
      <c r="I17" s="2013">
        <f>IFERROR(ROUNDUP(#REF!/$H17/$G17,0),0)</f>
        <v>0</v>
      </c>
      <c r="J17" s="3397">
        <v>24000</v>
      </c>
      <c r="K17" s="2013">
        <f t="shared" si="0"/>
        <v>1</v>
      </c>
      <c r="L17" s="4551">
        <f>'3. P PLAN'!J101</f>
        <v>555.55555555555554</v>
      </c>
      <c r="M17" s="5006">
        <f>'3. P PLAN'!K101</f>
        <v>555.55555555555554</v>
      </c>
      <c r="N17" s="5498">
        <f>'3. P PLAN'!L101</f>
        <v>590.25246388551375</v>
      </c>
      <c r="O17" s="4551">
        <f>'3. P PLAN'!M101</f>
        <v>0</v>
      </c>
      <c r="P17" s="1642">
        <f>'3. P PLAN'!N101</f>
        <v>555.55555555555554</v>
      </c>
      <c r="Q17" s="1643">
        <f>'3. P PLAN'!O101</f>
        <v>0</v>
      </c>
      <c r="R17" s="1759">
        <f>'3. P PLAN'!P101</f>
        <v>555.55555555555554</v>
      </c>
      <c r="S17" s="1642">
        <f>'3. P PLAN'!Q101</f>
        <v>0</v>
      </c>
      <c r="T17" s="1643">
        <f>'3. P PLAN'!R101</f>
        <v>555.55555555555554</v>
      </c>
      <c r="U17" s="1644">
        <f>'3. P PLAN'!S101</f>
        <v>0</v>
      </c>
      <c r="V17" s="1642">
        <f>'3. P PLAN'!T101</f>
        <v>555.55555555555554</v>
      </c>
      <c r="W17" s="2084">
        <f>'3. P PLAN'!U101</f>
        <v>0</v>
      </c>
      <c r="X17" s="2085">
        <f t="shared" si="1"/>
        <v>3923.5857972188473</v>
      </c>
    </row>
    <row r="18" spans="1:24" ht="18" customHeight="1">
      <c r="A18" s="7225"/>
      <c r="B18" s="7200"/>
      <c r="C18" s="1658"/>
      <c r="D18" s="1658"/>
      <c r="E18" s="1658"/>
      <c r="F18" s="1713" t="s">
        <v>392</v>
      </c>
      <c r="G18" s="1854">
        <v>1</v>
      </c>
      <c r="H18" s="1658">
        <v>100000</v>
      </c>
      <c r="I18" s="2013">
        <f>IFERROR(ROUNDUP(#REF!/$H18/$G18,0),0)</f>
        <v>0</v>
      </c>
      <c r="J18" s="3397">
        <v>24000</v>
      </c>
      <c r="K18" s="2013">
        <f t="shared" si="0"/>
        <v>1</v>
      </c>
      <c r="L18" s="4745">
        <f>'3. P PLAN'!J102</f>
        <v>4004.9751243781088</v>
      </c>
      <c r="M18" s="4728">
        <f>'3. P PLAN'!K102</f>
        <v>2222.2222222222217</v>
      </c>
      <c r="N18" s="6229">
        <f>'3. P PLAN'!L102</f>
        <v>2222.2222222222217</v>
      </c>
      <c r="O18" s="4745">
        <f>'3. P PLAN'!M102</f>
        <v>5000</v>
      </c>
      <c r="P18" s="1652">
        <f>'3. P PLAN'!N102</f>
        <v>2777.7777777777778</v>
      </c>
      <c r="Q18" s="1653">
        <f>'3. P PLAN'!O102</f>
        <v>1333.3333333333333</v>
      </c>
      <c r="R18" s="3413">
        <f>'3. P PLAN'!P102</f>
        <v>2777.7777777777778</v>
      </c>
      <c r="S18" s="1652">
        <f>'3. P PLAN'!Q102</f>
        <v>1333.3333333333333</v>
      </c>
      <c r="T18" s="1653">
        <f>'3. P PLAN'!R102</f>
        <v>1333.3333333333333</v>
      </c>
      <c r="U18" s="3413">
        <f>'3. P PLAN'!S102</f>
        <v>1333.3333333333333</v>
      </c>
      <c r="V18" s="1652">
        <f>'3. P PLAN'!T102</f>
        <v>1333.3333333333333</v>
      </c>
      <c r="W18" s="1653">
        <f>'3. P PLAN'!U102</f>
        <v>1333.3333333333333</v>
      </c>
      <c r="X18" s="1557">
        <f t="shared" si="1"/>
        <v>27004.975124378099</v>
      </c>
    </row>
    <row r="19" spans="1:24" ht="18" customHeight="1">
      <c r="A19" s="7298"/>
      <c r="B19" s="7301"/>
      <c r="C19" s="7079" t="s">
        <v>43</v>
      </c>
      <c r="D19" s="7079"/>
      <c r="E19" s="7079"/>
      <c r="F19" s="7079"/>
      <c r="G19" s="2086"/>
      <c r="H19" s="2086"/>
      <c r="I19" s="2086"/>
      <c r="J19" s="3400"/>
      <c r="K19" s="3417">
        <f t="shared" si="0"/>
        <v>0</v>
      </c>
      <c r="L19" s="4494">
        <f t="shared" ref="L19:X19" si="2">SUM(L5:L18)</f>
        <v>2295321.9341887054</v>
      </c>
      <c r="M19" s="4734">
        <f t="shared" si="2"/>
        <v>1860656.3791576959</v>
      </c>
      <c r="N19" s="5510">
        <f t="shared" si="2"/>
        <v>2001212.5785493695</v>
      </c>
      <c r="O19" s="4494">
        <f t="shared" si="2"/>
        <v>1717477.075090077</v>
      </c>
      <c r="P19" s="1620">
        <f t="shared" si="2"/>
        <v>1913576.436586963</v>
      </c>
      <c r="Q19" s="1621">
        <f t="shared" si="2"/>
        <v>2964483.144798934</v>
      </c>
      <c r="R19" s="1619">
        <f t="shared" si="2"/>
        <v>3276480.2208223268</v>
      </c>
      <c r="S19" s="1620">
        <f t="shared" si="2"/>
        <v>3317170.279301859</v>
      </c>
      <c r="T19" s="1621">
        <f t="shared" si="2"/>
        <v>2479714.1389509817</v>
      </c>
      <c r="U19" s="1619">
        <f t="shared" si="2"/>
        <v>2205418.8173135542</v>
      </c>
      <c r="V19" s="1620">
        <f t="shared" si="2"/>
        <v>2566826.7378447261</v>
      </c>
      <c r="W19" s="1621">
        <f t="shared" si="2"/>
        <v>2479839.9142456441</v>
      </c>
      <c r="X19" s="1566">
        <f t="shared" si="2"/>
        <v>29078177.656850837</v>
      </c>
    </row>
    <row r="20" spans="1:24" ht="18" customHeight="1">
      <c r="A20" s="7305">
        <v>2</v>
      </c>
      <c r="B20" s="7307" t="s">
        <v>23</v>
      </c>
      <c r="C20" s="3389" t="s">
        <v>20</v>
      </c>
      <c r="D20" s="1582" t="s">
        <v>848</v>
      </c>
      <c r="E20" s="1735">
        <v>11</v>
      </c>
      <c r="F20" s="1582" t="s">
        <v>849</v>
      </c>
      <c r="G20" s="2087">
        <f>IFERROR(VLOOKUP(E20,B.BasicInfomation!$A$10:$O$127,14,0),"")</f>
        <v>1</v>
      </c>
      <c r="H20" s="2087">
        <v>120000</v>
      </c>
      <c r="I20" s="2083">
        <f>IFERROR(ROUNDUP(#REF!/$H20/$G20,0),0)</f>
        <v>0</v>
      </c>
      <c r="J20" s="3399">
        <v>19000</v>
      </c>
      <c r="K20" s="2083">
        <f t="shared" si="0"/>
        <v>6</v>
      </c>
      <c r="L20" s="4550">
        <f>'3. P PLAN'!J104</f>
        <v>63140.725861359497</v>
      </c>
      <c r="M20" s="5268">
        <f>'3. P PLAN'!K104</f>
        <v>61737.598619995959</v>
      </c>
      <c r="N20" s="5523">
        <f>'3. P PLAN'!L104</f>
        <v>89800.143447266862</v>
      </c>
      <c r="O20" s="4550">
        <f>'3. P PLAN'!M104</f>
        <v>89009.289911225569</v>
      </c>
      <c r="P20" s="3390">
        <f>'3. P PLAN'!N104</f>
        <v>77358.018931993909</v>
      </c>
      <c r="Q20" s="3391">
        <f>'3. P PLAN'!O104</f>
        <v>114271.95810686648</v>
      </c>
      <c r="R20" s="2088">
        <f>'3. P PLAN'!P104</f>
        <v>92032.391331254315</v>
      </c>
      <c r="S20" s="3390">
        <f>'3. P PLAN'!Q104</f>
        <v>86942.423249436717</v>
      </c>
      <c r="T20" s="3391">
        <f>'3. P PLAN'!R104</f>
        <v>0</v>
      </c>
      <c r="U20" s="2088">
        <f>'3. P PLAN'!S104</f>
        <v>0</v>
      </c>
      <c r="V20" s="3390">
        <f>'3. P PLAN'!T104</f>
        <v>0</v>
      </c>
      <c r="W20" s="3391">
        <f>'3. P PLAN'!U104</f>
        <v>0</v>
      </c>
      <c r="X20" s="2089">
        <f t="shared" ref="X20:X71" si="3">SUM(L20:W20)</f>
        <v>674292.54945939919</v>
      </c>
    </row>
    <row r="21" spans="1:24" ht="18" customHeight="1">
      <c r="A21" s="7225"/>
      <c r="B21" s="7200"/>
      <c r="C21" s="1658"/>
      <c r="D21" s="10"/>
      <c r="E21" s="1658">
        <v>12</v>
      </c>
      <c r="F21" s="10" t="s">
        <v>850</v>
      </c>
      <c r="G21" s="2090">
        <f>IFERROR(VLOOKUP(E21,B.BasicInfomation!$A$10:$O$127,14,0),"")</f>
        <v>1</v>
      </c>
      <c r="H21" s="2090">
        <v>120000</v>
      </c>
      <c r="I21" s="2091">
        <f>IFERROR(ROUNDUP(#REF!/$H21/$G21,0),0)</f>
        <v>0</v>
      </c>
      <c r="J21" s="3397">
        <v>24000</v>
      </c>
      <c r="K21" s="2091">
        <f t="shared" si="0"/>
        <v>1</v>
      </c>
      <c r="L21" s="4551">
        <f>'3. P PLAN'!J105</f>
        <v>0</v>
      </c>
      <c r="M21" s="5006">
        <f>'3. P PLAN'!K105</f>
        <v>0</v>
      </c>
      <c r="N21" s="5498">
        <f>'3. P PLAN'!L105</f>
        <v>5615.9315564646513</v>
      </c>
      <c r="O21" s="4551">
        <f>'3. P PLAN'!M105</f>
        <v>9069.9779562371605</v>
      </c>
      <c r="P21" s="1642">
        <f>'3. P PLAN'!N105</f>
        <v>849.79274059151237</v>
      </c>
      <c r="Q21" s="1643">
        <f>'3. P PLAN'!O105</f>
        <v>0</v>
      </c>
      <c r="R21" s="1759">
        <f>'3. P PLAN'!P105</f>
        <v>0</v>
      </c>
      <c r="S21" s="1642">
        <f>'3. P PLAN'!Q105</f>
        <v>0</v>
      </c>
      <c r="T21" s="1643">
        <f>'3. P PLAN'!R105</f>
        <v>0</v>
      </c>
      <c r="U21" s="1644">
        <f>'3. P PLAN'!S105</f>
        <v>0</v>
      </c>
      <c r="V21" s="1642">
        <f>'3. P PLAN'!T105</f>
        <v>0</v>
      </c>
      <c r="W21" s="2084">
        <f>'3. P PLAN'!U105</f>
        <v>0</v>
      </c>
      <c r="X21" s="2085">
        <f t="shared" si="3"/>
        <v>15535.702253293324</v>
      </c>
    </row>
    <row r="22" spans="1:24" ht="18" customHeight="1">
      <c r="A22" s="7225"/>
      <c r="B22" s="7200"/>
      <c r="C22" s="1658"/>
      <c r="D22" s="10"/>
      <c r="E22" s="1658"/>
      <c r="F22" s="10" t="s">
        <v>851</v>
      </c>
      <c r="G22" s="2090" t="str">
        <f>IFERROR(VLOOKUP(E22,B.BasicInfomation!$A$10:$O$127,14,0),"")</f>
        <v/>
      </c>
      <c r="H22" s="2090">
        <v>120000</v>
      </c>
      <c r="I22" s="2091">
        <f>IFERROR(ROUNDUP(#REF!/$H22/$G22,0),0)</f>
        <v>0</v>
      </c>
      <c r="J22" s="3397">
        <v>24000</v>
      </c>
      <c r="K22" s="2091">
        <f t="shared" si="0"/>
        <v>0</v>
      </c>
      <c r="L22" s="4551">
        <f>'3. P PLAN'!J106</f>
        <v>0</v>
      </c>
      <c r="M22" s="5006">
        <f>'3. P PLAN'!K106</f>
        <v>0</v>
      </c>
      <c r="N22" s="5498">
        <f>'3. P PLAN'!L106</f>
        <v>0</v>
      </c>
      <c r="O22" s="4551">
        <f>'3. P PLAN'!M106</f>
        <v>0</v>
      </c>
      <c r="P22" s="1642">
        <f>'3. P PLAN'!N106</f>
        <v>0</v>
      </c>
      <c r="Q22" s="1643">
        <f>'3. P PLAN'!O106</f>
        <v>0</v>
      </c>
      <c r="R22" s="1759">
        <f>'3. P PLAN'!P106</f>
        <v>0</v>
      </c>
      <c r="S22" s="1642">
        <f>'3. P PLAN'!Q106</f>
        <v>0</v>
      </c>
      <c r="T22" s="1643">
        <f>'3. P PLAN'!R106</f>
        <v>0</v>
      </c>
      <c r="U22" s="1644">
        <f>'3. P PLAN'!S106</f>
        <v>0</v>
      </c>
      <c r="V22" s="1642">
        <f>'3. P PLAN'!T106</f>
        <v>0</v>
      </c>
      <c r="W22" s="2084">
        <f>'3. P PLAN'!U106</f>
        <v>0</v>
      </c>
      <c r="X22" s="2085">
        <f t="shared" si="3"/>
        <v>0</v>
      </c>
    </row>
    <row r="23" spans="1:24" ht="18" customHeight="1">
      <c r="A23" s="7225"/>
      <c r="B23" s="7200"/>
      <c r="C23" s="1658"/>
      <c r="D23" s="10"/>
      <c r="E23" s="1658"/>
      <c r="F23" s="10" t="s">
        <v>1172</v>
      </c>
      <c r="G23" s="2090" t="str">
        <f>IFERROR(VLOOKUP(E23,B.BasicInfomation!$A$10:$O$127,14,0),"")</f>
        <v/>
      </c>
      <c r="H23" s="2090">
        <v>120000</v>
      </c>
      <c r="I23" s="2091">
        <f>IFERROR(ROUNDUP(#REF!/$H23/$G23,0),0)</f>
        <v>0</v>
      </c>
      <c r="J23" s="3397">
        <v>24000</v>
      </c>
      <c r="K23" s="2091">
        <f t="shared" si="0"/>
        <v>0</v>
      </c>
      <c r="L23" s="4551">
        <f>'3. P PLAN'!J107</f>
        <v>0</v>
      </c>
      <c r="M23" s="5006">
        <f>'3. P PLAN'!K107</f>
        <v>0</v>
      </c>
      <c r="N23" s="5498">
        <f>'3. P PLAN'!L107</f>
        <v>0</v>
      </c>
      <c r="O23" s="4551">
        <f>'3. P PLAN'!M107</f>
        <v>0</v>
      </c>
      <c r="P23" s="1642">
        <f>'3. P PLAN'!N107</f>
        <v>0</v>
      </c>
      <c r="Q23" s="1643">
        <f>'3. P PLAN'!O107</f>
        <v>0</v>
      </c>
      <c r="R23" s="1759">
        <f>'3. P PLAN'!P107</f>
        <v>0</v>
      </c>
      <c r="S23" s="1642">
        <f>'3. P PLAN'!Q107</f>
        <v>0</v>
      </c>
      <c r="T23" s="1643">
        <f>'3. P PLAN'!R107</f>
        <v>0</v>
      </c>
      <c r="U23" s="1644">
        <f>'3. P PLAN'!S107</f>
        <v>0</v>
      </c>
      <c r="V23" s="1642">
        <f>'3. P PLAN'!T107</f>
        <v>0</v>
      </c>
      <c r="W23" s="2084">
        <f>'3. P PLAN'!U107</f>
        <v>0</v>
      </c>
      <c r="X23" s="2085">
        <f t="shared" si="3"/>
        <v>0</v>
      </c>
    </row>
    <row r="24" spans="1:24" ht="18" customHeight="1">
      <c r="A24" s="7225"/>
      <c r="B24" s="7200"/>
      <c r="C24" s="1658"/>
      <c r="D24" s="10"/>
      <c r="E24" s="1658"/>
      <c r="F24" s="10" t="s">
        <v>853</v>
      </c>
      <c r="G24" s="2090" t="str">
        <f>IFERROR(VLOOKUP(E24,B.BasicInfomation!$A$10:$O$127,14,0),"")</f>
        <v/>
      </c>
      <c r="H24" s="2090">
        <v>120000</v>
      </c>
      <c r="I24" s="2091">
        <f>IFERROR(ROUNDUP(#REF!/$H24/$G24,0),0)</f>
        <v>0</v>
      </c>
      <c r="J24" s="3397">
        <v>24000</v>
      </c>
      <c r="K24" s="2091">
        <f t="shared" si="0"/>
        <v>0</v>
      </c>
      <c r="L24" s="4551">
        <f>'3. P PLAN'!J108</f>
        <v>0</v>
      </c>
      <c r="M24" s="5006">
        <f>'3. P PLAN'!K108</f>
        <v>0</v>
      </c>
      <c r="N24" s="5498">
        <f>'3. P PLAN'!L108</f>
        <v>39051.832665866379</v>
      </c>
      <c r="O24" s="4551">
        <f>'3. P PLAN'!M108</f>
        <v>20499.042699355796</v>
      </c>
      <c r="P24" s="1642">
        <f>'3. P PLAN'!N108</f>
        <v>0</v>
      </c>
      <c r="Q24" s="1643">
        <f>'3. P PLAN'!O108</f>
        <v>0</v>
      </c>
      <c r="R24" s="1759">
        <f>'3. P PLAN'!P108</f>
        <v>0</v>
      </c>
      <c r="S24" s="1642">
        <f>'3. P PLAN'!Q108</f>
        <v>0</v>
      </c>
      <c r="T24" s="1643">
        <f>'3. P PLAN'!R108</f>
        <v>0</v>
      </c>
      <c r="U24" s="1644">
        <f>'3. P PLAN'!S108</f>
        <v>0</v>
      </c>
      <c r="V24" s="1642">
        <f>'3. P PLAN'!T108</f>
        <v>0</v>
      </c>
      <c r="W24" s="2084">
        <f>'3. P PLAN'!U108</f>
        <v>0</v>
      </c>
      <c r="X24" s="2085">
        <f t="shared" si="3"/>
        <v>59550.875365222179</v>
      </c>
    </row>
    <row r="25" spans="1:24" s="1569" customFormat="1" ht="18" customHeight="1">
      <c r="A25" s="7225"/>
      <c r="B25" s="7200"/>
      <c r="C25" s="1658"/>
      <c r="D25" s="10"/>
      <c r="E25" s="1658">
        <v>13</v>
      </c>
      <c r="F25" s="10" t="s">
        <v>854</v>
      </c>
      <c r="G25" s="2090">
        <f>IFERROR(VLOOKUP(E25,B.BasicInfomation!$A$10:$O$127,14,0),"")</f>
        <v>1</v>
      </c>
      <c r="H25" s="2090">
        <v>120000</v>
      </c>
      <c r="I25" s="2091">
        <f>IFERROR(ROUNDUP(#REF!/$H25/$G25,0),0)</f>
        <v>0</v>
      </c>
      <c r="J25" s="3397">
        <v>18000</v>
      </c>
      <c r="K25" s="2091">
        <f t="shared" si="0"/>
        <v>3</v>
      </c>
      <c r="L25" s="4551">
        <f>'3. P PLAN'!J109</f>
        <v>66178.506449945824</v>
      </c>
      <c r="M25" s="5006">
        <f>'3. P PLAN'!K109</f>
        <v>44572.115288022796</v>
      </c>
      <c r="N25" s="5498">
        <f>'3. P PLAN'!L109</f>
        <v>52688.248727545099</v>
      </c>
      <c r="O25" s="4551">
        <f>'3. P PLAN'!M109</f>
        <v>62577.012245609898</v>
      </c>
      <c r="P25" s="1642">
        <f>'3. P PLAN'!N109</f>
        <v>66834.211423643108</v>
      </c>
      <c r="Q25" s="1643">
        <f>'3. P PLAN'!O109</f>
        <v>40094.985045610105</v>
      </c>
      <c r="R25" s="1759">
        <f>'3. P PLAN'!P109</f>
        <v>0</v>
      </c>
      <c r="S25" s="1642">
        <f>'3. P PLAN'!Q109</f>
        <v>0</v>
      </c>
      <c r="T25" s="1643">
        <f>'3. P PLAN'!R109</f>
        <v>0</v>
      </c>
      <c r="U25" s="1644">
        <f>'3. P PLAN'!S109</f>
        <v>0</v>
      </c>
      <c r="V25" s="1642">
        <f>'3. P PLAN'!T109</f>
        <v>0</v>
      </c>
      <c r="W25" s="2084">
        <f>'3. P PLAN'!U109</f>
        <v>0</v>
      </c>
      <c r="X25" s="2085">
        <f t="shared" si="3"/>
        <v>332945.07918037684</v>
      </c>
    </row>
    <row r="26" spans="1:24" s="1569" customFormat="1" ht="18" customHeight="1">
      <c r="A26" s="7225"/>
      <c r="B26" s="7200"/>
      <c r="C26" s="1658"/>
      <c r="D26" s="10"/>
      <c r="E26" s="1658">
        <v>14</v>
      </c>
      <c r="F26" s="10" t="s">
        <v>855</v>
      </c>
      <c r="G26" s="2090">
        <f>IFERROR(VLOOKUP(E26,B.BasicInfomation!$A$10:$O$127,14,0),"")</f>
        <v>2</v>
      </c>
      <c r="H26" s="2090">
        <v>120000</v>
      </c>
      <c r="I26" s="2091">
        <f>IFERROR(ROUNDUP(#REF!/$H26/$G26,0),0)</f>
        <v>0</v>
      </c>
      <c r="J26" s="3397">
        <v>18000</v>
      </c>
      <c r="K26" s="2091">
        <f t="shared" si="0"/>
        <v>1</v>
      </c>
      <c r="L26" s="4551">
        <f>'3. P PLAN'!J111</f>
        <v>828.08570786399127</v>
      </c>
      <c r="M26" s="5006">
        <f>'3. P PLAN'!K111</f>
        <v>22358.314112327764</v>
      </c>
      <c r="N26" s="5498">
        <f>'3. P PLAN'!L111</f>
        <v>37857.318277848804</v>
      </c>
      <c r="O26" s="4551">
        <f>'3. P PLAN'!M111</f>
        <v>30243.003480185795</v>
      </c>
      <c r="P26" s="1642">
        <f>'3. P PLAN'!N111</f>
        <v>38160.624474029275</v>
      </c>
      <c r="Q26" s="1643">
        <f>'3. P PLAN'!O111</f>
        <v>14305.718483795135</v>
      </c>
      <c r="R26" s="1759">
        <f>'3. P PLAN'!P111</f>
        <v>23409.357518937497</v>
      </c>
      <c r="S26" s="1642">
        <f>'3. P PLAN'!Q111</f>
        <v>42200.665342138091</v>
      </c>
      <c r="T26" s="1643">
        <f>'3. P PLAN'!R111</f>
        <v>14468.283466565534</v>
      </c>
      <c r="U26" s="1644">
        <f>'3. P PLAN'!S111</f>
        <v>0</v>
      </c>
      <c r="V26" s="1642">
        <f>'3. P PLAN'!T111</f>
        <v>0</v>
      </c>
      <c r="W26" s="2084">
        <f>'3. P PLAN'!U111</f>
        <v>0</v>
      </c>
      <c r="X26" s="2085">
        <f t="shared" si="3"/>
        <v>223831.3708636919</v>
      </c>
    </row>
    <row r="27" spans="1:24" s="1569" customFormat="1" ht="18" customHeight="1">
      <c r="A27" s="7225"/>
      <c r="B27" s="7200"/>
      <c r="C27" s="1658"/>
      <c r="D27" s="10"/>
      <c r="E27" s="1658"/>
      <c r="F27" s="10" t="s">
        <v>680</v>
      </c>
      <c r="G27" s="2090" t="str">
        <f>IFERROR(VLOOKUP(E27,B.BasicInfomation!$A$10:$O$127,14,0),"")</f>
        <v/>
      </c>
      <c r="H27" s="2090">
        <v>120000</v>
      </c>
      <c r="I27" s="2091">
        <f>IFERROR(ROUNDUP(#REF!/$H27/$G27,0),0)</f>
        <v>0</v>
      </c>
      <c r="J27" s="3397">
        <v>18000</v>
      </c>
      <c r="K27" s="2091">
        <f t="shared" si="0"/>
        <v>0</v>
      </c>
      <c r="L27" s="4551">
        <f>'3. P PLAN'!J113</f>
        <v>0</v>
      </c>
      <c r="M27" s="5006">
        <f>'3. P PLAN'!K113</f>
        <v>0</v>
      </c>
      <c r="N27" s="5498">
        <f>'3. P PLAN'!L113</f>
        <v>0</v>
      </c>
      <c r="O27" s="4551">
        <f>'3. P PLAN'!M113</f>
        <v>0</v>
      </c>
      <c r="P27" s="1642">
        <f>'3. P PLAN'!N113</f>
        <v>0</v>
      </c>
      <c r="Q27" s="1643">
        <f>'3. P PLAN'!O113</f>
        <v>0</v>
      </c>
      <c r="R27" s="1759">
        <f>'3. P PLAN'!P113</f>
        <v>0</v>
      </c>
      <c r="S27" s="1642">
        <f>'3. P PLAN'!Q113</f>
        <v>0</v>
      </c>
      <c r="T27" s="1643">
        <f>'3. P PLAN'!R113</f>
        <v>0</v>
      </c>
      <c r="U27" s="1644">
        <f>'3. P PLAN'!S113</f>
        <v>0</v>
      </c>
      <c r="V27" s="1642">
        <f>'3. P PLAN'!T113</f>
        <v>0</v>
      </c>
      <c r="W27" s="2084">
        <f>'3. P PLAN'!U113</f>
        <v>0</v>
      </c>
      <c r="X27" s="2085">
        <f t="shared" si="3"/>
        <v>0</v>
      </c>
    </row>
    <row r="28" spans="1:24" ht="18" customHeight="1">
      <c r="A28" s="7225"/>
      <c r="B28" s="7200"/>
      <c r="C28" s="1658"/>
      <c r="D28" s="10"/>
      <c r="E28" s="1658">
        <v>15</v>
      </c>
      <c r="F28" s="10" t="s">
        <v>1255</v>
      </c>
      <c r="G28" s="2090">
        <f>IFERROR(VLOOKUP(E28,B.BasicInfomation!$A$10:$O$127,14,0),"")</f>
        <v>1</v>
      </c>
      <c r="H28" s="2090">
        <v>120000</v>
      </c>
      <c r="I28" s="2091">
        <f>IFERROR(ROUNDUP(#REF!/$H28/$G28,0),0)</f>
        <v>0</v>
      </c>
      <c r="J28" s="3397">
        <v>16900</v>
      </c>
      <c r="K28" s="2091">
        <f t="shared" si="0"/>
        <v>0</v>
      </c>
      <c r="L28" s="4551">
        <f>'3. P PLAN'!J114</f>
        <v>0</v>
      </c>
      <c r="M28" s="5006">
        <f>'3. P PLAN'!K114</f>
        <v>0</v>
      </c>
      <c r="N28" s="5498">
        <f>'3. P PLAN'!L114</f>
        <v>0</v>
      </c>
      <c r="O28" s="4551">
        <f>'3. P PLAN'!M114</f>
        <v>0</v>
      </c>
      <c r="P28" s="1642">
        <f>'3. P PLAN'!N114</f>
        <v>0</v>
      </c>
      <c r="Q28" s="1643">
        <f>'3. P PLAN'!O114</f>
        <v>0</v>
      </c>
      <c r="R28" s="1759">
        <f>'3. P PLAN'!P114</f>
        <v>0</v>
      </c>
      <c r="S28" s="1642">
        <f>'3. P PLAN'!Q114</f>
        <v>0</v>
      </c>
      <c r="T28" s="1643">
        <f>'3. P PLAN'!R114</f>
        <v>0</v>
      </c>
      <c r="U28" s="1644">
        <f>'3. P PLAN'!S114</f>
        <v>0</v>
      </c>
      <c r="V28" s="1642">
        <f>'3. P PLAN'!T114</f>
        <v>0</v>
      </c>
      <c r="W28" s="2084">
        <f>'3. P PLAN'!U114</f>
        <v>0</v>
      </c>
      <c r="X28" s="2085">
        <f t="shared" si="3"/>
        <v>0</v>
      </c>
    </row>
    <row r="29" spans="1:24" ht="18" customHeight="1">
      <c r="A29" s="7225"/>
      <c r="B29" s="7200"/>
      <c r="C29" s="1658"/>
      <c r="D29" s="10" t="s">
        <v>857</v>
      </c>
      <c r="E29" s="1658"/>
      <c r="F29" s="10" t="s">
        <v>858</v>
      </c>
      <c r="G29" s="2090" t="str">
        <f>IFERROR(VLOOKUP(E29,B.BasicInfomation!$A$10:$O$127,14,0),"")</f>
        <v/>
      </c>
      <c r="H29" s="2090">
        <v>120000</v>
      </c>
      <c r="I29" s="2091">
        <f>IFERROR(ROUNDUP(#REF!/$H29/$G29,0),0)</f>
        <v>0</v>
      </c>
      <c r="J29" s="3397">
        <v>20000</v>
      </c>
      <c r="K29" s="2091">
        <f t="shared" si="0"/>
        <v>0</v>
      </c>
      <c r="L29" s="4551">
        <f>'3. P PLAN'!J115</f>
        <v>4678.4776248237704</v>
      </c>
      <c r="M29" s="5006">
        <f>'3. P PLAN'!K115</f>
        <v>0</v>
      </c>
      <c r="N29" s="5498">
        <f>'3. P PLAN'!L115</f>
        <v>0</v>
      </c>
      <c r="O29" s="4551">
        <f>'3. P PLAN'!M115</f>
        <v>0</v>
      </c>
      <c r="P29" s="1642">
        <f>'3. P PLAN'!N115</f>
        <v>0</v>
      </c>
      <c r="Q29" s="1643">
        <f>'3. P PLAN'!O115</f>
        <v>0</v>
      </c>
      <c r="R29" s="1759">
        <f>'3. P PLAN'!P115</f>
        <v>28705.988689072328</v>
      </c>
      <c r="S29" s="1642">
        <f>'3. P PLAN'!Q115</f>
        <v>0</v>
      </c>
      <c r="T29" s="1643">
        <f>'3. P PLAN'!R115</f>
        <v>0</v>
      </c>
      <c r="U29" s="1644">
        <f>'3. P PLAN'!S115</f>
        <v>0</v>
      </c>
      <c r="V29" s="1642">
        <f>'3. P PLAN'!T115</f>
        <v>0</v>
      </c>
      <c r="W29" s="2084">
        <f>'3. P PLAN'!U115</f>
        <v>0</v>
      </c>
      <c r="X29" s="2085">
        <f t="shared" si="3"/>
        <v>33384.466313896097</v>
      </c>
    </row>
    <row r="30" spans="1:24" ht="18" customHeight="1">
      <c r="A30" s="7225"/>
      <c r="B30" s="7200"/>
      <c r="C30" s="1658"/>
      <c r="D30" s="10"/>
      <c r="E30" s="1658"/>
      <c r="F30" s="10" t="s">
        <v>859</v>
      </c>
      <c r="G30" s="2090" t="str">
        <f>IFERROR(VLOOKUP(E30,B.BasicInfomation!$A$10:$O$127,14,0),"")</f>
        <v/>
      </c>
      <c r="H30" s="2090">
        <v>120000</v>
      </c>
      <c r="I30" s="2091">
        <f>IFERROR(ROUNDUP(#REF!/$H30/$G30,0),0)</f>
        <v>0</v>
      </c>
      <c r="J30" s="3397">
        <v>20000</v>
      </c>
      <c r="K30" s="2091">
        <f t="shared" si="0"/>
        <v>0</v>
      </c>
      <c r="L30" s="4551">
        <f>'3. P PLAN'!J116</f>
        <v>0</v>
      </c>
      <c r="M30" s="5006">
        <f>'3. P PLAN'!K116</f>
        <v>0</v>
      </c>
      <c r="N30" s="5498">
        <f>'3. P PLAN'!L116</f>
        <v>18447.513304608809</v>
      </c>
      <c r="O30" s="4551">
        <f>'3. P PLAN'!M116</f>
        <v>35165.237110302725</v>
      </c>
      <c r="P30" s="1642">
        <f>'3. P PLAN'!N116</f>
        <v>0</v>
      </c>
      <c r="Q30" s="1643">
        <f>'3. P PLAN'!O116</f>
        <v>0</v>
      </c>
      <c r="R30" s="1759">
        <f>'3. P PLAN'!P116</f>
        <v>0</v>
      </c>
      <c r="S30" s="1642">
        <f>'3. P PLAN'!Q116</f>
        <v>0</v>
      </c>
      <c r="T30" s="1643">
        <f>'3. P PLAN'!R116</f>
        <v>0</v>
      </c>
      <c r="U30" s="1644">
        <f>'3. P PLAN'!S116</f>
        <v>0</v>
      </c>
      <c r="V30" s="1642">
        <f>'3. P PLAN'!T116</f>
        <v>0</v>
      </c>
      <c r="W30" s="2084">
        <f>'3. P PLAN'!U116</f>
        <v>0</v>
      </c>
      <c r="X30" s="2085">
        <f t="shared" si="3"/>
        <v>53612.750414911534</v>
      </c>
    </row>
    <row r="31" spans="1:24" ht="18" customHeight="1">
      <c r="A31" s="7225"/>
      <c r="B31" s="7200"/>
      <c r="C31" s="1658"/>
      <c r="D31" s="10"/>
      <c r="E31" s="1658">
        <v>16</v>
      </c>
      <c r="F31" s="10" t="s">
        <v>860</v>
      </c>
      <c r="G31" s="2090">
        <f>IFERROR(VLOOKUP(E31,B.BasicInfomation!$A$10:$O$127,14,0),"")</f>
        <v>1</v>
      </c>
      <c r="H31" s="2090">
        <v>120000</v>
      </c>
      <c r="I31" s="2091">
        <f>IFERROR(ROUNDUP(#REF!/$H31/$G31,0),0)</f>
        <v>0</v>
      </c>
      <c r="J31" s="3397">
        <v>20000</v>
      </c>
      <c r="K31" s="2091">
        <f t="shared" si="0"/>
        <v>2</v>
      </c>
      <c r="L31" s="4551">
        <f>'3. P PLAN'!J117</f>
        <v>28500.916328733012</v>
      </c>
      <c r="M31" s="5006">
        <f>'3. P PLAN'!K117</f>
        <v>20357.79737766644</v>
      </c>
      <c r="N31" s="5498">
        <f>'3. P PLAN'!L117</f>
        <v>18322.017639899797</v>
      </c>
      <c r="O31" s="4551">
        <f>'3. P PLAN'!M117</f>
        <v>23235.086596983452</v>
      </c>
      <c r="P31" s="1642">
        <f>'3. P PLAN'!N117</f>
        <v>26351.988457554402</v>
      </c>
      <c r="Q31" s="1643">
        <f>'3. P PLAN'!O117</f>
        <v>23235.086596983452</v>
      </c>
      <c r="R31" s="1759">
        <f>'3. P PLAN'!P117</f>
        <v>23235.086596983452</v>
      </c>
      <c r="S31" s="1642">
        <f>'3. P PLAN'!Q117</f>
        <v>19027.539189231622</v>
      </c>
      <c r="T31" s="1643">
        <f>'3. P PLAN'!R117</f>
        <v>0</v>
      </c>
      <c r="U31" s="1644">
        <f>'3. P PLAN'!S117</f>
        <v>0</v>
      </c>
      <c r="V31" s="1642">
        <f>'3. P PLAN'!T117</f>
        <v>0</v>
      </c>
      <c r="W31" s="2084">
        <f>'3. P PLAN'!U117</f>
        <v>0</v>
      </c>
      <c r="X31" s="2085">
        <f t="shared" si="3"/>
        <v>182265.51878403561</v>
      </c>
    </row>
    <row r="32" spans="1:24" ht="18" customHeight="1">
      <c r="A32" s="7225"/>
      <c r="B32" s="7200"/>
      <c r="C32" s="1658"/>
      <c r="D32" s="10"/>
      <c r="E32" s="1658"/>
      <c r="F32" s="10" t="s">
        <v>1044</v>
      </c>
      <c r="G32" s="2090" t="str">
        <f>IFERROR(VLOOKUP(E32,B.BasicInfomation!$A$10:$O$127,14,0),"")</f>
        <v/>
      </c>
      <c r="H32" s="2090">
        <v>120000</v>
      </c>
      <c r="I32" s="2091">
        <f>IFERROR(ROUNDUP(#REF!/$H32/$G32,0),0)</f>
        <v>0</v>
      </c>
      <c r="J32" s="3397">
        <v>20000</v>
      </c>
      <c r="K32" s="2091">
        <f t="shared" si="0"/>
        <v>0</v>
      </c>
      <c r="L32" s="4551">
        <f>'3. P PLAN'!J118</f>
        <v>0</v>
      </c>
      <c r="M32" s="5006">
        <f>'3. P PLAN'!K118</f>
        <v>0</v>
      </c>
      <c r="N32" s="5498">
        <f>'3. P PLAN'!L118</f>
        <v>0</v>
      </c>
      <c r="O32" s="4551">
        <f>'3. P PLAN'!M118</f>
        <v>0</v>
      </c>
      <c r="P32" s="1642">
        <f>'3. P PLAN'!N118</f>
        <v>0</v>
      </c>
      <c r="Q32" s="1643">
        <f>'3. P PLAN'!O118</f>
        <v>0</v>
      </c>
      <c r="R32" s="1759">
        <f>'3. P PLAN'!P118</f>
        <v>0</v>
      </c>
      <c r="S32" s="1642">
        <f>'3. P PLAN'!Q118</f>
        <v>0</v>
      </c>
      <c r="T32" s="1643">
        <f>'3. P PLAN'!R118</f>
        <v>0</v>
      </c>
      <c r="U32" s="1644">
        <f>'3. P PLAN'!S118</f>
        <v>0</v>
      </c>
      <c r="V32" s="1642">
        <f>'3. P PLAN'!T118</f>
        <v>0</v>
      </c>
      <c r="W32" s="2084">
        <f>'3. P PLAN'!U118</f>
        <v>0</v>
      </c>
      <c r="X32" s="2085">
        <f t="shared" si="3"/>
        <v>0</v>
      </c>
    </row>
    <row r="33" spans="1:24" ht="18" customHeight="1">
      <c r="A33" s="7225"/>
      <c r="B33" s="7200"/>
      <c r="C33" s="1658"/>
      <c r="D33" s="10"/>
      <c r="E33" s="1658">
        <v>17</v>
      </c>
      <c r="F33" s="10" t="s">
        <v>861</v>
      </c>
      <c r="G33" s="2090">
        <f>IFERROR(VLOOKUP(E33,B.BasicInfomation!$A$10:$O$127,14,0),"")</f>
        <v>1</v>
      </c>
      <c r="H33" s="2090">
        <v>120000</v>
      </c>
      <c r="I33" s="2091">
        <f>IFERROR(ROUNDUP(#REF!/$H33/$G33,0),0)</f>
        <v>0</v>
      </c>
      <c r="J33" s="3397">
        <v>17000</v>
      </c>
      <c r="K33" s="2091">
        <f t="shared" si="0"/>
        <v>1</v>
      </c>
      <c r="L33" s="4551">
        <f>'3. P PLAN'!J119</f>
        <v>9645.5593904181314</v>
      </c>
      <c r="M33" s="5006">
        <f>'3. P PLAN'!K119</f>
        <v>24123.475226109502</v>
      </c>
      <c r="N33" s="5498">
        <f>'3. P PLAN'!L119</f>
        <v>24554.183904684469</v>
      </c>
      <c r="O33" s="4551">
        <f>'3. P PLAN'!M119</f>
        <v>9528.4892764447195</v>
      </c>
      <c r="P33" s="1642">
        <f>'3. P PLAN'!N119</f>
        <v>17351.261336735752</v>
      </c>
      <c r="Q33" s="1643">
        <f>'3. P PLAN'!O119</f>
        <v>15733.770873141741</v>
      </c>
      <c r="R33" s="1759">
        <f>'3. P PLAN'!P119</f>
        <v>0</v>
      </c>
      <c r="S33" s="1642">
        <f>'3. P PLAN'!Q119</f>
        <v>0</v>
      </c>
      <c r="T33" s="1643">
        <f>'3. P PLAN'!R119</f>
        <v>0</v>
      </c>
      <c r="U33" s="1644">
        <f>'3. P PLAN'!S119</f>
        <v>0</v>
      </c>
      <c r="V33" s="1642">
        <f>'3. P PLAN'!T119</f>
        <v>0</v>
      </c>
      <c r="W33" s="2084">
        <f>'3. P PLAN'!U119</f>
        <v>0</v>
      </c>
      <c r="X33" s="2085">
        <f t="shared" si="3"/>
        <v>100936.74000753432</v>
      </c>
    </row>
    <row r="34" spans="1:24" ht="18" customHeight="1">
      <c r="A34" s="7225"/>
      <c r="B34" s="7200"/>
      <c r="C34" s="1658"/>
      <c r="D34" s="10"/>
      <c r="E34" s="1658">
        <v>18</v>
      </c>
      <c r="F34" s="10" t="s">
        <v>862</v>
      </c>
      <c r="G34" s="2090">
        <f>IFERROR(VLOOKUP(E34,B.BasicInfomation!$A$10:$O$127,14,0),"")</f>
        <v>1</v>
      </c>
      <c r="H34" s="2090">
        <v>120000</v>
      </c>
      <c r="I34" s="2091">
        <f>IFERROR(ROUNDUP(#REF!/$H34/$G34,0),0)</f>
        <v>0</v>
      </c>
      <c r="J34" s="3397">
        <v>17000</v>
      </c>
      <c r="K34" s="2091">
        <f t="shared" si="0"/>
        <v>2</v>
      </c>
      <c r="L34" s="4551">
        <f>'3. P PLAN'!J121</f>
        <v>3044.3381835821333</v>
      </c>
      <c r="M34" s="5006">
        <f>'3. P PLAN'!K121</f>
        <v>20405.581461283044</v>
      </c>
      <c r="N34" s="5498">
        <f>'3. P PLAN'!L121</f>
        <v>32648.930338052869</v>
      </c>
      <c r="O34" s="4551">
        <f>'3. P PLAN'!M121</f>
        <v>21152.828106344114</v>
      </c>
      <c r="P34" s="1642">
        <f>'3. P PLAN'!N121</f>
        <v>37707.215320004718</v>
      </c>
      <c r="Q34" s="1643">
        <f>'3. P PLAN'!O121</f>
        <v>37707.215320004718</v>
      </c>
      <c r="R34" s="1759">
        <f>'3. P PLAN'!P121</f>
        <v>37707.215320004718</v>
      </c>
      <c r="S34" s="1642">
        <f>'3. P PLAN'!Q121</f>
        <v>20890.262808459403</v>
      </c>
      <c r="T34" s="1643">
        <f>'3. P PLAN'!R121</f>
        <v>0</v>
      </c>
      <c r="U34" s="1644">
        <f>'3. P PLAN'!S121</f>
        <v>0</v>
      </c>
      <c r="V34" s="1642">
        <f>'3. P PLAN'!T121</f>
        <v>0</v>
      </c>
      <c r="W34" s="2084">
        <f>'3. P PLAN'!U121</f>
        <v>0</v>
      </c>
      <c r="X34" s="2085">
        <f t="shared" si="3"/>
        <v>211263.5868577357</v>
      </c>
    </row>
    <row r="35" spans="1:24" ht="18" customHeight="1">
      <c r="A35" s="7225"/>
      <c r="B35" s="7200"/>
      <c r="C35" s="1658"/>
      <c r="D35" s="10"/>
      <c r="E35" s="1658"/>
      <c r="F35" s="10" t="s">
        <v>863</v>
      </c>
      <c r="G35" s="2090" t="str">
        <f>IFERROR(VLOOKUP(E35,B.BasicInfomation!$A$10:$O$127,14,0),"")</f>
        <v/>
      </c>
      <c r="H35" s="2090">
        <v>120000</v>
      </c>
      <c r="I35" s="2091">
        <f>IFERROR(ROUNDUP(#REF!/$H35/$G35,0),0)</f>
        <v>0</v>
      </c>
      <c r="J35" s="3397">
        <v>17000</v>
      </c>
      <c r="K35" s="2091">
        <f t="shared" si="0"/>
        <v>0</v>
      </c>
      <c r="L35" s="4551">
        <f>'3. P PLAN'!J123</f>
        <v>0</v>
      </c>
      <c r="M35" s="5006">
        <f>'3. P PLAN'!K123</f>
        <v>0</v>
      </c>
      <c r="N35" s="5498">
        <f>'3. P PLAN'!L123</f>
        <v>0</v>
      </c>
      <c r="O35" s="4551">
        <f>'3. P PLAN'!M123</f>
        <v>0</v>
      </c>
      <c r="P35" s="1642">
        <f>'3. P PLAN'!N123</f>
        <v>0</v>
      </c>
      <c r="Q35" s="1643">
        <f>'3. P PLAN'!O123</f>
        <v>0</v>
      </c>
      <c r="R35" s="1759">
        <f>'3. P PLAN'!P123</f>
        <v>0</v>
      </c>
      <c r="S35" s="1642">
        <f>'3. P PLAN'!Q123</f>
        <v>0</v>
      </c>
      <c r="T35" s="1643">
        <f>'3. P PLAN'!R123</f>
        <v>0</v>
      </c>
      <c r="U35" s="1644">
        <f>'3. P PLAN'!S123</f>
        <v>0</v>
      </c>
      <c r="V35" s="1642">
        <f>'3. P PLAN'!T123</f>
        <v>0</v>
      </c>
      <c r="W35" s="2084">
        <f>'3. P PLAN'!U123</f>
        <v>0</v>
      </c>
      <c r="X35" s="2085">
        <f t="shared" si="3"/>
        <v>0</v>
      </c>
    </row>
    <row r="36" spans="1:24" ht="18" customHeight="1">
      <c r="A36" s="7225"/>
      <c r="B36" s="7200"/>
      <c r="C36" s="1658"/>
      <c r="D36" s="10"/>
      <c r="E36" s="1658">
        <v>19</v>
      </c>
      <c r="F36" s="10" t="s">
        <v>1256</v>
      </c>
      <c r="G36" s="2090">
        <f>IFERROR(VLOOKUP(E36,B.BasicInfomation!$A$10:$O$127,14,0),"")</f>
        <v>4</v>
      </c>
      <c r="H36" s="2090">
        <v>120000</v>
      </c>
      <c r="I36" s="2091">
        <f>IFERROR(ROUNDUP(#REF!/$H36/$G36,0),0)</f>
        <v>0</v>
      </c>
      <c r="J36" s="3397">
        <v>17000</v>
      </c>
      <c r="K36" s="2091">
        <f t="shared" si="0"/>
        <v>0</v>
      </c>
      <c r="L36" s="4551">
        <f>'3. P PLAN'!J124</f>
        <v>0</v>
      </c>
      <c r="M36" s="5006">
        <f>'3. P PLAN'!K124</f>
        <v>0</v>
      </c>
      <c r="N36" s="5498">
        <f>'3. P PLAN'!L124</f>
        <v>0</v>
      </c>
      <c r="O36" s="4551">
        <f>'3. P PLAN'!M124</f>
        <v>0</v>
      </c>
      <c r="P36" s="1642">
        <f>'3. P PLAN'!N124</f>
        <v>0</v>
      </c>
      <c r="Q36" s="1643">
        <f>'3. P PLAN'!O124</f>
        <v>0</v>
      </c>
      <c r="R36" s="1759">
        <f>'3. P PLAN'!P124</f>
        <v>0</v>
      </c>
      <c r="S36" s="1642">
        <f>'3. P PLAN'!Q124</f>
        <v>0</v>
      </c>
      <c r="T36" s="1643">
        <f>'3. P PLAN'!R124</f>
        <v>0</v>
      </c>
      <c r="U36" s="1644">
        <f>'3. P PLAN'!S124</f>
        <v>0</v>
      </c>
      <c r="V36" s="1642">
        <f>'3. P PLAN'!T124</f>
        <v>0</v>
      </c>
      <c r="W36" s="2084">
        <f>'3. P PLAN'!U124</f>
        <v>0</v>
      </c>
      <c r="X36" s="2085">
        <f t="shared" si="3"/>
        <v>0</v>
      </c>
    </row>
    <row r="37" spans="1:24" ht="18" customHeight="1">
      <c r="A37" s="7225"/>
      <c r="B37" s="7200"/>
      <c r="C37" s="1658"/>
      <c r="D37" s="10" t="s">
        <v>888</v>
      </c>
      <c r="E37" s="1658"/>
      <c r="F37" s="10" t="s">
        <v>950</v>
      </c>
      <c r="G37" s="2090" t="str">
        <f>IFERROR(VLOOKUP(E37,B.BasicInfomation!$A$10:$O$127,14,0),"")</f>
        <v/>
      </c>
      <c r="H37" s="2090">
        <v>120000</v>
      </c>
      <c r="I37" s="2091">
        <f>IFERROR(ROUNDUP(#REF!/$H37/$G37,0),0)</f>
        <v>0</v>
      </c>
      <c r="J37" s="3397">
        <v>18000</v>
      </c>
      <c r="K37" s="2091">
        <f t="shared" ref="K37:K71" si="4">IFERROR(ROUNDUP(X37/$H37/$G37,0),0)</f>
        <v>0</v>
      </c>
      <c r="L37" s="4551">
        <f>'3. P PLAN'!J125</f>
        <v>0</v>
      </c>
      <c r="M37" s="5006">
        <f>'3. P PLAN'!K125</f>
        <v>0</v>
      </c>
      <c r="N37" s="5498">
        <f>'3. P PLAN'!L125</f>
        <v>0</v>
      </c>
      <c r="O37" s="4551">
        <f>'3. P PLAN'!M125</f>
        <v>0</v>
      </c>
      <c r="P37" s="1642">
        <f>'3. P PLAN'!N125</f>
        <v>0</v>
      </c>
      <c r="Q37" s="1643">
        <f>'3. P PLAN'!O125</f>
        <v>0</v>
      </c>
      <c r="R37" s="1759">
        <f>'3. P PLAN'!P125</f>
        <v>0</v>
      </c>
      <c r="S37" s="1642">
        <f>'3. P PLAN'!Q125</f>
        <v>0</v>
      </c>
      <c r="T37" s="1643">
        <f>'3. P PLAN'!R125</f>
        <v>0</v>
      </c>
      <c r="U37" s="1644">
        <f>'3. P PLAN'!S125</f>
        <v>0</v>
      </c>
      <c r="V37" s="1642">
        <f>'3. P PLAN'!T125</f>
        <v>0</v>
      </c>
      <c r="W37" s="2084">
        <f>'3. P PLAN'!U125</f>
        <v>0</v>
      </c>
      <c r="X37" s="2085">
        <f t="shared" si="3"/>
        <v>0</v>
      </c>
    </row>
    <row r="38" spans="1:24" ht="18" customHeight="1">
      <c r="A38" s="7225"/>
      <c r="B38" s="7200"/>
      <c r="C38" s="1658"/>
      <c r="D38" s="10"/>
      <c r="E38" s="1658">
        <v>20</v>
      </c>
      <c r="F38" s="10" t="s">
        <v>864</v>
      </c>
      <c r="G38" s="2090">
        <f>IFERROR(VLOOKUP(E38,B.BasicInfomation!$A$10:$O$127,14,0),"")</f>
        <v>2</v>
      </c>
      <c r="H38" s="2090">
        <v>120000</v>
      </c>
      <c r="I38" s="2091">
        <f>IFERROR(ROUNDUP(#REF!/$H38/$G38,0),0)</f>
        <v>0</v>
      </c>
      <c r="J38" s="3397">
        <v>17000</v>
      </c>
      <c r="K38" s="2091">
        <f t="shared" si="4"/>
        <v>2</v>
      </c>
      <c r="L38" s="4551">
        <f>'3. P PLAN'!J126</f>
        <v>28198.030411334203</v>
      </c>
      <c r="M38" s="5006">
        <f>'3. P PLAN'!K126</f>
        <v>33102.035700261898</v>
      </c>
      <c r="N38" s="5498">
        <f>'3. P PLAN'!L126</f>
        <v>79690.085945074956</v>
      </c>
      <c r="O38" s="4551">
        <f>'3. P PLAN'!M126</f>
        <v>80246.913580246925</v>
      </c>
      <c r="P38" s="1642">
        <f>'3. P PLAN'!N126</f>
        <v>0</v>
      </c>
      <c r="Q38" s="1643">
        <f>'3. P PLAN'!O126</f>
        <v>28395.06172839506</v>
      </c>
      <c r="R38" s="1759">
        <f>'3. P PLAN'!P126</f>
        <v>28395.06172839506</v>
      </c>
      <c r="S38" s="1642">
        <f>'3. P PLAN'!Q126</f>
        <v>28395.06172839506</v>
      </c>
      <c r="T38" s="1643">
        <f>'3. P PLAN'!R126</f>
        <v>27469.135802469136</v>
      </c>
      <c r="U38" s="1644">
        <f>'3. P PLAN'!S126</f>
        <v>27469.135802469136</v>
      </c>
      <c r="V38" s="1642">
        <f>'3. P PLAN'!T126</f>
        <v>27469.135802469136</v>
      </c>
      <c r="W38" s="2084">
        <f>'3. P PLAN'!U126</f>
        <v>27469.135802469136</v>
      </c>
      <c r="X38" s="2085">
        <f t="shared" si="3"/>
        <v>416298.79403197975</v>
      </c>
    </row>
    <row r="39" spans="1:24" ht="18" customHeight="1">
      <c r="A39" s="7225"/>
      <c r="B39" s="7200"/>
      <c r="C39" s="1658"/>
      <c r="D39" s="10" t="s">
        <v>865</v>
      </c>
      <c r="E39" s="1658">
        <v>21</v>
      </c>
      <c r="F39" s="10" t="s">
        <v>866</v>
      </c>
      <c r="G39" s="2090">
        <f>IFERROR(VLOOKUP(E39,B.BasicInfomation!$A$10:$O$127,14,0),"")</f>
        <v>4</v>
      </c>
      <c r="H39" s="2090">
        <v>120000</v>
      </c>
      <c r="I39" s="2091">
        <f>IFERROR(ROUNDUP(#REF!/$H39/$G39,0),0)</f>
        <v>0</v>
      </c>
      <c r="J39" s="3397">
        <v>17000</v>
      </c>
      <c r="K39" s="2091">
        <f t="shared" si="4"/>
        <v>1</v>
      </c>
      <c r="L39" s="4551">
        <f>'3. P PLAN'!J127</f>
        <v>28195.149054379701</v>
      </c>
      <c r="M39" s="5006">
        <f>'3. P PLAN'!K127</f>
        <v>33098.653237750084</v>
      </c>
      <c r="N39" s="5498">
        <f>'3. P PLAN'!L127</f>
        <v>79681.942979768704</v>
      </c>
      <c r="O39" s="4551">
        <f>'3. P PLAN'!M127</f>
        <v>80246.91358024691</v>
      </c>
      <c r="P39" s="1642">
        <f>'3. P PLAN'!N127</f>
        <v>0</v>
      </c>
      <c r="Q39" s="1643">
        <f>'3. P PLAN'!O127</f>
        <v>28395.06172839506</v>
      </c>
      <c r="R39" s="1759">
        <f>'3. P PLAN'!P127</f>
        <v>28395.06172839506</v>
      </c>
      <c r="S39" s="1642">
        <f>'3. P PLAN'!Q127</f>
        <v>28395.06172839506</v>
      </c>
      <c r="T39" s="1643">
        <f>'3. P PLAN'!R127</f>
        <v>27469.135802469136</v>
      </c>
      <c r="U39" s="1644">
        <f>'3. P PLAN'!S127</f>
        <v>27469.135802469136</v>
      </c>
      <c r="V39" s="1642">
        <f>'3. P PLAN'!T127</f>
        <v>27469.135802469136</v>
      </c>
      <c r="W39" s="2084">
        <f>'3. P PLAN'!U127</f>
        <v>27469.135802469136</v>
      </c>
      <c r="X39" s="2085">
        <f t="shared" si="3"/>
        <v>416284.38724720723</v>
      </c>
    </row>
    <row r="40" spans="1:24" ht="18" customHeight="1">
      <c r="A40" s="7225"/>
      <c r="B40" s="7200"/>
      <c r="C40" s="1658"/>
      <c r="D40" s="8"/>
      <c r="E40" s="1658"/>
      <c r="F40" s="10" t="s">
        <v>951</v>
      </c>
      <c r="G40" s="2090" t="str">
        <f>IFERROR(VLOOKUP(E40,B.BasicInfomation!$A$10:$O$127,14,0),"")</f>
        <v/>
      </c>
      <c r="H40" s="2090">
        <v>120000</v>
      </c>
      <c r="I40" s="2091">
        <f>IFERROR(ROUNDUP(#REF!/$H40/$G40,0),0)</f>
        <v>0</v>
      </c>
      <c r="J40" s="3397">
        <v>18000</v>
      </c>
      <c r="K40" s="2091">
        <f t="shared" si="4"/>
        <v>0</v>
      </c>
      <c r="L40" s="4551">
        <f>'3. P PLAN'!J128</f>
        <v>0</v>
      </c>
      <c r="M40" s="5006">
        <f>'3. P PLAN'!K128</f>
        <v>0</v>
      </c>
      <c r="N40" s="5498">
        <f>'3. P PLAN'!L128</f>
        <v>0</v>
      </c>
      <c r="O40" s="4551">
        <f>'3. P PLAN'!M128</f>
        <v>0</v>
      </c>
      <c r="P40" s="1642">
        <f>'3. P PLAN'!N128</f>
        <v>0</v>
      </c>
      <c r="Q40" s="1643">
        <f>'3. P PLAN'!O128</f>
        <v>0</v>
      </c>
      <c r="R40" s="1759">
        <f>'3. P PLAN'!P128</f>
        <v>0</v>
      </c>
      <c r="S40" s="1642">
        <f>'3. P PLAN'!Q128</f>
        <v>0</v>
      </c>
      <c r="T40" s="1643">
        <f>'3. P PLAN'!R128</f>
        <v>0</v>
      </c>
      <c r="U40" s="1644">
        <f>'3. P PLAN'!S128</f>
        <v>0</v>
      </c>
      <c r="V40" s="1642">
        <f>'3. P PLAN'!T128</f>
        <v>0</v>
      </c>
      <c r="W40" s="2084">
        <f>'3. P PLAN'!U128</f>
        <v>0</v>
      </c>
      <c r="X40" s="2085">
        <f t="shared" si="3"/>
        <v>0</v>
      </c>
    </row>
    <row r="41" spans="1:24" ht="18" customHeight="1">
      <c r="A41" s="7225"/>
      <c r="B41" s="7200"/>
      <c r="C41" s="1658"/>
      <c r="D41" s="8"/>
      <c r="E41" s="1658"/>
      <c r="F41" s="10" t="s">
        <v>867</v>
      </c>
      <c r="G41" s="2090" t="str">
        <f>IFERROR(VLOOKUP(E41,B.BasicInfomation!$A$10:$O$127,14,0),"")</f>
        <v/>
      </c>
      <c r="H41" s="2090">
        <v>120000</v>
      </c>
      <c r="I41" s="2091">
        <f>IFERROR(ROUNDUP(#REF!/$H41/$G41,0),0)</f>
        <v>0</v>
      </c>
      <c r="J41" s="3397">
        <v>17000</v>
      </c>
      <c r="K41" s="2091">
        <f t="shared" si="4"/>
        <v>0</v>
      </c>
      <c r="L41" s="4551">
        <f>'3. P PLAN'!J129</f>
        <v>0</v>
      </c>
      <c r="M41" s="5006">
        <f>'3. P PLAN'!K129</f>
        <v>0</v>
      </c>
      <c r="N41" s="5498">
        <f>'3. P PLAN'!L129</f>
        <v>0</v>
      </c>
      <c r="O41" s="4551">
        <f>'3. P PLAN'!M129</f>
        <v>0</v>
      </c>
      <c r="P41" s="1642">
        <f>'3. P PLAN'!N129</f>
        <v>0</v>
      </c>
      <c r="Q41" s="1643">
        <f>'3. P PLAN'!O129</f>
        <v>0</v>
      </c>
      <c r="R41" s="1759">
        <f>'3. P PLAN'!P129</f>
        <v>0</v>
      </c>
      <c r="S41" s="1642">
        <f>'3. P PLAN'!Q129</f>
        <v>0</v>
      </c>
      <c r="T41" s="1643">
        <f>'3. P PLAN'!R129</f>
        <v>0</v>
      </c>
      <c r="U41" s="1644">
        <f>'3. P PLAN'!S129</f>
        <v>0</v>
      </c>
      <c r="V41" s="1642">
        <f>'3. P PLAN'!T129</f>
        <v>0</v>
      </c>
      <c r="W41" s="2084">
        <f>'3. P PLAN'!U129</f>
        <v>0</v>
      </c>
      <c r="X41" s="2085">
        <f t="shared" si="3"/>
        <v>0</v>
      </c>
    </row>
    <row r="42" spans="1:24" ht="18" customHeight="1">
      <c r="A42" s="7225"/>
      <c r="B42" s="7200"/>
      <c r="C42" s="1658"/>
      <c r="D42" s="8"/>
      <c r="E42" s="1658"/>
      <c r="F42" s="10" t="s">
        <v>66</v>
      </c>
      <c r="G42" s="2090" t="str">
        <f>IFERROR(VLOOKUP(E42,B.BasicInfomation!$A$10:$O$127,14,0),"")</f>
        <v/>
      </c>
      <c r="H42" s="2090">
        <v>120000</v>
      </c>
      <c r="I42" s="2091">
        <f>IFERROR(ROUNDUP(#REF!/$H42/$G42,0),0)</f>
        <v>0</v>
      </c>
      <c r="J42" s="3397">
        <v>17000</v>
      </c>
      <c r="K42" s="2091">
        <f t="shared" si="4"/>
        <v>0</v>
      </c>
      <c r="L42" s="4551">
        <f>'3. P PLAN'!J130</f>
        <v>2486.4864864864867</v>
      </c>
      <c r="M42" s="5006">
        <f>'3. P PLAN'!K130</f>
        <v>0</v>
      </c>
      <c r="N42" s="5498">
        <f>'3. P PLAN'!L130</f>
        <v>256.75675675675672</v>
      </c>
      <c r="O42" s="4551">
        <f>'3. P PLAN'!M130</f>
        <v>1665.1651651651653</v>
      </c>
      <c r="P42" s="1642">
        <f>'3. P PLAN'!N130</f>
        <v>0</v>
      </c>
      <c r="Q42" s="1643">
        <f>'3. P PLAN'!O130</f>
        <v>2412.9129129129128</v>
      </c>
      <c r="R42" s="1759">
        <f>'3. P PLAN'!P130</f>
        <v>0</v>
      </c>
      <c r="S42" s="1642">
        <f>'3. P PLAN'!Q130</f>
        <v>0</v>
      </c>
      <c r="T42" s="1643">
        <f>'3. P PLAN'!R130</f>
        <v>0</v>
      </c>
      <c r="U42" s="1644">
        <f>'3. P PLAN'!S130</f>
        <v>0</v>
      </c>
      <c r="V42" s="1642">
        <f>'3. P PLAN'!T130</f>
        <v>0</v>
      </c>
      <c r="W42" s="2084">
        <f>'3. P PLAN'!U130</f>
        <v>0</v>
      </c>
      <c r="X42" s="2085">
        <f t="shared" si="3"/>
        <v>6821.3213213213221</v>
      </c>
    </row>
    <row r="43" spans="1:24" ht="18" customHeight="1">
      <c r="A43" s="7225"/>
      <c r="B43" s="7200"/>
      <c r="C43" s="1658"/>
      <c r="D43" s="8" t="s">
        <v>868</v>
      </c>
      <c r="E43" s="1658"/>
      <c r="F43" s="10" t="s">
        <v>869</v>
      </c>
      <c r="G43" s="2090" t="str">
        <f>IFERROR(VLOOKUP(E43,B.BasicInfomation!$A$10:$O$127,14,0),"")</f>
        <v/>
      </c>
      <c r="H43" s="2090">
        <v>120000</v>
      </c>
      <c r="I43" s="2091">
        <f>IFERROR(ROUNDUP(#REF!/$H43/$G43,0),0)</f>
        <v>0</v>
      </c>
      <c r="J43" s="3397">
        <v>17000</v>
      </c>
      <c r="K43" s="2091">
        <f t="shared" si="4"/>
        <v>0</v>
      </c>
      <c r="L43" s="4551">
        <f>'3. P PLAN'!J131</f>
        <v>0</v>
      </c>
      <c r="M43" s="5006">
        <f>'3. P PLAN'!K131</f>
        <v>0</v>
      </c>
      <c r="N43" s="5498">
        <f>'3. P PLAN'!L131</f>
        <v>0</v>
      </c>
      <c r="O43" s="4551">
        <f>'3. P PLAN'!M131</f>
        <v>0</v>
      </c>
      <c r="P43" s="1642">
        <f>'3. P PLAN'!N131</f>
        <v>0</v>
      </c>
      <c r="Q43" s="1643">
        <f>'3. P PLAN'!O131</f>
        <v>0</v>
      </c>
      <c r="R43" s="1759">
        <f>'3. P PLAN'!P131</f>
        <v>0</v>
      </c>
      <c r="S43" s="1642">
        <f>'3. P PLAN'!Q131</f>
        <v>0</v>
      </c>
      <c r="T43" s="1643">
        <f>'3. P PLAN'!R131</f>
        <v>0</v>
      </c>
      <c r="U43" s="1644">
        <f>'3. P PLAN'!S131</f>
        <v>0</v>
      </c>
      <c r="V43" s="1642">
        <f>'3. P PLAN'!T131</f>
        <v>0</v>
      </c>
      <c r="W43" s="2084">
        <f>'3. P PLAN'!U131</f>
        <v>0</v>
      </c>
      <c r="X43" s="2085">
        <f t="shared" si="3"/>
        <v>0</v>
      </c>
    </row>
    <row r="44" spans="1:24" ht="18" customHeight="1">
      <c r="A44" s="7225"/>
      <c r="B44" s="7200"/>
      <c r="C44" s="1658"/>
      <c r="D44" s="10"/>
      <c r="E44" s="1658"/>
      <c r="F44" s="10" t="s">
        <v>870</v>
      </c>
      <c r="G44" s="2090" t="str">
        <f>IFERROR(VLOOKUP(E44,B.BasicInfomation!$A$10:$O$127,14,0),"")</f>
        <v/>
      </c>
      <c r="H44" s="2090">
        <v>120000</v>
      </c>
      <c r="I44" s="2091">
        <f>IFERROR(ROUNDUP(#REF!/$H44/$G44,0),0)</f>
        <v>0</v>
      </c>
      <c r="J44" s="3397">
        <v>17000</v>
      </c>
      <c r="K44" s="2091">
        <f t="shared" si="4"/>
        <v>0</v>
      </c>
      <c r="L44" s="4551">
        <f>'3. P PLAN'!J132</f>
        <v>0</v>
      </c>
      <c r="M44" s="5006">
        <f>'3. P PLAN'!K132</f>
        <v>0</v>
      </c>
      <c r="N44" s="5498">
        <f>'3. P PLAN'!L132</f>
        <v>0</v>
      </c>
      <c r="O44" s="4551">
        <f>'3. P PLAN'!M132</f>
        <v>0</v>
      </c>
      <c r="P44" s="1642">
        <f>'3. P PLAN'!N132</f>
        <v>96000</v>
      </c>
      <c r="Q44" s="1643">
        <f>'3. P PLAN'!O132</f>
        <v>122740.74074074074</v>
      </c>
      <c r="R44" s="1759">
        <f>'3. P PLAN'!P132</f>
        <v>122740.74074074074</v>
      </c>
      <c r="S44" s="1642">
        <f>'3. P PLAN'!Q132</f>
        <v>122740.74074074074</v>
      </c>
      <c r="T44" s="1643">
        <f>'3. P PLAN'!R132</f>
        <v>122740.74074074074</v>
      </c>
      <c r="U44" s="1644">
        <f>'3. P PLAN'!S132</f>
        <v>122740.74074074074</v>
      </c>
      <c r="V44" s="1642">
        <f>'3. P PLAN'!T132</f>
        <v>122740.74074074074</v>
      </c>
      <c r="W44" s="2084">
        <f>'3. P PLAN'!U132</f>
        <v>122740.74074074074</v>
      </c>
      <c r="X44" s="2085">
        <f t="shared" si="3"/>
        <v>955185.18518518528</v>
      </c>
    </row>
    <row r="45" spans="1:24" ht="18" customHeight="1">
      <c r="A45" s="7225"/>
      <c r="B45" s="7200"/>
      <c r="C45" s="1658"/>
      <c r="D45" s="10"/>
      <c r="E45" s="1658">
        <v>22</v>
      </c>
      <c r="F45" s="10" t="s">
        <v>75</v>
      </c>
      <c r="G45" s="2090">
        <f>IFERROR(VLOOKUP(E45,B.BasicInfomation!$A$10:$O$127,14,0),"")</f>
        <v>4</v>
      </c>
      <c r="H45" s="2090">
        <v>120000</v>
      </c>
      <c r="I45" s="2091">
        <f>IFERROR(ROUNDUP(#REF!/$H45/$G45,0),0)</f>
        <v>0</v>
      </c>
      <c r="J45" s="3397">
        <v>17000</v>
      </c>
      <c r="K45" s="2091">
        <f t="shared" si="4"/>
        <v>4</v>
      </c>
      <c r="L45" s="4551">
        <f>'3. P PLAN'!J133</f>
        <v>202464.20282874283</v>
      </c>
      <c r="M45" s="5006">
        <f>'3. P PLAN'!K133</f>
        <v>112237.74482078302</v>
      </c>
      <c r="N45" s="5498">
        <f>'3. P PLAN'!L133</f>
        <v>202464.20282874283</v>
      </c>
      <c r="O45" s="4551">
        <f>'3. P PLAN'!M133</f>
        <v>166609.91297767687</v>
      </c>
      <c r="P45" s="1642">
        <f>'3. P PLAN'!N133</f>
        <v>89969.353007945509</v>
      </c>
      <c r="Q45" s="1643">
        <f>'3. P PLAN'!O133</f>
        <v>115030.26075167109</v>
      </c>
      <c r="R45" s="1759">
        <f>'3. P PLAN'!P133</f>
        <v>115030.26075167109</v>
      </c>
      <c r="S45" s="1642">
        <f>'3. P PLAN'!Q133</f>
        <v>115030.26075167109</v>
      </c>
      <c r="T45" s="1643">
        <f>'3. P PLAN'!R133</f>
        <v>115030.26075167109</v>
      </c>
      <c r="U45" s="1644">
        <f>'3. P PLAN'!S133</f>
        <v>115030.26075167109</v>
      </c>
      <c r="V45" s="1642">
        <f>'3. P PLAN'!T133</f>
        <v>115030.26075167109</v>
      </c>
      <c r="W45" s="2084">
        <f>'3. P PLAN'!U133</f>
        <v>115030.26075167109</v>
      </c>
      <c r="X45" s="2085">
        <f t="shared" si="3"/>
        <v>1578957.2417255887</v>
      </c>
    </row>
    <row r="46" spans="1:24" ht="18" customHeight="1">
      <c r="A46" s="7225"/>
      <c r="B46" s="7200"/>
      <c r="C46" s="1713"/>
      <c r="D46" s="6"/>
      <c r="E46" s="1713"/>
      <c r="F46" s="6" t="s">
        <v>952</v>
      </c>
      <c r="G46" s="2098" t="str">
        <f>IFERROR(VLOOKUP(E46,B.BasicInfomation!$A$10:$O$127,14,0),"")</f>
        <v/>
      </c>
      <c r="H46" s="2098">
        <v>120000</v>
      </c>
      <c r="I46" s="3425">
        <f>IFERROR(ROUNDUP(#REF!/$H46/$G46,0),0)</f>
        <v>0</v>
      </c>
      <c r="J46" s="3398">
        <v>17000</v>
      </c>
      <c r="K46" s="3425">
        <f t="shared" si="4"/>
        <v>0</v>
      </c>
      <c r="L46" s="4552">
        <f>'3. P PLAN'!J134</f>
        <v>0</v>
      </c>
      <c r="M46" s="5007">
        <f>'3. P PLAN'!K134</f>
        <v>0</v>
      </c>
      <c r="N46" s="5499">
        <f>'3. P PLAN'!L134</f>
        <v>0</v>
      </c>
      <c r="O46" s="4552">
        <f>'3. P PLAN'!M134</f>
        <v>0</v>
      </c>
      <c r="P46" s="1717">
        <f>'3. P PLAN'!N134</f>
        <v>0</v>
      </c>
      <c r="Q46" s="1718">
        <f>'3. P PLAN'!O134</f>
        <v>0</v>
      </c>
      <c r="R46" s="1801">
        <f>'3. P PLAN'!P134</f>
        <v>0</v>
      </c>
      <c r="S46" s="1717">
        <f>'3. P PLAN'!Q134</f>
        <v>0</v>
      </c>
      <c r="T46" s="1718">
        <f>'3. P PLAN'!R134</f>
        <v>0</v>
      </c>
      <c r="U46" s="1796">
        <f>'3. P PLAN'!S134</f>
        <v>0</v>
      </c>
      <c r="V46" s="1717">
        <f>'3. P PLAN'!T134</f>
        <v>0</v>
      </c>
      <c r="W46" s="3909">
        <f>'3. P PLAN'!U134</f>
        <v>0</v>
      </c>
      <c r="X46" s="2099">
        <f t="shared" si="3"/>
        <v>0</v>
      </c>
    </row>
    <row r="47" spans="1:24" ht="18" customHeight="1">
      <c r="A47" s="7225"/>
      <c r="B47" s="7200"/>
      <c r="C47" s="1582" t="s">
        <v>398</v>
      </c>
      <c r="D47" s="1588" t="s">
        <v>848</v>
      </c>
      <c r="E47" s="1658">
        <v>23</v>
      </c>
      <c r="F47" s="10" t="s">
        <v>396</v>
      </c>
      <c r="G47" s="2090">
        <f>IFERROR(VLOOKUP(E47,B.BasicInfomation!$A$10:$O$127,14,0),"")</f>
        <v>4</v>
      </c>
      <c r="H47" s="2090">
        <v>100000</v>
      </c>
      <c r="I47" s="2091">
        <f>IFERROR(ROUNDUP(#REF!/$H47/$G47,0),0)</f>
        <v>0</v>
      </c>
      <c r="J47" s="3397">
        <v>18000</v>
      </c>
      <c r="K47" s="2091">
        <f t="shared" si="4"/>
        <v>2</v>
      </c>
      <c r="L47" s="4551">
        <f>'3. P PLAN'!J135</f>
        <v>42389.157664523824</v>
      </c>
      <c r="M47" s="5006">
        <f>'3. P PLAN'!K135</f>
        <v>78043.534289143674</v>
      </c>
      <c r="N47" s="5498">
        <f>'3. P PLAN'!L135</f>
        <v>74547.904654604892</v>
      </c>
      <c r="O47" s="4551">
        <f>'3. P PLAN'!M135</f>
        <v>59351.551166780802</v>
      </c>
      <c r="P47" s="1642">
        <f>'3. P PLAN'!N135</f>
        <v>0</v>
      </c>
      <c r="Q47" s="1643">
        <f>'3. P PLAN'!O135</f>
        <v>0</v>
      </c>
      <c r="R47" s="1759">
        <f>'3. P PLAN'!P135</f>
        <v>0</v>
      </c>
      <c r="S47" s="1642">
        <f>'3. P PLAN'!Q135</f>
        <v>0</v>
      </c>
      <c r="T47" s="1643">
        <f>'3. P PLAN'!R135</f>
        <v>68917.018284106889</v>
      </c>
      <c r="U47" s="1644">
        <f>'3. P PLAN'!S135</f>
        <v>68917.018284106889</v>
      </c>
      <c r="V47" s="1642">
        <f>'3. P PLAN'!T135</f>
        <v>52039.381153305207</v>
      </c>
      <c r="W47" s="2084">
        <f>'3. P PLAN'!U135</f>
        <v>52039.381153305207</v>
      </c>
      <c r="X47" s="2085">
        <f t="shared" si="3"/>
        <v>496244.94664987735</v>
      </c>
    </row>
    <row r="48" spans="1:24" ht="18" customHeight="1">
      <c r="A48" s="7225"/>
      <c r="B48" s="7200"/>
      <c r="C48" s="1658"/>
      <c r="D48" s="1588"/>
      <c r="E48" s="1658">
        <v>24</v>
      </c>
      <c r="F48" s="10" t="s">
        <v>264</v>
      </c>
      <c r="G48" s="2090">
        <f>IFERROR(VLOOKUP(E48,B.BasicInfomation!$A$10:$O$127,14,0),"")</f>
        <v>4</v>
      </c>
      <c r="H48" s="2090">
        <v>100000</v>
      </c>
      <c r="I48" s="2091">
        <f>IFERROR(ROUNDUP(#REF!/$H48/$G48,0),0)</f>
        <v>0</v>
      </c>
      <c r="J48" s="3397">
        <v>18000</v>
      </c>
      <c r="K48" s="2091">
        <f t="shared" si="4"/>
        <v>2</v>
      </c>
      <c r="L48" s="4551">
        <f>'3. P PLAN'!J136</f>
        <v>59798.610450176064</v>
      </c>
      <c r="M48" s="5006">
        <f>'3. P PLAN'!K136</f>
        <v>39617.017226610835</v>
      </c>
      <c r="N48" s="5498">
        <f>'3. P PLAN'!L136</f>
        <v>63989.340439706852</v>
      </c>
      <c r="O48" s="4551">
        <f>'3. P PLAN'!M136</f>
        <v>56684.496050252215</v>
      </c>
      <c r="P48" s="1642">
        <f>'3. P PLAN'!N136</f>
        <v>59736.175882744821</v>
      </c>
      <c r="Q48" s="1643">
        <f>'3. P PLAN'!O136</f>
        <v>61974.683544303793</v>
      </c>
      <c r="R48" s="1759">
        <f>'3. P PLAN'!P136</f>
        <v>61884.669479606186</v>
      </c>
      <c r="S48" s="1642">
        <f>'3. P PLAN'!Q136</f>
        <v>59071.729957805903</v>
      </c>
      <c r="T48" s="1643">
        <f>'3. P PLAN'!R136</f>
        <v>67510.548523206744</v>
      </c>
      <c r="U48" s="1644">
        <f>'3. P PLAN'!S136</f>
        <v>56258.79043600562</v>
      </c>
      <c r="V48" s="1642">
        <f>'3. P PLAN'!T136</f>
        <v>58368.495077355838</v>
      </c>
      <c r="W48" s="2084">
        <f>'3. P PLAN'!U136</f>
        <v>58368.495077355838</v>
      </c>
      <c r="X48" s="2085">
        <f t="shared" si="3"/>
        <v>703263.05214513082</v>
      </c>
    </row>
    <row r="49" spans="1:24" ht="18" customHeight="1">
      <c r="A49" s="7225"/>
      <c r="B49" s="7200"/>
      <c r="C49" s="1658"/>
      <c r="D49" s="1588"/>
      <c r="E49" s="1658">
        <v>25</v>
      </c>
      <c r="F49" s="10" t="s">
        <v>871</v>
      </c>
      <c r="G49" s="2090">
        <f>IFERROR(VLOOKUP(E49,B.BasicInfomation!$A$10:$O$127,14,0),"")</f>
        <v>4</v>
      </c>
      <c r="H49" s="2090">
        <v>100000</v>
      </c>
      <c r="I49" s="2091">
        <f>IFERROR(ROUNDUP(#REF!/$H49/$G49,0),0)</f>
        <v>0</v>
      </c>
      <c r="J49" s="3397">
        <v>18000</v>
      </c>
      <c r="K49" s="2091">
        <f t="shared" si="4"/>
        <v>1</v>
      </c>
      <c r="L49" s="4551">
        <f>'3. P PLAN'!J137</f>
        <v>7088.6075949367078</v>
      </c>
      <c r="M49" s="5006">
        <f>'3. P PLAN'!K137</f>
        <v>7436.0056258790428</v>
      </c>
      <c r="N49" s="5498">
        <f>'3. P PLAN'!L137</f>
        <v>0</v>
      </c>
      <c r="O49" s="4551">
        <f>'3. P PLAN'!M137</f>
        <v>14721.050164088139</v>
      </c>
      <c r="P49" s="1642">
        <f>'3. P PLAN'!N137</f>
        <v>8790.4360056258774</v>
      </c>
      <c r="Q49" s="1643">
        <f>'3. P PLAN'!O137</f>
        <v>9142.0534458509137</v>
      </c>
      <c r="R49" s="1759">
        <f>'3. P PLAN'!P137</f>
        <v>9142.0534458509137</v>
      </c>
      <c r="S49" s="1642">
        <f>'3. P PLAN'!Q137</f>
        <v>9142.0534458509137</v>
      </c>
      <c r="T49" s="1643">
        <f>'3. P PLAN'!R137</f>
        <v>9142.0534458509137</v>
      </c>
      <c r="U49" s="1644">
        <f>'3. P PLAN'!S137</f>
        <v>12025.316455696202</v>
      </c>
      <c r="V49" s="1642">
        <f>'3. P PLAN'!T137</f>
        <v>8016.8776371308013</v>
      </c>
      <c r="W49" s="2084">
        <f>'3. P PLAN'!U137</f>
        <v>8016.8776371308013</v>
      </c>
      <c r="X49" s="2085">
        <f t="shared" si="3"/>
        <v>102663.38490389123</v>
      </c>
    </row>
    <row r="50" spans="1:24" ht="18" customHeight="1">
      <c r="A50" s="7225"/>
      <c r="B50" s="7200"/>
      <c r="C50" s="1658"/>
      <c r="D50" s="1588"/>
      <c r="E50" s="1658"/>
      <c r="F50" s="10" t="s">
        <v>1221</v>
      </c>
      <c r="G50" s="2090" t="str">
        <f>IFERROR(VLOOKUP(E50,B.BasicInfomation!$A$10:$O$127,14,0),"")</f>
        <v/>
      </c>
      <c r="H50" s="2090">
        <v>100000</v>
      </c>
      <c r="I50" s="2091">
        <f>IFERROR(ROUNDUP(#REF!/$H50/$G50,0),0)</f>
        <v>0</v>
      </c>
      <c r="J50" s="3397">
        <v>18000</v>
      </c>
      <c r="K50" s="2091">
        <f t="shared" si="4"/>
        <v>0</v>
      </c>
      <c r="L50" s="4551">
        <f>'3. P PLAN'!J138</f>
        <v>0</v>
      </c>
      <c r="M50" s="5006">
        <f>'3. P PLAN'!K138</f>
        <v>0</v>
      </c>
      <c r="N50" s="5498">
        <f>'3. P PLAN'!L138</f>
        <v>0</v>
      </c>
      <c r="O50" s="4551">
        <f>'3. P PLAN'!M138</f>
        <v>0</v>
      </c>
      <c r="P50" s="1642">
        <f>'3. P PLAN'!N138</f>
        <v>0</v>
      </c>
      <c r="Q50" s="1643">
        <f>'3. P PLAN'!O138</f>
        <v>0</v>
      </c>
      <c r="R50" s="1759">
        <f>'3. P PLAN'!P138</f>
        <v>0</v>
      </c>
      <c r="S50" s="1642">
        <f>'3. P PLAN'!Q138</f>
        <v>0</v>
      </c>
      <c r="T50" s="1643">
        <f>'3. P PLAN'!R138</f>
        <v>0</v>
      </c>
      <c r="U50" s="1644">
        <f>'3. P PLAN'!S138</f>
        <v>0</v>
      </c>
      <c r="V50" s="1642">
        <f>'3. P PLAN'!T138</f>
        <v>0</v>
      </c>
      <c r="W50" s="2084">
        <f>'3. P PLAN'!U138</f>
        <v>0</v>
      </c>
      <c r="X50" s="2085">
        <f t="shared" si="3"/>
        <v>0</v>
      </c>
    </row>
    <row r="51" spans="1:24" ht="18" customHeight="1">
      <c r="A51" s="7225"/>
      <c r="B51" s="7200"/>
      <c r="C51" s="1658"/>
      <c r="D51" s="1588"/>
      <c r="E51" s="1658"/>
      <c r="F51" s="10" t="s">
        <v>1222</v>
      </c>
      <c r="G51" s="2090" t="str">
        <f>IFERROR(VLOOKUP(E51,B.BasicInfomation!$A$10:$O$127,14,0),"")</f>
        <v/>
      </c>
      <c r="H51" s="2090">
        <v>100000</v>
      </c>
      <c r="I51" s="2091">
        <f>IFERROR(ROUNDUP(#REF!/$H51/$G51,0),0)</f>
        <v>0</v>
      </c>
      <c r="J51" s="3397">
        <v>18000</v>
      </c>
      <c r="K51" s="2091">
        <f t="shared" si="4"/>
        <v>0</v>
      </c>
      <c r="L51" s="4551">
        <f>'3. P PLAN'!J139</f>
        <v>0</v>
      </c>
      <c r="M51" s="5006">
        <f>'3. P PLAN'!K139</f>
        <v>0</v>
      </c>
      <c r="N51" s="5498">
        <f>'3. P PLAN'!L139</f>
        <v>0</v>
      </c>
      <c r="O51" s="4551">
        <f>'3. P PLAN'!M139</f>
        <v>0</v>
      </c>
      <c r="P51" s="1642">
        <f>'3. P PLAN'!N139</f>
        <v>0</v>
      </c>
      <c r="Q51" s="1643">
        <f>'3. P PLAN'!O139</f>
        <v>0</v>
      </c>
      <c r="R51" s="1759">
        <f>'3. P PLAN'!P139</f>
        <v>0</v>
      </c>
      <c r="S51" s="1642">
        <f>'3. P PLAN'!Q139</f>
        <v>0</v>
      </c>
      <c r="T51" s="1643">
        <f>'3. P PLAN'!R139</f>
        <v>0</v>
      </c>
      <c r="U51" s="1644">
        <f>'3. P PLAN'!S139</f>
        <v>0</v>
      </c>
      <c r="V51" s="1642">
        <f>'3. P PLAN'!T139</f>
        <v>0</v>
      </c>
      <c r="W51" s="2084">
        <f>'3. P PLAN'!U139</f>
        <v>0</v>
      </c>
      <c r="X51" s="2085">
        <f t="shared" si="3"/>
        <v>0</v>
      </c>
    </row>
    <row r="52" spans="1:24" ht="18" customHeight="1">
      <c r="A52" s="7225"/>
      <c r="B52" s="7200"/>
      <c r="C52" s="1658"/>
      <c r="D52" s="1588"/>
      <c r="E52" s="1658"/>
      <c r="F52" s="10" t="s">
        <v>1223</v>
      </c>
      <c r="G52" s="2090" t="str">
        <f>IFERROR(VLOOKUP(E52,B.BasicInfomation!$A$10:$O$127,14,0),"")</f>
        <v/>
      </c>
      <c r="H52" s="2090">
        <v>100000</v>
      </c>
      <c r="I52" s="2091">
        <f>IFERROR(ROUNDUP(#REF!/$H52/$G52,0),0)</f>
        <v>0</v>
      </c>
      <c r="J52" s="3397">
        <v>18000</v>
      </c>
      <c r="K52" s="2091">
        <f t="shared" si="4"/>
        <v>0</v>
      </c>
      <c r="L52" s="4551">
        <f>'3. P PLAN'!J140</f>
        <v>0</v>
      </c>
      <c r="M52" s="5006">
        <f>'3. P PLAN'!K140</f>
        <v>0</v>
      </c>
      <c r="N52" s="5498">
        <f>'3. P PLAN'!L140</f>
        <v>0</v>
      </c>
      <c r="O52" s="4551">
        <f>'3. P PLAN'!M140</f>
        <v>0</v>
      </c>
      <c r="P52" s="1642">
        <f>'3. P PLAN'!N140</f>
        <v>0</v>
      </c>
      <c r="Q52" s="1643">
        <f>'3. P PLAN'!O140</f>
        <v>0</v>
      </c>
      <c r="R52" s="1759">
        <f>'3. P PLAN'!P140</f>
        <v>0</v>
      </c>
      <c r="S52" s="1642">
        <f>'3. P PLAN'!Q140</f>
        <v>0</v>
      </c>
      <c r="T52" s="1643">
        <f>'3. P PLAN'!R140</f>
        <v>0</v>
      </c>
      <c r="U52" s="1644">
        <f>'3. P PLAN'!S140</f>
        <v>0</v>
      </c>
      <c r="V52" s="1642">
        <f>'3. P PLAN'!T140</f>
        <v>0</v>
      </c>
      <c r="W52" s="2084">
        <f>'3. P PLAN'!U140</f>
        <v>0</v>
      </c>
      <c r="X52" s="2085">
        <f t="shared" si="3"/>
        <v>0</v>
      </c>
    </row>
    <row r="53" spans="1:24" ht="18" customHeight="1">
      <c r="A53" s="7225"/>
      <c r="B53" s="7200"/>
      <c r="C53" s="1658"/>
      <c r="D53" s="10" t="s">
        <v>857</v>
      </c>
      <c r="E53" s="1658">
        <v>26</v>
      </c>
      <c r="F53" s="10" t="s">
        <v>872</v>
      </c>
      <c r="G53" s="2090">
        <f>IFERROR(VLOOKUP(E53,B.BasicInfomation!$A$10:$O$127,14,0),"")</f>
        <v>2</v>
      </c>
      <c r="H53" s="2090">
        <v>100000</v>
      </c>
      <c r="I53" s="2091">
        <f>IFERROR(ROUNDUP(#REF!/$H53/$G53,0),0)</f>
        <v>0</v>
      </c>
      <c r="J53" s="3397">
        <v>17000</v>
      </c>
      <c r="K53" s="2091">
        <f t="shared" si="4"/>
        <v>4</v>
      </c>
      <c r="L53" s="4551">
        <f>'3. P PLAN'!J141</f>
        <v>98408.064092461253</v>
      </c>
      <c r="M53" s="5006">
        <f>'3. P PLAN'!K141</f>
        <v>147173.25227963529</v>
      </c>
      <c r="N53" s="5498">
        <f>'3. P PLAN'!L141</f>
        <v>159692.59634507861</v>
      </c>
      <c r="O53" s="4551">
        <f>'3. P PLAN'!M141</f>
        <v>74609.741453713083</v>
      </c>
      <c r="P53" s="1642">
        <f>'3. P PLAN'!N141</f>
        <v>38581.560283687948</v>
      </c>
      <c r="Q53" s="1643">
        <f>'3. P PLAN'!O141</f>
        <v>40567.375886524824</v>
      </c>
      <c r="R53" s="1759">
        <f>'3. P PLAN'!P141</f>
        <v>42553.191489361707</v>
      </c>
      <c r="S53" s="1642">
        <f>'3. P PLAN'!Q141</f>
        <v>21276.595744680853</v>
      </c>
      <c r="T53" s="1643">
        <f>'3. P PLAN'!R141</f>
        <v>21276.595744680853</v>
      </c>
      <c r="U53" s="1644">
        <f>'3. P PLAN'!S141</f>
        <v>21276.595744680853</v>
      </c>
      <c r="V53" s="1642">
        <f>'3. P PLAN'!T141</f>
        <v>21276.595744680853</v>
      </c>
      <c r="W53" s="2084">
        <f>'3. P PLAN'!U141</f>
        <v>21276.595744680853</v>
      </c>
      <c r="X53" s="2085">
        <f t="shared" si="3"/>
        <v>707968.76055386697</v>
      </c>
    </row>
    <row r="54" spans="1:24" ht="18" customHeight="1">
      <c r="A54" s="7225"/>
      <c r="B54" s="7200"/>
      <c r="C54" s="1658"/>
      <c r="D54" s="10"/>
      <c r="E54" s="1658">
        <v>27</v>
      </c>
      <c r="F54" s="10" t="s">
        <v>873</v>
      </c>
      <c r="G54" s="2090">
        <f>IFERROR(VLOOKUP(E54,B.BasicInfomation!$A$10:$O$127,14,0),"")</f>
        <v>2</v>
      </c>
      <c r="H54" s="2090">
        <v>100000</v>
      </c>
      <c r="I54" s="2091">
        <f>IFERROR(ROUNDUP(#REF!/$H54/$G54,0),0)</f>
        <v>0</v>
      </c>
      <c r="J54" s="3397">
        <v>17000</v>
      </c>
      <c r="K54" s="2091">
        <f t="shared" si="4"/>
        <v>6</v>
      </c>
      <c r="L54" s="4551">
        <f>'3. P PLAN'!J142</f>
        <v>109875.16994191075</v>
      </c>
      <c r="M54" s="5006">
        <f>'3. P PLAN'!K142</f>
        <v>93336.62917645117</v>
      </c>
      <c r="N54" s="5498">
        <f>'3. P PLAN'!L142</f>
        <v>111605.48757879125</v>
      </c>
      <c r="O54" s="4551">
        <f>'3. P PLAN'!M142</f>
        <v>92006.701547673001</v>
      </c>
      <c r="P54" s="1642">
        <f>'3. P PLAN'!N142</f>
        <v>100655.04881967619</v>
      </c>
      <c r="Q54" s="1643">
        <f>'3. P PLAN'!O142</f>
        <v>112058.39135390487</v>
      </c>
      <c r="R54" s="1759">
        <f>'3. P PLAN'!P142</f>
        <v>97474.560210933952</v>
      </c>
      <c r="S54" s="1642">
        <f>'3. P PLAN'!Q142</f>
        <v>95153.737348768875</v>
      </c>
      <c r="T54" s="1643">
        <f>'3. P PLAN'!R142</f>
        <v>97474.560210933952</v>
      </c>
      <c r="U54" s="1644">
        <f>'3. P PLAN'!S142</f>
        <v>95153.737348768875</v>
      </c>
      <c r="V54" s="1642">
        <f>'3. P PLAN'!T142</f>
        <v>95153.737348768875</v>
      </c>
      <c r="W54" s="2084">
        <f>'3. P PLAN'!U142</f>
        <v>95153.737348768875</v>
      </c>
      <c r="X54" s="2085">
        <f t="shared" si="3"/>
        <v>1195101.4982353505</v>
      </c>
    </row>
    <row r="55" spans="1:24" ht="18" customHeight="1">
      <c r="A55" s="7225"/>
      <c r="B55" s="7200"/>
      <c r="C55" s="1658"/>
      <c r="D55" s="8"/>
      <c r="E55" s="1658">
        <v>28</v>
      </c>
      <c r="F55" s="10" t="s">
        <v>1224</v>
      </c>
      <c r="G55" s="2090">
        <f>IFERROR(VLOOKUP(E55,B.BasicInfomation!$A$10:$O$127,14,0),"")</f>
        <v>2</v>
      </c>
      <c r="H55" s="2090">
        <v>100000</v>
      </c>
      <c r="I55" s="2091">
        <f>IFERROR(ROUNDUP(#REF!/$H55/$G55,0),0)</f>
        <v>0</v>
      </c>
      <c r="J55" s="3397">
        <v>17000</v>
      </c>
      <c r="K55" s="2091">
        <f t="shared" si="4"/>
        <v>0</v>
      </c>
      <c r="L55" s="4551">
        <f>'3. P PLAN'!J143</f>
        <v>0</v>
      </c>
      <c r="M55" s="5006">
        <f>'3. P PLAN'!K143</f>
        <v>0</v>
      </c>
      <c r="N55" s="5498">
        <f>'3. P PLAN'!L143</f>
        <v>0</v>
      </c>
      <c r="O55" s="4551">
        <f>'3. P PLAN'!M143</f>
        <v>0</v>
      </c>
      <c r="P55" s="1642">
        <f>'3. P PLAN'!N143</f>
        <v>0</v>
      </c>
      <c r="Q55" s="1643">
        <f>'3. P PLAN'!O143</f>
        <v>0</v>
      </c>
      <c r="R55" s="1759">
        <f>'3. P PLAN'!P143</f>
        <v>0</v>
      </c>
      <c r="S55" s="1642">
        <f>'3. P PLAN'!Q143</f>
        <v>0</v>
      </c>
      <c r="T55" s="1643">
        <f>'3. P PLAN'!R143</f>
        <v>0</v>
      </c>
      <c r="U55" s="1644">
        <f>'3. P PLAN'!S143</f>
        <v>0</v>
      </c>
      <c r="V55" s="1642">
        <f>'3. P PLAN'!T143</f>
        <v>0</v>
      </c>
      <c r="W55" s="2084">
        <f>'3. P PLAN'!U143</f>
        <v>0</v>
      </c>
      <c r="X55" s="2085">
        <f t="shared" si="3"/>
        <v>0</v>
      </c>
    </row>
    <row r="56" spans="1:24" ht="18" customHeight="1">
      <c r="A56" s="7225"/>
      <c r="B56" s="7200"/>
      <c r="C56" s="1658"/>
      <c r="D56" s="8"/>
      <c r="E56" s="1658">
        <v>29</v>
      </c>
      <c r="F56" s="10" t="s">
        <v>1225</v>
      </c>
      <c r="G56" s="2090">
        <f>IFERROR(VLOOKUP(E56,B.BasicInfomation!$A$10:$O$127,14,0),"")</f>
        <v>2</v>
      </c>
      <c r="H56" s="2090">
        <v>100000</v>
      </c>
      <c r="I56" s="2091">
        <f>IFERROR(ROUNDUP(#REF!/$H56/$G56,0),0)</f>
        <v>0</v>
      </c>
      <c r="J56" s="3397">
        <v>17000</v>
      </c>
      <c r="K56" s="2091">
        <f t="shared" si="4"/>
        <v>1</v>
      </c>
      <c r="L56" s="4551">
        <f>'3. P PLAN'!J144</f>
        <v>0</v>
      </c>
      <c r="M56" s="5006">
        <f>'3. P PLAN'!K144</f>
        <v>0</v>
      </c>
      <c r="N56" s="5498">
        <f>'3. P PLAN'!L144</f>
        <v>0</v>
      </c>
      <c r="O56" s="4551">
        <f>'3. P PLAN'!M144</f>
        <v>0</v>
      </c>
      <c r="P56" s="1642">
        <f>'3. P PLAN'!N144</f>
        <v>0</v>
      </c>
      <c r="Q56" s="1643">
        <f>'3. P PLAN'!O144</f>
        <v>0</v>
      </c>
      <c r="R56" s="1759">
        <f>'3. P PLAN'!P144</f>
        <v>0</v>
      </c>
      <c r="S56" s="1642">
        <f>'3. P PLAN'!Q144</f>
        <v>0</v>
      </c>
      <c r="T56" s="1643">
        <f>'3. P PLAN'!R144</f>
        <v>0</v>
      </c>
      <c r="U56" s="1644">
        <f>'3. P PLAN'!S144</f>
        <v>0</v>
      </c>
      <c r="V56" s="1642">
        <f>'3. P PLAN'!T144</f>
        <v>0</v>
      </c>
      <c r="W56" s="2084">
        <f>'3. P PLAN'!U144</f>
        <v>4687.7637130801686</v>
      </c>
      <c r="X56" s="2085">
        <f t="shared" si="3"/>
        <v>4687.7637130801686</v>
      </c>
    </row>
    <row r="57" spans="1:24" ht="18" customHeight="1">
      <c r="A57" s="7225"/>
      <c r="B57" s="7200"/>
      <c r="C57" s="1658"/>
      <c r="D57" s="8"/>
      <c r="E57" s="1658">
        <v>30</v>
      </c>
      <c r="F57" s="10" t="s">
        <v>1226</v>
      </c>
      <c r="G57" s="2090">
        <f>IFERROR(VLOOKUP(E57,B.BasicInfomation!$A$10:$O$127,14,0),"")</f>
        <v>1</v>
      </c>
      <c r="H57" s="2090">
        <v>100000</v>
      </c>
      <c r="I57" s="2091">
        <f>IFERROR(ROUNDUP(#REF!/$H57/$G57,0),0)</f>
        <v>0</v>
      </c>
      <c r="J57" s="3397">
        <v>17000</v>
      </c>
      <c r="K57" s="2091">
        <f t="shared" si="4"/>
        <v>1</v>
      </c>
      <c r="L57" s="4551">
        <f>'3. P PLAN'!J145</f>
        <v>0</v>
      </c>
      <c r="M57" s="5006">
        <f>'3. P PLAN'!K145</f>
        <v>0</v>
      </c>
      <c r="N57" s="5498">
        <f>'3. P PLAN'!L145</f>
        <v>0</v>
      </c>
      <c r="O57" s="4551">
        <f>'3. P PLAN'!M145</f>
        <v>5431.9012438630334</v>
      </c>
      <c r="P57" s="1642">
        <f>'3. P PLAN'!N145</f>
        <v>0</v>
      </c>
      <c r="Q57" s="1643">
        <f>'3. P PLAN'!O145</f>
        <v>3307.0339173581365</v>
      </c>
      <c r="R57" s="1759">
        <f>'3. P PLAN'!P145</f>
        <v>3968.440700829764</v>
      </c>
      <c r="S57" s="1642">
        <f>'3. P PLAN'!Q145</f>
        <v>2645.6271338865099</v>
      </c>
      <c r="T57" s="1643">
        <f>'3. P PLAN'!R145</f>
        <v>2645.6271338865099</v>
      </c>
      <c r="U57" s="1644">
        <f>'3. P PLAN'!S145</f>
        <v>2381.0644204978589</v>
      </c>
      <c r="V57" s="1642">
        <f>'3. P PLAN'!T145</f>
        <v>1587.3762803319057</v>
      </c>
      <c r="W57" s="2084">
        <f>'3. P PLAN'!U145</f>
        <v>0</v>
      </c>
      <c r="X57" s="2085">
        <f t="shared" si="3"/>
        <v>21967.07083065372</v>
      </c>
    </row>
    <row r="58" spans="1:24" ht="18" customHeight="1">
      <c r="A58" s="7225"/>
      <c r="B58" s="7200"/>
      <c r="C58" s="1658"/>
      <c r="D58" s="8"/>
      <c r="E58" s="1658">
        <v>31</v>
      </c>
      <c r="F58" s="10" t="s">
        <v>1227</v>
      </c>
      <c r="G58" s="2090">
        <f>IFERROR(VLOOKUP(E58,B.BasicInfomation!$A$10:$O$127,14,0),"")</f>
        <v>1</v>
      </c>
      <c r="H58" s="2090">
        <v>100000</v>
      </c>
      <c r="I58" s="2091">
        <f>IFERROR(ROUNDUP(#REF!/$H58/$G58,0),0)</f>
        <v>0</v>
      </c>
      <c r="J58" s="3397">
        <v>17000</v>
      </c>
      <c r="K58" s="2091">
        <f t="shared" si="4"/>
        <v>1</v>
      </c>
      <c r="L58" s="4551">
        <f>'3. P PLAN'!J146</f>
        <v>0</v>
      </c>
      <c r="M58" s="5006">
        <f>'3. P PLAN'!K146</f>
        <v>0</v>
      </c>
      <c r="N58" s="5498">
        <f>'3. P PLAN'!L146</f>
        <v>0</v>
      </c>
      <c r="O58" s="4551">
        <f>'3. P PLAN'!M146</f>
        <v>378.41904930512521</v>
      </c>
      <c r="P58" s="1642">
        <f>'3. P PLAN'!N146</f>
        <v>0</v>
      </c>
      <c r="Q58" s="1643">
        <f>'3. P PLAN'!O146</f>
        <v>0</v>
      </c>
      <c r="R58" s="1759">
        <f>'3. P PLAN'!P146</f>
        <v>0</v>
      </c>
      <c r="S58" s="1642">
        <f>'3. P PLAN'!Q146</f>
        <v>0</v>
      </c>
      <c r="T58" s="1643">
        <f>'3. P PLAN'!R146</f>
        <v>0</v>
      </c>
      <c r="U58" s="1644">
        <f>'3. P PLAN'!S146</f>
        <v>0</v>
      </c>
      <c r="V58" s="1642">
        <f>'3. P PLAN'!T146</f>
        <v>0</v>
      </c>
      <c r="W58" s="2084">
        <f>'3. P PLAN'!U146</f>
        <v>0</v>
      </c>
      <c r="X58" s="2085">
        <f t="shared" si="3"/>
        <v>378.41904930512521</v>
      </c>
    </row>
    <row r="59" spans="1:24" ht="18" customHeight="1">
      <c r="A59" s="7225"/>
      <c r="B59" s="7200"/>
      <c r="C59" s="1713"/>
      <c r="D59" s="1596" t="s">
        <v>875</v>
      </c>
      <c r="E59" s="1713">
        <v>32</v>
      </c>
      <c r="F59" s="6" t="s">
        <v>876</v>
      </c>
      <c r="G59" s="2098">
        <v>2</v>
      </c>
      <c r="H59" s="2098">
        <v>100000</v>
      </c>
      <c r="I59" s="3425">
        <f>IFERROR(ROUNDUP(#REF!/$H59/$G59,0),0)</f>
        <v>0</v>
      </c>
      <c r="J59" s="3398">
        <v>17000</v>
      </c>
      <c r="K59" s="3425">
        <f t="shared" si="4"/>
        <v>6</v>
      </c>
      <c r="L59" s="4552">
        <f>'3. P PLAN'!J147</f>
        <v>119283.32428617802</v>
      </c>
      <c r="M59" s="5007">
        <f>'3. P PLAN'!K147</f>
        <v>80280.420158953231</v>
      </c>
      <c r="N59" s="5499">
        <f>'3. P PLAN'!L147</f>
        <v>80280.420158953231</v>
      </c>
      <c r="O59" s="4552">
        <f>'3. P PLAN'!M147</f>
        <v>120420.63023842985</v>
      </c>
      <c r="P59" s="1717">
        <f>'3. P PLAN'!N147</f>
        <v>80280.420158953231</v>
      </c>
      <c r="Q59" s="1718">
        <f>'3. P PLAN'!O147</f>
        <v>115880.96362229857</v>
      </c>
      <c r="R59" s="1801">
        <f>'3. P PLAN'!P147</f>
        <v>119823.30568367573</v>
      </c>
      <c r="S59" s="1717">
        <f>'3. P PLAN'!Q147</f>
        <v>80280.420158953231</v>
      </c>
      <c r="T59" s="1718">
        <f>'3. P PLAN'!R147</f>
        <v>80280.420158953231</v>
      </c>
      <c r="U59" s="1796">
        <f>'3. P PLAN'!S147</f>
        <v>80280.420158953231</v>
      </c>
      <c r="V59" s="1717">
        <f>'3. P PLAN'!T147</f>
        <v>80280.420158953231</v>
      </c>
      <c r="W59" s="3909">
        <f>'3. P PLAN'!U147</f>
        <v>80280.420158953231</v>
      </c>
      <c r="X59" s="2099">
        <f t="shared" si="3"/>
        <v>1117651.5851022077</v>
      </c>
    </row>
    <row r="60" spans="1:24" ht="18" customHeight="1">
      <c r="A60" s="7225"/>
      <c r="B60" s="7200"/>
      <c r="C60" s="10" t="s">
        <v>400</v>
      </c>
      <c r="D60" s="1588" t="s">
        <v>848</v>
      </c>
      <c r="E60" s="1658">
        <v>33</v>
      </c>
      <c r="F60" s="10" t="s">
        <v>877</v>
      </c>
      <c r="G60" s="2090">
        <f>IFERROR(VLOOKUP(E60,B.BasicInfomation!$A$10:$O$127,14,0),"")</f>
        <v>4</v>
      </c>
      <c r="H60" s="2090">
        <v>100000</v>
      </c>
      <c r="I60" s="2091">
        <f>IFERROR(ROUNDUP(#REF!/$H60/$G60,0),0)</f>
        <v>0</v>
      </c>
      <c r="J60" s="3397">
        <v>18000</v>
      </c>
      <c r="K60" s="2091">
        <f t="shared" si="4"/>
        <v>3</v>
      </c>
      <c r="L60" s="4551">
        <f>'3. P PLAN'!J148</f>
        <v>63897.404631264726</v>
      </c>
      <c r="M60" s="5006">
        <f>'3. P PLAN'!K148</f>
        <v>63897.404631264726</v>
      </c>
      <c r="N60" s="5498">
        <f>'3. P PLAN'!L148</f>
        <v>66263.975173163417</v>
      </c>
      <c r="O60" s="4551">
        <f>'3. P PLAN'!M148</f>
        <v>88599.401276186472</v>
      </c>
      <c r="P60" s="1642">
        <f>'3. P PLAN'!N148</f>
        <v>151101.32848018967</v>
      </c>
      <c r="Q60" s="1643">
        <f>'3. P PLAN'!O148</f>
        <v>73722.825589124797</v>
      </c>
      <c r="R60" s="1759">
        <f>'3. P PLAN'!P148</f>
        <v>56973.984617215334</v>
      </c>
      <c r="S60" s="1642">
        <f>'3. P PLAN'!Q148</f>
        <v>56973.984617215334</v>
      </c>
      <c r="T60" s="1643">
        <f>'3. P PLAN'!R148</f>
        <v>56973.984617215334</v>
      </c>
      <c r="U60" s="1644">
        <f>'3. P PLAN'!S148</f>
        <v>56973.984617215334</v>
      </c>
      <c r="V60" s="1642">
        <f>'3. P PLAN'!T148</f>
        <v>56973.984617215334</v>
      </c>
      <c r="W60" s="2084">
        <f>'3. P PLAN'!U148</f>
        <v>56973.984617215334</v>
      </c>
      <c r="X60" s="2085">
        <f t="shared" si="3"/>
        <v>849326.24748448585</v>
      </c>
    </row>
    <row r="61" spans="1:24" ht="18" customHeight="1">
      <c r="A61" s="7225"/>
      <c r="B61" s="7200"/>
      <c r="C61" s="1658"/>
      <c r="D61" s="10"/>
      <c r="E61" s="1658">
        <v>34</v>
      </c>
      <c r="F61" s="10" t="s">
        <v>878</v>
      </c>
      <c r="G61" s="2090">
        <f>IFERROR(VLOOKUP(E61,B.BasicInfomation!$A$10:$O$127,14,0),"")</f>
        <v>4</v>
      </c>
      <c r="H61" s="2090">
        <v>100000</v>
      </c>
      <c r="I61" s="2091">
        <f>IFERROR(ROUNDUP(#REF!/$H61/$G61,0),0)</f>
        <v>0</v>
      </c>
      <c r="J61" s="3397">
        <v>18000</v>
      </c>
      <c r="K61" s="3418">
        <f t="shared" si="4"/>
        <v>2</v>
      </c>
      <c r="L61" s="4551">
        <f>'3. P PLAN'!J149</f>
        <v>61591.471580081306</v>
      </c>
      <c r="M61" s="5006">
        <f>'3. P PLAN'!K149</f>
        <v>54063.035003574551</v>
      </c>
      <c r="N61" s="5498">
        <f>'3. P PLAN'!L149</f>
        <v>68374.518396537896</v>
      </c>
      <c r="O61" s="4551">
        <f>'3. P PLAN'!M149</f>
        <v>9688.1182923531251</v>
      </c>
      <c r="P61" s="1642">
        <f>'3. P PLAN'!N149</f>
        <v>96509.506126156848</v>
      </c>
      <c r="Q61" s="1643">
        <f>'3. P PLAN'!O149</f>
        <v>38575.917932959434</v>
      </c>
      <c r="R61" s="1759">
        <f>'3. P PLAN'!P149</f>
        <v>64233.279289254489</v>
      </c>
      <c r="S61" s="1642">
        <f>'3. P PLAN'!Q149</f>
        <v>44945.32032277478</v>
      </c>
      <c r="T61" s="1643">
        <f>'3. P PLAN'!R149</f>
        <v>43467.618968337621</v>
      </c>
      <c r="U61" s="1644">
        <f>'3. P PLAN'!S149</f>
        <v>43467.618968337621</v>
      </c>
      <c r="V61" s="1642">
        <f>'3. P PLAN'!T149</f>
        <v>43467.618968337621</v>
      </c>
      <c r="W61" s="2084">
        <f>'3. P PLAN'!U149</f>
        <v>44945.32032277478</v>
      </c>
      <c r="X61" s="2085">
        <f t="shared" si="3"/>
        <v>613329.34417148016</v>
      </c>
    </row>
    <row r="62" spans="1:24" ht="18" customHeight="1">
      <c r="A62" s="7225"/>
      <c r="B62" s="7200"/>
      <c r="C62" s="1658"/>
      <c r="D62" s="10"/>
      <c r="E62" s="1658">
        <v>35</v>
      </c>
      <c r="F62" s="10" t="s">
        <v>879</v>
      </c>
      <c r="G62" s="2090">
        <f>IFERROR(VLOOKUP(E62,B.BasicInfomation!$A$10:$O$127,14,0),"")</f>
        <v>2</v>
      </c>
      <c r="H62" s="2090">
        <v>100000</v>
      </c>
      <c r="I62" s="2091">
        <f>IFERROR(ROUNDUP(#REF!/$H62/$G62,0),0)</f>
        <v>0</v>
      </c>
      <c r="J62" s="3397">
        <v>18000</v>
      </c>
      <c r="K62" s="3418">
        <f t="shared" si="4"/>
        <v>7</v>
      </c>
      <c r="L62" s="4551">
        <f>'3. P PLAN'!J150</f>
        <v>143527.22090534307</v>
      </c>
      <c r="M62" s="5006">
        <f>'3. P PLAN'!K150</f>
        <v>0</v>
      </c>
      <c r="N62" s="5498">
        <f>'3. P PLAN'!L150</f>
        <v>186999.96689876568</v>
      </c>
      <c r="O62" s="4551">
        <f>'3. P PLAN'!M150</f>
        <v>22678.928397378168</v>
      </c>
      <c r="P62" s="1642">
        <f>'3. P PLAN'!N150</f>
        <v>44911.005974879663</v>
      </c>
      <c r="Q62" s="1643">
        <f>'3. P PLAN'!O150</f>
        <v>57793.100549584036</v>
      </c>
      <c r="R62" s="1759">
        <f>'3. P PLAN'!P150</f>
        <v>123376.78052089181</v>
      </c>
      <c r="S62" s="1642">
        <f>'3. P PLAN'!Q150</f>
        <v>97697.718337561222</v>
      </c>
      <c r="T62" s="1643">
        <f>'3. P PLAN'!R150</f>
        <v>145809.54430735103</v>
      </c>
      <c r="U62" s="1644">
        <f>'3. P PLAN'!S150</f>
        <v>145809.54430735103</v>
      </c>
      <c r="V62" s="1642">
        <f>'3. P PLAN'!T150</f>
        <v>137722.01769958014</v>
      </c>
      <c r="W62" s="2084">
        <f>'3. P PLAN'!U150</f>
        <v>144386.9223072532</v>
      </c>
      <c r="X62" s="2085">
        <f t="shared" si="3"/>
        <v>1250712.7502059389</v>
      </c>
    </row>
    <row r="63" spans="1:24" ht="18" customHeight="1">
      <c r="A63" s="7225"/>
      <c r="B63" s="7200"/>
      <c r="C63" s="1658"/>
      <c r="D63" s="10" t="s">
        <v>857</v>
      </c>
      <c r="E63" s="1658">
        <v>36</v>
      </c>
      <c r="F63" s="10" t="s">
        <v>399</v>
      </c>
      <c r="G63" s="2090">
        <f>IFERROR(VLOOKUP(E63,B.BasicInfomation!$A$10:$O$127,14,0),"")</f>
        <v>2</v>
      </c>
      <c r="H63" s="2090">
        <v>100000</v>
      </c>
      <c r="I63" s="2091">
        <f>IFERROR(ROUNDUP(#REF!/$H63/$G63,0),0)</f>
        <v>0</v>
      </c>
      <c r="J63" s="3397">
        <v>20000</v>
      </c>
      <c r="K63" s="3418">
        <f t="shared" si="4"/>
        <v>4</v>
      </c>
      <c r="L63" s="4551">
        <f>'3. P PLAN'!J151</f>
        <v>63940.402612555539</v>
      </c>
      <c r="M63" s="5006">
        <f>'3. P PLAN'!K151</f>
        <v>63940.402612555539</v>
      </c>
      <c r="N63" s="5498">
        <f>'3. P PLAN'!L151</f>
        <v>63940.402612555539</v>
      </c>
      <c r="O63" s="4551">
        <f>'3. P PLAN'!M151</f>
        <v>56371.203666001238</v>
      </c>
      <c r="P63" s="1642">
        <f>'3. P PLAN'!N151</f>
        <v>120687.67957038623</v>
      </c>
      <c r="Q63" s="1643">
        <f>'3. P PLAN'!O151</f>
        <v>73016.046140083665</v>
      </c>
      <c r="R63" s="1759">
        <f>'3. P PLAN'!P151</f>
        <v>56427.776015799856</v>
      </c>
      <c r="S63" s="1642">
        <f>'3. P PLAN'!Q151</f>
        <v>56427.776015799856</v>
      </c>
      <c r="T63" s="1643">
        <f>'3. P PLAN'!R151</f>
        <v>56427.776015799856</v>
      </c>
      <c r="U63" s="1644">
        <f>'3. P PLAN'!S151</f>
        <v>56427.776015799856</v>
      </c>
      <c r="V63" s="1642">
        <f>'3. P PLAN'!T151</f>
        <v>56427.776015799856</v>
      </c>
      <c r="W63" s="2084">
        <f>'3. P PLAN'!U151</f>
        <v>56427.776015799856</v>
      </c>
      <c r="X63" s="2085">
        <f t="shared" si="3"/>
        <v>780462.79330893676</v>
      </c>
    </row>
    <row r="64" spans="1:24" ht="18" customHeight="1">
      <c r="A64" s="7225"/>
      <c r="B64" s="7200"/>
      <c r="C64" s="1658"/>
      <c r="D64" s="10"/>
      <c r="E64" s="1658">
        <v>37</v>
      </c>
      <c r="F64" s="10" t="s">
        <v>880</v>
      </c>
      <c r="G64" s="2090">
        <f>IFERROR(VLOOKUP(E64,B.BasicInfomation!$A$10:$O$127,14,0),"")</f>
        <v>2</v>
      </c>
      <c r="H64" s="2090">
        <v>100000</v>
      </c>
      <c r="I64" s="2091">
        <f>IFERROR(ROUNDUP(#REF!/$H64/$G64,0),0)</f>
        <v>0</v>
      </c>
      <c r="J64" s="3397">
        <v>20000</v>
      </c>
      <c r="K64" s="3418">
        <f t="shared" si="4"/>
        <v>4</v>
      </c>
      <c r="L64" s="4551">
        <f>'3. P PLAN'!J152</f>
        <v>60074.320879532177</v>
      </c>
      <c r="M64" s="5006">
        <f>'3. P PLAN'!K152</f>
        <v>52808.970938835868</v>
      </c>
      <c r="N64" s="5498">
        <f>'3. P PLAN'!L152</f>
        <v>67338.640887130416</v>
      </c>
      <c r="O64" s="4551">
        <f>'3. P PLAN'!M152</f>
        <v>9729.9510062589834</v>
      </c>
      <c r="P64" s="1642">
        <f>'3. P PLAN'!N152</f>
        <v>94347.1450409768</v>
      </c>
      <c r="Q64" s="1643">
        <f>'3. P PLAN'!O152</f>
        <v>68219.604461898401</v>
      </c>
      <c r="R64" s="1759">
        <f>'3. P PLAN'!P152</f>
        <v>74672.650287876677</v>
      </c>
      <c r="S64" s="1642">
        <f>'3. P PLAN'!Q152</f>
        <v>74672.650287876677</v>
      </c>
      <c r="T64" s="1643">
        <f>'3. P PLAN'!R152</f>
        <v>73175.543656249705</v>
      </c>
      <c r="U64" s="1644">
        <f>'3. P PLAN'!S152</f>
        <v>73175.543656249705</v>
      </c>
      <c r="V64" s="1642">
        <f>'3. P PLAN'!T152</f>
        <v>73175.543656249705</v>
      </c>
      <c r="W64" s="2084">
        <f>'3. P PLAN'!U152</f>
        <v>74672.650287876677</v>
      </c>
      <c r="X64" s="2085">
        <f t="shared" si="3"/>
        <v>796063.21504701197</v>
      </c>
    </row>
    <row r="65" spans="1:24" ht="18" customHeight="1">
      <c r="A65" s="7225"/>
      <c r="B65" s="7200"/>
      <c r="C65" s="1658"/>
      <c r="D65" s="10"/>
      <c r="E65" s="1658">
        <v>38</v>
      </c>
      <c r="F65" s="10" t="s">
        <v>881</v>
      </c>
      <c r="G65" s="2090" t="str">
        <f>IFERROR(VLOOKUP(E65,B.BasicInfomation!$A$10:$O$127,14,0),"")</f>
        <v/>
      </c>
      <c r="H65" s="2090">
        <v>100000</v>
      </c>
      <c r="I65" s="2091">
        <f>IFERROR(ROUNDUP(#REF!/$H65/$G65,0),0)</f>
        <v>0</v>
      </c>
      <c r="J65" s="3397">
        <v>12000</v>
      </c>
      <c r="K65" s="3418">
        <f t="shared" si="4"/>
        <v>0</v>
      </c>
      <c r="L65" s="4551">
        <f>'3. P PLAN'!J153</f>
        <v>142368.28704184658</v>
      </c>
      <c r="M65" s="5006">
        <f>'3. P PLAN'!K153</f>
        <v>0</v>
      </c>
      <c r="N65" s="5498">
        <f>'3. P PLAN'!L153</f>
        <v>184885.39597807059</v>
      </c>
      <c r="O65" s="4551">
        <f>'3. P PLAN'!M153</f>
        <v>24281.212003874491</v>
      </c>
      <c r="P65" s="1642">
        <f>'3. P PLAN'!N153</f>
        <v>44810.118932231351</v>
      </c>
      <c r="Q65" s="1643">
        <f>'3. P PLAN'!O153</f>
        <v>58798.43532870771</v>
      </c>
      <c r="R65" s="1759">
        <f>'3. P PLAN'!P153</f>
        <v>123704.11675797652</v>
      </c>
      <c r="S65" s="1642">
        <f>'3. P PLAN'!Q153</f>
        <v>98461.604409622028</v>
      </c>
      <c r="T65" s="1643">
        <f>'3. P PLAN'!R153</f>
        <v>145171.33303553466</v>
      </c>
      <c r="U65" s="1644">
        <f>'3. P PLAN'!S153</f>
        <v>145171.33303553466</v>
      </c>
      <c r="V65" s="1642">
        <f>'3. P PLAN'!T153</f>
        <v>137221.29619981156</v>
      </c>
      <c r="W65" s="2084">
        <f>'3. P PLAN'!U153</f>
        <v>144357.0814066302</v>
      </c>
      <c r="X65" s="2085">
        <f t="shared" si="3"/>
        <v>1249230.2141298403</v>
      </c>
    </row>
    <row r="66" spans="1:24" ht="18" customHeight="1">
      <c r="A66" s="7225"/>
      <c r="B66" s="7200"/>
      <c r="C66" s="1658"/>
      <c r="D66" s="10" t="s">
        <v>868</v>
      </c>
      <c r="E66" s="1658">
        <v>39</v>
      </c>
      <c r="F66" s="10" t="s">
        <v>882</v>
      </c>
      <c r="G66" s="2090">
        <v>4</v>
      </c>
      <c r="H66" s="2090">
        <v>100000</v>
      </c>
      <c r="I66" s="2091">
        <f>IFERROR(ROUNDUP(#REF!/$H66/$G66,0),0)</f>
        <v>0</v>
      </c>
      <c r="J66" s="3397">
        <v>12000</v>
      </c>
      <c r="K66" s="3418">
        <f t="shared" si="4"/>
        <v>9</v>
      </c>
      <c r="L66" s="4551">
        <f>'3. P PLAN'!J154</f>
        <v>206578.89465077734</v>
      </c>
      <c r="M66" s="5006">
        <f>'3. P PLAN'!K154</f>
        <v>240277.84861268944</v>
      </c>
      <c r="N66" s="5498">
        <f>'3. P PLAN'!L154</f>
        <v>250773.94786706992</v>
      </c>
      <c r="O66" s="4551">
        <f>'3. P PLAN'!M154</f>
        <v>202035.50266744118</v>
      </c>
      <c r="P66" s="1642">
        <f>'3. P PLAN'!N154</f>
        <v>381165.95736507262</v>
      </c>
      <c r="Q66" s="1643">
        <f>'3. P PLAN'!O154</f>
        <v>199139.20076930529</v>
      </c>
      <c r="R66" s="1759">
        <f>'3. P PLAN'!P154</f>
        <v>311406.73699756427</v>
      </c>
      <c r="S66" s="1642">
        <f>'3. P PLAN'!Q154</f>
        <v>318502.39233158308</v>
      </c>
      <c r="T66" s="1643">
        <f>'3. P PLAN'!R154</f>
        <v>314204.15560768783</v>
      </c>
      <c r="U66" s="1644">
        <f>'3. P PLAN'!S154</f>
        <v>307108.50027366896</v>
      </c>
      <c r="V66" s="1642">
        <f>'3. P PLAN'!T154</f>
        <v>295677.01962501131</v>
      </c>
      <c r="W66" s="2084">
        <f>'3. P PLAN'!U154</f>
        <v>295677.01962501131</v>
      </c>
      <c r="X66" s="2085">
        <f t="shared" si="3"/>
        <v>3322547.1763928826</v>
      </c>
    </row>
    <row r="67" spans="1:24" ht="18" customHeight="1">
      <c r="A67" s="7225"/>
      <c r="B67" s="7200"/>
      <c r="C67" s="1658"/>
      <c r="D67" s="10" t="s">
        <v>875</v>
      </c>
      <c r="E67" s="1658">
        <v>40</v>
      </c>
      <c r="F67" s="10" t="s">
        <v>883</v>
      </c>
      <c r="G67" s="2090" t="str">
        <f>IFERROR(VLOOKUP(E67,B.BasicInfomation!$A$10:$O$127,14,0),"")</f>
        <v/>
      </c>
      <c r="H67" s="2090">
        <v>100000</v>
      </c>
      <c r="I67" s="2091">
        <f>IFERROR(ROUNDUP(#REF!/$H67/$G67,0),0)</f>
        <v>0</v>
      </c>
      <c r="J67" s="3397">
        <v>19000</v>
      </c>
      <c r="K67" s="3418">
        <f t="shared" si="4"/>
        <v>0</v>
      </c>
      <c r="L67" s="4551">
        <f>'3. P PLAN'!J155</f>
        <v>12835.780732686761</v>
      </c>
      <c r="M67" s="5006">
        <f>'3. P PLAN'!K155</f>
        <v>12122.681803093052</v>
      </c>
      <c r="N67" s="5498">
        <f>'3. P PLAN'!L155</f>
        <v>13548.879662280469</v>
      </c>
      <c r="O67" s="4551">
        <f>'3. P PLAN'!M155</f>
        <v>19659.987580111374</v>
      </c>
      <c r="P67" s="1642">
        <f>'3. P PLAN'!N155</f>
        <v>17475.544515654557</v>
      </c>
      <c r="Q67" s="1643">
        <f>'3. P PLAN'!O155</f>
        <v>21116.282956415922</v>
      </c>
      <c r="R67" s="1759">
        <f>'3. P PLAN'!P155</f>
        <v>17657.581437692621</v>
      </c>
      <c r="S67" s="1642">
        <f>'3. P PLAN'!Q155</f>
        <v>17657.581437692621</v>
      </c>
      <c r="T67" s="1643">
        <f>'3. P PLAN'!R155</f>
        <v>17657.581437692621</v>
      </c>
      <c r="U67" s="1644">
        <f>'3. P PLAN'!S155</f>
        <v>17657.581437692621</v>
      </c>
      <c r="V67" s="1642">
        <f>'3. P PLAN'!T155</f>
        <v>17657.581437692621</v>
      </c>
      <c r="W67" s="2084">
        <f>'3. P PLAN'!U155</f>
        <v>17657.581437692621</v>
      </c>
      <c r="X67" s="2085">
        <f t="shared" si="3"/>
        <v>202704.6458763979</v>
      </c>
    </row>
    <row r="68" spans="1:24" ht="18" customHeight="1">
      <c r="A68" s="7225"/>
      <c r="B68" s="7200"/>
      <c r="C68" s="1658"/>
      <c r="D68" s="10"/>
      <c r="E68" s="1658">
        <v>41</v>
      </c>
      <c r="F68" s="10" t="s">
        <v>884</v>
      </c>
      <c r="G68" s="2090">
        <f>IFERROR(VLOOKUP(E68,B.BasicInfomation!$A$10:$O$127,14,0),"")</f>
        <v>4</v>
      </c>
      <c r="H68" s="2090">
        <v>100000</v>
      </c>
      <c r="I68" s="2091">
        <f>IFERROR(ROUNDUP(#REF!/$H68/$G68,0),0)</f>
        <v>0</v>
      </c>
      <c r="J68" s="3397">
        <v>20000</v>
      </c>
      <c r="K68" s="3418">
        <f t="shared" si="4"/>
        <v>1</v>
      </c>
      <c r="L68" s="4551">
        <f>'3. P PLAN'!J156</f>
        <v>4812.6951788097176</v>
      </c>
      <c r="M68" s="5006">
        <f>'3. P PLAN'!K156</f>
        <v>1773.0982237720011</v>
      </c>
      <c r="N68" s="5498">
        <f>'3. P PLAN'!L156</f>
        <v>5319.2946713160045</v>
      </c>
      <c r="O68" s="4551">
        <f>'3. P PLAN'!M156</f>
        <v>5652.7257621048311</v>
      </c>
      <c r="P68" s="1642">
        <f>'3. P PLAN'!N156</f>
        <v>8119.4914922205035</v>
      </c>
      <c r="Q68" s="1643">
        <f>'3. P PLAN'!O156</f>
        <v>6315.1600495048369</v>
      </c>
      <c r="R68" s="1759">
        <f>'3. P PLAN'!P156</f>
        <v>9021.6572135783372</v>
      </c>
      <c r="S68" s="1642">
        <f>'3. P PLAN'!Q156</f>
        <v>7217.3257708626707</v>
      </c>
      <c r="T68" s="1643">
        <f>'3. P PLAN'!R156</f>
        <v>7217.3257708626707</v>
      </c>
      <c r="U68" s="1644">
        <f>'3. P PLAN'!S156</f>
        <v>7217.3257708626707</v>
      </c>
      <c r="V68" s="1642">
        <f>'3. P PLAN'!T156</f>
        <v>5412.9943281470032</v>
      </c>
      <c r="W68" s="2084">
        <f>'3. P PLAN'!U156</f>
        <v>5412.9943281470032</v>
      </c>
      <c r="X68" s="2085">
        <f t="shared" si="3"/>
        <v>73492.088560188247</v>
      </c>
    </row>
    <row r="69" spans="1:24" ht="18" customHeight="1">
      <c r="A69" s="7225"/>
      <c r="B69" s="7200"/>
      <c r="C69" s="1658"/>
      <c r="D69" s="10"/>
      <c r="E69" s="1658"/>
      <c r="F69" s="10" t="s">
        <v>1228</v>
      </c>
      <c r="G69" s="2090" t="str">
        <f>IFERROR(VLOOKUP(E69,B.BasicInfomation!$A$10:$O$127,14,0),"")</f>
        <v/>
      </c>
      <c r="H69" s="2090">
        <v>100000</v>
      </c>
      <c r="I69" s="2091">
        <f>IFERROR(ROUNDUP(#REF!/$H69/$G69,0),0)</f>
        <v>0</v>
      </c>
      <c r="J69" s="3397">
        <v>20000</v>
      </c>
      <c r="K69" s="3418">
        <f t="shared" si="4"/>
        <v>0</v>
      </c>
      <c r="L69" s="4551">
        <f>'3. P PLAN'!J157</f>
        <v>0</v>
      </c>
      <c r="M69" s="5006">
        <f>'3. P PLAN'!K157</f>
        <v>0</v>
      </c>
      <c r="N69" s="5498">
        <f>'3. P PLAN'!L157</f>
        <v>0</v>
      </c>
      <c r="O69" s="4551">
        <f>'3. P PLAN'!M157</f>
        <v>0</v>
      </c>
      <c r="P69" s="1642">
        <f>'3. P PLAN'!N157</f>
        <v>0</v>
      </c>
      <c r="Q69" s="1643">
        <f>'3. P PLAN'!O157</f>
        <v>0</v>
      </c>
      <c r="R69" s="1759">
        <f>'3. P PLAN'!P157</f>
        <v>0</v>
      </c>
      <c r="S69" s="1642">
        <f>'3. P PLAN'!Q157</f>
        <v>0</v>
      </c>
      <c r="T69" s="1643">
        <f>'3. P PLAN'!R157</f>
        <v>0</v>
      </c>
      <c r="U69" s="1644">
        <f>'3. P PLAN'!S157</f>
        <v>0</v>
      </c>
      <c r="V69" s="1642">
        <f>'3. P PLAN'!T157</f>
        <v>0</v>
      </c>
      <c r="W69" s="2084">
        <f>'3. P PLAN'!U157</f>
        <v>0</v>
      </c>
      <c r="X69" s="2085">
        <f t="shared" si="3"/>
        <v>0</v>
      </c>
    </row>
    <row r="70" spans="1:24" ht="18" customHeight="1">
      <c r="A70" s="7225"/>
      <c r="B70" s="7200"/>
      <c r="C70" s="1658"/>
      <c r="D70" s="10"/>
      <c r="E70" s="1658"/>
      <c r="F70" s="10" t="s">
        <v>1229</v>
      </c>
      <c r="G70" s="2090" t="str">
        <f>IFERROR(VLOOKUP(E70,B.BasicInfomation!$A$10:$O$127,14,0),"")</f>
        <v/>
      </c>
      <c r="H70" s="2090">
        <v>100000</v>
      </c>
      <c r="I70" s="2091">
        <f>IFERROR(ROUNDUP(#REF!/$H70/$G70,0),0)</f>
        <v>0</v>
      </c>
      <c r="J70" s="3397">
        <v>20000</v>
      </c>
      <c r="K70" s="3418">
        <f t="shared" si="4"/>
        <v>0</v>
      </c>
      <c r="L70" s="4551">
        <f>'3. P PLAN'!J158</f>
        <v>0</v>
      </c>
      <c r="M70" s="5006">
        <f>'3. P PLAN'!K158</f>
        <v>0</v>
      </c>
      <c r="N70" s="5498">
        <f>'3. P PLAN'!L158</f>
        <v>0</v>
      </c>
      <c r="O70" s="4551">
        <f>'3. P PLAN'!M158</f>
        <v>0</v>
      </c>
      <c r="P70" s="1642">
        <f>'3. P PLAN'!N158</f>
        <v>0</v>
      </c>
      <c r="Q70" s="1643">
        <f>'3. P PLAN'!O158</f>
        <v>0</v>
      </c>
      <c r="R70" s="1759">
        <f>'3. P PLAN'!P158</f>
        <v>0</v>
      </c>
      <c r="S70" s="1642">
        <f>'3. P PLAN'!Q158</f>
        <v>0</v>
      </c>
      <c r="T70" s="1643">
        <f>'3. P PLAN'!R158</f>
        <v>0</v>
      </c>
      <c r="U70" s="1644">
        <f>'3. P PLAN'!S158</f>
        <v>0</v>
      </c>
      <c r="V70" s="1642">
        <f>'3. P PLAN'!T158</f>
        <v>0</v>
      </c>
      <c r="W70" s="2084">
        <f>'3. P PLAN'!U158</f>
        <v>0</v>
      </c>
      <c r="X70" s="2085">
        <f t="shared" si="3"/>
        <v>0</v>
      </c>
    </row>
    <row r="71" spans="1:24" ht="18" customHeight="1">
      <c r="A71" s="7225"/>
      <c r="B71" s="7200"/>
      <c r="C71" s="1713"/>
      <c r="D71" s="6" t="s">
        <v>22</v>
      </c>
      <c r="E71" s="6"/>
      <c r="F71" s="2098" t="s">
        <v>1230</v>
      </c>
      <c r="G71" s="2098" t="str">
        <f>IFERROR(VLOOKUP(E71,B.BasicInfomation!$A$10:$O$127,14,0),"")</f>
        <v/>
      </c>
      <c r="H71" s="2098">
        <v>100000</v>
      </c>
      <c r="I71" s="3425">
        <f>IFERROR(ROUNDUP(#REF!/$H71/$G71,0),0)</f>
        <v>0</v>
      </c>
      <c r="J71" s="3398">
        <v>20000</v>
      </c>
      <c r="K71" s="3910">
        <f t="shared" si="4"/>
        <v>0</v>
      </c>
      <c r="L71" s="4552">
        <f>'3. P PLAN'!J159</f>
        <v>0</v>
      </c>
      <c r="M71" s="5007">
        <f>'3. P PLAN'!K159</f>
        <v>0</v>
      </c>
      <c r="N71" s="5499">
        <f>'3. P PLAN'!L159</f>
        <v>0</v>
      </c>
      <c r="O71" s="4552">
        <f>'3. P PLAN'!M159</f>
        <v>0</v>
      </c>
      <c r="P71" s="1717">
        <f>'3. P PLAN'!N159</f>
        <v>0</v>
      </c>
      <c r="Q71" s="1718">
        <f>'3. P PLAN'!O159</f>
        <v>0</v>
      </c>
      <c r="R71" s="1801">
        <f>'3. P PLAN'!P159</f>
        <v>0</v>
      </c>
      <c r="S71" s="1717">
        <f>'3. P PLAN'!Q159</f>
        <v>0</v>
      </c>
      <c r="T71" s="1718">
        <f>'3. P PLAN'!R159</f>
        <v>0</v>
      </c>
      <c r="U71" s="1796">
        <f>'3. P PLAN'!S159</f>
        <v>0</v>
      </c>
      <c r="V71" s="1717">
        <f>'3. P PLAN'!T159</f>
        <v>0</v>
      </c>
      <c r="W71" s="3909">
        <f>'3. P PLAN'!U159</f>
        <v>0</v>
      </c>
      <c r="X71" s="2099">
        <f t="shared" si="3"/>
        <v>0</v>
      </c>
    </row>
    <row r="72" spans="1:24" ht="18" customHeight="1" thickBot="1">
      <c r="A72" s="7298"/>
      <c r="B72" s="7301"/>
      <c r="C72" s="7176" t="s">
        <v>43</v>
      </c>
      <c r="D72" s="7176"/>
      <c r="E72" s="7176"/>
      <c r="F72" s="7176"/>
      <c r="G72" s="2105"/>
      <c r="H72" s="2105"/>
      <c r="I72" s="2105"/>
      <c r="J72" s="3401"/>
      <c r="K72" s="1732">
        <f>IFERROR(ROUNDUP(X72/$H72/$G72,0),0)</f>
        <v>0</v>
      </c>
      <c r="L72" s="4747">
        <f t="shared" ref="L72:X72" si="5">SUM(L20:L71)</f>
        <v>1633829.8905707537</v>
      </c>
      <c r="M72" s="5415">
        <f t="shared" si="5"/>
        <v>1306763.6164266586</v>
      </c>
      <c r="N72" s="6505">
        <f t="shared" si="5"/>
        <v>2078639.8796966057</v>
      </c>
      <c r="O72" s="4747">
        <f t="shared" si="5"/>
        <v>1491550.3942518407</v>
      </c>
      <c r="P72" s="3419">
        <f t="shared" si="5"/>
        <v>1697753.8843409542</v>
      </c>
      <c r="Q72" s="3420">
        <f t="shared" si="5"/>
        <v>1481949.8478363417</v>
      </c>
      <c r="R72" s="2285">
        <f t="shared" si="5"/>
        <v>1671971.9485535622</v>
      </c>
      <c r="S72" s="3419">
        <f t="shared" si="5"/>
        <v>1503748.5328594025</v>
      </c>
      <c r="T72" s="3420">
        <f t="shared" si="5"/>
        <v>1514529.2434822659</v>
      </c>
      <c r="U72" s="3421">
        <f t="shared" si="5"/>
        <v>1482011.4240287719</v>
      </c>
      <c r="V72" s="3419">
        <f t="shared" si="5"/>
        <v>1433167.9890457222</v>
      </c>
      <c r="W72" s="3422">
        <f t="shared" si="5"/>
        <v>1453043.8742790262</v>
      </c>
      <c r="X72" s="2089">
        <f t="shared" si="5"/>
        <v>18748960.525371905</v>
      </c>
    </row>
    <row r="73" spans="1:24" ht="18" customHeight="1" thickBot="1">
      <c r="A73" s="7081" t="s">
        <v>385</v>
      </c>
      <c r="B73" s="7082"/>
      <c r="C73" s="7082"/>
      <c r="D73" s="7082"/>
      <c r="E73" s="7082"/>
      <c r="F73" s="7082"/>
      <c r="G73" s="7082"/>
      <c r="H73" s="7168"/>
      <c r="I73" s="1608">
        <f>SUM(I20:I71)</f>
        <v>0</v>
      </c>
      <c r="J73" s="3402"/>
      <c r="K73" s="1608">
        <f>SUM(K20:K71)</f>
        <v>77</v>
      </c>
      <c r="L73" s="4630">
        <f t="shared" ref="L73:X73" si="6">L19+L72</f>
        <v>3929151.8247594591</v>
      </c>
      <c r="M73" s="5012">
        <f t="shared" si="6"/>
        <v>3167419.9955843547</v>
      </c>
      <c r="N73" s="5594">
        <f t="shared" si="6"/>
        <v>4079852.458245975</v>
      </c>
      <c r="O73" s="5059">
        <f t="shared" si="6"/>
        <v>3209027.4693419179</v>
      </c>
      <c r="P73" s="1605">
        <f t="shared" si="6"/>
        <v>3611330.320927917</v>
      </c>
      <c r="Q73" s="2110">
        <f t="shared" si="6"/>
        <v>4446432.9926352762</v>
      </c>
      <c r="R73" s="1607">
        <f t="shared" si="6"/>
        <v>4948452.169375889</v>
      </c>
      <c r="S73" s="1605">
        <f t="shared" si="6"/>
        <v>4820918.8121612612</v>
      </c>
      <c r="T73" s="2110">
        <f t="shared" si="6"/>
        <v>3994243.3824332478</v>
      </c>
      <c r="U73" s="1607">
        <f t="shared" si="6"/>
        <v>3687430.2413423262</v>
      </c>
      <c r="V73" s="1605">
        <f t="shared" si="6"/>
        <v>3999994.7268904485</v>
      </c>
      <c r="W73" s="2110">
        <f t="shared" si="6"/>
        <v>3932883.7885246705</v>
      </c>
      <c r="X73" s="1674">
        <f t="shared" si="6"/>
        <v>47827138.182222739</v>
      </c>
    </row>
    <row r="74" spans="1:24" s="1535" customFormat="1" ht="18" customHeight="1">
      <c r="A74" s="2111"/>
      <c r="B74" s="1711"/>
      <c r="I74" s="2112"/>
      <c r="J74" s="2112"/>
      <c r="K74" s="1533"/>
      <c r="L74" s="1534"/>
      <c r="M74" s="1534"/>
      <c r="N74" s="1534"/>
      <c r="O74" s="1534"/>
      <c r="P74" s="1533"/>
      <c r="Q74" s="1533"/>
      <c r="R74" s="1533"/>
      <c r="S74" s="1533"/>
      <c r="T74" s="1533"/>
      <c r="U74" s="1533"/>
      <c r="V74" s="1533"/>
      <c r="W74" s="1533"/>
      <c r="X74" s="4" t="b">
        <f>SUM(L73:W73)=X73</f>
        <v>0</v>
      </c>
    </row>
    <row r="75" spans="1:24" ht="18" customHeight="1">
      <c r="L75" s="1534"/>
    </row>
    <row r="76" spans="1:24" s="1610" customFormat="1" ht="18" customHeight="1" thickBot="1">
      <c r="A76" s="1538" t="s">
        <v>201</v>
      </c>
      <c r="F76" s="2113"/>
      <c r="G76" s="2114"/>
      <c r="H76" s="2114"/>
      <c r="I76" s="2115"/>
      <c r="J76" s="1789"/>
      <c r="K76" s="3407"/>
      <c r="L76" s="1534"/>
      <c r="M76" s="1534"/>
      <c r="N76" s="1534"/>
      <c r="O76" s="1534"/>
      <c r="P76" s="1612"/>
      <c r="Q76" s="1612"/>
      <c r="R76" s="1612"/>
      <c r="S76" s="1612"/>
      <c r="T76" s="1612"/>
      <c r="U76" s="1612"/>
      <c r="V76" s="1612"/>
      <c r="W76" s="1612"/>
      <c r="X76" s="2580" t="s">
        <v>104</v>
      </c>
    </row>
    <row r="77" spans="1:24" ht="26.25" customHeight="1" thickBot="1">
      <c r="A77" s="1539" t="s">
        <v>40</v>
      </c>
      <c r="B77" s="74" t="s">
        <v>106</v>
      </c>
      <c r="C77" s="74" t="s">
        <v>105</v>
      </c>
      <c r="D77" s="74" t="s">
        <v>993</v>
      </c>
      <c r="E77" s="74" t="s">
        <v>1011</v>
      </c>
      <c r="F77" s="74" t="s">
        <v>107</v>
      </c>
      <c r="G77" s="74" t="s">
        <v>955</v>
      </c>
      <c r="H77" s="74" t="s">
        <v>183</v>
      </c>
      <c r="I77" s="2079" t="s">
        <v>207</v>
      </c>
      <c r="J77" s="3395" t="s">
        <v>958</v>
      </c>
      <c r="K77" s="3411" t="s">
        <v>207</v>
      </c>
      <c r="L77" s="4744" t="str">
        <f t="shared" ref="L77:X77" si="7">L4</f>
        <v>Jan.26</v>
      </c>
      <c r="M77" s="5414" t="str">
        <f t="shared" si="7"/>
        <v>Feb.26</v>
      </c>
      <c r="N77" s="6503" t="str">
        <f t="shared" si="7"/>
        <v>Mar.26</v>
      </c>
      <c r="O77" s="4744" t="str">
        <f t="shared" si="7"/>
        <v>Apr.26</v>
      </c>
      <c r="P77" s="2309" t="str">
        <f t="shared" si="7"/>
        <v>May.26</v>
      </c>
      <c r="Q77" s="17" t="str">
        <f t="shared" si="7"/>
        <v>Jun.26</v>
      </c>
      <c r="R77" s="18" t="str">
        <f t="shared" si="7"/>
        <v>Jul.26</v>
      </c>
      <c r="S77" s="2309" t="str">
        <f t="shared" si="7"/>
        <v>Aug.26</v>
      </c>
      <c r="T77" s="17" t="str">
        <f t="shared" si="7"/>
        <v>Sep.26</v>
      </c>
      <c r="U77" s="18" t="str">
        <f t="shared" si="7"/>
        <v>Oct.26</v>
      </c>
      <c r="V77" s="2309" t="str">
        <f t="shared" si="7"/>
        <v>Nov.26</v>
      </c>
      <c r="W77" s="17" t="str">
        <f t="shared" si="7"/>
        <v>Dec.26</v>
      </c>
      <c r="X77" s="3412" t="str">
        <f t="shared" si="7"/>
        <v>2026
Total</v>
      </c>
    </row>
    <row r="78" spans="1:24" ht="18" customHeight="1">
      <c r="A78" s="70">
        <v>1</v>
      </c>
      <c r="B78" s="73" t="s">
        <v>844</v>
      </c>
      <c r="C78" s="1670" t="s">
        <v>19</v>
      </c>
      <c r="D78" s="2116" t="s">
        <v>844</v>
      </c>
      <c r="E78" s="2027">
        <f>VLOOKUP(F78,B.BasicInfomation!B:C,2,0)</f>
        <v>1</v>
      </c>
      <c r="F78" s="1670" t="str">
        <f t="shared" ref="F78:G84" si="8">F5</f>
        <v>Galaxy Tap</v>
      </c>
      <c r="G78" s="2027">
        <f t="shared" si="8"/>
        <v>2</v>
      </c>
      <c r="H78" s="2027">
        <v>100000</v>
      </c>
      <c r="I78" s="2118">
        <f t="shared" ref="I78:K84" si="9">I5</f>
        <v>0</v>
      </c>
      <c r="J78" s="3397">
        <f t="shared" si="9"/>
        <v>19000</v>
      </c>
      <c r="K78" s="2091">
        <f t="shared" si="9"/>
        <v>1</v>
      </c>
      <c r="L78" s="4748"/>
      <c r="M78" s="5416"/>
      <c r="N78" s="6506"/>
      <c r="O78" s="4748"/>
      <c r="P78" s="3409"/>
      <c r="Q78" s="3410"/>
      <c r="R78" s="3408"/>
      <c r="S78" s="3409"/>
      <c r="T78" s="3410"/>
      <c r="U78" s="3408"/>
      <c r="V78" s="3409"/>
      <c r="W78" s="3410"/>
      <c r="X78" s="3156">
        <f>SUM(L78:W78)</f>
        <v>0</v>
      </c>
    </row>
    <row r="79" spans="1:24" ht="18" customHeight="1">
      <c r="A79" s="70"/>
      <c r="B79" s="73"/>
      <c r="C79" s="1658"/>
      <c r="D79" s="2116"/>
      <c r="E79" s="2027">
        <f>VLOOKUP(F79,B.BasicInfomation!B:C,2,0)</f>
        <v>2</v>
      </c>
      <c r="F79" s="1658" t="str">
        <f t="shared" si="8"/>
        <v>A15/17</v>
      </c>
      <c r="G79" s="2027">
        <f t="shared" si="8"/>
        <v>2</v>
      </c>
      <c r="H79" s="2027">
        <v>100000</v>
      </c>
      <c r="I79" s="2118">
        <f t="shared" si="9"/>
        <v>0</v>
      </c>
      <c r="J79" s="3397">
        <f t="shared" si="9"/>
        <v>19000</v>
      </c>
      <c r="K79" s="4781">
        <f t="shared" si="9"/>
        <v>67</v>
      </c>
      <c r="L79" s="4748">
        <v>4</v>
      </c>
      <c r="M79" s="5416">
        <v>4</v>
      </c>
      <c r="N79" s="6506">
        <v>4</v>
      </c>
      <c r="O79" s="4748">
        <v>4</v>
      </c>
      <c r="P79" s="3409">
        <v>4</v>
      </c>
      <c r="Q79" s="3410">
        <v>4</v>
      </c>
      <c r="R79" s="3408">
        <v>4</v>
      </c>
      <c r="S79" s="3409">
        <v>4</v>
      </c>
      <c r="T79" s="3410">
        <v>4</v>
      </c>
      <c r="U79" s="3408">
        <v>4</v>
      </c>
      <c r="V79" s="3409">
        <v>3</v>
      </c>
      <c r="W79" s="3410">
        <v>2</v>
      </c>
      <c r="X79" s="3156">
        <f t="shared" ref="X79:X123" si="10">SUM(L79:W79)</f>
        <v>45</v>
      </c>
    </row>
    <row r="80" spans="1:24" ht="18" customHeight="1">
      <c r="A80" s="70"/>
      <c r="B80" s="73"/>
      <c r="C80" s="1658"/>
      <c r="D80" s="2116"/>
      <c r="E80" s="2027">
        <f>VLOOKUP(F80,B.BasicInfomation!B:C,2,0)</f>
        <v>3</v>
      </c>
      <c r="F80" s="1658" t="str">
        <f t="shared" si="8"/>
        <v>A36</v>
      </c>
      <c r="G80" s="2027">
        <f t="shared" si="8"/>
        <v>2</v>
      </c>
      <c r="H80" s="2027">
        <v>100000</v>
      </c>
      <c r="I80" s="2118">
        <f t="shared" si="9"/>
        <v>0</v>
      </c>
      <c r="J80" s="3397">
        <f t="shared" si="9"/>
        <v>19000</v>
      </c>
      <c r="K80" s="2091">
        <f t="shared" si="9"/>
        <v>2</v>
      </c>
      <c r="L80" s="4748"/>
      <c r="M80" s="5416"/>
      <c r="N80" s="6506"/>
      <c r="O80" s="4748"/>
      <c r="P80" s="3409"/>
      <c r="Q80" s="3410"/>
      <c r="R80" s="3408"/>
      <c r="S80" s="3409"/>
      <c r="T80" s="3410"/>
      <c r="U80" s="3408"/>
      <c r="V80" s="3409"/>
      <c r="W80" s="3410"/>
      <c r="X80" s="3156">
        <f t="shared" si="10"/>
        <v>0</v>
      </c>
    </row>
    <row r="81" spans="1:24" ht="18" customHeight="1">
      <c r="A81" s="70"/>
      <c r="B81" s="73"/>
      <c r="C81" s="1658"/>
      <c r="D81" s="2116"/>
      <c r="E81" s="2027">
        <f>VLOOKUP(F81,B.BasicInfomation!B:C,2,0)</f>
        <v>4</v>
      </c>
      <c r="F81" s="1658" t="str">
        <f t="shared" si="8"/>
        <v>A26</v>
      </c>
      <c r="G81" s="2027">
        <f t="shared" si="8"/>
        <v>2</v>
      </c>
      <c r="H81" s="2027">
        <v>100000</v>
      </c>
      <c r="I81" s="2118">
        <f t="shared" si="9"/>
        <v>0</v>
      </c>
      <c r="J81" s="3397">
        <f t="shared" si="9"/>
        <v>19000</v>
      </c>
      <c r="K81" s="2091">
        <f t="shared" si="9"/>
        <v>3</v>
      </c>
      <c r="L81" s="4748"/>
      <c r="M81" s="5416"/>
      <c r="N81" s="6506"/>
      <c r="O81" s="4748"/>
      <c r="P81" s="3409"/>
      <c r="Q81" s="3410"/>
      <c r="R81" s="3408"/>
      <c r="S81" s="3409"/>
      <c r="T81" s="3410"/>
      <c r="U81" s="3408"/>
      <c r="V81" s="3409"/>
      <c r="W81" s="3410"/>
      <c r="X81" s="3156">
        <f t="shared" si="10"/>
        <v>0</v>
      </c>
    </row>
    <row r="82" spans="1:24" ht="18" customHeight="1">
      <c r="A82" s="70"/>
      <c r="B82" s="73"/>
      <c r="C82" s="1658"/>
      <c r="D82" s="2116"/>
      <c r="E82" s="2027">
        <f>VLOOKUP(F82,B.BasicInfomation!B:C,2,0)</f>
        <v>5</v>
      </c>
      <c r="F82" s="1658" t="str">
        <f t="shared" si="8"/>
        <v>A27</v>
      </c>
      <c r="G82" s="2027">
        <f t="shared" si="8"/>
        <v>2</v>
      </c>
      <c r="H82" s="2027">
        <v>100000</v>
      </c>
      <c r="I82" s="2118">
        <f t="shared" si="9"/>
        <v>0</v>
      </c>
      <c r="J82" s="3397">
        <f t="shared" si="9"/>
        <v>19000</v>
      </c>
      <c r="K82" s="4781">
        <f t="shared" si="9"/>
        <v>30</v>
      </c>
      <c r="L82" s="4748"/>
      <c r="M82" s="5416"/>
      <c r="N82" s="6506">
        <v>2</v>
      </c>
      <c r="O82" s="4748">
        <v>3</v>
      </c>
      <c r="P82" s="3409">
        <v>3</v>
      </c>
      <c r="Q82" s="3410">
        <v>3</v>
      </c>
      <c r="R82" s="3408">
        <v>3</v>
      </c>
      <c r="S82" s="3409">
        <v>2</v>
      </c>
      <c r="T82" s="3410">
        <v>2</v>
      </c>
      <c r="U82" s="3408">
        <v>2</v>
      </c>
      <c r="V82" s="3409">
        <v>2</v>
      </c>
      <c r="W82" s="3410">
        <v>3</v>
      </c>
      <c r="X82" s="3156">
        <f t="shared" si="10"/>
        <v>25</v>
      </c>
    </row>
    <row r="83" spans="1:24" ht="18" customHeight="1">
      <c r="A83" s="70"/>
      <c r="B83" s="73"/>
      <c r="C83" s="1658"/>
      <c r="D83" s="2116"/>
      <c r="E83" s="2027">
        <f>VLOOKUP(F83,B.BasicInfomation!B:C,2,0)</f>
        <v>6</v>
      </c>
      <c r="F83" s="1658" t="str">
        <f t="shared" si="8"/>
        <v>A37</v>
      </c>
      <c r="G83" s="2027">
        <f t="shared" si="8"/>
        <v>2</v>
      </c>
      <c r="H83" s="2027">
        <v>100000</v>
      </c>
      <c r="I83" s="2118">
        <f t="shared" si="9"/>
        <v>0</v>
      </c>
      <c r="J83" s="3397">
        <f t="shared" si="9"/>
        <v>19000</v>
      </c>
      <c r="K83" s="2091">
        <f t="shared" si="9"/>
        <v>7</v>
      </c>
      <c r="L83" s="4748"/>
      <c r="M83" s="5416"/>
      <c r="N83" s="6506"/>
      <c r="O83" s="4748"/>
      <c r="P83" s="3409"/>
      <c r="Q83" s="3410"/>
      <c r="R83" s="3408"/>
      <c r="S83" s="3409"/>
      <c r="T83" s="3410"/>
      <c r="U83" s="3408"/>
      <c r="V83" s="3409"/>
      <c r="W83" s="3410"/>
      <c r="X83" s="3156">
        <f t="shared" si="10"/>
        <v>0</v>
      </c>
    </row>
    <row r="84" spans="1:24" ht="18" customHeight="1">
      <c r="A84" s="70"/>
      <c r="B84" s="73"/>
      <c r="C84" s="1658"/>
      <c r="D84" s="2116"/>
      <c r="E84" s="2027">
        <f>VLOOKUP(F84,B.BasicInfomation!B:C,2,0)</f>
        <v>7</v>
      </c>
      <c r="F84" s="1658" t="str">
        <f t="shared" si="8"/>
        <v>A18</v>
      </c>
      <c r="G84" s="2027">
        <f t="shared" si="8"/>
        <v>2</v>
      </c>
      <c r="H84" s="2027">
        <v>100000</v>
      </c>
      <c r="I84" s="2118">
        <f t="shared" si="9"/>
        <v>0</v>
      </c>
      <c r="J84" s="3397">
        <f t="shared" si="9"/>
        <v>19000</v>
      </c>
      <c r="K84" s="4781">
        <f t="shared" si="9"/>
        <v>5</v>
      </c>
      <c r="L84" s="4748"/>
      <c r="M84" s="5416"/>
      <c r="N84" s="6506"/>
      <c r="O84" s="4748"/>
      <c r="P84" s="3409"/>
      <c r="Q84" s="3410"/>
      <c r="R84" s="3408">
        <v>3</v>
      </c>
      <c r="S84" s="3409">
        <v>3</v>
      </c>
      <c r="T84" s="3410">
        <v>3</v>
      </c>
      <c r="U84" s="3408">
        <v>3</v>
      </c>
      <c r="V84" s="3409">
        <v>3</v>
      </c>
      <c r="W84" s="3410">
        <v>3</v>
      </c>
      <c r="X84" s="3156">
        <f t="shared" si="10"/>
        <v>18</v>
      </c>
    </row>
    <row r="85" spans="1:24" ht="18" customHeight="1">
      <c r="A85" s="70"/>
      <c r="B85" s="73"/>
      <c r="C85" s="3742" t="s">
        <v>24</v>
      </c>
      <c r="D85" s="3743" t="s">
        <v>844</v>
      </c>
      <c r="E85" s="3744">
        <v>7</v>
      </c>
      <c r="F85" s="3389" t="str">
        <f t="shared" ref="F85:K90" si="11">F13</f>
        <v>MTP+IDP+ADP</v>
      </c>
      <c r="G85" s="3507">
        <f t="shared" si="11"/>
        <v>1</v>
      </c>
      <c r="H85" s="3745">
        <f t="shared" si="11"/>
        <v>100000</v>
      </c>
      <c r="I85" s="3745">
        <f t="shared" si="11"/>
        <v>0</v>
      </c>
      <c r="J85" s="3399">
        <f t="shared" si="11"/>
        <v>19000</v>
      </c>
      <c r="K85" s="3746">
        <f t="shared" si="11"/>
        <v>3</v>
      </c>
      <c r="L85" s="4749"/>
      <c r="M85" s="5417"/>
      <c r="N85" s="6507"/>
      <c r="O85" s="4749"/>
      <c r="P85" s="3748"/>
      <c r="Q85" s="3749">
        <v>1</v>
      </c>
      <c r="R85" s="3747"/>
      <c r="S85" s="3748">
        <v>1</v>
      </c>
      <c r="T85" s="3749">
        <v>1</v>
      </c>
      <c r="U85" s="3747">
        <v>1</v>
      </c>
      <c r="V85" s="3748"/>
      <c r="W85" s="3749"/>
      <c r="X85" s="3750">
        <f t="shared" si="10"/>
        <v>4</v>
      </c>
    </row>
    <row r="86" spans="1:24" ht="18" customHeight="1">
      <c r="A86" s="70"/>
      <c r="B86" s="73"/>
      <c r="C86" s="73"/>
      <c r="D86" s="73"/>
      <c r="E86" s="2027">
        <v>8</v>
      </c>
      <c r="F86" s="1658" t="str">
        <f t="shared" si="11"/>
        <v>Ride5</v>
      </c>
      <c r="G86" s="10">
        <f t="shared" si="11"/>
        <v>1</v>
      </c>
      <c r="H86" s="2090">
        <f t="shared" si="11"/>
        <v>100000</v>
      </c>
      <c r="I86" s="2118">
        <f t="shared" si="11"/>
        <v>0</v>
      </c>
      <c r="J86" s="3397">
        <f t="shared" si="11"/>
        <v>24000</v>
      </c>
      <c r="K86" s="2091">
        <f t="shared" si="11"/>
        <v>1</v>
      </c>
      <c r="L86" s="4748"/>
      <c r="M86" s="5416"/>
      <c r="N86" s="6506"/>
      <c r="O86" s="4748"/>
      <c r="P86" s="3409"/>
      <c r="Q86" s="3410"/>
      <c r="R86" s="3408">
        <v>1</v>
      </c>
      <c r="S86" s="3409"/>
      <c r="T86" s="3410"/>
      <c r="U86" s="3408"/>
      <c r="V86" s="3409"/>
      <c r="W86" s="3410"/>
      <c r="X86" s="3156">
        <f t="shared" si="10"/>
        <v>1</v>
      </c>
    </row>
    <row r="87" spans="1:24" ht="18" customHeight="1">
      <c r="A87" s="70"/>
      <c r="B87" s="73"/>
      <c r="C87" s="73"/>
      <c r="D87" s="73"/>
      <c r="E87" s="2027" t="str">
        <f>VLOOKUP(F87,B.BasicInfomation!B:C,2,0)</f>
        <v/>
      </c>
      <c r="F87" s="10" t="str">
        <f t="shared" si="11"/>
        <v>Glymur</v>
      </c>
      <c r="G87" s="10">
        <f t="shared" si="11"/>
        <v>1</v>
      </c>
      <c r="H87" s="2090">
        <f t="shared" si="11"/>
        <v>100000</v>
      </c>
      <c r="I87" s="2118">
        <f t="shared" si="11"/>
        <v>0</v>
      </c>
      <c r="J87" s="3397">
        <f t="shared" si="11"/>
        <v>24000</v>
      </c>
      <c r="K87" s="2091">
        <f t="shared" si="11"/>
        <v>0</v>
      </c>
      <c r="L87" s="4748"/>
      <c r="M87" s="5416"/>
      <c r="N87" s="6506"/>
      <c r="O87" s="4748"/>
      <c r="P87" s="3409"/>
      <c r="Q87" s="3410"/>
      <c r="R87" s="3408"/>
      <c r="S87" s="3409"/>
      <c r="T87" s="3410"/>
      <c r="U87" s="3408"/>
      <c r="V87" s="3409"/>
      <c r="W87" s="3410"/>
      <c r="X87" s="3156">
        <f t="shared" si="10"/>
        <v>0</v>
      </c>
    </row>
    <row r="88" spans="1:24" ht="18" customHeight="1">
      <c r="A88" s="70"/>
      <c r="B88" s="73"/>
      <c r="C88" s="73"/>
      <c r="D88" s="73"/>
      <c r="E88" s="2027">
        <v>9</v>
      </c>
      <c r="F88" s="10" t="str">
        <f t="shared" si="11"/>
        <v>MTP Hawi</v>
      </c>
      <c r="G88" s="10">
        <f t="shared" si="11"/>
        <v>1</v>
      </c>
      <c r="H88" s="2090">
        <f t="shared" si="11"/>
        <v>100000</v>
      </c>
      <c r="I88" s="2118">
        <f t="shared" si="11"/>
        <v>0</v>
      </c>
      <c r="J88" s="3397">
        <f t="shared" si="11"/>
        <v>24000</v>
      </c>
      <c r="K88" s="2091">
        <f t="shared" si="11"/>
        <v>1</v>
      </c>
      <c r="L88" s="4748"/>
      <c r="M88" s="5416"/>
      <c r="N88" s="6506"/>
      <c r="O88" s="4748"/>
      <c r="P88" s="3409"/>
      <c r="Q88" s="3410"/>
      <c r="R88" s="3408"/>
      <c r="S88" s="3409"/>
      <c r="T88" s="3410"/>
      <c r="U88" s="3408"/>
      <c r="V88" s="3409"/>
      <c r="W88" s="3410"/>
      <c r="X88" s="3156">
        <f t="shared" si="10"/>
        <v>0</v>
      </c>
    </row>
    <row r="89" spans="1:24" ht="18" customHeight="1">
      <c r="A89" s="70"/>
      <c r="B89" s="73"/>
      <c r="C89" s="73"/>
      <c r="D89" s="73"/>
      <c r="E89" s="2027">
        <v>10</v>
      </c>
      <c r="F89" s="10" t="str">
        <f t="shared" si="11"/>
        <v>QMP Amboseli</v>
      </c>
      <c r="G89" s="10">
        <f t="shared" si="11"/>
        <v>1</v>
      </c>
      <c r="H89" s="2090">
        <f t="shared" si="11"/>
        <v>100000</v>
      </c>
      <c r="I89" s="2118">
        <f t="shared" si="11"/>
        <v>0</v>
      </c>
      <c r="J89" s="3397">
        <f t="shared" si="11"/>
        <v>24000</v>
      </c>
      <c r="K89" s="2091">
        <f t="shared" si="11"/>
        <v>1</v>
      </c>
      <c r="L89" s="4748"/>
      <c r="M89" s="5416"/>
      <c r="N89" s="6506"/>
      <c r="O89" s="4748"/>
      <c r="P89" s="3409"/>
      <c r="Q89" s="3410"/>
      <c r="R89" s="3408"/>
      <c r="S89" s="3409"/>
      <c r="T89" s="3410"/>
      <c r="U89" s="3408"/>
      <c r="V89" s="3409"/>
      <c r="W89" s="3410"/>
      <c r="X89" s="3156">
        <f t="shared" si="10"/>
        <v>0</v>
      </c>
    </row>
    <row r="90" spans="1:24" ht="18" customHeight="1">
      <c r="A90" s="70"/>
      <c r="B90" s="73"/>
      <c r="C90" s="73"/>
      <c r="D90" s="73"/>
      <c r="E90" s="2027">
        <f>VLOOKUP(F90,B.BasicInfomation!B:C,2,0)</f>
        <v>13</v>
      </c>
      <c r="F90" s="1658" t="str">
        <f t="shared" si="11"/>
        <v>LDS Antenna</v>
      </c>
      <c r="G90" s="10">
        <f t="shared" si="11"/>
        <v>1</v>
      </c>
      <c r="H90" s="2090">
        <f t="shared" si="11"/>
        <v>100000</v>
      </c>
      <c r="I90" s="2118">
        <f t="shared" si="11"/>
        <v>0</v>
      </c>
      <c r="J90" s="3397">
        <f t="shared" si="11"/>
        <v>24000</v>
      </c>
      <c r="K90" s="2091">
        <f t="shared" si="11"/>
        <v>1</v>
      </c>
      <c r="L90" s="4748"/>
      <c r="M90" s="5416"/>
      <c r="N90" s="6506"/>
      <c r="O90" s="4748"/>
      <c r="P90" s="3409"/>
      <c r="Q90" s="3410"/>
      <c r="R90" s="3408"/>
      <c r="S90" s="3409"/>
      <c r="T90" s="3410"/>
      <c r="U90" s="3408"/>
      <c r="V90" s="3409"/>
      <c r="W90" s="3410"/>
      <c r="X90" s="3156">
        <f t="shared" si="10"/>
        <v>0</v>
      </c>
    </row>
    <row r="91" spans="1:24" ht="18" customHeight="1">
      <c r="A91" s="52">
        <v>2</v>
      </c>
      <c r="B91" s="50" t="s">
        <v>23</v>
      </c>
      <c r="C91" s="1735" t="s">
        <v>20</v>
      </c>
      <c r="D91" s="1735" t="s">
        <v>848</v>
      </c>
      <c r="E91" s="2080">
        <v>11</v>
      </c>
      <c r="F91" s="1582" t="str">
        <f t="shared" ref="F91:I110" si="12">F20</f>
        <v>GEN3 AL5 Housing (YT)</v>
      </c>
      <c r="G91" s="1582">
        <f t="shared" si="12"/>
        <v>1</v>
      </c>
      <c r="H91" s="2087">
        <f t="shared" si="12"/>
        <v>120000</v>
      </c>
      <c r="I91" s="2119">
        <f t="shared" si="12"/>
        <v>0</v>
      </c>
      <c r="J91" s="3399">
        <f t="shared" ref="J91:J110" si="13">J19</f>
        <v>0</v>
      </c>
      <c r="K91" s="2083">
        <f>K20</f>
        <v>6</v>
      </c>
      <c r="L91" s="4550"/>
      <c r="M91" s="4655"/>
      <c r="N91" s="5582"/>
      <c r="O91" s="4550"/>
      <c r="P91" s="1740"/>
      <c r="Q91" s="1741"/>
      <c r="R91" s="2088"/>
      <c r="S91" s="1740"/>
      <c r="T91" s="1741"/>
      <c r="U91" s="2088"/>
      <c r="V91" s="1740"/>
      <c r="W91" s="1741"/>
      <c r="X91" s="2089">
        <f t="shared" si="10"/>
        <v>0</v>
      </c>
    </row>
    <row r="92" spans="1:24" ht="18" customHeight="1">
      <c r="A92" s="2039"/>
      <c r="B92" s="1763"/>
      <c r="C92" s="1658"/>
      <c r="D92" s="1658"/>
      <c r="E92" s="2027">
        <v>12</v>
      </c>
      <c r="F92" s="10" t="str">
        <f t="shared" si="12"/>
        <v>GEN3 AL6 Housing (YT)</v>
      </c>
      <c r="G92" s="10">
        <f t="shared" si="12"/>
        <v>1</v>
      </c>
      <c r="H92" s="2090">
        <f t="shared" si="12"/>
        <v>120000</v>
      </c>
      <c r="I92" s="2118">
        <f t="shared" si="12"/>
        <v>0</v>
      </c>
      <c r="J92" s="3397">
        <f t="shared" si="13"/>
        <v>19000</v>
      </c>
      <c r="K92" s="2091">
        <f t="shared" ref="K92:K142" si="14">K21</f>
        <v>1</v>
      </c>
      <c r="L92" s="4551"/>
      <c r="M92" s="5006"/>
      <c r="N92" s="5498"/>
      <c r="O92" s="4551"/>
      <c r="P92" s="1642"/>
      <c r="Q92" s="1643"/>
      <c r="R92" s="1759"/>
      <c r="S92" s="1642"/>
      <c r="T92" s="1643"/>
      <c r="U92" s="1759"/>
      <c r="V92" s="1642"/>
      <c r="W92" s="1643"/>
      <c r="X92" s="2085">
        <f t="shared" si="10"/>
        <v>0</v>
      </c>
    </row>
    <row r="93" spans="1:24" ht="18" customHeight="1">
      <c r="A93" s="2039"/>
      <c r="B93" s="1763"/>
      <c r="C93" s="1658"/>
      <c r="D93" s="1658"/>
      <c r="E93" s="2027"/>
      <c r="F93" s="10" t="str">
        <f t="shared" si="12"/>
        <v>GEN3 AL5  Housing (MX)</v>
      </c>
      <c r="G93" s="2090" t="str">
        <f t="shared" si="12"/>
        <v/>
      </c>
      <c r="H93" s="2090">
        <f t="shared" si="12"/>
        <v>120000</v>
      </c>
      <c r="I93" s="2118">
        <f t="shared" si="12"/>
        <v>0</v>
      </c>
      <c r="J93" s="3397">
        <f t="shared" si="13"/>
        <v>24000</v>
      </c>
      <c r="K93" s="2091">
        <f t="shared" si="14"/>
        <v>0</v>
      </c>
      <c r="L93" s="4551"/>
      <c r="M93" s="5006"/>
      <c r="N93" s="5498"/>
      <c r="O93" s="4551"/>
      <c r="P93" s="1642"/>
      <c r="Q93" s="1643"/>
      <c r="R93" s="1759"/>
      <c r="S93" s="1642"/>
      <c r="T93" s="1643"/>
      <c r="U93" s="1759"/>
      <c r="V93" s="1642"/>
      <c r="W93" s="1643"/>
      <c r="X93" s="2085">
        <f t="shared" si="10"/>
        <v>0</v>
      </c>
    </row>
    <row r="94" spans="1:24" ht="18" customHeight="1">
      <c r="A94" s="2039"/>
      <c r="B94" s="1763"/>
      <c r="C94" s="1658"/>
      <c r="D94" s="1658"/>
      <c r="E94" s="2027"/>
      <c r="F94" s="10" t="str">
        <f t="shared" si="12"/>
        <v>GEN3 AL6  Housing (MX)</v>
      </c>
      <c r="G94" s="2090" t="str">
        <f t="shared" si="12"/>
        <v/>
      </c>
      <c r="H94" s="2090">
        <f t="shared" si="12"/>
        <v>120000</v>
      </c>
      <c r="I94" s="2118">
        <f t="shared" si="12"/>
        <v>0</v>
      </c>
      <c r="J94" s="3397">
        <f t="shared" si="13"/>
        <v>24000</v>
      </c>
      <c r="K94" s="2091">
        <f t="shared" si="14"/>
        <v>0</v>
      </c>
      <c r="L94" s="4551"/>
      <c r="M94" s="5006"/>
      <c r="N94" s="5498"/>
      <c r="O94" s="4551"/>
      <c r="P94" s="1642"/>
      <c r="Q94" s="1643"/>
      <c r="R94" s="1759"/>
      <c r="S94" s="1642"/>
      <c r="T94" s="1643"/>
      <c r="U94" s="1759"/>
      <c r="V94" s="1642"/>
      <c r="W94" s="1643"/>
      <c r="X94" s="2085">
        <f t="shared" si="10"/>
        <v>0</v>
      </c>
    </row>
    <row r="95" spans="1:24" ht="18" customHeight="1">
      <c r="A95" s="2039"/>
      <c r="B95" s="1763"/>
      <c r="C95" s="1658"/>
      <c r="D95" s="1658"/>
      <c r="E95" s="2027"/>
      <c r="F95" s="10" t="str">
        <f t="shared" si="12"/>
        <v>T6 Housing</v>
      </c>
      <c r="G95" s="2090" t="str">
        <f t="shared" si="12"/>
        <v/>
      </c>
      <c r="H95" s="2090">
        <f t="shared" si="12"/>
        <v>120000</v>
      </c>
      <c r="I95" s="2118">
        <f t="shared" si="12"/>
        <v>0</v>
      </c>
      <c r="J95" s="3397">
        <f t="shared" si="13"/>
        <v>24000</v>
      </c>
      <c r="K95" s="2091">
        <f t="shared" si="14"/>
        <v>0</v>
      </c>
      <c r="L95" s="4551"/>
      <c r="M95" s="5006"/>
      <c r="N95" s="5498"/>
      <c r="O95" s="4551"/>
      <c r="P95" s="1642"/>
      <c r="Q95" s="1643"/>
      <c r="R95" s="1759"/>
      <c r="S95" s="1642"/>
      <c r="T95" s="1643"/>
      <c r="U95" s="1759"/>
      <c r="V95" s="1642"/>
      <c r="W95" s="1643"/>
      <c r="X95" s="2085">
        <f t="shared" si="10"/>
        <v>0</v>
      </c>
    </row>
    <row r="96" spans="1:24" s="1569" customFormat="1" ht="18" customHeight="1">
      <c r="A96" s="2039"/>
      <c r="B96" s="1763"/>
      <c r="C96" s="1658"/>
      <c r="D96" s="1658"/>
      <c r="E96" s="2027">
        <v>13</v>
      </c>
      <c r="F96" s="10" t="str">
        <f t="shared" si="12"/>
        <v>CL4 Housing</v>
      </c>
      <c r="G96" s="2090">
        <f t="shared" si="12"/>
        <v>1</v>
      </c>
      <c r="H96" s="2090">
        <f t="shared" si="12"/>
        <v>120000</v>
      </c>
      <c r="I96" s="2118">
        <f t="shared" si="12"/>
        <v>0</v>
      </c>
      <c r="J96" s="3397">
        <f t="shared" si="13"/>
        <v>24000</v>
      </c>
      <c r="K96" s="2091">
        <f t="shared" si="14"/>
        <v>3</v>
      </c>
      <c r="L96" s="4551">
        <v>1</v>
      </c>
      <c r="M96" s="5006"/>
      <c r="N96" s="5498"/>
      <c r="O96" s="4551"/>
      <c r="P96" s="1642"/>
      <c r="Q96" s="1643"/>
      <c r="R96" s="1759"/>
      <c r="S96" s="1642"/>
      <c r="T96" s="1643"/>
      <c r="U96" s="1759"/>
      <c r="V96" s="1642"/>
      <c r="W96" s="1643"/>
      <c r="X96" s="2085">
        <f t="shared" si="10"/>
        <v>1</v>
      </c>
    </row>
    <row r="97" spans="1:24" s="1569" customFormat="1" ht="18" customHeight="1">
      <c r="A97" s="2039"/>
      <c r="B97" s="1763"/>
      <c r="C97" s="1658"/>
      <c r="D97" s="1658"/>
      <c r="E97" s="2027">
        <v>14</v>
      </c>
      <c r="F97" s="10" t="str">
        <f t="shared" si="12"/>
        <v>MQ4a PE Housing</v>
      </c>
      <c r="G97" s="2090">
        <f t="shared" si="12"/>
        <v>2</v>
      </c>
      <c r="H97" s="2090">
        <f t="shared" si="12"/>
        <v>120000</v>
      </c>
      <c r="I97" s="2118">
        <f t="shared" si="12"/>
        <v>0</v>
      </c>
      <c r="J97" s="3397">
        <f t="shared" si="13"/>
        <v>18000</v>
      </c>
      <c r="K97" s="2091">
        <f t="shared" si="14"/>
        <v>1</v>
      </c>
      <c r="L97" s="4551">
        <v>1</v>
      </c>
      <c r="M97" s="5006"/>
      <c r="N97" s="5498"/>
      <c r="O97" s="4551"/>
      <c r="P97" s="1642"/>
      <c r="Q97" s="1643"/>
      <c r="R97" s="1759"/>
      <c r="S97" s="1642"/>
      <c r="T97" s="1643"/>
      <c r="U97" s="1759"/>
      <c r="V97" s="1642"/>
      <c r="W97" s="1643"/>
      <c r="X97" s="2085">
        <f t="shared" si="10"/>
        <v>1</v>
      </c>
    </row>
    <row r="98" spans="1:24" s="1569" customFormat="1" ht="18" customHeight="1">
      <c r="A98" s="2039"/>
      <c r="B98" s="1763"/>
      <c r="C98" s="1658"/>
      <c r="D98" s="1658"/>
      <c r="E98" s="2027"/>
      <c r="F98" s="10" t="str">
        <f t="shared" si="12"/>
        <v>BYD Housing</v>
      </c>
      <c r="G98" s="2090" t="str">
        <f t="shared" si="12"/>
        <v/>
      </c>
      <c r="H98" s="2090">
        <f t="shared" si="12"/>
        <v>120000</v>
      </c>
      <c r="I98" s="2118">
        <f t="shared" si="12"/>
        <v>0</v>
      </c>
      <c r="J98" s="3397">
        <f t="shared" si="13"/>
        <v>18000</v>
      </c>
      <c r="K98" s="2091">
        <f t="shared" si="14"/>
        <v>0</v>
      </c>
      <c r="L98" s="4551"/>
      <c r="M98" s="5006"/>
      <c r="N98" s="5498"/>
      <c r="O98" s="4551"/>
      <c r="P98" s="1642"/>
      <c r="Q98" s="1643"/>
      <c r="R98" s="1759"/>
      <c r="S98" s="1642"/>
      <c r="T98" s="1643"/>
      <c r="U98" s="1759"/>
      <c r="V98" s="1642"/>
      <c r="W98" s="1643"/>
      <c r="X98" s="2085">
        <f t="shared" si="10"/>
        <v>0</v>
      </c>
    </row>
    <row r="99" spans="1:24" ht="18" customHeight="1">
      <c r="A99" s="2039"/>
      <c r="B99" s="1763"/>
      <c r="C99" s="1658"/>
      <c r="D99" s="1746" t="s">
        <v>857</v>
      </c>
      <c r="E99" s="2120">
        <v>15</v>
      </c>
      <c r="F99" s="7" t="str">
        <f t="shared" si="12"/>
        <v>MX5 Housing</v>
      </c>
      <c r="G99" s="2092">
        <f t="shared" si="12"/>
        <v>1</v>
      </c>
      <c r="H99" s="2092">
        <f t="shared" si="12"/>
        <v>120000</v>
      </c>
      <c r="I99" s="2121">
        <f t="shared" si="12"/>
        <v>0</v>
      </c>
      <c r="J99" s="3403">
        <f t="shared" si="13"/>
        <v>18000</v>
      </c>
      <c r="K99" s="3423">
        <f t="shared" si="14"/>
        <v>0</v>
      </c>
      <c r="L99" s="4750"/>
      <c r="M99" s="5056"/>
      <c r="N99" s="5533"/>
      <c r="O99" s="4750"/>
      <c r="P99" s="1749"/>
      <c r="Q99" s="1750"/>
      <c r="R99" s="2093"/>
      <c r="S99" s="1749"/>
      <c r="T99" s="1750"/>
      <c r="U99" s="2093"/>
      <c r="V99" s="1749"/>
      <c r="W99" s="1750"/>
      <c r="X99" s="2094">
        <f t="shared" si="10"/>
        <v>0</v>
      </c>
    </row>
    <row r="100" spans="1:24" ht="18" customHeight="1">
      <c r="A100" s="2039"/>
      <c r="B100" s="1763"/>
      <c r="C100" s="1658"/>
      <c r="D100" s="1658"/>
      <c r="E100" s="2027"/>
      <c r="F100" s="10" t="str">
        <f t="shared" si="12"/>
        <v>Gen2 Cover</v>
      </c>
      <c r="G100" s="2090" t="str">
        <f t="shared" si="12"/>
        <v/>
      </c>
      <c r="H100" s="2090">
        <f t="shared" si="12"/>
        <v>120000</v>
      </c>
      <c r="I100" s="2118">
        <f t="shared" si="12"/>
        <v>0</v>
      </c>
      <c r="J100" s="3397">
        <f t="shared" si="13"/>
        <v>16900</v>
      </c>
      <c r="K100" s="2091">
        <f t="shared" si="14"/>
        <v>0</v>
      </c>
      <c r="L100" s="4551">
        <v>1</v>
      </c>
      <c r="M100" s="5006"/>
      <c r="N100" s="5498"/>
      <c r="O100" s="4551"/>
      <c r="P100" s="1642"/>
      <c r="Q100" s="1643"/>
      <c r="R100" s="1759"/>
      <c r="S100" s="1642"/>
      <c r="T100" s="1643"/>
      <c r="U100" s="1759"/>
      <c r="V100" s="1642"/>
      <c r="W100" s="1643"/>
      <c r="X100" s="2085">
        <f t="shared" si="10"/>
        <v>1</v>
      </c>
    </row>
    <row r="101" spans="1:24" ht="18" customHeight="1">
      <c r="A101" s="2039"/>
      <c r="B101" s="1763"/>
      <c r="C101" s="1658"/>
      <c r="D101" s="1658"/>
      <c r="E101" s="2027"/>
      <c r="F101" s="10" t="str">
        <f t="shared" si="12"/>
        <v>T6 Cover</v>
      </c>
      <c r="G101" s="2090" t="str">
        <f t="shared" si="12"/>
        <v/>
      </c>
      <c r="H101" s="2090">
        <f t="shared" si="12"/>
        <v>120000</v>
      </c>
      <c r="I101" s="2118">
        <f t="shared" si="12"/>
        <v>0</v>
      </c>
      <c r="J101" s="3397">
        <f t="shared" si="13"/>
        <v>20000</v>
      </c>
      <c r="K101" s="2091">
        <f t="shared" si="14"/>
        <v>0</v>
      </c>
      <c r="L101" s="4551"/>
      <c r="M101" s="5006"/>
      <c r="N101" s="5498"/>
      <c r="O101" s="4551"/>
      <c r="P101" s="1642"/>
      <c r="Q101" s="1643"/>
      <c r="R101" s="1759"/>
      <c r="S101" s="1642"/>
      <c r="T101" s="1643"/>
      <c r="U101" s="1759"/>
      <c r="V101" s="1642"/>
      <c r="W101" s="1643"/>
      <c r="X101" s="2085">
        <f t="shared" si="10"/>
        <v>0</v>
      </c>
    </row>
    <row r="102" spans="1:24" ht="18" customHeight="1">
      <c r="A102" s="2039"/>
      <c r="B102" s="1763"/>
      <c r="C102" s="1658"/>
      <c r="D102" s="1658"/>
      <c r="E102" s="2027">
        <v>16</v>
      </c>
      <c r="F102" s="10" t="str">
        <f t="shared" si="12"/>
        <v>EK_Part Cover</v>
      </c>
      <c r="G102" s="2090">
        <f t="shared" si="12"/>
        <v>1</v>
      </c>
      <c r="H102" s="2090">
        <f t="shared" si="12"/>
        <v>120000</v>
      </c>
      <c r="I102" s="2118">
        <f t="shared" si="12"/>
        <v>0</v>
      </c>
      <c r="J102" s="3397">
        <f t="shared" si="13"/>
        <v>20000</v>
      </c>
      <c r="K102" s="2091">
        <f t="shared" si="14"/>
        <v>2</v>
      </c>
      <c r="L102" s="4551"/>
      <c r="M102" s="5006"/>
      <c r="N102" s="5498"/>
      <c r="O102" s="4551"/>
      <c r="P102" s="1642"/>
      <c r="Q102" s="1643"/>
      <c r="R102" s="1759"/>
      <c r="S102" s="1642"/>
      <c r="T102" s="1643"/>
      <c r="U102" s="1759"/>
      <c r="V102" s="1642"/>
      <c r="W102" s="1643"/>
      <c r="X102" s="2085">
        <f t="shared" si="10"/>
        <v>0</v>
      </c>
    </row>
    <row r="103" spans="1:24" ht="18" customHeight="1">
      <c r="A103" s="2039"/>
      <c r="B103" s="1763"/>
      <c r="C103" s="1658"/>
      <c r="D103" s="1658"/>
      <c r="E103" s="2027"/>
      <c r="F103" s="10" t="str">
        <f t="shared" si="12"/>
        <v>570W Cover</v>
      </c>
      <c r="G103" s="2090" t="str">
        <f t="shared" si="12"/>
        <v/>
      </c>
      <c r="H103" s="2090">
        <f t="shared" si="12"/>
        <v>120000</v>
      </c>
      <c r="I103" s="2118">
        <f t="shared" si="12"/>
        <v>0</v>
      </c>
      <c r="J103" s="3397">
        <f t="shared" si="13"/>
        <v>20000</v>
      </c>
      <c r="K103" s="2091">
        <f t="shared" si="14"/>
        <v>0</v>
      </c>
      <c r="L103" s="4551"/>
      <c r="M103" s="5006">
        <v>1</v>
      </c>
      <c r="N103" s="5498"/>
      <c r="O103" s="4551"/>
      <c r="P103" s="1642"/>
      <c r="Q103" s="1643"/>
      <c r="R103" s="1759"/>
      <c r="S103" s="1642"/>
      <c r="T103" s="1643"/>
      <c r="U103" s="1759"/>
      <c r="V103" s="1642"/>
      <c r="W103" s="1643"/>
      <c r="X103" s="2085">
        <f t="shared" si="10"/>
        <v>1</v>
      </c>
    </row>
    <row r="104" spans="1:24" ht="18" customHeight="1">
      <c r="A104" s="2039"/>
      <c r="B104" s="1763"/>
      <c r="C104" s="1658"/>
      <c r="D104" s="1658"/>
      <c r="E104" s="2027">
        <v>17</v>
      </c>
      <c r="F104" s="10" t="str">
        <f t="shared" si="12"/>
        <v>CL4 Cover</v>
      </c>
      <c r="G104" s="2090">
        <f t="shared" si="12"/>
        <v>1</v>
      </c>
      <c r="H104" s="2090">
        <f t="shared" si="12"/>
        <v>120000</v>
      </c>
      <c r="I104" s="2118">
        <f t="shared" si="12"/>
        <v>0</v>
      </c>
      <c r="J104" s="3397">
        <f t="shared" si="13"/>
        <v>20000</v>
      </c>
      <c r="K104" s="2091">
        <f t="shared" si="14"/>
        <v>1</v>
      </c>
      <c r="L104" s="4551"/>
      <c r="M104" s="5006"/>
      <c r="N104" s="5498"/>
      <c r="O104" s="4551"/>
      <c r="P104" s="1642"/>
      <c r="Q104" s="1643"/>
      <c r="R104" s="1759"/>
      <c r="S104" s="1642"/>
      <c r="T104" s="1643"/>
      <c r="U104" s="1759"/>
      <c r="V104" s="1642"/>
      <c r="W104" s="1643"/>
      <c r="X104" s="2085">
        <f t="shared" si="10"/>
        <v>0</v>
      </c>
    </row>
    <row r="105" spans="1:24" ht="18" customHeight="1">
      <c r="A105" s="2039"/>
      <c r="B105" s="1763"/>
      <c r="C105" s="1658"/>
      <c r="D105" s="1658"/>
      <c r="E105" s="2027">
        <v>18</v>
      </c>
      <c r="F105" s="10" t="str">
        <f t="shared" si="12"/>
        <v xml:space="preserve">MQ4a PE Cover </v>
      </c>
      <c r="G105" s="2090">
        <f t="shared" si="12"/>
        <v>1</v>
      </c>
      <c r="H105" s="2090">
        <f t="shared" si="12"/>
        <v>120000</v>
      </c>
      <c r="I105" s="2118">
        <f t="shared" si="12"/>
        <v>0</v>
      </c>
      <c r="J105" s="3397">
        <f t="shared" si="13"/>
        <v>17000</v>
      </c>
      <c r="K105" s="2091">
        <f t="shared" si="14"/>
        <v>2</v>
      </c>
      <c r="L105" s="4551"/>
      <c r="M105" s="5006">
        <v>1</v>
      </c>
      <c r="N105" s="5498"/>
      <c r="O105" s="4551"/>
      <c r="P105" s="1642"/>
      <c r="Q105" s="1643"/>
      <c r="R105" s="1759"/>
      <c r="S105" s="1642"/>
      <c r="T105" s="1643"/>
      <c r="U105" s="1759"/>
      <c r="V105" s="1642"/>
      <c r="W105" s="1643"/>
      <c r="X105" s="2085">
        <f t="shared" si="10"/>
        <v>1</v>
      </c>
    </row>
    <row r="106" spans="1:24" ht="18" customHeight="1">
      <c r="A106" s="2039"/>
      <c r="B106" s="1763"/>
      <c r="C106" s="1658"/>
      <c r="D106" s="1658"/>
      <c r="E106" s="2027"/>
      <c r="F106" s="10" t="str">
        <f t="shared" si="12"/>
        <v>BYD Cover</v>
      </c>
      <c r="G106" s="2090" t="str">
        <f t="shared" si="12"/>
        <v/>
      </c>
      <c r="H106" s="2090">
        <f t="shared" si="12"/>
        <v>120000</v>
      </c>
      <c r="I106" s="2118">
        <f t="shared" si="12"/>
        <v>0</v>
      </c>
      <c r="J106" s="3397">
        <f t="shared" si="13"/>
        <v>17000</v>
      </c>
      <c r="K106" s="2091">
        <f t="shared" si="14"/>
        <v>0</v>
      </c>
      <c r="L106" s="4551"/>
      <c r="M106" s="5006">
        <v>1</v>
      </c>
      <c r="N106" s="5498"/>
      <c r="O106" s="4551"/>
      <c r="P106" s="1642"/>
      <c r="Q106" s="1643"/>
      <c r="R106" s="1759"/>
      <c r="S106" s="1642"/>
      <c r="T106" s="1643"/>
      <c r="U106" s="1759"/>
      <c r="V106" s="1642"/>
      <c r="W106" s="1643"/>
      <c r="X106" s="2085">
        <f t="shared" si="10"/>
        <v>1</v>
      </c>
    </row>
    <row r="107" spans="1:24" ht="18" customHeight="1">
      <c r="A107" s="2039"/>
      <c r="B107" s="1763"/>
      <c r="C107" s="1658"/>
      <c r="D107" s="1658"/>
      <c r="E107" s="2027">
        <v>19</v>
      </c>
      <c r="F107" s="10" t="str">
        <f t="shared" si="12"/>
        <v>MX5 Cover</v>
      </c>
      <c r="G107" s="2090">
        <f t="shared" si="12"/>
        <v>4</v>
      </c>
      <c r="H107" s="2090">
        <f t="shared" si="12"/>
        <v>120000</v>
      </c>
      <c r="I107" s="2118">
        <f t="shared" si="12"/>
        <v>0</v>
      </c>
      <c r="J107" s="3397">
        <f t="shared" si="13"/>
        <v>17000</v>
      </c>
      <c r="K107" s="2091">
        <f t="shared" si="14"/>
        <v>0</v>
      </c>
      <c r="L107" s="4551"/>
      <c r="M107" s="5006"/>
      <c r="N107" s="5498"/>
      <c r="O107" s="4551"/>
      <c r="P107" s="1642"/>
      <c r="Q107" s="1643"/>
      <c r="R107" s="1759"/>
      <c r="S107" s="1642"/>
      <c r="T107" s="1643"/>
      <c r="U107" s="1759"/>
      <c r="V107" s="1642"/>
      <c r="W107" s="1643"/>
      <c r="X107" s="2085">
        <f t="shared" si="10"/>
        <v>0</v>
      </c>
    </row>
    <row r="108" spans="1:24" ht="18" customHeight="1">
      <c r="A108" s="2039"/>
      <c r="B108" s="1763"/>
      <c r="C108" s="1658"/>
      <c r="D108" s="1658"/>
      <c r="E108" s="2027"/>
      <c r="F108" s="10" t="str">
        <f t="shared" si="12"/>
        <v>FCM30-Upper Housing</v>
      </c>
      <c r="G108" s="2090" t="str">
        <f t="shared" si="12"/>
        <v/>
      </c>
      <c r="H108" s="2090">
        <f t="shared" si="12"/>
        <v>120000</v>
      </c>
      <c r="I108" s="2118">
        <f t="shared" si="12"/>
        <v>0</v>
      </c>
      <c r="J108" s="3397">
        <f t="shared" si="13"/>
        <v>17000</v>
      </c>
      <c r="K108" s="2091">
        <f t="shared" si="14"/>
        <v>0</v>
      </c>
      <c r="L108" s="4551">
        <v>1</v>
      </c>
      <c r="M108" s="5006"/>
      <c r="N108" s="5498"/>
      <c r="O108" s="4551"/>
      <c r="P108" s="1642"/>
      <c r="Q108" s="1643"/>
      <c r="R108" s="1759"/>
      <c r="S108" s="1642"/>
      <c r="T108" s="1643"/>
      <c r="U108" s="1759"/>
      <c r="V108" s="1642"/>
      <c r="W108" s="1643"/>
      <c r="X108" s="2085">
        <f t="shared" si="10"/>
        <v>1</v>
      </c>
    </row>
    <row r="109" spans="1:24" ht="18" customHeight="1">
      <c r="A109" s="2039"/>
      <c r="B109" s="1763"/>
      <c r="C109" s="1658"/>
      <c r="D109" s="1658"/>
      <c r="E109" s="2027">
        <v>20</v>
      </c>
      <c r="F109" s="10" t="str">
        <f t="shared" si="12"/>
        <v>DCU15 Housing</v>
      </c>
      <c r="G109" s="2090">
        <f t="shared" si="12"/>
        <v>2</v>
      </c>
      <c r="H109" s="2090">
        <f t="shared" si="12"/>
        <v>120000</v>
      </c>
      <c r="I109" s="2118">
        <f t="shared" si="12"/>
        <v>0</v>
      </c>
      <c r="J109" s="3397">
        <f t="shared" si="13"/>
        <v>18000</v>
      </c>
      <c r="K109" s="2091">
        <f t="shared" si="14"/>
        <v>2</v>
      </c>
      <c r="L109" s="4551"/>
      <c r="M109" s="5006"/>
      <c r="N109" s="5498"/>
      <c r="O109" s="4551"/>
      <c r="P109" s="1642"/>
      <c r="Q109" s="1643"/>
      <c r="R109" s="1759"/>
      <c r="S109" s="1642"/>
      <c r="T109" s="1643"/>
      <c r="U109" s="1759"/>
      <c r="V109" s="1642"/>
      <c r="W109" s="1643"/>
      <c r="X109" s="2085">
        <f t="shared" si="10"/>
        <v>0</v>
      </c>
    </row>
    <row r="110" spans="1:24" ht="18" customHeight="1">
      <c r="A110" s="2039"/>
      <c r="B110" s="1763"/>
      <c r="C110" s="1658"/>
      <c r="D110" s="1658"/>
      <c r="E110" s="2027">
        <v>21</v>
      </c>
      <c r="F110" s="10" t="str">
        <f t="shared" si="12"/>
        <v>DCU15 Cover</v>
      </c>
      <c r="G110" s="2090">
        <f t="shared" si="12"/>
        <v>4</v>
      </c>
      <c r="H110" s="2090">
        <f t="shared" si="12"/>
        <v>120000</v>
      </c>
      <c r="I110" s="2118">
        <f t="shared" si="12"/>
        <v>0</v>
      </c>
      <c r="J110" s="3397">
        <f t="shared" si="13"/>
        <v>17000</v>
      </c>
      <c r="K110" s="2091">
        <f t="shared" si="14"/>
        <v>1</v>
      </c>
      <c r="L110" s="4551"/>
      <c r="M110" s="5006"/>
      <c r="N110" s="5498"/>
      <c r="O110" s="4551"/>
      <c r="P110" s="1642"/>
      <c r="Q110" s="1643"/>
      <c r="R110" s="1759"/>
      <c r="S110" s="1642"/>
      <c r="T110" s="1643"/>
      <c r="U110" s="1759"/>
      <c r="V110" s="1642"/>
      <c r="W110" s="1643"/>
      <c r="X110" s="2085">
        <f t="shared" si="10"/>
        <v>0</v>
      </c>
    </row>
    <row r="111" spans="1:24" ht="18" customHeight="1">
      <c r="A111" s="2039"/>
      <c r="B111" s="1763"/>
      <c r="C111" s="1658"/>
      <c r="D111" s="1658"/>
      <c r="E111" s="2027"/>
      <c r="F111" s="10" t="str">
        <f t="shared" ref="F111:I130" si="15">F40</f>
        <v>FCM30-Lower Housing</v>
      </c>
      <c r="G111" s="2090" t="str">
        <f t="shared" si="15"/>
        <v/>
      </c>
      <c r="H111" s="2090">
        <f t="shared" si="15"/>
        <v>120000</v>
      </c>
      <c r="I111" s="2118">
        <f t="shared" si="15"/>
        <v>0</v>
      </c>
      <c r="J111" s="3397">
        <f t="shared" ref="J111:J130" si="16">J39</f>
        <v>17000</v>
      </c>
      <c r="K111" s="2091">
        <f t="shared" si="14"/>
        <v>0</v>
      </c>
      <c r="L111" s="4551">
        <v>1</v>
      </c>
      <c r="M111" s="5006"/>
      <c r="N111" s="5498"/>
      <c r="O111" s="4551"/>
      <c r="P111" s="1642"/>
      <c r="Q111" s="1643"/>
      <c r="R111" s="1759"/>
      <c r="S111" s="1642"/>
      <c r="T111" s="1643"/>
      <c r="U111" s="1759"/>
      <c r="V111" s="1642"/>
      <c r="W111" s="1643"/>
      <c r="X111" s="2085">
        <f t="shared" si="10"/>
        <v>1</v>
      </c>
    </row>
    <row r="112" spans="1:24" ht="18" customHeight="1">
      <c r="A112" s="2039"/>
      <c r="B112" s="1763"/>
      <c r="C112" s="1658"/>
      <c r="D112" s="1658"/>
      <c r="E112" s="2027"/>
      <c r="F112" s="10" t="str">
        <f t="shared" si="15"/>
        <v>OMS Entry Vcsel Cover(250A)</v>
      </c>
      <c r="G112" s="2090" t="str">
        <f t="shared" si="15"/>
        <v/>
      </c>
      <c r="H112" s="2090">
        <f t="shared" si="15"/>
        <v>120000</v>
      </c>
      <c r="I112" s="2118">
        <f t="shared" si="15"/>
        <v>0</v>
      </c>
      <c r="J112" s="3397">
        <f t="shared" si="16"/>
        <v>18000</v>
      </c>
      <c r="K112" s="2091">
        <f t="shared" si="14"/>
        <v>0</v>
      </c>
      <c r="L112" s="4551"/>
      <c r="M112" s="5006"/>
      <c r="N112" s="5498"/>
      <c r="O112" s="4551"/>
      <c r="P112" s="1642"/>
      <c r="Q112" s="1643"/>
      <c r="R112" s="1759"/>
      <c r="S112" s="1642"/>
      <c r="T112" s="1643"/>
      <c r="U112" s="1759"/>
      <c r="V112" s="1642"/>
      <c r="W112" s="1643"/>
      <c r="X112" s="2085">
        <f t="shared" si="10"/>
        <v>0</v>
      </c>
    </row>
    <row r="113" spans="1:24" ht="18" customHeight="1">
      <c r="A113" s="2039"/>
      <c r="B113" s="1763"/>
      <c r="C113" s="1658"/>
      <c r="D113" s="1658"/>
      <c r="E113" s="2027"/>
      <c r="F113" s="10" t="str">
        <f t="shared" si="15"/>
        <v>HKMC Ikc Camera Base</v>
      </c>
      <c r="G113" s="2090" t="str">
        <f t="shared" si="15"/>
        <v/>
      </c>
      <c r="H113" s="2090">
        <f t="shared" si="15"/>
        <v>120000</v>
      </c>
      <c r="I113" s="2118">
        <f t="shared" si="15"/>
        <v>0</v>
      </c>
      <c r="J113" s="3397">
        <f t="shared" si="16"/>
        <v>17000</v>
      </c>
      <c r="K113" s="2091">
        <f t="shared" si="14"/>
        <v>0</v>
      </c>
      <c r="L113" s="4551">
        <v>1</v>
      </c>
      <c r="M113" s="5006"/>
      <c r="N113" s="5498"/>
      <c r="O113" s="4551"/>
      <c r="P113" s="1642"/>
      <c r="Q113" s="1643"/>
      <c r="R113" s="1759"/>
      <c r="S113" s="1642"/>
      <c r="T113" s="1643"/>
      <c r="U113" s="1759"/>
      <c r="V113" s="1642"/>
      <c r="W113" s="1643"/>
      <c r="X113" s="2085">
        <f t="shared" si="10"/>
        <v>1</v>
      </c>
    </row>
    <row r="114" spans="1:24" ht="18" customHeight="1">
      <c r="A114" s="2039"/>
      <c r="B114" s="1763"/>
      <c r="C114" s="1658"/>
      <c r="D114" s="1658"/>
      <c r="E114" s="2027"/>
      <c r="F114" s="10" t="str">
        <f t="shared" si="15"/>
        <v>OMS Entry Lens Holder (203A)</v>
      </c>
      <c r="G114" s="2090" t="str">
        <f t="shared" si="15"/>
        <v/>
      </c>
      <c r="H114" s="2090">
        <f t="shared" si="15"/>
        <v>120000</v>
      </c>
      <c r="I114" s="2118">
        <f t="shared" si="15"/>
        <v>0</v>
      </c>
      <c r="J114" s="3397">
        <f t="shared" si="16"/>
        <v>17000</v>
      </c>
      <c r="K114" s="2091">
        <f t="shared" si="14"/>
        <v>0</v>
      </c>
      <c r="L114" s="4551"/>
      <c r="M114" s="5006"/>
      <c r="N114" s="5498"/>
      <c r="O114" s="4551"/>
      <c r="P114" s="1642"/>
      <c r="Q114" s="1643"/>
      <c r="R114" s="1759"/>
      <c r="S114" s="1642"/>
      <c r="T114" s="1643"/>
      <c r="U114" s="1759"/>
      <c r="V114" s="1642"/>
      <c r="W114" s="1643"/>
      <c r="X114" s="2085">
        <f t="shared" si="10"/>
        <v>0</v>
      </c>
    </row>
    <row r="115" spans="1:24" ht="18" customHeight="1">
      <c r="A115" s="2039"/>
      <c r="B115" s="1763"/>
      <c r="C115" s="1658"/>
      <c r="D115" s="1658"/>
      <c r="E115" s="2027"/>
      <c r="F115" s="10" t="str">
        <f t="shared" si="15"/>
        <v>OMS Front Lens Holder (207A)</v>
      </c>
      <c r="G115" s="2090" t="str">
        <f t="shared" si="15"/>
        <v/>
      </c>
      <c r="H115" s="2090">
        <f t="shared" si="15"/>
        <v>120000</v>
      </c>
      <c r="I115" s="2118">
        <f t="shared" si="15"/>
        <v>0</v>
      </c>
      <c r="J115" s="3397">
        <f t="shared" si="16"/>
        <v>17000</v>
      </c>
      <c r="K115" s="2091">
        <f t="shared" si="14"/>
        <v>0</v>
      </c>
      <c r="L115" s="4551"/>
      <c r="M115" s="5006"/>
      <c r="N115" s="5498"/>
      <c r="O115" s="4551"/>
      <c r="P115" s="1642"/>
      <c r="Q115" s="1643"/>
      <c r="R115" s="1759"/>
      <c r="S115" s="1642"/>
      <c r="T115" s="1643"/>
      <c r="U115" s="1759"/>
      <c r="V115" s="1642"/>
      <c r="W115" s="1643"/>
      <c r="X115" s="2085">
        <f t="shared" si="10"/>
        <v>0</v>
      </c>
    </row>
    <row r="116" spans="1:24" ht="18" customHeight="1">
      <c r="A116" s="2039"/>
      <c r="B116" s="1763"/>
      <c r="C116" s="1658"/>
      <c r="D116" s="1658"/>
      <c r="E116" s="2027">
        <v>22</v>
      </c>
      <c r="F116" s="10" t="str">
        <f t="shared" si="15"/>
        <v>MPC5.5 Cover Lens</v>
      </c>
      <c r="G116" s="2090">
        <f t="shared" si="15"/>
        <v>4</v>
      </c>
      <c r="H116" s="2090">
        <f t="shared" si="15"/>
        <v>120000</v>
      </c>
      <c r="I116" s="2118">
        <f t="shared" si="15"/>
        <v>0</v>
      </c>
      <c r="J116" s="3397">
        <f t="shared" si="16"/>
        <v>17000</v>
      </c>
      <c r="K116" s="2091">
        <f t="shared" si="14"/>
        <v>4</v>
      </c>
      <c r="L116" s="4551">
        <v>1</v>
      </c>
      <c r="M116" s="5006"/>
      <c r="N116" s="5498"/>
      <c r="O116" s="4551"/>
      <c r="P116" s="1642"/>
      <c r="Q116" s="1643"/>
      <c r="R116" s="1759"/>
      <c r="S116" s="1642"/>
      <c r="T116" s="1643"/>
      <c r="U116" s="1759"/>
      <c r="V116" s="1642"/>
      <c r="W116" s="1643"/>
      <c r="X116" s="2085">
        <f t="shared" si="10"/>
        <v>1</v>
      </c>
    </row>
    <row r="117" spans="1:24" ht="18" customHeight="1">
      <c r="A117" s="2039"/>
      <c r="B117" s="1763"/>
      <c r="C117" s="1713"/>
      <c r="D117" s="1713"/>
      <c r="E117" s="2117"/>
      <c r="F117" s="6" t="str">
        <f t="shared" si="15"/>
        <v xml:space="preserve">FCM30 Lens Holder </v>
      </c>
      <c r="G117" s="2098" t="str">
        <f t="shared" si="15"/>
        <v/>
      </c>
      <c r="H117" s="2098">
        <f t="shared" si="15"/>
        <v>120000</v>
      </c>
      <c r="I117" s="2124">
        <f t="shared" si="15"/>
        <v>0</v>
      </c>
      <c r="J117" s="3398">
        <f t="shared" si="16"/>
        <v>17000</v>
      </c>
      <c r="K117" s="3425">
        <f t="shared" si="14"/>
        <v>0</v>
      </c>
      <c r="L117" s="4552"/>
      <c r="M117" s="5007">
        <v>1</v>
      </c>
      <c r="N117" s="5499"/>
      <c r="O117" s="4552"/>
      <c r="P117" s="1717"/>
      <c r="Q117" s="1718"/>
      <c r="R117" s="1801"/>
      <c r="S117" s="1717"/>
      <c r="T117" s="1718"/>
      <c r="U117" s="1801"/>
      <c r="V117" s="1717"/>
      <c r="W117" s="1718"/>
      <c r="X117" s="2099">
        <f t="shared" si="10"/>
        <v>1</v>
      </c>
    </row>
    <row r="118" spans="1:24" ht="18" customHeight="1">
      <c r="A118" s="2039"/>
      <c r="B118" s="1763"/>
      <c r="C118" s="1582" t="s">
        <v>398</v>
      </c>
      <c r="D118" s="1583" t="s">
        <v>848</v>
      </c>
      <c r="E118" s="2027">
        <v>23</v>
      </c>
      <c r="F118" s="10" t="str">
        <f t="shared" si="15"/>
        <v>NX4 HSG</v>
      </c>
      <c r="G118" s="2090">
        <f t="shared" si="15"/>
        <v>4</v>
      </c>
      <c r="H118" s="2090">
        <f t="shared" si="15"/>
        <v>100000</v>
      </c>
      <c r="I118" s="2118">
        <f t="shared" si="15"/>
        <v>0</v>
      </c>
      <c r="J118" s="3397">
        <f t="shared" si="16"/>
        <v>17000</v>
      </c>
      <c r="K118" s="2091">
        <f t="shared" si="14"/>
        <v>2</v>
      </c>
      <c r="L118" s="4551"/>
      <c r="M118" s="5006"/>
      <c r="N118" s="5498"/>
      <c r="O118" s="4551"/>
      <c r="P118" s="1642"/>
      <c r="Q118" s="1643"/>
      <c r="R118" s="1759"/>
      <c r="S118" s="1642"/>
      <c r="T118" s="1643"/>
      <c r="U118" s="1759"/>
      <c r="V118" s="1642"/>
      <c r="W118" s="1643"/>
      <c r="X118" s="2085">
        <f t="shared" si="10"/>
        <v>0</v>
      </c>
    </row>
    <row r="119" spans="1:24" ht="18" customHeight="1">
      <c r="A119" s="2039"/>
      <c r="B119" s="1763"/>
      <c r="C119" s="10"/>
      <c r="D119" s="1588"/>
      <c r="E119" s="2027">
        <v>24</v>
      </c>
      <c r="F119" s="10" t="str">
        <f t="shared" si="15"/>
        <v>IMEB2 Housing</v>
      </c>
      <c r="G119" s="2090">
        <f t="shared" si="15"/>
        <v>4</v>
      </c>
      <c r="H119" s="2090">
        <f t="shared" si="15"/>
        <v>100000</v>
      </c>
      <c r="I119" s="2118">
        <f t="shared" si="15"/>
        <v>0</v>
      </c>
      <c r="J119" s="3397">
        <f t="shared" si="16"/>
        <v>18000</v>
      </c>
      <c r="K119" s="2091">
        <f t="shared" si="14"/>
        <v>2</v>
      </c>
      <c r="L119" s="4551"/>
      <c r="M119" s="5006">
        <v>1</v>
      </c>
      <c r="N119" s="5498"/>
      <c r="O119" s="4551"/>
      <c r="P119" s="1642">
        <v>1</v>
      </c>
      <c r="Q119" s="1643"/>
      <c r="R119" s="1759"/>
      <c r="S119" s="1642"/>
      <c r="T119" s="1643"/>
      <c r="U119" s="1759"/>
      <c r="V119" s="1642"/>
      <c r="W119" s="1643"/>
      <c r="X119" s="2085">
        <f t="shared" si="10"/>
        <v>2</v>
      </c>
    </row>
    <row r="120" spans="1:24" ht="18" customHeight="1">
      <c r="A120" s="2039"/>
      <c r="B120" s="1763"/>
      <c r="C120" s="10"/>
      <c r="D120" s="1588"/>
      <c r="E120" s="2027">
        <v>25</v>
      </c>
      <c r="F120" s="10" t="str">
        <f t="shared" si="15"/>
        <v>J100 Housing</v>
      </c>
      <c r="G120" s="2090">
        <f t="shared" si="15"/>
        <v>4</v>
      </c>
      <c r="H120" s="2090">
        <f t="shared" si="15"/>
        <v>100000</v>
      </c>
      <c r="I120" s="2118">
        <f t="shared" si="15"/>
        <v>0</v>
      </c>
      <c r="J120" s="3397">
        <f t="shared" si="16"/>
        <v>18000</v>
      </c>
      <c r="K120" s="2091">
        <f t="shared" si="14"/>
        <v>1</v>
      </c>
      <c r="L120" s="4551">
        <v>1</v>
      </c>
      <c r="M120" s="5006"/>
      <c r="N120" s="5498"/>
      <c r="O120" s="4551"/>
      <c r="P120" s="1642"/>
      <c r="Q120" s="1643">
        <v>1</v>
      </c>
      <c r="R120" s="1759"/>
      <c r="S120" s="1642"/>
      <c r="T120" s="1643"/>
      <c r="U120" s="1759"/>
      <c r="V120" s="1642"/>
      <c r="W120" s="1643"/>
      <c r="X120" s="2085">
        <f t="shared" si="10"/>
        <v>2</v>
      </c>
    </row>
    <row r="121" spans="1:24" ht="18" customHeight="1">
      <c r="A121" s="2039"/>
      <c r="B121" s="1763"/>
      <c r="C121" s="10"/>
      <c r="D121" s="1588"/>
      <c r="E121" s="2027"/>
      <c r="F121" s="10" t="str">
        <f t="shared" si="15"/>
        <v>BENZ R-EPS HSG (Anodizing)</v>
      </c>
      <c r="G121" s="2090" t="str">
        <f t="shared" si="15"/>
        <v/>
      </c>
      <c r="H121" s="2090">
        <f t="shared" si="15"/>
        <v>100000</v>
      </c>
      <c r="I121" s="2118">
        <f t="shared" si="15"/>
        <v>0</v>
      </c>
      <c r="J121" s="3397">
        <f t="shared" si="16"/>
        <v>18000</v>
      </c>
      <c r="K121" s="2091">
        <f t="shared" si="14"/>
        <v>0</v>
      </c>
      <c r="L121" s="4551">
        <v>1</v>
      </c>
      <c r="M121" s="5006"/>
      <c r="N121" s="5498"/>
      <c r="O121" s="4551"/>
      <c r="P121" s="1642"/>
      <c r="Q121" s="1643"/>
      <c r="R121" s="1759"/>
      <c r="S121" s="1642"/>
      <c r="T121" s="1643"/>
      <c r="U121" s="1759"/>
      <c r="V121" s="1642"/>
      <c r="W121" s="1643"/>
      <c r="X121" s="2085">
        <f t="shared" si="10"/>
        <v>1</v>
      </c>
    </row>
    <row r="122" spans="1:24" ht="18" customHeight="1">
      <c r="A122" s="2039"/>
      <c r="B122" s="1763"/>
      <c r="C122" s="10"/>
      <c r="D122" s="1588"/>
      <c r="E122" s="2027"/>
      <c r="F122" s="10" t="str">
        <f t="shared" si="15"/>
        <v>NE2 R-EPS HSG</v>
      </c>
      <c r="G122" s="2090" t="str">
        <f t="shared" si="15"/>
        <v/>
      </c>
      <c r="H122" s="2090">
        <f t="shared" si="15"/>
        <v>100000</v>
      </c>
      <c r="I122" s="2118">
        <f t="shared" si="15"/>
        <v>0</v>
      </c>
      <c r="J122" s="3397">
        <f t="shared" si="16"/>
        <v>18000</v>
      </c>
      <c r="K122" s="2091">
        <f t="shared" si="14"/>
        <v>0</v>
      </c>
      <c r="L122" s="4551">
        <v>1</v>
      </c>
      <c r="M122" s="5006"/>
      <c r="N122" s="5498"/>
      <c r="O122" s="4551"/>
      <c r="P122" s="1642"/>
      <c r="Q122" s="1643"/>
      <c r="R122" s="1759"/>
      <c r="S122" s="1642"/>
      <c r="T122" s="1643"/>
      <c r="U122" s="1759"/>
      <c r="V122" s="1642"/>
      <c r="W122" s="1643"/>
      <c r="X122" s="2085">
        <f t="shared" si="10"/>
        <v>1</v>
      </c>
    </row>
    <row r="123" spans="1:24" ht="18" customHeight="1">
      <c r="A123" s="2039"/>
      <c r="B123" s="1763"/>
      <c r="C123" s="10"/>
      <c r="D123" s="1588"/>
      <c r="E123" s="2122"/>
      <c r="F123" s="1576" t="str">
        <f t="shared" si="15"/>
        <v>M184 R-EPS HSG</v>
      </c>
      <c r="G123" s="2095" t="str">
        <f t="shared" si="15"/>
        <v/>
      </c>
      <c r="H123" s="2095">
        <f t="shared" si="15"/>
        <v>100000</v>
      </c>
      <c r="I123" s="2123">
        <f t="shared" si="15"/>
        <v>0</v>
      </c>
      <c r="J123" s="3404">
        <f t="shared" si="16"/>
        <v>18000</v>
      </c>
      <c r="K123" s="3424">
        <f t="shared" si="14"/>
        <v>0</v>
      </c>
      <c r="L123" s="4515"/>
      <c r="M123" s="5054"/>
      <c r="N123" s="5524"/>
      <c r="O123" s="4515"/>
      <c r="P123" s="1755"/>
      <c r="Q123" s="1756"/>
      <c r="R123" s="2096"/>
      <c r="S123" s="1755"/>
      <c r="T123" s="1756"/>
      <c r="U123" s="2096"/>
      <c r="V123" s="1755"/>
      <c r="W123" s="1756"/>
      <c r="X123" s="2097">
        <f t="shared" si="10"/>
        <v>0</v>
      </c>
    </row>
    <row r="124" spans="1:24" ht="18" customHeight="1">
      <c r="A124" s="2039"/>
      <c r="B124" s="1763"/>
      <c r="C124" s="10"/>
      <c r="D124" s="7" t="s">
        <v>857</v>
      </c>
      <c r="E124" s="2027">
        <v>26</v>
      </c>
      <c r="F124" s="10" t="str">
        <f t="shared" si="15"/>
        <v>NX4 Cover</v>
      </c>
      <c r="G124" s="2090">
        <f t="shared" si="15"/>
        <v>2</v>
      </c>
      <c r="H124" s="2090">
        <f t="shared" si="15"/>
        <v>100000</v>
      </c>
      <c r="I124" s="2118">
        <f t="shared" si="15"/>
        <v>0</v>
      </c>
      <c r="J124" s="3397">
        <f t="shared" si="16"/>
        <v>18000</v>
      </c>
      <c r="K124" s="2091">
        <f t="shared" si="14"/>
        <v>4</v>
      </c>
      <c r="L124" s="4551"/>
      <c r="M124" s="5006"/>
      <c r="N124" s="5498"/>
      <c r="O124" s="4551"/>
      <c r="P124" s="1642"/>
      <c r="Q124" s="1643"/>
      <c r="R124" s="1759"/>
      <c r="S124" s="1642"/>
      <c r="T124" s="1643"/>
      <c r="U124" s="1759"/>
      <c r="V124" s="1642"/>
      <c r="W124" s="1643"/>
      <c r="X124" s="2085">
        <f t="shared" ref="X124:X144" si="17">SUM(L124:W124)</f>
        <v>0</v>
      </c>
    </row>
    <row r="125" spans="1:24" ht="18" customHeight="1">
      <c r="A125" s="2039"/>
      <c r="B125" s="1763"/>
      <c r="C125" s="10"/>
      <c r="D125" s="1576"/>
      <c r="E125" s="2122">
        <v>27</v>
      </c>
      <c r="F125" s="1576" t="str">
        <f t="shared" si="15"/>
        <v>Tey Gen4 Cover</v>
      </c>
      <c r="G125" s="2095">
        <f t="shared" si="15"/>
        <v>2</v>
      </c>
      <c r="H125" s="2095">
        <f t="shared" si="15"/>
        <v>100000</v>
      </c>
      <c r="I125" s="2123">
        <f t="shared" si="15"/>
        <v>0</v>
      </c>
      <c r="J125" s="3404">
        <f t="shared" si="16"/>
        <v>17000</v>
      </c>
      <c r="K125" s="3424">
        <f t="shared" si="14"/>
        <v>6</v>
      </c>
      <c r="L125" s="4515"/>
      <c r="M125" s="5054"/>
      <c r="N125" s="5524">
        <v>1</v>
      </c>
      <c r="O125" s="4515">
        <v>1</v>
      </c>
      <c r="P125" s="1755">
        <v>1</v>
      </c>
      <c r="Q125" s="1756">
        <v>1</v>
      </c>
      <c r="R125" s="2096">
        <v>1</v>
      </c>
      <c r="S125" s="1755"/>
      <c r="T125" s="1756"/>
      <c r="U125" s="2096"/>
      <c r="V125" s="1755"/>
      <c r="W125" s="1756"/>
      <c r="X125" s="2097">
        <f t="shared" si="17"/>
        <v>5</v>
      </c>
    </row>
    <row r="126" spans="1:24" ht="18" customHeight="1">
      <c r="A126" s="2039"/>
      <c r="B126" s="1763"/>
      <c r="C126" s="10"/>
      <c r="D126" s="8"/>
      <c r="E126" s="2027">
        <v>28</v>
      </c>
      <c r="F126" s="10" t="str">
        <f t="shared" si="15"/>
        <v>CEER RWA CVR-만도향</v>
      </c>
      <c r="G126" s="2090">
        <f t="shared" si="15"/>
        <v>2</v>
      </c>
      <c r="H126" s="2090">
        <f t="shared" si="15"/>
        <v>100000</v>
      </c>
      <c r="I126" s="2118">
        <f t="shared" si="15"/>
        <v>0</v>
      </c>
      <c r="J126" s="3397">
        <f t="shared" si="16"/>
        <v>17000</v>
      </c>
      <c r="K126" s="2091">
        <f t="shared" si="14"/>
        <v>0</v>
      </c>
      <c r="L126" s="4551"/>
      <c r="M126" s="5006"/>
      <c r="N126" s="5498">
        <v>1</v>
      </c>
      <c r="O126" s="4551">
        <v>1</v>
      </c>
      <c r="P126" s="1642">
        <v>1</v>
      </c>
      <c r="Q126" s="1643">
        <v>1</v>
      </c>
      <c r="R126" s="1759"/>
      <c r="S126" s="1642"/>
      <c r="T126" s="1643"/>
      <c r="U126" s="1759"/>
      <c r="V126" s="1642"/>
      <c r="W126" s="1643"/>
      <c r="X126" s="2085">
        <f t="shared" si="17"/>
        <v>4</v>
      </c>
    </row>
    <row r="127" spans="1:24" ht="18" customHeight="1">
      <c r="A127" s="2039"/>
      <c r="B127" s="1763"/>
      <c r="C127" s="10"/>
      <c r="D127" s="8"/>
      <c r="E127" s="2027">
        <v>29</v>
      </c>
      <c r="F127" s="10" t="str">
        <f t="shared" si="15"/>
        <v>CEER RWS CVR-만도향</v>
      </c>
      <c r="G127" s="2090">
        <f t="shared" si="15"/>
        <v>2</v>
      </c>
      <c r="H127" s="2090">
        <f t="shared" si="15"/>
        <v>100000</v>
      </c>
      <c r="I127" s="2118">
        <f t="shared" si="15"/>
        <v>0</v>
      </c>
      <c r="J127" s="3397">
        <f t="shared" si="16"/>
        <v>17000</v>
      </c>
      <c r="K127" s="2091">
        <f t="shared" si="14"/>
        <v>1</v>
      </c>
      <c r="L127" s="4551"/>
      <c r="M127" s="5006"/>
      <c r="N127" s="5498"/>
      <c r="O127" s="4551"/>
      <c r="P127" s="1642"/>
      <c r="Q127" s="1643"/>
      <c r="R127" s="1759"/>
      <c r="S127" s="1642">
        <v>1</v>
      </c>
      <c r="T127" s="1643"/>
      <c r="U127" s="1759"/>
      <c r="V127" s="1642"/>
      <c r="W127" s="1643"/>
      <c r="X127" s="2085">
        <f t="shared" si="17"/>
        <v>1</v>
      </c>
    </row>
    <row r="128" spans="1:24" ht="18" customHeight="1">
      <c r="A128" s="2039"/>
      <c r="B128" s="1763"/>
      <c r="C128" s="10"/>
      <c r="D128" s="8"/>
      <c r="E128" s="2027">
        <v>30</v>
      </c>
      <c r="F128" s="10" t="str">
        <f t="shared" si="15"/>
        <v>JG R-EPS CVR-만도향</v>
      </c>
      <c r="G128" s="2090">
        <f t="shared" si="15"/>
        <v>1</v>
      </c>
      <c r="H128" s="2090">
        <f t="shared" si="15"/>
        <v>100000</v>
      </c>
      <c r="I128" s="2118">
        <f t="shared" si="15"/>
        <v>0</v>
      </c>
      <c r="J128" s="3397">
        <f t="shared" si="16"/>
        <v>17000</v>
      </c>
      <c r="K128" s="2091">
        <f t="shared" si="14"/>
        <v>1</v>
      </c>
      <c r="L128" s="4551"/>
      <c r="M128" s="5006"/>
      <c r="N128" s="5498"/>
      <c r="O128" s="4551"/>
      <c r="P128" s="1642"/>
      <c r="Q128" s="1643"/>
      <c r="R128" s="1759"/>
      <c r="S128" s="1642"/>
      <c r="T128" s="1643"/>
      <c r="U128" s="1759"/>
      <c r="V128" s="1642"/>
      <c r="W128" s="1643"/>
      <c r="X128" s="2085">
        <f t="shared" si="17"/>
        <v>0</v>
      </c>
    </row>
    <row r="129" spans="1:24" ht="18" customHeight="1">
      <c r="A129" s="2039"/>
      <c r="B129" s="1763"/>
      <c r="C129" s="10"/>
      <c r="D129" s="8"/>
      <c r="E129" s="2027">
        <v>31</v>
      </c>
      <c r="F129" s="10" t="str">
        <f t="shared" si="15"/>
        <v>JG RWS CVR-만도향</v>
      </c>
      <c r="G129" s="2090">
        <f t="shared" si="15"/>
        <v>1</v>
      </c>
      <c r="H129" s="2090">
        <f t="shared" si="15"/>
        <v>100000</v>
      </c>
      <c r="I129" s="2118">
        <f t="shared" si="15"/>
        <v>0</v>
      </c>
      <c r="J129" s="3397">
        <f t="shared" si="16"/>
        <v>17000</v>
      </c>
      <c r="K129" s="2091">
        <f t="shared" si="14"/>
        <v>1</v>
      </c>
      <c r="L129" s="4551"/>
      <c r="M129" s="5006"/>
      <c r="N129" s="5498"/>
      <c r="O129" s="4551"/>
      <c r="P129" s="1642"/>
      <c r="Q129" s="1643"/>
      <c r="R129" s="1759"/>
      <c r="S129" s="1642"/>
      <c r="T129" s="1643"/>
      <c r="U129" s="1759"/>
      <c r="V129" s="1642"/>
      <c r="W129" s="1643"/>
      <c r="X129" s="2085">
        <f t="shared" si="17"/>
        <v>0</v>
      </c>
    </row>
    <row r="130" spans="1:24" ht="18" customHeight="1">
      <c r="A130" s="2039"/>
      <c r="B130" s="1763"/>
      <c r="C130" s="6"/>
      <c r="D130" s="1596" t="s">
        <v>875</v>
      </c>
      <c r="E130" s="2117">
        <v>32</v>
      </c>
      <c r="F130" s="6" t="str">
        <f t="shared" si="15"/>
        <v>MAS65 Heatsink Cover</v>
      </c>
      <c r="G130" s="2098">
        <v>2</v>
      </c>
      <c r="H130" s="2098">
        <f t="shared" si="15"/>
        <v>100000</v>
      </c>
      <c r="I130" s="2124">
        <f t="shared" si="15"/>
        <v>0</v>
      </c>
      <c r="J130" s="3398">
        <f t="shared" si="16"/>
        <v>17000</v>
      </c>
      <c r="K130" s="3425">
        <f t="shared" si="14"/>
        <v>6</v>
      </c>
      <c r="L130" s="4552">
        <v>1</v>
      </c>
      <c r="M130" s="5007">
        <v>1</v>
      </c>
      <c r="N130" s="5499">
        <v>1</v>
      </c>
      <c r="O130" s="4552">
        <v>1</v>
      </c>
      <c r="P130" s="1717">
        <v>1</v>
      </c>
      <c r="Q130" s="1718"/>
      <c r="R130" s="1801"/>
      <c r="S130" s="1717"/>
      <c r="T130" s="1718"/>
      <c r="U130" s="1801"/>
      <c r="V130" s="1717"/>
      <c r="W130" s="1718"/>
      <c r="X130" s="2099">
        <f t="shared" si="17"/>
        <v>5</v>
      </c>
    </row>
    <row r="131" spans="1:24" ht="18" customHeight="1">
      <c r="A131" s="2039"/>
      <c r="B131" s="1763"/>
      <c r="C131" s="10" t="s">
        <v>400</v>
      </c>
      <c r="D131" s="1588" t="s">
        <v>991</v>
      </c>
      <c r="E131" s="3744">
        <v>33</v>
      </c>
      <c r="F131" s="3507" t="str">
        <f t="shared" ref="F131:I142" si="18">F60</f>
        <v>FCA Housing</v>
      </c>
      <c r="G131" s="3745">
        <f t="shared" si="18"/>
        <v>4</v>
      </c>
      <c r="H131" s="3745">
        <f t="shared" si="18"/>
        <v>100000</v>
      </c>
      <c r="I131" s="2119">
        <f t="shared" si="18"/>
        <v>0</v>
      </c>
      <c r="J131" s="3399">
        <f t="shared" ref="J131:J142" si="19">J59</f>
        <v>17000</v>
      </c>
      <c r="K131" s="2083">
        <f t="shared" si="14"/>
        <v>3</v>
      </c>
      <c r="L131" s="4550"/>
      <c r="M131" s="5268"/>
      <c r="N131" s="5523"/>
      <c r="O131" s="4550">
        <v>1</v>
      </c>
      <c r="P131" s="3390"/>
      <c r="Q131" s="3391"/>
      <c r="R131" s="2088">
        <v>1</v>
      </c>
      <c r="S131" s="3390"/>
      <c r="T131" s="3391"/>
      <c r="U131" s="2088"/>
      <c r="V131" s="3390"/>
      <c r="W131" s="3391"/>
      <c r="X131" s="2089">
        <f t="shared" si="17"/>
        <v>2</v>
      </c>
    </row>
    <row r="132" spans="1:24" ht="18" customHeight="1">
      <c r="A132" s="2039"/>
      <c r="B132" s="1763"/>
      <c r="C132" s="10"/>
      <c r="D132" s="10"/>
      <c r="E132" s="2027">
        <v>34</v>
      </c>
      <c r="F132" s="10" t="str">
        <f t="shared" si="18"/>
        <v>GM EU2L Housing</v>
      </c>
      <c r="G132" s="2090">
        <f t="shared" si="18"/>
        <v>4</v>
      </c>
      <c r="H132" s="2090">
        <f t="shared" si="18"/>
        <v>100000</v>
      </c>
      <c r="I132" s="2118">
        <f t="shared" si="18"/>
        <v>0</v>
      </c>
      <c r="J132" s="3397">
        <f t="shared" si="19"/>
        <v>18000</v>
      </c>
      <c r="K132" s="2091">
        <f t="shared" si="14"/>
        <v>2</v>
      </c>
      <c r="L132" s="4551"/>
      <c r="M132" s="5006"/>
      <c r="N132" s="5498">
        <v>1</v>
      </c>
      <c r="O132" s="4551"/>
      <c r="P132" s="1642"/>
      <c r="Q132" s="1643"/>
      <c r="R132" s="1759"/>
      <c r="S132" s="1642"/>
      <c r="T132" s="1643">
        <v>1</v>
      </c>
      <c r="U132" s="1759"/>
      <c r="V132" s="1642"/>
      <c r="W132" s="1643"/>
      <c r="X132" s="2085">
        <f t="shared" si="17"/>
        <v>2</v>
      </c>
    </row>
    <row r="133" spans="1:24" ht="18" customHeight="1">
      <c r="A133" s="2039"/>
      <c r="B133" s="1763"/>
      <c r="C133" s="10"/>
      <c r="D133" s="1576"/>
      <c r="E133" s="2122">
        <v>35</v>
      </c>
      <c r="F133" s="1576" t="str">
        <f t="shared" si="18"/>
        <v>GM ACP Housing</v>
      </c>
      <c r="G133" s="2095">
        <f t="shared" si="18"/>
        <v>2</v>
      </c>
      <c r="H133" s="2095">
        <f t="shared" si="18"/>
        <v>100000</v>
      </c>
      <c r="I133" s="2123">
        <f t="shared" si="18"/>
        <v>0</v>
      </c>
      <c r="J133" s="3404">
        <f t="shared" si="19"/>
        <v>18000</v>
      </c>
      <c r="K133" s="3424">
        <f t="shared" si="14"/>
        <v>7</v>
      </c>
      <c r="L133" s="4515">
        <v>1</v>
      </c>
      <c r="M133" s="5054"/>
      <c r="N133" s="5524">
        <v>1</v>
      </c>
      <c r="O133" s="4515"/>
      <c r="P133" s="1755">
        <v>1</v>
      </c>
      <c r="Q133" s="1756">
        <v>1</v>
      </c>
      <c r="R133" s="2096">
        <v>1</v>
      </c>
      <c r="S133" s="1755">
        <v>1</v>
      </c>
      <c r="T133" s="1756">
        <v>1</v>
      </c>
      <c r="U133" s="2096">
        <v>1</v>
      </c>
      <c r="V133" s="1755">
        <v>1</v>
      </c>
      <c r="W133" s="1756"/>
      <c r="X133" s="2097">
        <f t="shared" si="17"/>
        <v>9</v>
      </c>
    </row>
    <row r="134" spans="1:24" ht="18" customHeight="1">
      <c r="A134" s="2039"/>
      <c r="B134" s="1763"/>
      <c r="C134" s="10"/>
      <c r="D134" s="10" t="s">
        <v>992</v>
      </c>
      <c r="E134" s="2027">
        <v>36</v>
      </c>
      <c r="F134" s="10" t="str">
        <f t="shared" si="18"/>
        <v>FCA Cover</v>
      </c>
      <c r="G134" s="2090">
        <f t="shared" si="18"/>
        <v>2</v>
      </c>
      <c r="H134" s="2090">
        <f t="shared" si="18"/>
        <v>100000</v>
      </c>
      <c r="I134" s="2118">
        <f t="shared" si="18"/>
        <v>0</v>
      </c>
      <c r="J134" s="3397">
        <f t="shared" si="19"/>
        <v>18000</v>
      </c>
      <c r="K134" s="2091">
        <f t="shared" si="14"/>
        <v>4</v>
      </c>
      <c r="L134" s="4551">
        <v>1</v>
      </c>
      <c r="M134" s="5006">
        <v>1</v>
      </c>
      <c r="N134" s="5498"/>
      <c r="O134" s="4551"/>
      <c r="P134" s="1642"/>
      <c r="Q134" s="1643">
        <v>1</v>
      </c>
      <c r="R134" s="1759"/>
      <c r="S134" s="1642"/>
      <c r="T134" s="1643">
        <v>1</v>
      </c>
      <c r="U134" s="1759"/>
      <c r="V134" s="1642"/>
      <c r="W134" s="1643"/>
      <c r="X134" s="2085">
        <f t="shared" si="17"/>
        <v>4</v>
      </c>
    </row>
    <row r="135" spans="1:24" ht="18" customHeight="1">
      <c r="A135" s="2039"/>
      <c r="B135" s="1763"/>
      <c r="C135" s="10"/>
      <c r="D135" s="10"/>
      <c r="E135" s="2027">
        <v>37</v>
      </c>
      <c r="F135" s="10" t="str">
        <f t="shared" si="18"/>
        <v>GM EU2L Cover</v>
      </c>
      <c r="G135" s="2090">
        <f t="shared" si="18"/>
        <v>2</v>
      </c>
      <c r="H135" s="2090">
        <f t="shared" si="18"/>
        <v>100000</v>
      </c>
      <c r="I135" s="2118">
        <f t="shared" si="18"/>
        <v>0</v>
      </c>
      <c r="J135" s="3397">
        <f t="shared" si="19"/>
        <v>20000</v>
      </c>
      <c r="K135" s="2091">
        <f t="shared" si="14"/>
        <v>4</v>
      </c>
      <c r="L135" s="4551"/>
      <c r="M135" s="5006">
        <v>1</v>
      </c>
      <c r="N135" s="5498"/>
      <c r="O135" s="4551"/>
      <c r="P135" s="1642">
        <v>1</v>
      </c>
      <c r="Q135" s="1643"/>
      <c r="R135" s="1759"/>
      <c r="S135" s="1642"/>
      <c r="T135" s="1643">
        <v>1</v>
      </c>
      <c r="U135" s="1759"/>
      <c r="V135" s="1642"/>
      <c r="W135" s="1643">
        <v>1</v>
      </c>
      <c r="X135" s="2085">
        <f t="shared" si="17"/>
        <v>4</v>
      </c>
    </row>
    <row r="136" spans="1:24" ht="18" customHeight="1">
      <c r="A136" s="2039"/>
      <c r="B136" s="1763"/>
      <c r="C136" s="8"/>
      <c r="D136" s="1576"/>
      <c r="E136" s="2027">
        <v>38</v>
      </c>
      <c r="F136" s="10" t="str">
        <f t="shared" si="18"/>
        <v>GM ACP Cover</v>
      </c>
      <c r="G136" s="2090" t="str">
        <f t="shared" si="18"/>
        <v/>
      </c>
      <c r="H136" s="2090">
        <f t="shared" si="18"/>
        <v>100000</v>
      </c>
      <c r="I136" s="2118">
        <f t="shared" si="18"/>
        <v>0</v>
      </c>
      <c r="J136" s="3397">
        <f t="shared" si="19"/>
        <v>20000</v>
      </c>
      <c r="K136" s="2091">
        <f t="shared" si="14"/>
        <v>0</v>
      </c>
      <c r="L136" s="4551"/>
      <c r="M136" s="5006">
        <v>1</v>
      </c>
      <c r="N136" s="5498"/>
      <c r="O136" s="4551"/>
      <c r="P136" s="1642"/>
      <c r="Q136" s="1643">
        <v>1</v>
      </c>
      <c r="R136" s="1759">
        <v>1</v>
      </c>
      <c r="S136" s="1642">
        <v>1</v>
      </c>
      <c r="T136" s="1643">
        <v>1</v>
      </c>
      <c r="U136" s="1759">
        <v>1</v>
      </c>
      <c r="V136" s="1642">
        <v>1</v>
      </c>
      <c r="W136" s="1643">
        <v>1</v>
      </c>
      <c r="X136" s="2085">
        <f t="shared" si="17"/>
        <v>8</v>
      </c>
    </row>
    <row r="137" spans="1:24" ht="18" customHeight="1">
      <c r="A137" s="2039"/>
      <c r="B137" s="1763"/>
      <c r="C137" s="8"/>
      <c r="D137" s="10" t="s">
        <v>868</v>
      </c>
      <c r="E137" s="2122">
        <v>39</v>
      </c>
      <c r="F137" s="1576" t="str">
        <f t="shared" si="18"/>
        <v>Lens Mount</v>
      </c>
      <c r="G137" s="2095">
        <f t="shared" si="18"/>
        <v>4</v>
      </c>
      <c r="H137" s="2095">
        <f t="shared" si="18"/>
        <v>100000</v>
      </c>
      <c r="I137" s="2123">
        <f t="shared" si="18"/>
        <v>0</v>
      </c>
      <c r="J137" s="3404">
        <f t="shared" si="19"/>
        <v>12000</v>
      </c>
      <c r="K137" s="3424">
        <f t="shared" si="14"/>
        <v>9</v>
      </c>
      <c r="L137" s="4515">
        <v>1</v>
      </c>
      <c r="M137" s="5054"/>
      <c r="N137" s="5524">
        <v>1</v>
      </c>
      <c r="O137" s="4515">
        <v>1</v>
      </c>
      <c r="P137" s="1755">
        <v>1</v>
      </c>
      <c r="Q137" s="1756">
        <v>1</v>
      </c>
      <c r="R137" s="2096">
        <v>1</v>
      </c>
      <c r="S137" s="1755"/>
      <c r="T137" s="1756"/>
      <c r="U137" s="2096">
        <v>1</v>
      </c>
      <c r="V137" s="1755">
        <v>1</v>
      </c>
      <c r="W137" s="1756"/>
      <c r="X137" s="2097">
        <f t="shared" si="17"/>
        <v>8</v>
      </c>
    </row>
    <row r="138" spans="1:24" s="1569" customFormat="1" ht="18" customHeight="1">
      <c r="A138" s="2039"/>
      <c r="B138" s="1763"/>
      <c r="C138" s="8"/>
      <c r="D138" s="7" t="s">
        <v>875</v>
      </c>
      <c r="E138" s="2027">
        <v>40</v>
      </c>
      <c r="F138" s="10" t="str">
        <f t="shared" si="18"/>
        <v>IPM 1.0 Housing</v>
      </c>
      <c r="G138" s="2090" t="str">
        <f t="shared" si="18"/>
        <v/>
      </c>
      <c r="H138" s="2090">
        <f t="shared" si="18"/>
        <v>100000</v>
      </c>
      <c r="I138" s="2118">
        <f t="shared" si="18"/>
        <v>0</v>
      </c>
      <c r="J138" s="3397">
        <f t="shared" si="19"/>
        <v>12000</v>
      </c>
      <c r="K138" s="2091">
        <f t="shared" si="14"/>
        <v>0</v>
      </c>
      <c r="L138" s="4551">
        <v>1</v>
      </c>
      <c r="M138" s="5006"/>
      <c r="N138" s="5498"/>
      <c r="O138" s="4551"/>
      <c r="P138" s="1642"/>
      <c r="Q138" s="1643"/>
      <c r="R138" s="1759"/>
      <c r="S138" s="1642"/>
      <c r="T138" s="1643"/>
      <c r="U138" s="1759"/>
      <c r="V138" s="1642"/>
      <c r="W138" s="1643"/>
      <c r="X138" s="2085">
        <f t="shared" si="17"/>
        <v>1</v>
      </c>
    </row>
    <row r="139" spans="1:24" ht="18" customHeight="1">
      <c r="A139" s="2039"/>
      <c r="B139" s="1763"/>
      <c r="C139" s="8"/>
      <c r="D139" s="10"/>
      <c r="E139" s="2027">
        <v>41</v>
      </c>
      <c r="F139" s="10" t="str">
        <f t="shared" si="18"/>
        <v>IPM 2.0  Base Housing</v>
      </c>
      <c r="G139" s="2090">
        <f t="shared" si="18"/>
        <v>4</v>
      </c>
      <c r="H139" s="2090">
        <f t="shared" si="18"/>
        <v>100000</v>
      </c>
      <c r="I139" s="2118">
        <f t="shared" si="18"/>
        <v>0</v>
      </c>
      <c r="J139" s="3397">
        <f t="shared" si="19"/>
        <v>19000</v>
      </c>
      <c r="K139" s="2091">
        <f t="shared" si="14"/>
        <v>1</v>
      </c>
      <c r="L139" s="4551"/>
      <c r="M139" s="5006"/>
      <c r="N139" s="5498"/>
      <c r="O139" s="4551"/>
      <c r="P139" s="1642"/>
      <c r="Q139" s="1643"/>
      <c r="R139" s="1759"/>
      <c r="S139" s="1642"/>
      <c r="T139" s="1643">
        <v>1</v>
      </c>
      <c r="U139" s="1759"/>
      <c r="V139" s="1642"/>
      <c r="W139" s="1643"/>
      <c r="X139" s="2085">
        <f t="shared" si="17"/>
        <v>1</v>
      </c>
    </row>
    <row r="140" spans="1:24" ht="18" customHeight="1">
      <c r="A140" s="2039"/>
      <c r="B140" s="1763"/>
      <c r="C140" s="8"/>
      <c r="D140" s="10"/>
      <c r="E140" s="2027"/>
      <c r="F140" s="10" t="str">
        <f t="shared" si="18"/>
        <v>IPM 2.0 Advanced HSG</v>
      </c>
      <c r="G140" s="2090" t="str">
        <f t="shared" si="18"/>
        <v/>
      </c>
      <c r="H140" s="2090">
        <f t="shared" si="18"/>
        <v>100000</v>
      </c>
      <c r="I140" s="2118">
        <f t="shared" si="18"/>
        <v>0</v>
      </c>
      <c r="J140" s="3397">
        <f t="shared" si="19"/>
        <v>20000</v>
      </c>
      <c r="K140" s="2091">
        <f t="shared" si="14"/>
        <v>0</v>
      </c>
      <c r="L140" s="4551"/>
      <c r="M140" s="5006"/>
      <c r="N140" s="5498"/>
      <c r="O140" s="4551"/>
      <c r="P140" s="1642"/>
      <c r="Q140" s="1643"/>
      <c r="R140" s="1759"/>
      <c r="S140" s="1642"/>
      <c r="T140" s="1643"/>
      <c r="U140" s="1759"/>
      <c r="V140" s="1642"/>
      <c r="W140" s="1643"/>
      <c r="X140" s="2085">
        <f t="shared" si="17"/>
        <v>0</v>
      </c>
    </row>
    <row r="141" spans="1:24" ht="18" customHeight="1">
      <c r="A141" s="2039"/>
      <c r="B141" s="1763"/>
      <c r="C141" s="8"/>
      <c r="D141" s="10"/>
      <c r="E141" s="2027"/>
      <c r="F141" s="10" t="str">
        <f t="shared" si="18"/>
        <v>IPM 2.0 HSG Base+</v>
      </c>
      <c r="G141" s="2090" t="str">
        <f t="shared" si="18"/>
        <v/>
      </c>
      <c r="H141" s="2090">
        <f t="shared" si="18"/>
        <v>100000</v>
      </c>
      <c r="I141" s="2118">
        <f t="shared" si="18"/>
        <v>0</v>
      </c>
      <c r="J141" s="3397">
        <f t="shared" si="19"/>
        <v>20000</v>
      </c>
      <c r="K141" s="2091">
        <f t="shared" si="14"/>
        <v>0</v>
      </c>
      <c r="L141" s="4551"/>
      <c r="M141" s="5006"/>
      <c r="N141" s="5498"/>
      <c r="O141" s="4551"/>
      <c r="P141" s="1642"/>
      <c r="Q141" s="1643"/>
      <c r="R141" s="1759"/>
      <c r="S141" s="1642"/>
      <c r="T141" s="1643"/>
      <c r="U141" s="1759"/>
      <c r="V141" s="1642"/>
      <c r="W141" s="1643"/>
      <c r="X141" s="2085">
        <f t="shared" si="17"/>
        <v>0</v>
      </c>
    </row>
    <row r="142" spans="1:24" ht="18" customHeight="1">
      <c r="A142" s="2039"/>
      <c r="B142" s="1763"/>
      <c r="C142" s="8"/>
      <c r="D142" s="10"/>
      <c r="E142" s="2117"/>
      <c r="F142" s="6" t="str">
        <f t="shared" si="18"/>
        <v>IPM 2.0 HSG Premium</v>
      </c>
      <c r="G142" s="2098" t="str">
        <f t="shared" si="18"/>
        <v/>
      </c>
      <c r="H142" s="2098">
        <f t="shared" si="18"/>
        <v>100000</v>
      </c>
      <c r="I142" s="2124">
        <f t="shared" si="18"/>
        <v>0</v>
      </c>
      <c r="J142" s="3398">
        <f t="shared" si="19"/>
        <v>20000</v>
      </c>
      <c r="K142" s="3425">
        <f t="shared" si="14"/>
        <v>0</v>
      </c>
      <c r="L142" s="4552"/>
      <c r="M142" s="5007"/>
      <c r="N142" s="5499"/>
      <c r="O142" s="4552"/>
      <c r="P142" s="1717"/>
      <c r="Q142" s="1718"/>
      <c r="R142" s="1801"/>
      <c r="S142" s="1717"/>
      <c r="T142" s="1718"/>
      <c r="U142" s="1801"/>
      <c r="V142" s="1717"/>
      <c r="W142" s="1718"/>
      <c r="X142" s="2099">
        <f t="shared" si="17"/>
        <v>0</v>
      </c>
    </row>
    <row r="143" spans="1:24" ht="18" customHeight="1">
      <c r="A143" s="2040"/>
      <c r="B143" s="1966"/>
      <c r="C143" s="7176" t="s">
        <v>43</v>
      </c>
      <c r="D143" s="7176"/>
      <c r="E143" s="7176"/>
      <c r="F143" s="7176"/>
      <c r="G143" s="2105"/>
      <c r="H143" s="2105"/>
      <c r="I143" s="2128"/>
      <c r="J143" s="3405"/>
      <c r="K143" s="1732"/>
      <c r="L143" s="4494">
        <f t="shared" ref="L143:W143" si="20">SUM(L78:L142)</f>
        <v>19</v>
      </c>
      <c r="M143" s="4734">
        <f t="shared" si="20"/>
        <v>13</v>
      </c>
      <c r="N143" s="5510">
        <f t="shared" si="20"/>
        <v>12</v>
      </c>
      <c r="O143" s="4494">
        <f t="shared" si="20"/>
        <v>12</v>
      </c>
      <c r="P143" s="1732">
        <f t="shared" si="20"/>
        <v>14</v>
      </c>
      <c r="Q143" s="1733">
        <f t="shared" si="20"/>
        <v>15</v>
      </c>
      <c r="R143" s="1805">
        <f t="shared" si="20"/>
        <v>16</v>
      </c>
      <c r="S143" s="1732">
        <f t="shared" si="20"/>
        <v>13</v>
      </c>
      <c r="T143" s="1733">
        <f t="shared" si="20"/>
        <v>16</v>
      </c>
      <c r="U143" s="1805">
        <f t="shared" si="20"/>
        <v>13</v>
      </c>
      <c r="V143" s="2129">
        <f t="shared" si="20"/>
        <v>11</v>
      </c>
      <c r="W143" s="1733">
        <f t="shared" si="20"/>
        <v>10</v>
      </c>
      <c r="X143" s="2108">
        <f t="shared" si="17"/>
        <v>164</v>
      </c>
    </row>
    <row r="144" spans="1:24" ht="18" customHeight="1" thickBot="1">
      <c r="A144" s="70">
        <v>2</v>
      </c>
      <c r="B144" s="7345" t="s">
        <v>957</v>
      </c>
      <c r="C144" s="7346"/>
      <c r="D144" s="7346"/>
      <c r="E144" s="7346"/>
      <c r="F144" s="7347"/>
      <c r="G144" s="1863"/>
      <c r="H144" s="1863"/>
      <c r="I144" s="2092">
        <f>I74</f>
        <v>0</v>
      </c>
      <c r="J144" s="3406"/>
      <c r="K144" s="7">
        <f>K74</f>
        <v>0</v>
      </c>
      <c r="L144" s="4751"/>
      <c r="M144" s="5418">
        <v>0</v>
      </c>
      <c r="N144" s="6508">
        <v>0</v>
      </c>
      <c r="O144" s="4751">
        <v>0</v>
      </c>
      <c r="P144" s="3427">
        <v>0</v>
      </c>
      <c r="Q144" s="3428">
        <v>0</v>
      </c>
      <c r="R144" s="3426">
        <v>0</v>
      </c>
      <c r="S144" s="3427">
        <v>0</v>
      </c>
      <c r="T144" s="3428">
        <v>0</v>
      </c>
      <c r="U144" s="3426"/>
      <c r="V144" s="3427">
        <v>0</v>
      </c>
      <c r="W144" s="3428"/>
      <c r="X144" s="1557">
        <f t="shared" si="17"/>
        <v>0</v>
      </c>
    </row>
    <row r="145" spans="1:24" s="1618" customFormat="1" ht="18" customHeight="1" thickBot="1">
      <c r="A145" s="7081" t="s">
        <v>137</v>
      </c>
      <c r="B145" s="7082"/>
      <c r="C145" s="7082"/>
      <c r="D145" s="7082"/>
      <c r="E145" s="7082"/>
      <c r="F145" s="7082"/>
      <c r="G145" s="7082"/>
      <c r="H145" s="7168"/>
      <c r="I145" s="1608">
        <f>SUM(I78:I142)</f>
        <v>0</v>
      </c>
      <c r="J145" s="3402"/>
      <c r="K145" s="1608">
        <f>SUM(K78:K142)</f>
        <v>199</v>
      </c>
      <c r="L145" s="3952">
        <f>L143+L144</f>
        <v>19</v>
      </c>
      <c r="M145" s="5012">
        <f t="shared" ref="M145:W145" si="21">M143+M144</f>
        <v>13</v>
      </c>
      <c r="N145" s="5505">
        <f t="shared" si="21"/>
        <v>12</v>
      </c>
      <c r="O145" s="3952">
        <f t="shared" si="21"/>
        <v>12</v>
      </c>
      <c r="P145" s="1605">
        <f t="shared" si="21"/>
        <v>14</v>
      </c>
      <c r="Q145" s="1606">
        <f t="shared" si="21"/>
        <v>15</v>
      </c>
      <c r="R145" s="1604">
        <f t="shared" si="21"/>
        <v>16</v>
      </c>
      <c r="S145" s="1605">
        <f t="shared" si="21"/>
        <v>13</v>
      </c>
      <c r="T145" s="1606">
        <f t="shared" si="21"/>
        <v>16</v>
      </c>
      <c r="U145" s="1604">
        <f t="shared" si="21"/>
        <v>13</v>
      </c>
      <c r="V145" s="1605">
        <f t="shared" si="21"/>
        <v>11</v>
      </c>
      <c r="W145" s="1606">
        <f t="shared" si="21"/>
        <v>10</v>
      </c>
      <c r="X145" s="1674">
        <f>X143+X144</f>
        <v>164</v>
      </c>
    </row>
    <row r="146" spans="1:24" s="1618" customFormat="1" ht="18" customHeight="1" thickBot="1">
      <c r="A146" s="7342" t="s">
        <v>199</v>
      </c>
      <c r="B146" s="7343"/>
      <c r="C146" s="7343"/>
      <c r="D146" s="7343"/>
      <c r="E146" s="7343"/>
      <c r="F146" s="7343"/>
      <c r="G146" s="7343"/>
      <c r="H146" s="7344"/>
      <c r="I146" s="4777"/>
      <c r="J146" s="4778"/>
      <c r="K146" s="4777"/>
      <c r="L146" s="4752">
        <v>8</v>
      </c>
      <c r="M146" s="5115">
        <f>L146</f>
        <v>8</v>
      </c>
      <c r="N146" s="5602">
        <f t="shared" ref="N146" si="22">M146</f>
        <v>8</v>
      </c>
      <c r="O146" s="4752">
        <f t="shared" ref="O146" si="23">N146</f>
        <v>8</v>
      </c>
      <c r="P146" s="2131">
        <f t="shared" ref="P146" si="24">O146</f>
        <v>8</v>
      </c>
      <c r="Q146" s="2132">
        <v>8</v>
      </c>
      <c r="R146" s="2130">
        <f t="shared" ref="R146" si="25">Q146</f>
        <v>8</v>
      </c>
      <c r="S146" s="2131">
        <f t="shared" ref="S146" si="26">R146</f>
        <v>8</v>
      </c>
      <c r="T146" s="2132">
        <f t="shared" ref="T146" si="27">S146</f>
        <v>8</v>
      </c>
      <c r="U146" s="4917">
        <v>17</v>
      </c>
      <c r="V146" s="4918">
        <v>17</v>
      </c>
      <c r="W146" s="4919">
        <v>17</v>
      </c>
      <c r="X146" s="4779">
        <f>SUM(L146:W146)</f>
        <v>123</v>
      </c>
    </row>
    <row r="147" spans="1:24" s="1618" customFormat="1" ht="18" customHeight="1" thickBot="1">
      <c r="A147" s="7081" t="s">
        <v>200</v>
      </c>
      <c r="B147" s="7082"/>
      <c r="C147" s="7082"/>
      <c r="D147" s="7082"/>
      <c r="E147" s="7082"/>
      <c r="F147" s="7082"/>
      <c r="G147" s="7082"/>
      <c r="H147" s="7168"/>
      <c r="I147" s="1608"/>
      <c r="J147" s="3402"/>
      <c r="K147" s="1608"/>
      <c r="L147" s="3952">
        <f>MAX(0,L145-L146)</f>
        <v>11</v>
      </c>
      <c r="M147" s="5012">
        <f>MAX(0,M145-M146)</f>
        <v>5</v>
      </c>
      <c r="N147" s="5505">
        <f>MAX(0,N145-N146)</f>
        <v>4</v>
      </c>
      <c r="O147" s="3952">
        <f>MAX(0,O145-O146)</f>
        <v>4</v>
      </c>
      <c r="P147" s="1776">
        <f t="shared" ref="P147:W147" si="28">MAX(0,P145-P146)</f>
        <v>6</v>
      </c>
      <c r="Q147" s="1777">
        <f t="shared" si="28"/>
        <v>7</v>
      </c>
      <c r="R147" s="1824">
        <f t="shared" si="28"/>
        <v>8</v>
      </c>
      <c r="S147" s="1776">
        <f t="shared" si="28"/>
        <v>5</v>
      </c>
      <c r="T147" s="1777">
        <f t="shared" si="28"/>
        <v>8</v>
      </c>
      <c r="U147" s="1824">
        <f t="shared" si="28"/>
        <v>0</v>
      </c>
      <c r="V147" s="1776">
        <f t="shared" si="28"/>
        <v>0</v>
      </c>
      <c r="W147" s="1777">
        <f t="shared" si="28"/>
        <v>0</v>
      </c>
      <c r="X147" s="2143">
        <f>SUM(L147:W147)</f>
        <v>58</v>
      </c>
    </row>
    <row r="148" spans="1:24" ht="18" customHeight="1">
      <c r="A148" s="1922"/>
      <c r="B148" s="1922"/>
      <c r="C148" s="1922"/>
      <c r="D148" s="1922"/>
      <c r="E148" s="1922"/>
      <c r="F148" s="1922"/>
      <c r="G148" s="1922"/>
      <c r="H148" s="1922"/>
      <c r="I148" s="1546"/>
      <c r="J148" s="2133"/>
      <c r="K148" s="1546"/>
      <c r="L148" s="2233"/>
      <c r="M148" s="2233"/>
      <c r="N148" s="2233"/>
      <c r="O148" s="2233"/>
      <c r="P148" s="1546"/>
      <c r="Q148" s="1546"/>
      <c r="R148" s="1546"/>
      <c r="S148" s="1546"/>
      <c r="T148" s="1546"/>
      <c r="U148" s="1546"/>
      <c r="V148" s="1546"/>
      <c r="W148" s="1546"/>
      <c r="X148" s="1546"/>
    </row>
    <row r="149" spans="1:24" ht="20.25" customHeight="1" thickBot="1">
      <c r="A149" s="2134" t="s">
        <v>959</v>
      </c>
      <c r="B149" s="2135"/>
      <c r="C149" s="2135"/>
      <c r="D149" s="2135"/>
      <c r="E149" s="2135"/>
      <c r="F149" s="2135"/>
      <c r="G149" s="2135"/>
      <c r="H149" s="2135"/>
      <c r="I149" s="2136"/>
      <c r="J149" s="2137"/>
      <c r="K149" s="2136"/>
      <c r="L149" s="4571"/>
      <c r="M149" s="4571"/>
      <c r="N149" s="4571"/>
      <c r="O149" s="4571"/>
      <c r="P149" s="2136"/>
      <c r="Q149" s="2136"/>
      <c r="R149" s="2136"/>
      <c r="S149" s="2136"/>
      <c r="T149" s="2136"/>
      <c r="U149" s="2136"/>
      <c r="V149" s="2136"/>
      <c r="W149" s="2136"/>
      <c r="X149" s="2580" t="s">
        <v>86</v>
      </c>
    </row>
    <row r="150" spans="1:24" ht="20.25" customHeight="1" thickBot="1">
      <c r="A150" s="1539" t="s">
        <v>40</v>
      </c>
      <c r="B150" s="7082" t="s">
        <v>108</v>
      </c>
      <c r="C150" s="7082"/>
      <c r="D150" s="7082"/>
      <c r="E150" s="7082"/>
      <c r="F150" s="7082"/>
      <c r="G150" s="7082"/>
      <c r="H150" s="7168"/>
      <c r="I150" s="7340" t="s">
        <v>960</v>
      </c>
      <c r="J150" s="7341"/>
      <c r="K150" s="38"/>
      <c r="L150" s="4744" t="str">
        <f t="shared" ref="L150:X150" si="29">L77</f>
        <v>Jan.26</v>
      </c>
      <c r="M150" s="5414" t="str">
        <f t="shared" si="29"/>
        <v>Feb.26</v>
      </c>
      <c r="N150" s="6503" t="str">
        <f t="shared" si="29"/>
        <v>Mar.26</v>
      </c>
      <c r="O150" s="4744" t="str">
        <f t="shared" si="29"/>
        <v>Apr.26</v>
      </c>
      <c r="P150" s="2309" t="str">
        <f t="shared" si="29"/>
        <v>May.26</v>
      </c>
      <c r="Q150" s="17" t="str">
        <f t="shared" si="29"/>
        <v>Jun.26</v>
      </c>
      <c r="R150" s="18" t="str">
        <f t="shared" si="29"/>
        <v>Jul.26</v>
      </c>
      <c r="S150" s="2309" t="str">
        <f t="shared" si="29"/>
        <v>Aug.26</v>
      </c>
      <c r="T150" s="17" t="str">
        <f t="shared" si="29"/>
        <v>Sep.26</v>
      </c>
      <c r="U150" s="18" t="str">
        <f t="shared" si="29"/>
        <v>Oct.26</v>
      </c>
      <c r="V150" s="2309" t="str">
        <f t="shared" si="29"/>
        <v>Nov.26</v>
      </c>
      <c r="W150" s="17" t="str">
        <f t="shared" si="29"/>
        <v>Dec.26</v>
      </c>
      <c r="X150" s="3412" t="str">
        <f t="shared" si="29"/>
        <v>2026
Total</v>
      </c>
    </row>
    <row r="151" spans="1:24" ht="20.25" customHeight="1" thickBot="1">
      <c r="A151" s="1768">
        <v>1</v>
      </c>
      <c r="B151" s="7064" t="s">
        <v>198</v>
      </c>
      <c r="C151" s="7064"/>
      <c r="D151" s="7064"/>
      <c r="E151" s="7064"/>
      <c r="F151" s="7064"/>
      <c r="G151" s="7064"/>
      <c r="H151" s="7324"/>
      <c r="I151" s="7348">
        <v>18207</v>
      </c>
      <c r="J151" s="7349"/>
      <c r="K151" s="3393"/>
      <c r="L151" s="4753">
        <f t="shared" ref="L151:W151" si="30">$I$151*L147</f>
        <v>200277</v>
      </c>
      <c r="M151" s="5419">
        <f t="shared" si="30"/>
        <v>91035</v>
      </c>
      <c r="N151" s="6509">
        <f t="shared" si="30"/>
        <v>72828</v>
      </c>
      <c r="O151" s="4753">
        <f t="shared" si="30"/>
        <v>72828</v>
      </c>
      <c r="P151" s="3840">
        <f t="shared" si="30"/>
        <v>109242</v>
      </c>
      <c r="Q151" s="3841">
        <f t="shared" si="30"/>
        <v>127449</v>
      </c>
      <c r="R151" s="3839">
        <f t="shared" si="30"/>
        <v>145656</v>
      </c>
      <c r="S151" s="3840">
        <f t="shared" si="30"/>
        <v>91035</v>
      </c>
      <c r="T151" s="3841">
        <f t="shared" si="30"/>
        <v>145656</v>
      </c>
      <c r="U151" s="3839">
        <f t="shared" si="30"/>
        <v>0</v>
      </c>
      <c r="V151" s="3840">
        <f t="shared" si="30"/>
        <v>0</v>
      </c>
      <c r="W151" s="3841">
        <f t="shared" si="30"/>
        <v>0</v>
      </c>
      <c r="X151" s="1774">
        <f>SUM(L151:W151)</f>
        <v>1056006</v>
      </c>
    </row>
    <row r="152" spans="1:24" ht="20.25" customHeight="1" thickBot="1">
      <c r="A152" s="1768">
        <v>2</v>
      </c>
      <c r="B152" s="7064" t="s">
        <v>961</v>
      </c>
      <c r="C152" s="7064"/>
      <c r="D152" s="7064"/>
      <c r="E152" s="7064"/>
      <c r="F152" s="7064"/>
      <c r="G152" s="7064"/>
      <c r="H152" s="7324"/>
      <c r="I152" s="7348">
        <v>7500</v>
      </c>
      <c r="J152" s="7349"/>
      <c r="K152" s="3239"/>
      <c r="L152" s="4754">
        <f>$I$152*L146</f>
        <v>60000</v>
      </c>
      <c r="M152" s="5420">
        <f t="shared" ref="M152:W152" si="31">$I$152*M146</f>
        <v>60000</v>
      </c>
      <c r="N152" s="6510">
        <f t="shared" si="31"/>
        <v>60000</v>
      </c>
      <c r="O152" s="4754">
        <f t="shared" si="31"/>
        <v>60000</v>
      </c>
      <c r="P152" s="3843">
        <f t="shared" si="31"/>
        <v>60000</v>
      </c>
      <c r="Q152" s="3844">
        <f t="shared" si="31"/>
        <v>60000</v>
      </c>
      <c r="R152" s="3842">
        <f t="shared" si="31"/>
        <v>60000</v>
      </c>
      <c r="S152" s="3843">
        <f t="shared" si="31"/>
        <v>60000</v>
      </c>
      <c r="T152" s="3844">
        <f t="shared" si="31"/>
        <v>60000</v>
      </c>
      <c r="U152" s="3842">
        <f t="shared" si="31"/>
        <v>127500</v>
      </c>
      <c r="V152" s="3843">
        <f t="shared" si="31"/>
        <v>127500</v>
      </c>
      <c r="W152" s="3844">
        <f t="shared" si="31"/>
        <v>127500</v>
      </c>
      <c r="X152" s="1634">
        <f>SUM(L152:W152)</f>
        <v>922500</v>
      </c>
    </row>
    <row r="153" spans="1:24" s="1610" customFormat="1" ht="20.25" customHeight="1" thickBot="1">
      <c r="A153" s="7081" t="s">
        <v>137</v>
      </c>
      <c r="B153" s="7082"/>
      <c r="C153" s="7082"/>
      <c r="D153" s="7082"/>
      <c r="E153" s="7082"/>
      <c r="F153" s="7082"/>
      <c r="G153" s="7082"/>
      <c r="H153" s="7168"/>
      <c r="I153" s="7350"/>
      <c r="J153" s="7351"/>
      <c r="K153" s="1775"/>
      <c r="L153" s="3952">
        <f>+L151+L152</f>
        <v>260277</v>
      </c>
      <c r="M153" s="5012">
        <f t="shared" ref="M153:W153" si="32">+M151+M152</f>
        <v>151035</v>
      </c>
      <c r="N153" s="5505">
        <f t="shared" si="32"/>
        <v>132828</v>
      </c>
      <c r="O153" s="3952">
        <f t="shared" si="32"/>
        <v>132828</v>
      </c>
      <c r="P153" s="1605">
        <f t="shared" si="32"/>
        <v>169242</v>
      </c>
      <c r="Q153" s="1606">
        <f t="shared" si="32"/>
        <v>187449</v>
      </c>
      <c r="R153" s="1604">
        <f t="shared" si="32"/>
        <v>205656</v>
      </c>
      <c r="S153" s="1605">
        <f t="shared" si="32"/>
        <v>151035</v>
      </c>
      <c r="T153" s="1606">
        <f t="shared" si="32"/>
        <v>205656</v>
      </c>
      <c r="U153" s="1604">
        <f t="shared" si="32"/>
        <v>127500</v>
      </c>
      <c r="V153" s="1605">
        <f t="shared" si="32"/>
        <v>127500</v>
      </c>
      <c r="W153" s="1606">
        <f t="shared" si="32"/>
        <v>127500</v>
      </c>
      <c r="X153" s="1674">
        <f>+X151+X152</f>
        <v>1978506</v>
      </c>
    </row>
    <row r="154" spans="1:24" ht="20.25" customHeight="1">
      <c r="L154" s="1534"/>
      <c r="X154" s="1532" t="b">
        <f>SUM(L153:W153)=X153</f>
        <v>1</v>
      </c>
    </row>
    <row r="155" spans="1:24" ht="20.25" customHeight="1">
      <c r="H155" s="2144" t="s">
        <v>962</v>
      </c>
      <c r="I155" s="2145">
        <v>23702</v>
      </c>
      <c r="K155" s="1837">
        <v>23702</v>
      </c>
      <c r="L155" s="1534"/>
    </row>
    <row r="156" spans="1:24" ht="20.25" customHeight="1" thickBot="1">
      <c r="A156" s="2134" t="s">
        <v>963</v>
      </c>
      <c r="B156" s="2135"/>
      <c r="C156" s="2135"/>
      <c r="D156" s="2135"/>
      <c r="E156" s="2135"/>
      <c r="F156" s="2135"/>
      <c r="G156" s="2135"/>
      <c r="H156" s="2135"/>
      <c r="I156" s="2136"/>
      <c r="J156" s="2137"/>
      <c r="K156" s="2136"/>
      <c r="L156" s="4571"/>
      <c r="M156" s="4571"/>
      <c r="N156" s="4571"/>
      <c r="O156" s="4571"/>
      <c r="P156" s="2136"/>
      <c r="Q156" s="2136"/>
      <c r="R156" s="2136"/>
      <c r="S156" s="2136"/>
      <c r="T156" s="2136"/>
      <c r="U156" s="2136"/>
      <c r="V156" s="2136"/>
      <c r="W156" s="2136"/>
      <c r="X156" s="2580" t="s">
        <v>86</v>
      </c>
    </row>
    <row r="157" spans="1:24" ht="20.25" customHeight="1" thickBot="1">
      <c r="A157" s="1539" t="s">
        <v>40</v>
      </c>
      <c r="B157" s="7082" t="s">
        <v>108</v>
      </c>
      <c r="C157" s="7082"/>
      <c r="D157" s="7082"/>
      <c r="E157" s="7082"/>
      <c r="F157" s="7082"/>
      <c r="G157" s="7082"/>
      <c r="H157" s="7168"/>
      <c r="I157" s="7340"/>
      <c r="J157" s="7341"/>
      <c r="K157" s="3412"/>
      <c r="L157" s="4755" t="str">
        <f>L150</f>
        <v>Jan.26</v>
      </c>
      <c r="M157" s="5414" t="str">
        <f t="shared" ref="M157:X157" si="33">M150</f>
        <v>Feb.26</v>
      </c>
      <c r="N157" s="6503" t="str">
        <f t="shared" si="33"/>
        <v>Mar.26</v>
      </c>
      <c r="O157" s="4744" t="str">
        <f t="shared" si="33"/>
        <v>Apr.26</v>
      </c>
      <c r="P157" s="2309" t="str">
        <f t="shared" si="33"/>
        <v>May.26</v>
      </c>
      <c r="Q157" s="17" t="str">
        <f t="shared" si="33"/>
        <v>Jun.26</v>
      </c>
      <c r="R157" s="18" t="str">
        <f t="shared" si="33"/>
        <v>Jul.26</v>
      </c>
      <c r="S157" s="2309" t="str">
        <f t="shared" si="33"/>
        <v>Aug.26</v>
      </c>
      <c r="T157" s="17" t="str">
        <f t="shared" si="33"/>
        <v>Sep.26</v>
      </c>
      <c r="U157" s="18" t="str">
        <f t="shared" si="33"/>
        <v>Oct.26</v>
      </c>
      <c r="V157" s="2309" t="str">
        <f t="shared" si="33"/>
        <v>Nov.26</v>
      </c>
      <c r="W157" s="17" t="str">
        <f t="shared" si="33"/>
        <v>Dec.26</v>
      </c>
      <c r="X157" s="3412" t="str">
        <f t="shared" si="33"/>
        <v>2026
Total</v>
      </c>
    </row>
    <row r="158" spans="1:24" ht="20.25" customHeight="1" thickBot="1">
      <c r="A158" s="69">
        <v>1</v>
      </c>
      <c r="B158" s="7313" t="s">
        <v>17</v>
      </c>
      <c r="C158" s="7082"/>
      <c r="D158" s="7082"/>
      <c r="E158" s="7082"/>
      <c r="F158" s="7082"/>
      <c r="G158" s="7082"/>
      <c r="H158" s="7168"/>
      <c r="I158" s="7340"/>
      <c r="J158" s="7341"/>
      <c r="K158" s="2246"/>
      <c r="L158" s="4617">
        <f>SUM(L78:L117)</f>
        <v>11</v>
      </c>
      <c r="M158" s="5247">
        <f t="shared" ref="M158:W158" si="34">SUM(M78:M117)</f>
        <v>8</v>
      </c>
      <c r="N158" s="5580">
        <f t="shared" si="34"/>
        <v>6</v>
      </c>
      <c r="O158" s="4617">
        <f t="shared" si="34"/>
        <v>7</v>
      </c>
      <c r="P158" s="1772">
        <f t="shared" si="34"/>
        <v>7</v>
      </c>
      <c r="Q158" s="1773">
        <f t="shared" si="34"/>
        <v>8</v>
      </c>
      <c r="R158" s="1823">
        <f t="shared" si="34"/>
        <v>11</v>
      </c>
      <c r="S158" s="1772">
        <f t="shared" si="34"/>
        <v>10</v>
      </c>
      <c r="T158" s="1773">
        <f t="shared" si="34"/>
        <v>10</v>
      </c>
      <c r="U158" s="1823">
        <f t="shared" si="34"/>
        <v>10</v>
      </c>
      <c r="V158" s="1772">
        <f t="shared" si="34"/>
        <v>8</v>
      </c>
      <c r="W158" s="1773">
        <f t="shared" si="34"/>
        <v>8</v>
      </c>
      <c r="X158" s="1774">
        <f>SUM(L158:W158)</f>
        <v>104</v>
      </c>
    </row>
    <row r="159" spans="1:24" ht="20.25" customHeight="1" thickBot="1">
      <c r="A159" s="1768">
        <v>2</v>
      </c>
      <c r="B159" s="7064" t="s">
        <v>964</v>
      </c>
      <c r="C159" s="7064"/>
      <c r="D159" s="7064"/>
      <c r="E159" s="7064"/>
      <c r="F159" s="7064"/>
      <c r="G159" s="7064"/>
      <c r="H159" s="7324"/>
      <c r="I159" s="7348"/>
      <c r="J159" s="7349"/>
      <c r="K159" s="2246"/>
      <c r="L159" s="4617">
        <f>SUM(L118:L142)</f>
        <v>8</v>
      </c>
      <c r="M159" s="5247">
        <f t="shared" ref="M159:W159" si="35">SUM(M118:M142)</f>
        <v>5</v>
      </c>
      <c r="N159" s="5580">
        <f t="shared" si="35"/>
        <v>6</v>
      </c>
      <c r="O159" s="4617">
        <f t="shared" si="35"/>
        <v>5</v>
      </c>
      <c r="P159" s="1772">
        <f t="shared" si="35"/>
        <v>7</v>
      </c>
      <c r="Q159" s="1773">
        <f t="shared" si="35"/>
        <v>7</v>
      </c>
      <c r="R159" s="1823">
        <f t="shared" si="35"/>
        <v>5</v>
      </c>
      <c r="S159" s="1772">
        <f t="shared" si="35"/>
        <v>3</v>
      </c>
      <c r="T159" s="1773">
        <f t="shared" si="35"/>
        <v>6</v>
      </c>
      <c r="U159" s="1823">
        <f t="shared" si="35"/>
        <v>3</v>
      </c>
      <c r="V159" s="1772">
        <f t="shared" si="35"/>
        <v>3</v>
      </c>
      <c r="W159" s="1773">
        <f t="shared" si="35"/>
        <v>2</v>
      </c>
      <c r="X159" s="1774">
        <f>SUM(L159:W159)</f>
        <v>60</v>
      </c>
    </row>
    <row r="160" spans="1:24" s="1610" customFormat="1" ht="20.25" customHeight="1" thickBot="1">
      <c r="A160" s="7081" t="s">
        <v>137</v>
      </c>
      <c r="B160" s="7082"/>
      <c r="C160" s="7082"/>
      <c r="D160" s="7082"/>
      <c r="E160" s="7082"/>
      <c r="F160" s="7082"/>
      <c r="G160" s="7082"/>
      <c r="H160" s="7168"/>
      <c r="I160" s="7350"/>
      <c r="J160" s="7351"/>
      <c r="K160" s="3372"/>
      <c r="L160" s="3952">
        <f>L159+L158</f>
        <v>19</v>
      </c>
      <c r="M160" s="5012">
        <f t="shared" ref="M160:W160" si="36">M159+M158</f>
        <v>13</v>
      </c>
      <c r="N160" s="5505">
        <f t="shared" si="36"/>
        <v>12</v>
      </c>
      <c r="O160" s="3952">
        <f t="shared" si="36"/>
        <v>12</v>
      </c>
      <c r="P160" s="1605">
        <f t="shared" si="36"/>
        <v>14</v>
      </c>
      <c r="Q160" s="1606">
        <f t="shared" si="36"/>
        <v>15</v>
      </c>
      <c r="R160" s="1604">
        <f t="shared" si="36"/>
        <v>16</v>
      </c>
      <c r="S160" s="1605">
        <f t="shared" si="36"/>
        <v>13</v>
      </c>
      <c r="T160" s="1606">
        <f t="shared" si="36"/>
        <v>16</v>
      </c>
      <c r="U160" s="1604">
        <f t="shared" si="36"/>
        <v>13</v>
      </c>
      <c r="V160" s="1605">
        <f t="shared" si="36"/>
        <v>11</v>
      </c>
      <c r="W160" s="1606">
        <f t="shared" si="36"/>
        <v>10</v>
      </c>
      <c r="X160" s="1774">
        <f>SUM(X158:X159)</f>
        <v>164</v>
      </c>
    </row>
    <row r="161" spans="1:24" ht="20.25" customHeight="1">
      <c r="L161" s="1534"/>
      <c r="X161" s="1532" t="b">
        <f>X145=X160</f>
        <v>1</v>
      </c>
    </row>
    <row r="162" spans="1:24" ht="20.25" customHeight="1" thickBot="1">
      <c r="A162" s="2134" t="s">
        <v>965</v>
      </c>
      <c r="B162" s="2135"/>
      <c r="C162" s="2135"/>
      <c r="D162" s="2135"/>
      <c r="E162" s="2135"/>
      <c r="F162" s="2135"/>
      <c r="G162" s="2135"/>
      <c r="H162" s="2135"/>
      <c r="I162" s="2136"/>
      <c r="J162" s="2137"/>
      <c r="K162" s="2136"/>
      <c r="L162" s="4571"/>
      <c r="M162" s="4571"/>
      <c r="N162" s="4571"/>
      <c r="O162" s="4571"/>
      <c r="P162" s="2136"/>
      <c r="Q162" s="2136"/>
      <c r="R162" s="2136"/>
      <c r="S162" s="2136"/>
      <c r="T162" s="2136"/>
      <c r="U162" s="2136"/>
      <c r="V162" s="2136"/>
      <c r="W162" s="2136"/>
      <c r="X162" s="2580" t="s">
        <v>86</v>
      </c>
    </row>
    <row r="163" spans="1:24" ht="20.25" customHeight="1" thickBot="1">
      <c r="A163" s="1539" t="s">
        <v>40</v>
      </c>
      <c r="B163" s="7082" t="s">
        <v>108</v>
      </c>
      <c r="C163" s="7082"/>
      <c r="D163" s="7082"/>
      <c r="E163" s="7082"/>
      <c r="F163" s="7082"/>
      <c r="G163" s="7082"/>
      <c r="H163" s="7168"/>
      <c r="I163" s="7340" t="s">
        <v>960</v>
      </c>
      <c r="J163" s="7341"/>
      <c r="K163" s="38"/>
      <c r="L163" s="4744" t="str">
        <f>L157</f>
        <v>Jan.26</v>
      </c>
      <c r="M163" s="5414" t="str">
        <f t="shared" ref="M163:X163" si="37">M157</f>
        <v>Feb.26</v>
      </c>
      <c r="N163" s="6503" t="str">
        <f t="shared" si="37"/>
        <v>Mar.26</v>
      </c>
      <c r="O163" s="4744" t="str">
        <f t="shared" si="37"/>
        <v>Apr.26</v>
      </c>
      <c r="P163" s="2309" t="str">
        <f t="shared" si="37"/>
        <v>May.26</v>
      </c>
      <c r="Q163" s="17" t="str">
        <f t="shared" si="37"/>
        <v>Jun.26</v>
      </c>
      <c r="R163" s="18" t="str">
        <f t="shared" si="37"/>
        <v>Jul.26</v>
      </c>
      <c r="S163" s="2309" t="str">
        <f t="shared" si="37"/>
        <v>Aug.26</v>
      </c>
      <c r="T163" s="17" t="str">
        <f t="shared" si="37"/>
        <v>Sep.26</v>
      </c>
      <c r="U163" s="18" t="str">
        <f t="shared" si="37"/>
        <v>Oct.26</v>
      </c>
      <c r="V163" s="2309" t="str">
        <f t="shared" si="37"/>
        <v>Nov.26</v>
      </c>
      <c r="W163" s="17" t="str">
        <f t="shared" si="37"/>
        <v>Dec.26</v>
      </c>
      <c r="X163" s="3412" t="str">
        <f t="shared" si="37"/>
        <v>2026
Total</v>
      </c>
    </row>
    <row r="164" spans="1:24" ht="20.25" customHeight="1" thickBot="1">
      <c r="A164" s="69">
        <v>1</v>
      </c>
      <c r="B164" s="7313" t="s">
        <v>483</v>
      </c>
      <c r="C164" s="7082"/>
      <c r="D164" s="7082"/>
      <c r="E164" s="7082"/>
      <c r="F164" s="7082"/>
      <c r="G164" s="7082"/>
      <c r="H164" s="7168"/>
      <c r="I164" s="7340"/>
      <c r="J164" s="7341"/>
      <c r="K164" s="2246"/>
      <c r="L164" s="4753">
        <f t="shared" ref="L164:W164" si="38">$I$151*L158</f>
        <v>200277</v>
      </c>
      <c r="M164" s="5419">
        <f t="shared" si="38"/>
        <v>145656</v>
      </c>
      <c r="N164" s="6509">
        <f t="shared" si="38"/>
        <v>109242</v>
      </c>
      <c r="O164" s="4753">
        <f t="shared" si="38"/>
        <v>127449</v>
      </c>
      <c r="P164" s="3840">
        <f t="shared" si="38"/>
        <v>127449</v>
      </c>
      <c r="Q164" s="3841">
        <f t="shared" si="38"/>
        <v>145656</v>
      </c>
      <c r="R164" s="3839">
        <f t="shared" si="38"/>
        <v>200277</v>
      </c>
      <c r="S164" s="3840">
        <f t="shared" si="38"/>
        <v>182070</v>
      </c>
      <c r="T164" s="3841">
        <f t="shared" si="38"/>
        <v>182070</v>
      </c>
      <c r="U164" s="3839">
        <f t="shared" si="38"/>
        <v>182070</v>
      </c>
      <c r="V164" s="3840">
        <f t="shared" si="38"/>
        <v>145656</v>
      </c>
      <c r="W164" s="3841">
        <f t="shared" si="38"/>
        <v>145656</v>
      </c>
      <c r="X164" s="1774">
        <f>SUM(L164:W164)</f>
        <v>1893528</v>
      </c>
    </row>
    <row r="165" spans="1:24" ht="20.25" customHeight="1" thickBot="1">
      <c r="A165" s="1539">
        <v>2</v>
      </c>
      <c r="B165" s="7082" t="s">
        <v>964</v>
      </c>
      <c r="C165" s="7082"/>
      <c r="D165" s="7082"/>
      <c r="E165" s="7082"/>
      <c r="F165" s="7082"/>
      <c r="G165" s="7082"/>
      <c r="H165" s="7168"/>
      <c r="I165" s="7340"/>
      <c r="J165" s="7341"/>
      <c r="K165" s="1779"/>
      <c r="L165" s="4756">
        <v>20046.873378101849</v>
      </c>
      <c r="M165" s="5032">
        <v>22712.382637361108</v>
      </c>
      <c r="N165" s="5540">
        <v>22248.864624353741</v>
      </c>
      <c r="O165" s="4756">
        <f t="shared" ref="O165:W165" si="39">$I$151*O159</f>
        <v>91035</v>
      </c>
      <c r="P165" s="2724">
        <f t="shared" si="39"/>
        <v>127449</v>
      </c>
      <c r="Q165" s="2725">
        <f t="shared" si="39"/>
        <v>127449</v>
      </c>
      <c r="R165" s="2726">
        <f t="shared" si="39"/>
        <v>91035</v>
      </c>
      <c r="S165" s="2724">
        <f t="shared" si="39"/>
        <v>54621</v>
      </c>
      <c r="T165" s="2725">
        <f t="shared" si="39"/>
        <v>109242</v>
      </c>
      <c r="U165" s="2726">
        <f t="shared" si="39"/>
        <v>54621</v>
      </c>
      <c r="V165" s="2724">
        <f t="shared" si="39"/>
        <v>54621</v>
      </c>
      <c r="W165" s="2725">
        <f t="shared" si="39"/>
        <v>36414</v>
      </c>
      <c r="X165" s="1674">
        <f>SUM(L165:W165)</f>
        <v>811495.12063981663</v>
      </c>
    </row>
    <row r="166" spans="1:24" s="1610" customFormat="1" ht="20.25" customHeight="1" thickBot="1">
      <c r="A166" s="7081" t="s">
        <v>137</v>
      </c>
      <c r="B166" s="7082"/>
      <c r="C166" s="7082"/>
      <c r="D166" s="7082"/>
      <c r="E166" s="7082"/>
      <c r="F166" s="7082"/>
      <c r="G166" s="7082"/>
      <c r="H166" s="7168"/>
      <c r="I166" s="7350"/>
      <c r="J166" s="7351"/>
      <c r="K166" s="3372"/>
      <c r="L166" s="3952">
        <f>L165+L164</f>
        <v>220323.87337810185</v>
      </c>
      <c r="M166" s="5012">
        <f t="shared" ref="M166:W166" si="40">M165+M164</f>
        <v>168368.38263736112</v>
      </c>
      <c r="N166" s="5505">
        <f t="shared" si="40"/>
        <v>131490.86462435374</v>
      </c>
      <c r="O166" s="3952">
        <f t="shared" si="40"/>
        <v>218484</v>
      </c>
      <c r="P166" s="1605">
        <f t="shared" si="40"/>
        <v>254898</v>
      </c>
      <c r="Q166" s="1606">
        <f t="shared" si="40"/>
        <v>273105</v>
      </c>
      <c r="R166" s="1604">
        <f t="shared" si="40"/>
        <v>291312</v>
      </c>
      <c r="S166" s="1605">
        <f t="shared" si="40"/>
        <v>236691</v>
      </c>
      <c r="T166" s="1606">
        <f t="shared" si="40"/>
        <v>291312</v>
      </c>
      <c r="U166" s="1604">
        <f t="shared" si="40"/>
        <v>236691</v>
      </c>
      <c r="V166" s="1605">
        <f t="shared" si="40"/>
        <v>200277</v>
      </c>
      <c r="W166" s="1606">
        <f t="shared" si="40"/>
        <v>182070</v>
      </c>
      <c r="X166" s="1774">
        <f>SUM(X164:X165)</f>
        <v>2705023.1206398169</v>
      </c>
    </row>
    <row r="167" spans="1:24" ht="20.25" customHeight="1">
      <c r="X167" s="1532" t="b">
        <f>SUM(L166:W166)=X166</f>
        <v>1</v>
      </c>
    </row>
  </sheetData>
  <mergeCells count="36">
    <mergeCell ref="A166:H166"/>
    <mergeCell ref="I166:J166"/>
    <mergeCell ref="B152:H152"/>
    <mergeCell ref="I152:J152"/>
    <mergeCell ref="B163:H163"/>
    <mergeCell ref="I163:J163"/>
    <mergeCell ref="B164:H164"/>
    <mergeCell ref="I164:J164"/>
    <mergeCell ref="B165:H165"/>
    <mergeCell ref="I165:J165"/>
    <mergeCell ref="B157:H157"/>
    <mergeCell ref="I157:J157"/>
    <mergeCell ref="B159:H159"/>
    <mergeCell ref="I159:J159"/>
    <mergeCell ref="A160:H160"/>
    <mergeCell ref="I160:J160"/>
    <mergeCell ref="B158:H158"/>
    <mergeCell ref="I158:J158"/>
    <mergeCell ref="C72:F72"/>
    <mergeCell ref="A147:H147"/>
    <mergeCell ref="A146:H146"/>
    <mergeCell ref="A145:H145"/>
    <mergeCell ref="B144:F144"/>
    <mergeCell ref="A153:H153"/>
    <mergeCell ref="I150:J150"/>
    <mergeCell ref="I151:J151"/>
    <mergeCell ref="I153:J153"/>
    <mergeCell ref="B150:H150"/>
    <mergeCell ref="B151:H151"/>
    <mergeCell ref="C19:F19"/>
    <mergeCell ref="C143:F143"/>
    <mergeCell ref="A73:H73"/>
    <mergeCell ref="A5:A19"/>
    <mergeCell ref="B5:B19"/>
    <mergeCell ref="A20:A72"/>
    <mergeCell ref="B20:B72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scale="45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V121"/>
  <sheetViews>
    <sheetView topLeftCell="A40" workbookViewId="0">
      <selection activeCell="I88" sqref="I88:I89"/>
    </sheetView>
  </sheetViews>
  <sheetFormatPr defaultColWidth="9" defaultRowHeight="15.6"/>
  <cols>
    <col min="1" max="1" width="22.09765625" style="95" customWidth="1"/>
    <col min="2" max="2" width="22.09765625" style="96" customWidth="1"/>
    <col min="3" max="3" width="11.09765625" style="96" customWidth="1"/>
    <col min="4" max="4" width="11.69921875" style="96" customWidth="1"/>
    <col min="5" max="5" width="12.69921875" style="96" customWidth="1"/>
    <col min="6" max="7" width="12.09765625" style="463" customWidth="1"/>
    <col min="8" max="17" width="12.09765625" style="96" customWidth="1"/>
    <col min="18" max="18" width="16.09765625" style="96" customWidth="1"/>
    <col min="19" max="19" width="12" style="227" customWidth="1"/>
    <col min="20" max="20" width="10.09765625" style="98" bestFit="1" customWidth="1"/>
    <col min="21" max="21" width="13.59765625" style="98" bestFit="1" customWidth="1"/>
    <col min="22" max="16384" width="9" style="96"/>
  </cols>
  <sheetData>
    <row r="1" spans="1:19" ht="19.5" customHeight="1">
      <c r="A1" s="101" t="s">
        <v>38</v>
      </c>
      <c r="B1" s="94"/>
      <c r="C1" s="94"/>
      <c r="D1" s="94"/>
      <c r="E1" s="94"/>
      <c r="F1" s="526"/>
      <c r="G1" s="526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</row>
    <row r="2" spans="1:19" ht="19.5" customHeight="1"/>
    <row r="3" spans="1:19" ht="27" customHeight="1" thickBot="1">
      <c r="A3" s="100" t="s">
        <v>371</v>
      </c>
      <c r="B3" s="380"/>
      <c r="C3" s="380"/>
      <c r="D3" s="381"/>
      <c r="E3" s="380"/>
      <c r="R3" s="99" t="s">
        <v>349</v>
      </c>
    </row>
    <row r="4" spans="1:19" ht="17.25" customHeight="1" thickBot="1">
      <c r="A4" s="48" t="s">
        <v>111</v>
      </c>
      <c r="B4" s="382" t="s">
        <v>123</v>
      </c>
      <c r="C4" s="306" t="s">
        <v>103</v>
      </c>
      <c r="D4" s="306"/>
      <c r="E4" s="383" t="s">
        <v>350</v>
      </c>
      <c r="F4" s="384" t="s">
        <v>425</v>
      </c>
      <c r="G4" s="306" t="s">
        <v>545</v>
      </c>
      <c r="H4" s="307" t="s">
        <v>546</v>
      </c>
      <c r="I4" s="384" t="s">
        <v>426</v>
      </c>
      <c r="J4" s="306" t="s">
        <v>547</v>
      </c>
      <c r="K4" s="307" t="s">
        <v>548</v>
      </c>
      <c r="L4" s="384" t="s">
        <v>549</v>
      </c>
      <c r="M4" s="306" t="s">
        <v>550</v>
      </c>
      <c r="N4" s="307" t="s">
        <v>551</v>
      </c>
      <c r="O4" s="384" t="s">
        <v>552</v>
      </c>
      <c r="P4" s="306" t="s">
        <v>553</v>
      </c>
      <c r="Q4" s="307" t="s">
        <v>554</v>
      </c>
      <c r="R4" s="385" t="s">
        <v>428</v>
      </c>
    </row>
    <row r="5" spans="1:19" ht="16.5" customHeight="1">
      <c r="A5" s="7352" t="s">
        <v>311</v>
      </c>
      <c r="B5" s="386" t="s">
        <v>808</v>
      </c>
      <c r="C5" s="387">
        <f>(7061+17043+16422+13920+8755+8755)/F5</f>
        <v>11992.666666666666</v>
      </c>
      <c r="D5" s="388"/>
      <c r="E5" s="389">
        <v>6</v>
      </c>
      <c r="F5" s="778">
        <v>6</v>
      </c>
      <c r="G5" s="779">
        <f t="shared" ref="G5:Q5" si="0">F5</f>
        <v>6</v>
      </c>
      <c r="H5" s="780">
        <f t="shared" si="0"/>
        <v>6</v>
      </c>
      <c r="I5" s="778">
        <f t="shared" si="0"/>
        <v>6</v>
      </c>
      <c r="J5" s="779">
        <f t="shared" si="0"/>
        <v>6</v>
      </c>
      <c r="K5" s="780">
        <f t="shared" si="0"/>
        <v>6</v>
      </c>
      <c r="L5" s="390">
        <f t="shared" si="0"/>
        <v>6</v>
      </c>
      <c r="M5" s="391">
        <f t="shared" si="0"/>
        <v>6</v>
      </c>
      <c r="N5" s="392">
        <f t="shared" si="0"/>
        <v>6</v>
      </c>
      <c r="O5" s="390">
        <f t="shared" si="0"/>
        <v>6</v>
      </c>
      <c r="P5" s="391">
        <f t="shared" si="0"/>
        <v>6</v>
      </c>
      <c r="Q5" s="392">
        <f t="shared" si="0"/>
        <v>6</v>
      </c>
      <c r="R5" s="393">
        <f t="shared" ref="R5:R13" si="1">AVERAGE(F5:Q5)</f>
        <v>6</v>
      </c>
      <c r="S5" s="394">
        <v>13060</v>
      </c>
    </row>
    <row r="6" spans="1:19" ht="16.5" customHeight="1">
      <c r="A6" s="7353"/>
      <c r="B6" s="395" t="s">
        <v>429</v>
      </c>
      <c r="C6" s="396">
        <v>10138</v>
      </c>
      <c r="D6" s="397"/>
      <c r="E6" s="398">
        <v>1</v>
      </c>
      <c r="F6" s="514">
        <v>1</v>
      </c>
      <c r="G6" s="515">
        <f t="shared" ref="G6:Q6" si="2">F6</f>
        <v>1</v>
      </c>
      <c r="H6" s="516">
        <f t="shared" si="2"/>
        <v>1</v>
      </c>
      <c r="I6" s="514">
        <f t="shared" si="2"/>
        <v>1</v>
      </c>
      <c r="J6" s="515">
        <f t="shared" si="2"/>
        <v>1</v>
      </c>
      <c r="K6" s="516">
        <f t="shared" si="2"/>
        <v>1</v>
      </c>
      <c r="L6" s="399">
        <f t="shared" si="2"/>
        <v>1</v>
      </c>
      <c r="M6" s="400">
        <f t="shared" si="2"/>
        <v>1</v>
      </c>
      <c r="N6" s="401">
        <f t="shared" si="2"/>
        <v>1</v>
      </c>
      <c r="O6" s="399">
        <f t="shared" si="2"/>
        <v>1</v>
      </c>
      <c r="P6" s="400">
        <f t="shared" si="2"/>
        <v>1</v>
      </c>
      <c r="Q6" s="401">
        <f t="shared" si="2"/>
        <v>1</v>
      </c>
      <c r="R6" s="402">
        <f t="shared" si="1"/>
        <v>1</v>
      </c>
      <c r="S6" s="394">
        <v>8862</v>
      </c>
    </row>
    <row r="7" spans="1:19" ht="16.5" customHeight="1">
      <c r="A7" s="7353"/>
      <c r="B7" s="395" t="s">
        <v>306</v>
      </c>
      <c r="C7" s="396">
        <f>(6741+6596)/E7</f>
        <v>6668.5</v>
      </c>
      <c r="D7" s="403"/>
      <c r="E7" s="398">
        <v>2</v>
      </c>
      <c r="F7" s="514">
        <v>2</v>
      </c>
      <c r="G7" s="515">
        <v>2</v>
      </c>
      <c r="H7" s="516">
        <v>2</v>
      </c>
      <c r="I7" s="514">
        <f t="shared" ref="I7:Q7" si="3">H7</f>
        <v>2</v>
      </c>
      <c r="J7" s="515">
        <f t="shared" si="3"/>
        <v>2</v>
      </c>
      <c r="K7" s="516">
        <f t="shared" si="3"/>
        <v>2</v>
      </c>
      <c r="L7" s="399">
        <f t="shared" si="3"/>
        <v>2</v>
      </c>
      <c r="M7" s="400">
        <f t="shared" si="3"/>
        <v>2</v>
      </c>
      <c r="N7" s="401">
        <f t="shared" si="3"/>
        <v>2</v>
      </c>
      <c r="O7" s="399">
        <f t="shared" si="3"/>
        <v>2</v>
      </c>
      <c r="P7" s="400">
        <f t="shared" si="3"/>
        <v>2</v>
      </c>
      <c r="Q7" s="401">
        <f t="shared" si="3"/>
        <v>2</v>
      </c>
      <c r="R7" s="402">
        <f t="shared" si="1"/>
        <v>2</v>
      </c>
      <c r="S7" s="394">
        <v>5395</v>
      </c>
    </row>
    <row r="8" spans="1:19" ht="16.5" customHeight="1">
      <c r="A8" s="404"/>
      <c r="B8" s="405" t="s">
        <v>352</v>
      </c>
      <c r="C8" s="406"/>
      <c r="D8" s="407"/>
      <c r="E8" s="408">
        <f t="shared" ref="E8:Q8" si="4">SUM(E5:E7)</f>
        <v>9</v>
      </c>
      <c r="F8" s="811">
        <f t="shared" si="4"/>
        <v>9</v>
      </c>
      <c r="G8" s="812">
        <f t="shared" si="4"/>
        <v>9</v>
      </c>
      <c r="H8" s="813">
        <f t="shared" si="4"/>
        <v>9</v>
      </c>
      <c r="I8" s="811">
        <f t="shared" si="4"/>
        <v>9</v>
      </c>
      <c r="J8" s="812">
        <f t="shared" si="4"/>
        <v>9</v>
      </c>
      <c r="K8" s="813">
        <f t="shared" si="4"/>
        <v>9</v>
      </c>
      <c r="L8" s="409">
        <f t="shared" si="4"/>
        <v>9</v>
      </c>
      <c r="M8" s="223">
        <f t="shared" si="4"/>
        <v>9</v>
      </c>
      <c r="N8" s="410">
        <f t="shared" si="4"/>
        <v>9</v>
      </c>
      <c r="O8" s="409">
        <f t="shared" si="4"/>
        <v>9</v>
      </c>
      <c r="P8" s="223">
        <f t="shared" si="4"/>
        <v>9</v>
      </c>
      <c r="Q8" s="410">
        <f t="shared" si="4"/>
        <v>9</v>
      </c>
      <c r="R8" s="411">
        <f t="shared" si="1"/>
        <v>9</v>
      </c>
      <c r="S8" s="394"/>
    </row>
    <row r="9" spans="1:19" ht="16.5" customHeight="1">
      <c r="A9" s="7354" t="s">
        <v>353</v>
      </c>
      <c r="B9" s="412" t="s">
        <v>354</v>
      </c>
      <c r="C9" s="413">
        <f>(9774+12088)/E9</f>
        <v>10931</v>
      </c>
      <c r="D9" s="414"/>
      <c r="E9" s="415">
        <v>2</v>
      </c>
      <c r="F9" s="814">
        <v>2</v>
      </c>
      <c r="G9" s="814">
        <v>2</v>
      </c>
      <c r="H9" s="815">
        <v>2</v>
      </c>
      <c r="I9" s="816">
        <f t="shared" ref="I9:Q9" si="5">H9</f>
        <v>2</v>
      </c>
      <c r="J9" s="814">
        <f t="shared" si="5"/>
        <v>2</v>
      </c>
      <c r="K9" s="815">
        <f t="shared" si="5"/>
        <v>2</v>
      </c>
      <c r="L9" s="416">
        <f t="shared" si="5"/>
        <v>2</v>
      </c>
      <c r="M9" s="417">
        <f t="shared" si="5"/>
        <v>2</v>
      </c>
      <c r="N9" s="418">
        <f t="shared" si="5"/>
        <v>2</v>
      </c>
      <c r="O9" s="416">
        <f t="shared" si="5"/>
        <v>2</v>
      </c>
      <c r="P9" s="417">
        <f t="shared" si="5"/>
        <v>2</v>
      </c>
      <c r="Q9" s="418">
        <f t="shared" si="5"/>
        <v>2</v>
      </c>
      <c r="R9" s="419">
        <f t="shared" si="1"/>
        <v>2</v>
      </c>
      <c r="S9" s="394">
        <v>8177</v>
      </c>
    </row>
    <row r="10" spans="1:19" ht="16.5" customHeight="1">
      <c r="A10" s="7353"/>
      <c r="B10" s="395" t="str">
        <f>B6</f>
        <v>G,S Manager</v>
      </c>
      <c r="C10" s="396">
        <v>11077.093073430839</v>
      </c>
      <c r="D10" s="420"/>
      <c r="E10" s="398">
        <v>2</v>
      </c>
      <c r="F10" s="514">
        <v>2</v>
      </c>
      <c r="G10" s="515">
        <v>2</v>
      </c>
      <c r="H10" s="516">
        <v>2</v>
      </c>
      <c r="I10" s="514">
        <f t="shared" ref="I10:Q10" si="6">+H10</f>
        <v>2</v>
      </c>
      <c r="J10" s="515">
        <f t="shared" si="6"/>
        <v>2</v>
      </c>
      <c r="K10" s="516">
        <f t="shared" si="6"/>
        <v>2</v>
      </c>
      <c r="L10" s="399">
        <f t="shared" si="6"/>
        <v>2</v>
      </c>
      <c r="M10" s="400">
        <f t="shared" si="6"/>
        <v>2</v>
      </c>
      <c r="N10" s="401">
        <f t="shared" si="6"/>
        <v>2</v>
      </c>
      <c r="O10" s="399">
        <f t="shared" si="6"/>
        <v>2</v>
      </c>
      <c r="P10" s="400">
        <f t="shared" si="6"/>
        <v>2</v>
      </c>
      <c r="Q10" s="401">
        <f t="shared" si="6"/>
        <v>2</v>
      </c>
      <c r="R10" s="402">
        <f t="shared" si="1"/>
        <v>2</v>
      </c>
      <c r="S10" s="394"/>
    </row>
    <row r="11" spans="1:19" ht="16.5" customHeight="1">
      <c r="A11" s="7353"/>
      <c r="B11" s="395" t="str">
        <f>B7</f>
        <v>Manager</v>
      </c>
      <c r="C11" s="396">
        <f>(4292+3215)/E11</f>
        <v>3753.5</v>
      </c>
      <c r="D11" s="420"/>
      <c r="E11" s="398">
        <v>2</v>
      </c>
      <c r="F11" s="514">
        <v>2</v>
      </c>
      <c r="G11" s="515">
        <v>2</v>
      </c>
      <c r="H11" s="516">
        <v>2</v>
      </c>
      <c r="I11" s="514">
        <v>2</v>
      </c>
      <c r="J11" s="515">
        <v>2</v>
      </c>
      <c r="K11" s="516">
        <v>2</v>
      </c>
      <c r="L11" s="399">
        <v>2</v>
      </c>
      <c r="M11" s="400">
        <v>2</v>
      </c>
      <c r="N11" s="401">
        <v>2</v>
      </c>
      <c r="O11" s="399">
        <v>2</v>
      </c>
      <c r="P11" s="400">
        <v>2</v>
      </c>
      <c r="Q11" s="401">
        <v>2</v>
      </c>
      <c r="R11" s="402">
        <f t="shared" si="1"/>
        <v>2</v>
      </c>
      <c r="S11" s="394">
        <v>3847</v>
      </c>
    </row>
    <row r="12" spans="1:19" ht="16.5" customHeight="1" thickBot="1">
      <c r="A12" s="421"/>
      <c r="B12" s="422" t="s">
        <v>355</v>
      </c>
      <c r="C12" s="423"/>
      <c r="D12" s="424"/>
      <c r="E12" s="466">
        <f>E11+E9+E10</f>
        <v>6</v>
      </c>
      <c r="F12" s="808">
        <f t="shared" ref="F12:Q12" si="7">SUM(F9:F11)</f>
        <v>6</v>
      </c>
      <c r="G12" s="855">
        <f t="shared" si="7"/>
        <v>6</v>
      </c>
      <c r="H12" s="246">
        <f t="shared" si="7"/>
        <v>6</v>
      </c>
      <c r="I12" s="808">
        <f t="shared" si="7"/>
        <v>6</v>
      </c>
      <c r="J12" s="855">
        <f t="shared" si="7"/>
        <v>6</v>
      </c>
      <c r="K12" s="246">
        <f t="shared" si="7"/>
        <v>6</v>
      </c>
      <c r="L12" s="856">
        <f t="shared" si="7"/>
        <v>6</v>
      </c>
      <c r="M12" s="857">
        <f t="shared" si="7"/>
        <v>6</v>
      </c>
      <c r="N12" s="858">
        <f t="shared" si="7"/>
        <v>6</v>
      </c>
      <c r="O12" s="856">
        <f t="shared" si="7"/>
        <v>6</v>
      </c>
      <c r="P12" s="857">
        <f t="shared" si="7"/>
        <v>6</v>
      </c>
      <c r="Q12" s="858">
        <f t="shared" si="7"/>
        <v>6</v>
      </c>
      <c r="R12" s="426">
        <f t="shared" si="1"/>
        <v>6</v>
      </c>
      <c r="S12" s="394"/>
    </row>
    <row r="13" spans="1:19" ht="21" customHeight="1" thickBot="1">
      <c r="A13" s="7355" t="s">
        <v>356</v>
      </c>
      <c r="B13" s="7356"/>
      <c r="C13" s="306"/>
      <c r="D13" s="382"/>
      <c r="E13" s="427">
        <f>E12+E8</f>
        <v>15</v>
      </c>
      <c r="F13" s="211">
        <f t="shared" ref="F13:Q13" si="8">F8+F12</f>
        <v>15</v>
      </c>
      <c r="G13" s="212">
        <f t="shared" si="8"/>
        <v>15</v>
      </c>
      <c r="H13" s="213">
        <f t="shared" si="8"/>
        <v>15</v>
      </c>
      <c r="I13" s="211">
        <f t="shared" si="8"/>
        <v>15</v>
      </c>
      <c r="J13" s="212">
        <f t="shared" si="8"/>
        <v>15</v>
      </c>
      <c r="K13" s="213">
        <f t="shared" si="8"/>
        <v>15</v>
      </c>
      <c r="L13" s="257">
        <f t="shared" si="8"/>
        <v>15</v>
      </c>
      <c r="M13" s="258">
        <f t="shared" si="8"/>
        <v>15</v>
      </c>
      <c r="N13" s="228">
        <f t="shared" si="8"/>
        <v>15</v>
      </c>
      <c r="O13" s="257">
        <f t="shared" si="8"/>
        <v>15</v>
      </c>
      <c r="P13" s="258">
        <f t="shared" si="8"/>
        <v>15</v>
      </c>
      <c r="Q13" s="228">
        <f t="shared" si="8"/>
        <v>15</v>
      </c>
      <c r="R13" s="428">
        <f t="shared" si="1"/>
        <v>15</v>
      </c>
      <c r="S13" s="394"/>
    </row>
    <row r="14" spans="1:19" ht="16.5" customHeight="1">
      <c r="A14" s="600"/>
      <c r="B14" s="593"/>
      <c r="C14" s="600"/>
      <c r="D14" s="600"/>
      <c r="E14" s="601"/>
      <c r="F14" s="602"/>
      <c r="G14" s="602"/>
      <c r="H14" s="603"/>
      <c r="I14" s="603"/>
      <c r="J14" s="603"/>
      <c r="K14" s="602"/>
      <c r="L14" s="603"/>
      <c r="M14" s="603"/>
      <c r="N14" s="603"/>
      <c r="O14" s="603"/>
      <c r="P14" s="603"/>
      <c r="Q14" s="603"/>
      <c r="R14" s="604"/>
      <c r="S14" s="394"/>
    </row>
    <row r="15" spans="1:19" ht="16.5" customHeight="1" thickBot="1">
      <c r="A15" s="100" t="s">
        <v>370</v>
      </c>
      <c r="B15" s="380"/>
      <c r="C15" s="380"/>
      <c r="D15" s="381"/>
      <c r="E15" s="380"/>
      <c r="R15" s="99" t="s">
        <v>349</v>
      </c>
      <c r="S15" s="394"/>
    </row>
    <row r="16" spans="1:19" ht="18.75" customHeight="1" thickBot="1">
      <c r="A16" s="48" t="s">
        <v>111</v>
      </c>
      <c r="B16" s="382" t="s">
        <v>123</v>
      </c>
      <c r="C16" s="306" t="s">
        <v>103</v>
      </c>
      <c r="D16" s="306"/>
      <c r="E16" s="383" t="s">
        <v>350</v>
      </c>
      <c r="F16" s="384" t="s">
        <v>425</v>
      </c>
      <c r="G16" s="306" t="s">
        <v>545</v>
      </c>
      <c r="H16" s="307" t="s">
        <v>546</v>
      </c>
      <c r="I16" s="384" t="s">
        <v>426</v>
      </c>
      <c r="J16" s="306" t="s">
        <v>547</v>
      </c>
      <c r="K16" s="307" t="s">
        <v>548</v>
      </c>
      <c r="L16" s="384" t="s">
        <v>549</v>
      </c>
      <c r="M16" s="306" t="s">
        <v>550</v>
      </c>
      <c r="N16" s="307" t="s">
        <v>551</v>
      </c>
      <c r="O16" s="384" t="s">
        <v>552</v>
      </c>
      <c r="P16" s="306" t="s">
        <v>553</v>
      </c>
      <c r="Q16" s="307" t="s">
        <v>554</v>
      </c>
      <c r="R16" s="385" t="s">
        <v>428</v>
      </c>
      <c r="S16" s="394"/>
    </row>
    <row r="17" spans="1:21" ht="16.5" customHeight="1">
      <c r="A17" s="589" t="s">
        <v>357</v>
      </c>
      <c r="B17" s="386" t="s">
        <v>395</v>
      </c>
      <c r="C17" s="387">
        <v>2548.1415472077442</v>
      </c>
      <c r="D17" s="429"/>
      <c r="E17" s="389">
        <v>6</v>
      </c>
      <c r="F17" s="778">
        <v>6</v>
      </c>
      <c r="G17" s="779">
        <v>6</v>
      </c>
      <c r="H17" s="780">
        <v>6</v>
      </c>
      <c r="I17" s="778">
        <v>6</v>
      </c>
      <c r="J17" s="779">
        <v>6</v>
      </c>
      <c r="K17" s="780">
        <v>6</v>
      </c>
      <c r="L17" s="390">
        <v>6</v>
      </c>
      <c r="M17" s="391">
        <v>6</v>
      </c>
      <c r="N17" s="392">
        <v>6</v>
      </c>
      <c r="O17" s="390">
        <v>6</v>
      </c>
      <c r="P17" s="391">
        <v>6</v>
      </c>
      <c r="Q17" s="392">
        <v>6</v>
      </c>
      <c r="R17" s="393">
        <f>AVERAGE(F17:Q17)</f>
        <v>6</v>
      </c>
      <c r="S17" s="394"/>
    </row>
    <row r="18" spans="1:21" ht="16.5" customHeight="1">
      <c r="A18" s="587"/>
      <c r="B18" s="395" t="s">
        <v>306</v>
      </c>
      <c r="C18" s="396">
        <v>1462.3855278862443</v>
      </c>
      <c r="D18" s="430"/>
      <c r="E18" s="398">
        <v>8</v>
      </c>
      <c r="F18" s="514">
        <v>9</v>
      </c>
      <c r="G18" s="515">
        <f t="shared" ref="G18:Q18" si="9">F18</f>
        <v>9</v>
      </c>
      <c r="H18" s="516">
        <f t="shared" si="9"/>
        <v>9</v>
      </c>
      <c r="I18" s="514">
        <f t="shared" si="9"/>
        <v>9</v>
      </c>
      <c r="J18" s="515">
        <f t="shared" si="9"/>
        <v>9</v>
      </c>
      <c r="K18" s="516">
        <f t="shared" si="9"/>
        <v>9</v>
      </c>
      <c r="L18" s="399">
        <f t="shared" si="9"/>
        <v>9</v>
      </c>
      <c r="M18" s="400">
        <f t="shared" si="9"/>
        <v>9</v>
      </c>
      <c r="N18" s="401">
        <f t="shared" si="9"/>
        <v>9</v>
      </c>
      <c r="O18" s="399">
        <f t="shared" si="9"/>
        <v>9</v>
      </c>
      <c r="P18" s="400">
        <f t="shared" si="9"/>
        <v>9</v>
      </c>
      <c r="Q18" s="401">
        <f t="shared" si="9"/>
        <v>9</v>
      </c>
      <c r="R18" s="402">
        <f>AVERAGE(F18:Q18)</f>
        <v>9</v>
      </c>
      <c r="S18" s="394"/>
    </row>
    <row r="19" spans="1:21" ht="16.5" customHeight="1">
      <c r="A19" s="587"/>
      <c r="B19" s="395" t="s">
        <v>351</v>
      </c>
      <c r="C19" s="396">
        <v>664.03231782688022</v>
      </c>
      <c r="D19" s="431"/>
      <c r="E19" s="398">
        <v>53</v>
      </c>
      <c r="F19" s="514">
        <v>55</v>
      </c>
      <c r="G19" s="515">
        <v>55</v>
      </c>
      <c r="H19" s="516">
        <v>55</v>
      </c>
      <c r="I19" s="514">
        <f>H19</f>
        <v>55</v>
      </c>
      <c r="J19" s="515">
        <f>I19</f>
        <v>55</v>
      </c>
      <c r="K19" s="516">
        <f>J19</f>
        <v>55</v>
      </c>
      <c r="L19" s="399">
        <v>50</v>
      </c>
      <c r="M19" s="400">
        <f>L19</f>
        <v>50</v>
      </c>
      <c r="N19" s="401">
        <f>M19</f>
        <v>50</v>
      </c>
      <c r="O19" s="399">
        <f>N19</f>
        <v>50</v>
      </c>
      <c r="P19" s="400">
        <f>O19</f>
        <v>50</v>
      </c>
      <c r="Q19" s="401">
        <f>P19</f>
        <v>50</v>
      </c>
      <c r="R19" s="402">
        <f>AVERAGE(F19:Q19)</f>
        <v>52.5</v>
      </c>
      <c r="S19" s="394"/>
    </row>
    <row r="20" spans="1:21" ht="16.5" customHeight="1">
      <c r="A20" s="404"/>
      <c r="B20" s="405" t="s">
        <v>352</v>
      </c>
      <c r="C20" s="406"/>
      <c r="D20" s="407"/>
      <c r="E20" s="408">
        <f t="shared" ref="E20:R20" si="10">SUM(E17:E19)</f>
        <v>67</v>
      </c>
      <c r="F20" s="811">
        <f t="shared" si="10"/>
        <v>70</v>
      </c>
      <c r="G20" s="812">
        <f t="shared" si="10"/>
        <v>70</v>
      </c>
      <c r="H20" s="813">
        <f t="shared" si="10"/>
        <v>70</v>
      </c>
      <c r="I20" s="811">
        <f t="shared" si="10"/>
        <v>70</v>
      </c>
      <c r="J20" s="812">
        <f t="shared" si="10"/>
        <v>70</v>
      </c>
      <c r="K20" s="813">
        <f t="shared" si="10"/>
        <v>70</v>
      </c>
      <c r="L20" s="409">
        <f t="shared" si="10"/>
        <v>65</v>
      </c>
      <c r="M20" s="223">
        <f t="shared" si="10"/>
        <v>65</v>
      </c>
      <c r="N20" s="410">
        <f t="shared" si="10"/>
        <v>65</v>
      </c>
      <c r="O20" s="409">
        <f t="shared" si="10"/>
        <v>65</v>
      </c>
      <c r="P20" s="223">
        <f t="shared" si="10"/>
        <v>65</v>
      </c>
      <c r="Q20" s="410">
        <f t="shared" si="10"/>
        <v>65</v>
      </c>
      <c r="R20" s="411">
        <f t="shared" si="10"/>
        <v>67.5</v>
      </c>
      <c r="S20" s="394"/>
    </row>
    <row r="21" spans="1:21" ht="16.5" customHeight="1">
      <c r="A21" s="432" t="s">
        <v>358</v>
      </c>
      <c r="B21" s="412" t="s">
        <v>395</v>
      </c>
      <c r="C21" s="413">
        <v>1853.4521445607761</v>
      </c>
      <c r="D21" s="433"/>
      <c r="E21" s="415">
        <v>6</v>
      </c>
      <c r="F21" s="816">
        <v>3</v>
      </c>
      <c r="G21" s="814">
        <v>3</v>
      </c>
      <c r="H21" s="815">
        <v>3</v>
      </c>
      <c r="I21" s="816">
        <v>3</v>
      </c>
      <c r="J21" s="814">
        <v>3</v>
      </c>
      <c r="K21" s="815">
        <v>3</v>
      </c>
      <c r="L21" s="416">
        <v>3</v>
      </c>
      <c r="M21" s="417">
        <v>3</v>
      </c>
      <c r="N21" s="418">
        <v>3</v>
      </c>
      <c r="O21" s="416">
        <v>3</v>
      </c>
      <c r="P21" s="417">
        <v>3</v>
      </c>
      <c r="Q21" s="418">
        <v>3</v>
      </c>
      <c r="R21" s="402">
        <f>AVERAGE(F21:Q21)</f>
        <v>3</v>
      </c>
      <c r="S21" s="394"/>
    </row>
    <row r="22" spans="1:21" ht="16.5" customHeight="1">
      <c r="A22" s="587"/>
      <c r="B22" s="395" t="s">
        <v>306</v>
      </c>
      <c r="C22" s="396">
        <v>1389.3012371876198</v>
      </c>
      <c r="D22" s="434"/>
      <c r="E22" s="398">
        <v>9</v>
      </c>
      <c r="F22" s="514">
        <v>11</v>
      </c>
      <c r="G22" s="515">
        <v>11</v>
      </c>
      <c r="H22" s="516">
        <v>11</v>
      </c>
      <c r="I22" s="514">
        <v>11</v>
      </c>
      <c r="J22" s="515">
        <v>11</v>
      </c>
      <c r="K22" s="516">
        <v>11</v>
      </c>
      <c r="L22" s="399">
        <v>11</v>
      </c>
      <c r="M22" s="400">
        <v>11</v>
      </c>
      <c r="N22" s="401">
        <v>11</v>
      </c>
      <c r="O22" s="399">
        <v>11</v>
      </c>
      <c r="P22" s="400">
        <v>11</v>
      </c>
      <c r="Q22" s="401">
        <v>11</v>
      </c>
      <c r="R22" s="402">
        <f>AVERAGE(F22:Q22)</f>
        <v>11</v>
      </c>
      <c r="S22" s="394"/>
    </row>
    <row r="23" spans="1:21" ht="16.5" customHeight="1">
      <c r="A23" s="587"/>
      <c r="B23" s="395" t="s">
        <v>307</v>
      </c>
      <c r="C23" s="396">
        <v>718.0844673430978</v>
      </c>
      <c r="D23" s="434"/>
      <c r="E23" s="398">
        <v>60</v>
      </c>
      <c r="F23" s="514">
        <v>151</v>
      </c>
      <c r="G23" s="515">
        <v>147</v>
      </c>
      <c r="H23" s="516">
        <v>143</v>
      </c>
      <c r="I23" s="514">
        <v>139</v>
      </c>
      <c r="J23" s="515">
        <v>135</v>
      </c>
      <c r="K23" s="516">
        <v>131</v>
      </c>
      <c r="L23" s="399">
        <v>127</v>
      </c>
      <c r="M23" s="400">
        <v>123</v>
      </c>
      <c r="N23" s="401">
        <v>119</v>
      </c>
      <c r="O23" s="399">
        <v>115</v>
      </c>
      <c r="P23" s="400">
        <v>111</v>
      </c>
      <c r="Q23" s="401">
        <v>107</v>
      </c>
      <c r="R23" s="402">
        <f>AVERAGE(F23:Q23)</f>
        <v>129</v>
      </c>
      <c r="S23" s="394"/>
    </row>
    <row r="24" spans="1:21" ht="16.5" customHeight="1" thickBot="1">
      <c r="A24" s="421"/>
      <c r="B24" s="422" t="s">
        <v>355</v>
      </c>
      <c r="C24" s="423"/>
      <c r="D24" s="424"/>
      <c r="E24" s="425">
        <f t="shared" ref="E24:R24" si="11">SUM(E21:E23)</f>
        <v>75</v>
      </c>
      <c r="F24" s="817">
        <f t="shared" si="11"/>
        <v>165</v>
      </c>
      <c r="G24" s="455">
        <f t="shared" si="11"/>
        <v>161</v>
      </c>
      <c r="H24" s="818">
        <f t="shared" si="11"/>
        <v>157</v>
      </c>
      <c r="I24" s="817">
        <f t="shared" si="11"/>
        <v>153</v>
      </c>
      <c r="J24" s="455">
        <f t="shared" si="11"/>
        <v>149</v>
      </c>
      <c r="K24" s="818">
        <f t="shared" si="11"/>
        <v>145</v>
      </c>
      <c r="L24" s="435">
        <f t="shared" si="11"/>
        <v>141</v>
      </c>
      <c r="M24" s="436">
        <f t="shared" si="11"/>
        <v>137</v>
      </c>
      <c r="N24" s="437">
        <f t="shared" si="11"/>
        <v>133</v>
      </c>
      <c r="O24" s="435">
        <f t="shared" si="11"/>
        <v>129</v>
      </c>
      <c r="P24" s="436">
        <f t="shared" si="11"/>
        <v>125</v>
      </c>
      <c r="Q24" s="437">
        <f t="shared" si="11"/>
        <v>121</v>
      </c>
      <c r="R24" s="426">
        <f t="shared" si="11"/>
        <v>143</v>
      </c>
      <c r="S24" s="394"/>
    </row>
    <row r="25" spans="1:21" ht="16.5" customHeight="1" thickBot="1">
      <c r="A25" s="7355" t="s">
        <v>359</v>
      </c>
      <c r="B25" s="7356"/>
      <c r="C25" s="306"/>
      <c r="D25" s="382"/>
      <c r="E25" s="427">
        <f>E24+E20</f>
        <v>142</v>
      </c>
      <c r="F25" s="211">
        <f t="shared" ref="F25:Q25" si="12">F20+F24</f>
        <v>235</v>
      </c>
      <c r="G25" s="212">
        <f t="shared" si="12"/>
        <v>231</v>
      </c>
      <c r="H25" s="213">
        <f t="shared" si="12"/>
        <v>227</v>
      </c>
      <c r="I25" s="211">
        <f t="shared" si="12"/>
        <v>223</v>
      </c>
      <c r="J25" s="212">
        <f t="shared" si="12"/>
        <v>219</v>
      </c>
      <c r="K25" s="213">
        <f t="shared" si="12"/>
        <v>215</v>
      </c>
      <c r="L25" s="257">
        <f t="shared" si="12"/>
        <v>206</v>
      </c>
      <c r="M25" s="258">
        <f t="shared" si="12"/>
        <v>202</v>
      </c>
      <c r="N25" s="228">
        <f t="shared" si="12"/>
        <v>198</v>
      </c>
      <c r="O25" s="257">
        <f t="shared" si="12"/>
        <v>194</v>
      </c>
      <c r="P25" s="258">
        <f t="shared" si="12"/>
        <v>190</v>
      </c>
      <c r="Q25" s="228">
        <f t="shared" si="12"/>
        <v>186</v>
      </c>
      <c r="R25" s="428">
        <f>AVERAGE(F25:Q25)</f>
        <v>210.5</v>
      </c>
      <c r="S25" s="438"/>
    </row>
    <row r="26" spans="1:21" s="220" customFormat="1" ht="16.5" customHeight="1">
      <c r="A26" s="441"/>
      <c r="B26" s="442"/>
      <c r="C26" s="441"/>
      <c r="D26" s="441"/>
      <c r="E26" s="443"/>
      <c r="F26" s="444"/>
      <c r="G26" s="444"/>
      <c r="H26" s="444"/>
      <c r="I26" s="444"/>
      <c r="J26" s="444"/>
      <c r="K26" s="444"/>
      <c r="L26" s="215"/>
      <c r="M26" s="215"/>
      <c r="N26" s="215"/>
      <c r="O26" s="215"/>
      <c r="P26" s="215"/>
      <c r="Q26" s="215"/>
      <c r="R26" s="444"/>
      <c r="S26" s="438"/>
      <c r="T26" s="221"/>
      <c r="U26" s="221"/>
    </row>
    <row r="27" spans="1:21" ht="16.5" customHeight="1" thickBot="1">
      <c r="A27" s="1225" t="s">
        <v>823</v>
      </c>
      <c r="B27" s="215"/>
      <c r="C27" s="461"/>
      <c r="D27" s="461"/>
      <c r="E27" s="506"/>
      <c r="F27" s="1147"/>
      <c r="G27" s="1147"/>
      <c r="H27" s="1147"/>
      <c r="I27" s="1147"/>
      <c r="J27" s="1147"/>
      <c r="K27" s="1147"/>
      <c r="L27" s="1147"/>
      <c r="M27" s="1147"/>
      <c r="N27" s="1147"/>
      <c r="O27" s="1147"/>
      <c r="P27" s="1147"/>
      <c r="Q27" s="1147"/>
      <c r="R27" s="462"/>
    </row>
    <row r="28" spans="1:21" ht="16.5" customHeight="1" thickBot="1">
      <c r="A28" s="382" t="s">
        <v>111</v>
      </c>
      <c r="B28" s="382" t="s">
        <v>123</v>
      </c>
      <c r="C28" s="446" t="s">
        <v>308</v>
      </c>
      <c r="D28" s="306"/>
      <c r="E28" s="382"/>
      <c r="F28" s="384" t="s">
        <v>425</v>
      </c>
      <c r="G28" s="306" t="s">
        <v>545</v>
      </c>
      <c r="H28" s="307" t="s">
        <v>546</v>
      </c>
      <c r="I28" s="384" t="s">
        <v>426</v>
      </c>
      <c r="J28" s="306" t="s">
        <v>547</v>
      </c>
      <c r="K28" s="307" t="s">
        <v>548</v>
      </c>
      <c r="L28" s="384" t="s">
        <v>549</v>
      </c>
      <c r="M28" s="306" t="s">
        <v>550</v>
      </c>
      <c r="N28" s="307" t="s">
        <v>551</v>
      </c>
      <c r="O28" s="384" t="s">
        <v>552</v>
      </c>
      <c r="P28" s="306" t="s">
        <v>553</v>
      </c>
      <c r="Q28" s="307" t="s">
        <v>554</v>
      </c>
      <c r="R28" s="385" t="s">
        <v>428</v>
      </c>
    </row>
    <row r="29" spans="1:21" ht="16.5" customHeight="1">
      <c r="A29" s="397" t="s">
        <v>821</v>
      </c>
      <c r="B29" s="397" t="s">
        <v>797</v>
      </c>
      <c r="C29" s="396" t="e">
        <f>SUM(#REF!)/'1-1.Assumption'!$F$29</f>
        <v>#REF!</v>
      </c>
      <c r="D29" s="1143"/>
      <c r="E29" s="1142"/>
      <c r="F29" s="514">
        <f>F41-F51</f>
        <v>20</v>
      </c>
      <c r="G29" s="515">
        <f t="shared" ref="G29:Q29" si="13">G41-F51-G51</f>
        <v>20</v>
      </c>
      <c r="H29" s="516">
        <f t="shared" si="13"/>
        <v>20</v>
      </c>
      <c r="I29" s="822">
        <f t="shared" si="13"/>
        <v>20</v>
      </c>
      <c r="J29" s="515">
        <f t="shared" si="13"/>
        <v>20</v>
      </c>
      <c r="K29" s="516">
        <f t="shared" si="13"/>
        <v>20</v>
      </c>
      <c r="L29" s="399">
        <f t="shared" si="13"/>
        <v>20</v>
      </c>
      <c r="M29" s="400">
        <f t="shared" si="13"/>
        <v>20</v>
      </c>
      <c r="N29" s="401">
        <f t="shared" si="13"/>
        <v>20</v>
      </c>
      <c r="O29" s="399">
        <f t="shared" si="13"/>
        <v>20</v>
      </c>
      <c r="P29" s="400">
        <f t="shared" si="13"/>
        <v>20</v>
      </c>
      <c r="Q29" s="401">
        <f t="shared" si="13"/>
        <v>20</v>
      </c>
      <c r="R29" s="402">
        <f>AVERAGE(F29:Q29)</f>
        <v>20</v>
      </c>
    </row>
    <row r="30" spans="1:21" ht="16.5" customHeight="1">
      <c r="A30" s="397"/>
      <c r="B30" s="397" t="s">
        <v>786</v>
      </c>
      <c r="C30" s="396" t="e">
        <f>SUM(#REF!)/'1-1.Assumption'!$F$29</f>
        <v>#REF!</v>
      </c>
      <c r="D30" s="447"/>
      <c r="E30" s="447"/>
      <c r="F30" s="514">
        <f>F42-F52</f>
        <v>92</v>
      </c>
      <c r="G30" s="515">
        <f>G42-F52-G52</f>
        <v>88</v>
      </c>
      <c r="H30" s="516">
        <f>H42-F52-G52-H52</f>
        <v>92</v>
      </c>
      <c r="I30" s="822">
        <f>I42-G52-H52-I52-F52</f>
        <v>96</v>
      </c>
      <c r="J30" s="515">
        <f>J42-H52-I52-J52-G52-F52</f>
        <v>96</v>
      </c>
      <c r="K30" s="516">
        <f>K42-I52-J52-K52-H52-G52-F52</f>
        <v>98</v>
      </c>
      <c r="L30" s="399">
        <f>L42-J52-K52-L52-I52-H52-G52-F52</f>
        <v>96</v>
      </c>
      <c r="M30" s="400">
        <f>M42-K52-L52-M52-J52-I52-H52-G52-F52</f>
        <v>96</v>
      </c>
      <c r="N30" s="401">
        <f>N42-L52-M52-N52-K52-J52-I52-H52-G52-F52</f>
        <v>94</v>
      </c>
      <c r="O30" s="399">
        <f>O42-M52-N52-O52-L52-K52-J52-I52-H52-G52-F52</f>
        <v>90</v>
      </c>
      <c r="P30" s="400">
        <f>P42-N52-O52-P52-M52-L52-K52-J52-I52-H52-G52-F52</f>
        <v>86</v>
      </c>
      <c r="Q30" s="401">
        <f>Q42-O52-P52-Q52-N52-M52-L52-K52-J52-I52-H52-G52-F52</f>
        <v>84</v>
      </c>
      <c r="R30" s="402">
        <f>AVERAGE(F30:Q30)</f>
        <v>92.333333333333329</v>
      </c>
    </row>
    <row r="31" spans="1:21" ht="16.5" customHeight="1">
      <c r="A31" s="397"/>
      <c r="B31" s="397" t="s">
        <v>785</v>
      </c>
      <c r="C31" s="396" t="e">
        <f>SUM(#REF!)/'1-1.Assumption'!$F$29</f>
        <v>#REF!</v>
      </c>
      <c r="D31" s="447"/>
      <c r="E31" s="447"/>
      <c r="F31" s="514">
        <f>F43-F53</f>
        <v>218</v>
      </c>
      <c r="G31" s="515">
        <f>G43-F53-G53</f>
        <v>189</v>
      </c>
      <c r="H31" s="516">
        <f>H43-F53-G53-H53</f>
        <v>199</v>
      </c>
      <c r="I31" s="822">
        <f>I43-G53-H53-I53-F53</f>
        <v>211</v>
      </c>
      <c r="J31" s="515">
        <f>J43-H53-I53-J53-G53-F53</f>
        <v>207</v>
      </c>
      <c r="K31" s="516">
        <f>K43-I53-J53-K53-H53-G53-F53</f>
        <v>207</v>
      </c>
      <c r="L31" s="399">
        <f>L43-J53-K53-L53-I53-H53-G53-F53</f>
        <v>205</v>
      </c>
      <c r="M31" s="400">
        <f>M43-K53-L53-M53-J53-I53-H53-G53-F53</f>
        <v>204</v>
      </c>
      <c r="N31" s="401">
        <f>N43-L53-M53-N53-K53-J53-I53-H53-G53-F53</f>
        <v>201</v>
      </c>
      <c r="O31" s="399">
        <f>O43-M53-N53-O53-L53-K53-J53-I53-H53-G53-F53</f>
        <v>178</v>
      </c>
      <c r="P31" s="400">
        <f>P43-N53-O53-P53-M53-L53-K53-J53-I53-H53-G53-F53</f>
        <v>145</v>
      </c>
      <c r="Q31" s="401">
        <f>Q43-O53-P53-Q53-N53-M53-L53-K53-J53-I53-H53-G53-F53</f>
        <v>108</v>
      </c>
      <c r="R31" s="402">
        <f>AVERAGE(F31:Q31)</f>
        <v>189.33333333333334</v>
      </c>
    </row>
    <row r="32" spans="1:21" ht="16.5" customHeight="1">
      <c r="A32" s="397"/>
      <c r="B32" s="397" t="s">
        <v>784</v>
      </c>
      <c r="C32" s="396" t="e">
        <f>SUM(#REF!)/'1-1.Assumption'!$F$29</f>
        <v>#REF!</v>
      </c>
      <c r="D32" s="447"/>
      <c r="E32" s="447"/>
      <c r="F32" s="514">
        <f>F44-F54</f>
        <v>220</v>
      </c>
      <c r="G32" s="515">
        <f>G44-F54-G54</f>
        <v>279</v>
      </c>
      <c r="H32" s="516">
        <f>H44-F54-G54-H54</f>
        <v>304</v>
      </c>
      <c r="I32" s="822">
        <f>I44-G54-H54-I54-F54</f>
        <v>330</v>
      </c>
      <c r="J32" s="515">
        <f>J44-H54-I54-J54-G54-F54</f>
        <v>326</v>
      </c>
      <c r="K32" s="516">
        <f>K44-I54-J54-K54-H54-G54-F54</f>
        <v>328</v>
      </c>
      <c r="L32" s="399">
        <f>L44-J54-K54-L54-I54-H54-G54-F54</f>
        <v>324</v>
      </c>
      <c r="M32" s="400">
        <f>M44-K54-L54-M54-J54-I54-H54-G54-F54</f>
        <v>327</v>
      </c>
      <c r="N32" s="401">
        <f>N44-L54-M54-N54-K54-J54-I54-H54-G54-F54</f>
        <v>313</v>
      </c>
      <c r="O32" s="399">
        <f>O44-M54-N54-O54-L54-K54-J54-I54-H54-G54-F54</f>
        <v>309</v>
      </c>
      <c r="P32" s="400">
        <f>P44-N54-O54-P54-M54-L54-K54-J54-I54-H54-G54-F54</f>
        <v>292</v>
      </c>
      <c r="Q32" s="401">
        <f>Q44-O54-P54-Q54-N54-M54-L54-K54-J54-I54-H54-G54-F54</f>
        <v>267</v>
      </c>
      <c r="R32" s="402">
        <f>AVERAGE(F32:Q32)</f>
        <v>301.58333333333331</v>
      </c>
    </row>
    <row r="33" spans="1:22" ht="16.5" customHeight="1">
      <c r="A33" s="449"/>
      <c r="B33" s="449" t="s">
        <v>92</v>
      </c>
      <c r="C33" s="396" t="e">
        <f>SUM(#REF!)/'1-1.Assumption'!$F$29</f>
        <v>#REF!</v>
      </c>
      <c r="D33" s="447"/>
      <c r="E33" s="450"/>
      <c r="F33" s="514">
        <f>F45-F55</f>
        <v>55</v>
      </c>
      <c r="G33" s="515">
        <f>G45-F55-G55</f>
        <v>57</v>
      </c>
      <c r="H33" s="516">
        <f>H45-F55-G55-H55</f>
        <v>65</v>
      </c>
      <c r="I33" s="822">
        <f>I45-G55-H55-I55-F55</f>
        <v>67</v>
      </c>
      <c r="J33" s="515">
        <f>J45-H55-I55-J55-G55-F55</f>
        <v>66</v>
      </c>
      <c r="K33" s="516">
        <f>K45-I55-J55-K55-H55-G55-F55</f>
        <v>55</v>
      </c>
      <c r="L33" s="399">
        <f>L45-J55-K55-L55-I55-H55-G55-F55</f>
        <v>45</v>
      </c>
      <c r="M33" s="400">
        <f>M45-K55-L55-M55-J55-I55-H55-G55-F55</f>
        <v>36</v>
      </c>
      <c r="N33" s="401">
        <f>N45-L55-M55-N55-K55-J55-I55-H55-G55-F55</f>
        <v>35</v>
      </c>
      <c r="O33" s="399">
        <f>O45-M55-N55-O55-L55-K55-J55-I55-H55-G55-F55</f>
        <v>36</v>
      </c>
      <c r="P33" s="400">
        <f>P45-N55-O55-P55-M55-L55-K55-J55-I55-H55-G55-F55</f>
        <v>35</v>
      </c>
      <c r="Q33" s="401">
        <f>Q45-O55-P55-Q55-N55-M55-L55-K55-J55-I55-H55-G55-F55</f>
        <v>31</v>
      </c>
      <c r="R33" s="402">
        <f>AVERAGE(F33:Q33)</f>
        <v>48.583333333333336</v>
      </c>
    </row>
    <row r="34" spans="1:22" ht="16.5" customHeight="1" thickBot="1">
      <c r="A34" s="454"/>
      <c r="B34" s="454" t="s">
        <v>352</v>
      </c>
      <c r="C34" s="455"/>
      <c r="D34" s="455"/>
      <c r="E34" s="456"/>
      <c r="F34" s="1148">
        <f t="shared" ref="F34:R34" si="14">SUM(F29:F33)</f>
        <v>605</v>
      </c>
      <c r="G34" s="1149">
        <f t="shared" si="14"/>
        <v>633</v>
      </c>
      <c r="H34" s="1150">
        <f t="shared" si="14"/>
        <v>680</v>
      </c>
      <c r="I34" s="1148">
        <f t="shared" si="14"/>
        <v>724</v>
      </c>
      <c r="J34" s="1149">
        <f t="shared" si="14"/>
        <v>715</v>
      </c>
      <c r="K34" s="1150">
        <f t="shared" si="14"/>
        <v>708</v>
      </c>
      <c r="L34" s="1151">
        <f t="shared" si="14"/>
        <v>690</v>
      </c>
      <c r="M34" s="1152">
        <f t="shared" si="14"/>
        <v>683</v>
      </c>
      <c r="N34" s="1153">
        <f t="shared" si="14"/>
        <v>663</v>
      </c>
      <c r="O34" s="1151">
        <f t="shared" si="14"/>
        <v>633</v>
      </c>
      <c r="P34" s="1152">
        <f t="shared" si="14"/>
        <v>578</v>
      </c>
      <c r="Q34" s="1153">
        <f t="shared" si="14"/>
        <v>510</v>
      </c>
      <c r="R34" s="426">
        <f t="shared" si="14"/>
        <v>651.83333333333337</v>
      </c>
    </row>
    <row r="35" spans="1:22" ht="16.5" customHeight="1" thickBot="1">
      <c r="A35" s="594"/>
      <c r="B35" s="595"/>
      <c r="C35" s="594"/>
      <c r="D35" s="594"/>
      <c r="E35" s="596"/>
      <c r="F35" s="597"/>
      <c r="G35" s="597"/>
      <c r="H35" s="598"/>
      <c r="I35" s="598"/>
      <c r="J35" s="598"/>
      <c r="K35" s="598"/>
      <c r="L35" s="598"/>
      <c r="M35" s="598"/>
      <c r="N35" s="598"/>
      <c r="O35" s="598"/>
      <c r="P35" s="598"/>
      <c r="Q35" s="598"/>
      <c r="R35" s="599"/>
      <c r="S35" s="438"/>
    </row>
    <row r="36" spans="1:22" s="220" customFormat="1" ht="24" customHeight="1" thickBot="1">
      <c r="A36" s="7357" t="s">
        <v>476</v>
      </c>
      <c r="B36" s="7358"/>
      <c r="C36" s="7358"/>
      <c r="D36" s="7358"/>
      <c r="E36" s="439"/>
      <c r="F36" s="819">
        <f t="shared" ref="F36:Q36" si="15">F13+F25+F34</f>
        <v>855</v>
      </c>
      <c r="G36" s="820">
        <f t="shared" si="15"/>
        <v>879</v>
      </c>
      <c r="H36" s="821">
        <f t="shared" si="15"/>
        <v>922</v>
      </c>
      <c r="I36" s="819">
        <f t="shared" si="15"/>
        <v>962</v>
      </c>
      <c r="J36" s="820">
        <f t="shared" si="15"/>
        <v>949</v>
      </c>
      <c r="K36" s="821">
        <f t="shared" si="15"/>
        <v>938</v>
      </c>
      <c r="L36" s="819">
        <f t="shared" si="15"/>
        <v>911</v>
      </c>
      <c r="M36" s="820">
        <f t="shared" si="15"/>
        <v>900</v>
      </c>
      <c r="N36" s="821">
        <f t="shared" si="15"/>
        <v>876</v>
      </c>
      <c r="O36" s="819">
        <f t="shared" si="15"/>
        <v>842</v>
      </c>
      <c r="P36" s="820">
        <f t="shared" si="15"/>
        <v>783</v>
      </c>
      <c r="Q36" s="1176">
        <f t="shared" si="15"/>
        <v>711</v>
      </c>
      <c r="R36" s="440">
        <f>AVERAGE(F36:Q36)</f>
        <v>877.33333333333337</v>
      </c>
      <c r="S36" s="394"/>
      <c r="T36" s="221"/>
      <c r="U36" s="221"/>
      <c r="V36" s="96"/>
    </row>
    <row r="37" spans="1:22" s="220" customFormat="1" ht="16.5" customHeight="1">
      <c r="A37" s="441"/>
      <c r="B37" s="442"/>
      <c r="C37" s="441"/>
      <c r="D37" s="441"/>
      <c r="E37" s="443"/>
      <c r="F37" s="581"/>
      <c r="G37" s="581"/>
      <c r="H37" s="215"/>
      <c r="I37" s="215"/>
      <c r="J37" s="215"/>
      <c r="K37" s="215"/>
      <c r="L37" s="215"/>
      <c r="M37" s="215"/>
      <c r="N37" s="215"/>
      <c r="O37" s="215"/>
      <c r="P37" s="215"/>
      <c r="Q37" s="215"/>
      <c r="R37" s="444"/>
      <c r="S37" s="394"/>
      <c r="T37" s="221"/>
      <c r="U37" s="221"/>
    </row>
    <row r="38" spans="1:22" ht="16.5" customHeight="1" thickBot="1">
      <c r="A38" s="1225" t="s">
        <v>811</v>
      </c>
      <c r="B38" s="215"/>
      <c r="C38" s="445"/>
      <c r="D38" s="445"/>
      <c r="E38" s="220"/>
      <c r="F38" s="226"/>
      <c r="G38" s="226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99" t="s">
        <v>349</v>
      </c>
      <c r="S38" s="394"/>
    </row>
    <row r="39" spans="1:22" ht="19.5" customHeight="1" thickBot="1">
      <c r="A39" s="382" t="s">
        <v>111</v>
      </c>
      <c r="B39" s="382" t="s">
        <v>123</v>
      </c>
      <c r="C39" s="446" t="s">
        <v>308</v>
      </c>
      <c r="D39" s="306"/>
      <c r="E39" s="382"/>
      <c r="F39" s="384" t="s">
        <v>425</v>
      </c>
      <c r="G39" s="306" t="s">
        <v>545</v>
      </c>
      <c r="H39" s="307" t="s">
        <v>546</v>
      </c>
      <c r="I39" s="384" t="s">
        <v>426</v>
      </c>
      <c r="J39" s="306" t="s">
        <v>547</v>
      </c>
      <c r="K39" s="307" t="s">
        <v>548</v>
      </c>
      <c r="L39" s="384" t="s">
        <v>549</v>
      </c>
      <c r="M39" s="306" t="s">
        <v>550</v>
      </c>
      <c r="N39" s="307" t="s">
        <v>551</v>
      </c>
      <c r="O39" s="384" t="s">
        <v>552</v>
      </c>
      <c r="P39" s="306" t="s">
        <v>553</v>
      </c>
      <c r="Q39" s="307" t="s">
        <v>554</v>
      </c>
      <c r="R39" s="385" t="s">
        <v>428</v>
      </c>
      <c r="S39" s="394"/>
    </row>
    <row r="40" spans="1:22" ht="16.5" customHeight="1">
      <c r="A40" s="1160" t="s">
        <v>820</v>
      </c>
      <c r="B40" s="1160" t="s">
        <v>307</v>
      </c>
      <c r="C40" s="785"/>
      <c r="D40" s="1159"/>
      <c r="E40" s="1158"/>
      <c r="F40" s="1168">
        <v>155</v>
      </c>
      <c r="G40" s="1169" t="e">
        <f>#REF!</f>
        <v>#REF!</v>
      </c>
      <c r="H40" s="1170" t="e">
        <f>#REF!</f>
        <v>#REF!</v>
      </c>
      <c r="I40" s="1171" t="e">
        <f>#REF!</f>
        <v>#REF!</v>
      </c>
      <c r="J40" s="1169" t="e">
        <f>#REF!</f>
        <v>#REF!</v>
      </c>
      <c r="K40" s="1170" t="e">
        <f>#REF!</f>
        <v>#REF!</v>
      </c>
      <c r="L40" s="1168" t="e">
        <f>#REF!</f>
        <v>#REF!</v>
      </c>
      <c r="M40" s="1169" t="e">
        <f>#REF!</f>
        <v>#REF!</v>
      </c>
      <c r="N40" s="1170" t="e">
        <f>#REF!</f>
        <v>#REF!</v>
      </c>
      <c r="O40" s="1168" t="e">
        <f>#REF!</f>
        <v>#REF!</v>
      </c>
      <c r="P40" s="1169" t="e">
        <f>#REF!</f>
        <v>#REF!</v>
      </c>
      <c r="Q40" s="1170" t="e">
        <f>#REF!</f>
        <v>#REF!</v>
      </c>
      <c r="R40" s="1161" t="e">
        <f t="shared" ref="R40:R45" si="16">AVERAGE(F40:Q40)</f>
        <v>#REF!</v>
      </c>
    </row>
    <row r="41" spans="1:22" ht="19.5" customHeight="1">
      <c r="A41" s="397" t="s">
        <v>821</v>
      </c>
      <c r="B41" s="397" t="s">
        <v>797</v>
      </c>
      <c r="C41" s="396" t="e">
        <f>C29</f>
        <v>#REF!</v>
      </c>
      <c r="D41" s="1143"/>
      <c r="E41" s="1142"/>
      <c r="F41" s="514">
        <v>20</v>
      </c>
      <c r="G41" s="515">
        <f t="shared" ref="G41:Q41" si="17">F29</f>
        <v>20</v>
      </c>
      <c r="H41" s="516">
        <f t="shared" si="17"/>
        <v>20</v>
      </c>
      <c r="I41" s="822">
        <f t="shared" si="17"/>
        <v>20</v>
      </c>
      <c r="J41" s="515">
        <f t="shared" si="17"/>
        <v>20</v>
      </c>
      <c r="K41" s="516">
        <f t="shared" si="17"/>
        <v>20</v>
      </c>
      <c r="L41" s="399">
        <f t="shared" si="17"/>
        <v>20</v>
      </c>
      <c r="M41" s="400">
        <f t="shared" si="17"/>
        <v>20</v>
      </c>
      <c r="N41" s="401">
        <f t="shared" si="17"/>
        <v>20</v>
      </c>
      <c r="O41" s="399">
        <f t="shared" si="17"/>
        <v>20</v>
      </c>
      <c r="P41" s="400">
        <f t="shared" si="17"/>
        <v>20</v>
      </c>
      <c r="Q41" s="401">
        <f t="shared" si="17"/>
        <v>20</v>
      </c>
      <c r="R41" s="402">
        <f t="shared" si="16"/>
        <v>20</v>
      </c>
      <c r="S41" s="394"/>
    </row>
    <row r="42" spans="1:22" ht="16.5" customHeight="1">
      <c r="A42" s="397"/>
      <c r="B42" s="397" t="s">
        <v>786</v>
      </c>
      <c r="C42" s="396" t="e">
        <f>C30</f>
        <v>#REF!</v>
      </c>
      <c r="D42" s="447"/>
      <c r="E42" s="447"/>
      <c r="F42" s="514">
        <v>92</v>
      </c>
      <c r="G42" s="515">
        <v>88</v>
      </c>
      <c r="H42" s="516">
        <v>92</v>
      </c>
      <c r="I42" s="822">
        <v>96</v>
      </c>
      <c r="J42" s="515">
        <v>96</v>
      </c>
      <c r="K42" s="516">
        <v>98</v>
      </c>
      <c r="L42" s="399">
        <v>96</v>
      </c>
      <c r="M42" s="400">
        <v>98</v>
      </c>
      <c r="N42" s="401">
        <v>98</v>
      </c>
      <c r="O42" s="399">
        <v>96</v>
      </c>
      <c r="P42" s="400">
        <v>94</v>
      </c>
      <c r="Q42" s="401">
        <v>94</v>
      </c>
      <c r="R42" s="402">
        <f t="shared" si="16"/>
        <v>94.833333333333329</v>
      </c>
      <c r="S42" s="438"/>
      <c r="T42" s="448"/>
    </row>
    <row r="43" spans="1:22" ht="16.5" customHeight="1">
      <c r="A43" s="397"/>
      <c r="B43" s="397" t="s">
        <v>785</v>
      </c>
      <c r="C43" s="396" t="e">
        <f>C31</f>
        <v>#REF!</v>
      </c>
      <c r="D43" s="447"/>
      <c r="E43" s="447"/>
      <c r="F43" s="514">
        <v>260</v>
      </c>
      <c r="G43" s="515">
        <v>276</v>
      </c>
      <c r="H43" s="516">
        <v>288</v>
      </c>
      <c r="I43" s="822">
        <v>302</v>
      </c>
      <c r="J43" s="515">
        <v>300</v>
      </c>
      <c r="K43" s="516">
        <v>302</v>
      </c>
      <c r="L43" s="399">
        <v>302</v>
      </c>
      <c r="M43" s="400">
        <v>303</v>
      </c>
      <c r="N43" s="401">
        <v>302</v>
      </c>
      <c r="O43" s="399">
        <v>304</v>
      </c>
      <c r="P43" s="400">
        <v>301</v>
      </c>
      <c r="Q43" s="401">
        <v>294</v>
      </c>
      <c r="R43" s="402">
        <f t="shared" si="16"/>
        <v>294.5</v>
      </c>
      <c r="S43" s="438"/>
    </row>
    <row r="44" spans="1:22" ht="16.5" customHeight="1">
      <c r="A44" s="397"/>
      <c r="B44" s="397" t="s">
        <v>784</v>
      </c>
      <c r="C44" s="396" t="e">
        <f>C32</f>
        <v>#REF!</v>
      </c>
      <c r="D44" s="447"/>
      <c r="E44" s="447"/>
      <c r="F44" s="514">
        <v>276</v>
      </c>
      <c r="G44" s="515">
        <v>370</v>
      </c>
      <c r="H44" s="516">
        <v>397</v>
      </c>
      <c r="I44" s="822">
        <v>425</v>
      </c>
      <c r="J44" s="515">
        <v>423</v>
      </c>
      <c r="K44" s="516">
        <v>427</v>
      </c>
      <c r="L44" s="399">
        <v>425</v>
      </c>
      <c r="M44" s="400">
        <v>430</v>
      </c>
      <c r="N44" s="401">
        <v>426</v>
      </c>
      <c r="O44" s="399">
        <v>432</v>
      </c>
      <c r="P44" s="400">
        <v>425</v>
      </c>
      <c r="Q44" s="401">
        <v>410</v>
      </c>
      <c r="R44" s="402">
        <f t="shared" si="16"/>
        <v>405.5</v>
      </c>
      <c r="S44" s="438"/>
    </row>
    <row r="45" spans="1:22" ht="16.5" customHeight="1">
      <c r="A45" s="449"/>
      <c r="B45" s="449" t="s">
        <v>92</v>
      </c>
      <c r="C45" s="396" t="e">
        <f>C33</f>
        <v>#REF!</v>
      </c>
      <c r="D45" s="447"/>
      <c r="E45" s="450"/>
      <c r="F45" s="451">
        <v>78</v>
      </c>
      <c r="G45" s="452">
        <v>80</v>
      </c>
      <c r="H45" s="453">
        <v>88</v>
      </c>
      <c r="I45" s="451">
        <v>96</v>
      </c>
      <c r="J45" s="452">
        <v>95</v>
      </c>
      <c r="K45" s="453">
        <v>96</v>
      </c>
      <c r="L45" s="451">
        <v>96</v>
      </c>
      <c r="M45" s="452">
        <v>97</v>
      </c>
      <c r="N45" s="453">
        <v>96</v>
      </c>
      <c r="O45" s="451">
        <v>97</v>
      </c>
      <c r="P45" s="452">
        <v>96</v>
      </c>
      <c r="Q45" s="453">
        <v>92</v>
      </c>
      <c r="R45" s="402">
        <f t="shared" si="16"/>
        <v>92.25</v>
      </c>
      <c r="S45" s="438"/>
    </row>
    <row r="46" spans="1:22" ht="16.5" customHeight="1" thickBot="1">
      <c r="A46" s="454"/>
      <c r="B46" s="454" t="s">
        <v>352</v>
      </c>
      <c r="C46" s="455"/>
      <c r="D46" s="455"/>
      <c r="E46" s="456"/>
      <c r="F46" s="823">
        <f t="shared" ref="F46:Q46" si="18">SUM(F41:F45)</f>
        <v>726</v>
      </c>
      <c r="G46" s="824">
        <f t="shared" si="18"/>
        <v>834</v>
      </c>
      <c r="H46" s="825">
        <f t="shared" si="18"/>
        <v>885</v>
      </c>
      <c r="I46" s="823">
        <f t="shared" si="18"/>
        <v>939</v>
      </c>
      <c r="J46" s="824">
        <f t="shared" si="18"/>
        <v>934</v>
      </c>
      <c r="K46" s="825">
        <f t="shared" si="18"/>
        <v>943</v>
      </c>
      <c r="L46" s="457">
        <f t="shared" si="18"/>
        <v>939</v>
      </c>
      <c r="M46" s="458">
        <f t="shared" si="18"/>
        <v>948</v>
      </c>
      <c r="N46" s="459">
        <f t="shared" si="18"/>
        <v>942</v>
      </c>
      <c r="O46" s="457">
        <f t="shared" si="18"/>
        <v>949</v>
      </c>
      <c r="P46" s="458">
        <f t="shared" si="18"/>
        <v>936</v>
      </c>
      <c r="Q46" s="459">
        <f t="shared" si="18"/>
        <v>910</v>
      </c>
      <c r="R46" s="426">
        <f>SUM(R42:R45)</f>
        <v>887.08333333333326</v>
      </c>
      <c r="S46" s="438"/>
    </row>
    <row r="47" spans="1:22" ht="16.5" customHeight="1">
      <c r="A47" s="1226"/>
      <c r="B47" s="380"/>
      <c r="C47" s="461">
        <v>0.03</v>
      </c>
      <c r="D47" s="461"/>
      <c r="E47" s="506"/>
      <c r="F47" s="1147" t="e">
        <f>'2. S Plan'!#REF!/F46</f>
        <v>#REF!</v>
      </c>
      <c r="G47" s="1147" t="e">
        <f>'2. S Plan'!#REF!/G46</f>
        <v>#REF!</v>
      </c>
      <c r="H47" s="1147" t="e">
        <f>'2. S Plan'!#REF!/H46</f>
        <v>#REF!</v>
      </c>
      <c r="I47" s="1147" t="e">
        <f>'2. S Plan'!#REF!/I46</f>
        <v>#REF!</v>
      </c>
      <c r="J47" s="1147" t="e">
        <f>'2. S Plan'!#REF!/J46</f>
        <v>#REF!</v>
      </c>
      <c r="K47" s="1147" t="e">
        <f>'2. S Plan'!#REF!/K46</f>
        <v>#REF!</v>
      </c>
      <c r="L47" s="1147" t="e">
        <f>'2. S Plan'!#REF!/L46</f>
        <v>#REF!</v>
      </c>
      <c r="M47" s="1147" t="e">
        <f>'2. S Plan'!#REF!/M46</f>
        <v>#REF!</v>
      </c>
      <c r="N47" s="1147" t="e">
        <f>'2. S Plan'!#REF!/N46</f>
        <v>#REF!</v>
      </c>
      <c r="O47" s="1147" t="e">
        <f>'2. S Plan'!#REF!/O46</f>
        <v>#REF!</v>
      </c>
      <c r="P47" s="1147" t="e">
        <f>'2. S Plan'!#REF!/P46</f>
        <v>#REF!</v>
      </c>
      <c r="Q47" s="1147" t="e">
        <f>'2. S Plan'!#REF!/Q46</f>
        <v>#REF!</v>
      </c>
      <c r="R47" s="462"/>
    </row>
    <row r="48" spans="1:22" ht="16.5" customHeight="1" thickBot="1">
      <c r="A48" s="1225" t="s">
        <v>813</v>
      </c>
      <c r="B48" s="215"/>
      <c r="C48" s="445"/>
      <c r="D48" s="461"/>
      <c r="E48" s="506"/>
      <c r="F48" s="1147"/>
      <c r="G48" s="1147"/>
      <c r="H48" s="1147"/>
      <c r="I48" s="1147"/>
      <c r="J48" s="1147"/>
      <c r="K48" s="1147"/>
      <c r="L48" s="1147"/>
      <c r="M48" s="1147"/>
      <c r="N48" s="1147"/>
      <c r="O48" s="1147"/>
      <c r="P48" s="1147"/>
      <c r="Q48" s="1147"/>
      <c r="R48" s="462"/>
    </row>
    <row r="49" spans="1:19" ht="16.5" customHeight="1" thickBot="1">
      <c r="A49" s="382" t="s">
        <v>111</v>
      </c>
      <c r="B49" s="382" t="s">
        <v>123</v>
      </c>
      <c r="C49" s="446" t="s">
        <v>308</v>
      </c>
      <c r="D49" s="306"/>
      <c r="E49" s="382"/>
      <c r="F49" s="384" t="s">
        <v>425</v>
      </c>
      <c r="G49" s="306" t="s">
        <v>545</v>
      </c>
      <c r="H49" s="307" t="s">
        <v>546</v>
      </c>
      <c r="I49" s="384" t="s">
        <v>426</v>
      </c>
      <c r="J49" s="306" t="s">
        <v>547</v>
      </c>
      <c r="K49" s="307" t="s">
        <v>548</v>
      </c>
      <c r="L49" s="384" t="s">
        <v>549</v>
      </c>
      <c r="M49" s="306" t="s">
        <v>550</v>
      </c>
      <c r="N49" s="307" t="s">
        <v>551</v>
      </c>
      <c r="O49" s="384" t="s">
        <v>552</v>
      </c>
      <c r="P49" s="306" t="s">
        <v>553</v>
      </c>
      <c r="Q49" s="307" t="s">
        <v>554</v>
      </c>
      <c r="R49" s="385" t="s">
        <v>15</v>
      </c>
    </row>
    <row r="50" spans="1:19" ht="16.5" customHeight="1">
      <c r="A50" s="1160" t="s">
        <v>820</v>
      </c>
      <c r="B50" s="1160" t="s">
        <v>307</v>
      </c>
      <c r="C50" s="785"/>
      <c r="D50" s="1159"/>
      <c r="E50" s="1158"/>
      <c r="F50" s="1172">
        <v>4</v>
      </c>
      <c r="G50" s="1173">
        <f>F50</f>
        <v>4</v>
      </c>
      <c r="H50" s="1174">
        <f>G50</f>
        <v>4</v>
      </c>
      <c r="I50" s="1175">
        <f>H50</f>
        <v>4</v>
      </c>
      <c r="J50" s="1173">
        <f>I50</f>
        <v>4</v>
      </c>
      <c r="K50" s="1174">
        <f>J50</f>
        <v>4</v>
      </c>
      <c r="L50" s="1172">
        <v>4</v>
      </c>
      <c r="M50" s="1173">
        <v>4</v>
      </c>
      <c r="N50" s="1174">
        <f>M50</f>
        <v>4</v>
      </c>
      <c r="O50" s="1172">
        <f>N50</f>
        <v>4</v>
      </c>
      <c r="P50" s="1173">
        <f>O50</f>
        <v>4</v>
      </c>
      <c r="Q50" s="1174">
        <f>P50</f>
        <v>4</v>
      </c>
      <c r="R50" s="1161">
        <f t="shared" ref="R50:R55" si="19">SUM(F50:Q50)</f>
        <v>48</v>
      </c>
    </row>
    <row r="51" spans="1:19" ht="16.5" customHeight="1">
      <c r="A51" s="397" t="s">
        <v>821</v>
      </c>
      <c r="B51" s="397" t="s">
        <v>797</v>
      </c>
      <c r="C51" s="396" t="e">
        <f>C41</f>
        <v>#REF!</v>
      </c>
      <c r="D51" s="1143"/>
      <c r="E51" s="1142"/>
      <c r="F51" s="1162">
        <v>0</v>
      </c>
      <c r="G51" s="1163">
        <v>0</v>
      </c>
      <c r="H51" s="1164">
        <v>0</v>
      </c>
      <c r="I51" s="1165">
        <v>0</v>
      </c>
      <c r="J51" s="1163">
        <v>0</v>
      </c>
      <c r="K51" s="1164">
        <v>0</v>
      </c>
      <c r="L51" s="1155">
        <v>0</v>
      </c>
      <c r="M51" s="1156">
        <v>0</v>
      </c>
      <c r="N51" s="1154">
        <v>0</v>
      </c>
      <c r="O51" s="1155">
        <v>0</v>
      </c>
      <c r="P51" s="1156">
        <v>0</v>
      </c>
      <c r="Q51" s="1154">
        <v>0</v>
      </c>
      <c r="R51" s="402">
        <f t="shared" si="19"/>
        <v>0</v>
      </c>
    </row>
    <row r="52" spans="1:19" ht="16.5" customHeight="1">
      <c r="A52" s="397"/>
      <c r="B52" s="397" t="s">
        <v>786</v>
      </c>
      <c r="C52" s="396" t="e">
        <f>C42</f>
        <v>#REF!</v>
      </c>
      <c r="D52" s="447"/>
      <c r="E52" s="447"/>
      <c r="F52" s="1162">
        <v>0</v>
      </c>
      <c r="G52" s="1163">
        <v>0</v>
      </c>
      <c r="H52" s="1164">
        <v>0</v>
      </c>
      <c r="I52" s="1165">
        <v>0</v>
      </c>
      <c r="J52" s="1163">
        <v>0</v>
      </c>
      <c r="K52" s="1164">
        <v>0</v>
      </c>
      <c r="L52" s="1155">
        <v>0</v>
      </c>
      <c r="M52" s="1156">
        <v>2</v>
      </c>
      <c r="N52" s="1154">
        <v>2</v>
      </c>
      <c r="O52" s="1155">
        <v>2</v>
      </c>
      <c r="P52" s="1156">
        <v>2</v>
      </c>
      <c r="Q52" s="1154">
        <v>2</v>
      </c>
      <c r="R52" s="402">
        <f t="shared" si="19"/>
        <v>10</v>
      </c>
    </row>
    <row r="53" spans="1:19" ht="16.5" customHeight="1">
      <c r="A53" s="397"/>
      <c r="B53" s="397" t="s">
        <v>785</v>
      </c>
      <c r="C53" s="396" t="e">
        <f>C43</f>
        <v>#REF!</v>
      </c>
      <c r="D53" s="447"/>
      <c r="E53" s="447"/>
      <c r="F53" s="1162">
        <v>42</v>
      </c>
      <c r="G53" s="1163">
        <v>45</v>
      </c>
      <c r="H53" s="1164">
        <v>2</v>
      </c>
      <c r="I53" s="1165">
        <v>2</v>
      </c>
      <c r="J53" s="1163">
        <v>2</v>
      </c>
      <c r="K53" s="1164">
        <v>2</v>
      </c>
      <c r="L53" s="1155">
        <v>2</v>
      </c>
      <c r="M53" s="1156">
        <v>2</v>
      </c>
      <c r="N53" s="1154">
        <v>2</v>
      </c>
      <c r="O53" s="1155">
        <v>25</v>
      </c>
      <c r="P53" s="1156">
        <v>30</v>
      </c>
      <c r="Q53" s="1154">
        <v>30</v>
      </c>
      <c r="R53" s="402">
        <f t="shared" si="19"/>
        <v>186</v>
      </c>
    </row>
    <row r="54" spans="1:19" ht="16.5" customHeight="1">
      <c r="A54" s="397"/>
      <c r="B54" s="397" t="s">
        <v>784</v>
      </c>
      <c r="C54" s="396" t="e">
        <f>C44</f>
        <v>#REF!</v>
      </c>
      <c r="D54" s="447"/>
      <c r="E54" s="447"/>
      <c r="F54" s="1162">
        <v>56</v>
      </c>
      <c r="G54" s="1163">
        <v>35</v>
      </c>
      <c r="H54" s="1164">
        <v>2</v>
      </c>
      <c r="I54" s="1165">
        <v>2</v>
      </c>
      <c r="J54" s="1163">
        <v>2</v>
      </c>
      <c r="K54" s="1164">
        <v>2</v>
      </c>
      <c r="L54" s="1155">
        <v>2</v>
      </c>
      <c r="M54" s="1156">
        <v>2</v>
      </c>
      <c r="N54" s="1154">
        <v>10</v>
      </c>
      <c r="O54" s="1155">
        <v>10</v>
      </c>
      <c r="P54" s="1156">
        <v>10</v>
      </c>
      <c r="Q54" s="1154">
        <v>10</v>
      </c>
      <c r="R54" s="402">
        <f t="shared" si="19"/>
        <v>143</v>
      </c>
    </row>
    <row r="55" spans="1:19" ht="16.5" customHeight="1">
      <c r="A55" s="449"/>
      <c r="B55" s="449" t="s">
        <v>92</v>
      </c>
      <c r="C55" s="396" t="e">
        <f>C45</f>
        <v>#REF!</v>
      </c>
      <c r="D55" s="447"/>
      <c r="E55" s="450"/>
      <c r="F55" s="1166">
        <v>23</v>
      </c>
      <c r="G55" s="1167">
        <v>0</v>
      </c>
      <c r="H55" s="1157"/>
      <c r="I55" s="1166">
        <v>6</v>
      </c>
      <c r="J55" s="1167"/>
      <c r="K55" s="1157">
        <v>12</v>
      </c>
      <c r="L55" s="1166">
        <v>10</v>
      </c>
      <c r="M55" s="1167">
        <v>10</v>
      </c>
      <c r="N55" s="1157"/>
      <c r="O55" s="1166"/>
      <c r="P55" s="1167"/>
      <c r="Q55" s="1157"/>
      <c r="R55" s="402">
        <f t="shared" si="19"/>
        <v>61</v>
      </c>
    </row>
    <row r="56" spans="1:19" ht="16.5" customHeight="1" thickBot="1">
      <c r="A56" s="454"/>
      <c r="B56" s="454" t="s">
        <v>352</v>
      </c>
      <c r="C56" s="455"/>
      <c r="D56" s="455"/>
      <c r="E56" s="456"/>
      <c r="F56" s="823">
        <f t="shared" ref="F56:R56" si="20">SUM(F50:F55)</f>
        <v>125</v>
      </c>
      <c r="G56" s="824">
        <f t="shared" si="20"/>
        <v>84</v>
      </c>
      <c r="H56" s="825">
        <f t="shared" si="20"/>
        <v>8</v>
      </c>
      <c r="I56" s="823">
        <f t="shared" si="20"/>
        <v>14</v>
      </c>
      <c r="J56" s="824">
        <f t="shared" si="20"/>
        <v>8</v>
      </c>
      <c r="K56" s="825">
        <f t="shared" si="20"/>
        <v>20</v>
      </c>
      <c r="L56" s="457">
        <f t="shared" si="20"/>
        <v>18</v>
      </c>
      <c r="M56" s="458">
        <f t="shared" si="20"/>
        <v>20</v>
      </c>
      <c r="N56" s="459">
        <f t="shared" si="20"/>
        <v>18</v>
      </c>
      <c r="O56" s="457">
        <f t="shared" si="20"/>
        <v>41</v>
      </c>
      <c r="P56" s="458">
        <f t="shared" si="20"/>
        <v>46</v>
      </c>
      <c r="Q56" s="459">
        <f t="shared" si="20"/>
        <v>46</v>
      </c>
      <c r="R56" s="426">
        <f t="shared" si="20"/>
        <v>448</v>
      </c>
    </row>
    <row r="57" spans="1:19" ht="16.5" customHeight="1">
      <c r="A57" s="1226"/>
      <c r="B57" s="380"/>
      <c r="C57" s="461"/>
      <c r="D57" s="461"/>
      <c r="E57" s="506"/>
      <c r="F57" s="1223"/>
      <c r="G57" s="1223"/>
      <c r="H57" s="1223"/>
      <c r="I57" s="1223"/>
      <c r="J57" s="1223"/>
      <c r="K57" s="1223"/>
      <c r="L57" s="1223"/>
      <c r="M57" s="1223"/>
      <c r="N57" s="1223"/>
      <c r="Q57" s="1224" t="s">
        <v>819</v>
      </c>
      <c r="R57" s="231">
        <f>R56+147</f>
        <v>595</v>
      </c>
    </row>
    <row r="58" spans="1:19" ht="16.5" customHeight="1" thickBot="1">
      <c r="A58" s="100" t="s">
        <v>833</v>
      </c>
      <c r="B58" s="380"/>
      <c r="C58" s="380"/>
      <c r="D58" s="380"/>
      <c r="E58" s="506"/>
      <c r="F58" s="583"/>
      <c r="G58" s="583"/>
      <c r="H58" s="583"/>
      <c r="I58" s="583"/>
      <c r="J58" s="583"/>
      <c r="K58" s="583"/>
      <c r="L58" s="1146"/>
      <c r="M58" s="1146"/>
      <c r="N58" s="1146"/>
      <c r="O58" s="1146"/>
      <c r="P58" s="1146"/>
      <c r="Q58" s="1146"/>
      <c r="R58" s="464" t="s">
        <v>86</v>
      </c>
    </row>
    <row r="59" spans="1:19" ht="19.5" customHeight="1" thickBot="1">
      <c r="A59" s="48" t="s">
        <v>111</v>
      </c>
      <c r="B59" s="382" t="s">
        <v>123</v>
      </c>
      <c r="C59" s="306" t="s">
        <v>103</v>
      </c>
      <c r="D59" s="306" t="s">
        <v>746</v>
      </c>
      <c r="E59" s="383" t="s">
        <v>350</v>
      </c>
      <c r="F59" s="384" t="s">
        <v>425</v>
      </c>
      <c r="G59" s="306" t="s">
        <v>545</v>
      </c>
      <c r="H59" s="307" t="s">
        <v>546</v>
      </c>
      <c r="I59" s="384" t="s">
        <v>426</v>
      </c>
      <c r="J59" s="306" t="s">
        <v>547</v>
      </c>
      <c r="K59" s="307" t="s">
        <v>548</v>
      </c>
      <c r="L59" s="368" t="s">
        <v>549</v>
      </c>
      <c r="M59" s="367" t="s">
        <v>550</v>
      </c>
      <c r="N59" s="715" t="s">
        <v>551</v>
      </c>
      <c r="O59" s="368" t="s">
        <v>552</v>
      </c>
      <c r="P59" s="367" t="s">
        <v>553</v>
      </c>
      <c r="Q59" s="715" t="s">
        <v>554</v>
      </c>
      <c r="R59" s="385" t="s">
        <v>15</v>
      </c>
    </row>
    <row r="60" spans="1:19" ht="16.5" customHeight="1">
      <c r="A60" s="7352" t="s">
        <v>311</v>
      </c>
      <c r="B60" s="386" t="str">
        <f>B5</f>
        <v>CEO&amp;Director</v>
      </c>
      <c r="C60" s="802">
        <f>+C5</f>
        <v>11992.666666666666</v>
      </c>
      <c r="D60" s="386">
        <v>1200</v>
      </c>
      <c r="E60" s="389">
        <f>E5</f>
        <v>6</v>
      </c>
      <c r="F60" s="778">
        <f t="shared" ref="F60:Q60" si="21">($C60-$D$60)*F5</f>
        <v>64756</v>
      </c>
      <c r="G60" s="779">
        <f t="shared" si="21"/>
        <v>64756</v>
      </c>
      <c r="H60" s="780">
        <f t="shared" si="21"/>
        <v>64756</v>
      </c>
      <c r="I60" s="778">
        <f t="shared" si="21"/>
        <v>64756</v>
      </c>
      <c r="J60" s="779">
        <f t="shared" si="21"/>
        <v>64756</v>
      </c>
      <c r="K60" s="780">
        <f t="shared" si="21"/>
        <v>64756</v>
      </c>
      <c r="L60" s="390">
        <f t="shared" si="21"/>
        <v>64756</v>
      </c>
      <c r="M60" s="391">
        <f t="shared" si="21"/>
        <v>64756</v>
      </c>
      <c r="N60" s="392">
        <f t="shared" si="21"/>
        <v>64756</v>
      </c>
      <c r="O60" s="390">
        <f t="shared" si="21"/>
        <v>64756</v>
      </c>
      <c r="P60" s="391">
        <f t="shared" si="21"/>
        <v>64756</v>
      </c>
      <c r="Q60" s="392">
        <f t="shared" si="21"/>
        <v>64756</v>
      </c>
      <c r="R60" s="393">
        <f t="shared" ref="R60:R69" si="22">SUM(F60:Q60)</f>
        <v>777072</v>
      </c>
      <c r="S60" s="590"/>
    </row>
    <row r="61" spans="1:19" ht="16.5" customHeight="1">
      <c r="A61" s="7353"/>
      <c r="B61" s="395" t="str">
        <f>B6</f>
        <v>G,S Manager</v>
      </c>
      <c r="C61" s="803">
        <f>+C6</f>
        <v>10138</v>
      </c>
      <c r="D61" s="395">
        <v>400</v>
      </c>
      <c r="E61" s="398">
        <f>E6</f>
        <v>1</v>
      </c>
      <c r="F61" s="514">
        <f t="shared" ref="F61:Q61" si="23">($C61-$D$61)*F6</f>
        <v>9738</v>
      </c>
      <c r="G61" s="515">
        <f t="shared" si="23"/>
        <v>9738</v>
      </c>
      <c r="H61" s="516">
        <f t="shared" si="23"/>
        <v>9738</v>
      </c>
      <c r="I61" s="514">
        <f t="shared" si="23"/>
        <v>9738</v>
      </c>
      <c r="J61" s="515">
        <f t="shared" si="23"/>
        <v>9738</v>
      </c>
      <c r="K61" s="516">
        <f t="shared" si="23"/>
        <v>9738</v>
      </c>
      <c r="L61" s="399">
        <f t="shared" si="23"/>
        <v>9738</v>
      </c>
      <c r="M61" s="400">
        <f t="shared" si="23"/>
        <v>9738</v>
      </c>
      <c r="N61" s="401">
        <f t="shared" si="23"/>
        <v>9738</v>
      </c>
      <c r="O61" s="399">
        <f t="shared" si="23"/>
        <v>9738</v>
      </c>
      <c r="P61" s="400">
        <f t="shared" si="23"/>
        <v>9738</v>
      </c>
      <c r="Q61" s="401">
        <f t="shared" si="23"/>
        <v>9738</v>
      </c>
      <c r="R61" s="402">
        <f t="shared" si="22"/>
        <v>116856</v>
      </c>
      <c r="S61" s="590"/>
    </row>
    <row r="62" spans="1:19" ht="16.5" customHeight="1">
      <c r="A62" s="7353"/>
      <c r="B62" s="395" t="str">
        <f>B7</f>
        <v>Manager</v>
      </c>
      <c r="C62" s="803">
        <f>+C7</f>
        <v>6668.5</v>
      </c>
      <c r="D62" s="204">
        <v>250</v>
      </c>
      <c r="E62" s="398">
        <f>E7</f>
        <v>2</v>
      </c>
      <c r="F62" s="514">
        <f t="shared" ref="F62:Q62" si="24">($C62-$D$62)*F7</f>
        <v>12837</v>
      </c>
      <c r="G62" s="515">
        <f t="shared" si="24"/>
        <v>12837</v>
      </c>
      <c r="H62" s="516">
        <f t="shared" si="24"/>
        <v>12837</v>
      </c>
      <c r="I62" s="514">
        <f t="shared" si="24"/>
        <v>12837</v>
      </c>
      <c r="J62" s="515">
        <f t="shared" si="24"/>
        <v>12837</v>
      </c>
      <c r="K62" s="516">
        <f t="shared" si="24"/>
        <v>12837</v>
      </c>
      <c r="L62" s="399">
        <f t="shared" si="24"/>
        <v>12837</v>
      </c>
      <c r="M62" s="400">
        <f t="shared" si="24"/>
        <v>12837</v>
      </c>
      <c r="N62" s="401">
        <f t="shared" si="24"/>
        <v>12837</v>
      </c>
      <c r="O62" s="399">
        <f t="shared" si="24"/>
        <v>12837</v>
      </c>
      <c r="P62" s="400">
        <f t="shared" si="24"/>
        <v>12837</v>
      </c>
      <c r="Q62" s="401">
        <f t="shared" si="24"/>
        <v>12837</v>
      </c>
      <c r="R62" s="402">
        <f t="shared" si="22"/>
        <v>154044</v>
      </c>
      <c r="S62" s="590"/>
    </row>
    <row r="63" spans="1:19" ht="16.5" customHeight="1">
      <c r="A63" s="404"/>
      <c r="B63" s="405" t="s">
        <v>352</v>
      </c>
      <c r="C63" s="804"/>
      <c r="D63" s="805"/>
      <c r="E63" s="408">
        <f t="shared" ref="E63:Q63" si="25">SUM(E60:E62)</f>
        <v>9</v>
      </c>
      <c r="F63" s="811">
        <f t="shared" si="25"/>
        <v>87331</v>
      </c>
      <c r="G63" s="812">
        <f t="shared" si="25"/>
        <v>87331</v>
      </c>
      <c r="H63" s="813">
        <f t="shared" si="25"/>
        <v>87331</v>
      </c>
      <c r="I63" s="811">
        <f t="shared" si="25"/>
        <v>87331</v>
      </c>
      <c r="J63" s="812">
        <f t="shared" si="25"/>
        <v>87331</v>
      </c>
      <c r="K63" s="813">
        <f t="shared" si="25"/>
        <v>87331</v>
      </c>
      <c r="L63" s="409">
        <f t="shared" si="25"/>
        <v>87331</v>
      </c>
      <c r="M63" s="223">
        <f t="shared" si="25"/>
        <v>87331</v>
      </c>
      <c r="N63" s="410">
        <f t="shared" si="25"/>
        <v>87331</v>
      </c>
      <c r="O63" s="409">
        <f t="shared" si="25"/>
        <v>87331</v>
      </c>
      <c r="P63" s="223">
        <f t="shared" si="25"/>
        <v>87331</v>
      </c>
      <c r="Q63" s="410">
        <f t="shared" si="25"/>
        <v>87331</v>
      </c>
      <c r="R63" s="411">
        <f t="shared" si="22"/>
        <v>1047972</v>
      </c>
      <c r="S63" s="394"/>
    </row>
    <row r="64" spans="1:19" ht="16.5" customHeight="1">
      <c r="A64" s="7354" t="s">
        <v>353</v>
      </c>
      <c r="B64" s="412" t="str">
        <f>B9</f>
        <v>Director</v>
      </c>
      <c r="C64" s="803">
        <f>+C9</f>
        <v>10931</v>
      </c>
      <c r="D64" s="806">
        <v>618.93605013333331</v>
      </c>
      <c r="E64" s="415">
        <f>E9</f>
        <v>2</v>
      </c>
      <c r="F64" s="816">
        <f t="shared" ref="F64:Q64" si="26">($C64-$D64)*F9</f>
        <v>20624.127899733332</v>
      </c>
      <c r="G64" s="814">
        <f t="shared" si="26"/>
        <v>20624.127899733332</v>
      </c>
      <c r="H64" s="815">
        <f t="shared" si="26"/>
        <v>20624.127899733332</v>
      </c>
      <c r="I64" s="816">
        <f t="shared" si="26"/>
        <v>20624.127899733332</v>
      </c>
      <c r="J64" s="814">
        <f t="shared" si="26"/>
        <v>20624.127899733332</v>
      </c>
      <c r="K64" s="815">
        <f t="shared" si="26"/>
        <v>20624.127899733332</v>
      </c>
      <c r="L64" s="416">
        <f t="shared" si="26"/>
        <v>20624.127899733332</v>
      </c>
      <c r="M64" s="417">
        <f t="shared" si="26"/>
        <v>20624.127899733332</v>
      </c>
      <c r="N64" s="418">
        <f t="shared" si="26"/>
        <v>20624.127899733332</v>
      </c>
      <c r="O64" s="416">
        <f t="shared" si="26"/>
        <v>20624.127899733332</v>
      </c>
      <c r="P64" s="417">
        <f t="shared" si="26"/>
        <v>20624.127899733332</v>
      </c>
      <c r="Q64" s="418">
        <f t="shared" si="26"/>
        <v>20624.127899733332</v>
      </c>
      <c r="R64" s="419">
        <f t="shared" si="22"/>
        <v>247489.53479680003</v>
      </c>
      <c r="S64" s="394">
        <v>8177</v>
      </c>
    </row>
    <row r="65" spans="1:20" ht="16.5" customHeight="1">
      <c r="A65" s="7353"/>
      <c r="B65" s="395" t="str">
        <f>B10</f>
        <v>G,S Manager</v>
      </c>
      <c r="C65" s="803">
        <f>+C10</f>
        <v>11077.093073430839</v>
      </c>
      <c r="D65" s="807">
        <v>450</v>
      </c>
      <c r="E65" s="398">
        <f>E10</f>
        <v>2</v>
      </c>
      <c r="F65" s="514">
        <f t="shared" ref="F65:Q65" si="27">($C65-$D$65)*F10</f>
        <v>21254.186146861677</v>
      </c>
      <c r="G65" s="515">
        <f t="shared" si="27"/>
        <v>21254.186146861677</v>
      </c>
      <c r="H65" s="810">
        <f t="shared" si="27"/>
        <v>21254.186146861677</v>
      </c>
      <c r="I65" s="514">
        <f t="shared" si="27"/>
        <v>21254.186146861677</v>
      </c>
      <c r="J65" s="515">
        <f t="shared" si="27"/>
        <v>21254.186146861677</v>
      </c>
      <c r="K65" s="810">
        <f t="shared" si="27"/>
        <v>21254.186146861677</v>
      </c>
      <c r="L65" s="399">
        <f t="shared" si="27"/>
        <v>21254.186146861677</v>
      </c>
      <c r="M65" s="400">
        <f t="shared" si="27"/>
        <v>21254.186146861677</v>
      </c>
      <c r="N65" s="465">
        <f t="shared" si="27"/>
        <v>21254.186146861677</v>
      </c>
      <c r="O65" s="399">
        <f t="shared" si="27"/>
        <v>21254.186146861677</v>
      </c>
      <c r="P65" s="400">
        <f t="shared" si="27"/>
        <v>21254.186146861677</v>
      </c>
      <c r="Q65" s="465">
        <f t="shared" si="27"/>
        <v>21254.186146861677</v>
      </c>
      <c r="R65" s="402">
        <f t="shared" si="22"/>
        <v>255050.23376234007</v>
      </c>
      <c r="S65" s="394"/>
    </row>
    <row r="66" spans="1:20" ht="16.5" customHeight="1">
      <c r="A66" s="7353"/>
      <c r="B66" s="395" t="str">
        <f>B11</f>
        <v>Manager</v>
      </c>
      <c r="C66" s="803">
        <f>+C11</f>
        <v>3753.5</v>
      </c>
      <c r="D66" s="807">
        <v>456.63249999999999</v>
      </c>
      <c r="E66" s="398">
        <f>E11</f>
        <v>2</v>
      </c>
      <c r="F66" s="514">
        <f t="shared" ref="F66:Q66" si="28">($C66-$D$66)*F11</f>
        <v>6593.7349999999997</v>
      </c>
      <c r="G66" s="515">
        <f t="shared" si="28"/>
        <v>6593.7349999999997</v>
      </c>
      <c r="H66" s="516">
        <f t="shared" si="28"/>
        <v>6593.7349999999997</v>
      </c>
      <c r="I66" s="514">
        <f t="shared" si="28"/>
        <v>6593.7349999999997</v>
      </c>
      <c r="J66" s="515">
        <f t="shared" si="28"/>
        <v>6593.7349999999997</v>
      </c>
      <c r="K66" s="516">
        <f t="shared" si="28"/>
        <v>6593.7349999999997</v>
      </c>
      <c r="L66" s="399">
        <f t="shared" si="28"/>
        <v>6593.7349999999997</v>
      </c>
      <c r="M66" s="771">
        <f t="shared" si="28"/>
        <v>6593.7349999999997</v>
      </c>
      <c r="N66" s="772">
        <f t="shared" si="28"/>
        <v>6593.7349999999997</v>
      </c>
      <c r="O66" s="773">
        <f t="shared" si="28"/>
        <v>6593.7349999999997</v>
      </c>
      <c r="P66" s="771">
        <f t="shared" si="28"/>
        <v>6593.7349999999997</v>
      </c>
      <c r="Q66" s="772">
        <f t="shared" si="28"/>
        <v>6593.7349999999997</v>
      </c>
      <c r="R66" s="402">
        <f t="shared" si="22"/>
        <v>79124.819999999992</v>
      </c>
      <c r="S66" s="394">
        <v>3847</v>
      </c>
    </row>
    <row r="67" spans="1:20" ht="16.5" customHeight="1" thickBot="1">
      <c r="A67" s="588"/>
      <c r="B67" s="422" t="s">
        <v>355</v>
      </c>
      <c r="C67" s="423"/>
      <c r="D67" s="424"/>
      <c r="E67" s="425">
        <f>E66+E64+E65</f>
        <v>6</v>
      </c>
      <c r="F67" s="823">
        <f t="shared" ref="F67:Q67" si="29">SUM(F64:F66)</f>
        <v>48472.049046595013</v>
      </c>
      <c r="G67" s="824">
        <f t="shared" si="29"/>
        <v>48472.049046595013</v>
      </c>
      <c r="H67" s="825">
        <f t="shared" si="29"/>
        <v>48472.049046595013</v>
      </c>
      <c r="I67" s="823">
        <f t="shared" si="29"/>
        <v>48472.049046595013</v>
      </c>
      <c r="J67" s="824">
        <f t="shared" si="29"/>
        <v>48472.049046595013</v>
      </c>
      <c r="K67" s="825">
        <f t="shared" si="29"/>
        <v>48472.049046595013</v>
      </c>
      <c r="L67" s="457">
        <f t="shared" si="29"/>
        <v>48472.049046595013</v>
      </c>
      <c r="M67" s="422">
        <f t="shared" si="29"/>
        <v>48472.049046595013</v>
      </c>
      <c r="N67" s="459">
        <f t="shared" si="29"/>
        <v>48472.049046595013</v>
      </c>
      <c r="O67" s="457">
        <f t="shared" si="29"/>
        <v>48472.049046595013</v>
      </c>
      <c r="P67" s="458">
        <f t="shared" si="29"/>
        <v>48472.049046595013</v>
      </c>
      <c r="Q67" s="459">
        <f t="shared" si="29"/>
        <v>48472.049046595013</v>
      </c>
      <c r="R67" s="426">
        <f t="shared" si="22"/>
        <v>581664.5885591401</v>
      </c>
      <c r="S67" s="394"/>
    </row>
    <row r="68" spans="1:20" ht="16.5" customHeight="1" thickBot="1">
      <c r="A68" s="7355" t="s">
        <v>501</v>
      </c>
      <c r="B68" s="7368"/>
      <c r="C68" s="7368"/>
      <c r="D68" s="7368"/>
      <c r="E68" s="591"/>
      <c r="F68" s="211"/>
      <c r="G68" s="212"/>
      <c r="H68" s="213"/>
      <c r="I68" s="211"/>
      <c r="J68" s="212"/>
      <c r="K68" s="213"/>
      <c r="L68" s="257"/>
      <c r="M68" s="236"/>
      <c r="N68" s="228"/>
      <c r="O68" s="257"/>
      <c r="P68" s="258"/>
      <c r="Q68" s="228">
        <v>120000</v>
      </c>
      <c r="R68" s="428">
        <f t="shared" si="22"/>
        <v>120000</v>
      </c>
      <c r="S68" s="394"/>
    </row>
    <row r="69" spans="1:20" ht="16.5" customHeight="1" thickBot="1">
      <c r="A69" s="7355" t="s">
        <v>15</v>
      </c>
      <c r="B69" s="7368"/>
      <c r="C69" s="7368"/>
      <c r="D69" s="7371"/>
      <c r="E69" s="427">
        <f>E67+E63</f>
        <v>15</v>
      </c>
      <c r="F69" s="211">
        <f t="shared" ref="F69:Q69" si="30">F63+F67+F68</f>
        <v>135803.049046595</v>
      </c>
      <c r="G69" s="212">
        <f t="shared" si="30"/>
        <v>135803.049046595</v>
      </c>
      <c r="H69" s="213">
        <f t="shared" si="30"/>
        <v>135803.049046595</v>
      </c>
      <c r="I69" s="211">
        <f t="shared" si="30"/>
        <v>135803.049046595</v>
      </c>
      <c r="J69" s="212">
        <f t="shared" si="30"/>
        <v>135803.049046595</v>
      </c>
      <c r="K69" s="213">
        <f t="shared" si="30"/>
        <v>135803.049046595</v>
      </c>
      <c r="L69" s="257">
        <f t="shared" si="30"/>
        <v>135803.049046595</v>
      </c>
      <c r="M69" s="258">
        <f t="shared" si="30"/>
        <v>135803.049046595</v>
      </c>
      <c r="N69" s="228">
        <f t="shared" si="30"/>
        <v>135803.049046595</v>
      </c>
      <c r="O69" s="257">
        <f t="shared" si="30"/>
        <v>135803.049046595</v>
      </c>
      <c r="P69" s="258">
        <f t="shared" si="30"/>
        <v>135803.049046595</v>
      </c>
      <c r="Q69" s="228">
        <f t="shared" si="30"/>
        <v>255803.049046595</v>
      </c>
      <c r="R69" s="428">
        <f t="shared" si="22"/>
        <v>1749636.5885591405</v>
      </c>
      <c r="S69" s="394"/>
    </row>
    <row r="70" spans="1:20" ht="16.5" customHeight="1">
      <c r="A70" s="600"/>
      <c r="B70" s="600"/>
      <c r="C70" s="600"/>
      <c r="D70" s="600"/>
      <c r="E70" s="601"/>
      <c r="F70" s="472"/>
      <c r="G70" s="602"/>
      <c r="H70" s="603"/>
      <c r="I70" s="603"/>
      <c r="J70" s="603"/>
      <c r="K70" s="603"/>
      <c r="L70" s="603"/>
      <c r="M70" s="603"/>
      <c r="N70" s="603"/>
      <c r="O70" s="603"/>
      <c r="P70" s="603"/>
      <c r="Q70" s="603"/>
      <c r="R70" s="604" t="b">
        <f>R69=R67+R63+R68</f>
        <v>1</v>
      </c>
      <c r="S70" s="394"/>
    </row>
    <row r="71" spans="1:20" ht="16.5" customHeight="1" thickBot="1">
      <c r="A71" s="100" t="s">
        <v>824</v>
      </c>
      <c r="B71" s="380"/>
      <c r="C71" s="380"/>
      <c r="D71" s="380"/>
      <c r="E71" s="506"/>
      <c r="G71" s="585"/>
      <c r="K71" s="463"/>
      <c r="R71" s="464" t="s">
        <v>86</v>
      </c>
      <c r="S71" s="394"/>
    </row>
    <row r="72" spans="1:20" ht="16.5" customHeight="1" thickBot="1">
      <c r="A72" s="48" t="s">
        <v>111</v>
      </c>
      <c r="B72" s="382" t="s">
        <v>123</v>
      </c>
      <c r="C72" s="306" t="s">
        <v>103</v>
      </c>
      <c r="D72" s="306" t="s">
        <v>745</v>
      </c>
      <c r="E72" s="383" t="s">
        <v>350</v>
      </c>
      <c r="F72" s="384" t="s">
        <v>425</v>
      </c>
      <c r="G72" s="306" t="s">
        <v>545</v>
      </c>
      <c r="H72" s="307" t="s">
        <v>546</v>
      </c>
      <c r="I72" s="384" t="s">
        <v>426</v>
      </c>
      <c r="J72" s="306" t="s">
        <v>547</v>
      </c>
      <c r="K72" s="307" t="s">
        <v>548</v>
      </c>
      <c r="L72" s="384" t="s">
        <v>549</v>
      </c>
      <c r="M72" s="306" t="s">
        <v>550</v>
      </c>
      <c r="N72" s="307" t="s">
        <v>551</v>
      </c>
      <c r="O72" s="384" t="s">
        <v>552</v>
      </c>
      <c r="P72" s="306" t="s">
        <v>553</v>
      </c>
      <c r="Q72" s="307" t="s">
        <v>554</v>
      </c>
      <c r="R72" s="385" t="s">
        <v>15</v>
      </c>
      <c r="S72" s="394"/>
    </row>
    <row r="73" spans="1:20" ht="16.5" customHeight="1">
      <c r="A73" s="589" t="s">
        <v>357</v>
      </c>
      <c r="B73" s="386" t="str">
        <f>B17</f>
        <v>S.manger and above</v>
      </c>
      <c r="C73" s="387">
        <f>C17</f>
        <v>2548.1415472077442</v>
      </c>
      <c r="D73" s="429">
        <f>+'Sub-L plan'!R15+'Sub-L plan'!T15</f>
        <v>312.60000000000002</v>
      </c>
      <c r="E73" s="389">
        <f>+E17</f>
        <v>6</v>
      </c>
      <c r="F73" s="778">
        <f t="shared" ref="F73:Q73" si="31">$C73*F17+$D73*F17</f>
        <v>17164.449283246464</v>
      </c>
      <c r="G73" s="779">
        <f t="shared" si="31"/>
        <v>17164.449283246464</v>
      </c>
      <c r="H73" s="780">
        <f t="shared" si="31"/>
        <v>17164.449283246464</v>
      </c>
      <c r="I73" s="778">
        <f t="shared" si="31"/>
        <v>17164.449283246464</v>
      </c>
      <c r="J73" s="779">
        <f t="shared" si="31"/>
        <v>17164.449283246464</v>
      </c>
      <c r="K73" s="780">
        <f t="shared" si="31"/>
        <v>17164.449283246464</v>
      </c>
      <c r="L73" s="390">
        <f t="shared" si="31"/>
        <v>17164.449283246464</v>
      </c>
      <c r="M73" s="391">
        <f t="shared" si="31"/>
        <v>17164.449283246464</v>
      </c>
      <c r="N73" s="392">
        <f t="shared" si="31"/>
        <v>17164.449283246464</v>
      </c>
      <c r="O73" s="390">
        <f t="shared" si="31"/>
        <v>17164.449283246464</v>
      </c>
      <c r="P73" s="391">
        <f t="shared" si="31"/>
        <v>17164.449283246464</v>
      </c>
      <c r="Q73" s="392">
        <f t="shared" si="31"/>
        <v>17164.449283246464</v>
      </c>
      <c r="R73" s="393">
        <f>SUM(F73:Q73)</f>
        <v>205973.39139895761</v>
      </c>
      <c r="S73" s="394">
        <v>13060</v>
      </c>
    </row>
    <row r="74" spans="1:20" ht="16.5" customHeight="1">
      <c r="A74" s="587"/>
      <c r="B74" s="395" t="s">
        <v>306</v>
      </c>
      <c r="C74" s="396">
        <f t="shared" ref="C74:C79" si="32">C18</f>
        <v>1462.3855278862443</v>
      </c>
      <c r="D74" s="430">
        <f>+'Sub-L plan'!R16+'Sub-L plan'!T16</f>
        <v>217.26285714285714</v>
      </c>
      <c r="E74" s="398">
        <f>+E18</f>
        <v>8</v>
      </c>
      <c r="F74" s="514">
        <f t="shared" ref="F74:Q74" si="33">$C74*F18+$D74*F18</f>
        <v>15116.835465261913</v>
      </c>
      <c r="G74" s="515">
        <f t="shared" si="33"/>
        <v>15116.835465261913</v>
      </c>
      <c r="H74" s="516">
        <f t="shared" si="33"/>
        <v>15116.835465261913</v>
      </c>
      <c r="I74" s="514">
        <f t="shared" si="33"/>
        <v>15116.835465261913</v>
      </c>
      <c r="J74" s="515">
        <f t="shared" si="33"/>
        <v>15116.835465261913</v>
      </c>
      <c r="K74" s="516">
        <f t="shared" si="33"/>
        <v>15116.835465261913</v>
      </c>
      <c r="L74" s="399">
        <f t="shared" si="33"/>
        <v>15116.835465261913</v>
      </c>
      <c r="M74" s="400">
        <f t="shared" si="33"/>
        <v>15116.835465261913</v>
      </c>
      <c r="N74" s="401">
        <f t="shared" si="33"/>
        <v>15116.835465261913</v>
      </c>
      <c r="O74" s="399">
        <f t="shared" si="33"/>
        <v>15116.835465261913</v>
      </c>
      <c r="P74" s="400">
        <f t="shared" si="33"/>
        <v>15116.835465261913</v>
      </c>
      <c r="Q74" s="401">
        <f t="shared" si="33"/>
        <v>15116.835465261913</v>
      </c>
      <c r="R74" s="402">
        <f>SUM(F74:Q74)</f>
        <v>181402.02558314297</v>
      </c>
      <c r="S74" s="394">
        <v>8862</v>
      </c>
    </row>
    <row r="75" spans="1:20" ht="16.5" customHeight="1">
      <c r="A75" s="587"/>
      <c r="B75" s="395" t="s">
        <v>360</v>
      </c>
      <c r="C75" s="396">
        <f t="shared" si="32"/>
        <v>664.03231782688022</v>
      </c>
      <c r="D75" s="431">
        <f>+'Sub-L plan'!R17+'Sub-L plan'!T17</f>
        <v>92.940561620754721</v>
      </c>
      <c r="E75" s="398">
        <f>+E19</f>
        <v>53</v>
      </c>
      <c r="F75" s="514">
        <f t="shared" ref="F75:Q75" si="34">$C75*F19+$D75*F19</f>
        <v>41633.508369619922</v>
      </c>
      <c r="G75" s="783">
        <f t="shared" si="34"/>
        <v>41633.508369619922</v>
      </c>
      <c r="H75" s="516">
        <f t="shared" si="34"/>
        <v>41633.508369619922</v>
      </c>
      <c r="I75" s="514">
        <f t="shared" si="34"/>
        <v>41633.508369619922</v>
      </c>
      <c r="J75" s="515">
        <f t="shared" si="34"/>
        <v>41633.508369619922</v>
      </c>
      <c r="K75" s="516">
        <f t="shared" si="34"/>
        <v>41633.508369619922</v>
      </c>
      <c r="L75" s="399">
        <f t="shared" si="34"/>
        <v>37848.643972381746</v>
      </c>
      <c r="M75" s="400">
        <f t="shared" si="34"/>
        <v>37848.643972381746</v>
      </c>
      <c r="N75" s="401">
        <f t="shared" si="34"/>
        <v>37848.643972381746</v>
      </c>
      <c r="O75" s="399">
        <f t="shared" si="34"/>
        <v>37848.643972381746</v>
      </c>
      <c r="P75" s="400">
        <f t="shared" si="34"/>
        <v>37848.643972381746</v>
      </c>
      <c r="Q75" s="401">
        <f t="shared" si="34"/>
        <v>37848.643972381746</v>
      </c>
      <c r="R75" s="402">
        <f>SUM(F75:Q75)</f>
        <v>476892.91405200993</v>
      </c>
      <c r="S75" s="394">
        <v>5395</v>
      </c>
    </row>
    <row r="76" spans="1:20" ht="16.5" customHeight="1">
      <c r="A76" s="404"/>
      <c r="B76" s="405" t="s">
        <v>352</v>
      </c>
      <c r="C76" s="406">
        <f t="shared" si="32"/>
        <v>0</v>
      </c>
      <c r="D76" s="749">
        <f>D20</f>
        <v>0</v>
      </c>
      <c r="E76" s="408">
        <f t="shared" ref="E76:R76" si="35">SUM(E73:E75)</f>
        <v>67</v>
      </c>
      <c r="F76" s="826">
        <f t="shared" si="35"/>
        <v>73914.793118128291</v>
      </c>
      <c r="G76" s="827">
        <f t="shared" si="35"/>
        <v>73914.793118128291</v>
      </c>
      <c r="H76" s="828">
        <f t="shared" si="35"/>
        <v>73914.793118128291</v>
      </c>
      <c r="I76" s="826">
        <f t="shared" si="35"/>
        <v>73914.793118128291</v>
      </c>
      <c r="J76" s="827">
        <f t="shared" si="35"/>
        <v>73914.793118128291</v>
      </c>
      <c r="K76" s="828">
        <f t="shared" si="35"/>
        <v>73914.793118128291</v>
      </c>
      <c r="L76" s="751">
        <f t="shared" si="35"/>
        <v>70129.928720890122</v>
      </c>
      <c r="M76" s="752">
        <f t="shared" si="35"/>
        <v>70129.928720890122</v>
      </c>
      <c r="N76" s="753">
        <f t="shared" si="35"/>
        <v>70129.928720890122</v>
      </c>
      <c r="O76" s="751">
        <f t="shared" si="35"/>
        <v>70129.928720890122</v>
      </c>
      <c r="P76" s="752">
        <f t="shared" si="35"/>
        <v>70129.928720890122</v>
      </c>
      <c r="Q76" s="753">
        <f t="shared" si="35"/>
        <v>70129.928720890122</v>
      </c>
      <c r="R76" s="411">
        <f t="shared" si="35"/>
        <v>864268.33103411051</v>
      </c>
      <c r="S76" s="590"/>
      <c r="T76" s="227"/>
    </row>
    <row r="77" spans="1:20" ht="16.5" customHeight="1">
      <c r="A77" s="432" t="s">
        <v>358</v>
      </c>
      <c r="B77" s="412" t="str">
        <f>B21</f>
        <v>S.manger and above</v>
      </c>
      <c r="C77" s="413">
        <f t="shared" si="32"/>
        <v>1853.4521445607761</v>
      </c>
      <c r="D77" s="750">
        <f>+'Sub-L plan'!R18+'Sub-L plan'!T18</f>
        <v>167.19378</v>
      </c>
      <c r="E77" s="415">
        <f>+E21</f>
        <v>6</v>
      </c>
      <c r="F77" s="816">
        <f t="shared" ref="F77:Q77" si="36">$C77*F21+$D77*F21</f>
        <v>6061.937773682328</v>
      </c>
      <c r="G77" s="814">
        <f t="shared" si="36"/>
        <v>6061.937773682328</v>
      </c>
      <c r="H77" s="815">
        <f t="shared" si="36"/>
        <v>6061.937773682328</v>
      </c>
      <c r="I77" s="816">
        <f t="shared" si="36"/>
        <v>6061.937773682328</v>
      </c>
      <c r="J77" s="814">
        <f t="shared" si="36"/>
        <v>6061.937773682328</v>
      </c>
      <c r="K77" s="815">
        <f t="shared" si="36"/>
        <v>6061.937773682328</v>
      </c>
      <c r="L77" s="416">
        <f t="shared" si="36"/>
        <v>6061.937773682328</v>
      </c>
      <c r="M77" s="417">
        <f t="shared" si="36"/>
        <v>6061.937773682328</v>
      </c>
      <c r="N77" s="418">
        <f t="shared" si="36"/>
        <v>6061.937773682328</v>
      </c>
      <c r="O77" s="416">
        <f t="shared" si="36"/>
        <v>6061.937773682328</v>
      </c>
      <c r="P77" s="417">
        <f t="shared" si="36"/>
        <v>6061.937773682328</v>
      </c>
      <c r="Q77" s="418">
        <f t="shared" si="36"/>
        <v>6061.937773682328</v>
      </c>
      <c r="R77" s="419">
        <f>SUM(F77:Q77)</f>
        <v>72743.253284187944</v>
      </c>
      <c r="S77" s="394"/>
      <c r="T77" s="111"/>
    </row>
    <row r="78" spans="1:20" ht="16.5" customHeight="1">
      <c r="A78" s="587"/>
      <c r="B78" s="395" t="s">
        <v>306</v>
      </c>
      <c r="C78" s="396">
        <f t="shared" si="32"/>
        <v>1389.3012371876198</v>
      </c>
      <c r="D78" s="430">
        <f>+'Sub-L plan'!R19+'Sub-L plan'!T19</f>
        <v>189.66003777777777</v>
      </c>
      <c r="E78" s="398">
        <f>+E22</f>
        <v>9</v>
      </c>
      <c r="F78" s="784">
        <f t="shared" ref="F78:Q78" si="37">$C78*F22+$D78*F22</f>
        <v>17368.574024619375</v>
      </c>
      <c r="G78" s="515">
        <f t="shared" si="37"/>
        <v>17368.574024619375</v>
      </c>
      <c r="H78" s="829">
        <f t="shared" si="37"/>
        <v>17368.574024619375</v>
      </c>
      <c r="I78" s="514">
        <f t="shared" si="37"/>
        <v>17368.574024619375</v>
      </c>
      <c r="J78" s="515">
        <f t="shared" si="37"/>
        <v>17368.574024619375</v>
      </c>
      <c r="K78" s="516">
        <f t="shared" si="37"/>
        <v>17368.574024619375</v>
      </c>
      <c r="L78" s="399">
        <f t="shared" si="37"/>
        <v>17368.574024619375</v>
      </c>
      <c r="M78" s="400">
        <f t="shared" si="37"/>
        <v>17368.574024619375</v>
      </c>
      <c r="N78" s="401">
        <f t="shared" si="37"/>
        <v>17368.574024619375</v>
      </c>
      <c r="O78" s="399">
        <f t="shared" si="37"/>
        <v>17368.574024619375</v>
      </c>
      <c r="P78" s="400">
        <f t="shared" si="37"/>
        <v>17368.574024619375</v>
      </c>
      <c r="Q78" s="401">
        <f t="shared" si="37"/>
        <v>17368.574024619375</v>
      </c>
      <c r="R78" s="402">
        <f>SUM(F78:Q78)</f>
        <v>208422.88829543244</v>
      </c>
      <c r="S78" s="394"/>
    </row>
    <row r="79" spans="1:20" ht="16.5" customHeight="1">
      <c r="A79" s="587"/>
      <c r="B79" s="395" t="s">
        <v>307</v>
      </c>
      <c r="C79" s="396">
        <f t="shared" si="32"/>
        <v>718.0844673430978</v>
      </c>
      <c r="D79" s="430">
        <f>+'Sub-L plan'!R20+'Sub-L plan'!T20</f>
        <v>110.12230619916363</v>
      </c>
      <c r="E79" s="398">
        <f>+E23</f>
        <v>60</v>
      </c>
      <c r="F79" s="784">
        <f t="shared" ref="F79:Q79" si="38">$C79*F23+$D79*F23</f>
        <v>125059.22280488147</v>
      </c>
      <c r="G79" s="515">
        <f t="shared" si="38"/>
        <v>121746.39571071243</v>
      </c>
      <c r="H79" s="829">
        <f t="shared" si="38"/>
        <v>118433.56861654337</v>
      </c>
      <c r="I79" s="514">
        <f t="shared" si="38"/>
        <v>115120.74152237434</v>
      </c>
      <c r="J79" s="515">
        <f t="shared" si="38"/>
        <v>111807.9144282053</v>
      </c>
      <c r="K79" s="516">
        <f t="shared" si="38"/>
        <v>108495.08733403625</v>
      </c>
      <c r="L79" s="399">
        <f t="shared" si="38"/>
        <v>105182.2602398672</v>
      </c>
      <c r="M79" s="400">
        <f t="shared" si="38"/>
        <v>101869.43314569816</v>
      </c>
      <c r="N79" s="401">
        <f t="shared" si="38"/>
        <v>98556.606051529103</v>
      </c>
      <c r="O79" s="399">
        <f t="shared" si="38"/>
        <v>95243.778957360075</v>
      </c>
      <c r="P79" s="400">
        <f t="shared" si="38"/>
        <v>91930.951863191018</v>
      </c>
      <c r="Q79" s="401">
        <f t="shared" si="38"/>
        <v>88618.124769021975</v>
      </c>
      <c r="R79" s="402">
        <f>SUM(F79:Q79)</f>
        <v>1282064.0854434206</v>
      </c>
      <c r="S79" s="394">
        <v>3847</v>
      </c>
    </row>
    <row r="80" spans="1:20" ht="23.25" customHeight="1" thickBot="1">
      <c r="A80" s="588"/>
      <c r="B80" s="422" t="s">
        <v>355</v>
      </c>
      <c r="C80" s="423"/>
      <c r="D80" s="424"/>
      <c r="E80" s="466">
        <f t="shared" ref="E80:R80" si="39">SUM(E77:E79)</f>
        <v>75</v>
      </c>
      <c r="F80" s="830">
        <f t="shared" si="39"/>
        <v>148489.73460318317</v>
      </c>
      <c r="G80" s="824">
        <f t="shared" si="39"/>
        <v>145176.90750901413</v>
      </c>
      <c r="H80" s="831">
        <f t="shared" si="39"/>
        <v>141864.08041484508</v>
      </c>
      <c r="I80" s="823">
        <f t="shared" si="39"/>
        <v>138551.25332067604</v>
      </c>
      <c r="J80" s="824">
        <f t="shared" si="39"/>
        <v>135238.426226507</v>
      </c>
      <c r="K80" s="825">
        <f t="shared" si="39"/>
        <v>131925.59913233796</v>
      </c>
      <c r="L80" s="457">
        <f t="shared" si="39"/>
        <v>128612.77203816891</v>
      </c>
      <c r="M80" s="458">
        <f t="shared" si="39"/>
        <v>125299.94494399987</v>
      </c>
      <c r="N80" s="459">
        <f t="shared" si="39"/>
        <v>121987.1178498308</v>
      </c>
      <c r="O80" s="457">
        <f t="shared" si="39"/>
        <v>118674.29075566179</v>
      </c>
      <c r="P80" s="458">
        <f t="shared" si="39"/>
        <v>115361.46366149271</v>
      </c>
      <c r="Q80" s="459">
        <f t="shared" si="39"/>
        <v>112048.63656732367</v>
      </c>
      <c r="R80" s="426">
        <f t="shared" si="39"/>
        <v>1563230.2270230409</v>
      </c>
      <c r="S80" s="394"/>
    </row>
    <row r="81" spans="1:22" ht="16.5" customHeight="1" thickBot="1">
      <c r="A81" s="7355" t="s">
        <v>464</v>
      </c>
      <c r="B81" s="7368"/>
      <c r="C81" s="7368"/>
      <c r="D81" s="7368"/>
      <c r="E81" s="609"/>
      <c r="F81" s="788"/>
      <c r="G81" s="212"/>
      <c r="H81" s="503"/>
      <c r="I81" s="211"/>
      <c r="J81" s="212"/>
      <c r="K81" s="213"/>
      <c r="L81" s="257"/>
      <c r="M81" s="258"/>
      <c r="N81" s="228"/>
      <c r="O81" s="257"/>
      <c r="P81" s="258"/>
      <c r="Q81" s="228"/>
      <c r="R81" s="428">
        <f>SUM(F81:Q81)</f>
        <v>0</v>
      </c>
      <c r="S81" s="394"/>
    </row>
    <row r="82" spans="1:22" s="469" customFormat="1" ht="16.5" customHeight="1" thickBot="1">
      <c r="A82" s="7355" t="s">
        <v>15</v>
      </c>
      <c r="B82" s="7368"/>
      <c r="C82" s="7368"/>
      <c r="D82" s="7368"/>
      <c r="E82" s="591"/>
      <c r="F82" s="788">
        <f t="shared" ref="F82:R82" si="40">F76+F80+F81</f>
        <v>222404.52772131146</v>
      </c>
      <c r="G82" s="212">
        <f t="shared" si="40"/>
        <v>219091.70062714242</v>
      </c>
      <c r="H82" s="503">
        <f t="shared" si="40"/>
        <v>215778.87353297338</v>
      </c>
      <c r="I82" s="211">
        <f t="shared" si="40"/>
        <v>212466.04643880433</v>
      </c>
      <c r="J82" s="212">
        <f t="shared" si="40"/>
        <v>209153.21934463529</v>
      </c>
      <c r="K82" s="213">
        <f t="shared" si="40"/>
        <v>205840.39225046625</v>
      </c>
      <c r="L82" s="257">
        <f t="shared" si="40"/>
        <v>198742.70075905905</v>
      </c>
      <c r="M82" s="258">
        <f t="shared" si="40"/>
        <v>195429.87366489001</v>
      </c>
      <c r="N82" s="228">
        <f t="shared" si="40"/>
        <v>192117.04657072091</v>
      </c>
      <c r="O82" s="257">
        <f t="shared" si="40"/>
        <v>188804.21947655192</v>
      </c>
      <c r="P82" s="258">
        <f t="shared" si="40"/>
        <v>185491.39238238282</v>
      </c>
      <c r="Q82" s="228">
        <f t="shared" si="40"/>
        <v>182178.56528821378</v>
      </c>
      <c r="R82" s="428">
        <f t="shared" si="40"/>
        <v>2427498.5580571513</v>
      </c>
      <c r="S82" s="706"/>
      <c r="T82" s="468"/>
      <c r="U82" s="468"/>
    </row>
    <row r="83" spans="1:22" s="469" customFormat="1" ht="16.5" customHeight="1">
      <c r="A83" s="441"/>
      <c r="B83" s="441"/>
      <c r="C83" s="441"/>
      <c r="D83" s="441"/>
      <c r="E83" s="605"/>
      <c r="F83" s="581"/>
      <c r="G83" s="581"/>
      <c r="H83" s="581"/>
      <c r="I83" s="581"/>
      <c r="J83" s="581"/>
      <c r="K83" s="581"/>
      <c r="L83" s="581"/>
      <c r="M83" s="581"/>
      <c r="N83" s="581"/>
      <c r="O83" s="581"/>
      <c r="P83" s="581"/>
      <c r="Q83" s="581"/>
      <c r="R83" s="215" t="b">
        <f>R82=R81+R80+R76</f>
        <v>1</v>
      </c>
      <c r="S83" s="467"/>
      <c r="T83" s="468"/>
      <c r="U83" s="468"/>
    </row>
    <row r="84" spans="1:22" ht="18.75" customHeight="1" thickBot="1">
      <c r="A84" s="100" t="s">
        <v>825</v>
      </c>
      <c r="B84" s="776"/>
      <c r="C84" s="244"/>
      <c r="D84" s="244"/>
      <c r="E84" s="777"/>
      <c r="F84" s="581"/>
      <c r="G84" s="581"/>
      <c r="H84" s="581"/>
      <c r="I84" s="581"/>
      <c r="J84" s="581"/>
      <c r="K84" s="581"/>
      <c r="L84" s="215"/>
      <c r="M84" s="215"/>
      <c r="N84" s="215"/>
      <c r="O84" s="215"/>
      <c r="P84" s="215"/>
      <c r="Q84" s="215"/>
      <c r="R84" s="215"/>
    </row>
    <row r="85" spans="1:22" ht="18.75" customHeight="1" thickBot="1">
      <c r="A85" s="48" t="s">
        <v>111</v>
      </c>
      <c r="B85" s="382" t="s">
        <v>123</v>
      </c>
      <c r="C85" s="473" t="s">
        <v>427</v>
      </c>
      <c r="D85" s="473" t="s">
        <v>830</v>
      </c>
      <c r="E85" s="475"/>
      <c r="F85" s="384" t="str">
        <f>F4</f>
        <v>Jan.25</v>
      </c>
      <c r="G85" s="306" t="str">
        <f t="shared" ref="G85:Q85" si="41">G4</f>
        <v>Feb.25</v>
      </c>
      <c r="H85" s="307" t="str">
        <f t="shared" si="41"/>
        <v>Mar.25</v>
      </c>
      <c r="I85" s="384" t="str">
        <f t="shared" si="41"/>
        <v>Apr.25</v>
      </c>
      <c r="J85" s="306" t="str">
        <f t="shared" si="41"/>
        <v>May.25</v>
      </c>
      <c r="K85" s="307" t="str">
        <f t="shared" si="41"/>
        <v>Jun.25</v>
      </c>
      <c r="L85" s="384" t="str">
        <f t="shared" si="41"/>
        <v>Jul.25</v>
      </c>
      <c r="M85" s="306" t="str">
        <f t="shared" si="41"/>
        <v>Aug.25</v>
      </c>
      <c r="N85" s="307" t="str">
        <f t="shared" si="41"/>
        <v>Sep.25</v>
      </c>
      <c r="O85" s="384" t="str">
        <f t="shared" si="41"/>
        <v>Oct.25</v>
      </c>
      <c r="P85" s="306" t="str">
        <f t="shared" si="41"/>
        <v>Nov.25</v>
      </c>
      <c r="Q85" s="307" t="str">
        <f t="shared" si="41"/>
        <v>Dec.25</v>
      </c>
      <c r="R85" s="476" t="s">
        <v>15</v>
      </c>
      <c r="T85" s="221"/>
      <c r="U85" s="221"/>
    </row>
    <row r="86" spans="1:22" ht="16.5" customHeight="1">
      <c r="A86" s="397" t="s">
        <v>821</v>
      </c>
      <c r="B86" s="397" t="s">
        <v>797</v>
      </c>
      <c r="C86" s="1235">
        <v>241</v>
      </c>
      <c r="D86" s="1235">
        <v>152</v>
      </c>
      <c r="E86" s="475"/>
      <c r="F86" s="514">
        <f t="shared" ref="F86:Q86" si="42">($C$86+$D$86)*F29</f>
        <v>7860</v>
      </c>
      <c r="G86" s="515">
        <f t="shared" si="42"/>
        <v>7860</v>
      </c>
      <c r="H86" s="516">
        <f t="shared" si="42"/>
        <v>7860</v>
      </c>
      <c r="I86" s="822">
        <f t="shared" si="42"/>
        <v>7860</v>
      </c>
      <c r="J86" s="515">
        <f t="shared" si="42"/>
        <v>7860</v>
      </c>
      <c r="K86" s="516">
        <f t="shared" si="42"/>
        <v>7860</v>
      </c>
      <c r="L86" s="399">
        <f t="shared" si="42"/>
        <v>7860</v>
      </c>
      <c r="M86" s="400">
        <f t="shared" si="42"/>
        <v>7860</v>
      </c>
      <c r="N86" s="401">
        <f t="shared" si="42"/>
        <v>7860</v>
      </c>
      <c r="O86" s="399">
        <f t="shared" si="42"/>
        <v>7860</v>
      </c>
      <c r="P86" s="400">
        <f t="shared" si="42"/>
        <v>7860</v>
      </c>
      <c r="Q86" s="401">
        <f t="shared" si="42"/>
        <v>7860</v>
      </c>
      <c r="R86" s="393">
        <f>SUM(F86:Q86)</f>
        <v>94320</v>
      </c>
    </row>
    <row r="87" spans="1:22" ht="16.5" customHeight="1">
      <c r="A87" s="397"/>
      <c r="B87" s="397" t="s">
        <v>786</v>
      </c>
      <c r="C87" s="447">
        <v>241</v>
      </c>
      <c r="D87" s="447">
        <v>152</v>
      </c>
      <c r="E87" s="447"/>
      <c r="F87" s="514">
        <f t="shared" ref="F87:Q87" si="43">($C$87+$D$87)*F30</f>
        <v>36156</v>
      </c>
      <c r="G87" s="515">
        <f t="shared" si="43"/>
        <v>34584</v>
      </c>
      <c r="H87" s="516">
        <f t="shared" si="43"/>
        <v>36156</v>
      </c>
      <c r="I87" s="822">
        <f t="shared" si="43"/>
        <v>37728</v>
      </c>
      <c r="J87" s="515">
        <f t="shared" si="43"/>
        <v>37728</v>
      </c>
      <c r="K87" s="516">
        <f t="shared" si="43"/>
        <v>38514</v>
      </c>
      <c r="L87" s="399">
        <f t="shared" si="43"/>
        <v>37728</v>
      </c>
      <c r="M87" s="400">
        <f t="shared" si="43"/>
        <v>37728</v>
      </c>
      <c r="N87" s="401">
        <f t="shared" si="43"/>
        <v>36942</v>
      </c>
      <c r="O87" s="399">
        <f t="shared" si="43"/>
        <v>35370</v>
      </c>
      <c r="P87" s="400">
        <f t="shared" si="43"/>
        <v>33798</v>
      </c>
      <c r="Q87" s="401">
        <f t="shared" si="43"/>
        <v>33012</v>
      </c>
      <c r="R87" s="402">
        <f>SUM(F87:Q87)</f>
        <v>435444</v>
      </c>
    </row>
    <row r="88" spans="1:22" ht="16.5" customHeight="1">
      <c r="A88" s="397"/>
      <c r="B88" s="397" t="s">
        <v>785</v>
      </c>
      <c r="C88" s="447">
        <v>241</v>
      </c>
      <c r="D88" s="447">
        <v>152</v>
      </c>
      <c r="E88" s="447"/>
      <c r="F88" s="514">
        <f t="shared" ref="F88:Q88" si="44">($C$88+$D$88)*F31</f>
        <v>85674</v>
      </c>
      <c r="G88" s="515">
        <f t="shared" si="44"/>
        <v>74277</v>
      </c>
      <c r="H88" s="516">
        <f t="shared" si="44"/>
        <v>78207</v>
      </c>
      <c r="I88" s="822">
        <f t="shared" si="44"/>
        <v>82923</v>
      </c>
      <c r="J88" s="515">
        <f t="shared" si="44"/>
        <v>81351</v>
      </c>
      <c r="K88" s="516">
        <f t="shared" si="44"/>
        <v>81351</v>
      </c>
      <c r="L88" s="399">
        <f t="shared" si="44"/>
        <v>80565</v>
      </c>
      <c r="M88" s="400">
        <f t="shared" si="44"/>
        <v>80172</v>
      </c>
      <c r="N88" s="401">
        <f t="shared" si="44"/>
        <v>78993</v>
      </c>
      <c r="O88" s="399">
        <f t="shared" si="44"/>
        <v>69954</v>
      </c>
      <c r="P88" s="400">
        <f t="shared" si="44"/>
        <v>56985</v>
      </c>
      <c r="Q88" s="401">
        <f t="shared" si="44"/>
        <v>42444</v>
      </c>
      <c r="R88" s="402">
        <f>SUM(F88:Q88)</f>
        <v>892896</v>
      </c>
    </row>
    <row r="89" spans="1:22" ht="16.5" customHeight="1">
      <c r="A89" s="397"/>
      <c r="B89" s="397" t="s">
        <v>784</v>
      </c>
      <c r="C89" s="447">
        <v>241</v>
      </c>
      <c r="D89" s="447">
        <v>152</v>
      </c>
      <c r="E89" s="447"/>
      <c r="F89" s="514">
        <f t="shared" ref="F89:Q89" si="45">($C$89+$D$89)*F32</f>
        <v>86460</v>
      </c>
      <c r="G89" s="515">
        <f t="shared" si="45"/>
        <v>109647</v>
      </c>
      <c r="H89" s="516">
        <f t="shared" si="45"/>
        <v>119472</v>
      </c>
      <c r="I89" s="822">
        <f t="shared" si="45"/>
        <v>129690</v>
      </c>
      <c r="J89" s="515">
        <f t="shared" si="45"/>
        <v>128118</v>
      </c>
      <c r="K89" s="516">
        <f t="shared" si="45"/>
        <v>128904</v>
      </c>
      <c r="L89" s="399">
        <f t="shared" si="45"/>
        <v>127332</v>
      </c>
      <c r="M89" s="400">
        <f t="shared" si="45"/>
        <v>128511</v>
      </c>
      <c r="N89" s="401">
        <f t="shared" si="45"/>
        <v>123009</v>
      </c>
      <c r="O89" s="399">
        <f t="shared" si="45"/>
        <v>121437</v>
      </c>
      <c r="P89" s="400">
        <f t="shared" si="45"/>
        <v>114756</v>
      </c>
      <c r="Q89" s="401">
        <f t="shared" si="45"/>
        <v>104931</v>
      </c>
      <c r="R89" s="402">
        <f>SUM(F89:Q89)</f>
        <v>1422267</v>
      </c>
    </row>
    <row r="90" spans="1:22" ht="16.5" customHeight="1" thickBot="1">
      <c r="A90" s="449"/>
      <c r="B90" s="449" t="s">
        <v>92</v>
      </c>
      <c r="C90" s="447">
        <v>241</v>
      </c>
      <c r="D90" s="447">
        <v>152</v>
      </c>
      <c r="E90" s="450"/>
      <c r="F90" s="1227">
        <f t="shared" ref="F90:Q90" si="46">($C$90+$D$90)*F33</f>
        <v>21615</v>
      </c>
      <c r="G90" s="1228">
        <f t="shared" si="46"/>
        <v>22401</v>
      </c>
      <c r="H90" s="1229">
        <f t="shared" si="46"/>
        <v>25545</v>
      </c>
      <c r="I90" s="1227">
        <f t="shared" si="46"/>
        <v>26331</v>
      </c>
      <c r="J90" s="1228">
        <f t="shared" si="46"/>
        <v>25938</v>
      </c>
      <c r="K90" s="1229">
        <f t="shared" si="46"/>
        <v>21615</v>
      </c>
      <c r="L90" s="1227">
        <f t="shared" si="46"/>
        <v>17685</v>
      </c>
      <c r="M90" s="1228">
        <f t="shared" si="46"/>
        <v>14148</v>
      </c>
      <c r="N90" s="1229">
        <f t="shared" si="46"/>
        <v>13755</v>
      </c>
      <c r="O90" s="1227">
        <f t="shared" si="46"/>
        <v>14148</v>
      </c>
      <c r="P90" s="1228">
        <f t="shared" si="46"/>
        <v>13755</v>
      </c>
      <c r="Q90" s="1229">
        <f t="shared" si="46"/>
        <v>12183</v>
      </c>
      <c r="R90" s="1236">
        <f>SUM(F90:Q90)</f>
        <v>229119</v>
      </c>
    </row>
    <row r="91" spans="1:22" ht="16.5" customHeight="1" thickBot="1">
      <c r="A91" s="7355" t="s">
        <v>829</v>
      </c>
      <c r="B91" s="7368"/>
      <c r="C91" s="7368"/>
      <c r="D91" s="7368"/>
      <c r="E91" s="609"/>
      <c r="F91" s="788"/>
      <c r="G91" s="212"/>
      <c r="H91" s="503"/>
      <c r="I91" s="211"/>
      <c r="J91" s="212"/>
      <c r="K91" s="213"/>
      <c r="L91" s="257"/>
      <c r="M91" s="258"/>
      <c r="N91" s="228"/>
      <c r="O91" s="257"/>
      <c r="P91" s="258"/>
      <c r="Q91" s="228"/>
      <c r="R91" s="402"/>
    </row>
    <row r="92" spans="1:22" ht="16.5" customHeight="1" thickBot="1">
      <c r="A92" s="7368" t="s">
        <v>15</v>
      </c>
      <c r="B92" s="7368"/>
      <c r="C92" s="7368"/>
      <c r="D92" s="7368"/>
      <c r="E92" s="591"/>
      <c r="F92" s="823">
        <f t="shared" ref="F92:R92" si="47">SUM(F85:F90)</f>
        <v>237765</v>
      </c>
      <c r="G92" s="824">
        <f t="shared" si="47"/>
        <v>248769</v>
      </c>
      <c r="H92" s="825">
        <f t="shared" si="47"/>
        <v>267240</v>
      </c>
      <c r="I92" s="823">
        <f t="shared" si="47"/>
        <v>284532</v>
      </c>
      <c r="J92" s="824">
        <f t="shared" si="47"/>
        <v>280995</v>
      </c>
      <c r="K92" s="825">
        <f t="shared" si="47"/>
        <v>278244</v>
      </c>
      <c r="L92" s="457">
        <f t="shared" si="47"/>
        <v>271170</v>
      </c>
      <c r="M92" s="458">
        <f t="shared" si="47"/>
        <v>268419</v>
      </c>
      <c r="N92" s="459">
        <f t="shared" si="47"/>
        <v>260559</v>
      </c>
      <c r="O92" s="457">
        <f t="shared" si="47"/>
        <v>248769</v>
      </c>
      <c r="P92" s="458">
        <f t="shared" si="47"/>
        <v>227154</v>
      </c>
      <c r="Q92" s="459">
        <f t="shared" si="47"/>
        <v>200430</v>
      </c>
      <c r="R92" s="428">
        <f t="shared" si="47"/>
        <v>3074046</v>
      </c>
    </row>
    <row r="93" spans="1:22" s="220" customFormat="1" ht="16.5" customHeight="1" thickBot="1">
      <c r="A93" s="441"/>
      <c r="B93" s="606"/>
      <c r="C93" s="607"/>
      <c r="D93" s="584"/>
      <c r="E93" s="586"/>
      <c r="F93" s="581"/>
      <c r="G93" s="581"/>
      <c r="H93" s="581"/>
      <c r="I93" s="215"/>
      <c r="J93" s="215"/>
      <c r="K93" s="215"/>
      <c r="L93" s="215"/>
      <c r="M93" s="215"/>
      <c r="N93" s="215"/>
      <c r="O93" s="215"/>
      <c r="P93" s="215"/>
      <c r="Q93" s="215"/>
      <c r="R93" s="94" t="b">
        <f>R92=SUM(F92:Q92)</f>
        <v>1</v>
      </c>
      <c r="S93" s="394"/>
      <c r="T93" s="221"/>
      <c r="U93" s="221"/>
    </row>
    <row r="94" spans="1:22" s="220" customFormat="1" ht="24" customHeight="1" thickBot="1">
      <c r="A94" s="7357" t="s">
        <v>831</v>
      </c>
      <c r="B94" s="7358"/>
      <c r="C94" s="7358"/>
      <c r="D94" s="7358"/>
      <c r="E94" s="7359"/>
      <c r="F94" s="819">
        <f t="shared" ref="F94:Q94" si="48">F69+F82+F92</f>
        <v>595972.57676790643</v>
      </c>
      <c r="G94" s="820">
        <f t="shared" si="48"/>
        <v>603663.74967373745</v>
      </c>
      <c r="H94" s="821">
        <f t="shared" si="48"/>
        <v>618821.92257956835</v>
      </c>
      <c r="I94" s="819">
        <f t="shared" si="48"/>
        <v>632801.09548539936</v>
      </c>
      <c r="J94" s="820">
        <f t="shared" si="48"/>
        <v>625951.26839123026</v>
      </c>
      <c r="K94" s="821">
        <f t="shared" si="48"/>
        <v>619887.44129706128</v>
      </c>
      <c r="L94" s="819">
        <f t="shared" si="48"/>
        <v>605715.74980565405</v>
      </c>
      <c r="M94" s="820">
        <f t="shared" si="48"/>
        <v>599651.92271148507</v>
      </c>
      <c r="N94" s="821">
        <f t="shared" si="48"/>
        <v>588479.09561731596</v>
      </c>
      <c r="O94" s="819">
        <f t="shared" si="48"/>
        <v>573376.26852314686</v>
      </c>
      <c r="P94" s="820">
        <f t="shared" si="48"/>
        <v>548448.44142897776</v>
      </c>
      <c r="Q94" s="820">
        <f t="shared" si="48"/>
        <v>638411.61433480878</v>
      </c>
      <c r="R94" s="440">
        <f>SUM(F94:Q94)</f>
        <v>7251181.1466162913</v>
      </c>
      <c r="S94" s="394"/>
      <c r="T94" s="221"/>
      <c r="U94" s="221"/>
      <c r="V94" s="96"/>
    </row>
    <row r="95" spans="1:22" ht="16.5" customHeight="1">
      <c r="A95" s="460"/>
      <c r="B95" s="380"/>
      <c r="C95" s="380"/>
      <c r="D95" s="380"/>
      <c r="E95" s="506"/>
      <c r="F95" s="526"/>
      <c r="G95" s="526"/>
      <c r="H95" s="526"/>
      <c r="I95" s="526"/>
      <c r="J95" s="526"/>
      <c r="K95" s="608"/>
      <c r="L95" s="98"/>
      <c r="M95" s="98"/>
      <c r="N95" s="98"/>
      <c r="O95" s="98"/>
      <c r="P95" s="98"/>
      <c r="Q95" s="98"/>
      <c r="S95" s="93"/>
      <c r="V95" s="98"/>
    </row>
    <row r="96" spans="1:22" ht="16.5" customHeight="1" thickBot="1">
      <c r="A96" s="100" t="s">
        <v>822</v>
      </c>
      <c r="B96" s="380"/>
      <c r="C96" s="380"/>
      <c r="D96" s="380"/>
      <c r="E96" s="380"/>
      <c r="F96" s="583"/>
      <c r="G96" s="583"/>
      <c r="H96" s="519"/>
      <c r="I96" s="519"/>
      <c r="J96" s="519"/>
      <c r="K96" s="520"/>
      <c r="L96" s="519"/>
      <c r="M96" s="519"/>
      <c r="N96" s="519"/>
      <c r="O96" s="519"/>
      <c r="P96" s="519"/>
      <c r="Q96" s="519"/>
      <c r="R96" s="99" t="s">
        <v>86</v>
      </c>
    </row>
    <row r="97" spans="1:22" ht="16.5" customHeight="1" thickBot="1">
      <c r="A97" s="384" t="s">
        <v>111</v>
      </c>
      <c r="B97" s="7373" t="s">
        <v>108</v>
      </c>
      <c r="C97" s="7374"/>
      <c r="D97" s="382" t="s">
        <v>744</v>
      </c>
      <c r="E97" s="307" t="s">
        <v>28</v>
      </c>
      <c r="F97" s="384" t="str">
        <f t="shared" ref="F97:Q97" si="49">F116</f>
        <v>Jan.25</v>
      </c>
      <c r="G97" s="306" t="str">
        <f t="shared" si="49"/>
        <v>Feb.25</v>
      </c>
      <c r="H97" s="307" t="str">
        <f t="shared" si="49"/>
        <v>Mar.25</v>
      </c>
      <c r="I97" s="384" t="str">
        <f t="shared" si="49"/>
        <v>Apr.25</v>
      </c>
      <c r="J97" s="306" t="str">
        <f t="shared" si="49"/>
        <v>May.25</v>
      </c>
      <c r="K97" s="307" t="str">
        <f t="shared" si="49"/>
        <v>Jun.25</v>
      </c>
      <c r="L97" s="384" t="str">
        <f t="shared" si="49"/>
        <v>Jul.25</v>
      </c>
      <c r="M97" s="306" t="str">
        <f t="shared" si="49"/>
        <v>Aug.25</v>
      </c>
      <c r="N97" s="307" t="str">
        <f t="shared" si="49"/>
        <v>Sep.25</v>
      </c>
      <c r="O97" s="384" t="str">
        <f t="shared" si="49"/>
        <v>Oct.25</v>
      </c>
      <c r="P97" s="306" t="str">
        <f t="shared" si="49"/>
        <v>Nov.25</v>
      </c>
      <c r="Q97" s="307" t="str">
        <f t="shared" si="49"/>
        <v>Dec.25</v>
      </c>
      <c r="R97" s="307" t="s">
        <v>466</v>
      </c>
    </row>
    <row r="98" spans="1:22" ht="16.5" customHeight="1">
      <c r="A98" s="707" t="s">
        <v>826</v>
      </c>
      <c r="B98" s="7369" t="s">
        <v>834</v>
      </c>
      <c r="C98" s="7370"/>
      <c r="D98" s="716">
        <v>3</v>
      </c>
      <c r="E98" s="513">
        <f>65000/24000</f>
        <v>2.7083333333333335</v>
      </c>
      <c r="F98" s="852">
        <f t="shared" ref="F98:Q98" si="50">SUM(F13)*F$117*$E$98*$D$98</f>
        <v>2437.5</v>
      </c>
      <c r="G98" s="834">
        <f t="shared" si="50"/>
        <v>2803.125</v>
      </c>
      <c r="H98" s="853">
        <f t="shared" si="50"/>
        <v>3168.75</v>
      </c>
      <c r="I98" s="852">
        <f t="shared" si="50"/>
        <v>2925</v>
      </c>
      <c r="J98" s="834">
        <f t="shared" si="50"/>
        <v>3046.875</v>
      </c>
      <c r="K98" s="854">
        <f t="shared" si="50"/>
        <v>3046.875</v>
      </c>
      <c r="L98" s="521">
        <f t="shared" si="50"/>
        <v>3290.625</v>
      </c>
      <c r="M98" s="522">
        <f t="shared" si="50"/>
        <v>3168.75</v>
      </c>
      <c r="N98" s="523">
        <f t="shared" si="50"/>
        <v>2803.125</v>
      </c>
      <c r="O98" s="521">
        <f t="shared" si="50"/>
        <v>3168.75</v>
      </c>
      <c r="P98" s="522">
        <f t="shared" si="50"/>
        <v>3046.875</v>
      </c>
      <c r="Q98" s="523">
        <f t="shared" si="50"/>
        <v>3168.75</v>
      </c>
      <c r="R98" s="714">
        <f>SUM(F98:Q98)</f>
        <v>36075</v>
      </c>
    </row>
    <row r="99" spans="1:22" ht="16.5" customHeight="1">
      <c r="A99" s="707"/>
      <c r="B99" s="7369" t="s">
        <v>827</v>
      </c>
      <c r="C99" s="7370"/>
      <c r="D99" s="716">
        <v>2</v>
      </c>
      <c r="E99" s="513">
        <v>0.8</v>
      </c>
      <c r="F99" s="852">
        <f t="shared" ref="F99:Q99" si="51">SUM(F25)*F$117*$E$99*$D$99</f>
        <v>7520</v>
      </c>
      <c r="G99" s="834">
        <f t="shared" si="51"/>
        <v>8500.8000000000011</v>
      </c>
      <c r="H99" s="853">
        <f t="shared" si="51"/>
        <v>9443.2000000000007</v>
      </c>
      <c r="I99" s="852">
        <f t="shared" si="51"/>
        <v>8563.2000000000007</v>
      </c>
      <c r="J99" s="834">
        <f t="shared" si="51"/>
        <v>8760</v>
      </c>
      <c r="K99" s="853">
        <f t="shared" si="51"/>
        <v>8600</v>
      </c>
      <c r="L99" s="521">
        <f t="shared" si="51"/>
        <v>8899.2000000000007</v>
      </c>
      <c r="M99" s="522">
        <f t="shared" si="51"/>
        <v>8403.2000000000007</v>
      </c>
      <c r="N99" s="523">
        <f t="shared" si="51"/>
        <v>7286.4000000000005</v>
      </c>
      <c r="O99" s="521">
        <f t="shared" si="51"/>
        <v>8070.4000000000005</v>
      </c>
      <c r="P99" s="522">
        <f t="shared" si="51"/>
        <v>7600</v>
      </c>
      <c r="Q99" s="523">
        <f t="shared" si="51"/>
        <v>7737.6</v>
      </c>
      <c r="R99" s="714">
        <f>SUM(F99:Q99)</f>
        <v>99383.999999999985</v>
      </c>
    </row>
    <row r="100" spans="1:22" ht="16.5" customHeight="1" thickBot="1">
      <c r="A100" s="1234"/>
      <c r="B100" s="1230" t="s">
        <v>828</v>
      </c>
      <c r="C100" s="45"/>
      <c r="D100" s="716">
        <v>2</v>
      </c>
      <c r="E100" s="513">
        <v>0.8</v>
      </c>
      <c r="F100" s="852">
        <f t="shared" ref="F100:Q100" si="52">SUM(F34)*F$117*$E$100*$D$100</f>
        <v>19360</v>
      </c>
      <c r="G100" s="834">
        <f t="shared" si="52"/>
        <v>23294.400000000001</v>
      </c>
      <c r="H100" s="853">
        <f t="shared" si="52"/>
        <v>28288</v>
      </c>
      <c r="I100" s="1231">
        <f t="shared" si="52"/>
        <v>27801.600000000002</v>
      </c>
      <c r="J100" s="834">
        <f t="shared" si="52"/>
        <v>28600</v>
      </c>
      <c r="K100" s="853">
        <f t="shared" si="52"/>
        <v>28320</v>
      </c>
      <c r="L100" s="521">
        <f t="shared" si="52"/>
        <v>29808</v>
      </c>
      <c r="M100" s="522">
        <f t="shared" si="52"/>
        <v>28412.800000000003</v>
      </c>
      <c r="N100" s="523">
        <f t="shared" si="52"/>
        <v>24398.400000000001</v>
      </c>
      <c r="O100" s="521">
        <f t="shared" si="52"/>
        <v>26332.800000000003</v>
      </c>
      <c r="P100" s="522">
        <f t="shared" si="52"/>
        <v>23120</v>
      </c>
      <c r="Q100" s="523">
        <f t="shared" si="52"/>
        <v>21216</v>
      </c>
      <c r="R100" s="714">
        <f>SUM(F100:Q100)</f>
        <v>308952</v>
      </c>
    </row>
    <row r="101" spans="1:22" ht="16.5" customHeight="1" thickBot="1">
      <c r="A101" s="7360" t="s">
        <v>137</v>
      </c>
      <c r="B101" s="7361"/>
      <c r="C101" s="7361"/>
      <c r="D101" s="7361"/>
      <c r="E101" s="7362"/>
      <c r="F101" s="214">
        <f t="shared" ref="F101:R101" si="53">SUM(F98:F100)</f>
        <v>29317.5</v>
      </c>
      <c r="G101" s="214">
        <f t="shared" si="53"/>
        <v>34598.325000000004</v>
      </c>
      <c r="H101" s="214">
        <f t="shared" si="53"/>
        <v>40899.949999999997</v>
      </c>
      <c r="I101" s="214">
        <f t="shared" si="53"/>
        <v>39289.800000000003</v>
      </c>
      <c r="J101" s="214">
        <f t="shared" si="53"/>
        <v>40406.875</v>
      </c>
      <c r="K101" s="1232">
        <f t="shared" si="53"/>
        <v>39966.875</v>
      </c>
      <c r="L101" s="1233">
        <f t="shared" si="53"/>
        <v>41997.824999999997</v>
      </c>
      <c r="M101" s="1233">
        <f t="shared" si="53"/>
        <v>39984.75</v>
      </c>
      <c r="N101" s="1233">
        <f t="shared" si="53"/>
        <v>34487.925000000003</v>
      </c>
      <c r="O101" s="1233">
        <f t="shared" si="53"/>
        <v>37571.950000000004</v>
      </c>
      <c r="P101" s="1233">
        <f t="shared" si="53"/>
        <v>33766.875</v>
      </c>
      <c r="Q101" s="1233">
        <f t="shared" si="53"/>
        <v>32122.35</v>
      </c>
      <c r="R101" s="1233">
        <f t="shared" si="53"/>
        <v>444411</v>
      </c>
    </row>
    <row r="102" spans="1:22" ht="18.75" customHeight="1">
      <c r="D102" s="97"/>
      <c r="E102" s="97"/>
      <c r="F102" s="704"/>
      <c r="G102" s="704"/>
      <c r="H102" s="219"/>
      <c r="I102" s="463"/>
      <c r="R102" s="1237" t="b">
        <f>R101=SUM(F101:Q101)</f>
        <v>1</v>
      </c>
      <c r="S102" s="462" t="s">
        <v>805</v>
      </c>
    </row>
    <row r="103" spans="1:22" ht="18.75" customHeight="1">
      <c r="E103" s="97"/>
      <c r="F103" s="704"/>
      <c r="G103" s="704"/>
      <c r="H103" s="704"/>
      <c r="I103" s="519"/>
      <c r="J103" s="519"/>
      <c r="K103" s="519"/>
      <c r="L103" s="519"/>
      <c r="M103" s="519"/>
      <c r="N103" s="519"/>
      <c r="O103" s="519"/>
      <c r="P103" s="7372" t="s">
        <v>369</v>
      </c>
      <c r="Q103" s="7372"/>
      <c r="R103" s="525">
        <f>R101+R94</f>
        <v>7695592.1466162913</v>
      </c>
      <c r="S103" s="1144">
        <v>10726969</v>
      </c>
    </row>
    <row r="104" spans="1:22" ht="16.5" hidden="1" customHeight="1" thickBot="1">
      <c r="A104" s="100" t="s">
        <v>832</v>
      </c>
      <c r="B104" s="470"/>
      <c r="C104" s="470"/>
      <c r="D104" s="470"/>
      <c r="E104" s="470"/>
      <c r="F104" s="526"/>
      <c r="G104" s="526"/>
      <c r="H104" s="526"/>
      <c r="I104" s="526"/>
      <c r="J104" s="526"/>
      <c r="K104" s="526"/>
      <c r="L104" s="471"/>
      <c r="M104" s="471"/>
      <c r="N104" s="471"/>
      <c r="O104" s="471"/>
      <c r="P104" s="471"/>
      <c r="Q104" s="471"/>
      <c r="R104" s="99" t="s">
        <v>86</v>
      </c>
      <c r="T104" s="221"/>
      <c r="U104" s="221"/>
    </row>
    <row r="105" spans="1:22" ht="16.5" hidden="1" customHeight="1" thickBot="1">
      <c r="A105" s="7363" t="s">
        <v>136</v>
      </c>
      <c r="B105" s="7364"/>
      <c r="C105" s="473" t="s">
        <v>125</v>
      </c>
      <c r="D105" s="474"/>
      <c r="E105" s="475" t="s">
        <v>28</v>
      </c>
      <c r="F105" s="384" t="str">
        <f t="shared" ref="F105:Q105" si="54">F72</f>
        <v>Jan.25</v>
      </c>
      <c r="G105" s="306" t="str">
        <f t="shared" si="54"/>
        <v>Feb.25</v>
      </c>
      <c r="H105" s="307" t="str">
        <f t="shared" si="54"/>
        <v>Mar.25</v>
      </c>
      <c r="I105" s="384" t="str">
        <f t="shared" si="54"/>
        <v>Apr.25</v>
      </c>
      <c r="J105" s="306" t="str">
        <f t="shared" si="54"/>
        <v>May.25</v>
      </c>
      <c r="K105" s="307" t="str">
        <f t="shared" si="54"/>
        <v>Jun.25</v>
      </c>
      <c r="L105" s="384" t="str">
        <f t="shared" si="54"/>
        <v>Jul.25</v>
      </c>
      <c r="M105" s="306" t="str">
        <f t="shared" si="54"/>
        <v>Aug.25</v>
      </c>
      <c r="N105" s="307" t="str">
        <f t="shared" si="54"/>
        <v>Sep.25</v>
      </c>
      <c r="O105" s="384" t="str">
        <f t="shared" si="54"/>
        <v>Oct.25</v>
      </c>
      <c r="P105" s="306" t="str">
        <f t="shared" si="54"/>
        <v>Nov.25</v>
      </c>
      <c r="Q105" s="307" t="str">
        <f t="shared" si="54"/>
        <v>Dec.25</v>
      </c>
      <c r="R105" s="476" t="s">
        <v>15</v>
      </c>
      <c r="T105" s="221"/>
      <c r="U105" s="221"/>
    </row>
    <row r="106" spans="1:22" ht="16.5" hidden="1" customHeight="1">
      <c r="A106" s="7365" t="s">
        <v>309</v>
      </c>
      <c r="B106" s="477" t="s">
        <v>834</v>
      </c>
      <c r="C106" s="478"/>
      <c r="D106" s="479"/>
      <c r="E106" s="480"/>
      <c r="F106" s="832">
        <f t="shared" ref="F106:P106" si="55">F67</f>
        <v>48472.049046595013</v>
      </c>
      <c r="G106" s="779">
        <f t="shared" si="55"/>
        <v>48472.049046595013</v>
      </c>
      <c r="H106" s="832">
        <f t="shared" si="55"/>
        <v>48472.049046595013</v>
      </c>
      <c r="I106" s="778">
        <f t="shared" si="55"/>
        <v>48472.049046595013</v>
      </c>
      <c r="J106" s="809">
        <f t="shared" si="55"/>
        <v>48472.049046595013</v>
      </c>
      <c r="K106" s="833">
        <f t="shared" si="55"/>
        <v>48472.049046595013</v>
      </c>
      <c r="L106" s="698">
        <f t="shared" si="55"/>
        <v>48472.049046595013</v>
      </c>
      <c r="M106" s="698">
        <f t="shared" si="55"/>
        <v>48472.049046595013</v>
      </c>
      <c r="N106" s="700">
        <f t="shared" si="55"/>
        <v>48472.049046595013</v>
      </c>
      <c r="O106" s="390">
        <f t="shared" si="55"/>
        <v>48472.049046595013</v>
      </c>
      <c r="P106" s="698">
        <f t="shared" si="55"/>
        <v>48472.049046595013</v>
      </c>
      <c r="Q106" s="699">
        <f>Q67+Q68</f>
        <v>168472.049046595</v>
      </c>
      <c r="R106" s="481">
        <f>SUM(F106:Q106)</f>
        <v>701664.5885591401</v>
      </c>
      <c r="T106" s="221"/>
      <c r="U106" s="221"/>
    </row>
    <row r="107" spans="1:22" ht="16.5" hidden="1" customHeight="1">
      <c r="A107" s="7366"/>
      <c r="B107" s="482" t="s">
        <v>310</v>
      </c>
      <c r="C107" s="483"/>
      <c r="D107" s="484"/>
      <c r="E107" s="485"/>
      <c r="F107" s="834">
        <f t="shared" ref="F107:Q107" si="56">F80+F92</f>
        <v>386254.73460318317</v>
      </c>
      <c r="G107" s="834">
        <f t="shared" si="56"/>
        <v>393945.90750901413</v>
      </c>
      <c r="H107" s="834">
        <f t="shared" si="56"/>
        <v>409104.08041484508</v>
      </c>
      <c r="I107" s="514">
        <f t="shared" si="56"/>
        <v>423083.25332067604</v>
      </c>
      <c r="J107" s="783">
        <f t="shared" si="56"/>
        <v>416233.426226507</v>
      </c>
      <c r="K107" s="835">
        <f t="shared" si="56"/>
        <v>410169.59913233796</v>
      </c>
      <c r="L107" s="486">
        <f t="shared" si="56"/>
        <v>399782.77203816891</v>
      </c>
      <c r="M107" s="486">
        <f t="shared" si="56"/>
        <v>393718.94494399987</v>
      </c>
      <c r="N107" s="112">
        <f t="shared" si="56"/>
        <v>382546.11784983077</v>
      </c>
      <c r="O107" s="399">
        <f t="shared" si="56"/>
        <v>367443.29075566179</v>
      </c>
      <c r="P107" s="486">
        <f t="shared" si="56"/>
        <v>342515.46366149269</v>
      </c>
      <c r="Q107" s="487">
        <f t="shared" si="56"/>
        <v>312478.6365673237</v>
      </c>
      <c r="R107" s="488">
        <f>SUM(F107:Q107)</f>
        <v>4637276.2270230399</v>
      </c>
      <c r="T107" s="221"/>
      <c r="U107" s="221"/>
    </row>
    <row r="108" spans="1:22" ht="16.5" hidden="1" customHeight="1">
      <c r="A108" s="7367"/>
      <c r="B108" s="489" t="s">
        <v>361</v>
      </c>
      <c r="C108" s="490"/>
      <c r="D108" s="491"/>
      <c r="E108" s="492"/>
      <c r="F108" s="836">
        <f t="shared" ref="F108:R108" si="57">SUM(F106:F107)</f>
        <v>434726.78364977817</v>
      </c>
      <c r="G108" s="836">
        <f t="shared" si="57"/>
        <v>442417.95655560913</v>
      </c>
      <c r="H108" s="836">
        <f t="shared" si="57"/>
        <v>457576.12946144008</v>
      </c>
      <c r="I108" s="837">
        <f t="shared" si="57"/>
        <v>471555.30236727104</v>
      </c>
      <c r="J108" s="836">
        <f t="shared" si="57"/>
        <v>464705.475273102</v>
      </c>
      <c r="K108" s="838">
        <f t="shared" si="57"/>
        <v>458641.64817893296</v>
      </c>
      <c r="L108" s="493">
        <f t="shared" si="57"/>
        <v>448254.82108476391</v>
      </c>
      <c r="M108" s="493">
        <f t="shared" si="57"/>
        <v>442190.99399059487</v>
      </c>
      <c r="N108" s="494">
        <f t="shared" si="57"/>
        <v>431018.16689642577</v>
      </c>
      <c r="O108" s="495">
        <f t="shared" si="57"/>
        <v>415915.33980225679</v>
      </c>
      <c r="P108" s="493">
        <f t="shared" si="57"/>
        <v>390987.51270808768</v>
      </c>
      <c r="Q108" s="494">
        <f t="shared" si="57"/>
        <v>480950.6856139187</v>
      </c>
      <c r="R108" s="419">
        <f t="shared" si="57"/>
        <v>5338940.8155821804</v>
      </c>
      <c r="S108" s="496"/>
      <c r="T108" s="221"/>
      <c r="U108" s="221"/>
    </row>
    <row r="109" spans="1:22" ht="16.5" hidden="1" customHeight="1">
      <c r="A109" s="7378" t="s">
        <v>362</v>
      </c>
      <c r="B109" s="497" t="s">
        <v>834</v>
      </c>
      <c r="C109" s="498"/>
      <c r="D109" s="499"/>
      <c r="E109" s="500"/>
      <c r="F109" s="839">
        <f t="shared" ref="F109:Q109" si="58">F63</f>
        <v>87331</v>
      </c>
      <c r="G109" s="840">
        <f t="shared" si="58"/>
        <v>87331</v>
      </c>
      <c r="H109" s="839">
        <f t="shared" si="58"/>
        <v>87331</v>
      </c>
      <c r="I109" s="816">
        <f t="shared" si="58"/>
        <v>87331</v>
      </c>
      <c r="J109" s="841">
        <f t="shared" si="58"/>
        <v>87331</v>
      </c>
      <c r="K109" s="842">
        <f t="shared" si="58"/>
        <v>87331</v>
      </c>
      <c r="L109" s="701">
        <f t="shared" si="58"/>
        <v>87331</v>
      </c>
      <c r="M109" s="701">
        <f t="shared" si="58"/>
        <v>87331</v>
      </c>
      <c r="N109" s="703">
        <f t="shared" si="58"/>
        <v>87331</v>
      </c>
      <c r="O109" s="416">
        <f t="shared" si="58"/>
        <v>87331</v>
      </c>
      <c r="P109" s="701">
        <f t="shared" si="58"/>
        <v>87331</v>
      </c>
      <c r="Q109" s="702">
        <f t="shared" si="58"/>
        <v>87331</v>
      </c>
      <c r="R109" s="501">
        <f>SUM(F109:Q109)</f>
        <v>1047972</v>
      </c>
      <c r="T109" s="221"/>
      <c r="U109" s="221"/>
    </row>
    <row r="110" spans="1:22" ht="16.5" hidden="1" customHeight="1">
      <c r="A110" s="7366"/>
      <c r="B110" s="482" t="s">
        <v>310</v>
      </c>
      <c r="C110" s="483"/>
      <c r="D110" s="484"/>
      <c r="E110" s="485"/>
      <c r="F110" s="843">
        <f t="shared" ref="F110:Q110" si="59">+F76</f>
        <v>73914.793118128291</v>
      </c>
      <c r="G110" s="452">
        <f t="shared" si="59"/>
        <v>73914.793118128291</v>
      </c>
      <c r="H110" s="844">
        <f t="shared" si="59"/>
        <v>73914.793118128291</v>
      </c>
      <c r="I110" s="514">
        <f t="shared" si="59"/>
        <v>73914.793118128291</v>
      </c>
      <c r="J110" s="783">
        <f t="shared" si="59"/>
        <v>73914.793118128291</v>
      </c>
      <c r="K110" s="835">
        <f t="shared" si="59"/>
        <v>73914.793118128291</v>
      </c>
      <c r="L110" s="486">
        <f t="shared" si="59"/>
        <v>70129.928720890122</v>
      </c>
      <c r="M110" s="486">
        <f t="shared" si="59"/>
        <v>70129.928720890122</v>
      </c>
      <c r="N110" s="112">
        <f t="shared" si="59"/>
        <v>70129.928720890122</v>
      </c>
      <c r="O110" s="399">
        <f t="shared" si="59"/>
        <v>70129.928720890122</v>
      </c>
      <c r="P110" s="486">
        <f t="shared" si="59"/>
        <v>70129.928720890122</v>
      </c>
      <c r="Q110" s="487">
        <f t="shared" si="59"/>
        <v>70129.928720890122</v>
      </c>
      <c r="R110" s="502">
        <f>SUM(F110:Q110)</f>
        <v>864268.33103411039</v>
      </c>
    </row>
    <row r="111" spans="1:22" ht="16.5" hidden="1" customHeight="1" thickBot="1">
      <c r="A111" s="7367"/>
      <c r="B111" s="708" t="s">
        <v>361</v>
      </c>
      <c r="C111" s="709"/>
      <c r="D111" s="710"/>
      <c r="E111" s="524"/>
      <c r="F111" s="845">
        <f t="shared" ref="F111:R111" si="60">SUM(F109:F110)</f>
        <v>161245.79311812829</v>
      </c>
      <c r="G111" s="845">
        <f t="shared" si="60"/>
        <v>161245.79311812829</v>
      </c>
      <c r="H111" s="846">
        <f t="shared" si="60"/>
        <v>161245.79311812829</v>
      </c>
      <c r="I111" s="811">
        <f t="shared" si="60"/>
        <v>161245.79311812829</v>
      </c>
      <c r="J111" s="847">
        <f t="shared" si="60"/>
        <v>161245.79311812829</v>
      </c>
      <c r="K111" s="848">
        <f t="shared" si="60"/>
        <v>161245.79311812829</v>
      </c>
      <c r="L111" s="711">
        <f t="shared" si="60"/>
        <v>157460.92872089014</v>
      </c>
      <c r="M111" s="711">
        <f t="shared" si="60"/>
        <v>157460.92872089014</v>
      </c>
      <c r="N111" s="713">
        <f t="shared" si="60"/>
        <v>157460.92872089014</v>
      </c>
      <c r="O111" s="409">
        <f t="shared" si="60"/>
        <v>157460.92872089014</v>
      </c>
      <c r="P111" s="711">
        <f t="shared" si="60"/>
        <v>157460.92872089014</v>
      </c>
      <c r="Q111" s="712">
        <f t="shared" si="60"/>
        <v>157460.92872089014</v>
      </c>
      <c r="R111" s="411">
        <f t="shared" si="60"/>
        <v>1912240.3310341104</v>
      </c>
      <c r="V111" s="98"/>
    </row>
    <row r="112" spans="1:22" ht="16.5" hidden="1" customHeight="1" thickBot="1">
      <c r="A112" s="7363" t="s">
        <v>363</v>
      </c>
      <c r="B112" s="7379"/>
      <c r="C112" s="7379"/>
      <c r="D112" s="7379"/>
      <c r="E112" s="7380"/>
      <c r="F112" s="503">
        <f t="shared" ref="F112:R112" si="61">F111+F108</f>
        <v>595972.57676790643</v>
      </c>
      <c r="G112" s="503">
        <f t="shared" si="61"/>
        <v>603663.74967373745</v>
      </c>
      <c r="H112" s="503">
        <f t="shared" si="61"/>
        <v>618821.92257956835</v>
      </c>
      <c r="I112" s="211">
        <f t="shared" si="61"/>
        <v>632801.09548539936</v>
      </c>
      <c r="J112" s="503">
        <f t="shared" si="61"/>
        <v>625951.26839123026</v>
      </c>
      <c r="K112" s="505">
        <f t="shared" si="61"/>
        <v>619887.44129706128</v>
      </c>
      <c r="L112" s="503">
        <f t="shared" si="61"/>
        <v>605715.74980565405</v>
      </c>
      <c r="M112" s="503">
        <f t="shared" si="61"/>
        <v>599651.92271148507</v>
      </c>
      <c r="N112" s="504">
        <f t="shared" si="61"/>
        <v>588479.09561731596</v>
      </c>
      <c r="O112" s="211">
        <f t="shared" si="61"/>
        <v>573376.26852314686</v>
      </c>
      <c r="P112" s="503">
        <f t="shared" si="61"/>
        <v>548448.44142897776</v>
      </c>
      <c r="Q112" s="505">
        <f t="shared" si="61"/>
        <v>638411.6143348089</v>
      </c>
      <c r="R112" s="428">
        <f t="shared" si="61"/>
        <v>7251181.1466162913</v>
      </c>
      <c r="S112" s="93">
        <f>9500000-R112</f>
        <v>2248818.8533837087</v>
      </c>
      <c r="V112" s="98"/>
    </row>
    <row r="113" spans="1:22" hidden="1">
      <c r="C113" s="519"/>
      <c r="R113" s="1238" t="b">
        <f>R112=SUM(F112:Q112)</f>
        <v>1</v>
      </c>
    </row>
    <row r="114" spans="1:22">
      <c r="C114" s="519"/>
    </row>
    <row r="115" spans="1:22" ht="16.5" customHeight="1" thickBot="1">
      <c r="A115" s="100" t="s">
        <v>810</v>
      </c>
      <c r="B115" s="380"/>
      <c r="C115" s="380"/>
      <c r="D115" s="380"/>
      <c r="E115" s="380"/>
      <c r="F115" s="582"/>
      <c r="G115" s="582"/>
      <c r="H115" s="582"/>
      <c r="I115" s="507"/>
      <c r="J115" s="582"/>
      <c r="K115" s="507"/>
      <c r="L115" s="380"/>
      <c r="M115" s="380"/>
      <c r="N115" s="380"/>
      <c r="O115" s="380"/>
      <c r="P115" s="380"/>
      <c r="Q115" s="380"/>
      <c r="R115" s="99" t="s">
        <v>364</v>
      </c>
    </row>
    <row r="116" spans="1:22" ht="16.5" customHeight="1" thickBot="1">
      <c r="A116" s="7363" t="s">
        <v>136</v>
      </c>
      <c r="B116" s="7364"/>
      <c r="C116" s="508" t="s">
        <v>365</v>
      </c>
      <c r="D116" s="123"/>
      <c r="E116" s="307" t="s">
        <v>28</v>
      </c>
      <c r="F116" s="384" t="str">
        <f t="shared" ref="F116:Q116" si="62">F105</f>
        <v>Jan.25</v>
      </c>
      <c r="G116" s="306" t="str">
        <f t="shared" si="62"/>
        <v>Feb.25</v>
      </c>
      <c r="H116" s="382" t="str">
        <f t="shared" si="62"/>
        <v>Mar.25</v>
      </c>
      <c r="I116" s="384" t="str">
        <f t="shared" si="62"/>
        <v>Apr.25</v>
      </c>
      <c r="J116" s="306" t="str">
        <f t="shared" si="62"/>
        <v>May.25</v>
      </c>
      <c r="K116" s="307" t="str">
        <f t="shared" si="62"/>
        <v>Jun.25</v>
      </c>
      <c r="L116" s="384" t="str">
        <f t="shared" si="62"/>
        <v>Jul.25</v>
      </c>
      <c r="M116" s="306" t="str">
        <f t="shared" si="62"/>
        <v>Aug.25</v>
      </c>
      <c r="N116" s="307" t="str">
        <f t="shared" si="62"/>
        <v>Sep.25</v>
      </c>
      <c r="O116" s="384" t="str">
        <f t="shared" si="62"/>
        <v>Oct.25</v>
      </c>
      <c r="P116" s="306" t="str">
        <f t="shared" si="62"/>
        <v>Nov.25</v>
      </c>
      <c r="Q116" s="307" t="str">
        <f t="shared" si="62"/>
        <v>Dec.25</v>
      </c>
      <c r="R116" s="385" t="s">
        <v>15</v>
      </c>
    </row>
    <row r="117" spans="1:22" ht="16.5" customHeight="1">
      <c r="A117" s="7375" t="s">
        <v>366</v>
      </c>
      <c r="B117" s="477" t="s">
        <v>367</v>
      </c>
      <c r="C117" s="478"/>
      <c r="D117" s="479"/>
      <c r="E117" s="480"/>
      <c r="F117" s="509">
        <v>20</v>
      </c>
      <c r="G117" s="510">
        <v>23</v>
      </c>
      <c r="H117" s="849">
        <v>26</v>
      </c>
      <c r="I117" s="509">
        <v>24</v>
      </c>
      <c r="J117" s="510">
        <v>25</v>
      </c>
      <c r="K117" s="511">
        <v>25</v>
      </c>
      <c r="L117" s="509">
        <v>27</v>
      </c>
      <c r="M117" s="510">
        <v>26</v>
      </c>
      <c r="N117" s="511">
        <v>23</v>
      </c>
      <c r="O117" s="509">
        <v>26</v>
      </c>
      <c r="P117" s="510">
        <v>25</v>
      </c>
      <c r="Q117" s="511">
        <v>26</v>
      </c>
      <c r="R117" s="512">
        <f>SUM(F117:Q117)</f>
        <v>296</v>
      </c>
      <c r="V117" s="98"/>
    </row>
    <row r="118" spans="1:22" ht="16.5" customHeight="1" thickBot="1">
      <c r="A118" s="7376"/>
      <c r="B118" s="482" t="s">
        <v>368</v>
      </c>
      <c r="C118" s="483"/>
      <c r="D118" s="484"/>
      <c r="E118" s="513"/>
      <c r="F118" s="514"/>
      <c r="G118" s="515"/>
      <c r="H118" s="850"/>
      <c r="I118" s="514"/>
      <c r="J118" s="515"/>
      <c r="K118" s="516"/>
      <c r="L118" s="514"/>
      <c r="M118" s="515"/>
      <c r="N118" s="516"/>
      <c r="O118" s="514"/>
      <c r="P118" s="515"/>
      <c r="Q118" s="516"/>
      <c r="R118" s="502">
        <f>SUM(F118:Q118)</f>
        <v>0</v>
      </c>
      <c r="V118" s="98"/>
    </row>
    <row r="119" spans="1:22" ht="16.5" customHeight="1" thickBot="1">
      <c r="A119" s="7377"/>
      <c r="B119" s="504" t="s">
        <v>121</v>
      </c>
      <c r="C119" s="508"/>
      <c r="D119" s="123"/>
      <c r="E119" s="124"/>
      <c r="F119" s="211">
        <f>F117+F118</f>
        <v>20</v>
      </c>
      <c r="G119" s="212">
        <f t="shared" ref="G119:Q119" si="63">G117+G118</f>
        <v>23</v>
      </c>
      <c r="H119" s="851">
        <f t="shared" si="63"/>
        <v>26</v>
      </c>
      <c r="I119" s="211">
        <f t="shared" si="63"/>
        <v>24</v>
      </c>
      <c r="J119" s="212">
        <f t="shared" si="63"/>
        <v>25</v>
      </c>
      <c r="K119" s="213">
        <f t="shared" si="63"/>
        <v>25</v>
      </c>
      <c r="L119" s="211">
        <f>L117+L118</f>
        <v>27</v>
      </c>
      <c r="M119" s="212">
        <f>M117+M118</f>
        <v>26</v>
      </c>
      <c r="N119" s="213">
        <f t="shared" si="63"/>
        <v>23</v>
      </c>
      <c r="O119" s="211">
        <f t="shared" si="63"/>
        <v>26</v>
      </c>
      <c r="P119" s="212">
        <f t="shared" si="63"/>
        <v>25</v>
      </c>
      <c r="Q119" s="213">
        <f t="shared" si="63"/>
        <v>26</v>
      </c>
      <c r="R119" s="428">
        <f>SUM(F119:Q119)</f>
        <v>296</v>
      </c>
      <c r="V119" s="98"/>
    </row>
    <row r="120" spans="1:22" ht="16.5" customHeight="1">
      <c r="A120" s="517"/>
      <c r="B120" s="518"/>
      <c r="C120" s="518"/>
      <c r="D120" s="518"/>
      <c r="E120" s="518"/>
      <c r="F120" s="592"/>
      <c r="G120" s="592"/>
      <c r="H120" s="471"/>
      <c r="I120" s="471"/>
      <c r="J120" s="97"/>
      <c r="K120" s="472"/>
      <c r="L120" s="471"/>
      <c r="M120" s="471"/>
      <c r="N120" s="471"/>
      <c r="O120" s="471"/>
      <c r="P120" s="471"/>
      <c r="Q120" s="471"/>
      <c r="R120" s="97"/>
    </row>
    <row r="121" spans="1:22">
      <c r="C121" s="519"/>
    </row>
  </sheetData>
  <mergeCells count="25">
    <mergeCell ref="P103:Q103"/>
    <mergeCell ref="B97:C97"/>
    <mergeCell ref="A117:A119"/>
    <mergeCell ref="B98:C98"/>
    <mergeCell ref="A109:A111"/>
    <mergeCell ref="A112:E112"/>
    <mergeCell ref="A116:B116"/>
    <mergeCell ref="A60:A62"/>
    <mergeCell ref="A94:E94"/>
    <mergeCell ref="A101:E101"/>
    <mergeCell ref="A105:B105"/>
    <mergeCell ref="A106:A108"/>
    <mergeCell ref="A64:A66"/>
    <mergeCell ref="A68:D68"/>
    <mergeCell ref="A91:D91"/>
    <mergeCell ref="A92:D92"/>
    <mergeCell ref="B99:C99"/>
    <mergeCell ref="A69:D69"/>
    <mergeCell ref="A81:D81"/>
    <mergeCell ref="A82:D82"/>
    <mergeCell ref="A5:A7"/>
    <mergeCell ref="A9:A11"/>
    <mergeCell ref="A13:B13"/>
    <mergeCell ref="A25:B25"/>
    <mergeCell ref="A36:D36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scale="21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120"/>
  <sheetViews>
    <sheetView showGridLines="0" topLeftCell="A91" zoomScale="80" zoomScaleNormal="80" workbookViewId="0">
      <selection activeCell="Q96" sqref="Q96"/>
    </sheetView>
  </sheetViews>
  <sheetFormatPr defaultColWidth="9" defaultRowHeight="15.6"/>
  <cols>
    <col min="1" max="1" width="22.09765625" style="95" customWidth="1"/>
    <col min="2" max="3" width="12.09765625" style="96" customWidth="1"/>
    <col min="4" max="5" width="12.09765625" style="463" customWidth="1"/>
    <col min="6" max="15" width="12.09765625" style="96" customWidth="1"/>
    <col min="16" max="17" width="16.09765625" style="96" customWidth="1"/>
    <col min="18" max="18" width="12" style="227" customWidth="1"/>
    <col min="19" max="19" width="10.09765625" style="98" customWidth="1"/>
    <col min="20" max="20" width="13.59765625" style="98" customWidth="1"/>
    <col min="21" max="16384" width="9" style="96"/>
  </cols>
  <sheetData>
    <row r="1" spans="1:21" s="98" customFormat="1" ht="19.5" customHeight="1">
      <c r="A1" s="101" t="s">
        <v>919</v>
      </c>
      <c r="B1" s="94"/>
      <c r="C1" s="94"/>
      <c r="D1" s="526"/>
      <c r="E1" s="526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227"/>
      <c r="U1" s="96"/>
    </row>
    <row r="2" spans="1:21" s="1243" customFormat="1" ht="19.5" customHeight="1">
      <c r="A2" s="1244"/>
      <c r="B2" s="1239"/>
      <c r="C2" s="1239"/>
      <c r="D2" s="1240"/>
      <c r="E2" s="1240"/>
      <c r="F2" s="1241"/>
      <c r="G2" s="1241"/>
      <c r="H2" s="1241"/>
      <c r="I2" s="1241"/>
      <c r="J2" s="1241"/>
      <c r="K2" s="1241"/>
      <c r="L2" s="1241"/>
      <c r="M2" s="1241"/>
      <c r="N2" s="1241"/>
      <c r="O2" s="1241"/>
      <c r="P2" s="1241"/>
      <c r="Q2" s="1241"/>
      <c r="R2" s="1242"/>
      <c r="U2" s="1239"/>
    </row>
    <row r="3" spans="1:21" s="1243" customFormat="1" ht="19.5" customHeight="1">
      <c r="A3" s="1245" t="s">
        <v>890</v>
      </c>
      <c r="B3" s="1239"/>
      <c r="C3" s="1239"/>
      <c r="D3" s="1240"/>
      <c r="E3" s="1240"/>
      <c r="F3" s="1241"/>
      <c r="G3" s="1241"/>
      <c r="H3" s="1241"/>
      <c r="I3" s="1241"/>
      <c r="J3" s="1241"/>
      <c r="K3" s="1241"/>
      <c r="L3" s="1241"/>
      <c r="M3" s="1241"/>
      <c r="N3" s="1241"/>
      <c r="O3" s="1241"/>
      <c r="P3" s="1241"/>
      <c r="Q3" s="1241"/>
      <c r="R3" s="1242"/>
      <c r="U3" s="1239"/>
    </row>
    <row r="4" spans="1:21" s="1243" customFormat="1" ht="19.5" customHeight="1">
      <c r="A4" s="1245" t="s">
        <v>891</v>
      </c>
      <c r="B4" s="1239"/>
      <c r="C4" s="1239"/>
      <c r="D4" s="1240"/>
      <c r="E4" s="1240"/>
      <c r="F4" s="1241"/>
      <c r="G4" s="1241"/>
      <c r="H4" s="1241"/>
      <c r="I4" s="1241"/>
      <c r="J4" s="1241"/>
      <c r="K4" s="1241"/>
      <c r="L4" s="1241"/>
      <c r="M4" s="1241"/>
      <c r="N4" s="1241"/>
      <c r="O4" s="1241"/>
      <c r="P4" s="1241"/>
      <c r="Q4" s="1241"/>
      <c r="R4" s="1242"/>
      <c r="U4" s="1239"/>
    </row>
    <row r="5" spans="1:21" s="1243" customFormat="1" ht="19.5" customHeight="1">
      <c r="A5" s="1245" t="s">
        <v>892</v>
      </c>
      <c r="B5" s="1239"/>
      <c r="C5" s="1239"/>
      <c r="D5" s="1240"/>
      <c r="E5" s="1240"/>
      <c r="F5" s="1241"/>
      <c r="G5" s="1241"/>
      <c r="H5" s="1241"/>
      <c r="I5" s="1241"/>
      <c r="J5" s="1241"/>
      <c r="K5" s="1241"/>
      <c r="L5" s="1241"/>
      <c r="M5" s="1241"/>
      <c r="N5" s="1241"/>
      <c r="O5" s="1241"/>
      <c r="P5" s="1241"/>
      <c r="Q5" s="1241"/>
      <c r="R5" s="1242"/>
      <c r="U5" s="1239"/>
    </row>
    <row r="6" spans="1:21" s="1243" customFormat="1" ht="19.5" customHeight="1">
      <c r="A6" s="1245" t="s">
        <v>893</v>
      </c>
      <c r="B6" s="1239"/>
      <c r="C6" s="1239"/>
      <c r="D6" s="1240"/>
      <c r="E6" s="1240"/>
      <c r="F6" s="1241"/>
      <c r="G6" s="1241"/>
      <c r="H6" s="1241"/>
      <c r="I6" s="1241"/>
      <c r="J6" s="1241"/>
      <c r="K6" s="1241"/>
      <c r="L6" s="1241"/>
      <c r="M6" s="1241"/>
      <c r="N6" s="1241"/>
      <c r="O6" s="1241"/>
      <c r="P6" s="1241"/>
      <c r="Q6" s="1241"/>
      <c r="R6" s="1242"/>
      <c r="U6" s="1239"/>
    </row>
    <row r="7" spans="1:21" s="1243" customFormat="1" ht="19.5" customHeight="1">
      <c r="A7" s="1245" t="s">
        <v>894</v>
      </c>
      <c r="B7" s="1239"/>
      <c r="C7" s="1239"/>
      <c r="D7" s="1240"/>
      <c r="E7" s="1240"/>
      <c r="F7" s="1241"/>
      <c r="G7" s="1241"/>
      <c r="H7" s="1241"/>
      <c r="I7" s="1241"/>
      <c r="J7" s="1241"/>
      <c r="K7" s="1241"/>
      <c r="L7" s="1241"/>
      <c r="M7" s="1241"/>
      <c r="N7" s="1241"/>
      <c r="O7" s="1241"/>
      <c r="P7" s="1241"/>
      <c r="Q7" s="1241"/>
      <c r="R7" s="1242"/>
      <c r="U7" s="1239"/>
    </row>
    <row r="8" spans="1:21" s="1243" customFormat="1" ht="19.5" customHeight="1">
      <c r="A8" s="1245" t="s">
        <v>895</v>
      </c>
      <c r="B8" s="1239"/>
      <c r="C8" s="1239"/>
      <c r="D8" s="1240"/>
      <c r="E8" s="1240"/>
      <c r="F8" s="1241"/>
      <c r="G8" s="1241"/>
      <c r="H8" s="1241"/>
      <c r="I8" s="1241"/>
      <c r="J8" s="1241"/>
      <c r="K8" s="1241"/>
      <c r="L8" s="1241"/>
      <c r="M8" s="1241"/>
      <c r="N8" s="1241"/>
      <c r="O8" s="1241"/>
      <c r="P8" s="1241"/>
      <c r="Q8" s="1241"/>
      <c r="R8" s="1242"/>
      <c r="U8" s="1239"/>
    </row>
    <row r="9" spans="1:21" s="98" customFormat="1" ht="19.5" customHeight="1">
      <c r="A9" s="95"/>
      <c r="B9" s="96"/>
      <c r="C9" s="96"/>
      <c r="U9" s="96"/>
    </row>
    <row r="10" spans="1:21" s="98" customFormat="1" ht="19.5" customHeight="1" thickBot="1">
      <c r="A10" s="94" t="s">
        <v>904</v>
      </c>
      <c r="B10" s="380"/>
      <c r="C10" s="380"/>
      <c r="D10" s="582"/>
      <c r="E10" s="582"/>
      <c r="F10" s="582"/>
      <c r="G10" s="507"/>
      <c r="H10" s="582"/>
      <c r="I10" s="507"/>
      <c r="J10" s="380"/>
      <c r="K10" s="380"/>
      <c r="L10" s="380"/>
      <c r="M10" s="380"/>
      <c r="N10" s="380"/>
      <c r="O10" s="380"/>
      <c r="P10" s="99" t="s">
        <v>364</v>
      </c>
      <c r="Q10" s="96"/>
      <c r="R10" s="227"/>
      <c r="U10" s="96"/>
    </row>
    <row r="11" spans="1:21" s="98" customFormat="1" ht="19.5" customHeight="1" thickBot="1">
      <c r="A11" s="7363" t="s">
        <v>136</v>
      </c>
      <c r="B11" s="7364"/>
      <c r="C11" s="508" t="s">
        <v>365</v>
      </c>
      <c r="D11" s="384" t="s">
        <v>425</v>
      </c>
      <c r="E11" s="306" t="s">
        <v>545</v>
      </c>
      <c r="F11" s="307" t="s">
        <v>546</v>
      </c>
      <c r="G11" s="384" t="s">
        <v>426</v>
      </c>
      <c r="H11" s="306" t="s">
        <v>547</v>
      </c>
      <c r="I11" s="307" t="s">
        <v>548</v>
      </c>
      <c r="J11" s="384" t="s">
        <v>549</v>
      </c>
      <c r="K11" s="306" t="s">
        <v>550</v>
      </c>
      <c r="L11" s="307" t="s">
        <v>551</v>
      </c>
      <c r="M11" s="384" t="s">
        <v>552</v>
      </c>
      <c r="N11" s="306" t="s">
        <v>553</v>
      </c>
      <c r="O11" s="307" t="s">
        <v>554</v>
      </c>
      <c r="P11" s="385" t="s">
        <v>15</v>
      </c>
      <c r="Q11" s="96"/>
      <c r="R11" s="227"/>
      <c r="U11" s="96"/>
    </row>
    <row r="12" spans="1:21" s="98" customFormat="1" ht="19.5" customHeight="1">
      <c r="A12" s="7381" t="s">
        <v>366</v>
      </c>
      <c r="B12" s="789" t="s">
        <v>367</v>
      </c>
      <c r="C12" s="478"/>
      <c r="D12" s="1469">
        <v>20</v>
      </c>
      <c r="E12" s="1470">
        <v>23</v>
      </c>
      <c r="F12" s="1471">
        <v>26</v>
      </c>
      <c r="G12" s="1469">
        <v>24</v>
      </c>
      <c r="H12" s="1470">
        <v>25</v>
      </c>
      <c r="I12" s="1472">
        <v>25</v>
      </c>
      <c r="J12" s="1469">
        <v>27</v>
      </c>
      <c r="K12" s="1470">
        <v>26</v>
      </c>
      <c r="L12" s="1472">
        <v>23</v>
      </c>
      <c r="M12" s="1469">
        <v>26</v>
      </c>
      <c r="N12" s="1470">
        <v>25</v>
      </c>
      <c r="O12" s="1472">
        <v>26</v>
      </c>
      <c r="P12" s="1473">
        <f>SUM(D12:O12)</f>
        <v>296</v>
      </c>
      <c r="Q12" s="96"/>
      <c r="R12" s="227"/>
      <c r="U12" s="96"/>
    </row>
    <row r="13" spans="1:21" s="98" customFormat="1" ht="19.5" customHeight="1" thickBot="1">
      <c r="A13" s="7382"/>
      <c r="B13" s="786" t="s">
        <v>368</v>
      </c>
      <c r="C13" s="483"/>
      <c r="D13" s="1479">
        <f t="shared" ref="D13:N13" si="0">D76</f>
        <v>2.801816946855777</v>
      </c>
      <c r="E13" s="1480">
        <f t="shared" si="0"/>
        <v>1.0235864555321099</v>
      </c>
      <c r="F13" s="1481">
        <f t="shared" si="0"/>
        <v>3.9300379900811553</v>
      </c>
      <c r="G13" s="1479">
        <f t="shared" si="0"/>
        <v>6.4990369525267591</v>
      </c>
      <c r="H13" s="1480">
        <f t="shared" si="0"/>
        <v>5.9334763551153378</v>
      </c>
      <c r="I13" s="1482">
        <f t="shared" si="0"/>
        <v>3.9413149255185904</v>
      </c>
      <c r="J13" s="1479">
        <f t="shared" si="0"/>
        <v>2.1759272365071869</v>
      </c>
      <c r="K13" s="1480">
        <f t="shared" si="0"/>
        <v>2.6105846519222538</v>
      </c>
      <c r="L13" s="1482">
        <f t="shared" si="0"/>
        <v>6.4533683304810943</v>
      </c>
      <c r="M13" s="1479">
        <f>M76</f>
        <v>5.5618662408557586</v>
      </c>
      <c r="N13" s="1480">
        <f t="shared" si="0"/>
        <v>3.95096696095663</v>
      </c>
      <c r="O13" s="1482">
        <v>0</v>
      </c>
      <c r="P13" s="1483">
        <f>SUM(D13:O13)</f>
        <v>44.881983046352644</v>
      </c>
      <c r="Q13" s="96"/>
      <c r="R13" s="227"/>
      <c r="U13" s="96"/>
    </row>
    <row r="14" spans="1:21" s="98" customFormat="1" ht="19.5" customHeight="1" thickBot="1">
      <c r="A14" s="7383"/>
      <c r="B14" s="504" t="s">
        <v>121</v>
      </c>
      <c r="C14" s="508"/>
      <c r="D14" s="1474">
        <f t="shared" ref="D14:O14" si="1">D12+D13</f>
        <v>22.801816946855777</v>
      </c>
      <c r="E14" s="1475">
        <f t="shared" si="1"/>
        <v>24.023586455532111</v>
      </c>
      <c r="F14" s="1476">
        <f t="shared" si="1"/>
        <v>29.930037990081154</v>
      </c>
      <c r="G14" s="1474">
        <f t="shared" si="1"/>
        <v>30.499036952526758</v>
      </c>
      <c r="H14" s="1475">
        <f t="shared" si="1"/>
        <v>30.933476355115339</v>
      </c>
      <c r="I14" s="1477">
        <f t="shared" si="1"/>
        <v>28.94131492551859</v>
      </c>
      <c r="J14" s="1474">
        <f t="shared" si="1"/>
        <v>29.175927236507185</v>
      </c>
      <c r="K14" s="1475">
        <f t="shared" si="1"/>
        <v>28.610584651922252</v>
      </c>
      <c r="L14" s="1477">
        <f t="shared" si="1"/>
        <v>29.453368330481094</v>
      </c>
      <c r="M14" s="1474">
        <f t="shared" si="1"/>
        <v>31.561866240855757</v>
      </c>
      <c r="N14" s="1475">
        <f t="shared" si="1"/>
        <v>28.950966960956631</v>
      </c>
      <c r="O14" s="1477">
        <f t="shared" si="1"/>
        <v>26</v>
      </c>
      <c r="P14" s="1478">
        <f>SUM(D14:O14)</f>
        <v>340.88198304635267</v>
      </c>
      <c r="Q14" s="96"/>
      <c r="R14" s="227"/>
      <c r="U14" s="96"/>
    </row>
    <row r="15" spans="1:21" s="98" customFormat="1" ht="19.5" hidden="1" customHeight="1">
      <c r="A15" s="517"/>
      <c r="B15" s="518"/>
      <c r="C15" s="1485" t="s">
        <v>943</v>
      </c>
      <c r="D15" s="1486" t="e">
        <f>'3. P PLAN'!#REF!</f>
        <v>#REF!</v>
      </c>
      <c r="E15" s="1486" t="e">
        <f>'3. P PLAN'!#REF!</f>
        <v>#REF!</v>
      </c>
      <c r="F15" s="1486" t="e">
        <f>'3. P PLAN'!#REF!</f>
        <v>#REF!</v>
      </c>
      <c r="G15" s="1486" t="e">
        <f>'3. P PLAN'!#REF!</f>
        <v>#REF!</v>
      </c>
      <c r="H15" s="1486" t="e">
        <f>'3. P PLAN'!#REF!</f>
        <v>#REF!</v>
      </c>
      <c r="I15" s="1486" t="e">
        <f>'3. P PLAN'!#REF!</f>
        <v>#REF!</v>
      </c>
      <c r="J15" s="1486" t="e">
        <f>'3. P PLAN'!#REF!</f>
        <v>#REF!</v>
      </c>
      <c r="K15" s="1486" t="e">
        <f>'3. P PLAN'!#REF!</f>
        <v>#REF!</v>
      </c>
      <c r="L15" s="1486" t="e">
        <f>'3. P PLAN'!#REF!</f>
        <v>#REF!</v>
      </c>
      <c r="M15" s="1486" t="e">
        <f>'3. P PLAN'!#REF!</f>
        <v>#REF!</v>
      </c>
      <c r="N15" s="1486" t="e">
        <f>'3. P PLAN'!#REF!</f>
        <v>#REF!</v>
      </c>
      <c r="O15" s="1486" t="e">
        <f>'3. P PLAN'!#REF!</f>
        <v>#REF!</v>
      </c>
      <c r="P15" s="97"/>
      <c r="Q15" s="96"/>
      <c r="R15" s="227"/>
      <c r="U15" s="96"/>
    </row>
    <row r="16" spans="1:21" s="98" customFormat="1" ht="19.5" hidden="1" customHeight="1">
      <c r="A16" s="95"/>
      <c r="B16" s="96"/>
      <c r="C16" s="1408" t="s">
        <v>1051</v>
      </c>
      <c r="D16" s="1484" t="e">
        <f>'2. S Plan'!#REF!</f>
        <v>#REF!</v>
      </c>
      <c r="E16" s="1484" t="e">
        <f>'2. S Plan'!#REF!</f>
        <v>#REF!</v>
      </c>
      <c r="F16" s="1484" t="e">
        <f>'2. S Plan'!#REF!</f>
        <v>#REF!</v>
      </c>
      <c r="G16" s="1484" t="e">
        <f>'2. S Plan'!#REF!</f>
        <v>#REF!</v>
      </c>
      <c r="H16" s="1484" t="e">
        <f>'2. S Plan'!#REF!</f>
        <v>#REF!</v>
      </c>
      <c r="I16" s="1484" t="e">
        <f>'2. S Plan'!#REF!</f>
        <v>#REF!</v>
      </c>
      <c r="J16" s="1484" t="e">
        <f>'2. S Plan'!#REF!</f>
        <v>#REF!</v>
      </c>
      <c r="K16" s="1484" t="e">
        <f>'2. S Plan'!#REF!</f>
        <v>#REF!</v>
      </c>
      <c r="L16" s="1484" t="e">
        <f>'2. S Plan'!#REF!</f>
        <v>#REF!</v>
      </c>
      <c r="M16" s="1484" t="e">
        <f>'2. S Plan'!#REF!</f>
        <v>#REF!</v>
      </c>
      <c r="N16" s="1484" t="e">
        <f>'2. S Plan'!#REF!</f>
        <v>#REF!</v>
      </c>
      <c r="O16" s="1484" t="e">
        <f>'2. S Plan'!#REF!</f>
        <v>#REF!</v>
      </c>
      <c r="P16" s="96"/>
      <c r="Q16" s="96"/>
      <c r="R16" s="227"/>
      <c r="U16" s="96"/>
    </row>
    <row r="17" spans="1:21" s="98" customFormat="1" ht="19.5" hidden="1" customHeight="1">
      <c r="A17" s="95"/>
      <c r="B17" s="96"/>
      <c r="C17" s="1409" t="s">
        <v>1052</v>
      </c>
      <c r="D17" s="1484" t="e">
        <f>D15/D27</f>
        <v>#REF!</v>
      </c>
      <c r="E17" s="1484" t="e">
        <f t="shared" ref="E17:O17" si="2">E15/E27</f>
        <v>#REF!</v>
      </c>
      <c r="F17" s="1484" t="e">
        <f t="shared" si="2"/>
        <v>#REF!</v>
      </c>
      <c r="G17" s="1484" t="e">
        <f t="shared" si="2"/>
        <v>#REF!</v>
      </c>
      <c r="H17" s="1484" t="e">
        <f t="shared" si="2"/>
        <v>#REF!</v>
      </c>
      <c r="I17" s="1484" t="e">
        <f t="shared" si="2"/>
        <v>#REF!</v>
      </c>
      <c r="J17" s="1484" t="e">
        <f t="shared" si="2"/>
        <v>#REF!</v>
      </c>
      <c r="K17" s="1484" t="e">
        <f t="shared" si="2"/>
        <v>#REF!</v>
      </c>
      <c r="L17" s="1484" t="e">
        <f t="shared" si="2"/>
        <v>#REF!</v>
      </c>
      <c r="M17" s="1484" t="e">
        <f t="shared" si="2"/>
        <v>#REF!</v>
      </c>
      <c r="N17" s="1484" t="e">
        <f t="shared" si="2"/>
        <v>#REF!</v>
      </c>
      <c r="O17" s="1484" t="e">
        <f t="shared" si="2"/>
        <v>#REF!</v>
      </c>
      <c r="P17" s="96"/>
      <c r="Q17" s="96"/>
      <c r="R17" s="227"/>
      <c r="U17" s="96"/>
    </row>
    <row r="18" spans="1:21" s="98" customFormat="1" ht="19.5" hidden="1" customHeight="1">
      <c r="A18" s="95"/>
      <c r="B18" s="96"/>
      <c r="C18" s="1409" t="s">
        <v>1053</v>
      </c>
      <c r="D18" s="1484" t="e">
        <f>D16/D27</f>
        <v>#REF!</v>
      </c>
      <c r="E18" s="1484" t="e">
        <f t="shared" ref="E18:O18" si="3">E16/E27</f>
        <v>#REF!</v>
      </c>
      <c r="F18" s="1484" t="e">
        <f t="shared" si="3"/>
        <v>#REF!</v>
      </c>
      <c r="G18" s="1484" t="e">
        <f t="shared" si="3"/>
        <v>#REF!</v>
      </c>
      <c r="H18" s="1484" t="e">
        <f t="shared" si="3"/>
        <v>#REF!</v>
      </c>
      <c r="I18" s="1484" t="e">
        <f t="shared" si="3"/>
        <v>#REF!</v>
      </c>
      <c r="J18" s="1484" t="e">
        <f t="shared" si="3"/>
        <v>#REF!</v>
      </c>
      <c r="K18" s="1484" t="e">
        <f t="shared" si="3"/>
        <v>#REF!</v>
      </c>
      <c r="L18" s="1484" t="e">
        <f t="shared" si="3"/>
        <v>#REF!</v>
      </c>
      <c r="M18" s="1484" t="e">
        <f t="shared" si="3"/>
        <v>#REF!</v>
      </c>
      <c r="N18" s="1484" t="e">
        <f t="shared" si="3"/>
        <v>#REF!</v>
      </c>
      <c r="O18" s="1484" t="e">
        <f t="shared" si="3"/>
        <v>#REF!</v>
      </c>
      <c r="P18" s="96"/>
      <c r="Q18" s="96"/>
      <c r="R18" s="227"/>
      <c r="U18" s="96"/>
    </row>
    <row r="19" spans="1:21" s="98" customFormat="1" ht="19.5" customHeight="1">
      <c r="A19" s="95"/>
      <c r="B19" s="96"/>
      <c r="C19" s="96"/>
      <c r="D19" s="526"/>
      <c r="E19" s="526"/>
      <c r="F19" s="526"/>
      <c r="G19" s="526"/>
      <c r="H19" s="526"/>
      <c r="I19" s="526"/>
      <c r="J19" s="526"/>
      <c r="K19" s="526"/>
      <c r="L19" s="526"/>
      <c r="M19" s="526"/>
      <c r="N19" s="526"/>
      <c r="O19" s="526"/>
      <c r="P19" s="96"/>
      <c r="Q19" s="96"/>
      <c r="R19" s="227"/>
      <c r="U19" s="96"/>
    </row>
    <row r="20" spans="1:21" s="98" customFormat="1" ht="19.5" customHeight="1" thickBot="1">
      <c r="A20" s="1327" t="s">
        <v>912</v>
      </c>
      <c r="B20" s="96" t="str">
        <f>" * 년말 기준 생산직 인원  : "&amp;ROUND(O27,0)&amp;"명 예상"</f>
        <v xml:space="preserve"> * 년말 기준 생산직 인원  : 637명 예상</v>
      </c>
      <c r="C20" s="96"/>
      <c r="D20" s="463"/>
      <c r="E20" s="463"/>
      <c r="F20" s="96"/>
      <c r="G20" s="97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227"/>
      <c r="U20" s="96"/>
    </row>
    <row r="21" spans="1:21" s="98" customFormat="1" ht="19.5" customHeight="1" thickBot="1">
      <c r="A21" s="48" t="s">
        <v>111</v>
      </c>
      <c r="B21" s="382" t="s">
        <v>123</v>
      </c>
      <c r="C21" s="383" t="s">
        <v>308</v>
      </c>
      <c r="D21" s="44" t="s">
        <v>425</v>
      </c>
      <c r="E21" s="306" t="s">
        <v>545</v>
      </c>
      <c r="F21" s="382" t="s">
        <v>546</v>
      </c>
      <c r="G21" s="384" t="s">
        <v>426</v>
      </c>
      <c r="H21" s="306" t="s">
        <v>547</v>
      </c>
      <c r="I21" s="307" t="s">
        <v>548</v>
      </c>
      <c r="J21" s="44" t="s">
        <v>549</v>
      </c>
      <c r="K21" s="306" t="s">
        <v>550</v>
      </c>
      <c r="L21" s="382" t="s">
        <v>551</v>
      </c>
      <c r="M21" s="384" t="s">
        <v>552</v>
      </c>
      <c r="N21" s="306" t="s">
        <v>553</v>
      </c>
      <c r="O21" s="307" t="s">
        <v>554</v>
      </c>
      <c r="P21" s="385" t="s">
        <v>428</v>
      </c>
      <c r="Q21" s="96"/>
      <c r="R21" s="227"/>
      <c r="U21" s="96"/>
    </row>
    <row r="22" spans="1:21" s="98" customFormat="1" ht="19.5" customHeight="1">
      <c r="A22" s="1288" t="s">
        <v>821</v>
      </c>
      <c r="B22" s="397" t="s">
        <v>797</v>
      </c>
      <c r="C22" s="1293"/>
      <c r="D22" s="1287">
        <v>11</v>
      </c>
      <c r="E22" s="1275">
        <f>D22</f>
        <v>11</v>
      </c>
      <c r="F22" s="1402">
        <f t="shared" ref="F22:O22" si="4">E22</f>
        <v>11</v>
      </c>
      <c r="G22" s="1277">
        <f t="shared" si="4"/>
        <v>11</v>
      </c>
      <c r="H22" s="1275">
        <f t="shared" si="4"/>
        <v>11</v>
      </c>
      <c r="I22" s="1276">
        <f t="shared" si="4"/>
        <v>11</v>
      </c>
      <c r="J22" s="1403">
        <f t="shared" si="4"/>
        <v>11</v>
      </c>
      <c r="K22" s="1279">
        <f t="shared" si="4"/>
        <v>11</v>
      </c>
      <c r="L22" s="1405">
        <f t="shared" si="4"/>
        <v>11</v>
      </c>
      <c r="M22" s="1278">
        <f t="shared" si="4"/>
        <v>11</v>
      </c>
      <c r="N22" s="1279">
        <f t="shared" si="4"/>
        <v>11</v>
      </c>
      <c r="O22" s="1280">
        <f t="shared" si="4"/>
        <v>11</v>
      </c>
      <c r="P22" s="402">
        <f>AVERAGE(D22:O22)</f>
        <v>11</v>
      </c>
      <c r="Q22" s="96"/>
      <c r="R22" s="227"/>
      <c r="U22" s="96"/>
    </row>
    <row r="23" spans="1:21" s="98" customFormat="1" ht="19.5" customHeight="1">
      <c r="A23" s="1288"/>
      <c r="B23" s="397" t="s">
        <v>786</v>
      </c>
      <c r="C23" s="1293"/>
      <c r="D23" s="1287">
        <v>88</v>
      </c>
      <c r="E23" s="1275">
        <f t="shared" ref="E23:O23" si="5">D23-D23*$C$30+E31</f>
        <v>96.811576098271914</v>
      </c>
      <c r="F23" s="1402">
        <f t="shared" si="5"/>
        <v>96.703101100711351</v>
      </c>
      <c r="G23" s="1404">
        <f t="shared" si="5"/>
        <v>96.605952401563584</v>
      </c>
      <c r="H23" s="1275">
        <f t="shared" si="5"/>
        <v>96.518947377748447</v>
      </c>
      <c r="I23" s="1276">
        <f t="shared" si="5"/>
        <v>97.441026888483222</v>
      </c>
      <c r="J23" s="1287">
        <f t="shared" si="5"/>
        <v>97.266828474039258</v>
      </c>
      <c r="K23" s="1275">
        <f t="shared" si="5"/>
        <v>97.110818796810292</v>
      </c>
      <c r="L23" s="1402">
        <f t="shared" si="5"/>
        <v>96.971098699662605</v>
      </c>
      <c r="M23" s="1404">
        <f t="shared" si="5"/>
        <v>96.845967323880643</v>
      </c>
      <c r="N23" s="1275">
        <f t="shared" si="5"/>
        <v>96.733901404054251</v>
      </c>
      <c r="O23" s="1276">
        <f t="shared" si="5"/>
        <v>96.633536724867653</v>
      </c>
      <c r="P23" s="402">
        <f>AVERAGE(D23:O23)</f>
        <v>96.136896274174418</v>
      </c>
      <c r="Q23" s="96"/>
      <c r="R23" s="93">
        <f>P86</f>
        <v>0</v>
      </c>
      <c r="S23" s="111" t="e">
        <f>#REF!</f>
        <v>#REF!</v>
      </c>
      <c r="T23" s="111" t="e">
        <f>S23-R23</f>
        <v>#REF!</v>
      </c>
      <c r="U23" s="96"/>
    </row>
    <row r="24" spans="1:21" s="98" customFormat="1" ht="19.5" customHeight="1">
      <c r="A24" s="1288"/>
      <c r="B24" s="397" t="s">
        <v>785</v>
      </c>
      <c r="C24" s="1293"/>
      <c r="D24" s="1287">
        <v>280</v>
      </c>
      <c r="E24" s="1275">
        <f t="shared" ref="E24:O24" si="6">D24-D24*$C$30+E32</f>
        <v>260.76410576722878</v>
      </c>
      <c r="F24" s="1402">
        <f>E24-E24*$C$30+F32</f>
        <v>233.53670642467929</v>
      </c>
      <c r="G24" s="1404">
        <f>F24-F24*$C$30+G32</f>
        <v>209.15222625145907</v>
      </c>
      <c r="H24" s="1275">
        <f t="shared" si="6"/>
        <v>197.31382494704377</v>
      </c>
      <c r="I24" s="1276">
        <f>H24-H24*$C$30+I32</f>
        <v>186.71151738698913</v>
      </c>
      <c r="J24" s="1287">
        <f t="shared" si="6"/>
        <v>187.21623819282402</v>
      </c>
      <c r="K24" s="1275">
        <f t="shared" si="6"/>
        <v>186.6682591268858</v>
      </c>
      <c r="L24" s="1402">
        <f t="shared" si="6"/>
        <v>187.17749669671025</v>
      </c>
      <c r="M24" s="1404">
        <f t="shared" si="6"/>
        <v>186.63356278178205</v>
      </c>
      <c r="N24" s="1275">
        <f t="shared" si="6"/>
        <v>187.1464231325912</v>
      </c>
      <c r="O24" s="1276">
        <f t="shared" si="6"/>
        <v>186.60573372992735</v>
      </c>
      <c r="P24" s="402">
        <f>AVERAGE(D24:O24)</f>
        <v>207.41050786984337</v>
      </c>
      <c r="Q24" s="96"/>
      <c r="R24" s="93">
        <f>P87</f>
        <v>99</v>
      </c>
      <c r="S24" s="111" t="e">
        <f>#REF!</f>
        <v>#REF!</v>
      </c>
      <c r="T24" s="111" t="e">
        <f>S24-R24</f>
        <v>#REF!</v>
      </c>
      <c r="U24" s="96"/>
    </row>
    <row r="25" spans="1:21" s="98" customFormat="1" ht="19.5" customHeight="1">
      <c r="A25" s="1288"/>
      <c r="B25" s="397" t="s">
        <v>784</v>
      </c>
      <c r="C25" s="1293"/>
      <c r="D25" s="1287">
        <v>301</v>
      </c>
      <c r="E25" s="1275">
        <f t="shared" ref="E25:O25" si="7">D25-D25*$C$30+E33</f>
        <v>309.57141369977097</v>
      </c>
      <c r="F25" s="1402">
        <f t="shared" si="7"/>
        <v>277.24785259828542</v>
      </c>
      <c r="G25" s="1404">
        <f t="shared" si="7"/>
        <v>258.29932083104825</v>
      </c>
      <c r="H25" s="1275">
        <f t="shared" si="7"/>
        <v>256.32927931600125</v>
      </c>
      <c r="I25" s="1276">
        <f t="shared" si="7"/>
        <v>253.56493753441168</v>
      </c>
      <c r="J25" s="1287">
        <f t="shared" si="7"/>
        <v>253.0892314812142</v>
      </c>
      <c r="K25" s="1275">
        <f t="shared" si="7"/>
        <v>253.66319575607804</v>
      </c>
      <c r="L25" s="1402">
        <f t="shared" si="7"/>
        <v>254.17723017796578</v>
      </c>
      <c r="M25" s="1404">
        <f t="shared" si="7"/>
        <v>253.63759225703097</v>
      </c>
      <c r="N25" s="1275">
        <f t="shared" si="7"/>
        <v>254.15430004031205</v>
      </c>
      <c r="O25" s="1276">
        <f t="shared" si="7"/>
        <v>253.61705634466006</v>
      </c>
      <c r="P25" s="402">
        <f>AVERAGE(D25:O25)</f>
        <v>264.86261750306488</v>
      </c>
      <c r="Q25" s="96"/>
      <c r="R25" s="93">
        <f>P88</f>
        <v>115</v>
      </c>
      <c r="S25" s="111" t="e">
        <f>#REF!</f>
        <v>#REF!</v>
      </c>
      <c r="T25" s="111" t="e">
        <f>S25-R25</f>
        <v>#REF!</v>
      </c>
      <c r="U25" s="96"/>
    </row>
    <row r="26" spans="1:21" s="98" customFormat="1" ht="19.5" customHeight="1">
      <c r="A26" s="1289"/>
      <c r="B26" s="449" t="s">
        <v>92</v>
      </c>
      <c r="C26" s="1293"/>
      <c r="D26" s="1281">
        <v>92</v>
      </c>
      <c r="E26" s="1275">
        <f t="shared" ref="E26:O26" si="8">D26-D26*$C$30+E34</f>
        <v>92.393920466375178</v>
      </c>
      <c r="F26" s="1402">
        <f t="shared" si="8"/>
        <v>87.746710157425113</v>
      </c>
      <c r="G26" s="1404">
        <f t="shared" si="8"/>
        <v>88.584733238010443</v>
      </c>
      <c r="H26" s="1275">
        <f t="shared" si="8"/>
        <v>89.335255053779292</v>
      </c>
      <c r="I26" s="1276">
        <f t="shared" si="8"/>
        <v>89.007411953743826</v>
      </c>
      <c r="J26" s="1287">
        <f t="shared" si="8"/>
        <v>88.713800232985434</v>
      </c>
      <c r="K26" s="1275">
        <f t="shared" si="8"/>
        <v>89.450845659418462</v>
      </c>
      <c r="L26" s="1402">
        <f t="shared" si="8"/>
        <v>89.110933292523114</v>
      </c>
      <c r="M26" s="1404">
        <f t="shared" si="8"/>
        <v>89.80651250422406</v>
      </c>
      <c r="N26" s="1275">
        <f t="shared" si="8"/>
        <v>89.429463572125712</v>
      </c>
      <c r="O26" s="1276">
        <f t="shared" si="8"/>
        <v>89.091783792525248</v>
      </c>
      <c r="P26" s="402">
        <f>AVERAGE(D26:O26)</f>
        <v>89.555947493594672</v>
      </c>
      <c r="Q26" s="96"/>
      <c r="R26" s="227"/>
      <c r="U26" s="96"/>
    </row>
    <row r="27" spans="1:21" s="98" customFormat="1" ht="19.5" customHeight="1" thickBot="1">
      <c r="A27" s="1290"/>
      <c r="B27" s="454" t="s">
        <v>352</v>
      </c>
      <c r="C27" s="818"/>
      <c r="D27" s="831">
        <f t="shared" ref="D27:O27" si="9">SUM(D22:D26)</f>
        <v>772</v>
      </c>
      <c r="E27" s="824">
        <f>SUM(E22:E26)</f>
        <v>770.5410160316469</v>
      </c>
      <c r="F27" s="1364">
        <f t="shared" si="9"/>
        <v>706.23437028110118</v>
      </c>
      <c r="G27" s="823">
        <f t="shared" si="9"/>
        <v>663.6422327220813</v>
      </c>
      <c r="H27" s="824">
        <f t="shared" si="9"/>
        <v>650.49730669457279</v>
      </c>
      <c r="I27" s="825">
        <f t="shared" si="9"/>
        <v>637.72489376362785</v>
      </c>
      <c r="J27" s="422">
        <f t="shared" si="9"/>
        <v>637.28609838106297</v>
      </c>
      <c r="K27" s="458">
        <f t="shared" si="9"/>
        <v>637.89311933919271</v>
      </c>
      <c r="L27" s="1365">
        <f t="shared" si="9"/>
        <v>638.43675886686174</v>
      </c>
      <c r="M27" s="457">
        <f t="shared" si="9"/>
        <v>637.92363486691772</v>
      </c>
      <c r="N27" s="458">
        <f t="shared" si="9"/>
        <v>638.46408814908318</v>
      </c>
      <c r="O27" s="459">
        <f t="shared" si="9"/>
        <v>636.94811059198025</v>
      </c>
      <c r="P27" s="426">
        <f>SUM(P23:P26)</f>
        <v>657.96596914067732</v>
      </c>
      <c r="Q27" s="96"/>
      <c r="R27" s="227"/>
      <c r="U27" s="96"/>
    </row>
    <row r="28" spans="1:21" s="98" customFormat="1" ht="19.5" customHeight="1" thickBot="1">
      <c r="A28" s="95"/>
      <c r="B28" s="96"/>
      <c r="C28" s="96"/>
      <c r="D28" s="463"/>
      <c r="E28" s="52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227"/>
      <c r="U28" s="96"/>
    </row>
    <row r="29" spans="1:21" s="98" customFormat="1" ht="19.5" customHeight="1" thickBot="1">
      <c r="A29" s="99" t="s">
        <v>941</v>
      </c>
      <c r="B29" s="1285" t="s">
        <v>794</v>
      </c>
      <c r="C29" s="1286" t="s">
        <v>910</v>
      </c>
      <c r="D29" s="384" t="s">
        <v>425</v>
      </c>
      <c r="E29" s="306" t="s">
        <v>545</v>
      </c>
      <c r="F29" s="307" t="s">
        <v>546</v>
      </c>
      <c r="G29" s="44" t="s">
        <v>426</v>
      </c>
      <c r="H29" s="306" t="s">
        <v>547</v>
      </c>
      <c r="I29" s="307" t="s">
        <v>548</v>
      </c>
      <c r="J29" s="384" t="s">
        <v>549</v>
      </c>
      <c r="K29" s="306" t="s">
        <v>550</v>
      </c>
      <c r="L29" s="307" t="s">
        <v>551</v>
      </c>
      <c r="M29" s="44" t="s">
        <v>552</v>
      </c>
      <c r="N29" s="306" t="s">
        <v>553</v>
      </c>
      <c r="O29" s="382" t="s">
        <v>554</v>
      </c>
      <c r="P29" s="385" t="s">
        <v>428</v>
      </c>
      <c r="Q29" s="96"/>
      <c r="R29" s="227"/>
      <c r="U29" s="96"/>
    </row>
    <row r="30" spans="1:21" s="98" customFormat="1" ht="19.5" customHeight="1" thickBot="1">
      <c r="B30" s="1384" t="s">
        <v>906</v>
      </c>
      <c r="C30" s="1388">
        <f>L98</f>
        <v>0.1044139079741828</v>
      </c>
      <c r="D30" s="1372">
        <f>_xlfn.CEILING.MATH(C36*$C30,1)</f>
        <v>87</v>
      </c>
      <c r="E30" s="1373">
        <f t="shared" ref="E30:O30" si="10">(D36-D22)*$C30</f>
        <v>79.45898396835311</v>
      </c>
      <c r="F30" s="1375">
        <f>(E36-E22)*$C30+53</f>
        <v>132.30664575054567</v>
      </c>
      <c r="G30" s="1376">
        <f t="shared" si="10"/>
        <v>67.058200436388148</v>
      </c>
      <c r="H30" s="1373">
        <f t="shared" si="10"/>
        <v>63.188808906334302</v>
      </c>
      <c r="I30" s="1375">
        <f t="shared" si="10"/>
        <v>62.333783366770142</v>
      </c>
      <c r="J30" s="1372">
        <f t="shared" si="10"/>
        <v>61.46362047723543</v>
      </c>
      <c r="K30" s="1373">
        <f t="shared" si="10"/>
        <v>61.832867683287155</v>
      </c>
      <c r="L30" s="1375">
        <f t="shared" si="10"/>
        <v>62.267974253520656</v>
      </c>
      <c r="M30" s="1376">
        <f t="shared" si="10"/>
        <v>62.657649646370835</v>
      </c>
      <c r="N30" s="1373">
        <f t="shared" si="10"/>
        <v>62.902223600637967</v>
      </c>
      <c r="O30" s="1374">
        <f t="shared" si="10"/>
        <v>63.225674540525546</v>
      </c>
      <c r="P30" s="1401">
        <f>SUM(D30:O30)</f>
        <v>865.69643262996897</v>
      </c>
      <c r="Q30" s="96"/>
      <c r="R30" s="227"/>
      <c r="U30" s="96"/>
    </row>
    <row r="31" spans="1:21" s="98" customFormat="1" ht="19.5" customHeight="1">
      <c r="A31" s="96"/>
      <c r="B31" s="1391" t="s">
        <v>909</v>
      </c>
      <c r="C31" s="781" t="s">
        <v>786</v>
      </c>
      <c r="D31" s="1399"/>
      <c r="E31" s="1392">
        <v>18</v>
      </c>
      <c r="F31" s="1395">
        <v>10</v>
      </c>
      <c r="G31" s="1396">
        <v>10</v>
      </c>
      <c r="H31" s="1394">
        <v>10</v>
      </c>
      <c r="I31" s="1395">
        <v>11</v>
      </c>
      <c r="J31" s="1393">
        <v>10</v>
      </c>
      <c r="K31" s="1394">
        <v>10</v>
      </c>
      <c r="L31" s="1395">
        <v>10</v>
      </c>
      <c r="M31" s="1396">
        <v>10</v>
      </c>
      <c r="N31" s="1394">
        <v>10</v>
      </c>
      <c r="O31" s="1392">
        <v>10</v>
      </c>
      <c r="P31" s="1397"/>
      <c r="Q31" s="96"/>
      <c r="R31" s="227"/>
      <c r="U31" s="96"/>
    </row>
    <row r="32" spans="1:21" s="98" customFormat="1" ht="19.5" customHeight="1">
      <c r="A32" s="96"/>
      <c r="B32" s="1366" t="s">
        <v>966</v>
      </c>
      <c r="C32" s="782" t="s">
        <v>785</v>
      </c>
      <c r="D32" s="1377">
        <v>20</v>
      </c>
      <c r="E32" s="1367">
        <v>10</v>
      </c>
      <c r="F32" s="1370">
        <v>0</v>
      </c>
      <c r="G32" s="1371">
        <v>0</v>
      </c>
      <c r="H32" s="1369">
        <v>10</v>
      </c>
      <c r="I32" s="1370">
        <v>10</v>
      </c>
      <c r="J32" s="1368">
        <v>20</v>
      </c>
      <c r="K32" s="1369">
        <v>19</v>
      </c>
      <c r="L32" s="1370">
        <v>20</v>
      </c>
      <c r="M32" s="1371">
        <v>19</v>
      </c>
      <c r="N32" s="1369">
        <v>20</v>
      </c>
      <c r="O32" s="1367">
        <v>19</v>
      </c>
      <c r="P32" s="1386"/>
      <c r="Q32" s="96"/>
      <c r="R32" s="227"/>
      <c r="U32" s="97"/>
    </row>
    <row r="33" spans="1:21" s="98" customFormat="1" ht="19.5" customHeight="1">
      <c r="A33" s="96"/>
      <c r="B33" s="1366"/>
      <c r="C33" s="782" t="s">
        <v>784</v>
      </c>
      <c r="D33" s="1377">
        <v>15</v>
      </c>
      <c r="E33" s="1367">
        <v>40</v>
      </c>
      <c r="F33" s="1370"/>
      <c r="G33" s="1371">
        <v>10</v>
      </c>
      <c r="H33" s="1369">
        <v>25</v>
      </c>
      <c r="I33" s="1370">
        <v>24</v>
      </c>
      <c r="J33" s="1368">
        <v>26</v>
      </c>
      <c r="K33" s="1369">
        <v>27</v>
      </c>
      <c r="L33" s="1370">
        <v>27</v>
      </c>
      <c r="M33" s="1371">
        <v>26</v>
      </c>
      <c r="N33" s="1369">
        <v>27</v>
      </c>
      <c r="O33" s="1367">
        <v>26</v>
      </c>
      <c r="P33" s="1386"/>
      <c r="Q33" s="96"/>
      <c r="R33" s="227"/>
      <c r="U33" s="96"/>
    </row>
    <row r="34" spans="1:21" s="98" customFormat="1" ht="19.5" customHeight="1" thickBot="1">
      <c r="A34" s="96"/>
      <c r="B34" s="1366"/>
      <c r="C34" s="1389" t="s">
        <v>92</v>
      </c>
      <c r="D34" s="1378"/>
      <c r="E34" s="1379">
        <v>10</v>
      </c>
      <c r="F34" s="1382">
        <v>5</v>
      </c>
      <c r="G34" s="1383">
        <v>10</v>
      </c>
      <c r="H34" s="1381">
        <v>10</v>
      </c>
      <c r="I34" s="1382">
        <v>9</v>
      </c>
      <c r="J34" s="1380">
        <v>9</v>
      </c>
      <c r="K34" s="1381">
        <v>10</v>
      </c>
      <c r="L34" s="1382">
        <v>9</v>
      </c>
      <c r="M34" s="1383">
        <v>10</v>
      </c>
      <c r="N34" s="1381">
        <v>9</v>
      </c>
      <c r="O34" s="1379">
        <v>9</v>
      </c>
      <c r="P34" s="1386"/>
      <c r="Q34" s="96"/>
      <c r="R34" s="227"/>
      <c r="U34" s="96"/>
    </row>
    <row r="35" spans="1:21" s="98" customFormat="1" ht="19.5" customHeight="1" thickBot="1">
      <c r="A35" s="96"/>
      <c r="B35" s="1385"/>
      <c r="C35" s="1398" t="s">
        <v>15</v>
      </c>
      <c r="D35" s="1380">
        <f>SUM(D31:D34)</f>
        <v>35</v>
      </c>
      <c r="E35" s="1383">
        <f>SUM(E31:E34)</f>
        <v>78</v>
      </c>
      <c r="F35" s="1390">
        <f t="shared" ref="F35:O35" si="11">SUM(F31:F34)</f>
        <v>15</v>
      </c>
      <c r="G35" s="1383">
        <f t="shared" si="11"/>
        <v>30</v>
      </c>
      <c r="H35" s="1383">
        <f t="shared" si="11"/>
        <v>55</v>
      </c>
      <c r="I35" s="1390">
        <f t="shared" si="11"/>
        <v>54</v>
      </c>
      <c r="J35" s="1380">
        <f t="shared" si="11"/>
        <v>65</v>
      </c>
      <c r="K35" s="1383">
        <f t="shared" si="11"/>
        <v>66</v>
      </c>
      <c r="L35" s="1390">
        <f t="shared" si="11"/>
        <v>66</v>
      </c>
      <c r="M35" s="1383">
        <f t="shared" si="11"/>
        <v>65</v>
      </c>
      <c r="N35" s="1383">
        <f t="shared" si="11"/>
        <v>66</v>
      </c>
      <c r="O35" s="1383">
        <f t="shared" si="11"/>
        <v>64</v>
      </c>
      <c r="P35" s="1400"/>
      <c r="Q35" s="96"/>
      <c r="R35" s="227"/>
      <c r="U35" s="96"/>
    </row>
    <row r="36" spans="1:21" s="98" customFormat="1" ht="19.5" customHeight="1" thickBot="1">
      <c r="A36" s="96"/>
      <c r="B36" s="1294" t="s">
        <v>908</v>
      </c>
      <c r="C36" s="1295">
        <v>824</v>
      </c>
      <c r="D36" s="1299">
        <f>D27</f>
        <v>772</v>
      </c>
      <c r="E36" s="1297">
        <f t="shared" ref="E36:O36" si="12">D36-E30+SUM(E31:E34)</f>
        <v>770.5410160316469</v>
      </c>
      <c r="F36" s="1300">
        <f t="shared" si="12"/>
        <v>653.23437028110129</v>
      </c>
      <c r="G36" s="1296">
        <f t="shared" si="12"/>
        <v>616.17616984471317</v>
      </c>
      <c r="H36" s="1297">
        <f t="shared" si="12"/>
        <v>607.98736093837886</v>
      </c>
      <c r="I36" s="1300">
        <f t="shared" si="12"/>
        <v>599.65357757160871</v>
      </c>
      <c r="J36" s="1299">
        <f>I36-J30+SUM(J31:J34)</f>
        <v>603.18995709437331</v>
      </c>
      <c r="K36" s="1297">
        <f t="shared" si="12"/>
        <v>607.35708941108612</v>
      </c>
      <c r="L36" s="1300">
        <f t="shared" si="12"/>
        <v>611.08911515756552</v>
      </c>
      <c r="M36" s="1296">
        <f t="shared" si="12"/>
        <v>613.43146551119469</v>
      </c>
      <c r="N36" s="1297">
        <f t="shared" si="12"/>
        <v>616.52924191055672</v>
      </c>
      <c r="O36" s="1298">
        <f t="shared" si="12"/>
        <v>617.30356737003115</v>
      </c>
      <c r="P36" s="1387"/>
      <c r="Q36" s="96"/>
      <c r="R36" s="227"/>
      <c r="U36" s="96"/>
    </row>
    <row r="37" spans="1:21" s="98" customFormat="1" ht="19.5" customHeight="1">
      <c r="A37" s="96"/>
      <c r="B37" s="96"/>
      <c r="C37" s="96"/>
      <c r="D37" s="1178" t="s">
        <v>905</v>
      </c>
      <c r="E37" s="96"/>
      <c r="G37" s="1406">
        <f>L98</f>
        <v>0.1044139079741828</v>
      </c>
      <c r="H37" s="96"/>
      <c r="I37" s="96"/>
      <c r="J37" s="96"/>
      <c r="K37" s="96"/>
      <c r="L37" s="96"/>
      <c r="M37" s="96"/>
      <c r="N37" s="96"/>
      <c r="O37" s="96"/>
      <c r="P37" s="97">
        <f>D36-O36</f>
        <v>154.69643262996885</v>
      </c>
      <c r="Q37" s="96"/>
      <c r="R37" s="227"/>
      <c r="U37" s="96"/>
    </row>
    <row r="38" spans="1:21" s="98" customFormat="1" ht="19.5" customHeight="1">
      <c r="A38" s="96"/>
      <c r="B38" s="96"/>
      <c r="C38" s="96"/>
      <c r="D38" s="96" t="s">
        <v>911</v>
      </c>
      <c r="E38" s="463"/>
      <c r="F38" s="463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227"/>
      <c r="U38" s="96"/>
    </row>
    <row r="39" spans="1:21" s="98" customFormat="1" ht="19.5" customHeight="1">
      <c r="A39" s="1244" t="s">
        <v>913</v>
      </c>
      <c r="C39" s="96"/>
      <c r="D39" s="463"/>
      <c r="E39" s="463"/>
      <c r="F39" s="96"/>
      <c r="G39" s="96"/>
      <c r="H39" s="96"/>
      <c r="I39" s="96"/>
      <c r="J39" s="96"/>
      <c r="K39" s="96"/>
      <c r="L39" s="96"/>
      <c r="M39" s="96"/>
      <c r="N39" s="96"/>
      <c r="O39" s="96"/>
      <c r="Q39" s="96"/>
      <c r="R39" s="227"/>
      <c r="U39" s="96"/>
    </row>
    <row r="40" spans="1:21" s="98" customFormat="1" ht="19.5" customHeight="1">
      <c r="A40" s="1244" t="s">
        <v>920</v>
      </c>
      <c r="C40" s="96"/>
      <c r="D40" s="463"/>
      <c r="E40" s="463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9"/>
      <c r="Q40" s="96"/>
      <c r="R40" s="227"/>
      <c r="U40" s="96"/>
    </row>
    <row r="41" spans="1:21" s="98" customFormat="1" ht="19.5" customHeight="1" thickBot="1">
      <c r="A41" s="96" t="s">
        <v>921</v>
      </c>
      <c r="C41" s="96"/>
      <c r="D41" s="463"/>
      <c r="E41" s="463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9" t="s">
        <v>349</v>
      </c>
      <c r="Q41" s="96"/>
      <c r="R41" s="227"/>
      <c r="U41" s="96"/>
    </row>
    <row r="42" spans="1:21" s="98" customFormat="1" ht="19.5" customHeight="1" thickBot="1">
      <c r="A42" s="48" t="s">
        <v>111</v>
      </c>
      <c r="B42" s="382" t="s">
        <v>123</v>
      </c>
      <c r="C42" s="383" t="s">
        <v>308</v>
      </c>
      <c r="D42" s="44" t="s">
        <v>425</v>
      </c>
      <c r="E42" s="306" t="s">
        <v>545</v>
      </c>
      <c r="F42" s="382" t="s">
        <v>546</v>
      </c>
      <c r="G42" s="384" t="s">
        <v>426</v>
      </c>
      <c r="H42" s="306" t="s">
        <v>547</v>
      </c>
      <c r="I42" s="307" t="s">
        <v>548</v>
      </c>
      <c r="J42" s="44" t="s">
        <v>549</v>
      </c>
      <c r="K42" s="306" t="s">
        <v>550</v>
      </c>
      <c r="L42" s="382" t="s">
        <v>551</v>
      </c>
      <c r="M42" s="384" t="s">
        <v>552</v>
      </c>
      <c r="N42" s="306" t="s">
        <v>553</v>
      </c>
      <c r="O42" s="307" t="s">
        <v>554</v>
      </c>
      <c r="P42" s="385" t="s">
        <v>428</v>
      </c>
      <c r="Q42" s="96"/>
      <c r="R42" s="227"/>
      <c r="U42" s="96"/>
    </row>
    <row r="43" spans="1:21" s="98" customFormat="1" ht="19.5" customHeight="1">
      <c r="A43" s="1288" t="s">
        <v>821</v>
      </c>
      <c r="B43" s="397" t="s">
        <v>797</v>
      </c>
      <c r="C43" s="1293"/>
      <c r="D43" s="1428">
        <v>11</v>
      </c>
      <c r="E43" s="1429">
        <v>11</v>
      </c>
      <c r="F43" s="1430">
        <v>11</v>
      </c>
      <c r="G43" s="1461">
        <v>11</v>
      </c>
      <c r="H43" s="1411">
        <v>11</v>
      </c>
      <c r="I43" s="1462">
        <v>11</v>
      </c>
      <c r="J43" s="1432">
        <v>11</v>
      </c>
      <c r="K43" s="1433">
        <v>11</v>
      </c>
      <c r="L43" s="1434">
        <v>11</v>
      </c>
      <c r="M43" s="1463">
        <v>11</v>
      </c>
      <c r="N43" s="1415">
        <v>11</v>
      </c>
      <c r="O43" s="1416">
        <v>11</v>
      </c>
      <c r="P43" s="1417">
        <f>AVERAGE(D43:O43)</f>
        <v>11</v>
      </c>
      <c r="Q43" s="96"/>
      <c r="R43" s="227"/>
      <c r="U43" s="96"/>
    </row>
    <row r="44" spans="1:21" s="98" customFormat="1" ht="19.5" customHeight="1">
      <c r="A44" s="1288"/>
      <c r="B44" s="397" t="s">
        <v>786</v>
      </c>
      <c r="C44" s="1293"/>
      <c r="D44" s="1410">
        <v>81.145196636349581</v>
      </c>
      <c r="E44" s="1464">
        <v>82.936728278739011</v>
      </c>
      <c r="F44" s="1465">
        <v>90.023779631291347</v>
      </c>
      <c r="G44" s="1464">
        <v>92.220063676650412</v>
      </c>
      <c r="H44" s="1464">
        <v>89.643438255295194</v>
      </c>
      <c r="I44" s="1461">
        <v>84.393215880502879</v>
      </c>
      <c r="J44" s="1410">
        <v>80.831555154831051</v>
      </c>
      <c r="K44" s="1464">
        <v>84.104358775807242</v>
      </c>
      <c r="L44" s="1465">
        <v>96.844379600650655</v>
      </c>
      <c r="M44" s="1464">
        <v>92.276823666069959</v>
      </c>
      <c r="N44" s="1464">
        <v>89.406499181072419</v>
      </c>
      <c r="O44" s="1464">
        <v>83.679868902940228</v>
      </c>
      <c r="P44" s="1417">
        <f>AVERAGE(D44:O44)</f>
        <v>87.292158970016658</v>
      </c>
      <c r="Q44" s="96"/>
      <c r="R44" s="227"/>
      <c r="U44" s="96"/>
    </row>
    <row r="45" spans="1:21" s="98" customFormat="1" ht="19.5" customHeight="1">
      <c r="A45" s="1288"/>
      <c r="B45" s="397" t="s">
        <v>785</v>
      </c>
      <c r="C45" s="1293"/>
      <c r="D45" s="1410">
        <v>331.08716080027534</v>
      </c>
      <c r="E45" s="1464">
        <v>307.45201678323872</v>
      </c>
      <c r="F45" s="1465">
        <v>293.4363405694138</v>
      </c>
      <c r="G45" s="1464">
        <v>305.07234307322705</v>
      </c>
      <c r="H45" s="1464">
        <v>288.32773820132945</v>
      </c>
      <c r="I45" s="1461">
        <v>260.09306585519823</v>
      </c>
      <c r="J45" s="1410">
        <v>237.86007472561562</v>
      </c>
      <c r="K45" s="1464">
        <v>256.88458947295499</v>
      </c>
      <c r="L45" s="1465">
        <v>301.94508930145389</v>
      </c>
      <c r="M45" s="1464">
        <v>286.65220230460341</v>
      </c>
      <c r="N45" s="1464">
        <v>267.9345458178301</v>
      </c>
      <c r="O45" s="1464">
        <v>250.81018995909415</v>
      </c>
      <c r="P45" s="1417">
        <f>AVERAGE(D45:O45)</f>
        <v>282.29627973868622</v>
      </c>
      <c r="Q45" s="96"/>
      <c r="R45" s="227"/>
      <c r="U45" s="96"/>
    </row>
    <row r="46" spans="1:21" s="98" customFormat="1" ht="19.5" customHeight="1">
      <c r="A46" s="1288"/>
      <c r="B46" s="397" t="s">
        <v>784</v>
      </c>
      <c r="C46" s="1293"/>
      <c r="D46" s="1410">
        <v>389.73279012687135</v>
      </c>
      <c r="E46" s="1464">
        <v>349.87343976037079</v>
      </c>
      <c r="F46" s="1465">
        <v>364.20043068102473</v>
      </c>
      <c r="G46" s="1464">
        <v>380.03061485095333</v>
      </c>
      <c r="H46" s="1464">
        <v>365.35338732484024</v>
      </c>
      <c r="I46" s="1461">
        <v>325.83149628320189</v>
      </c>
      <c r="J46" s="1410">
        <v>309.08917208603214</v>
      </c>
      <c r="K46" s="1464">
        <v>310.35807053677951</v>
      </c>
      <c r="L46" s="1465">
        <v>390.69399938888938</v>
      </c>
      <c r="M46" s="1464">
        <v>362.10424435437267</v>
      </c>
      <c r="N46" s="1464">
        <v>346.11526594369116</v>
      </c>
      <c r="O46" s="1464">
        <v>314.37209232570706</v>
      </c>
      <c r="P46" s="1417">
        <f>AVERAGE(D46:O46)</f>
        <v>350.64625030522785</v>
      </c>
      <c r="Q46" s="96"/>
      <c r="R46" s="227"/>
      <c r="U46" s="96"/>
    </row>
    <row r="47" spans="1:21" s="98" customFormat="1" ht="19.5" customHeight="1">
      <c r="A47" s="1289"/>
      <c r="B47" s="449" t="s">
        <v>92</v>
      </c>
      <c r="C47" s="1293"/>
      <c r="D47" s="1410">
        <v>78</v>
      </c>
      <c r="E47" s="1464">
        <v>57</v>
      </c>
      <c r="F47" s="1465">
        <v>65</v>
      </c>
      <c r="G47" s="1464">
        <v>73</v>
      </c>
      <c r="H47" s="1464">
        <v>66</v>
      </c>
      <c r="I47" s="1461">
        <v>67</v>
      </c>
      <c r="J47" s="1410">
        <v>55</v>
      </c>
      <c r="K47" s="1464">
        <v>46</v>
      </c>
      <c r="L47" s="1465">
        <v>35</v>
      </c>
      <c r="M47" s="1464">
        <v>36</v>
      </c>
      <c r="N47" s="1464">
        <v>35</v>
      </c>
      <c r="O47" s="1464">
        <v>31</v>
      </c>
      <c r="P47" s="1417">
        <f>AVERAGE(D47:O47)</f>
        <v>53.666666666666664</v>
      </c>
      <c r="Q47" s="96"/>
      <c r="R47" s="227"/>
      <c r="U47" s="96"/>
    </row>
    <row r="48" spans="1:21" s="98" customFormat="1" ht="19.5" customHeight="1" thickBot="1">
      <c r="A48" s="1290"/>
      <c r="B48" s="454" t="s">
        <v>352</v>
      </c>
      <c r="C48" s="818"/>
      <c r="D48" s="1421">
        <f>SUM(D43:D47)</f>
        <v>890.9651475634962</v>
      </c>
      <c r="E48" s="1422">
        <f>SUM(E43:E47)</f>
        <v>808.26218482234844</v>
      </c>
      <c r="F48" s="1423">
        <f t="shared" ref="F48:O48" si="13">SUM(F43:F47)</f>
        <v>823.66055088172993</v>
      </c>
      <c r="G48" s="1466">
        <f t="shared" si="13"/>
        <v>861.32302160083077</v>
      </c>
      <c r="H48" s="1422">
        <f t="shared" si="13"/>
        <v>820.32456378146492</v>
      </c>
      <c r="I48" s="1467">
        <f t="shared" si="13"/>
        <v>748.31777801890303</v>
      </c>
      <c r="J48" s="1424">
        <f t="shared" si="13"/>
        <v>693.78080196647875</v>
      </c>
      <c r="K48" s="1425">
        <f t="shared" si="13"/>
        <v>708.34701878554165</v>
      </c>
      <c r="L48" s="1426">
        <f t="shared" si="13"/>
        <v>835.48346829099387</v>
      </c>
      <c r="M48" s="1468">
        <f t="shared" si="13"/>
        <v>788.03327032504603</v>
      </c>
      <c r="N48" s="1425">
        <f t="shared" si="13"/>
        <v>749.45631094259375</v>
      </c>
      <c r="O48" s="1426">
        <f t="shared" si="13"/>
        <v>690.86215118774146</v>
      </c>
      <c r="P48" s="1427">
        <f>SUM(P44:P47)</f>
        <v>773.90135568059736</v>
      </c>
      <c r="Q48" s="96"/>
      <c r="R48" s="227"/>
      <c r="U48" s="96"/>
    </row>
    <row r="49" spans="1:21" s="98" customFormat="1" ht="19.5" customHeight="1">
      <c r="B49" s="96"/>
      <c r="C49" s="96"/>
      <c r="D49" s="1282" t="s">
        <v>903</v>
      </c>
      <c r="E49" s="463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227"/>
      <c r="U49" s="96"/>
    </row>
    <row r="50" spans="1:21" s="98" customFormat="1" ht="19.5" customHeight="1">
      <c r="A50" s="1282"/>
      <c r="B50" s="96"/>
      <c r="C50" s="96"/>
      <c r="E50" s="463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227"/>
      <c r="U50" s="96"/>
    </row>
    <row r="51" spans="1:21" s="98" customFormat="1" ht="19.5" customHeight="1" thickBot="1">
      <c r="A51" s="1244" t="s">
        <v>914</v>
      </c>
      <c r="B51" s="96" t="s">
        <v>915</v>
      </c>
      <c r="C51" s="96"/>
      <c r="D51" s="526"/>
      <c r="E51" s="526"/>
      <c r="F51" s="526"/>
      <c r="G51" s="526"/>
      <c r="H51" s="526"/>
      <c r="I51" s="526"/>
      <c r="J51" s="526"/>
      <c r="K51" s="526"/>
      <c r="L51" s="526"/>
      <c r="M51" s="526"/>
      <c r="N51" s="526"/>
      <c r="O51" s="526"/>
      <c r="P51" s="99" t="s">
        <v>349</v>
      </c>
      <c r="Q51" s="96"/>
      <c r="R51" s="227"/>
      <c r="U51" s="96"/>
    </row>
    <row r="52" spans="1:21" s="98" customFormat="1" ht="19.5" customHeight="1" thickBot="1">
      <c r="A52" s="382" t="s">
        <v>111</v>
      </c>
      <c r="B52" s="382" t="s">
        <v>123</v>
      </c>
      <c r="C52" s="446" t="s">
        <v>308</v>
      </c>
      <c r="D52" s="384" t="s">
        <v>425</v>
      </c>
      <c r="E52" s="306" t="s">
        <v>545</v>
      </c>
      <c r="F52" s="307" t="s">
        <v>546</v>
      </c>
      <c r="G52" s="384" t="s">
        <v>426</v>
      </c>
      <c r="H52" s="306" t="s">
        <v>547</v>
      </c>
      <c r="I52" s="307" t="s">
        <v>548</v>
      </c>
      <c r="J52" s="384" t="s">
        <v>549</v>
      </c>
      <c r="K52" s="306" t="s">
        <v>550</v>
      </c>
      <c r="L52" s="307" t="s">
        <v>551</v>
      </c>
      <c r="M52" s="384" t="s">
        <v>552</v>
      </c>
      <c r="N52" s="306" t="s">
        <v>553</v>
      </c>
      <c r="O52" s="307" t="s">
        <v>554</v>
      </c>
      <c r="P52" s="385" t="s">
        <v>428</v>
      </c>
      <c r="Q52" s="96"/>
      <c r="R52" s="227"/>
      <c r="U52" s="96"/>
    </row>
    <row r="53" spans="1:21" s="98" customFormat="1" ht="19.5" customHeight="1">
      <c r="A53" s="397" t="s">
        <v>821</v>
      </c>
      <c r="B53" s="397" t="s">
        <v>797</v>
      </c>
      <c r="C53" s="396"/>
      <c r="D53" s="1410">
        <f t="shared" ref="D53:O53" si="14">D43-D22</f>
        <v>0</v>
      </c>
      <c r="E53" s="1411">
        <f t="shared" si="14"/>
        <v>0</v>
      </c>
      <c r="F53" s="1412">
        <f t="shared" si="14"/>
        <v>0</v>
      </c>
      <c r="G53" s="1413">
        <f t="shared" si="14"/>
        <v>0</v>
      </c>
      <c r="H53" s="1411">
        <f t="shared" si="14"/>
        <v>0</v>
      </c>
      <c r="I53" s="1412">
        <f t="shared" si="14"/>
        <v>0</v>
      </c>
      <c r="J53" s="1414">
        <f t="shared" si="14"/>
        <v>0</v>
      </c>
      <c r="K53" s="1415">
        <f t="shared" si="14"/>
        <v>0</v>
      </c>
      <c r="L53" s="1416">
        <f t="shared" si="14"/>
        <v>0</v>
      </c>
      <c r="M53" s="1414">
        <f t="shared" si="14"/>
        <v>0</v>
      </c>
      <c r="N53" s="1415">
        <f t="shared" si="14"/>
        <v>0</v>
      </c>
      <c r="O53" s="1416">
        <f t="shared" si="14"/>
        <v>0</v>
      </c>
      <c r="P53" s="1417">
        <f>AVERAGE(D53:O53)</f>
        <v>0</v>
      </c>
      <c r="Q53" s="96"/>
      <c r="R53" s="227"/>
      <c r="U53" s="96"/>
    </row>
    <row r="54" spans="1:21" s="98" customFormat="1" ht="19.5" customHeight="1">
      <c r="A54" s="397"/>
      <c r="B54" s="397" t="s">
        <v>786</v>
      </c>
      <c r="C54" s="396"/>
      <c r="D54" s="1410">
        <f t="shared" ref="D54:O54" si="15">D44-D23</f>
        <v>-6.8548033636504186</v>
      </c>
      <c r="E54" s="1411">
        <f t="shared" si="15"/>
        <v>-13.874847819532903</v>
      </c>
      <c r="F54" s="1412">
        <f t="shared" si="15"/>
        <v>-6.6793214694200032</v>
      </c>
      <c r="G54" s="1413">
        <f t="shared" si="15"/>
        <v>-4.3858887249131726</v>
      </c>
      <c r="H54" s="1411">
        <f t="shared" si="15"/>
        <v>-6.8755091224532521</v>
      </c>
      <c r="I54" s="1412">
        <f t="shared" si="15"/>
        <v>-13.047811007980343</v>
      </c>
      <c r="J54" s="1414">
        <f t="shared" si="15"/>
        <v>-16.435273319208207</v>
      </c>
      <c r="K54" s="1415">
        <f t="shared" si="15"/>
        <v>-13.006460021003051</v>
      </c>
      <c r="L54" s="1416">
        <f t="shared" si="15"/>
        <v>-0.12671909901195022</v>
      </c>
      <c r="M54" s="1414">
        <f t="shared" si="15"/>
        <v>-4.5691436578106845</v>
      </c>
      <c r="N54" s="1415">
        <f t="shared" si="15"/>
        <v>-7.3274022229818314</v>
      </c>
      <c r="O54" s="1416">
        <f t="shared" si="15"/>
        <v>-12.953667821927425</v>
      </c>
      <c r="P54" s="1417">
        <f>AVERAGE(D54:O54)</f>
        <v>-8.8447373041577695</v>
      </c>
      <c r="Q54" s="96"/>
      <c r="R54" s="227"/>
      <c r="U54" s="96"/>
    </row>
    <row r="55" spans="1:21" s="98" customFormat="1" ht="19.5" customHeight="1">
      <c r="A55" s="397"/>
      <c r="B55" s="397" t="s">
        <v>785</v>
      </c>
      <c r="C55" s="396"/>
      <c r="D55" s="1410">
        <f t="shared" ref="D55:O55" si="16">D45-D24</f>
        <v>51.087160800275342</v>
      </c>
      <c r="E55" s="1411">
        <f t="shared" si="16"/>
        <v>46.687911016009934</v>
      </c>
      <c r="F55" s="1412">
        <f t="shared" si="16"/>
        <v>59.899634144734506</v>
      </c>
      <c r="G55" s="1413">
        <f t="shared" si="16"/>
        <v>95.920116821767976</v>
      </c>
      <c r="H55" s="1411">
        <f t="shared" si="16"/>
        <v>91.013913254285683</v>
      </c>
      <c r="I55" s="1412">
        <f t="shared" si="16"/>
        <v>73.381548468209104</v>
      </c>
      <c r="J55" s="1414">
        <f t="shared" si="16"/>
        <v>50.643836532791596</v>
      </c>
      <c r="K55" s="1415">
        <f t="shared" si="16"/>
        <v>70.216330346069185</v>
      </c>
      <c r="L55" s="1416">
        <f t="shared" si="16"/>
        <v>114.76759260474364</v>
      </c>
      <c r="M55" s="1414">
        <f t="shared" si="16"/>
        <v>100.01863952282136</v>
      </c>
      <c r="N55" s="1415">
        <f t="shared" si="16"/>
        <v>80.788122685238903</v>
      </c>
      <c r="O55" s="1416">
        <f t="shared" si="16"/>
        <v>64.204456229166794</v>
      </c>
      <c r="P55" s="1417">
        <f>AVERAGE(D55:O55)</f>
        <v>74.885771868842838</v>
      </c>
      <c r="Q55" s="96"/>
      <c r="R55" s="227"/>
      <c r="U55" s="96"/>
    </row>
    <row r="56" spans="1:21" s="98" customFormat="1" ht="19.5" customHeight="1">
      <c r="A56" s="397"/>
      <c r="B56" s="397" t="s">
        <v>784</v>
      </c>
      <c r="C56" s="396"/>
      <c r="D56" s="1410">
        <f t="shared" ref="D56:O56" si="17">D46-D25</f>
        <v>88.73279012687135</v>
      </c>
      <c r="E56" s="1411">
        <f t="shared" si="17"/>
        <v>40.302026060599815</v>
      </c>
      <c r="F56" s="1412">
        <f t="shared" si="17"/>
        <v>86.952578082739308</v>
      </c>
      <c r="G56" s="1413">
        <f t="shared" si="17"/>
        <v>121.73129401990508</v>
      </c>
      <c r="H56" s="1411">
        <f t="shared" si="17"/>
        <v>109.02410800883899</v>
      </c>
      <c r="I56" s="1412">
        <f t="shared" si="17"/>
        <v>72.266558748790203</v>
      </c>
      <c r="J56" s="1414">
        <f t="shared" si="17"/>
        <v>55.999940604817937</v>
      </c>
      <c r="K56" s="1415">
        <f t="shared" si="17"/>
        <v>56.694874780701468</v>
      </c>
      <c r="L56" s="1416">
        <f t="shared" si="17"/>
        <v>136.5167692109236</v>
      </c>
      <c r="M56" s="1414">
        <f>M46-M25</f>
        <v>108.46665209734169</v>
      </c>
      <c r="N56" s="1415">
        <f t="shared" si="17"/>
        <v>91.960965903379105</v>
      </c>
      <c r="O56" s="1416">
        <f t="shared" si="17"/>
        <v>60.755035981047001</v>
      </c>
      <c r="P56" s="1417">
        <f>AVERAGE(D56:O56)</f>
        <v>85.78363280216297</v>
      </c>
      <c r="Q56" s="96"/>
      <c r="R56" s="227"/>
      <c r="U56" s="96"/>
    </row>
    <row r="57" spans="1:21" s="98" customFormat="1" ht="19.5" customHeight="1">
      <c r="A57" s="449"/>
      <c r="B57" s="449" t="s">
        <v>92</v>
      </c>
      <c r="C57" s="396"/>
      <c r="D57" s="1410">
        <f t="shared" ref="D57:O57" si="18">D47-D26</f>
        <v>-14</v>
      </c>
      <c r="E57" s="1418">
        <f t="shared" si="18"/>
        <v>-35.393920466375178</v>
      </c>
      <c r="F57" s="1419">
        <f t="shared" si="18"/>
        <v>-22.746710157425113</v>
      </c>
      <c r="G57" s="1420">
        <f t="shared" si="18"/>
        <v>-15.584733238010443</v>
      </c>
      <c r="H57" s="1418">
        <f t="shared" si="18"/>
        <v>-23.335255053779292</v>
      </c>
      <c r="I57" s="1419">
        <f t="shared" si="18"/>
        <v>-22.007411953743826</v>
      </c>
      <c r="J57" s="1420">
        <f t="shared" si="18"/>
        <v>-33.713800232985434</v>
      </c>
      <c r="K57" s="1418">
        <f t="shared" si="18"/>
        <v>-43.450845659418462</v>
      </c>
      <c r="L57" s="1419">
        <f t="shared" si="18"/>
        <v>-54.110933292523114</v>
      </c>
      <c r="M57" s="1420">
        <f t="shared" si="18"/>
        <v>-53.80651250422406</v>
      </c>
      <c r="N57" s="1418">
        <f t="shared" si="18"/>
        <v>-54.429463572125712</v>
      </c>
      <c r="O57" s="1419">
        <f t="shared" si="18"/>
        <v>-58.091783792525248</v>
      </c>
      <c r="P57" s="1417">
        <f>AVERAGE(D57:O57)</f>
        <v>-35.889280826927987</v>
      </c>
      <c r="Q57" s="96"/>
      <c r="R57" s="227"/>
      <c r="U57" s="96"/>
    </row>
    <row r="58" spans="1:21" s="98" customFormat="1" ht="19.5" customHeight="1" thickBot="1">
      <c r="A58" s="454"/>
      <c r="B58" s="454" t="s">
        <v>352</v>
      </c>
      <c r="C58" s="455"/>
      <c r="D58" s="1421">
        <f>SUM(D53:D57)</f>
        <v>118.96514756349626</v>
      </c>
      <c r="E58" s="1422">
        <f>SUM(E53:E57)</f>
        <v>37.721168790701668</v>
      </c>
      <c r="F58" s="1423">
        <f t="shared" ref="F58:O58" si="19">SUM(F53:F57)</f>
        <v>117.42618060062871</v>
      </c>
      <c r="G58" s="1421">
        <f t="shared" si="19"/>
        <v>197.68078887874944</v>
      </c>
      <c r="H58" s="1422">
        <f t="shared" si="19"/>
        <v>169.82725708689213</v>
      </c>
      <c r="I58" s="1423">
        <f t="shared" si="19"/>
        <v>110.59288425527512</v>
      </c>
      <c r="J58" s="1424">
        <f t="shared" si="19"/>
        <v>56.494703585415891</v>
      </c>
      <c r="K58" s="1425">
        <f t="shared" si="19"/>
        <v>70.453899446349141</v>
      </c>
      <c r="L58" s="1426">
        <f t="shared" si="19"/>
        <v>197.04670942413219</v>
      </c>
      <c r="M58" s="1424">
        <f t="shared" si="19"/>
        <v>150.10963545812831</v>
      </c>
      <c r="N58" s="1425">
        <f t="shared" si="19"/>
        <v>110.99222279351045</v>
      </c>
      <c r="O58" s="1426">
        <f t="shared" si="19"/>
        <v>53.914040595761122</v>
      </c>
      <c r="P58" s="1427">
        <f>SUM(P54:P57)</f>
        <v>115.93538653992003</v>
      </c>
      <c r="Q58" s="96"/>
      <c r="R58" s="227"/>
      <c r="U58" s="96"/>
    </row>
    <row r="59" spans="1:21" s="98" customFormat="1" ht="19.5" customHeight="1">
      <c r="A59" s="95"/>
      <c r="B59" s="96"/>
      <c r="C59" s="96"/>
      <c r="D59" s="463"/>
      <c r="E59" s="463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227"/>
      <c r="U59" s="96"/>
    </row>
    <row r="60" spans="1:21" s="98" customFormat="1" ht="19.5" customHeight="1" thickBot="1">
      <c r="A60" s="113" t="s">
        <v>918</v>
      </c>
      <c r="B60" s="96"/>
      <c r="C60" s="96"/>
      <c r="D60" s="463"/>
      <c r="E60" s="463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9" t="s">
        <v>916</v>
      </c>
      <c r="Q60" s="96"/>
      <c r="R60" s="227"/>
      <c r="U60" s="96"/>
    </row>
    <row r="61" spans="1:21" s="98" customFormat="1" ht="19.5" customHeight="1" thickBot="1">
      <c r="A61" s="382" t="s">
        <v>111</v>
      </c>
      <c r="B61" s="382" t="s">
        <v>123</v>
      </c>
      <c r="C61" s="446" t="s">
        <v>308</v>
      </c>
      <c r="D61" s="384" t="s">
        <v>425</v>
      </c>
      <c r="E61" s="306" t="s">
        <v>545</v>
      </c>
      <c r="F61" s="307" t="s">
        <v>546</v>
      </c>
      <c r="G61" s="384" t="s">
        <v>426</v>
      </c>
      <c r="H61" s="306" t="s">
        <v>547</v>
      </c>
      <c r="I61" s="307" t="s">
        <v>548</v>
      </c>
      <c r="J61" s="384" t="s">
        <v>549</v>
      </c>
      <c r="K61" s="306" t="s">
        <v>550</v>
      </c>
      <c r="L61" s="307" t="s">
        <v>551</v>
      </c>
      <c r="M61" s="384" t="s">
        <v>552</v>
      </c>
      <c r="N61" s="306" t="s">
        <v>553</v>
      </c>
      <c r="O61" s="307" t="s">
        <v>554</v>
      </c>
      <c r="P61" s="385" t="s">
        <v>428</v>
      </c>
      <c r="Q61" s="96"/>
      <c r="R61" s="227"/>
      <c r="U61" s="96"/>
    </row>
    <row r="62" spans="1:21" s="98" customFormat="1" ht="19.5" customHeight="1">
      <c r="A62" s="397" t="s">
        <v>821</v>
      </c>
      <c r="B62" s="397" t="s">
        <v>797</v>
      </c>
      <c r="C62" s="420"/>
      <c r="D62" s="1428"/>
      <c r="E62" s="1429"/>
      <c r="F62" s="1430"/>
      <c r="G62" s="1431"/>
      <c r="H62" s="1429"/>
      <c r="I62" s="1430"/>
      <c r="J62" s="1432"/>
      <c r="K62" s="1433"/>
      <c r="L62" s="1434"/>
      <c r="M62" s="1432"/>
      <c r="N62" s="1433"/>
      <c r="O62" s="1434"/>
      <c r="P62" s="1417">
        <f>IFERROR(AVERAGE(D62:O62),0)</f>
        <v>0</v>
      </c>
      <c r="Q62" s="96"/>
      <c r="R62" s="227"/>
      <c r="U62" s="96"/>
    </row>
    <row r="63" spans="1:21" s="98" customFormat="1" ht="19.5" customHeight="1">
      <c r="A63" s="397"/>
      <c r="B63" s="397" t="s">
        <v>786</v>
      </c>
      <c r="C63" s="420"/>
      <c r="D63" s="1410">
        <f>D54*10*D$12</f>
        <v>-1370.9606727300838</v>
      </c>
      <c r="E63" s="1411">
        <f t="shared" ref="E63:O63" si="20">E54*10*E$12</f>
        <v>-3191.2149984925677</v>
      </c>
      <c r="F63" s="1412">
        <f t="shared" si="20"/>
        <v>-1736.6235820492009</v>
      </c>
      <c r="G63" s="1413">
        <f t="shared" si="20"/>
        <v>-1052.6132939791614</v>
      </c>
      <c r="H63" s="1411">
        <f t="shared" si="20"/>
        <v>-1718.8772806133129</v>
      </c>
      <c r="I63" s="1412">
        <f t="shared" si="20"/>
        <v>-3261.9527519950857</v>
      </c>
      <c r="J63" s="1414">
        <f t="shared" si="20"/>
        <v>-4437.5237961862158</v>
      </c>
      <c r="K63" s="1415">
        <f t="shared" si="20"/>
        <v>-3381.679605460793</v>
      </c>
      <c r="L63" s="1416">
        <f t="shared" si="20"/>
        <v>-29.145392772748551</v>
      </c>
      <c r="M63" s="1414">
        <f t="shared" si="20"/>
        <v>-1187.977351030778</v>
      </c>
      <c r="N63" s="1415">
        <f t="shared" si="20"/>
        <v>-1831.8505557454578</v>
      </c>
      <c r="O63" s="1416">
        <f t="shared" si="20"/>
        <v>-3367.9536337011305</v>
      </c>
      <c r="P63" s="1417">
        <f>AVERAGE(D63:O63)</f>
        <v>-2214.0310762297113</v>
      </c>
      <c r="Q63" s="96"/>
      <c r="R63" s="227"/>
      <c r="U63" s="96"/>
    </row>
    <row r="64" spans="1:21" s="98" customFormat="1" ht="19.5" customHeight="1">
      <c r="A64" s="397"/>
      <c r="B64" s="397" t="s">
        <v>785</v>
      </c>
      <c r="C64" s="420"/>
      <c r="D64" s="1410">
        <f>D55*10*D$12</f>
        <v>10217.432160055068</v>
      </c>
      <c r="E64" s="1411">
        <f t="shared" ref="E64:O64" si="21">E55*10*E$12</f>
        <v>10738.219533682284</v>
      </c>
      <c r="F64" s="1412">
        <f t="shared" si="21"/>
        <v>15573.90487763097</v>
      </c>
      <c r="G64" s="1413">
        <f t="shared" si="21"/>
        <v>23020.828037224313</v>
      </c>
      <c r="H64" s="1411">
        <f t="shared" si="21"/>
        <v>22753.478313571421</v>
      </c>
      <c r="I64" s="1412">
        <f t="shared" si="21"/>
        <v>18345.387117052276</v>
      </c>
      <c r="J64" s="1414">
        <f t="shared" si="21"/>
        <v>13673.83586385373</v>
      </c>
      <c r="K64" s="1415">
        <f t="shared" si="21"/>
        <v>18256.245889977989</v>
      </c>
      <c r="L64" s="1416">
        <f t="shared" si="21"/>
        <v>26396.546299091038</v>
      </c>
      <c r="M64" s="1414">
        <f t="shared" si="21"/>
        <v>26004.846275933553</v>
      </c>
      <c r="N64" s="1415">
        <f t="shared" si="21"/>
        <v>20197.030671309727</v>
      </c>
      <c r="O64" s="1416">
        <f t="shared" si="21"/>
        <v>16693.158619583366</v>
      </c>
      <c r="P64" s="1417">
        <f>AVERAGE(D64:O64)</f>
        <v>18489.242804913814</v>
      </c>
      <c r="Q64" s="96"/>
      <c r="R64" s="227"/>
      <c r="U64" s="96"/>
    </row>
    <row r="65" spans="1:21" s="98" customFormat="1" ht="19.5" customHeight="1">
      <c r="A65" s="397"/>
      <c r="B65" s="397" t="s">
        <v>784</v>
      </c>
      <c r="C65" s="420"/>
      <c r="D65" s="1410">
        <f>D56*10*D$12</f>
        <v>17746.55802537427</v>
      </c>
      <c r="E65" s="1411">
        <f t="shared" ref="E65:O65" si="22">E56*10*E$12</f>
        <v>9269.465993937958</v>
      </c>
      <c r="F65" s="1412">
        <f t="shared" si="22"/>
        <v>22607.670301512218</v>
      </c>
      <c r="G65" s="1413">
        <f t="shared" si="22"/>
        <v>29215.510564777222</v>
      </c>
      <c r="H65" s="1411">
        <f t="shared" si="22"/>
        <v>27256.027002209747</v>
      </c>
      <c r="I65" s="1412">
        <f t="shared" si="22"/>
        <v>18066.639687197552</v>
      </c>
      <c r="J65" s="1414">
        <f t="shared" si="22"/>
        <v>15119.983963300843</v>
      </c>
      <c r="K65" s="1415">
        <f t="shared" si="22"/>
        <v>14740.667442982382</v>
      </c>
      <c r="L65" s="1416">
        <f t="shared" si="22"/>
        <v>31398.856918512429</v>
      </c>
      <c r="M65" s="1414">
        <f t="shared" si="22"/>
        <v>28201.329545308839</v>
      </c>
      <c r="N65" s="1415">
        <f t="shared" si="22"/>
        <v>22990.241475844778</v>
      </c>
      <c r="O65" s="1416">
        <f t="shared" si="22"/>
        <v>15796.309355072221</v>
      </c>
      <c r="P65" s="1417">
        <f>AVERAGE(D65:O65)</f>
        <v>21034.105023002539</v>
      </c>
      <c r="Q65" s="96"/>
      <c r="R65" s="227"/>
      <c r="U65" s="96"/>
    </row>
    <row r="66" spans="1:21" s="98" customFormat="1" ht="19.5" customHeight="1" thickBot="1">
      <c r="A66" s="449"/>
      <c r="B66" s="449" t="s">
        <v>92</v>
      </c>
      <c r="C66" s="420"/>
      <c r="D66" s="1435">
        <f>D57*10*D$12</f>
        <v>-2800</v>
      </c>
      <c r="E66" s="1436">
        <f t="shared" ref="E66:O66" si="23">E57*10*E$12</f>
        <v>-8140.6017072662908</v>
      </c>
      <c r="F66" s="1437">
        <f t="shared" si="23"/>
        <v>-5914.144640930529</v>
      </c>
      <c r="G66" s="1438">
        <f t="shared" si="23"/>
        <v>-3740.3359771225064</v>
      </c>
      <c r="H66" s="1436">
        <f t="shared" si="23"/>
        <v>-5833.8137634448231</v>
      </c>
      <c r="I66" s="1437">
        <f t="shared" si="23"/>
        <v>-5501.8529884359568</v>
      </c>
      <c r="J66" s="1438">
        <f t="shared" si="23"/>
        <v>-9102.7260629060656</v>
      </c>
      <c r="K66" s="1436">
        <f t="shared" si="23"/>
        <v>-11297.2198714488</v>
      </c>
      <c r="L66" s="1437">
        <f t="shared" si="23"/>
        <v>-12445.514657280315</v>
      </c>
      <c r="M66" s="1438">
        <f t="shared" si="23"/>
        <v>-13989.693251098257</v>
      </c>
      <c r="N66" s="1436">
        <f t="shared" si="23"/>
        <v>-13607.365893031429</v>
      </c>
      <c r="O66" s="1437">
        <f t="shared" si="23"/>
        <v>-15103.863786056563</v>
      </c>
      <c r="P66" s="1417">
        <f>AVERAGE(D66:O66)</f>
        <v>-8956.4277165851272</v>
      </c>
      <c r="Q66" s="96"/>
      <c r="R66" s="227"/>
      <c r="U66" s="96"/>
    </row>
    <row r="67" spans="1:21" s="98" customFormat="1" ht="19.5" customHeight="1" thickBot="1">
      <c r="A67" s="454"/>
      <c r="B67" s="454" t="s">
        <v>352</v>
      </c>
      <c r="C67" s="455"/>
      <c r="D67" s="1439">
        <f>SUM(D62:D66)</f>
        <v>23793.029512699257</v>
      </c>
      <c r="E67" s="1439">
        <f>SUM(E62:E66)</f>
        <v>8675.8688218613861</v>
      </c>
      <c r="F67" s="1440">
        <f t="shared" ref="F67:O67" si="24">SUM(F62:F66)</f>
        <v>30530.806956163462</v>
      </c>
      <c r="G67" s="1441">
        <f t="shared" si="24"/>
        <v>47443.389330899867</v>
      </c>
      <c r="H67" s="1439">
        <f t="shared" si="24"/>
        <v>42456.814271723037</v>
      </c>
      <c r="I67" s="1440">
        <f t="shared" si="24"/>
        <v>27648.221063818786</v>
      </c>
      <c r="J67" s="1442">
        <f t="shared" si="24"/>
        <v>15253.569968062289</v>
      </c>
      <c r="K67" s="1443">
        <f t="shared" si="24"/>
        <v>18318.013856050777</v>
      </c>
      <c r="L67" s="1444">
        <f t="shared" si="24"/>
        <v>45320.743167550405</v>
      </c>
      <c r="M67" s="1442">
        <f t="shared" si="24"/>
        <v>39028.505219113358</v>
      </c>
      <c r="N67" s="1443">
        <f t="shared" si="24"/>
        <v>27748.055698377619</v>
      </c>
      <c r="O67" s="1444">
        <f t="shared" si="24"/>
        <v>14017.650554897891</v>
      </c>
      <c r="P67" s="1427">
        <f>SUM(P63:P66)</f>
        <v>28352.889035101511</v>
      </c>
      <c r="Q67" s="96"/>
      <c r="R67" s="227"/>
      <c r="U67" s="96"/>
    </row>
    <row r="68" spans="1:21" s="98" customFormat="1" ht="19.5" customHeight="1">
      <c r="A68" s="95"/>
      <c r="B68" s="96"/>
      <c r="C68" s="96"/>
      <c r="D68" s="463"/>
      <c r="E68" s="463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227"/>
      <c r="U68" s="96"/>
    </row>
    <row r="69" spans="1:21" s="98" customFormat="1" ht="19.5" customHeight="1" thickBot="1">
      <c r="A69" s="113" t="s">
        <v>939</v>
      </c>
      <c r="B69" s="96"/>
      <c r="C69" s="96"/>
      <c r="D69" s="463"/>
      <c r="E69" s="463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9" t="s">
        <v>917</v>
      </c>
      <c r="Q69" s="96"/>
      <c r="R69" s="227"/>
      <c r="U69" s="96"/>
    </row>
    <row r="70" spans="1:21" s="98" customFormat="1" ht="19.5" customHeight="1" thickBot="1">
      <c r="A70" s="48" t="s">
        <v>111</v>
      </c>
      <c r="B70" s="382" t="s">
        <v>123</v>
      </c>
      <c r="C70" s="446" t="s">
        <v>308</v>
      </c>
      <c r="D70" s="384" t="s">
        <v>425</v>
      </c>
      <c r="E70" s="306" t="s">
        <v>545</v>
      </c>
      <c r="F70" s="307" t="s">
        <v>546</v>
      </c>
      <c r="G70" s="384" t="s">
        <v>426</v>
      </c>
      <c r="H70" s="306" t="s">
        <v>547</v>
      </c>
      <c r="I70" s="307" t="s">
        <v>548</v>
      </c>
      <c r="J70" s="384" t="s">
        <v>549</v>
      </c>
      <c r="K70" s="306" t="s">
        <v>550</v>
      </c>
      <c r="L70" s="307" t="s">
        <v>551</v>
      </c>
      <c r="M70" s="384" t="s">
        <v>552</v>
      </c>
      <c r="N70" s="306" t="s">
        <v>553</v>
      </c>
      <c r="O70" s="307" t="s">
        <v>554</v>
      </c>
      <c r="P70" s="385" t="s">
        <v>428</v>
      </c>
      <c r="Q70" s="96"/>
      <c r="R70" s="227"/>
      <c r="U70" s="96"/>
    </row>
    <row r="71" spans="1:21" s="98" customFormat="1" ht="19.5" customHeight="1">
      <c r="A71" s="397" t="s">
        <v>821</v>
      </c>
      <c r="B71" s="397" t="s">
        <v>797</v>
      </c>
      <c r="C71" s="396"/>
      <c r="D71" s="1445">
        <f t="shared" ref="D71:O71" si="25">D62/D22/11</f>
        <v>0</v>
      </c>
      <c r="E71" s="1445">
        <f t="shared" si="25"/>
        <v>0</v>
      </c>
      <c r="F71" s="1446">
        <f t="shared" si="25"/>
        <v>0</v>
      </c>
      <c r="G71" s="1447">
        <f t="shared" si="25"/>
        <v>0</v>
      </c>
      <c r="H71" s="1445">
        <f t="shared" si="25"/>
        <v>0</v>
      </c>
      <c r="I71" s="1446">
        <f t="shared" si="25"/>
        <v>0</v>
      </c>
      <c r="J71" s="1448">
        <f t="shared" si="25"/>
        <v>0</v>
      </c>
      <c r="K71" s="1449">
        <f t="shared" si="25"/>
        <v>0</v>
      </c>
      <c r="L71" s="1450">
        <f t="shared" si="25"/>
        <v>0</v>
      </c>
      <c r="M71" s="1448">
        <f t="shared" si="25"/>
        <v>0</v>
      </c>
      <c r="N71" s="1449">
        <f t="shared" si="25"/>
        <v>0</v>
      </c>
      <c r="O71" s="1450">
        <f t="shared" si="25"/>
        <v>0</v>
      </c>
      <c r="P71" s="1451">
        <f>AVERAGE(D71:O71)</f>
        <v>0</v>
      </c>
      <c r="Q71" s="96"/>
      <c r="R71" s="227"/>
      <c r="U71" s="96"/>
    </row>
    <row r="72" spans="1:21" s="98" customFormat="1" ht="19.5" customHeight="1">
      <c r="A72" s="397"/>
      <c r="B72" s="397" t="s">
        <v>786</v>
      </c>
      <c r="C72" s="396"/>
      <c r="D72" s="1445">
        <f t="shared" ref="D72:O72" si="26">D63/D23/11</f>
        <v>-1.4162816867046322</v>
      </c>
      <c r="E72" s="1445">
        <f t="shared" si="26"/>
        <v>-2.9966504637206679</v>
      </c>
      <c r="F72" s="1446">
        <f t="shared" si="26"/>
        <v>-1.6325729919556899</v>
      </c>
      <c r="G72" s="1447">
        <f t="shared" si="26"/>
        <v>-0.99054059564263897</v>
      </c>
      <c r="H72" s="1445">
        <f t="shared" si="26"/>
        <v>-1.6189730121411507</v>
      </c>
      <c r="I72" s="1446">
        <f t="shared" si="26"/>
        <v>-3.0432885278565283</v>
      </c>
      <c r="J72" s="1448">
        <f t="shared" si="26"/>
        <v>-4.147470011386444</v>
      </c>
      <c r="K72" s="1449">
        <f t="shared" si="26"/>
        <v>-3.1657175017903527</v>
      </c>
      <c r="L72" s="1450">
        <f t="shared" si="26"/>
        <v>-2.7323410755251944E-2</v>
      </c>
      <c r="M72" s="1448">
        <f t="shared" si="26"/>
        <v>-1.1151516577001288</v>
      </c>
      <c r="N72" s="1449">
        <f t="shared" si="26"/>
        <v>-1.7215460793681268</v>
      </c>
      <c r="O72" s="1450">
        <f t="shared" si="26"/>
        <v>-3.1684404135541429</v>
      </c>
      <c r="P72" s="1451">
        <f>AVERAGE(D72:O72)</f>
        <v>-2.0869963627146464</v>
      </c>
      <c r="Q72" s="96"/>
      <c r="R72" s="227"/>
      <c r="U72" s="96"/>
    </row>
    <row r="73" spans="1:21" s="98" customFormat="1" ht="19.5" customHeight="1">
      <c r="A73" s="397"/>
      <c r="B73" s="397" t="s">
        <v>785</v>
      </c>
      <c r="C73" s="396"/>
      <c r="D73" s="1445">
        <f t="shared" ref="D73:O73" si="27">D64/D24/11</f>
        <v>3.3173481039139832</v>
      </c>
      <c r="E73" s="1445">
        <f t="shared" si="27"/>
        <v>3.743620207685737</v>
      </c>
      <c r="F73" s="1446">
        <f t="shared" si="27"/>
        <v>6.0624711036023706</v>
      </c>
      <c r="G73" s="1447">
        <f t="shared" si="27"/>
        <v>10.006121313394216</v>
      </c>
      <c r="H73" s="1445">
        <f t="shared" si="27"/>
        <v>10.483289901564923</v>
      </c>
      <c r="I73" s="1446">
        <f t="shared" si="27"/>
        <v>8.9322955997935001</v>
      </c>
      <c r="J73" s="1448">
        <f t="shared" si="27"/>
        <v>6.6397872301159904</v>
      </c>
      <c r="K73" s="1449">
        <f t="shared" si="27"/>
        <v>8.890952993473789</v>
      </c>
      <c r="L73" s="1450">
        <f t="shared" si="27"/>
        <v>12.820376752224565</v>
      </c>
      <c r="M73" s="1448">
        <f t="shared" si="27"/>
        <v>12.666944245928221</v>
      </c>
      <c r="N73" s="1449">
        <f t="shared" si="27"/>
        <v>9.8110007482800832</v>
      </c>
      <c r="O73" s="1450">
        <f t="shared" si="27"/>
        <v>8.1324396853953491</v>
      </c>
      <c r="P73" s="1451">
        <f>AVERAGE(D73:O73)</f>
        <v>8.4588873237810613</v>
      </c>
      <c r="Q73" s="96"/>
      <c r="R73" s="227"/>
      <c r="U73" s="96"/>
    </row>
    <row r="74" spans="1:21" s="98" customFormat="1" ht="19.5" customHeight="1">
      <c r="A74" s="397"/>
      <c r="B74" s="397" t="s">
        <v>784</v>
      </c>
      <c r="C74" s="396"/>
      <c r="D74" s="1445">
        <f t="shared" ref="D74:O74" si="28">D65/D25/11</f>
        <v>5.3598785941933764</v>
      </c>
      <c r="E74" s="1445">
        <f t="shared" si="28"/>
        <v>2.7220818506804396</v>
      </c>
      <c r="F74" s="1446">
        <f t="shared" si="28"/>
        <v>7.4130159545756547</v>
      </c>
      <c r="G74" s="1447">
        <f t="shared" si="28"/>
        <v>10.282471890919451</v>
      </c>
      <c r="H74" s="1445">
        <f t="shared" si="28"/>
        <v>9.6665532832473637</v>
      </c>
      <c r="I74" s="1446">
        <f t="shared" si="28"/>
        <v>6.4773221633702267</v>
      </c>
      <c r="J74" s="1448">
        <f t="shared" si="28"/>
        <v>5.4310647221896522</v>
      </c>
      <c r="K74" s="1449">
        <f t="shared" si="28"/>
        <v>5.2828344791625241</v>
      </c>
      <c r="L74" s="1450">
        <f t="shared" si="28"/>
        <v>11.230122918752427</v>
      </c>
      <c r="M74" s="1448">
        <f t="shared" si="28"/>
        <v>10.107954458082283</v>
      </c>
      <c r="N74" s="1449">
        <f t="shared" si="28"/>
        <v>8.2234373056762031</v>
      </c>
      <c r="O74" s="1450">
        <f t="shared" si="28"/>
        <v>5.6621906424024289</v>
      </c>
      <c r="P74" s="1451">
        <f>AVERAGE(D74:O74)</f>
        <v>7.3215773552710033</v>
      </c>
      <c r="Q74" s="96"/>
      <c r="R74" s="227"/>
      <c r="U74" s="96"/>
    </row>
    <row r="75" spans="1:21" s="98" customFormat="1" ht="19.5" customHeight="1" thickBot="1">
      <c r="A75" s="449"/>
      <c r="B75" s="449" t="s">
        <v>92</v>
      </c>
      <c r="C75" s="396"/>
      <c r="D75" s="1445">
        <f t="shared" ref="D75:O75" si="29">D66/D26/11</f>
        <v>-2.766798418972332</v>
      </c>
      <c r="E75" s="1445">
        <f t="shared" si="29"/>
        <v>-8.0097770169834845</v>
      </c>
      <c r="F75" s="1452">
        <f t="shared" si="29"/>
        <v>-6.1272896937933856</v>
      </c>
      <c r="G75" s="1453">
        <f t="shared" si="29"/>
        <v>-3.8384779289358524</v>
      </c>
      <c r="H75" s="1454">
        <f t="shared" si="29"/>
        <v>-5.9365891489137814</v>
      </c>
      <c r="I75" s="1452">
        <f t="shared" si="29"/>
        <v>-5.6194022780272492</v>
      </c>
      <c r="J75" s="1453">
        <f t="shared" si="29"/>
        <v>-9.3279799647855821</v>
      </c>
      <c r="K75" s="1454">
        <f t="shared" si="29"/>
        <v>-11.48138936800974</v>
      </c>
      <c r="L75" s="1452">
        <f t="shared" si="29"/>
        <v>-12.696651034672207</v>
      </c>
      <c r="M75" s="1453">
        <f t="shared" si="29"/>
        <v>-14.161448430530783</v>
      </c>
      <c r="N75" s="1454">
        <f t="shared" si="29"/>
        <v>-13.83250232743684</v>
      </c>
      <c r="O75" s="1452">
        <f t="shared" si="29"/>
        <v>-15.411954588346031</v>
      </c>
      <c r="P75" s="1451">
        <f>AVERAGE(D75:O75)</f>
        <v>-9.1008550166172739</v>
      </c>
      <c r="Q75" s="96"/>
      <c r="R75" s="227"/>
      <c r="U75" s="96"/>
    </row>
    <row r="76" spans="1:21" s="98" customFormat="1" ht="19.5" customHeight="1" thickBot="1">
      <c r="A76" s="1325"/>
      <c r="B76" s="1326" t="s">
        <v>907</v>
      </c>
      <c r="C76" s="1326"/>
      <c r="D76" s="1455">
        <f t="shared" ref="D76:O76" si="30">D67/D27/11</f>
        <v>2.801816946855777</v>
      </c>
      <c r="E76" s="1455">
        <f t="shared" si="30"/>
        <v>1.0235864555321099</v>
      </c>
      <c r="F76" s="1456">
        <f t="shared" si="30"/>
        <v>3.9300379900811553</v>
      </c>
      <c r="G76" s="1457">
        <f t="shared" si="30"/>
        <v>6.4990369525267591</v>
      </c>
      <c r="H76" s="1455">
        <f t="shared" si="30"/>
        <v>5.9334763551153378</v>
      </c>
      <c r="I76" s="1458">
        <f t="shared" si="30"/>
        <v>3.9413149255185904</v>
      </c>
      <c r="J76" s="1459">
        <f t="shared" si="30"/>
        <v>2.1759272365071869</v>
      </c>
      <c r="K76" s="1455">
        <f t="shared" si="30"/>
        <v>2.6105846519222538</v>
      </c>
      <c r="L76" s="1456">
        <f t="shared" si="30"/>
        <v>6.4533683304810943</v>
      </c>
      <c r="M76" s="1457">
        <f t="shared" si="30"/>
        <v>5.5618662408557586</v>
      </c>
      <c r="N76" s="1455">
        <f t="shared" si="30"/>
        <v>3.95096696095663</v>
      </c>
      <c r="O76" s="1458">
        <f t="shared" si="30"/>
        <v>2.0006839606490328</v>
      </c>
      <c r="P76" s="1460"/>
      <c r="Q76" s="96"/>
      <c r="R76" s="227"/>
      <c r="U76" s="96"/>
    </row>
    <row r="77" spans="1:21" s="98" customFormat="1" ht="19.5" customHeight="1">
      <c r="A77" s="95"/>
      <c r="B77" s="96"/>
      <c r="C77" s="96"/>
      <c r="D77" s="463"/>
      <c r="E77" s="463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227"/>
      <c r="U77" s="96"/>
    </row>
    <row r="78" spans="1:21" s="98" customFormat="1" ht="19.5" customHeight="1">
      <c r="A78" s="95"/>
      <c r="B78" s="96"/>
      <c r="C78" s="96"/>
      <c r="D78" s="463"/>
      <c r="E78" s="463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227"/>
      <c r="U78" s="96"/>
    </row>
    <row r="79" spans="1:21" s="98" customFormat="1" ht="19.5" customHeight="1">
      <c r="A79" s="95"/>
      <c r="B79" s="96"/>
      <c r="C79" s="96"/>
      <c r="D79" s="463"/>
      <c r="E79" s="463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227"/>
      <c r="U79" s="96"/>
    </row>
    <row r="80" spans="1:21" s="98" customFormat="1" ht="19.5" customHeight="1" thickBot="1">
      <c r="A80" s="95"/>
      <c r="B80" s="96"/>
      <c r="C80" s="96"/>
      <c r="D80" s="463"/>
      <c r="E80" s="463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227"/>
      <c r="U80" s="96"/>
    </row>
    <row r="81" spans="1:21" s="98" customFormat="1" ht="19.5" customHeight="1" thickBot="1">
      <c r="A81" s="1355" t="s">
        <v>947</v>
      </c>
      <c r="B81" s="1356"/>
      <c r="C81" s="1357"/>
      <c r="D81" s="1358"/>
      <c r="E81" s="1358"/>
      <c r="F81" s="1357"/>
      <c r="G81" s="1357"/>
      <c r="H81" s="1357"/>
      <c r="I81" s="1357"/>
      <c r="J81" s="1357"/>
      <c r="K81" s="1357"/>
      <c r="L81" s="1357"/>
      <c r="M81" s="1357"/>
      <c r="N81" s="1357"/>
      <c r="O81" s="1357"/>
      <c r="P81" s="1357"/>
      <c r="Q81" s="96"/>
      <c r="R81" s="227"/>
      <c r="U81" s="96"/>
    </row>
    <row r="82" spans="1:21" s="98" customFormat="1" ht="19.5" customHeight="1">
      <c r="A82" s="95"/>
      <c r="D82" s="463"/>
      <c r="E82" s="463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227"/>
      <c r="U82" s="96"/>
    </row>
    <row r="83" spans="1:21" s="98" customFormat="1" ht="19.5" customHeight="1" thickBot="1">
      <c r="A83" s="1324" t="s">
        <v>922</v>
      </c>
      <c r="B83" s="215"/>
      <c r="C83" s="445"/>
      <c r="D83" s="1147"/>
      <c r="E83" s="1147"/>
      <c r="F83" s="1147"/>
      <c r="G83" s="1147"/>
      <c r="H83" s="1147"/>
      <c r="I83" s="1147"/>
      <c r="J83" s="1147"/>
      <c r="K83" s="1147"/>
      <c r="L83" s="1147"/>
      <c r="M83" s="1147"/>
      <c r="N83" s="1147"/>
      <c r="O83" s="1147"/>
      <c r="P83" s="99" t="s">
        <v>349</v>
      </c>
      <c r="Q83" s="96"/>
      <c r="R83" s="227"/>
      <c r="U83" s="96"/>
    </row>
    <row r="84" spans="1:21" s="98" customFormat="1" ht="19.5" customHeight="1" thickBot="1">
      <c r="A84" s="48" t="s">
        <v>111</v>
      </c>
      <c r="B84" s="382" t="s">
        <v>123</v>
      </c>
      <c r="C84" s="383"/>
      <c r="D84" s="44" t="s">
        <v>425</v>
      </c>
      <c r="E84" s="306" t="s">
        <v>545</v>
      </c>
      <c r="F84" s="307" t="s">
        <v>546</v>
      </c>
      <c r="G84" s="384" t="s">
        <v>426</v>
      </c>
      <c r="H84" s="306" t="s">
        <v>547</v>
      </c>
      <c r="I84" s="307" t="s">
        <v>548</v>
      </c>
      <c r="J84" s="384" t="s">
        <v>549</v>
      </c>
      <c r="K84" s="306" t="s">
        <v>550</v>
      </c>
      <c r="L84" s="307" t="s">
        <v>551</v>
      </c>
      <c r="M84" s="384" t="s">
        <v>552</v>
      </c>
      <c r="N84" s="306" t="s">
        <v>553</v>
      </c>
      <c r="O84" s="307" t="s">
        <v>554</v>
      </c>
      <c r="P84" s="385" t="s">
        <v>15</v>
      </c>
      <c r="Q84" s="96"/>
      <c r="R84" s="227"/>
      <c r="U84" s="96"/>
    </row>
    <row r="85" spans="1:21" s="98" customFormat="1" ht="19.5" customHeight="1">
      <c r="A85" s="1288" t="s">
        <v>821</v>
      </c>
      <c r="B85" s="397" t="s">
        <v>797</v>
      </c>
      <c r="C85" s="1293"/>
      <c r="D85" s="1292">
        <v>0</v>
      </c>
      <c r="E85" s="1163">
        <v>0</v>
      </c>
      <c r="F85" s="1164">
        <v>0</v>
      </c>
      <c r="G85" s="1165">
        <v>0</v>
      </c>
      <c r="H85" s="1163">
        <v>0</v>
      </c>
      <c r="I85" s="1164">
        <v>0</v>
      </c>
      <c r="J85" s="1155">
        <v>0</v>
      </c>
      <c r="K85" s="1156">
        <v>0</v>
      </c>
      <c r="L85" s="1154">
        <v>0</v>
      </c>
      <c r="M85" s="1155">
        <v>0</v>
      </c>
      <c r="N85" s="1156">
        <v>0</v>
      </c>
      <c r="O85" s="1154">
        <v>0</v>
      </c>
      <c r="P85" s="402">
        <f>SUM(D85:O85)</f>
        <v>0</v>
      </c>
      <c r="Q85" s="96"/>
      <c r="R85" s="227"/>
      <c r="U85" s="96"/>
    </row>
    <row r="86" spans="1:21" s="98" customFormat="1" ht="19.5" customHeight="1">
      <c r="A86" s="1288"/>
      <c r="B86" s="397" t="s">
        <v>786</v>
      </c>
      <c r="C86" s="1293"/>
      <c r="D86" s="1292">
        <v>0</v>
      </c>
      <c r="E86" s="1163">
        <v>0</v>
      </c>
      <c r="F86" s="1164">
        <v>0</v>
      </c>
      <c r="G86" s="1165">
        <v>0</v>
      </c>
      <c r="H86" s="1163">
        <v>0</v>
      </c>
      <c r="I86" s="1164">
        <v>0</v>
      </c>
      <c r="J86" s="1155">
        <v>0</v>
      </c>
      <c r="K86" s="1156"/>
      <c r="L86" s="1154"/>
      <c r="M86" s="1155"/>
      <c r="N86" s="1156"/>
      <c r="O86" s="1154"/>
      <c r="P86" s="402">
        <f>SUM(D86:O86)</f>
        <v>0</v>
      </c>
      <c r="Q86" s="96"/>
      <c r="R86" s="227"/>
      <c r="U86" s="96"/>
    </row>
    <row r="87" spans="1:21" s="98" customFormat="1" ht="19.5" customHeight="1">
      <c r="A87" s="1288"/>
      <c r="B87" s="397" t="s">
        <v>785</v>
      </c>
      <c r="C87" s="1293"/>
      <c r="D87" s="1292">
        <v>42</v>
      </c>
      <c r="E87" s="1163">
        <v>45</v>
      </c>
      <c r="F87" s="1164">
        <v>2</v>
      </c>
      <c r="G87" s="1165">
        <v>2</v>
      </c>
      <c r="H87" s="1163">
        <v>2</v>
      </c>
      <c r="I87" s="1164">
        <v>2</v>
      </c>
      <c r="J87" s="1155">
        <v>2</v>
      </c>
      <c r="K87" s="1156">
        <v>2</v>
      </c>
      <c r="L87" s="1154"/>
      <c r="M87" s="1155"/>
      <c r="N87" s="1156"/>
      <c r="O87" s="1154"/>
      <c r="P87" s="402">
        <f>SUM(D87:O87)</f>
        <v>99</v>
      </c>
      <c r="Q87" s="96"/>
      <c r="R87" s="227"/>
      <c r="U87" s="96"/>
    </row>
    <row r="88" spans="1:21" s="98" customFormat="1" ht="19.5" customHeight="1">
      <c r="A88" s="1288"/>
      <c r="B88" s="397" t="s">
        <v>784</v>
      </c>
      <c r="C88" s="1293"/>
      <c r="D88" s="1292">
        <v>56</v>
      </c>
      <c r="E88" s="1163">
        <v>35</v>
      </c>
      <c r="F88" s="1164">
        <v>2</v>
      </c>
      <c r="G88" s="1165">
        <v>2</v>
      </c>
      <c r="H88" s="1163"/>
      <c r="I88" s="1164"/>
      <c r="J88" s="1155">
        <v>20</v>
      </c>
      <c r="K88" s="1156"/>
      <c r="L88" s="1154"/>
      <c r="M88" s="1155"/>
      <c r="N88" s="1156"/>
      <c r="O88" s="1154"/>
      <c r="P88" s="402">
        <f>SUM(D88:O88)</f>
        <v>115</v>
      </c>
      <c r="Q88" s="96"/>
      <c r="R88" s="227"/>
      <c r="U88" s="96"/>
    </row>
    <row r="89" spans="1:21" s="98" customFormat="1" ht="19.5" customHeight="1">
      <c r="A89" s="1289"/>
      <c r="B89" s="449" t="s">
        <v>92</v>
      </c>
      <c r="C89" s="1293"/>
      <c r="D89" s="1166">
        <v>23</v>
      </c>
      <c r="E89" s="1167">
        <v>0</v>
      </c>
      <c r="F89" s="1157"/>
      <c r="G89" s="1166">
        <v>6</v>
      </c>
      <c r="H89" s="1167"/>
      <c r="I89" s="1157">
        <v>12</v>
      </c>
      <c r="J89" s="1166">
        <v>10</v>
      </c>
      <c r="K89" s="1167">
        <v>10</v>
      </c>
      <c r="L89" s="1157"/>
      <c r="M89" s="1166"/>
      <c r="N89" s="1167"/>
      <c r="O89" s="1157"/>
      <c r="P89" s="402">
        <f>SUM(D89:O89)</f>
        <v>61</v>
      </c>
      <c r="Q89" s="96"/>
      <c r="R89" s="227"/>
      <c r="U89" s="96"/>
    </row>
    <row r="90" spans="1:21" s="98" customFormat="1" ht="19.5" customHeight="1" thickBot="1">
      <c r="A90" s="1290"/>
      <c r="B90" s="454" t="s">
        <v>352</v>
      </c>
      <c r="C90" s="818"/>
      <c r="D90" s="831">
        <f t="shared" ref="D90:O90" si="31">SUM(D85:D89)</f>
        <v>121</v>
      </c>
      <c r="E90" s="824">
        <f t="shared" si="31"/>
        <v>80</v>
      </c>
      <c r="F90" s="825">
        <f t="shared" si="31"/>
        <v>4</v>
      </c>
      <c r="G90" s="823">
        <f t="shared" si="31"/>
        <v>10</v>
      </c>
      <c r="H90" s="824">
        <f t="shared" si="31"/>
        <v>2</v>
      </c>
      <c r="I90" s="825">
        <f t="shared" si="31"/>
        <v>14</v>
      </c>
      <c r="J90" s="457">
        <f t="shared" si="31"/>
        <v>32</v>
      </c>
      <c r="K90" s="458">
        <f t="shared" si="31"/>
        <v>12</v>
      </c>
      <c r="L90" s="459">
        <f t="shared" si="31"/>
        <v>0</v>
      </c>
      <c r="M90" s="457">
        <f t="shared" si="31"/>
        <v>0</v>
      </c>
      <c r="N90" s="458">
        <f t="shared" si="31"/>
        <v>0</v>
      </c>
      <c r="O90" s="459">
        <f t="shared" si="31"/>
        <v>0</v>
      </c>
      <c r="P90" s="426">
        <f>SUM(P85:P89)</f>
        <v>275</v>
      </c>
      <c r="Q90" s="96"/>
      <c r="R90" s="227"/>
      <c r="U90" s="96"/>
    </row>
    <row r="91" spans="1:21" s="98" customFormat="1" ht="19.5" customHeight="1">
      <c r="A91" s="1226"/>
      <c r="B91" s="380"/>
      <c r="C91" s="461"/>
      <c r="D91" s="1223" t="s">
        <v>902</v>
      </c>
      <c r="E91" s="1223"/>
      <c r="F91" s="1223"/>
      <c r="G91" s="1223"/>
      <c r="H91" s="1223"/>
      <c r="I91" s="1223"/>
      <c r="J91" s="1223"/>
      <c r="K91" s="1223"/>
      <c r="L91" s="1223"/>
      <c r="M91" s="96"/>
      <c r="N91" s="96"/>
      <c r="O91" s="1224" t="s">
        <v>1050</v>
      </c>
      <c r="P91" s="231">
        <f>P90+141</f>
        <v>416</v>
      </c>
      <c r="Q91" s="96"/>
      <c r="R91" s="227"/>
      <c r="U91" s="96"/>
    </row>
    <row r="92" spans="1:21" s="220" customFormat="1" ht="15.75" customHeight="1">
      <c r="B92" s="605"/>
      <c r="C92" s="119"/>
      <c r="D92" s="444"/>
      <c r="E92" s="444"/>
      <c r="F92" s="444"/>
      <c r="G92" s="444"/>
      <c r="H92" s="444"/>
      <c r="I92" s="444"/>
      <c r="J92" s="215"/>
      <c r="K92" s="215"/>
      <c r="L92" s="215"/>
      <c r="M92" s="215"/>
      <c r="N92" s="215"/>
      <c r="O92" s="215"/>
      <c r="P92" s="444"/>
      <c r="Q92" s="1237"/>
      <c r="R92" s="438"/>
      <c r="S92" s="221"/>
      <c r="T92" s="221"/>
    </row>
    <row r="93" spans="1:21" s="220" customFormat="1" ht="15.75" customHeight="1">
      <c r="A93" s="605"/>
      <c r="B93" s="605"/>
      <c r="C93" s="119"/>
      <c r="D93" s="444"/>
      <c r="E93" s="444"/>
      <c r="F93" s="444"/>
      <c r="G93" s="444"/>
      <c r="H93" s="444"/>
      <c r="I93" s="444"/>
      <c r="J93" s="215"/>
      <c r="K93" s="215"/>
      <c r="L93" s="215"/>
      <c r="M93" s="215"/>
      <c r="N93" s="215"/>
      <c r="O93" s="215"/>
      <c r="P93" s="444"/>
      <c r="Q93" s="1237"/>
      <c r="R93" s="438"/>
      <c r="S93" s="221"/>
      <c r="T93" s="221"/>
    </row>
    <row r="94" spans="1:21" s="220" customFormat="1" ht="15.75" customHeight="1" thickBot="1">
      <c r="A94" s="605" t="s">
        <v>928</v>
      </c>
      <c r="B94" s="605"/>
      <c r="C94" s="119"/>
      <c r="D94" s="444"/>
      <c r="E94" s="444"/>
      <c r="F94" s="444"/>
      <c r="G94" s="444"/>
      <c r="H94" s="444"/>
      <c r="I94" s="444"/>
      <c r="J94" s="215"/>
      <c r="K94" s="215" t="s">
        <v>949</v>
      </c>
      <c r="L94" s="215"/>
      <c r="M94" s="99" t="s">
        <v>349</v>
      </c>
      <c r="N94" s="1238"/>
      <c r="O94" s="1238"/>
      <c r="P94" s="444"/>
      <c r="Q94" s="1237"/>
      <c r="R94" s="438"/>
      <c r="S94" s="221"/>
      <c r="T94" s="221"/>
    </row>
    <row r="95" spans="1:21" s="98" customFormat="1" ht="16.5" customHeight="1">
      <c r="A95" s="1314" t="s">
        <v>108</v>
      </c>
      <c r="B95" s="1315" t="s">
        <v>929</v>
      </c>
      <c r="C95" s="1315" t="s">
        <v>930</v>
      </c>
      <c r="D95" s="1315" t="s">
        <v>557</v>
      </c>
      <c r="E95" s="1315" t="s">
        <v>558</v>
      </c>
      <c r="F95" s="1315" t="s">
        <v>508</v>
      </c>
      <c r="G95" s="1315" t="s">
        <v>509</v>
      </c>
      <c r="H95" s="1315" t="s">
        <v>559</v>
      </c>
      <c r="I95" s="1315" t="s">
        <v>611</v>
      </c>
      <c r="J95" s="1315" t="s">
        <v>510</v>
      </c>
      <c r="K95" s="1315" t="s">
        <v>511</v>
      </c>
      <c r="L95" s="1316" t="s">
        <v>15</v>
      </c>
      <c r="M95" s="1317" t="s">
        <v>818</v>
      </c>
      <c r="N95" s="1307"/>
      <c r="Q95" s="1291"/>
      <c r="R95" s="227"/>
      <c r="U95" s="96"/>
    </row>
    <row r="96" spans="1:21" s="98" customFormat="1" ht="16.5" customHeight="1">
      <c r="A96" s="7384" t="s">
        <v>931</v>
      </c>
      <c r="B96" s="1304" t="s">
        <v>948</v>
      </c>
      <c r="C96" s="1305">
        <v>940</v>
      </c>
      <c r="D96" s="1305">
        <v>1129</v>
      </c>
      <c r="E96" s="1305">
        <v>1202</v>
      </c>
      <c r="F96" s="1305">
        <v>1112</v>
      </c>
      <c r="G96" s="1305">
        <v>1161</v>
      </c>
      <c r="H96" s="1305">
        <v>1028</v>
      </c>
      <c r="I96" s="1305">
        <v>1078</v>
      </c>
      <c r="J96" s="1305">
        <v>1026</v>
      </c>
      <c r="K96" s="1305">
        <v>930</v>
      </c>
      <c r="L96" s="1306">
        <f>SUM(C96:K96)</f>
        <v>9606</v>
      </c>
      <c r="M96" s="1318">
        <f>AVERAGE(C96:K96)</f>
        <v>1067.3333333333333</v>
      </c>
      <c r="N96" s="1308"/>
      <c r="Q96" s="1237"/>
      <c r="R96" s="227"/>
      <c r="U96" s="96"/>
    </row>
    <row r="97" spans="1:21" s="98" customFormat="1" ht="16.5" customHeight="1">
      <c r="A97" s="7385"/>
      <c r="B97" s="1303" t="s">
        <v>932</v>
      </c>
      <c r="C97" s="1305">
        <v>31</v>
      </c>
      <c r="D97" s="1305">
        <v>160</v>
      </c>
      <c r="E97" s="1305">
        <v>188</v>
      </c>
      <c r="F97" s="1305">
        <v>100</v>
      </c>
      <c r="G97" s="1305">
        <v>163</v>
      </c>
      <c r="H97" s="1305">
        <v>103</v>
      </c>
      <c r="I97" s="1305">
        <v>126</v>
      </c>
      <c r="J97" s="1305">
        <v>91</v>
      </c>
      <c r="K97" s="1305">
        <v>41</v>
      </c>
      <c r="L97" s="1306">
        <f>SUM(C97:K97)</f>
        <v>1003</v>
      </c>
      <c r="M97" s="1318">
        <f>AVERAGE(C97:K97)</f>
        <v>111.44444444444444</v>
      </c>
      <c r="N97" s="1308"/>
      <c r="Q97" s="1237"/>
      <c r="R97" s="227"/>
      <c r="U97" s="96"/>
    </row>
    <row r="98" spans="1:21" s="98" customFormat="1" ht="16.5" customHeight="1" thickBot="1">
      <c r="A98" s="1319"/>
      <c r="B98" s="1320" t="s">
        <v>938</v>
      </c>
      <c r="C98" s="1321">
        <f t="shared" ref="C98:L98" si="32">C97/C96</f>
        <v>3.2978723404255318E-2</v>
      </c>
      <c r="D98" s="1321">
        <f t="shared" si="32"/>
        <v>0.141718334809566</v>
      </c>
      <c r="E98" s="1321">
        <f t="shared" si="32"/>
        <v>0.15640599001663893</v>
      </c>
      <c r="F98" s="1321">
        <f t="shared" si="32"/>
        <v>8.9928057553956831E-2</v>
      </c>
      <c r="G98" s="1321">
        <f t="shared" si="32"/>
        <v>0.14039621016365203</v>
      </c>
      <c r="H98" s="1321">
        <f t="shared" si="32"/>
        <v>0.10019455252918288</v>
      </c>
      <c r="I98" s="1321">
        <f t="shared" si="32"/>
        <v>0.11688311688311688</v>
      </c>
      <c r="J98" s="1321">
        <f t="shared" si="32"/>
        <v>8.8693957115009742E-2</v>
      </c>
      <c r="K98" s="1321">
        <f t="shared" si="32"/>
        <v>4.4086021505376341E-2</v>
      </c>
      <c r="L98" s="1323">
        <f t="shared" si="32"/>
        <v>0.1044139079741828</v>
      </c>
      <c r="M98" s="1322"/>
      <c r="N98" s="1309"/>
      <c r="Q98" s="1237"/>
      <c r="R98" s="227"/>
      <c r="U98" s="96"/>
    </row>
    <row r="99" spans="1:21" s="98" customFormat="1" ht="126.6" hidden="1" customHeight="1">
      <c r="A99" s="1311"/>
      <c r="B99" s="1311" t="s">
        <v>933</v>
      </c>
      <c r="C99" s="1311"/>
      <c r="D99" s="1312" t="s">
        <v>934</v>
      </c>
      <c r="E99" s="1312" t="s">
        <v>935</v>
      </c>
      <c r="F99" s="1312" t="s">
        <v>935</v>
      </c>
      <c r="G99" s="1312" t="s">
        <v>936</v>
      </c>
      <c r="H99" s="1312" t="s">
        <v>936</v>
      </c>
      <c r="I99" s="1312" t="s">
        <v>936</v>
      </c>
      <c r="J99" s="1312" t="s">
        <v>937</v>
      </c>
      <c r="K99" s="1312" t="s">
        <v>937</v>
      </c>
      <c r="L99" s="1311"/>
      <c r="M99" s="1313"/>
      <c r="N99" s="1310"/>
      <c r="Q99" s="1237"/>
      <c r="R99" s="227"/>
      <c r="U99" s="96"/>
    </row>
    <row r="100" spans="1:21" s="98" customFormat="1" ht="16.5" hidden="1" customHeight="1">
      <c r="A100" s="1301"/>
      <c r="B100" s="1301"/>
      <c r="C100" s="1301"/>
      <c r="D100" s="1301"/>
      <c r="E100" s="1301"/>
      <c r="F100" s="1301"/>
      <c r="G100" s="1301"/>
      <c r="H100" s="1301"/>
      <c r="I100" s="1301"/>
      <c r="J100" s="1301"/>
      <c r="K100" s="1301"/>
      <c r="L100" s="1301"/>
      <c r="M100" s="1301"/>
      <c r="N100" s="1301"/>
      <c r="Q100" s="1237"/>
      <c r="R100" s="227"/>
      <c r="U100" s="96"/>
    </row>
    <row r="101" spans="1:21" hidden="1">
      <c r="A101" s="96"/>
      <c r="D101" s="96"/>
      <c r="E101" s="96"/>
    </row>
    <row r="102" spans="1:21" s="98" customFormat="1" ht="19.2" hidden="1" customHeight="1" thickBot="1">
      <c r="A102" s="94" t="s">
        <v>940</v>
      </c>
      <c r="B102" s="96"/>
      <c r="C102" s="96"/>
      <c r="D102" s="463"/>
      <c r="E102" s="463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227"/>
      <c r="U102" s="96"/>
    </row>
    <row r="103" spans="1:21" s="98" customFormat="1" ht="19.5" hidden="1" customHeight="1" thickBot="1">
      <c r="A103" s="47" t="s">
        <v>136</v>
      </c>
      <c r="B103" s="46"/>
      <c r="C103" s="508"/>
      <c r="D103" s="384" t="s">
        <v>425</v>
      </c>
      <c r="E103" s="306" t="s">
        <v>545</v>
      </c>
      <c r="F103" s="307" t="s">
        <v>546</v>
      </c>
      <c r="G103" s="384" t="s">
        <v>426</v>
      </c>
      <c r="H103" s="306" t="s">
        <v>547</v>
      </c>
      <c r="I103" s="307" t="s">
        <v>548</v>
      </c>
      <c r="J103" s="384" t="s">
        <v>549</v>
      </c>
      <c r="K103" s="306" t="s">
        <v>550</v>
      </c>
      <c r="L103" s="307" t="s">
        <v>551</v>
      </c>
      <c r="M103" s="384" t="s">
        <v>552</v>
      </c>
      <c r="N103" s="306" t="s">
        <v>553</v>
      </c>
      <c r="O103" s="307" t="s">
        <v>554</v>
      </c>
      <c r="P103" s="385" t="s">
        <v>15</v>
      </c>
      <c r="Q103" s="96"/>
      <c r="R103" s="227"/>
      <c r="U103" s="96"/>
    </row>
    <row r="104" spans="1:21" s="98" customFormat="1" ht="19.5" hidden="1" customHeight="1" thickBot="1">
      <c r="A104" s="1251" t="s">
        <v>900</v>
      </c>
      <c r="B104" s="1252"/>
      <c r="C104" s="1253"/>
      <c r="D104" s="1254"/>
      <c r="E104" s="1255"/>
      <c r="F104" s="1256"/>
      <c r="G104" s="1254"/>
      <c r="H104" s="1255"/>
      <c r="I104" s="1257"/>
      <c r="J104" s="1254"/>
      <c r="K104" s="1255"/>
      <c r="L104" s="1257"/>
      <c r="M104" s="1254"/>
      <c r="N104" s="1255"/>
      <c r="O104" s="1257"/>
      <c r="P104" s="476"/>
      <c r="Q104" s="96"/>
      <c r="R104" s="227"/>
      <c r="U104" s="96"/>
    </row>
    <row r="105" spans="1:21" s="98" customFormat="1" ht="19.5" hidden="1" customHeight="1">
      <c r="A105" s="43" t="s">
        <v>366</v>
      </c>
      <c r="B105" s="789" t="s">
        <v>897</v>
      </c>
      <c r="C105" s="478"/>
      <c r="D105" s="509"/>
      <c r="E105" s="510"/>
      <c r="F105" s="849"/>
      <c r="G105" s="509"/>
      <c r="H105" s="510"/>
      <c r="I105" s="511"/>
      <c r="J105" s="509"/>
      <c r="K105" s="510"/>
      <c r="L105" s="511"/>
      <c r="M105" s="509"/>
      <c r="N105" s="510"/>
      <c r="O105" s="511"/>
      <c r="P105" s="512">
        <f>SUM(D105:O105)</f>
        <v>0</v>
      </c>
      <c r="Q105" s="96"/>
      <c r="R105" s="227"/>
      <c r="U105" s="96"/>
    </row>
    <row r="106" spans="1:21" s="98" customFormat="1" ht="19.5" hidden="1" customHeight="1">
      <c r="A106" s="42"/>
      <c r="B106" s="1145"/>
      <c r="C106" s="1262"/>
      <c r="D106" s="1263"/>
      <c r="E106" s="1264"/>
      <c r="F106" s="1265"/>
      <c r="G106" s="1263"/>
      <c r="H106" s="1264"/>
      <c r="I106" s="1266"/>
      <c r="J106" s="1263"/>
      <c r="K106" s="1264"/>
      <c r="L106" s="1266"/>
      <c r="M106" s="1263"/>
      <c r="N106" s="1264"/>
      <c r="O106" s="1266"/>
      <c r="P106" s="1267"/>
      <c r="Q106" s="96"/>
      <c r="R106" s="227"/>
      <c r="U106" s="96"/>
    </row>
    <row r="107" spans="1:21" s="98" customFormat="1" ht="19.5" hidden="1" customHeight="1">
      <c r="A107" s="42"/>
      <c r="B107" s="787" t="s">
        <v>898</v>
      </c>
      <c r="C107" s="498"/>
      <c r="D107" s="1268"/>
      <c r="E107" s="1269"/>
      <c r="F107" s="1270"/>
      <c r="G107" s="1268"/>
      <c r="H107" s="1269"/>
      <c r="I107" s="1271"/>
      <c r="J107" s="1268"/>
      <c r="K107" s="1269"/>
      <c r="L107" s="1271"/>
      <c r="M107" s="1268"/>
      <c r="N107" s="1269"/>
      <c r="O107" s="1271"/>
      <c r="P107" s="1272"/>
      <c r="Q107" s="96"/>
      <c r="R107" s="227"/>
      <c r="U107" s="96"/>
    </row>
    <row r="108" spans="1:21" s="98" customFormat="1" ht="19.5" hidden="1" customHeight="1">
      <c r="A108" s="42"/>
      <c r="B108" s="1145"/>
      <c r="C108" s="1262"/>
      <c r="D108" s="1263"/>
      <c r="E108" s="1264"/>
      <c r="F108" s="1265"/>
      <c r="G108" s="1263"/>
      <c r="H108" s="1264"/>
      <c r="I108" s="1266"/>
      <c r="J108" s="1263"/>
      <c r="K108" s="1264"/>
      <c r="L108" s="1266"/>
      <c r="M108" s="1263"/>
      <c r="N108" s="1264"/>
      <c r="O108" s="1266"/>
      <c r="P108" s="1267"/>
      <c r="Q108" s="96"/>
      <c r="R108" s="227"/>
      <c r="U108" s="96"/>
    </row>
    <row r="109" spans="1:21" s="98" customFormat="1" ht="19.5" hidden="1" customHeight="1">
      <c r="A109" s="42"/>
      <c r="B109" s="1273" t="s">
        <v>899</v>
      </c>
      <c r="C109" s="483"/>
      <c r="D109" s="1246"/>
      <c r="E109" s="1247"/>
      <c r="F109" s="1248"/>
      <c r="G109" s="1246"/>
      <c r="H109" s="1247"/>
      <c r="I109" s="1249"/>
      <c r="J109" s="1246"/>
      <c r="K109" s="1247"/>
      <c r="L109" s="1249"/>
      <c r="M109" s="1246"/>
      <c r="N109" s="1247"/>
      <c r="O109" s="1249"/>
      <c r="P109" s="1250"/>
      <c r="Q109" s="96"/>
      <c r="R109" s="227"/>
      <c r="U109" s="96"/>
    </row>
    <row r="110" spans="1:21" s="98" customFormat="1" ht="19.5" hidden="1" customHeight="1" thickBot="1">
      <c r="A110" s="42"/>
      <c r="B110" s="1274"/>
      <c r="C110" s="483"/>
      <c r="D110" s="514"/>
      <c r="E110" s="515"/>
      <c r="F110" s="850"/>
      <c r="G110" s="514"/>
      <c r="H110" s="515"/>
      <c r="I110" s="516"/>
      <c r="J110" s="514"/>
      <c r="K110" s="515"/>
      <c r="L110" s="516"/>
      <c r="M110" s="514"/>
      <c r="N110" s="515"/>
      <c r="O110" s="516"/>
      <c r="P110" s="502">
        <f>SUM(D110:O110)</f>
        <v>0</v>
      </c>
      <c r="Q110" s="96"/>
      <c r="R110" s="227"/>
      <c r="U110" s="96"/>
    </row>
    <row r="111" spans="1:21" s="98" customFormat="1" ht="19.5" hidden="1" customHeight="1" thickBot="1">
      <c r="A111" s="41"/>
      <c r="B111" s="504" t="s">
        <v>121</v>
      </c>
      <c r="C111" s="508"/>
      <c r="D111" s="211">
        <f t="shared" ref="D111:O111" si="33">D105+D110</f>
        <v>0</v>
      </c>
      <c r="E111" s="212">
        <f t="shared" si="33"/>
        <v>0</v>
      </c>
      <c r="F111" s="851">
        <f t="shared" si="33"/>
        <v>0</v>
      </c>
      <c r="G111" s="211">
        <f t="shared" si="33"/>
        <v>0</v>
      </c>
      <c r="H111" s="212">
        <f t="shared" si="33"/>
        <v>0</v>
      </c>
      <c r="I111" s="213">
        <f t="shared" si="33"/>
        <v>0</v>
      </c>
      <c r="J111" s="211">
        <f t="shared" si="33"/>
        <v>0</v>
      </c>
      <c r="K111" s="212">
        <f t="shared" si="33"/>
        <v>0</v>
      </c>
      <c r="L111" s="213">
        <f t="shared" si="33"/>
        <v>0</v>
      </c>
      <c r="M111" s="211">
        <f t="shared" si="33"/>
        <v>0</v>
      </c>
      <c r="N111" s="212">
        <f t="shared" si="33"/>
        <v>0</v>
      </c>
      <c r="O111" s="213">
        <f t="shared" si="33"/>
        <v>0</v>
      </c>
      <c r="P111" s="428">
        <f>SUM(D111:O111)</f>
        <v>0</v>
      </c>
      <c r="Q111" s="96"/>
      <c r="R111" s="227"/>
      <c r="U111" s="96"/>
    </row>
    <row r="112" spans="1:21" s="98" customFormat="1" ht="19.2" hidden="1" customHeight="1" thickBot="1">
      <c r="A112" s="47" t="s">
        <v>901</v>
      </c>
      <c r="B112" s="46"/>
      <c r="C112" s="508"/>
      <c r="D112" s="1258"/>
      <c r="E112" s="1259"/>
      <c r="F112" s="1260"/>
      <c r="G112" s="1258"/>
      <c r="H112" s="1259"/>
      <c r="I112" s="1261"/>
      <c r="J112" s="1258"/>
      <c r="K112" s="1259"/>
      <c r="L112" s="1261"/>
      <c r="M112" s="1258"/>
      <c r="N112" s="1259"/>
      <c r="O112" s="1261"/>
      <c r="P112" s="385"/>
      <c r="Q112" s="96"/>
      <c r="R112" s="227"/>
      <c r="U112" s="96"/>
    </row>
    <row r="114" spans="1:16" ht="16.2" thickBot="1">
      <c r="A114" s="1283" t="s">
        <v>946</v>
      </c>
      <c r="P114" s="99" t="s">
        <v>86</v>
      </c>
    </row>
    <row r="115" spans="1:16" ht="16.2" thickBot="1">
      <c r="A115" s="1284" t="s">
        <v>794</v>
      </c>
      <c r="B115" s="367" t="s">
        <v>425</v>
      </c>
      <c r="C115" s="367" t="s">
        <v>545</v>
      </c>
      <c r="D115" s="367" t="s">
        <v>546</v>
      </c>
      <c r="E115" s="367" t="s">
        <v>426</v>
      </c>
      <c r="F115" s="367" t="s">
        <v>547</v>
      </c>
      <c r="G115" s="367" t="s">
        <v>548</v>
      </c>
      <c r="H115" s="367" t="s">
        <v>549</v>
      </c>
      <c r="I115" s="367" t="s">
        <v>550</v>
      </c>
      <c r="J115" s="367" t="s">
        <v>551</v>
      </c>
      <c r="K115" s="367" t="s">
        <v>552</v>
      </c>
      <c r="L115" s="367" t="s">
        <v>553</v>
      </c>
      <c r="M115" s="1346" t="s">
        <v>554</v>
      </c>
      <c r="N115" s="1351" t="s">
        <v>15</v>
      </c>
      <c r="O115" s="1344" t="s">
        <v>818</v>
      </c>
      <c r="P115" s="1345" t="s">
        <v>896</v>
      </c>
    </row>
    <row r="116" spans="1:16" ht="16.2" thickBot="1">
      <c r="A116" s="1341" t="s">
        <v>795</v>
      </c>
      <c r="B116" s="1342" t="e">
        <f>'2. S Plan'!#REF!</f>
        <v>#REF!</v>
      </c>
      <c r="C116" s="1342" t="e">
        <f>'2. S Plan'!#REF!</f>
        <v>#REF!</v>
      </c>
      <c r="D116" s="1342" t="e">
        <f>'2. S Plan'!#REF!</f>
        <v>#REF!</v>
      </c>
      <c r="E116" s="1342" t="e">
        <f>'2. S Plan'!#REF!</f>
        <v>#REF!</v>
      </c>
      <c r="F116" s="1342" t="e">
        <f>'2. S Plan'!#REF!</f>
        <v>#REF!</v>
      </c>
      <c r="G116" s="1342" t="e">
        <f>'2. S Plan'!#REF!</f>
        <v>#REF!</v>
      </c>
      <c r="H116" s="1342" t="e">
        <f>'2. S Plan'!#REF!</f>
        <v>#REF!</v>
      </c>
      <c r="I116" s="1342" t="e">
        <f>'2. S Plan'!#REF!</f>
        <v>#REF!</v>
      </c>
      <c r="J116" s="1342" t="e">
        <f>'2. S Plan'!#REF!</f>
        <v>#REF!</v>
      </c>
      <c r="K116" s="1342" t="e">
        <f>'2. S Plan'!#REF!</f>
        <v>#REF!</v>
      </c>
      <c r="L116" s="1342" t="e">
        <f>'2. S Plan'!#REF!</f>
        <v>#REF!</v>
      </c>
      <c r="M116" s="1347" t="e">
        <f>'2. S Plan'!#REF!</f>
        <v>#REF!</v>
      </c>
      <c r="N116" s="1352" t="e">
        <f>SUM(B116:M116)</f>
        <v>#REF!</v>
      </c>
      <c r="O116" s="1342" t="e">
        <f>AVERAGE(B116:M116)</f>
        <v>#REF!</v>
      </c>
      <c r="P116" s="1343" t="e">
        <f>_xlfn.STDEV.P(B116:M116)</f>
        <v>#REF!</v>
      </c>
    </row>
    <row r="117" spans="1:16" ht="16.2" thickBot="1">
      <c r="A117" s="1337" t="s">
        <v>942</v>
      </c>
      <c r="B117" s="1338" t="e">
        <f t="shared" ref="B117:N117" si="34">B116/D27</f>
        <v>#REF!</v>
      </c>
      <c r="C117" s="1338" t="e">
        <f t="shared" si="34"/>
        <v>#REF!</v>
      </c>
      <c r="D117" s="1338" t="e">
        <f t="shared" si="34"/>
        <v>#REF!</v>
      </c>
      <c r="E117" s="1338" t="e">
        <f t="shared" si="34"/>
        <v>#REF!</v>
      </c>
      <c r="F117" s="1338" t="e">
        <f t="shared" si="34"/>
        <v>#REF!</v>
      </c>
      <c r="G117" s="1338" t="e">
        <f t="shared" si="34"/>
        <v>#REF!</v>
      </c>
      <c r="H117" s="1338" t="e">
        <f t="shared" si="34"/>
        <v>#REF!</v>
      </c>
      <c r="I117" s="1338" t="e">
        <f t="shared" si="34"/>
        <v>#REF!</v>
      </c>
      <c r="J117" s="1338" t="e">
        <f t="shared" si="34"/>
        <v>#REF!</v>
      </c>
      <c r="K117" s="1338" t="e">
        <f t="shared" si="34"/>
        <v>#REF!</v>
      </c>
      <c r="L117" s="1338" t="e">
        <f t="shared" si="34"/>
        <v>#REF!</v>
      </c>
      <c r="M117" s="1348" t="e">
        <f t="shared" si="34"/>
        <v>#REF!</v>
      </c>
      <c r="N117" s="1353" t="e">
        <f t="shared" si="34"/>
        <v>#REF!</v>
      </c>
      <c r="O117" s="1339"/>
      <c r="P117" s="1340"/>
    </row>
    <row r="118" spans="1:16">
      <c r="A118" s="1333" t="s">
        <v>943</v>
      </c>
      <c r="B118" s="1334" t="e">
        <f>'3. P PLAN'!#REF!</f>
        <v>#REF!</v>
      </c>
      <c r="C118" s="1334" t="e">
        <f>'3. P PLAN'!#REF!</f>
        <v>#REF!</v>
      </c>
      <c r="D118" s="1334" t="e">
        <f>'3. P PLAN'!#REF!</f>
        <v>#REF!</v>
      </c>
      <c r="E118" s="1334" t="e">
        <f>'3. P PLAN'!#REF!</f>
        <v>#REF!</v>
      </c>
      <c r="F118" s="1334" t="e">
        <f>'3. P PLAN'!#REF!</f>
        <v>#REF!</v>
      </c>
      <c r="G118" s="1334" t="e">
        <f>'3. P PLAN'!#REF!</f>
        <v>#REF!</v>
      </c>
      <c r="H118" s="1334" t="e">
        <f>'3. P PLAN'!#REF!</f>
        <v>#REF!</v>
      </c>
      <c r="I118" s="1334" t="e">
        <f>'3. P PLAN'!#REF!</f>
        <v>#REF!</v>
      </c>
      <c r="J118" s="1334" t="e">
        <f>'3. P PLAN'!#REF!</f>
        <v>#REF!</v>
      </c>
      <c r="K118" s="1334" t="e">
        <f>'3. P PLAN'!#REF!</f>
        <v>#REF!</v>
      </c>
      <c r="L118" s="1334" t="e">
        <f>'3. P PLAN'!#REF!</f>
        <v>#REF!</v>
      </c>
      <c r="M118" s="1349" t="e">
        <f>'3. P PLAN'!#REF!</f>
        <v>#REF!</v>
      </c>
      <c r="N118" s="1354" t="e">
        <f>SUM(B118:M118)</f>
        <v>#REF!</v>
      </c>
      <c r="O118" s="1335" t="e">
        <f>AVERAGE(B118:M118)</f>
        <v>#REF!</v>
      </c>
      <c r="P118" s="1336" t="e">
        <f>_xlfn.STDEV.P(B118:M118)</f>
        <v>#REF!</v>
      </c>
    </row>
    <row r="119" spans="1:16" ht="16.2" thickBot="1">
      <c r="A119" s="1332" t="s">
        <v>944</v>
      </c>
      <c r="B119" s="1329" t="e">
        <f t="shared" ref="B119:M119" si="35">B116/B118</f>
        <v>#REF!</v>
      </c>
      <c r="C119" s="1329" t="e">
        <f t="shared" si="35"/>
        <v>#REF!</v>
      </c>
      <c r="D119" s="1329" t="e">
        <f t="shared" si="35"/>
        <v>#REF!</v>
      </c>
      <c r="E119" s="1329" t="e">
        <f t="shared" si="35"/>
        <v>#REF!</v>
      </c>
      <c r="F119" s="1329" t="e">
        <f t="shared" si="35"/>
        <v>#REF!</v>
      </c>
      <c r="G119" s="1329" t="e">
        <f t="shared" si="35"/>
        <v>#REF!</v>
      </c>
      <c r="H119" s="1329" t="e">
        <f t="shared" si="35"/>
        <v>#REF!</v>
      </c>
      <c r="I119" s="1329" t="e">
        <f t="shared" si="35"/>
        <v>#REF!</v>
      </c>
      <c r="J119" s="1329" t="e">
        <f t="shared" si="35"/>
        <v>#REF!</v>
      </c>
      <c r="K119" s="1329" t="e">
        <f t="shared" si="35"/>
        <v>#REF!</v>
      </c>
      <c r="L119" s="1329" t="e">
        <f t="shared" si="35"/>
        <v>#REF!</v>
      </c>
      <c r="M119" s="1350" t="e">
        <f t="shared" si="35"/>
        <v>#REF!</v>
      </c>
      <c r="N119" s="1328"/>
      <c r="O119" s="1330" t="e">
        <f>AVERAGE(B119:M119)</f>
        <v>#REF!</v>
      </c>
      <c r="P119" s="1331" t="e">
        <f>_xlfn.STDEV.P(B119:M119)</f>
        <v>#REF!</v>
      </c>
    </row>
    <row r="120" spans="1:16">
      <c r="A120" s="96"/>
      <c r="C120" s="463"/>
      <c r="E120" s="96"/>
      <c r="K120" s="96" t="s">
        <v>945</v>
      </c>
    </row>
  </sheetData>
  <mergeCells count="3">
    <mergeCell ref="A11:B11"/>
    <mergeCell ref="A12:A14"/>
    <mergeCell ref="A96:A97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scale="21" orientation="landscape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BG162"/>
  <sheetViews>
    <sheetView showGridLines="0" topLeftCell="A35" zoomScale="70" zoomScaleNormal="70" workbookViewId="0">
      <selection activeCell="C44" sqref="C44"/>
    </sheetView>
  </sheetViews>
  <sheetFormatPr defaultColWidth="9" defaultRowHeight="15.6"/>
  <cols>
    <col min="1" max="1" width="22.09765625" style="1528" customWidth="1"/>
    <col min="2" max="2" width="22.09765625" style="5" customWidth="1"/>
    <col min="3" max="4" width="15" style="5" bestFit="1" customWidth="1"/>
    <col min="5" max="5" width="13.69921875" style="5" bestFit="1" customWidth="1"/>
    <col min="6" max="6" width="16.09765625" style="1535" customWidth="1"/>
    <col min="7" max="10" width="16.09765625" style="1536" customWidth="1"/>
    <col min="11" max="17" width="16.09765625" style="1535" customWidth="1"/>
    <col min="18" max="18" width="22.09765625" style="1535" customWidth="1"/>
    <col min="19" max="30" width="12.09765625" style="1535" hidden="1" customWidth="1"/>
    <col min="31" max="31" width="16.09765625" style="1535" hidden="1" customWidth="1" collapsed="1"/>
    <col min="32" max="43" width="12.09765625" style="1535" hidden="1" customWidth="1"/>
    <col min="44" max="44" width="16.09765625" style="1535" hidden="1" customWidth="1" collapsed="1"/>
    <col min="45" max="52" width="12.09765625" style="1535" hidden="1" customWidth="1"/>
    <col min="53" max="56" width="12.09765625" style="5" hidden="1" customWidth="1"/>
    <col min="57" max="57" width="16.09765625" style="5" hidden="1" customWidth="1" collapsed="1"/>
    <col min="58" max="58" width="13.8984375" style="5" bestFit="1" customWidth="1"/>
    <col min="59" max="59" width="13" style="5" bestFit="1" customWidth="1"/>
    <col min="60" max="16384" width="9" style="5"/>
  </cols>
  <sheetData>
    <row r="1" spans="1:57" ht="18" customHeight="1">
      <c r="A1" s="1529" t="s">
        <v>38</v>
      </c>
      <c r="B1" s="1530"/>
      <c r="C1" s="1530"/>
      <c r="D1" s="1530"/>
      <c r="E1" s="1530"/>
      <c r="F1" s="1533"/>
      <c r="G1" s="1534"/>
      <c r="H1" s="1534"/>
      <c r="I1" s="1534"/>
      <c r="J1" s="1534"/>
      <c r="K1" s="1533"/>
      <c r="L1" s="1533"/>
      <c r="M1" s="1533"/>
      <c r="N1" s="1533"/>
      <c r="O1" s="1533"/>
      <c r="P1" s="1533"/>
      <c r="Q1" s="1533"/>
      <c r="R1" s="1533"/>
      <c r="S1" s="1533"/>
      <c r="T1" s="1533"/>
      <c r="U1" s="1533"/>
      <c r="V1" s="1533"/>
      <c r="W1" s="1533"/>
      <c r="X1" s="1533"/>
      <c r="Y1" s="1533"/>
      <c r="Z1" s="1533"/>
      <c r="AA1" s="1533"/>
      <c r="AB1" s="1533"/>
      <c r="AC1" s="1533"/>
      <c r="AD1" s="1533"/>
      <c r="AE1" s="1533"/>
      <c r="AF1" s="1533"/>
      <c r="AG1" s="1533"/>
      <c r="AH1" s="1533"/>
      <c r="AI1" s="1533"/>
      <c r="AJ1" s="1533"/>
      <c r="AK1" s="1533"/>
      <c r="AL1" s="1533"/>
      <c r="AM1" s="1533"/>
      <c r="AN1" s="1533"/>
      <c r="AO1" s="1533"/>
      <c r="AP1" s="1533"/>
      <c r="AQ1" s="1533"/>
      <c r="AR1" s="1533"/>
      <c r="AS1" s="1533"/>
      <c r="AT1" s="1533"/>
      <c r="AU1" s="1533"/>
      <c r="AV1" s="1533"/>
      <c r="AW1" s="1533"/>
      <c r="AX1" s="1533"/>
      <c r="AY1" s="1533"/>
      <c r="AZ1" s="1533"/>
      <c r="BA1" s="1532"/>
      <c r="BB1" s="1532"/>
      <c r="BC1" s="1532"/>
      <c r="BD1" s="1532"/>
      <c r="BE1" s="1532"/>
    </row>
    <row r="2" spans="1:57" ht="18" customHeight="1"/>
    <row r="3" spans="1:57" ht="18" customHeight="1" thickBot="1">
      <c r="A3" s="1538" t="s">
        <v>371</v>
      </c>
      <c r="B3" s="1511"/>
      <c r="C3" s="1511"/>
      <c r="D3" s="2146"/>
      <c r="E3" s="1511"/>
      <c r="R3" s="1785" t="s">
        <v>349</v>
      </c>
      <c r="AE3" s="1785" t="s">
        <v>349</v>
      </c>
      <c r="AR3" s="1785" t="s">
        <v>349</v>
      </c>
      <c r="BE3" s="1537" t="s">
        <v>349</v>
      </c>
    </row>
    <row r="4" spans="1:57" ht="18" customHeight="1" thickBot="1">
      <c r="A4" s="81" t="s">
        <v>111</v>
      </c>
      <c r="B4" s="65" t="s">
        <v>123</v>
      </c>
      <c r="C4" s="74"/>
      <c r="D4" s="74"/>
      <c r="E4" s="1680" t="s">
        <v>350</v>
      </c>
      <c r="F4" s="4490" t="str">
        <f>'2. S Plan'!L4</f>
        <v>Jan.26</v>
      </c>
      <c r="G4" s="5005" t="str">
        <f>'2. S Plan'!M4</f>
        <v>Feb.26</v>
      </c>
      <c r="H4" s="5494" t="str">
        <f>'2. S Plan'!N4</f>
        <v>Mar.26</v>
      </c>
      <c r="I4" s="4490" t="str">
        <f>'2. S Plan'!O4</f>
        <v>Apr.26</v>
      </c>
      <c r="J4" s="5005" t="str">
        <f>'2. S Plan'!P4</f>
        <v>May.26</v>
      </c>
      <c r="K4" s="1843" t="str">
        <f>'2. S Plan'!Q4</f>
        <v>Jun.26</v>
      </c>
      <c r="L4" s="1841" t="str">
        <f>'2. S Plan'!R4</f>
        <v>Jul.26</v>
      </c>
      <c r="M4" s="1842" t="str">
        <f>'2. S Plan'!S4</f>
        <v>Aug.26</v>
      </c>
      <c r="N4" s="1843" t="str">
        <f>'2. S Plan'!T4</f>
        <v>Sep.26</v>
      </c>
      <c r="O4" s="1841" t="str">
        <f>'2. S Plan'!U4</f>
        <v>Oct.26</v>
      </c>
      <c r="P4" s="1842" t="str">
        <f>'2. S Plan'!V4</f>
        <v>Nov.26</v>
      </c>
      <c r="Q4" s="1843" t="str">
        <f>'2. S Plan'!W4</f>
        <v>Dec.26</v>
      </c>
      <c r="R4" s="2472" t="str">
        <f>'2. S Plan'!X4</f>
        <v>2026
Total</v>
      </c>
      <c r="S4" s="1841" t="e">
        <f>'2. S Plan'!#REF!</f>
        <v>#REF!</v>
      </c>
      <c r="T4" s="1842" t="e">
        <f>'2. S Plan'!#REF!</f>
        <v>#REF!</v>
      </c>
      <c r="U4" s="1843" t="e">
        <f>'2. S Plan'!#REF!</f>
        <v>#REF!</v>
      </c>
      <c r="V4" s="1841" t="e">
        <f>'2. S Plan'!#REF!</f>
        <v>#REF!</v>
      </c>
      <c r="W4" s="1842" t="e">
        <f>'2. S Plan'!#REF!</f>
        <v>#REF!</v>
      </c>
      <c r="X4" s="1843" t="e">
        <f>'2. S Plan'!#REF!</f>
        <v>#REF!</v>
      </c>
      <c r="Y4" s="1841" t="e">
        <f>'2. S Plan'!#REF!</f>
        <v>#REF!</v>
      </c>
      <c r="Z4" s="1842" t="e">
        <f>'2. S Plan'!#REF!</f>
        <v>#REF!</v>
      </c>
      <c r="AA4" s="1843" t="e">
        <f>'2. S Plan'!#REF!</f>
        <v>#REF!</v>
      </c>
      <c r="AB4" s="1841" t="e">
        <f>'2. S Plan'!#REF!</f>
        <v>#REF!</v>
      </c>
      <c r="AC4" s="1842" t="e">
        <f>'2. S Plan'!#REF!</f>
        <v>#REF!</v>
      </c>
      <c r="AD4" s="1843" t="e">
        <f>'2. S Plan'!#REF!</f>
        <v>#REF!</v>
      </c>
      <c r="AE4" s="2472" t="e">
        <f>'2. S Plan'!#REF!</f>
        <v>#REF!</v>
      </c>
      <c r="AF4" s="1841" t="e">
        <f>'2. S Plan'!#REF!</f>
        <v>#REF!</v>
      </c>
      <c r="AG4" s="1842" t="e">
        <f>'2. S Plan'!#REF!</f>
        <v>#REF!</v>
      </c>
      <c r="AH4" s="1843" t="e">
        <f>'2. S Plan'!#REF!</f>
        <v>#REF!</v>
      </c>
      <c r="AI4" s="1841" t="e">
        <f>'2. S Plan'!#REF!</f>
        <v>#REF!</v>
      </c>
      <c r="AJ4" s="1842" t="e">
        <f>'2. S Plan'!#REF!</f>
        <v>#REF!</v>
      </c>
      <c r="AK4" s="1843" t="e">
        <f>'2. S Plan'!#REF!</f>
        <v>#REF!</v>
      </c>
      <c r="AL4" s="1841" t="e">
        <f>'2. S Plan'!#REF!</f>
        <v>#REF!</v>
      </c>
      <c r="AM4" s="1842" t="e">
        <f>'2. S Plan'!#REF!</f>
        <v>#REF!</v>
      </c>
      <c r="AN4" s="1843" t="e">
        <f>'2. S Plan'!#REF!</f>
        <v>#REF!</v>
      </c>
      <c r="AO4" s="1841" t="e">
        <f>'2. S Plan'!#REF!</f>
        <v>#REF!</v>
      </c>
      <c r="AP4" s="1842" t="e">
        <f>'2. S Plan'!#REF!</f>
        <v>#REF!</v>
      </c>
      <c r="AQ4" s="1843" t="e">
        <f>'2. S Plan'!#REF!</f>
        <v>#REF!</v>
      </c>
      <c r="AR4" s="2472" t="e">
        <f>'2. S Plan'!#REF!</f>
        <v>#REF!</v>
      </c>
      <c r="AS4" s="1841" t="e">
        <f>'2. S Plan'!#REF!</f>
        <v>#REF!</v>
      </c>
      <c r="AT4" s="1842" t="e">
        <f>'2. S Plan'!#REF!</f>
        <v>#REF!</v>
      </c>
      <c r="AU4" s="1843" t="e">
        <f>'2. S Plan'!#REF!</f>
        <v>#REF!</v>
      </c>
      <c r="AV4" s="1841" t="e">
        <f>'2. S Plan'!#REF!</f>
        <v>#REF!</v>
      </c>
      <c r="AW4" s="1842" t="e">
        <f>'2. S Plan'!#REF!</f>
        <v>#REF!</v>
      </c>
      <c r="AX4" s="1843" t="e">
        <f>'2. S Plan'!#REF!</f>
        <v>#REF!</v>
      </c>
      <c r="AY4" s="1841" t="e">
        <f>'2. S Plan'!#REF!</f>
        <v>#REF!</v>
      </c>
      <c r="AZ4" s="1842" t="e">
        <f>'2. S Plan'!#REF!</f>
        <v>#REF!</v>
      </c>
      <c r="BA4" s="1540" t="e">
        <f>'2. S Plan'!#REF!</f>
        <v>#REF!</v>
      </c>
      <c r="BB4" s="1539" t="e">
        <f>'2. S Plan'!#REF!</f>
        <v>#REF!</v>
      </c>
      <c r="BC4" s="74" t="e">
        <f>'2. S Plan'!#REF!</f>
        <v>#REF!</v>
      </c>
      <c r="BD4" s="1540" t="e">
        <f>'2. S Plan'!#REF!</f>
        <v>#REF!</v>
      </c>
      <c r="BE4" s="1541" t="e">
        <f>'2. S Plan'!#REF!</f>
        <v>#REF!</v>
      </c>
    </row>
    <row r="5" spans="1:57" ht="18" customHeight="1">
      <c r="A5" s="7411" t="s">
        <v>311</v>
      </c>
      <c r="B5" s="1672" t="s">
        <v>808</v>
      </c>
      <c r="C5" s="2156"/>
      <c r="D5" s="1672"/>
      <c r="E5" s="1641">
        <v>5</v>
      </c>
      <c r="F5" s="4654">
        <v>5</v>
      </c>
      <c r="G5" s="5235">
        <f>F5</f>
        <v>5</v>
      </c>
      <c r="H5" s="5601">
        <f>G5</f>
        <v>5</v>
      </c>
      <c r="I5" s="4654">
        <f t="shared" ref="I5:Q6" si="0">H5</f>
        <v>5</v>
      </c>
      <c r="J5" s="5235">
        <f t="shared" si="0"/>
        <v>5</v>
      </c>
      <c r="K5" s="1707">
        <f t="shared" si="0"/>
        <v>5</v>
      </c>
      <c r="L5" s="2147">
        <f t="shared" si="0"/>
        <v>5</v>
      </c>
      <c r="M5" s="1706">
        <f t="shared" si="0"/>
        <v>5</v>
      </c>
      <c r="N5" s="1707">
        <f t="shared" si="0"/>
        <v>5</v>
      </c>
      <c r="O5" s="2147">
        <f t="shared" si="0"/>
        <v>5</v>
      </c>
      <c r="P5" s="1706">
        <f t="shared" si="0"/>
        <v>5</v>
      </c>
      <c r="Q5" s="1707">
        <f t="shared" si="0"/>
        <v>5</v>
      </c>
      <c r="R5" s="2480">
        <f>AVERAGE(F5:Q5)</f>
        <v>5</v>
      </c>
      <c r="S5" s="2147">
        <v>6</v>
      </c>
      <c r="T5" s="1706">
        <f>S5</f>
        <v>6</v>
      </c>
      <c r="U5" s="1707">
        <v>5</v>
      </c>
      <c r="V5" s="2147">
        <f t="shared" ref="V5:V7" si="1">U5</f>
        <v>5</v>
      </c>
      <c r="W5" s="1706">
        <f t="shared" ref="W5:W7" si="2">V5</f>
        <v>5</v>
      </c>
      <c r="X5" s="1707">
        <f t="shared" ref="X5:X7" si="3">W5</f>
        <v>5</v>
      </c>
      <c r="Y5" s="2147">
        <f t="shared" ref="Y5:Y7" si="4">X5</f>
        <v>5</v>
      </c>
      <c r="Z5" s="1706">
        <f t="shared" ref="Z5:Z7" si="5">Y5</f>
        <v>5</v>
      </c>
      <c r="AA5" s="1707">
        <f t="shared" ref="AA5:AA7" si="6">Z5</f>
        <v>5</v>
      </c>
      <c r="AB5" s="2147">
        <f t="shared" ref="AB5:AB7" si="7">AA5</f>
        <v>5</v>
      </c>
      <c r="AC5" s="1706">
        <f t="shared" ref="AC5:AC7" si="8">AB5</f>
        <v>5</v>
      </c>
      <c r="AD5" s="1707">
        <f t="shared" ref="AD5" si="9">AC5</f>
        <v>5</v>
      </c>
      <c r="AE5" s="2480">
        <f>AVERAGE(S5:AD5)</f>
        <v>5.166666666666667</v>
      </c>
      <c r="AF5" s="2147">
        <v>6</v>
      </c>
      <c r="AG5" s="1706">
        <f>AF5</f>
        <v>6</v>
      </c>
      <c r="AH5" s="1707">
        <v>5</v>
      </c>
      <c r="AI5" s="2147">
        <f t="shared" ref="AI5:AI7" si="10">AH5</f>
        <v>5</v>
      </c>
      <c r="AJ5" s="1706">
        <f t="shared" ref="AJ5:AJ7" si="11">AI5</f>
        <v>5</v>
      </c>
      <c r="AK5" s="1707">
        <f t="shared" ref="AK5:AK7" si="12">AJ5</f>
        <v>5</v>
      </c>
      <c r="AL5" s="2147">
        <f t="shared" ref="AL5:AL7" si="13">AK5</f>
        <v>5</v>
      </c>
      <c r="AM5" s="1706">
        <f t="shared" ref="AM5:AM7" si="14">AL5</f>
        <v>5</v>
      </c>
      <c r="AN5" s="1707">
        <f t="shared" ref="AN5:AN7" si="15">AM5</f>
        <v>5</v>
      </c>
      <c r="AO5" s="2147">
        <f t="shared" ref="AO5:AO7" si="16">AN5</f>
        <v>5</v>
      </c>
      <c r="AP5" s="1706">
        <f t="shared" ref="AP5:AP7" si="17">AO5</f>
        <v>5</v>
      </c>
      <c r="AQ5" s="1707">
        <f t="shared" ref="AQ5" si="18">AP5</f>
        <v>5</v>
      </c>
      <c r="AR5" s="2480">
        <f>AVERAGE(AF5:AQ5)</f>
        <v>5.166666666666667</v>
      </c>
      <c r="AS5" s="2147">
        <v>6</v>
      </c>
      <c r="AT5" s="1706">
        <f>AS5</f>
        <v>6</v>
      </c>
      <c r="AU5" s="1707">
        <v>5</v>
      </c>
      <c r="AV5" s="2147">
        <f t="shared" ref="AV5:AV7" si="19">AU5</f>
        <v>5</v>
      </c>
      <c r="AW5" s="1706">
        <f t="shared" ref="AW5:AW7" si="20">AV5</f>
        <v>5</v>
      </c>
      <c r="AX5" s="1707">
        <f t="shared" ref="AX5:AX7" si="21">AW5</f>
        <v>5</v>
      </c>
      <c r="AY5" s="2147">
        <f t="shared" ref="AY5:AY7" si="22">AX5</f>
        <v>5</v>
      </c>
      <c r="AZ5" s="1706">
        <f t="shared" ref="AZ5:AZ7" si="23">AY5</f>
        <v>5</v>
      </c>
      <c r="BA5" s="1707">
        <f t="shared" ref="BA5:BA7" si="24">AZ5</f>
        <v>5</v>
      </c>
      <c r="BB5" s="2147">
        <f t="shared" ref="BB5:BB7" si="25">BA5</f>
        <v>5</v>
      </c>
      <c r="BC5" s="1706">
        <f t="shared" ref="BC5:BC7" si="26">BB5</f>
        <v>5</v>
      </c>
      <c r="BD5" s="1707">
        <f t="shared" ref="BD5" si="27">BC5</f>
        <v>5</v>
      </c>
      <c r="BE5" s="1545">
        <f>AVERAGE(AS5:BD5)</f>
        <v>5.166666666666667</v>
      </c>
    </row>
    <row r="6" spans="1:57" ht="18" customHeight="1">
      <c r="A6" s="7412"/>
      <c r="B6" s="2000" t="s">
        <v>429</v>
      </c>
      <c r="C6" s="2156"/>
      <c r="D6" s="2000"/>
      <c r="E6" s="1647">
        <v>2</v>
      </c>
      <c r="F6" s="4551">
        <v>2</v>
      </c>
      <c r="G6" s="5006">
        <f>F6</f>
        <v>2</v>
      </c>
      <c r="H6" s="5498">
        <f t="shared" ref="H6" si="28">G6</f>
        <v>2</v>
      </c>
      <c r="I6" s="5073">
        <f t="shared" si="0"/>
        <v>2</v>
      </c>
      <c r="J6" s="5006">
        <v>1</v>
      </c>
      <c r="K6" s="1643">
        <f t="shared" si="0"/>
        <v>1</v>
      </c>
      <c r="L6" s="1767">
        <f t="shared" si="0"/>
        <v>1</v>
      </c>
      <c r="M6" s="1642">
        <f t="shared" si="0"/>
        <v>1</v>
      </c>
      <c r="N6" s="1643">
        <f t="shared" si="0"/>
        <v>1</v>
      </c>
      <c r="O6" s="1767">
        <f t="shared" si="0"/>
        <v>1</v>
      </c>
      <c r="P6" s="1642">
        <f t="shared" si="0"/>
        <v>1</v>
      </c>
      <c r="Q6" s="1643">
        <f t="shared" si="0"/>
        <v>1</v>
      </c>
      <c r="R6" s="2085">
        <f t="shared" ref="R6:R13" si="29">AVERAGE(F6:Q6)</f>
        <v>1.3333333333333333</v>
      </c>
      <c r="S6" s="1759">
        <v>1</v>
      </c>
      <c r="T6" s="1642">
        <f>S6</f>
        <v>1</v>
      </c>
      <c r="U6" s="1643">
        <f t="shared" ref="U6" si="30">T6</f>
        <v>1</v>
      </c>
      <c r="V6" s="1759">
        <f t="shared" si="1"/>
        <v>1</v>
      </c>
      <c r="W6" s="1642">
        <f t="shared" si="2"/>
        <v>1</v>
      </c>
      <c r="X6" s="1643">
        <f t="shared" si="3"/>
        <v>1</v>
      </c>
      <c r="Y6" s="1759">
        <f t="shared" si="4"/>
        <v>1</v>
      </c>
      <c r="Z6" s="1642">
        <f t="shared" si="5"/>
        <v>1</v>
      </c>
      <c r="AA6" s="1643">
        <f t="shared" si="6"/>
        <v>1</v>
      </c>
      <c r="AB6" s="1759">
        <f t="shared" si="7"/>
        <v>1</v>
      </c>
      <c r="AC6" s="1642">
        <f t="shared" si="8"/>
        <v>1</v>
      </c>
      <c r="AD6" s="1643">
        <f>AC6</f>
        <v>1</v>
      </c>
      <c r="AE6" s="2085">
        <f t="shared" ref="AE6:AE13" si="31">AVERAGE(S6:AD6)</f>
        <v>1</v>
      </c>
      <c r="AF6" s="1759">
        <v>1</v>
      </c>
      <c r="AG6" s="1642">
        <f>AF6</f>
        <v>1</v>
      </c>
      <c r="AH6" s="1643">
        <f t="shared" ref="AH6" si="32">AG6</f>
        <v>1</v>
      </c>
      <c r="AI6" s="1759">
        <f t="shared" si="10"/>
        <v>1</v>
      </c>
      <c r="AJ6" s="1642">
        <f t="shared" si="11"/>
        <v>1</v>
      </c>
      <c r="AK6" s="1643">
        <f t="shared" si="12"/>
        <v>1</v>
      </c>
      <c r="AL6" s="1759">
        <f t="shared" si="13"/>
        <v>1</v>
      </c>
      <c r="AM6" s="1642">
        <f t="shared" si="14"/>
        <v>1</v>
      </c>
      <c r="AN6" s="1643">
        <f t="shared" si="15"/>
        <v>1</v>
      </c>
      <c r="AO6" s="1759">
        <f t="shared" si="16"/>
        <v>1</v>
      </c>
      <c r="AP6" s="1642">
        <f t="shared" si="17"/>
        <v>1</v>
      </c>
      <c r="AQ6" s="1643">
        <f>AP6</f>
        <v>1</v>
      </c>
      <c r="AR6" s="2085">
        <f t="shared" ref="AR6:AR13" si="33">AVERAGE(AF6:AQ6)</f>
        <v>1</v>
      </c>
      <c r="AS6" s="1759">
        <v>1</v>
      </c>
      <c r="AT6" s="1642">
        <f>AS6</f>
        <v>1</v>
      </c>
      <c r="AU6" s="1643">
        <f t="shared" ref="AU6" si="34">AT6</f>
        <v>1</v>
      </c>
      <c r="AV6" s="1759">
        <f t="shared" si="19"/>
        <v>1</v>
      </c>
      <c r="AW6" s="1642">
        <f t="shared" si="20"/>
        <v>1</v>
      </c>
      <c r="AX6" s="1643">
        <f t="shared" si="21"/>
        <v>1</v>
      </c>
      <c r="AY6" s="1759">
        <f t="shared" si="22"/>
        <v>1</v>
      </c>
      <c r="AZ6" s="1642">
        <f t="shared" si="23"/>
        <v>1</v>
      </c>
      <c r="BA6" s="1643">
        <f t="shared" si="24"/>
        <v>1</v>
      </c>
      <c r="BB6" s="1759">
        <f t="shared" si="25"/>
        <v>1</v>
      </c>
      <c r="BC6" s="1642">
        <f t="shared" si="26"/>
        <v>1</v>
      </c>
      <c r="BD6" s="1643">
        <f>BC6</f>
        <v>1</v>
      </c>
      <c r="BE6" s="1557">
        <f t="shared" ref="BE6:BE13" si="35">AVERAGE(AS6:BD6)</f>
        <v>1</v>
      </c>
    </row>
    <row r="7" spans="1:57" ht="18" customHeight="1">
      <c r="A7" s="7412"/>
      <c r="B7" s="1658" t="s">
        <v>306</v>
      </c>
      <c r="C7" s="2156"/>
      <c r="D7" s="1658"/>
      <c r="E7" s="1647">
        <v>2</v>
      </c>
      <c r="F7" s="4551">
        <v>3</v>
      </c>
      <c r="G7" s="5006">
        <f>3</f>
        <v>3</v>
      </c>
      <c r="H7" s="5499">
        <f>3</f>
        <v>3</v>
      </c>
      <c r="I7" s="5073">
        <f>3</f>
        <v>3</v>
      </c>
      <c r="J7" s="5006">
        <f>3</f>
        <v>3</v>
      </c>
      <c r="K7" s="1718">
        <v>3</v>
      </c>
      <c r="L7" s="1767">
        <v>3</v>
      </c>
      <c r="M7" s="1642">
        <v>3</v>
      </c>
      <c r="N7" s="1718">
        <v>3</v>
      </c>
      <c r="O7" s="1767">
        <v>3</v>
      </c>
      <c r="P7" s="1642">
        <v>3</v>
      </c>
      <c r="Q7" s="1642">
        <v>3</v>
      </c>
      <c r="R7" s="2085">
        <f t="shared" si="29"/>
        <v>3</v>
      </c>
      <c r="S7" s="1759">
        <v>3</v>
      </c>
      <c r="T7" s="1642">
        <v>3</v>
      </c>
      <c r="U7" s="1643">
        <v>3</v>
      </c>
      <c r="V7" s="1759">
        <f t="shared" si="1"/>
        <v>3</v>
      </c>
      <c r="W7" s="1642">
        <f t="shared" si="2"/>
        <v>3</v>
      </c>
      <c r="X7" s="1643">
        <f t="shared" si="3"/>
        <v>3</v>
      </c>
      <c r="Y7" s="1759">
        <f t="shared" si="4"/>
        <v>3</v>
      </c>
      <c r="Z7" s="1642">
        <f t="shared" si="5"/>
        <v>3</v>
      </c>
      <c r="AA7" s="1643">
        <f t="shared" si="6"/>
        <v>3</v>
      </c>
      <c r="AB7" s="1759">
        <f t="shared" si="7"/>
        <v>3</v>
      </c>
      <c r="AC7" s="1642">
        <f t="shared" si="8"/>
        <v>3</v>
      </c>
      <c r="AD7" s="1643">
        <f>AC7</f>
        <v>3</v>
      </c>
      <c r="AE7" s="2085">
        <f t="shared" si="31"/>
        <v>3</v>
      </c>
      <c r="AF7" s="1759">
        <v>3</v>
      </c>
      <c r="AG7" s="1642">
        <v>3</v>
      </c>
      <c r="AH7" s="1643">
        <v>3</v>
      </c>
      <c r="AI7" s="1759">
        <f t="shared" si="10"/>
        <v>3</v>
      </c>
      <c r="AJ7" s="1642">
        <f t="shared" si="11"/>
        <v>3</v>
      </c>
      <c r="AK7" s="1643">
        <f t="shared" si="12"/>
        <v>3</v>
      </c>
      <c r="AL7" s="1759">
        <f t="shared" si="13"/>
        <v>3</v>
      </c>
      <c r="AM7" s="1642">
        <f t="shared" si="14"/>
        <v>3</v>
      </c>
      <c r="AN7" s="1643">
        <f t="shared" si="15"/>
        <v>3</v>
      </c>
      <c r="AO7" s="1759">
        <f t="shared" si="16"/>
        <v>3</v>
      </c>
      <c r="AP7" s="1642">
        <f t="shared" si="17"/>
        <v>3</v>
      </c>
      <c r="AQ7" s="1643">
        <f>AP7</f>
        <v>3</v>
      </c>
      <c r="AR7" s="2085">
        <f t="shared" si="33"/>
        <v>3</v>
      </c>
      <c r="AS7" s="1759">
        <v>3</v>
      </c>
      <c r="AT7" s="1642">
        <v>3</v>
      </c>
      <c r="AU7" s="1643">
        <v>3</v>
      </c>
      <c r="AV7" s="1759">
        <f t="shared" si="19"/>
        <v>3</v>
      </c>
      <c r="AW7" s="1642">
        <f t="shared" si="20"/>
        <v>3</v>
      </c>
      <c r="AX7" s="1643">
        <f t="shared" si="21"/>
        <v>3</v>
      </c>
      <c r="AY7" s="1759">
        <f t="shared" si="22"/>
        <v>3</v>
      </c>
      <c r="AZ7" s="1642">
        <f t="shared" si="23"/>
        <v>3</v>
      </c>
      <c r="BA7" s="1643">
        <f t="shared" si="24"/>
        <v>3</v>
      </c>
      <c r="BB7" s="1759">
        <f t="shared" si="25"/>
        <v>3</v>
      </c>
      <c r="BC7" s="1642">
        <f t="shared" si="26"/>
        <v>3</v>
      </c>
      <c r="BD7" s="1643">
        <f>BC7</f>
        <v>3</v>
      </c>
      <c r="BE7" s="1557">
        <f t="shared" si="35"/>
        <v>3</v>
      </c>
    </row>
    <row r="8" spans="1:57" ht="18" customHeight="1">
      <c r="A8" s="2148"/>
      <c r="B8" s="1726" t="s">
        <v>352</v>
      </c>
      <c r="C8" s="2149"/>
      <c r="D8" s="2150"/>
      <c r="E8" s="2151">
        <f t="shared" ref="E8" si="36">SUM(E5:E7)</f>
        <v>9</v>
      </c>
      <c r="F8" s="4494">
        <f>SUM(F5:F7)</f>
        <v>10</v>
      </c>
      <c r="G8" s="4734">
        <f>SUM(G5:G7)</f>
        <v>10</v>
      </c>
      <c r="H8" s="5510">
        <f>SUM(H5:H7)</f>
        <v>10</v>
      </c>
      <c r="I8" s="4494">
        <f t="shared" ref="I8:Q8" si="37">SUM(I5:I7)</f>
        <v>10</v>
      </c>
      <c r="J8" s="4734">
        <f t="shared" si="37"/>
        <v>9</v>
      </c>
      <c r="K8" s="1733">
        <f t="shared" si="37"/>
        <v>9</v>
      </c>
      <c r="L8" s="1805">
        <f t="shared" si="37"/>
        <v>9</v>
      </c>
      <c r="M8" s="1732">
        <f t="shared" si="37"/>
        <v>9</v>
      </c>
      <c r="N8" s="1733">
        <f t="shared" si="37"/>
        <v>9</v>
      </c>
      <c r="O8" s="1805">
        <f t="shared" si="37"/>
        <v>9</v>
      </c>
      <c r="P8" s="1732">
        <f t="shared" si="37"/>
        <v>9</v>
      </c>
      <c r="Q8" s="1733">
        <f t="shared" si="37"/>
        <v>9</v>
      </c>
      <c r="R8" s="2108">
        <f t="shared" si="29"/>
        <v>9.3333333333333339</v>
      </c>
      <c r="S8" s="1805">
        <f>SUM(S5:S7)</f>
        <v>10</v>
      </c>
      <c r="T8" s="1732">
        <f>SUM(T5:T7)</f>
        <v>10</v>
      </c>
      <c r="U8" s="1733">
        <f>SUM(U5:U7)</f>
        <v>9</v>
      </c>
      <c r="V8" s="1805">
        <f t="shared" ref="V8:AD8" si="38">SUM(V5:V7)</f>
        <v>9</v>
      </c>
      <c r="W8" s="1732">
        <f t="shared" si="38"/>
        <v>9</v>
      </c>
      <c r="X8" s="1733">
        <f t="shared" si="38"/>
        <v>9</v>
      </c>
      <c r="Y8" s="1805">
        <f t="shared" si="38"/>
        <v>9</v>
      </c>
      <c r="Z8" s="1732">
        <f t="shared" si="38"/>
        <v>9</v>
      </c>
      <c r="AA8" s="1733">
        <f t="shared" si="38"/>
        <v>9</v>
      </c>
      <c r="AB8" s="1805">
        <f t="shared" si="38"/>
        <v>9</v>
      </c>
      <c r="AC8" s="1732">
        <f t="shared" si="38"/>
        <v>9</v>
      </c>
      <c r="AD8" s="1733">
        <f t="shared" si="38"/>
        <v>9</v>
      </c>
      <c r="AE8" s="2108">
        <f t="shared" si="31"/>
        <v>9.1666666666666661</v>
      </c>
      <c r="AF8" s="1805">
        <f>SUM(AF5:AF7)</f>
        <v>10</v>
      </c>
      <c r="AG8" s="1732">
        <f>SUM(AG5:AG7)</f>
        <v>10</v>
      </c>
      <c r="AH8" s="1733">
        <f>SUM(AH5:AH7)</f>
        <v>9</v>
      </c>
      <c r="AI8" s="1805">
        <f t="shared" ref="AI8:AQ8" si="39">SUM(AI5:AI7)</f>
        <v>9</v>
      </c>
      <c r="AJ8" s="1732">
        <f t="shared" si="39"/>
        <v>9</v>
      </c>
      <c r="AK8" s="1733">
        <f t="shared" si="39"/>
        <v>9</v>
      </c>
      <c r="AL8" s="1805">
        <f t="shared" si="39"/>
        <v>9</v>
      </c>
      <c r="AM8" s="1732">
        <f t="shared" si="39"/>
        <v>9</v>
      </c>
      <c r="AN8" s="1733">
        <f t="shared" si="39"/>
        <v>9</v>
      </c>
      <c r="AO8" s="1805">
        <f t="shared" si="39"/>
        <v>9</v>
      </c>
      <c r="AP8" s="1732">
        <f t="shared" si="39"/>
        <v>9</v>
      </c>
      <c r="AQ8" s="1733">
        <f t="shared" si="39"/>
        <v>9</v>
      </c>
      <c r="AR8" s="2108">
        <f t="shared" si="33"/>
        <v>9.1666666666666661</v>
      </c>
      <c r="AS8" s="1805">
        <f>SUM(AS5:AS7)</f>
        <v>10</v>
      </c>
      <c r="AT8" s="1732">
        <f>SUM(AT5:AT7)</f>
        <v>10</v>
      </c>
      <c r="AU8" s="1733">
        <f>SUM(AU5:AU7)</f>
        <v>9</v>
      </c>
      <c r="AV8" s="1805">
        <f t="shared" ref="AV8:BD8" si="40">SUM(AV5:AV7)</f>
        <v>9</v>
      </c>
      <c r="AW8" s="1732">
        <f t="shared" si="40"/>
        <v>9</v>
      </c>
      <c r="AX8" s="1733">
        <f t="shared" si="40"/>
        <v>9</v>
      </c>
      <c r="AY8" s="1805">
        <f t="shared" si="40"/>
        <v>9</v>
      </c>
      <c r="AZ8" s="1732">
        <f t="shared" si="40"/>
        <v>9</v>
      </c>
      <c r="BA8" s="1733">
        <f t="shared" si="40"/>
        <v>9</v>
      </c>
      <c r="BB8" s="1805">
        <f t="shared" si="40"/>
        <v>9</v>
      </c>
      <c r="BC8" s="1732">
        <f t="shared" si="40"/>
        <v>9</v>
      </c>
      <c r="BD8" s="1733">
        <f t="shared" si="40"/>
        <v>9</v>
      </c>
      <c r="BE8" s="1566">
        <f t="shared" si="35"/>
        <v>9.1666666666666661</v>
      </c>
    </row>
    <row r="9" spans="1:57" ht="18" customHeight="1">
      <c r="A9" s="7413" t="s">
        <v>353</v>
      </c>
      <c r="B9" s="2152" t="s">
        <v>354</v>
      </c>
      <c r="C9" s="2153"/>
      <c r="D9" s="2154"/>
      <c r="E9" s="2155">
        <v>1</v>
      </c>
      <c r="F9" s="4655">
        <v>1</v>
      </c>
      <c r="G9" s="4655">
        <f t="shared" ref="G9:Q9" si="41">F9</f>
        <v>1</v>
      </c>
      <c r="H9" s="5582">
        <f t="shared" si="41"/>
        <v>1</v>
      </c>
      <c r="I9" s="4550">
        <f t="shared" si="41"/>
        <v>1</v>
      </c>
      <c r="J9" s="4655">
        <f t="shared" si="41"/>
        <v>1</v>
      </c>
      <c r="K9" s="1741">
        <f t="shared" si="41"/>
        <v>1</v>
      </c>
      <c r="L9" s="2088">
        <f t="shared" si="41"/>
        <v>1</v>
      </c>
      <c r="M9" s="1740">
        <f t="shared" si="41"/>
        <v>1</v>
      </c>
      <c r="N9" s="1741">
        <f t="shared" si="41"/>
        <v>1</v>
      </c>
      <c r="O9" s="2088">
        <f t="shared" si="41"/>
        <v>1</v>
      </c>
      <c r="P9" s="1740">
        <f t="shared" si="41"/>
        <v>1</v>
      </c>
      <c r="Q9" s="1741">
        <f t="shared" si="41"/>
        <v>1</v>
      </c>
      <c r="R9" s="2089">
        <f t="shared" si="29"/>
        <v>1</v>
      </c>
      <c r="S9" s="1740">
        <v>2</v>
      </c>
      <c r="T9" s="1740">
        <v>2</v>
      </c>
      <c r="U9" s="1741">
        <v>2</v>
      </c>
      <c r="V9" s="2088">
        <f t="shared" ref="V9" si="42">U9</f>
        <v>2</v>
      </c>
      <c r="W9" s="1740">
        <f t="shared" ref="W9" si="43">V9</f>
        <v>2</v>
      </c>
      <c r="X9" s="1741">
        <f t="shared" ref="X9" si="44">W9</f>
        <v>2</v>
      </c>
      <c r="Y9" s="2088">
        <f t="shared" ref="Y9" si="45">X9</f>
        <v>2</v>
      </c>
      <c r="Z9" s="1740">
        <f t="shared" ref="Z9" si="46">Y9</f>
        <v>2</v>
      </c>
      <c r="AA9" s="1741">
        <f t="shared" ref="AA9" si="47">Z9</f>
        <v>2</v>
      </c>
      <c r="AB9" s="2088">
        <f t="shared" ref="AB9" si="48">AA9</f>
        <v>2</v>
      </c>
      <c r="AC9" s="1740">
        <f t="shared" ref="AC9" si="49">AB9</f>
        <v>2</v>
      </c>
      <c r="AD9" s="1741">
        <f t="shared" ref="AD9" si="50">AC9</f>
        <v>2</v>
      </c>
      <c r="AE9" s="2089">
        <f t="shared" si="31"/>
        <v>2</v>
      </c>
      <c r="AF9" s="1740">
        <v>2</v>
      </c>
      <c r="AG9" s="1740">
        <v>2</v>
      </c>
      <c r="AH9" s="1741">
        <v>2</v>
      </c>
      <c r="AI9" s="2088">
        <f t="shared" ref="AI9" si="51">AH9</f>
        <v>2</v>
      </c>
      <c r="AJ9" s="1740">
        <f t="shared" ref="AJ9" si="52">AI9</f>
        <v>2</v>
      </c>
      <c r="AK9" s="1741">
        <f t="shared" ref="AK9" si="53">AJ9</f>
        <v>2</v>
      </c>
      <c r="AL9" s="2088">
        <f t="shared" ref="AL9" si="54">AK9</f>
        <v>2</v>
      </c>
      <c r="AM9" s="1740">
        <f t="shared" ref="AM9" si="55">AL9</f>
        <v>2</v>
      </c>
      <c r="AN9" s="1741">
        <f t="shared" ref="AN9" si="56">AM9</f>
        <v>2</v>
      </c>
      <c r="AO9" s="2088">
        <f t="shared" ref="AO9" si="57">AN9</f>
        <v>2</v>
      </c>
      <c r="AP9" s="1740">
        <f t="shared" ref="AP9" si="58">AO9</f>
        <v>2</v>
      </c>
      <c r="AQ9" s="1741">
        <f t="shared" ref="AQ9" si="59">AP9</f>
        <v>2</v>
      </c>
      <c r="AR9" s="2089">
        <f t="shared" si="33"/>
        <v>2</v>
      </c>
      <c r="AS9" s="1740">
        <v>2</v>
      </c>
      <c r="AT9" s="1740">
        <v>2</v>
      </c>
      <c r="AU9" s="1741">
        <v>2</v>
      </c>
      <c r="AV9" s="2088">
        <f t="shared" ref="AV9" si="60">AU9</f>
        <v>2</v>
      </c>
      <c r="AW9" s="1740">
        <f t="shared" ref="AW9" si="61">AV9</f>
        <v>2</v>
      </c>
      <c r="AX9" s="1741">
        <f t="shared" ref="AX9" si="62">AW9</f>
        <v>2</v>
      </c>
      <c r="AY9" s="2088">
        <f t="shared" ref="AY9" si="63">AX9</f>
        <v>2</v>
      </c>
      <c r="AZ9" s="1740">
        <f t="shared" ref="AZ9" si="64">AY9</f>
        <v>2</v>
      </c>
      <c r="BA9" s="1741">
        <f t="shared" ref="BA9" si="65">AZ9</f>
        <v>2</v>
      </c>
      <c r="BB9" s="2088">
        <f t="shared" ref="BB9" si="66">BA9</f>
        <v>2</v>
      </c>
      <c r="BC9" s="1740">
        <f t="shared" ref="BC9" si="67">BB9</f>
        <v>2</v>
      </c>
      <c r="BD9" s="1741">
        <f t="shared" ref="BD9" si="68">BC9</f>
        <v>2</v>
      </c>
      <c r="BE9" s="1587">
        <f t="shared" si="35"/>
        <v>2</v>
      </c>
    </row>
    <row r="10" spans="1:57" ht="18" customHeight="1">
      <c r="A10" s="7412"/>
      <c r="B10" s="2000" t="str">
        <f>B6</f>
        <v>G,S Manager</v>
      </c>
      <c r="C10" s="2156"/>
      <c r="D10" s="2157"/>
      <c r="E10" s="1647">
        <v>3</v>
      </c>
      <c r="F10" s="4551">
        <v>3</v>
      </c>
      <c r="G10" s="5006">
        <v>3</v>
      </c>
      <c r="H10" s="5498">
        <v>3</v>
      </c>
      <c r="I10" s="4551">
        <v>3</v>
      </c>
      <c r="J10" s="5006">
        <v>3</v>
      </c>
      <c r="K10" s="1643">
        <v>3</v>
      </c>
      <c r="L10" s="1759">
        <v>3</v>
      </c>
      <c r="M10" s="1642">
        <v>3</v>
      </c>
      <c r="N10" s="1643">
        <v>3</v>
      </c>
      <c r="O10" s="1759">
        <v>3</v>
      </c>
      <c r="P10" s="1642">
        <v>3</v>
      </c>
      <c r="Q10" s="1643">
        <v>3</v>
      </c>
      <c r="R10" s="2085">
        <f t="shared" si="29"/>
        <v>3</v>
      </c>
      <c r="S10" s="1759">
        <v>1</v>
      </c>
      <c r="T10" s="1642">
        <v>2</v>
      </c>
      <c r="U10" s="1643">
        <v>2</v>
      </c>
      <c r="V10" s="1759">
        <f>+U10</f>
        <v>2</v>
      </c>
      <c r="W10" s="1642">
        <f>+V10</f>
        <v>2</v>
      </c>
      <c r="X10" s="1643">
        <f t="shared" ref="X10" si="69">+W10</f>
        <v>2</v>
      </c>
      <c r="Y10" s="1759">
        <f t="shared" ref="Y10" si="70">+X10</f>
        <v>2</v>
      </c>
      <c r="Z10" s="1642">
        <f t="shared" ref="Z10" si="71">+Y10</f>
        <v>2</v>
      </c>
      <c r="AA10" s="1643">
        <f t="shared" ref="AA10" si="72">+Z10</f>
        <v>2</v>
      </c>
      <c r="AB10" s="1759">
        <f t="shared" ref="AB10" si="73">+AA10</f>
        <v>2</v>
      </c>
      <c r="AC10" s="1642">
        <f t="shared" ref="AC10" si="74">+AB10</f>
        <v>2</v>
      </c>
      <c r="AD10" s="1643">
        <f t="shared" ref="AD10" si="75">+AC10</f>
        <v>2</v>
      </c>
      <c r="AE10" s="2085">
        <f t="shared" si="31"/>
        <v>1.9166666666666667</v>
      </c>
      <c r="AF10" s="1759">
        <v>1</v>
      </c>
      <c r="AG10" s="1642">
        <v>2</v>
      </c>
      <c r="AH10" s="1643">
        <v>2</v>
      </c>
      <c r="AI10" s="1759">
        <f>+AH10</f>
        <v>2</v>
      </c>
      <c r="AJ10" s="1642">
        <f>+AI10</f>
        <v>2</v>
      </c>
      <c r="AK10" s="1643">
        <f t="shared" ref="AK10" si="76">+AJ10</f>
        <v>2</v>
      </c>
      <c r="AL10" s="1759">
        <f t="shared" ref="AL10" si="77">+AK10</f>
        <v>2</v>
      </c>
      <c r="AM10" s="1642">
        <f t="shared" ref="AM10" si="78">+AL10</f>
        <v>2</v>
      </c>
      <c r="AN10" s="1643">
        <f t="shared" ref="AN10" si="79">+AM10</f>
        <v>2</v>
      </c>
      <c r="AO10" s="1759">
        <f t="shared" ref="AO10" si="80">+AN10</f>
        <v>2</v>
      </c>
      <c r="AP10" s="1642">
        <f t="shared" ref="AP10" si="81">+AO10</f>
        <v>2</v>
      </c>
      <c r="AQ10" s="1643">
        <f t="shared" ref="AQ10" si="82">+AP10</f>
        <v>2</v>
      </c>
      <c r="AR10" s="2085">
        <f t="shared" si="33"/>
        <v>1.9166666666666667</v>
      </c>
      <c r="AS10" s="1759">
        <v>1</v>
      </c>
      <c r="AT10" s="1642">
        <v>2</v>
      </c>
      <c r="AU10" s="1643">
        <v>2</v>
      </c>
      <c r="AV10" s="1759">
        <f>+AU10</f>
        <v>2</v>
      </c>
      <c r="AW10" s="1642">
        <f>+AV10</f>
        <v>2</v>
      </c>
      <c r="AX10" s="1643">
        <f t="shared" ref="AX10" si="83">+AW10</f>
        <v>2</v>
      </c>
      <c r="AY10" s="1759">
        <f t="shared" ref="AY10" si="84">+AX10</f>
        <v>2</v>
      </c>
      <c r="AZ10" s="1642">
        <f t="shared" ref="AZ10" si="85">+AY10</f>
        <v>2</v>
      </c>
      <c r="BA10" s="1643">
        <f t="shared" ref="BA10" si="86">+AZ10</f>
        <v>2</v>
      </c>
      <c r="BB10" s="1759">
        <f t="shared" ref="BB10" si="87">+BA10</f>
        <v>2</v>
      </c>
      <c r="BC10" s="1642">
        <f t="shared" ref="BC10" si="88">+BB10</f>
        <v>2</v>
      </c>
      <c r="BD10" s="1643">
        <f t="shared" ref="BD10" si="89">+BC10</f>
        <v>2</v>
      </c>
      <c r="BE10" s="1557">
        <f t="shared" si="35"/>
        <v>1.9166666666666667</v>
      </c>
    </row>
    <row r="11" spans="1:57" ht="18" customHeight="1">
      <c r="A11" s="7412"/>
      <c r="B11" s="2000" t="str">
        <f>B7</f>
        <v>Manager</v>
      </c>
      <c r="C11" s="2157"/>
      <c r="D11" s="2157"/>
      <c r="E11" s="1647">
        <v>2</v>
      </c>
      <c r="F11" s="4551">
        <v>2</v>
      </c>
      <c r="G11" s="5006">
        <f>F11</f>
        <v>2</v>
      </c>
      <c r="H11" s="5498">
        <f t="shared" ref="H11:Q11" si="90">G11</f>
        <v>2</v>
      </c>
      <c r="I11" s="4551">
        <f t="shared" si="90"/>
        <v>2</v>
      </c>
      <c r="J11" s="5006">
        <f t="shared" si="90"/>
        <v>2</v>
      </c>
      <c r="K11" s="1643">
        <f t="shared" si="90"/>
        <v>2</v>
      </c>
      <c r="L11" s="1759">
        <f t="shared" si="90"/>
        <v>2</v>
      </c>
      <c r="M11" s="1642">
        <f t="shared" si="90"/>
        <v>2</v>
      </c>
      <c r="N11" s="1643">
        <f t="shared" si="90"/>
        <v>2</v>
      </c>
      <c r="O11" s="1759">
        <f t="shared" si="90"/>
        <v>2</v>
      </c>
      <c r="P11" s="1642">
        <f t="shared" si="90"/>
        <v>2</v>
      </c>
      <c r="Q11" s="1643">
        <f t="shared" si="90"/>
        <v>2</v>
      </c>
      <c r="R11" s="2085">
        <f t="shared" ref="R11:AD11" si="91">Q11</f>
        <v>2</v>
      </c>
      <c r="S11" s="1759">
        <f t="shared" si="91"/>
        <v>2</v>
      </c>
      <c r="T11" s="1642">
        <f t="shared" si="91"/>
        <v>2</v>
      </c>
      <c r="U11" s="1643">
        <f t="shared" si="91"/>
        <v>2</v>
      </c>
      <c r="V11" s="1759">
        <f t="shared" si="91"/>
        <v>2</v>
      </c>
      <c r="W11" s="1642">
        <f t="shared" si="91"/>
        <v>2</v>
      </c>
      <c r="X11" s="1643">
        <f t="shared" si="91"/>
        <v>2</v>
      </c>
      <c r="Y11" s="1759">
        <f t="shared" si="91"/>
        <v>2</v>
      </c>
      <c r="Z11" s="1642">
        <f t="shared" si="91"/>
        <v>2</v>
      </c>
      <c r="AA11" s="1643">
        <f t="shared" si="91"/>
        <v>2</v>
      </c>
      <c r="AB11" s="1759">
        <f t="shared" si="91"/>
        <v>2</v>
      </c>
      <c r="AC11" s="1642">
        <f t="shared" si="91"/>
        <v>2</v>
      </c>
      <c r="AD11" s="1643">
        <f t="shared" si="91"/>
        <v>2</v>
      </c>
      <c r="AE11" s="2085">
        <f t="shared" si="31"/>
        <v>2</v>
      </c>
      <c r="AF11" s="1759">
        <f>AD11</f>
        <v>2</v>
      </c>
      <c r="AG11" s="1642">
        <f>AF11</f>
        <v>2</v>
      </c>
      <c r="AH11" s="1643">
        <f t="shared" ref="AH11:AQ11" si="92">AG11</f>
        <v>2</v>
      </c>
      <c r="AI11" s="1759">
        <f t="shared" si="92"/>
        <v>2</v>
      </c>
      <c r="AJ11" s="1642">
        <f t="shared" si="92"/>
        <v>2</v>
      </c>
      <c r="AK11" s="1643">
        <f t="shared" si="92"/>
        <v>2</v>
      </c>
      <c r="AL11" s="1759">
        <f t="shared" si="92"/>
        <v>2</v>
      </c>
      <c r="AM11" s="1642">
        <f t="shared" si="92"/>
        <v>2</v>
      </c>
      <c r="AN11" s="1643">
        <f t="shared" si="92"/>
        <v>2</v>
      </c>
      <c r="AO11" s="1759">
        <f t="shared" si="92"/>
        <v>2</v>
      </c>
      <c r="AP11" s="1642">
        <f t="shared" si="92"/>
        <v>2</v>
      </c>
      <c r="AQ11" s="1643">
        <f t="shared" si="92"/>
        <v>2</v>
      </c>
      <c r="AR11" s="2085">
        <f t="shared" si="33"/>
        <v>2</v>
      </c>
      <c r="AS11" s="1759">
        <f>AQ11</f>
        <v>2</v>
      </c>
      <c r="AT11" s="1642">
        <f>AS11</f>
        <v>2</v>
      </c>
      <c r="AU11" s="1643">
        <f t="shared" ref="AU11:BD11" si="93">AT11</f>
        <v>2</v>
      </c>
      <c r="AV11" s="1759">
        <f t="shared" si="93"/>
        <v>2</v>
      </c>
      <c r="AW11" s="1642">
        <f t="shared" si="93"/>
        <v>2</v>
      </c>
      <c r="AX11" s="1643">
        <f t="shared" si="93"/>
        <v>2</v>
      </c>
      <c r="AY11" s="1759">
        <f t="shared" si="93"/>
        <v>2</v>
      </c>
      <c r="AZ11" s="1642">
        <f t="shared" si="93"/>
        <v>2</v>
      </c>
      <c r="BA11" s="1643">
        <f t="shared" si="93"/>
        <v>2</v>
      </c>
      <c r="BB11" s="1759">
        <f t="shared" si="93"/>
        <v>2</v>
      </c>
      <c r="BC11" s="1642">
        <f t="shared" si="93"/>
        <v>2</v>
      </c>
      <c r="BD11" s="1643">
        <f t="shared" si="93"/>
        <v>2</v>
      </c>
      <c r="BE11" s="1557">
        <f t="shared" si="35"/>
        <v>2</v>
      </c>
    </row>
    <row r="12" spans="1:57" ht="18" customHeight="1" thickBot="1">
      <c r="A12" s="2158"/>
      <c r="B12" s="2159" t="s">
        <v>355</v>
      </c>
      <c r="C12" s="2160"/>
      <c r="D12" s="2161"/>
      <c r="E12" s="1631">
        <f>E11+E9+E10</f>
        <v>6</v>
      </c>
      <c r="F12" s="4656">
        <f>SUM(F9:F11)</f>
        <v>6</v>
      </c>
      <c r="G12" s="5266">
        <f>SUM(G9:G11)</f>
        <v>6</v>
      </c>
      <c r="H12" s="5652">
        <f>SUM(H9:H11)</f>
        <v>6</v>
      </c>
      <c r="I12" s="4656">
        <f t="shared" ref="I12:Q12" si="94">SUM(I9:I11)</f>
        <v>6</v>
      </c>
      <c r="J12" s="5266">
        <f t="shared" si="94"/>
        <v>6</v>
      </c>
      <c r="K12" s="2166">
        <f t="shared" si="94"/>
        <v>6</v>
      </c>
      <c r="L12" s="2164">
        <f t="shared" si="94"/>
        <v>6</v>
      </c>
      <c r="M12" s="2165">
        <f t="shared" si="94"/>
        <v>6</v>
      </c>
      <c r="N12" s="2166">
        <f t="shared" si="94"/>
        <v>6</v>
      </c>
      <c r="O12" s="2164">
        <f t="shared" si="94"/>
        <v>6</v>
      </c>
      <c r="P12" s="2165">
        <f t="shared" si="94"/>
        <v>6</v>
      </c>
      <c r="Q12" s="2166">
        <f t="shared" si="94"/>
        <v>6</v>
      </c>
      <c r="R12" s="2138">
        <f t="shared" si="29"/>
        <v>6</v>
      </c>
      <c r="S12" s="2164">
        <f>SUM(S9:S11)</f>
        <v>5</v>
      </c>
      <c r="T12" s="2165">
        <f>SUM(T9:T11)</f>
        <v>6</v>
      </c>
      <c r="U12" s="2166">
        <f>SUM(U9:U11)</f>
        <v>6</v>
      </c>
      <c r="V12" s="2164">
        <f t="shared" ref="V12:AD12" si="95">SUM(V9:V11)</f>
        <v>6</v>
      </c>
      <c r="W12" s="2165">
        <f t="shared" si="95"/>
        <v>6</v>
      </c>
      <c r="X12" s="2166">
        <f t="shared" si="95"/>
        <v>6</v>
      </c>
      <c r="Y12" s="2164">
        <f t="shared" si="95"/>
        <v>6</v>
      </c>
      <c r="Z12" s="2165">
        <f t="shared" si="95"/>
        <v>6</v>
      </c>
      <c r="AA12" s="2166">
        <f t="shared" si="95"/>
        <v>6</v>
      </c>
      <c r="AB12" s="2164">
        <f t="shared" si="95"/>
        <v>6</v>
      </c>
      <c r="AC12" s="2165">
        <f t="shared" si="95"/>
        <v>6</v>
      </c>
      <c r="AD12" s="2166">
        <f t="shared" si="95"/>
        <v>6</v>
      </c>
      <c r="AE12" s="2138">
        <f t="shared" si="31"/>
        <v>5.916666666666667</v>
      </c>
      <c r="AF12" s="2164">
        <f>SUM(AF9:AF11)</f>
        <v>5</v>
      </c>
      <c r="AG12" s="2165">
        <f>SUM(AG9:AG11)</f>
        <v>6</v>
      </c>
      <c r="AH12" s="2166">
        <f>SUM(AH9:AH11)</f>
        <v>6</v>
      </c>
      <c r="AI12" s="2164">
        <f t="shared" ref="AI12:AQ12" si="96">SUM(AI9:AI11)</f>
        <v>6</v>
      </c>
      <c r="AJ12" s="2165">
        <f t="shared" si="96"/>
        <v>6</v>
      </c>
      <c r="AK12" s="2166">
        <f t="shared" si="96"/>
        <v>6</v>
      </c>
      <c r="AL12" s="2164">
        <f t="shared" si="96"/>
        <v>6</v>
      </c>
      <c r="AM12" s="2165">
        <f t="shared" si="96"/>
        <v>6</v>
      </c>
      <c r="AN12" s="2166">
        <f t="shared" si="96"/>
        <v>6</v>
      </c>
      <c r="AO12" s="2164">
        <f t="shared" si="96"/>
        <v>6</v>
      </c>
      <c r="AP12" s="2165">
        <f t="shared" si="96"/>
        <v>6</v>
      </c>
      <c r="AQ12" s="2166">
        <f t="shared" si="96"/>
        <v>6</v>
      </c>
      <c r="AR12" s="2138">
        <f t="shared" si="33"/>
        <v>5.916666666666667</v>
      </c>
      <c r="AS12" s="2164">
        <f>SUM(AS9:AS11)</f>
        <v>5</v>
      </c>
      <c r="AT12" s="2165">
        <f>SUM(AT9:AT11)</f>
        <v>6</v>
      </c>
      <c r="AU12" s="2166">
        <f>SUM(AU9:AU11)</f>
        <v>6</v>
      </c>
      <c r="AV12" s="2164">
        <f t="shared" ref="AV12:BD12" si="97">SUM(AV9:AV11)</f>
        <v>6</v>
      </c>
      <c r="AW12" s="2165">
        <f t="shared" si="97"/>
        <v>6</v>
      </c>
      <c r="AX12" s="2166">
        <f t="shared" si="97"/>
        <v>6</v>
      </c>
      <c r="AY12" s="2164">
        <f t="shared" si="97"/>
        <v>6</v>
      </c>
      <c r="AZ12" s="2165">
        <f t="shared" si="97"/>
        <v>6</v>
      </c>
      <c r="BA12" s="2166">
        <f t="shared" si="97"/>
        <v>6</v>
      </c>
      <c r="BB12" s="2164">
        <f t="shared" si="97"/>
        <v>6</v>
      </c>
      <c r="BC12" s="2165">
        <f t="shared" si="97"/>
        <v>6</v>
      </c>
      <c r="BD12" s="2166">
        <f t="shared" si="97"/>
        <v>6</v>
      </c>
      <c r="BE12" s="1774">
        <f t="shared" si="35"/>
        <v>5.916666666666667</v>
      </c>
    </row>
    <row r="13" spans="1:57" ht="18" customHeight="1" thickBot="1">
      <c r="A13" s="7081" t="s">
        <v>356</v>
      </c>
      <c r="B13" s="7221"/>
      <c r="C13" s="74"/>
      <c r="D13" s="65"/>
      <c r="E13" s="2167">
        <f>E12+E8</f>
        <v>15</v>
      </c>
      <c r="F13" s="3952">
        <f>F8+F12</f>
        <v>16</v>
      </c>
      <c r="G13" s="5012">
        <f>G8+G12</f>
        <v>16</v>
      </c>
      <c r="H13" s="5505">
        <f>H8+H12</f>
        <v>16</v>
      </c>
      <c r="I13" s="3952">
        <f t="shared" ref="I13:Q13" si="98">I8+I12</f>
        <v>16</v>
      </c>
      <c r="J13" s="5012">
        <f t="shared" si="98"/>
        <v>15</v>
      </c>
      <c r="K13" s="1777">
        <f t="shared" si="98"/>
        <v>15</v>
      </c>
      <c r="L13" s="1824">
        <f t="shared" si="98"/>
        <v>15</v>
      </c>
      <c r="M13" s="1776">
        <f t="shared" si="98"/>
        <v>15</v>
      </c>
      <c r="N13" s="1777">
        <f t="shared" si="98"/>
        <v>15</v>
      </c>
      <c r="O13" s="1824">
        <f t="shared" si="98"/>
        <v>15</v>
      </c>
      <c r="P13" s="1776">
        <f t="shared" si="98"/>
        <v>15</v>
      </c>
      <c r="Q13" s="1777">
        <f t="shared" si="98"/>
        <v>15</v>
      </c>
      <c r="R13" s="2143">
        <f t="shared" si="29"/>
        <v>15.333333333333334</v>
      </c>
      <c r="S13" s="1824">
        <f>S8+S12</f>
        <v>15</v>
      </c>
      <c r="T13" s="1776">
        <f>T8+T12</f>
        <v>16</v>
      </c>
      <c r="U13" s="1777">
        <f>U8+U12</f>
        <v>15</v>
      </c>
      <c r="V13" s="1824">
        <f t="shared" ref="V13:AD13" si="99">V8+V12</f>
        <v>15</v>
      </c>
      <c r="W13" s="1776">
        <f t="shared" si="99"/>
        <v>15</v>
      </c>
      <c r="X13" s="1777">
        <f t="shared" si="99"/>
        <v>15</v>
      </c>
      <c r="Y13" s="1824">
        <f t="shared" si="99"/>
        <v>15</v>
      </c>
      <c r="Z13" s="1776">
        <f t="shared" si="99"/>
        <v>15</v>
      </c>
      <c r="AA13" s="1777">
        <f t="shared" si="99"/>
        <v>15</v>
      </c>
      <c r="AB13" s="1824">
        <f t="shared" si="99"/>
        <v>15</v>
      </c>
      <c r="AC13" s="1776">
        <f t="shared" si="99"/>
        <v>15</v>
      </c>
      <c r="AD13" s="1777">
        <f t="shared" si="99"/>
        <v>15</v>
      </c>
      <c r="AE13" s="2143">
        <f t="shared" si="31"/>
        <v>15.083333333333334</v>
      </c>
      <c r="AF13" s="1824">
        <f>AF8+AF12</f>
        <v>15</v>
      </c>
      <c r="AG13" s="1776">
        <f>AG8+AG12</f>
        <v>16</v>
      </c>
      <c r="AH13" s="1777">
        <f>AH8+AH12</f>
        <v>15</v>
      </c>
      <c r="AI13" s="1824">
        <f t="shared" ref="AI13:AQ13" si="100">AI8+AI12</f>
        <v>15</v>
      </c>
      <c r="AJ13" s="1776">
        <f t="shared" si="100"/>
        <v>15</v>
      </c>
      <c r="AK13" s="1777">
        <f t="shared" si="100"/>
        <v>15</v>
      </c>
      <c r="AL13" s="1824">
        <f t="shared" si="100"/>
        <v>15</v>
      </c>
      <c r="AM13" s="1776">
        <f t="shared" si="100"/>
        <v>15</v>
      </c>
      <c r="AN13" s="1777">
        <f t="shared" si="100"/>
        <v>15</v>
      </c>
      <c r="AO13" s="1824">
        <f t="shared" si="100"/>
        <v>15</v>
      </c>
      <c r="AP13" s="1776">
        <f t="shared" si="100"/>
        <v>15</v>
      </c>
      <c r="AQ13" s="1777">
        <f t="shared" si="100"/>
        <v>15</v>
      </c>
      <c r="AR13" s="2143">
        <f t="shared" si="33"/>
        <v>15.083333333333334</v>
      </c>
      <c r="AS13" s="1824">
        <f>AS8+AS12</f>
        <v>15</v>
      </c>
      <c r="AT13" s="1776">
        <f>AT8+AT12</f>
        <v>16</v>
      </c>
      <c r="AU13" s="1777">
        <f>AU8+AU12</f>
        <v>15</v>
      </c>
      <c r="AV13" s="1824">
        <f t="shared" ref="AV13:BD13" si="101">AV8+AV12</f>
        <v>15</v>
      </c>
      <c r="AW13" s="1776">
        <f t="shared" si="101"/>
        <v>15</v>
      </c>
      <c r="AX13" s="1777">
        <f t="shared" si="101"/>
        <v>15</v>
      </c>
      <c r="AY13" s="1824">
        <f t="shared" si="101"/>
        <v>15</v>
      </c>
      <c r="AZ13" s="1776">
        <f t="shared" si="101"/>
        <v>15</v>
      </c>
      <c r="BA13" s="1777">
        <f t="shared" si="101"/>
        <v>15</v>
      </c>
      <c r="BB13" s="1824">
        <f t="shared" si="101"/>
        <v>15</v>
      </c>
      <c r="BC13" s="1776">
        <f t="shared" si="101"/>
        <v>15</v>
      </c>
      <c r="BD13" s="1777">
        <f t="shared" si="101"/>
        <v>15</v>
      </c>
      <c r="BE13" s="1674">
        <f t="shared" si="35"/>
        <v>15.083333333333334</v>
      </c>
    </row>
    <row r="14" spans="1:57" ht="18" customHeight="1">
      <c r="A14" s="2168"/>
      <c r="B14" s="2169"/>
      <c r="C14" s="2168"/>
      <c r="D14" s="2168"/>
      <c r="E14" s="2170"/>
      <c r="F14" s="1536"/>
      <c r="G14" s="5267"/>
      <c r="H14" s="5267"/>
      <c r="I14" s="5267"/>
      <c r="J14" s="5267"/>
      <c r="K14" s="2171"/>
      <c r="L14" s="2171"/>
      <c r="M14" s="2171"/>
      <c r="N14" s="2171"/>
      <c r="O14" s="2171"/>
      <c r="P14" s="2171"/>
      <c r="Q14" s="2171"/>
      <c r="R14" s="2171"/>
      <c r="S14" s="2171"/>
      <c r="T14" s="2171"/>
      <c r="U14" s="2171"/>
      <c r="V14" s="2171"/>
      <c r="W14" s="2171"/>
      <c r="X14" s="2171"/>
      <c r="Y14" s="2171"/>
      <c r="Z14" s="2171"/>
      <c r="AA14" s="2171"/>
      <c r="AB14" s="2171"/>
      <c r="AC14" s="2171"/>
      <c r="AD14" s="2171"/>
      <c r="AE14" s="2171"/>
      <c r="AF14" s="2171"/>
      <c r="AG14" s="2171"/>
      <c r="AH14" s="2171"/>
      <c r="AI14" s="2171"/>
      <c r="AJ14" s="2171"/>
      <c r="AK14" s="2171"/>
      <c r="AL14" s="2171"/>
      <c r="AM14" s="2171"/>
      <c r="AN14" s="2171"/>
      <c r="AO14" s="2171"/>
      <c r="AP14" s="2171"/>
      <c r="AQ14" s="2171"/>
      <c r="AR14" s="2171"/>
      <c r="AS14" s="2171"/>
      <c r="AT14" s="2171"/>
      <c r="AU14" s="2171"/>
      <c r="AV14" s="2171"/>
      <c r="AW14" s="2171"/>
      <c r="AX14" s="2171"/>
      <c r="AY14" s="2171"/>
      <c r="AZ14" s="2171"/>
      <c r="BA14" s="2171"/>
      <c r="BB14" s="2171"/>
      <c r="BC14" s="2171"/>
      <c r="BD14" s="2171"/>
      <c r="BE14" s="2172"/>
    </row>
    <row r="15" spans="1:57" ht="18" customHeight="1" thickBot="1">
      <c r="A15" s="1538" t="s">
        <v>370</v>
      </c>
      <c r="B15" s="1511"/>
      <c r="C15" s="3273"/>
      <c r="D15" s="2146">
        <v>1.05</v>
      </c>
      <c r="E15" s="3052"/>
      <c r="F15" s="1536"/>
      <c r="N15" s="1535" t="s">
        <v>1070</v>
      </c>
      <c r="R15" s="1785" t="s">
        <v>349</v>
      </c>
      <c r="AA15" s="1535" t="s">
        <v>1070</v>
      </c>
      <c r="AE15" s="1785" t="s">
        <v>349</v>
      </c>
      <c r="AN15" s="1535" t="s">
        <v>1070</v>
      </c>
      <c r="AR15" s="1785" t="s">
        <v>349</v>
      </c>
      <c r="BA15" s="5" t="s">
        <v>1070</v>
      </c>
      <c r="BE15" s="1537" t="s">
        <v>349</v>
      </c>
    </row>
    <row r="16" spans="1:57" ht="18" customHeight="1" thickBot="1">
      <c r="A16" s="81" t="s">
        <v>111</v>
      </c>
      <c r="B16" s="65" t="s">
        <v>123</v>
      </c>
      <c r="C16" s="74"/>
      <c r="D16" s="74"/>
      <c r="E16" s="1680" t="s">
        <v>350</v>
      </c>
      <c r="F16" s="4490" t="str">
        <f>F4</f>
        <v>Jan.26</v>
      </c>
      <c r="G16" s="5005" t="str">
        <f t="shared" ref="G16:Q16" si="102">G4</f>
        <v>Feb.26</v>
      </c>
      <c r="H16" s="5494" t="str">
        <f t="shared" si="102"/>
        <v>Mar.26</v>
      </c>
      <c r="I16" s="4490" t="str">
        <f t="shared" si="102"/>
        <v>Apr.26</v>
      </c>
      <c r="J16" s="5005" t="str">
        <f t="shared" si="102"/>
        <v>May.26</v>
      </c>
      <c r="K16" s="1843" t="str">
        <f t="shared" si="102"/>
        <v>Jun.26</v>
      </c>
      <c r="L16" s="1841" t="str">
        <f t="shared" si="102"/>
        <v>Jul.26</v>
      </c>
      <c r="M16" s="1842" t="str">
        <f t="shared" si="102"/>
        <v>Aug.26</v>
      </c>
      <c r="N16" s="1843" t="str">
        <f t="shared" si="102"/>
        <v>Sep.26</v>
      </c>
      <c r="O16" s="1841" t="str">
        <f t="shared" si="102"/>
        <v>Oct.26</v>
      </c>
      <c r="P16" s="1842" t="str">
        <f t="shared" si="102"/>
        <v>Nov.26</v>
      </c>
      <c r="Q16" s="1843" t="str">
        <f t="shared" si="102"/>
        <v>Dec.26</v>
      </c>
      <c r="R16" s="2472" t="s">
        <v>428</v>
      </c>
      <c r="S16" s="1841" t="s">
        <v>425</v>
      </c>
      <c r="T16" s="1842" t="s">
        <v>545</v>
      </c>
      <c r="U16" s="1843" t="s">
        <v>546</v>
      </c>
      <c r="V16" s="1841" t="s">
        <v>426</v>
      </c>
      <c r="W16" s="1842" t="s">
        <v>547</v>
      </c>
      <c r="X16" s="1843" t="s">
        <v>548</v>
      </c>
      <c r="Y16" s="1841" t="s">
        <v>549</v>
      </c>
      <c r="Z16" s="1842" t="s">
        <v>550</v>
      </c>
      <c r="AA16" s="1843" t="s">
        <v>551</v>
      </c>
      <c r="AB16" s="1841" t="s">
        <v>552</v>
      </c>
      <c r="AC16" s="1842" t="s">
        <v>553</v>
      </c>
      <c r="AD16" s="1843" t="s">
        <v>554</v>
      </c>
      <c r="AE16" s="2472" t="s">
        <v>428</v>
      </c>
      <c r="AF16" s="1841" t="s">
        <v>425</v>
      </c>
      <c r="AG16" s="1842" t="s">
        <v>545</v>
      </c>
      <c r="AH16" s="1843" t="s">
        <v>546</v>
      </c>
      <c r="AI16" s="1841" t="s">
        <v>426</v>
      </c>
      <c r="AJ16" s="1842" t="s">
        <v>547</v>
      </c>
      <c r="AK16" s="1843" t="s">
        <v>548</v>
      </c>
      <c r="AL16" s="1841" t="s">
        <v>549</v>
      </c>
      <c r="AM16" s="1842" t="s">
        <v>550</v>
      </c>
      <c r="AN16" s="1843" t="s">
        <v>551</v>
      </c>
      <c r="AO16" s="1841" t="s">
        <v>552</v>
      </c>
      <c r="AP16" s="1842" t="s">
        <v>553</v>
      </c>
      <c r="AQ16" s="1843" t="s">
        <v>554</v>
      </c>
      <c r="AR16" s="2472" t="s">
        <v>428</v>
      </c>
      <c r="AS16" s="1841" t="s">
        <v>425</v>
      </c>
      <c r="AT16" s="1842" t="s">
        <v>545</v>
      </c>
      <c r="AU16" s="1843" t="s">
        <v>546</v>
      </c>
      <c r="AV16" s="1841" t="s">
        <v>426</v>
      </c>
      <c r="AW16" s="1842" t="s">
        <v>547</v>
      </c>
      <c r="AX16" s="1843" t="s">
        <v>548</v>
      </c>
      <c r="AY16" s="1841" t="s">
        <v>549</v>
      </c>
      <c r="AZ16" s="1842" t="s">
        <v>550</v>
      </c>
      <c r="BA16" s="1540" t="s">
        <v>551</v>
      </c>
      <c r="BB16" s="1539" t="s">
        <v>552</v>
      </c>
      <c r="BC16" s="74" t="s">
        <v>553</v>
      </c>
      <c r="BD16" s="1540" t="s">
        <v>554</v>
      </c>
      <c r="BE16" s="1541" t="s">
        <v>428</v>
      </c>
    </row>
    <row r="17" spans="1:59" ht="18" customHeight="1">
      <c r="A17" s="34" t="s">
        <v>357</v>
      </c>
      <c r="B17" s="2173" t="s">
        <v>395</v>
      </c>
      <c r="C17" s="2156"/>
      <c r="D17" s="1793"/>
      <c r="E17" s="1641">
        <v>5</v>
      </c>
      <c r="F17" s="4654">
        <v>5</v>
      </c>
      <c r="G17" s="5235">
        <f>F17</f>
        <v>5</v>
      </c>
      <c r="H17" s="5498">
        <f t="shared" ref="H17:P19" si="103">G17</f>
        <v>5</v>
      </c>
      <c r="I17" s="6167">
        <f t="shared" si="103"/>
        <v>5</v>
      </c>
      <c r="J17" s="5235">
        <f t="shared" si="103"/>
        <v>5</v>
      </c>
      <c r="K17" s="1643">
        <f t="shared" si="103"/>
        <v>5</v>
      </c>
      <c r="L17" s="6364">
        <v>4</v>
      </c>
      <c r="M17" s="5450">
        <f>L17</f>
        <v>4</v>
      </c>
      <c r="N17" s="2329">
        <f t="shared" si="103"/>
        <v>4</v>
      </c>
      <c r="O17" s="6364">
        <f t="shared" si="103"/>
        <v>4</v>
      </c>
      <c r="P17" s="5450">
        <f t="shared" si="103"/>
        <v>4</v>
      </c>
      <c r="Q17" s="5450">
        <f>P17</f>
        <v>4</v>
      </c>
      <c r="R17" s="2480">
        <f>AVERAGE(F17:Q17)</f>
        <v>4.5</v>
      </c>
      <c r="S17" s="2147">
        <v>6</v>
      </c>
      <c r="T17" s="1706">
        <f>S17</f>
        <v>6</v>
      </c>
      <c r="U17" s="1707">
        <f>T17</f>
        <v>6</v>
      </c>
      <c r="V17" s="2147">
        <f t="shared" ref="V17:V18" si="104">U17</f>
        <v>6</v>
      </c>
      <c r="W17" s="1706">
        <f t="shared" ref="W17:W19" si="105">V17</f>
        <v>6</v>
      </c>
      <c r="X17" s="1707">
        <f t="shared" ref="X17:X19" si="106">W17</f>
        <v>6</v>
      </c>
      <c r="Y17" s="2147">
        <f t="shared" ref="Y17:Y19" si="107">X17</f>
        <v>6</v>
      </c>
      <c r="Z17" s="1706">
        <f t="shared" ref="Z17:Z19" si="108">Y17</f>
        <v>6</v>
      </c>
      <c r="AA17" s="1707">
        <f t="shared" ref="AA17:AA19" si="109">Z17</f>
        <v>6</v>
      </c>
      <c r="AB17" s="2147">
        <f t="shared" ref="AB17:AB19" si="110">AA17</f>
        <v>6</v>
      </c>
      <c r="AC17" s="1706">
        <f t="shared" ref="AC17:AC19" si="111">AB17</f>
        <v>6</v>
      </c>
      <c r="AD17" s="1707">
        <f t="shared" ref="AD17:AD19" si="112">AC17</f>
        <v>6</v>
      </c>
      <c r="AE17" s="2480">
        <f>AVERAGE(S17:AD17)</f>
        <v>6</v>
      </c>
      <c r="AF17" s="2147">
        <v>6</v>
      </c>
      <c r="AG17" s="1706">
        <f>AF17</f>
        <v>6</v>
      </c>
      <c r="AH17" s="1707">
        <f>AG17</f>
        <v>6</v>
      </c>
      <c r="AI17" s="2147">
        <f t="shared" ref="AI17:AI18" si="113">AH17</f>
        <v>6</v>
      </c>
      <c r="AJ17" s="1706">
        <f t="shared" ref="AJ17:AJ19" si="114">AI17</f>
        <v>6</v>
      </c>
      <c r="AK17" s="1707">
        <f t="shared" ref="AK17:AK19" si="115">AJ17</f>
        <v>6</v>
      </c>
      <c r="AL17" s="2147">
        <f t="shared" ref="AL17:AL19" si="116">AK17</f>
        <v>6</v>
      </c>
      <c r="AM17" s="1706">
        <f t="shared" ref="AM17:AM19" si="117">AL17</f>
        <v>6</v>
      </c>
      <c r="AN17" s="1707">
        <f t="shared" ref="AN17:AN19" si="118">AM17</f>
        <v>6</v>
      </c>
      <c r="AO17" s="2147">
        <f t="shared" ref="AO17:AO19" si="119">AN17</f>
        <v>6</v>
      </c>
      <c r="AP17" s="1706">
        <f t="shared" ref="AP17:AP19" si="120">AO17</f>
        <v>6</v>
      </c>
      <c r="AQ17" s="1707">
        <f t="shared" ref="AQ17:AQ19" si="121">AP17</f>
        <v>6</v>
      </c>
      <c r="AR17" s="2480">
        <f>AVERAGE(AF17:AQ17)</f>
        <v>6</v>
      </c>
      <c r="AS17" s="2147">
        <v>6</v>
      </c>
      <c r="AT17" s="1706">
        <f>AS17</f>
        <v>6</v>
      </c>
      <c r="AU17" s="1707">
        <f>AT17</f>
        <v>6</v>
      </c>
      <c r="AV17" s="2147">
        <f t="shared" ref="AV17:AV18" si="122">AU17</f>
        <v>6</v>
      </c>
      <c r="AW17" s="1706">
        <f t="shared" ref="AW17:AW19" si="123">AV17</f>
        <v>6</v>
      </c>
      <c r="AX17" s="1707">
        <f t="shared" ref="AX17:AX19" si="124">AW17</f>
        <v>6</v>
      </c>
      <c r="AY17" s="2147">
        <f t="shared" ref="AY17:AY19" si="125">AX17</f>
        <v>6</v>
      </c>
      <c r="AZ17" s="1706">
        <f t="shared" ref="AZ17:AZ19" si="126">AY17</f>
        <v>6</v>
      </c>
      <c r="BA17" s="1707">
        <f t="shared" ref="BA17:BA19" si="127">AZ17</f>
        <v>6</v>
      </c>
      <c r="BB17" s="2147">
        <f t="shared" ref="BB17:BB19" si="128">BA17</f>
        <v>6</v>
      </c>
      <c r="BC17" s="1706">
        <f t="shared" ref="BC17:BC19" si="129">BB17</f>
        <v>6</v>
      </c>
      <c r="BD17" s="1707">
        <f t="shared" ref="BD17:BD19" si="130">BC17</f>
        <v>6</v>
      </c>
      <c r="BE17" s="1545">
        <f>AVERAGE(AS17:BD17)</f>
        <v>6</v>
      </c>
    </row>
    <row r="18" spans="1:59" ht="18" customHeight="1">
      <c r="A18" s="2174"/>
      <c r="B18" s="8" t="s">
        <v>306</v>
      </c>
      <c r="C18" s="2156"/>
      <c r="D18" s="1798"/>
      <c r="E18" s="1647">
        <v>7</v>
      </c>
      <c r="F18" s="4551">
        <v>7</v>
      </c>
      <c r="G18" s="5006">
        <f>F18</f>
        <v>7</v>
      </c>
      <c r="H18" s="5498">
        <f t="shared" si="103"/>
        <v>7</v>
      </c>
      <c r="I18" s="5073">
        <f t="shared" si="103"/>
        <v>7</v>
      </c>
      <c r="J18" s="5006">
        <f t="shared" si="103"/>
        <v>7</v>
      </c>
      <c r="K18" s="1643">
        <f t="shared" si="103"/>
        <v>7</v>
      </c>
      <c r="L18" s="1767">
        <f t="shared" si="103"/>
        <v>7</v>
      </c>
      <c r="M18" s="1642">
        <f t="shared" si="103"/>
        <v>7</v>
      </c>
      <c r="N18" s="1643">
        <f t="shared" si="103"/>
        <v>7</v>
      </c>
      <c r="O18" s="1767">
        <f t="shared" si="103"/>
        <v>7</v>
      </c>
      <c r="P18" s="1642">
        <f t="shared" si="103"/>
        <v>7</v>
      </c>
      <c r="Q18" s="1642">
        <f t="shared" ref="Q18:Q19" si="131">P18</f>
        <v>7</v>
      </c>
      <c r="R18" s="2085">
        <f t="shared" ref="R18:R19" si="132">AVERAGE(F18:Q18)</f>
        <v>7</v>
      </c>
      <c r="S18" s="1759">
        <v>11</v>
      </c>
      <c r="T18" s="1642">
        <v>10</v>
      </c>
      <c r="U18" s="1643">
        <f t="shared" ref="U18" si="133">T18</f>
        <v>10</v>
      </c>
      <c r="V18" s="1759">
        <f t="shared" si="104"/>
        <v>10</v>
      </c>
      <c r="W18" s="1642">
        <f t="shared" si="105"/>
        <v>10</v>
      </c>
      <c r="X18" s="1643">
        <f t="shared" si="106"/>
        <v>10</v>
      </c>
      <c r="Y18" s="1759">
        <f t="shared" si="107"/>
        <v>10</v>
      </c>
      <c r="Z18" s="1642">
        <f t="shared" si="108"/>
        <v>10</v>
      </c>
      <c r="AA18" s="1643">
        <f t="shared" si="109"/>
        <v>10</v>
      </c>
      <c r="AB18" s="1767">
        <f t="shared" si="110"/>
        <v>10</v>
      </c>
      <c r="AC18" s="1642">
        <f t="shared" si="111"/>
        <v>10</v>
      </c>
      <c r="AD18" s="1643">
        <f t="shared" si="112"/>
        <v>10</v>
      </c>
      <c r="AE18" s="2085">
        <f t="shared" ref="AE18:AE19" si="134">AVERAGE(S18:AD18)</f>
        <v>10.083333333333334</v>
      </c>
      <c r="AF18" s="1759">
        <v>11</v>
      </c>
      <c r="AG18" s="1642">
        <v>10</v>
      </c>
      <c r="AH18" s="1643">
        <f t="shared" ref="AH18" si="135">AG18</f>
        <v>10</v>
      </c>
      <c r="AI18" s="1759">
        <f t="shared" si="113"/>
        <v>10</v>
      </c>
      <c r="AJ18" s="1642">
        <f t="shared" si="114"/>
        <v>10</v>
      </c>
      <c r="AK18" s="1643">
        <f t="shared" si="115"/>
        <v>10</v>
      </c>
      <c r="AL18" s="1759">
        <f t="shared" si="116"/>
        <v>10</v>
      </c>
      <c r="AM18" s="1642">
        <f t="shared" si="117"/>
        <v>10</v>
      </c>
      <c r="AN18" s="1643">
        <f t="shared" si="118"/>
        <v>10</v>
      </c>
      <c r="AO18" s="1767">
        <f t="shared" si="119"/>
        <v>10</v>
      </c>
      <c r="AP18" s="1642">
        <f t="shared" si="120"/>
        <v>10</v>
      </c>
      <c r="AQ18" s="1643">
        <f t="shared" si="121"/>
        <v>10</v>
      </c>
      <c r="AR18" s="2085">
        <f t="shared" ref="AR18:AR19" si="136">AVERAGE(AF18:AQ18)</f>
        <v>10.083333333333334</v>
      </c>
      <c r="AS18" s="1759">
        <v>11</v>
      </c>
      <c r="AT18" s="1642">
        <v>10</v>
      </c>
      <c r="AU18" s="1643">
        <f t="shared" ref="AU18" si="137">AT18</f>
        <v>10</v>
      </c>
      <c r="AV18" s="1759">
        <f t="shared" si="122"/>
        <v>10</v>
      </c>
      <c r="AW18" s="1642">
        <f t="shared" si="123"/>
        <v>10</v>
      </c>
      <c r="AX18" s="1643">
        <f t="shared" si="124"/>
        <v>10</v>
      </c>
      <c r="AY18" s="1759">
        <f t="shared" si="125"/>
        <v>10</v>
      </c>
      <c r="AZ18" s="1642">
        <f t="shared" si="126"/>
        <v>10</v>
      </c>
      <c r="BA18" s="1643">
        <f t="shared" si="127"/>
        <v>10</v>
      </c>
      <c r="BB18" s="1767">
        <f t="shared" si="128"/>
        <v>10</v>
      </c>
      <c r="BC18" s="1642">
        <f t="shared" si="129"/>
        <v>10</v>
      </c>
      <c r="BD18" s="1643">
        <f t="shared" si="130"/>
        <v>10</v>
      </c>
      <c r="BE18" s="1557">
        <f t="shared" ref="BE18:BE19" si="138">AVERAGE(AS18:BD18)</f>
        <v>10.083333333333334</v>
      </c>
    </row>
    <row r="19" spans="1:59" ht="18" customHeight="1">
      <c r="A19" s="2174"/>
      <c r="B19" s="8" t="s">
        <v>351</v>
      </c>
      <c r="C19" s="2157"/>
      <c r="D19" s="1797"/>
      <c r="E19" s="1647">
        <v>61</v>
      </c>
      <c r="F19" s="4551">
        <v>61</v>
      </c>
      <c r="G19" s="5006">
        <f>61</f>
        <v>61</v>
      </c>
      <c r="H19" s="5499">
        <f>61</f>
        <v>61</v>
      </c>
      <c r="I19" s="5073">
        <v>55</v>
      </c>
      <c r="J19" s="5006">
        <f>I19</f>
        <v>55</v>
      </c>
      <c r="K19" s="1718">
        <f t="shared" si="103"/>
        <v>55</v>
      </c>
      <c r="L19" s="1767">
        <v>50</v>
      </c>
      <c r="M19" s="1642">
        <f t="shared" si="103"/>
        <v>50</v>
      </c>
      <c r="N19" s="1718">
        <f t="shared" si="103"/>
        <v>50</v>
      </c>
      <c r="O19" s="1767">
        <v>45</v>
      </c>
      <c r="P19" s="1642">
        <f t="shared" si="103"/>
        <v>45</v>
      </c>
      <c r="Q19" s="1642">
        <f t="shared" si="131"/>
        <v>45</v>
      </c>
      <c r="R19" s="2085">
        <f t="shared" si="132"/>
        <v>52.75</v>
      </c>
      <c r="S19" s="1759">
        <v>82</v>
      </c>
      <c r="T19" s="1642">
        <f>S19</f>
        <v>82</v>
      </c>
      <c r="U19" s="1643">
        <v>81</v>
      </c>
      <c r="V19" s="1759">
        <v>83</v>
      </c>
      <c r="W19" s="1642">
        <f t="shared" si="105"/>
        <v>83</v>
      </c>
      <c r="X19" s="1643">
        <f t="shared" si="106"/>
        <v>83</v>
      </c>
      <c r="Y19" s="1759">
        <f t="shared" si="107"/>
        <v>83</v>
      </c>
      <c r="Z19" s="1642">
        <f t="shared" si="108"/>
        <v>83</v>
      </c>
      <c r="AA19" s="1643">
        <f t="shared" si="109"/>
        <v>83</v>
      </c>
      <c r="AB19" s="1767">
        <f t="shared" si="110"/>
        <v>83</v>
      </c>
      <c r="AC19" s="1642">
        <f t="shared" si="111"/>
        <v>83</v>
      </c>
      <c r="AD19" s="1643">
        <f t="shared" si="112"/>
        <v>83</v>
      </c>
      <c r="AE19" s="2085">
        <f t="shared" si="134"/>
        <v>82.666666666666671</v>
      </c>
      <c r="AF19" s="1759">
        <v>82</v>
      </c>
      <c r="AG19" s="1642">
        <f>AF19</f>
        <v>82</v>
      </c>
      <c r="AH19" s="1643">
        <v>81</v>
      </c>
      <c r="AI19" s="1759">
        <v>83</v>
      </c>
      <c r="AJ19" s="1642">
        <f t="shared" si="114"/>
        <v>83</v>
      </c>
      <c r="AK19" s="1643">
        <f t="shared" si="115"/>
        <v>83</v>
      </c>
      <c r="AL19" s="1759">
        <f t="shared" si="116"/>
        <v>83</v>
      </c>
      <c r="AM19" s="1642">
        <f t="shared" si="117"/>
        <v>83</v>
      </c>
      <c r="AN19" s="1643">
        <f t="shared" si="118"/>
        <v>83</v>
      </c>
      <c r="AO19" s="1767">
        <f t="shared" si="119"/>
        <v>83</v>
      </c>
      <c r="AP19" s="1642">
        <f t="shared" si="120"/>
        <v>83</v>
      </c>
      <c r="AQ19" s="1643">
        <f t="shared" si="121"/>
        <v>83</v>
      </c>
      <c r="AR19" s="2085">
        <f t="shared" si="136"/>
        <v>82.666666666666671</v>
      </c>
      <c r="AS19" s="1759">
        <v>82</v>
      </c>
      <c r="AT19" s="1642">
        <f>AS19</f>
        <v>82</v>
      </c>
      <c r="AU19" s="1643">
        <v>81</v>
      </c>
      <c r="AV19" s="1759">
        <v>83</v>
      </c>
      <c r="AW19" s="1642">
        <f t="shared" si="123"/>
        <v>83</v>
      </c>
      <c r="AX19" s="1643">
        <f t="shared" si="124"/>
        <v>83</v>
      </c>
      <c r="AY19" s="1759">
        <f t="shared" si="125"/>
        <v>83</v>
      </c>
      <c r="AZ19" s="1642">
        <f t="shared" si="126"/>
        <v>83</v>
      </c>
      <c r="BA19" s="1643">
        <f t="shared" si="127"/>
        <v>83</v>
      </c>
      <c r="BB19" s="1767">
        <f t="shared" si="128"/>
        <v>83</v>
      </c>
      <c r="BC19" s="1642">
        <f t="shared" si="129"/>
        <v>83</v>
      </c>
      <c r="BD19" s="1643">
        <f t="shared" si="130"/>
        <v>83</v>
      </c>
      <c r="BE19" s="1557">
        <f t="shared" si="138"/>
        <v>82.666666666666671</v>
      </c>
    </row>
    <row r="20" spans="1:59" ht="18" customHeight="1">
      <c r="A20" s="2148"/>
      <c r="B20" s="1726" t="s">
        <v>352</v>
      </c>
      <c r="C20" s="2149"/>
      <c r="D20" s="2150"/>
      <c r="E20" s="2151">
        <f t="shared" ref="E20" si="139">SUM(E17:E19)</f>
        <v>73</v>
      </c>
      <c r="F20" s="4494">
        <f t="shared" ref="F20:P20" si="140">SUM(F17:F19)</f>
        <v>73</v>
      </c>
      <c r="G20" s="4734">
        <f t="shared" si="140"/>
        <v>73</v>
      </c>
      <c r="H20" s="5510">
        <f t="shared" si="140"/>
        <v>73</v>
      </c>
      <c r="I20" s="4494">
        <f t="shared" si="140"/>
        <v>67</v>
      </c>
      <c r="J20" s="4734">
        <f t="shared" si="140"/>
        <v>67</v>
      </c>
      <c r="K20" s="1733">
        <f t="shared" si="140"/>
        <v>67</v>
      </c>
      <c r="L20" s="1805">
        <f t="shared" si="140"/>
        <v>61</v>
      </c>
      <c r="M20" s="1732">
        <f t="shared" si="140"/>
        <v>61</v>
      </c>
      <c r="N20" s="1733">
        <f t="shared" si="140"/>
        <v>61</v>
      </c>
      <c r="O20" s="1806">
        <f t="shared" si="140"/>
        <v>56</v>
      </c>
      <c r="P20" s="1732">
        <f t="shared" si="140"/>
        <v>56</v>
      </c>
      <c r="Q20" s="1733">
        <f>SUM(Q17:Q19)</f>
        <v>56</v>
      </c>
      <c r="R20" s="2108">
        <f>SUM(R17:R19)</f>
        <v>64.25</v>
      </c>
      <c r="S20" s="1805">
        <f t="shared" ref="S20:AC20" si="141">SUM(S17:S19)</f>
        <v>99</v>
      </c>
      <c r="T20" s="1732">
        <f t="shared" si="141"/>
        <v>98</v>
      </c>
      <c r="U20" s="1733">
        <f t="shared" si="141"/>
        <v>97</v>
      </c>
      <c r="V20" s="1805">
        <f t="shared" si="141"/>
        <v>99</v>
      </c>
      <c r="W20" s="1732">
        <f t="shared" si="141"/>
        <v>99</v>
      </c>
      <c r="X20" s="1733">
        <f t="shared" si="141"/>
        <v>99</v>
      </c>
      <c r="Y20" s="1805">
        <f t="shared" si="141"/>
        <v>99</v>
      </c>
      <c r="Z20" s="1732">
        <f t="shared" si="141"/>
        <v>99</v>
      </c>
      <c r="AA20" s="1733">
        <f t="shared" si="141"/>
        <v>99</v>
      </c>
      <c r="AB20" s="1806">
        <f t="shared" si="141"/>
        <v>99</v>
      </c>
      <c r="AC20" s="1732">
        <f t="shared" si="141"/>
        <v>99</v>
      </c>
      <c r="AD20" s="1733">
        <f>SUM(AD17:AD19)</f>
        <v>99</v>
      </c>
      <c r="AE20" s="2108">
        <f>SUM(AE17:AE19)</f>
        <v>98.75</v>
      </c>
      <c r="AF20" s="1805">
        <f t="shared" ref="AF20:AP20" si="142">SUM(AF17:AF19)</f>
        <v>99</v>
      </c>
      <c r="AG20" s="1732">
        <f t="shared" si="142"/>
        <v>98</v>
      </c>
      <c r="AH20" s="1733">
        <f t="shared" si="142"/>
        <v>97</v>
      </c>
      <c r="AI20" s="1805">
        <f t="shared" si="142"/>
        <v>99</v>
      </c>
      <c r="AJ20" s="1732">
        <f t="shared" si="142"/>
        <v>99</v>
      </c>
      <c r="AK20" s="1733">
        <f t="shared" si="142"/>
        <v>99</v>
      </c>
      <c r="AL20" s="1805">
        <f t="shared" si="142"/>
        <v>99</v>
      </c>
      <c r="AM20" s="1732">
        <f t="shared" si="142"/>
        <v>99</v>
      </c>
      <c r="AN20" s="1733">
        <f t="shared" si="142"/>
        <v>99</v>
      </c>
      <c r="AO20" s="1806">
        <f t="shared" si="142"/>
        <v>99</v>
      </c>
      <c r="AP20" s="1732">
        <f t="shared" si="142"/>
        <v>99</v>
      </c>
      <c r="AQ20" s="1733">
        <f>SUM(AQ17:AQ19)</f>
        <v>99</v>
      </c>
      <c r="AR20" s="2108">
        <f>SUM(AR17:AR19)</f>
        <v>98.75</v>
      </c>
      <c r="AS20" s="1805">
        <f t="shared" ref="AS20:BC20" si="143">SUM(AS17:AS19)</f>
        <v>99</v>
      </c>
      <c r="AT20" s="1732">
        <f t="shared" si="143"/>
        <v>98</v>
      </c>
      <c r="AU20" s="1733">
        <f t="shared" si="143"/>
        <v>97</v>
      </c>
      <c r="AV20" s="1805">
        <f t="shared" si="143"/>
        <v>99</v>
      </c>
      <c r="AW20" s="1732">
        <f t="shared" si="143"/>
        <v>99</v>
      </c>
      <c r="AX20" s="1733">
        <f t="shared" si="143"/>
        <v>99</v>
      </c>
      <c r="AY20" s="1805">
        <f t="shared" si="143"/>
        <v>99</v>
      </c>
      <c r="AZ20" s="1732">
        <f t="shared" si="143"/>
        <v>99</v>
      </c>
      <c r="BA20" s="1733">
        <f t="shared" si="143"/>
        <v>99</v>
      </c>
      <c r="BB20" s="1806">
        <f t="shared" si="143"/>
        <v>99</v>
      </c>
      <c r="BC20" s="1732">
        <f t="shared" si="143"/>
        <v>99</v>
      </c>
      <c r="BD20" s="1733">
        <f>SUM(BD17:BD19)</f>
        <v>99</v>
      </c>
      <c r="BE20" s="1566">
        <f>SUM(BE17:BE19)</f>
        <v>98.75</v>
      </c>
    </row>
    <row r="21" spans="1:59" ht="18" customHeight="1">
      <c r="A21" s="1906" t="s">
        <v>358</v>
      </c>
      <c r="B21" s="2152" t="s">
        <v>395</v>
      </c>
      <c r="C21" s="2153"/>
      <c r="D21" s="2812"/>
      <c r="E21" s="2155">
        <v>5</v>
      </c>
      <c r="F21" s="4550">
        <f>E21</f>
        <v>5</v>
      </c>
      <c r="G21" s="5268">
        <f t="shared" ref="G21:Q21" si="144">F21</f>
        <v>5</v>
      </c>
      <c r="H21" s="5523">
        <f t="shared" si="144"/>
        <v>5</v>
      </c>
      <c r="I21" s="5074">
        <f t="shared" si="144"/>
        <v>5</v>
      </c>
      <c r="J21" s="5268">
        <f t="shared" si="144"/>
        <v>5</v>
      </c>
      <c r="K21" s="3391">
        <f t="shared" si="144"/>
        <v>5</v>
      </c>
      <c r="L21" s="2175">
        <f t="shared" si="144"/>
        <v>5</v>
      </c>
      <c r="M21" s="3390">
        <f t="shared" si="144"/>
        <v>5</v>
      </c>
      <c r="N21" s="3391">
        <f t="shared" si="144"/>
        <v>5</v>
      </c>
      <c r="O21" s="2175">
        <f t="shared" si="144"/>
        <v>5</v>
      </c>
      <c r="P21" s="3390">
        <f t="shared" si="144"/>
        <v>5</v>
      </c>
      <c r="Q21" s="3391">
        <f t="shared" si="144"/>
        <v>5</v>
      </c>
      <c r="R21" s="2085">
        <f t="shared" ref="R21:R23" si="145">AVERAGE(F21:Q21)</f>
        <v>5</v>
      </c>
      <c r="S21" s="2088">
        <v>3</v>
      </c>
      <c r="T21" s="1740">
        <f>S21</f>
        <v>3</v>
      </c>
      <c r="U21" s="1741">
        <f>T21</f>
        <v>3</v>
      </c>
      <c r="V21" s="2088">
        <f t="shared" ref="V21:V22" si="146">U21</f>
        <v>3</v>
      </c>
      <c r="W21" s="1740">
        <f t="shared" ref="W21:W23" si="147">V21</f>
        <v>3</v>
      </c>
      <c r="X21" s="1741">
        <f t="shared" ref="X21:X23" si="148">W21</f>
        <v>3</v>
      </c>
      <c r="Y21" s="2088">
        <f t="shared" ref="Y21:Y23" si="149">X21</f>
        <v>3</v>
      </c>
      <c r="Z21" s="1740">
        <f t="shared" ref="Z21:Z23" si="150">Y21</f>
        <v>3</v>
      </c>
      <c r="AA21" s="1741">
        <f t="shared" ref="AA21:AA23" si="151">Z21</f>
        <v>3</v>
      </c>
      <c r="AB21" s="2175">
        <f t="shared" ref="AB21:AB23" si="152">AA21</f>
        <v>3</v>
      </c>
      <c r="AC21" s="1740">
        <f t="shared" ref="AC21:AC23" si="153">AB21</f>
        <v>3</v>
      </c>
      <c r="AD21" s="1741">
        <f t="shared" ref="AD21:AD23" si="154">AC21</f>
        <v>3</v>
      </c>
      <c r="AE21" s="2085">
        <f t="shared" ref="AE21:AE23" si="155">AVERAGE(S21:AD21)</f>
        <v>3</v>
      </c>
      <c r="AF21" s="2088">
        <v>3</v>
      </c>
      <c r="AG21" s="1740">
        <f>AF21</f>
        <v>3</v>
      </c>
      <c r="AH21" s="1741">
        <f>AG21</f>
        <v>3</v>
      </c>
      <c r="AI21" s="2088">
        <f t="shared" ref="AI21:AI22" si="156">AH21</f>
        <v>3</v>
      </c>
      <c r="AJ21" s="1740">
        <f t="shared" ref="AJ21:AJ23" si="157">AI21</f>
        <v>3</v>
      </c>
      <c r="AK21" s="1741">
        <f t="shared" ref="AK21:AK23" si="158">AJ21</f>
        <v>3</v>
      </c>
      <c r="AL21" s="2088">
        <f t="shared" ref="AL21:AL23" si="159">AK21</f>
        <v>3</v>
      </c>
      <c r="AM21" s="1740">
        <f t="shared" ref="AM21:AM23" si="160">AL21</f>
        <v>3</v>
      </c>
      <c r="AN21" s="1741">
        <f t="shared" ref="AN21:AN23" si="161">AM21</f>
        <v>3</v>
      </c>
      <c r="AO21" s="2175">
        <f t="shared" ref="AO21:AO23" si="162">AN21</f>
        <v>3</v>
      </c>
      <c r="AP21" s="1740">
        <f t="shared" ref="AP21:AP23" si="163">AO21</f>
        <v>3</v>
      </c>
      <c r="AQ21" s="1741">
        <f t="shared" ref="AQ21:AQ23" si="164">AP21</f>
        <v>3</v>
      </c>
      <c r="AR21" s="2085">
        <f t="shared" ref="AR21:AR23" si="165">AVERAGE(AF21:AQ21)</f>
        <v>3</v>
      </c>
      <c r="AS21" s="2088">
        <v>3</v>
      </c>
      <c r="AT21" s="1740">
        <f>AS21</f>
        <v>3</v>
      </c>
      <c r="AU21" s="1741">
        <f>AT21</f>
        <v>3</v>
      </c>
      <c r="AV21" s="2088">
        <f t="shared" ref="AV21:AV22" si="166">AU21</f>
        <v>3</v>
      </c>
      <c r="AW21" s="1740">
        <f t="shared" ref="AW21:AW23" si="167">AV21</f>
        <v>3</v>
      </c>
      <c r="AX21" s="1741">
        <f t="shared" ref="AX21:AX23" si="168">AW21</f>
        <v>3</v>
      </c>
      <c r="AY21" s="2088">
        <f t="shared" ref="AY21:AY23" si="169">AX21</f>
        <v>3</v>
      </c>
      <c r="AZ21" s="1740">
        <f t="shared" ref="AZ21:AZ23" si="170">AY21</f>
        <v>3</v>
      </c>
      <c r="BA21" s="1741">
        <f t="shared" ref="BA21:BA23" si="171">AZ21</f>
        <v>3</v>
      </c>
      <c r="BB21" s="2175">
        <f t="shared" ref="BB21:BB23" si="172">BA21</f>
        <v>3</v>
      </c>
      <c r="BC21" s="1740">
        <f t="shared" ref="BC21:BC23" si="173">BB21</f>
        <v>3</v>
      </c>
      <c r="BD21" s="1741">
        <f t="shared" ref="BD21:BD23" si="174">BC21</f>
        <v>3</v>
      </c>
      <c r="BE21" s="1557">
        <f t="shared" ref="BE21:BE23" si="175">AVERAGE(AS21:BD21)</f>
        <v>3</v>
      </c>
    </row>
    <row r="22" spans="1:59" ht="18" customHeight="1">
      <c r="A22" s="2174"/>
      <c r="B22" s="8" t="s">
        <v>306</v>
      </c>
      <c r="C22" s="2156"/>
      <c r="D22" s="2813"/>
      <c r="E22" s="1647">
        <v>11</v>
      </c>
      <c r="F22" s="4551">
        <v>11</v>
      </c>
      <c r="G22" s="5006">
        <f>F22</f>
        <v>11</v>
      </c>
      <c r="H22" s="5498">
        <f t="shared" ref="H22:Q22" si="176">G22</f>
        <v>11</v>
      </c>
      <c r="I22" s="5073">
        <f t="shared" si="176"/>
        <v>11</v>
      </c>
      <c r="J22" s="5006">
        <f t="shared" si="176"/>
        <v>11</v>
      </c>
      <c r="K22" s="1643">
        <f t="shared" si="176"/>
        <v>11</v>
      </c>
      <c r="L22" s="1767">
        <f t="shared" si="176"/>
        <v>11</v>
      </c>
      <c r="M22" s="1642">
        <f t="shared" si="176"/>
        <v>11</v>
      </c>
      <c r="N22" s="1643">
        <f t="shared" si="176"/>
        <v>11</v>
      </c>
      <c r="O22" s="1767">
        <f t="shared" si="176"/>
        <v>11</v>
      </c>
      <c r="P22" s="1642">
        <f t="shared" si="176"/>
        <v>11</v>
      </c>
      <c r="Q22" s="1643">
        <f t="shared" si="176"/>
        <v>11</v>
      </c>
      <c r="R22" s="2085">
        <f t="shared" si="145"/>
        <v>11</v>
      </c>
      <c r="S22" s="1759">
        <f>R22</f>
        <v>11</v>
      </c>
      <c r="T22" s="1642">
        <f>S22</f>
        <v>11</v>
      </c>
      <c r="U22" s="1643">
        <f t="shared" ref="U22" si="177">T22</f>
        <v>11</v>
      </c>
      <c r="V22" s="1759">
        <f t="shared" si="146"/>
        <v>11</v>
      </c>
      <c r="W22" s="1642">
        <f t="shared" si="147"/>
        <v>11</v>
      </c>
      <c r="X22" s="1643">
        <f t="shared" si="148"/>
        <v>11</v>
      </c>
      <c r="Y22" s="1759">
        <f t="shared" si="149"/>
        <v>11</v>
      </c>
      <c r="Z22" s="1642">
        <f t="shared" si="150"/>
        <v>11</v>
      </c>
      <c r="AA22" s="1643">
        <f t="shared" si="151"/>
        <v>11</v>
      </c>
      <c r="AB22" s="1767">
        <f t="shared" si="152"/>
        <v>11</v>
      </c>
      <c r="AC22" s="1642">
        <f t="shared" si="153"/>
        <v>11</v>
      </c>
      <c r="AD22" s="1643">
        <f t="shared" si="154"/>
        <v>11</v>
      </c>
      <c r="AE22" s="2085">
        <f t="shared" si="155"/>
        <v>11</v>
      </c>
      <c r="AF22" s="1759">
        <f>AE22</f>
        <v>11</v>
      </c>
      <c r="AG22" s="1642">
        <f>AF22</f>
        <v>11</v>
      </c>
      <c r="AH22" s="1643">
        <f t="shared" ref="AH22" si="178">AG22</f>
        <v>11</v>
      </c>
      <c r="AI22" s="1759">
        <f t="shared" si="156"/>
        <v>11</v>
      </c>
      <c r="AJ22" s="1642">
        <f t="shared" si="157"/>
        <v>11</v>
      </c>
      <c r="AK22" s="1643">
        <f t="shared" si="158"/>
        <v>11</v>
      </c>
      <c r="AL22" s="1759">
        <f t="shared" si="159"/>
        <v>11</v>
      </c>
      <c r="AM22" s="1642">
        <f t="shared" si="160"/>
        <v>11</v>
      </c>
      <c r="AN22" s="1643">
        <f t="shared" si="161"/>
        <v>11</v>
      </c>
      <c r="AO22" s="1767">
        <f t="shared" si="162"/>
        <v>11</v>
      </c>
      <c r="AP22" s="1642">
        <f t="shared" si="163"/>
        <v>11</v>
      </c>
      <c r="AQ22" s="1643">
        <f t="shared" si="164"/>
        <v>11</v>
      </c>
      <c r="AR22" s="2085">
        <f t="shared" si="165"/>
        <v>11</v>
      </c>
      <c r="AS22" s="1759">
        <f>AR22</f>
        <v>11</v>
      </c>
      <c r="AT22" s="1642">
        <f>AS22</f>
        <v>11</v>
      </c>
      <c r="AU22" s="1643">
        <f t="shared" ref="AU22" si="179">AT22</f>
        <v>11</v>
      </c>
      <c r="AV22" s="1759">
        <f t="shared" si="166"/>
        <v>11</v>
      </c>
      <c r="AW22" s="1642">
        <f t="shared" si="167"/>
        <v>11</v>
      </c>
      <c r="AX22" s="1643">
        <f t="shared" si="168"/>
        <v>11</v>
      </c>
      <c r="AY22" s="1759">
        <f t="shared" si="169"/>
        <v>11</v>
      </c>
      <c r="AZ22" s="1642">
        <f t="shared" si="170"/>
        <v>11</v>
      </c>
      <c r="BA22" s="1643">
        <f t="shared" si="171"/>
        <v>11</v>
      </c>
      <c r="BB22" s="1767">
        <f t="shared" si="172"/>
        <v>11</v>
      </c>
      <c r="BC22" s="1642">
        <f t="shared" si="173"/>
        <v>11</v>
      </c>
      <c r="BD22" s="1643">
        <f t="shared" si="174"/>
        <v>11</v>
      </c>
      <c r="BE22" s="1557">
        <f t="shared" si="175"/>
        <v>11</v>
      </c>
    </row>
    <row r="23" spans="1:59" ht="18" customHeight="1">
      <c r="A23" s="2174"/>
      <c r="B23" s="8" t="s">
        <v>307</v>
      </c>
      <c r="C23" s="2157"/>
      <c r="D23" s="2813"/>
      <c r="E23" s="1647">
        <v>178</v>
      </c>
      <c r="F23" s="4552">
        <v>178</v>
      </c>
      <c r="G23" s="5007">
        <v>178</v>
      </c>
      <c r="H23" s="5499">
        <v>178</v>
      </c>
      <c r="I23" s="6168">
        <v>178</v>
      </c>
      <c r="J23" s="5007">
        <v>178</v>
      </c>
      <c r="K23" s="1718">
        <v>178</v>
      </c>
      <c r="L23" s="1802">
        <v>173</v>
      </c>
      <c r="M23" s="1717">
        <f t="shared" ref="M23:Q23" si="180">L23</f>
        <v>173</v>
      </c>
      <c r="N23" s="1718">
        <f t="shared" si="180"/>
        <v>173</v>
      </c>
      <c r="O23" s="1802">
        <v>165</v>
      </c>
      <c r="P23" s="1717">
        <f t="shared" si="180"/>
        <v>165</v>
      </c>
      <c r="Q23" s="1718">
        <f t="shared" si="180"/>
        <v>165</v>
      </c>
      <c r="R23" s="2085">
        <f t="shared" si="145"/>
        <v>173.5</v>
      </c>
      <c r="S23" s="1759">
        <v>163</v>
      </c>
      <c r="T23" s="1642">
        <v>158</v>
      </c>
      <c r="U23" s="1643">
        <v>154</v>
      </c>
      <c r="V23" s="1759">
        <v>162</v>
      </c>
      <c r="W23" s="1642">
        <f t="shared" si="147"/>
        <v>162</v>
      </c>
      <c r="X23" s="1718">
        <f t="shared" si="148"/>
        <v>162</v>
      </c>
      <c r="Y23" s="1767">
        <f t="shared" si="149"/>
        <v>162</v>
      </c>
      <c r="Z23" s="1642">
        <f t="shared" si="150"/>
        <v>162</v>
      </c>
      <c r="AA23" s="1643">
        <f t="shared" si="151"/>
        <v>162</v>
      </c>
      <c r="AB23" s="1767">
        <f t="shared" si="152"/>
        <v>162</v>
      </c>
      <c r="AC23" s="1642">
        <f t="shared" si="153"/>
        <v>162</v>
      </c>
      <c r="AD23" s="1642">
        <f t="shared" si="154"/>
        <v>162</v>
      </c>
      <c r="AE23" s="2085">
        <f t="shared" si="155"/>
        <v>161.08333333333334</v>
      </c>
      <c r="AF23" s="1759">
        <v>163</v>
      </c>
      <c r="AG23" s="1642">
        <v>158</v>
      </c>
      <c r="AH23" s="1643">
        <v>154</v>
      </c>
      <c r="AI23" s="1759">
        <v>162</v>
      </c>
      <c r="AJ23" s="1642">
        <f t="shared" si="157"/>
        <v>162</v>
      </c>
      <c r="AK23" s="1718">
        <f t="shared" si="158"/>
        <v>162</v>
      </c>
      <c r="AL23" s="1767">
        <f t="shared" si="159"/>
        <v>162</v>
      </c>
      <c r="AM23" s="1642">
        <f t="shared" si="160"/>
        <v>162</v>
      </c>
      <c r="AN23" s="1643">
        <f t="shared" si="161"/>
        <v>162</v>
      </c>
      <c r="AO23" s="1767">
        <f t="shared" si="162"/>
        <v>162</v>
      </c>
      <c r="AP23" s="1642">
        <f t="shared" si="163"/>
        <v>162</v>
      </c>
      <c r="AQ23" s="1642">
        <f t="shared" si="164"/>
        <v>162</v>
      </c>
      <c r="AR23" s="2085">
        <f t="shared" si="165"/>
        <v>161.08333333333334</v>
      </c>
      <c r="AS23" s="1759">
        <v>163</v>
      </c>
      <c r="AT23" s="1642">
        <v>158</v>
      </c>
      <c r="AU23" s="1643">
        <v>154</v>
      </c>
      <c r="AV23" s="1759">
        <v>162</v>
      </c>
      <c r="AW23" s="1642">
        <f t="shared" si="167"/>
        <v>162</v>
      </c>
      <c r="AX23" s="1718">
        <f t="shared" si="168"/>
        <v>162</v>
      </c>
      <c r="AY23" s="1767">
        <f t="shared" si="169"/>
        <v>162</v>
      </c>
      <c r="AZ23" s="1642">
        <f t="shared" si="170"/>
        <v>162</v>
      </c>
      <c r="BA23" s="1555">
        <f t="shared" si="171"/>
        <v>162</v>
      </c>
      <c r="BB23" s="1599">
        <f t="shared" si="172"/>
        <v>162</v>
      </c>
      <c r="BC23" s="1554">
        <f t="shared" si="173"/>
        <v>162</v>
      </c>
      <c r="BD23" s="1554">
        <f t="shared" si="174"/>
        <v>162</v>
      </c>
      <c r="BE23" s="1557">
        <f t="shared" si="175"/>
        <v>161.08333333333334</v>
      </c>
      <c r="BF23" s="5" t="s">
        <v>245</v>
      </c>
      <c r="BG23" s="5" t="s">
        <v>1904</v>
      </c>
    </row>
    <row r="24" spans="1:59" ht="18" customHeight="1" thickBot="1">
      <c r="A24" s="2158"/>
      <c r="B24" s="2159" t="s">
        <v>355</v>
      </c>
      <c r="C24" s="2160"/>
      <c r="D24" s="2161"/>
      <c r="E24" s="1631">
        <f t="shared" ref="E24" si="181">SUM(E21:E23)</f>
        <v>194</v>
      </c>
      <c r="F24" s="4657">
        <f t="shared" ref="F24:R24" si="182">SUM(F21:F23)</f>
        <v>194</v>
      </c>
      <c r="G24" s="5236">
        <f t="shared" si="182"/>
        <v>194</v>
      </c>
      <c r="H24" s="5653">
        <f t="shared" si="182"/>
        <v>194</v>
      </c>
      <c r="I24" s="4657">
        <f t="shared" si="182"/>
        <v>194</v>
      </c>
      <c r="J24" s="5236">
        <f t="shared" si="182"/>
        <v>194</v>
      </c>
      <c r="K24" s="2180">
        <f t="shared" si="182"/>
        <v>194</v>
      </c>
      <c r="L24" s="2178">
        <f t="shared" si="182"/>
        <v>189</v>
      </c>
      <c r="M24" s="2179">
        <f t="shared" si="182"/>
        <v>189</v>
      </c>
      <c r="N24" s="2180">
        <f t="shared" si="182"/>
        <v>189</v>
      </c>
      <c r="O24" s="2181">
        <f t="shared" si="182"/>
        <v>181</v>
      </c>
      <c r="P24" s="2179">
        <f t="shared" si="182"/>
        <v>181</v>
      </c>
      <c r="Q24" s="2180">
        <f t="shared" si="182"/>
        <v>181</v>
      </c>
      <c r="R24" s="2138">
        <f t="shared" si="182"/>
        <v>189.5</v>
      </c>
      <c r="S24" s="2178">
        <f t="shared" ref="S24:AE24" si="183">SUM(S21:S23)</f>
        <v>177</v>
      </c>
      <c r="T24" s="2179">
        <f t="shared" si="183"/>
        <v>172</v>
      </c>
      <c r="U24" s="2180">
        <f t="shared" si="183"/>
        <v>168</v>
      </c>
      <c r="V24" s="2178">
        <f t="shared" si="183"/>
        <v>176</v>
      </c>
      <c r="W24" s="2179">
        <f t="shared" si="183"/>
        <v>176</v>
      </c>
      <c r="X24" s="2180">
        <f t="shared" si="183"/>
        <v>176</v>
      </c>
      <c r="Y24" s="2178">
        <f t="shared" si="183"/>
        <v>176</v>
      </c>
      <c r="Z24" s="2179">
        <f t="shared" si="183"/>
        <v>176</v>
      </c>
      <c r="AA24" s="2180">
        <f t="shared" si="183"/>
        <v>176</v>
      </c>
      <c r="AB24" s="2181">
        <f t="shared" si="183"/>
        <v>176</v>
      </c>
      <c r="AC24" s="2179">
        <f t="shared" si="183"/>
        <v>176</v>
      </c>
      <c r="AD24" s="2180">
        <f t="shared" si="183"/>
        <v>176</v>
      </c>
      <c r="AE24" s="2138">
        <f t="shared" si="183"/>
        <v>175.08333333333334</v>
      </c>
      <c r="AF24" s="2178">
        <f t="shared" ref="AF24:BE24" si="184">SUM(AF21:AF23)</f>
        <v>177</v>
      </c>
      <c r="AG24" s="2179">
        <f t="shared" si="184"/>
        <v>172</v>
      </c>
      <c r="AH24" s="2180">
        <f t="shared" si="184"/>
        <v>168</v>
      </c>
      <c r="AI24" s="2178">
        <f t="shared" si="184"/>
        <v>176</v>
      </c>
      <c r="AJ24" s="2179">
        <f t="shared" si="184"/>
        <v>176</v>
      </c>
      <c r="AK24" s="2180">
        <f t="shared" si="184"/>
        <v>176</v>
      </c>
      <c r="AL24" s="2178">
        <f t="shared" si="184"/>
        <v>176</v>
      </c>
      <c r="AM24" s="2179">
        <f t="shared" si="184"/>
        <v>176</v>
      </c>
      <c r="AN24" s="2180">
        <f t="shared" si="184"/>
        <v>176</v>
      </c>
      <c r="AO24" s="2181">
        <f t="shared" si="184"/>
        <v>176</v>
      </c>
      <c r="AP24" s="2179">
        <f t="shared" si="184"/>
        <v>176</v>
      </c>
      <c r="AQ24" s="2180">
        <f t="shared" si="184"/>
        <v>176</v>
      </c>
      <c r="AR24" s="2138">
        <f t="shared" si="184"/>
        <v>175.08333333333334</v>
      </c>
      <c r="AS24" s="2178">
        <f t="shared" si="184"/>
        <v>177</v>
      </c>
      <c r="AT24" s="2179">
        <f t="shared" si="184"/>
        <v>172</v>
      </c>
      <c r="AU24" s="2180">
        <f t="shared" si="184"/>
        <v>168</v>
      </c>
      <c r="AV24" s="2178">
        <f t="shared" si="184"/>
        <v>176</v>
      </c>
      <c r="AW24" s="2179">
        <f t="shared" si="184"/>
        <v>176</v>
      </c>
      <c r="AX24" s="2180">
        <f t="shared" si="184"/>
        <v>176</v>
      </c>
      <c r="AY24" s="2178">
        <f t="shared" si="184"/>
        <v>176</v>
      </c>
      <c r="AZ24" s="2179">
        <f t="shared" si="184"/>
        <v>176</v>
      </c>
      <c r="BA24" s="2180">
        <f t="shared" si="184"/>
        <v>176</v>
      </c>
      <c r="BB24" s="2181">
        <f t="shared" si="184"/>
        <v>176</v>
      </c>
      <c r="BC24" s="2179">
        <f t="shared" si="184"/>
        <v>176</v>
      </c>
      <c r="BD24" s="2180">
        <f t="shared" si="184"/>
        <v>176</v>
      </c>
      <c r="BE24" s="1774">
        <f t="shared" si="184"/>
        <v>175.08333333333334</v>
      </c>
    </row>
    <row r="25" spans="1:59" ht="18" customHeight="1" thickBot="1">
      <c r="A25" s="7081" t="s">
        <v>359</v>
      </c>
      <c r="B25" s="7221"/>
      <c r="C25" s="74"/>
      <c r="D25" s="65"/>
      <c r="E25" s="2167">
        <f>E24+E20</f>
        <v>267</v>
      </c>
      <c r="F25" s="3952">
        <f t="shared" ref="F25:Q25" si="185">F20+F24</f>
        <v>267</v>
      </c>
      <c r="G25" s="5012">
        <f t="shared" si="185"/>
        <v>267</v>
      </c>
      <c r="H25" s="5505">
        <f t="shared" si="185"/>
        <v>267</v>
      </c>
      <c r="I25" s="3952">
        <f t="shared" si="185"/>
        <v>261</v>
      </c>
      <c r="J25" s="5012">
        <f t="shared" si="185"/>
        <v>261</v>
      </c>
      <c r="K25" s="1777">
        <f t="shared" si="185"/>
        <v>261</v>
      </c>
      <c r="L25" s="1824">
        <f t="shared" si="185"/>
        <v>250</v>
      </c>
      <c r="M25" s="1776">
        <f t="shared" si="185"/>
        <v>250</v>
      </c>
      <c r="N25" s="1777">
        <f t="shared" si="185"/>
        <v>250</v>
      </c>
      <c r="O25" s="1824">
        <f t="shared" si="185"/>
        <v>237</v>
      </c>
      <c r="P25" s="1776">
        <f t="shared" si="185"/>
        <v>237</v>
      </c>
      <c r="Q25" s="1777">
        <f t="shared" si="185"/>
        <v>237</v>
      </c>
      <c r="R25" s="2143">
        <f t="shared" ref="R25" si="186">AVERAGE(F25:Q25)</f>
        <v>253.75</v>
      </c>
      <c r="S25" s="1824">
        <f t="shared" ref="S25:AD25" si="187">S20+S24</f>
        <v>276</v>
      </c>
      <c r="T25" s="1776">
        <f t="shared" si="187"/>
        <v>270</v>
      </c>
      <c r="U25" s="1777">
        <f t="shared" si="187"/>
        <v>265</v>
      </c>
      <c r="V25" s="1824">
        <f t="shared" si="187"/>
        <v>275</v>
      </c>
      <c r="W25" s="1776">
        <f t="shared" si="187"/>
        <v>275</v>
      </c>
      <c r="X25" s="1777">
        <f t="shared" si="187"/>
        <v>275</v>
      </c>
      <c r="Y25" s="1824">
        <f t="shared" si="187"/>
        <v>275</v>
      </c>
      <c r="Z25" s="1776">
        <f t="shared" si="187"/>
        <v>275</v>
      </c>
      <c r="AA25" s="1777">
        <f t="shared" si="187"/>
        <v>275</v>
      </c>
      <c r="AB25" s="1824">
        <f t="shared" si="187"/>
        <v>275</v>
      </c>
      <c r="AC25" s="1776">
        <f t="shared" si="187"/>
        <v>275</v>
      </c>
      <c r="AD25" s="1777">
        <f t="shared" si="187"/>
        <v>275</v>
      </c>
      <c r="AE25" s="2143">
        <f t="shared" ref="AE25" si="188">AVERAGE(S25:AD25)</f>
        <v>273.83333333333331</v>
      </c>
      <c r="AF25" s="1824">
        <f t="shared" ref="AF25:AQ25" si="189">AF20+AF24</f>
        <v>276</v>
      </c>
      <c r="AG25" s="1776">
        <f t="shared" si="189"/>
        <v>270</v>
      </c>
      <c r="AH25" s="1777">
        <f t="shared" si="189"/>
        <v>265</v>
      </c>
      <c r="AI25" s="1824">
        <f t="shared" si="189"/>
        <v>275</v>
      </c>
      <c r="AJ25" s="1776">
        <f t="shared" si="189"/>
        <v>275</v>
      </c>
      <c r="AK25" s="1777">
        <f t="shared" si="189"/>
        <v>275</v>
      </c>
      <c r="AL25" s="1824">
        <f t="shared" si="189"/>
        <v>275</v>
      </c>
      <c r="AM25" s="1776">
        <f t="shared" si="189"/>
        <v>275</v>
      </c>
      <c r="AN25" s="1777">
        <f t="shared" si="189"/>
        <v>275</v>
      </c>
      <c r="AO25" s="1824">
        <f t="shared" si="189"/>
        <v>275</v>
      </c>
      <c r="AP25" s="1776">
        <f t="shared" si="189"/>
        <v>275</v>
      </c>
      <c r="AQ25" s="1777">
        <f t="shared" si="189"/>
        <v>275</v>
      </c>
      <c r="AR25" s="2143">
        <f t="shared" ref="AR25" si="190">AVERAGE(AF25:AQ25)</f>
        <v>273.83333333333331</v>
      </c>
      <c r="AS25" s="1824">
        <f t="shared" ref="AS25:BD25" si="191">AS20+AS24</f>
        <v>276</v>
      </c>
      <c r="AT25" s="1776">
        <f t="shared" si="191"/>
        <v>270</v>
      </c>
      <c r="AU25" s="1777">
        <f t="shared" si="191"/>
        <v>265</v>
      </c>
      <c r="AV25" s="1824">
        <f t="shared" si="191"/>
        <v>275</v>
      </c>
      <c r="AW25" s="1776">
        <f t="shared" si="191"/>
        <v>275</v>
      </c>
      <c r="AX25" s="1777">
        <f t="shared" si="191"/>
        <v>275</v>
      </c>
      <c r="AY25" s="1824">
        <f t="shared" si="191"/>
        <v>275</v>
      </c>
      <c r="AZ25" s="1776">
        <f t="shared" si="191"/>
        <v>275</v>
      </c>
      <c r="BA25" s="1777">
        <f t="shared" si="191"/>
        <v>275</v>
      </c>
      <c r="BB25" s="1824">
        <f t="shared" si="191"/>
        <v>275</v>
      </c>
      <c r="BC25" s="1776">
        <f t="shared" si="191"/>
        <v>275</v>
      </c>
      <c r="BD25" s="1777">
        <f t="shared" si="191"/>
        <v>275</v>
      </c>
      <c r="BE25" s="1674">
        <f t="shared" ref="BE25" si="192">AVERAGE(AS25:BD25)</f>
        <v>273.83333333333331</v>
      </c>
    </row>
    <row r="26" spans="1:59" s="1618" customFormat="1" ht="18" customHeight="1">
      <c r="A26" s="1922"/>
      <c r="B26" s="2182"/>
      <c r="C26" s="1922"/>
      <c r="D26" s="1922"/>
      <c r="E26" s="2183"/>
      <c r="F26" s="2233"/>
      <c r="G26" s="2233"/>
      <c r="H26" s="2233"/>
      <c r="I26" s="2233"/>
      <c r="J26" s="2233"/>
      <c r="K26" s="1637"/>
      <c r="L26" s="4069"/>
      <c r="M26" s="4069"/>
      <c r="N26" s="4069"/>
      <c r="O26" s="4069"/>
      <c r="P26" s="4069"/>
      <c r="Q26" s="4069"/>
      <c r="R26" s="1637"/>
      <c r="S26" s="1637"/>
      <c r="T26" s="1637"/>
      <c r="U26" s="1637"/>
      <c r="V26" s="1637"/>
      <c r="W26" s="1637"/>
      <c r="X26" s="1637"/>
      <c r="Y26" s="1637"/>
      <c r="Z26" s="1637"/>
      <c r="AA26" s="1637"/>
      <c r="AB26" s="1637"/>
      <c r="AC26" s="1637"/>
      <c r="AD26" s="1637"/>
      <c r="AE26" s="1637"/>
      <c r="AF26" s="1637"/>
      <c r="AG26" s="1637"/>
      <c r="AH26" s="1637"/>
      <c r="AI26" s="1637"/>
      <c r="AJ26" s="1637"/>
      <c r="AK26" s="1637"/>
      <c r="AL26" s="1637"/>
      <c r="AM26" s="1637"/>
      <c r="AN26" s="1637"/>
      <c r="AO26" s="1637"/>
      <c r="AP26" s="1637"/>
      <c r="AQ26" s="1637"/>
      <c r="AR26" s="1637"/>
      <c r="AS26" s="1637"/>
      <c r="AT26" s="1637"/>
      <c r="AU26" s="1637"/>
      <c r="AV26" s="1637"/>
      <c r="AW26" s="1637"/>
      <c r="AX26" s="1637"/>
      <c r="AY26" s="1637"/>
      <c r="AZ26" s="1637"/>
      <c r="BA26" s="1637"/>
      <c r="BB26" s="1637"/>
      <c r="BC26" s="1637"/>
      <c r="BD26" s="1637"/>
      <c r="BE26" s="1546"/>
    </row>
    <row r="27" spans="1:59" ht="18" customHeight="1" thickBot="1">
      <c r="A27" s="2184" t="s">
        <v>823</v>
      </c>
      <c r="B27" s="1637"/>
      <c r="C27" s="2185"/>
      <c r="D27" s="2185"/>
      <c r="E27" s="2186"/>
      <c r="F27" s="4599"/>
      <c r="G27" s="4599"/>
      <c r="H27" s="4599"/>
      <c r="I27" s="4599"/>
      <c r="J27" s="4599"/>
      <c r="K27" s="3429"/>
      <c r="L27" s="2187"/>
      <c r="M27" s="2187"/>
      <c r="N27" s="2187"/>
      <c r="O27" s="2187"/>
      <c r="P27" s="2187"/>
      <c r="Q27" s="2187"/>
      <c r="R27" s="1636"/>
      <c r="S27" s="3429"/>
      <c r="T27" s="3429"/>
      <c r="U27" s="3429"/>
      <c r="V27" s="3429"/>
      <c r="W27" s="3429"/>
      <c r="X27" s="3429"/>
      <c r="Y27" s="3429"/>
      <c r="Z27" s="3429"/>
      <c r="AA27" s="3429"/>
      <c r="AB27" s="3429"/>
      <c r="AC27" s="3429"/>
      <c r="AD27" s="3429"/>
      <c r="AE27" s="1636"/>
      <c r="AF27" s="3429"/>
      <c r="AG27" s="3429"/>
      <c r="AH27" s="3429"/>
      <c r="AI27" s="3429"/>
      <c r="AJ27" s="3429"/>
      <c r="AK27" s="3429"/>
      <c r="AL27" s="3429"/>
      <c r="AM27" s="3429"/>
      <c r="AN27" s="3429"/>
      <c r="AO27" s="3429"/>
      <c r="AP27" s="3429"/>
      <c r="AQ27" s="3429"/>
      <c r="AR27" s="1636"/>
      <c r="AS27" s="3429"/>
      <c r="AT27" s="3429"/>
      <c r="AU27" s="3429"/>
      <c r="AV27" s="3429"/>
      <c r="AW27" s="3429"/>
      <c r="AX27" s="3429"/>
      <c r="AY27" s="3429"/>
      <c r="AZ27" s="3429"/>
      <c r="BA27" s="2187"/>
      <c r="BB27" s="2187"/>
      <c r="BC27" s="2187"/>
      <c r="BD27" s="2187"/>
      <c r="BE27" s="2144"/>
    </row>
    <row r="28" spans="1:59" ht="16.2" thickBot="1">
      <c r="A28" s="2188" t="s">
        <v>794</v>
      </c>
      <c r="B28" s="1995" t="s">
        <v>41</v>
      </c>
      <c r="C28" s="1995"/>
      <c r="D28" s="65"/>
      <c r="E28" s="3358" t="s">
        <v>910</v>
      </c>
      <c r="F28" s="4490" t="str">
        <f>F4</f>
        <v>Jan.26</v>
      </c>
      <c r="G28" s="5005" t="str">
        <f t="shared" ref="G28:Q28" si="193">G4</f>
        <v>Feb.26</v>
      </c>
      <c r="H28" s="5494" t="str">
        <f t="shared" si="193"/>
        <v>Mar.26</v>
      </c>
      <c r="I28" s="4757" t="str">
        <f t="shared" si="193"/>
        <v>Apr.26</v>
      </c>
      <c r="J28" s="5005" t="str">
        <f t="shared" si="193"/>
        <v>May.26</v>
      </c>
      <c r="K28" s="1843" t="str">
        <f t="shared" si="193"/>
        <v>Jun.26</v>
      </c>
      <c r="L28" s="1841" t="str">
        <f t="shared" si="193"/>
        <v>Jul.26</v>
      </c>
      <c r="M28" s="1842" t="str">
        <f t="shared" si="193"/>
        <v>Aug.26</v>
      </c>
      <c r="N28" s="1843" t="str">
        <f t="shared" si="193"/>
        <v>Sep.26</v>
      </c>
      <c r="O28" s="3394" t="str">
        <f t="shared" si="193"/>
        <v>Oct.26</v>
      </c>
      <c r="P28" s="1842" t="str">
        <f t="shared" si="193"/>
        <v>Nov.26</v>
      </c>
      <c r="Q28" s="27" t="str">
        <f t="shared" si="193"/>
        <v>Dec.26</v>
      </c>
      <c r="R28" s="2472" t="s">
        <v>15</v>
      </c>
      <c r="S28" s="1841" t="s">
        <v>425</v>
      </c>
      <c r="T28" s="1842" t="s">
        <v>545</v>
      </c>
      <c r="U28" s="1843" t="s">
        <v>546</v>
      </c>
      <c r="V28" s="3394" t="s">
        <v>426</v>
      </c>
      <c r="W28" s="1842" t="s">
        <v>547</v>
      </c>
      <c r="X28" s="1843" t="s">
        <v>548</v>
      </c>
      <c r="Y28" s="1841" t="s">
        <v>549</v>
      </c>
      <c r="Z28" s="1842" t="s">
        <v>550</v>
      </c>
      <c r="AA28" s="1843" t="s">
        <v>551</v>
      </c>
      <c r="AB28" s="3394" t="s">
        <v>552</v>
      </c>
      <c r="AC28" s="1842" t="s">
        <v>553</v>
      </c>
      <c r="AD28" s="27" t="s">
        <v>554</v>
      </c>
      <c r="AE28" s="2472" t="s">
        <v>15</v>
      </c>
      <c r="AF28" s="1841" t="s">
        <v>425</v>
      </c>
      <c r="AG28" s="1842" t="s">
        <v>545</v>
      </c>
      <c r="AH28" s="1843" t="s">
        <v>546</v>
      </c>
      <c r="AI28" s="3394" t="s">
        <v>426</v>
      </c>
      <c r="AJ28" s="1842" t="s">
        <v>547</v>
      </c>
      <c r="AK28" s="1843" t="s">
        <v>548</v>
      </c>
      <c r="AL28" s="1841" t="s">
        <v>549</v>
      </c>
      <c r="AM28" s="1842" t="s">
        <v>550</v>
      </c>
      <c r="AN28" s="1843" t="s">
        <v>551</v>
      </c>
      <c r="AO28" s="3394" t="s">
        <v>552</v>
      </c>
      <c r="AP28" s="1842" t="s">
        <v>553</v>
      </c>
      <c r="AQ28" s="27" t="s">
        <v>554</v>
      </c>
      <c r="AR28" s="2472" t="s">
        <v>15</v>
      </c>
      <c r="AS28" s="1841" t="s">
        <v>425</v>
      </c>
      <c r="AT28" s="1842" t="s">
        <v>545</v>
      </c>
      <c r="AU28" s="1843" t="s">
        <v>546</v>
      </c>
      <c r="AV28" s="3394" t="s">
        <v>426</v>
      </c>
      <c r="AW28" s="1842" t="s">
        <v>547</v>
      </c>
      <c r="AX28" s="1843" t="s">
        <v>548</v>
      </c>
      <c r="AY28" s="1841" t="s">
        <v>549</v>
      </c>
      <c r="AZ28" s="1842" t="s">
        <v>550</v>
      </c>
      <c r="BA28" s="1540" t="s">
        <v>551</v>
      </c>
      <c r="BB28" s="79" t="s">
        <v>552</v>
      </c>
      <c r="BC28" s="74" t="s">
        <v>553</v>
      </c>
      <c r="BD28" s="65" t="s">
        <v>554</v>
      </c>
      <c r="BE28" s="1541" t="s">
        <v>15</v>
      </c>
    </row>
    <row r="29" spans="1:59" ht="16.2" thickBot="1">
      <c r="A29" s="81" t="s">
        <v>980</v>
      </c>
      <c r="B29" s="1995"/>
      <c r="C29" s="1995"/>
      <c r="D29" s="65"/>
      <c r="E29" s="3358"/>
      <c r="F29" s="4658">
        <v>620</v>
      </c>
      <c r="G29" s="5269">
        <f>F36</f>
        <v>574.33750416627015</v>
      </c>
      <c r="H29" s="5654">
        <f t="shared" ref="H29" si="194">G36</f>
        <v>554.36868086013135</v>
      </c>
      <c r="I29" s="6169">
        <f t="shared" ref="I29" si="195">H36</f>
        <v>544.48488043303246</v>
      </c>
      <c r="J29" s="5269">
        <f t="shared" ref="J29" si="196">I36</f>
        <v>526.6330862341639</v>
      </c>
      <c r="K29" s="3432">
        <f t="shared" ref="K29" si="197">J36</f>
        <v>524.64526763194999</v>
      </c>
      <c r="L29" s="3430">
        <f t="shared" ref="L29" si="198">K36</f>
        <v>522.86500493833705</v>
      </c>
      <c r="M29" s="3431">
        <f t="shared" ref="M29" si="199">L36</f>
        <v>524.86500493833705</v>
      </c>
      <c r="N29" s="3432">
        <f t="shared" ref="N29" si="200">M36</f>
        <v>513.86500493833705</v>
      </c>
      <c r="O29" s="3433">
        <f t="shared" ref="O29" si="201">N36</f>
        <v>507.86500493833705</v>
      </c>
      <c r="P29" s="3431">
        <f t="shared" ref="P29" si="202">O36</f>
        <v>500.86500493833705</v>
      </c>
      <c r="Q29" s="3472">
        <f t="shared" ref="Q29" si="203">P36</f>
        <v>502.86500493833705</v>
      </c>
      <c r="R29" s="3473">
        <f>F29</f>
        <v>620</v>
      </c>
      <c r="S29" s="3430">
        <f>R36</f>
        <v>496.86500493833717</v>
      </c>
      <c r="T29" s="3431" t="e">
        <f>S36</f>
        <v>#REF!</v>
      </c>
      <c r="U29" s="3432" t="e">
        <f t="shared" ref="U29" si="204">T36</f>
        <v>#REF!</v>
      </c>
      <c r="V29" s="3433" t="e">
        <f t="shared" ref="V29" si="205">U36</f>
        <v>#REF!</v>
      </c>
      <c r="W29" s="3431" t="e">
        <f t="shared" ref="W29" si="206">V36</f>
        <v>#REF!</v>
      </c>
      <c r="X29" s="3432" t="e">
        <f t="shared" ref="X29" si="207">W36</f>
        <v>#REF!</v>
      </c>
      <c r="Y29" s="3430" t="e">
        <f t="shared" ref="Y29" si="208">X36</f>
        <v>#REF!</v>
      </c>
      <c r="Z29" s="3431" t="e">
        <f t="shared" ref="Z29" si="209">Y36</f>
        <v>#REF!</v>
      </c>
      <c r="AA29" s="3432" t="e">
        <f t="shared" ref="AA29" si="210">Z36</f>
        <v>#REF!</v>
      </c>
      <c r="AB29" s="3433" t="e">
        <f t="shared" ref="AB29" si="211">AA36</f>
        <v>#REF!</v>
      </c>
      <c r="AC29" s="3431" t="e">
        <f t="shared" ref="AC29" si="212">AB36</f>
        <v>#REF!</v>
      </c>
      <c r="AD29" s="3472" t="e">
        <f t="shared" ref="AD29" si="213">AC36</f>
        <v>#REF!</v>
      </c>
      <c r="AE29" s="3473">
        <f>S29</f>
        <v>496.86500493833717</v>
      </c>
      <c r="AF29" s="3430" t="e">
        <f>AE36</f>
        <v>#REF!</v>
      </c>
      <c r="AG29" s="3431" t="e">
        <f>AF36</f>
        <v>#REF!</v>
      </c>
      <c r="AH29" s="3432" t="e">
        <f t="shared" ref="AH29" si="214">AG36</f>
        <v>#REF!</v>
      </c>
      <c r="AI29" s="3433" t="e">
        <f t="shared" ref="AI29" si="215">AH36</f>
        <v>#REF!</v>
      </c>
      <c r="AJ29" s="3431" t="e">
        <f t="shared" ref="AJ29" si="216">AI36</f>
        <v>#REF!</v>
      </c>
      <c r="AK29" s="3432" t="e">
        <f t="shared" ref="AK29" si="217">AJ36</f>
        <v>#REF!</v>
      </c>
      <c r="AL29" s="3430" t="e">
        <f t="shared" ref="AL29" si="218">AK36</f>
        <v>#REF!</v>
      </c>
      <c r="AM29" s="3431" t="e">
        <f t="shared" ref="AM29" si="219">AL36</f>
        <v>#REF!</v>
      </c>
      <c r="AN29" s="3432" t="e">
        <f t="shared" ref="AN29" si="220">AM36</f>
        <v>#REF!</v>
      </c>
      <c r="AO29" s="3433" t="e">
        <f t="shared" ref="AO29" si="221">AN36</f>
        <v>#REF!</v>
      </c>
      <c r="AP29" s="3431" t="e">
        <f t="shared" ref="AP29" si="222">AO36</f>
        <v>#REF!</v>
      </c>
      <c r="AQ29" s="3472" t="e">
        <f t="shared" ref="AQ29" si="223">AP36</f>
        <v>#REF!</v>
      </c>
      <c r="AR29" s="3473" t="e">
        <f>AF29</f>
        <v>#REF!</v>
      </c>
      <c r="AS29" s="3430" t="e">
        <f>AR36</f>
        <v>#REF!</v>
      </c>
      <c r="AT29" s="3431" t="e">
        <f>AS36</f>
        <v>#REF!</v>
      </c>
      <c r="AU29" s="3432" t="e">
        <f t="shared" ref="AU29" si="224">AT36</f>
        <v>#REF!</v>
      </c>
      <c r="AV29" s="3433" t="e">
        <f t="shared" ref="AV29" si="225">AU36</f>
        <v>#REF!</v>
      </c>
      <c r="AW29" s="3431" t="e">
        <f t="shared" ref="AW29" si="226">AV36</f>
        <v>#REF!</v>
      </c>
      <c r="AX29" s="3432" t="e">
        <f t="shared" ref="AX29" si="227">AW36</f>
        <v>#REF!</v>
      </c>
      <c r="AY29" s="3430" t="e">
        <f t="shared" ref="AY29" si="228">AX36</f>
        <v>#REF!</v>
      </c>
      <c r="AZ29" s="3431" t="e">
        <f t="shared" ref="AZ29" si="229">AY36</f>
        <v>#REF!</v>
      </c>
      <c r="BA29" s="2190" t="e">
        <f t="shared" ref="BA29" si="230">AZ36</f>
        <v>#REF!</v>
      </c>
      <c r="BB29" s="2191" t="e">
        <f t="shared" ref="BB29" si="231">BA36</f>
        <v>#REF!</v>
      </c>
      <c r="BC29" s="2189" t="e">
        <f t="shared" ref="BC29" si="232">BB36</f>
        <v>#REF!</v>
      </c>
      <c r="BD29" s="2192" t="e">
        <f t="shared" ref="BD29" si="233">BC36</f>
        <v>#REF!</v>
      </c>
      <c r="BE29" s="2823" t="e">
        <f>AS29</f>
        <v>#REF!</v>
      </c>
    </row>
    <row r="30" spans="1:59">
      <c r="A30" s="1671" t="s">
        <v>982</v>
      </c>
      <c r="B30" s="2193" t="s">
        <v>1185</v>
      </c>
      <c r="C30" s="2194"/>
      <c r="D30" s="57"/>
      <c r="E30" s="3596">
        <f>'4-1. 인원계획'!C30</f>
        <v>0.1044139079741828</v>
      </c>
      <c r="F30" s="4659">
        <v>61.662495833729835</v>
      </c>
      <c r="G30" s="4659">
        <f>G29*$E$30</f>
        <v>59.968823306138766</v>
      </c>
      <c r="H30" s="5655">
        <f t="shared" ref="H30:K30" si="234">H29*$E$30</f>
        <v>57.883800427098869</v>
      </c>
      <c r="I30" s="6170">
        <f t="shared" si="234"/>
        <v>56.851794198868582</v>
      </c>
      <c r="J30" s="4659">
        <f t="shared" si="234"/>
        <v>54.987818602213864</v>
      </c>
      <c r="K30" s="2197">
        <f t="shared" si="234"/>
        <v>54.780262693612933</v>
      </c>
      <c r="L30" s="2195">
        <v>50</v>
      </c>
      <c r="M30" s="2196">
        <v>50</v>
      </c>
      <c r="N30" s="2197">
        <v>50</v>
      </c>
      <c r="O30" s="2198">
        <v>40</v>
      </c>
      <c r="P30" s="2196">
        <v>30</v>
      </c>
      <c r="Q30" s="2199">
        <v>35</v>
      </c>
      <c r="R30" s="3601">
        <f>SUM(F30:Q30)</f>
        <v>601.13499506166283</v>
      </c>
      <c r="S30" s="2196" t="e">
        <f>(R36-#REF!)*$E30</f>
        <v>#REF!</v>
      </c>
      <c r="T30" s="2196" t="e">
        <f>(S36-#REF!)*$E30</f>
        <v>#REF!</v>
      </c>
      <c r="U30" s="2197" t="e">
        <f>(T36-#REF!)*$E30</f>
        <v>#REF!</v>
      </c>
      <c r="V30" s="2198" t="e">
        <f>(U36-#REF!)*$E30</f>
        <v>#REF!</v>
      </c>
      <c r="W30" s="2196" t="e">
        <f>(V36-#REF!)*$E30</f>
        <v>#REF!</v>
      </c>
      <c r="X30" s="2197" t="e">
        <f>(W36-#REF!)*$E30</f>
        <v>#REF!</v>
      </c>
      <c r="Y30" s="2195" t="e">
        <f>(X36-#REF!)*$E30</f>
        <v>#REF!</v>
      </c>
      <c r="Z30" s="2196" t="e">
        <f>(Y36-#REF!)*$E30</f>
        <v>#REF!</v>
      </c>
      <c r="AA30" s="2197" t="e">
        <f>(Z36-#REF!)*$E30</f>
        <v>#REF!</v>
      </c>
      <c r="AB30" s="2198" t="e">
        <f>(AA36-#REF!)*$E30</f>
        <v>#REF!</v>
      </c>
      <c r="AC30" s="2196" t="e">
        <f>(AB36-#REF!)*$E30</f>
        <v>#REF!</v>
      </c>
      <c r="AD30" s="2199" t="e">
        <f>(AC36-#REF!)*$E30</f>
        <v>#REF!</v>
      </c>
      <c r="AE30" s="3474" t="e">
        <f>SUM(S30:AD30)</f>
        <v>#REF!</v>
      </c>
      <c r="AF30" s="2196" t="e">
        <f>(AE36-#REF!)*$E30</f>
        <v>#REF!</v>
      </c>
      <c r="AG30" s="2196" t="e">
        <f>(AF36-#REF!)*$E30</f>
        <v>#REF!</v>
      </c>
      <c r="AH30" s="2197" t="e">
        <f>(AG36-#REF!)*$E30</f>
        <v>#REF!</v>
      </c>
      <c r="AI30" s="2198" t="e">
        <f>(AH36-#REF!)*$E30</f>
        <v>#REF!</v>
      </c>
      <c r="AJ30" s="2196" t="e">
        <f>(AI36-#REF!)*$E30</f>
        <v>#REF!</v>
      </c>
      <c r="AK30" s="2197" t="e">
        <f>(AJ36-#REF!)*$E30</f>
        <v>#REF!</v>
      </c>
      <c r="AL30" s="2195" t="e">
        <f>(AK36-#REF!)*$E30</f>
        <v>#REF!</v>
      </c>
      <c r="AM30" s="2196" t="e">
        <f>(AL36-#REF!)*$E30</f>
        <v>#REF!</v>
      </c>
      <c r="AN30" s="2197" t="e">
        <f>(AM36-#REF!)*$E30</f>
        <v>#REF!</v>
      </c>
      <c r="AO30" s="2198" t="e">
        <f>(AN36-#REF!)*$E30</f>
        <v>#REF!</v>
      </c>
      <c r="AP30" s="2196" t="e">
        <f>(AO36-#REF!)*$E30</f>
        <v>#REF!</v>
      </c>
      <c r="AQ30" s="2199" t="e">
        <f>(AP36-#REF!)*$E30</f>
        <v>#REF!</v>
      </c>
      <c r="AR30" s="3474" t="e">
        <f>SUM(AF30:AQ30)</f>
        <v>#REF!</v>
      </c>
      <c r="AS30" s="2196" t="e">
        <f>(AR36-#REF!)*$E30</f>
        <v>#REF!</v>
      </c>
      <c r="AT30" s="2196" t="e">
        <f>(AS36-#REF!)*$E30</f>
        <v>#REF!</v>
      </c>
      <c r="AU30" s="2197" t="e">
        <f>(AT36-#REF!)*$E30</f>
        <v>#REF!</v>
      </c>
      <c r="AV30" s="2198" t="e">
        <f>(AU36-#REF!)*$E30</f>
        <v>#REF!</v>
      </c>
      <c r="AW30" s="2196" t="e">
        <f>(AV36-#REF!)*$E30</f>
        <v>#REF!</v>
      </c>
      <c r="AX30" s="2197" t="e">
        <f>(AW36-#REF!)*$E30</f>
        <v>#REF!</v>
      </c>
      <c r="AY30" s="2195" t="e">
        <f>(AX36-#REF!)*$E30</f>
        <v>#REF!</v>
      </c>
      <c r="AZ30" s="2196" t="e">
        <f>(AY36-#REF!)*$E30</f>
        <v>#REF!</v>
      </c>
      <c r="BA30" s="2197" t="e">
        <f>(AZ36-#REF!)*$E30</f>
        <v>#REF!</v>
      </c>
      <c r="BB30" s="2198" t="e">
        <f>(BA36-#REF!)*$E30</f>
        <v>#REF!</v>
      </c>
      <c r="BC30" s="2196" t="e">
        <f>(BB36-#REF!)*$E30</f>
        <v>#REF!</v>
      </c>
      <c r="BD30" s="2199" t="e">
        <f>(BC36-#REF!)*$E30</f>
        <v>#REF!</v>
      </c>
      <c r="BE30" s="2200" t="e">
        <f>SUM(AS30:BD30)</f>
        <v>#REF!</v>
      </c>
    </row>
    <row r="31" spans="1:59">
      <c r="A31" s="2201" t="s">
        <v>909</v>
      </c>
      <c r="B31" s="2153"/>
      <c r="C31" s="2153"/>
      <c r="D31" s="51"/>
      <c r="E31" s="3597" t="s">
        <v>786</v>
      </c>
      <c r="F31" s="4660">
        <v>3</v>
      </c>
      <c r="G31" s="5270">
        <v>8</v>
      </c>
      <c r="H31" s="5656">
        <v>8</v>
      </c>
      <c r="I31" s="4660">
        <v>8</v>
      </c>
      <c r="J31" s="5270">
        <v>8</v>
      </c>
      <c r="K31" s="3365">
        <v>8</v>
      </c>
      <c r="L31" s="3363">
        <v>8</v>
      </c>
      <c r="M31" s="3364">
        <v>8</v>
      </c>
      <c r="N31" s="3365">
        <v>8</v>
      </c>
      <c r="O31" s="3360">
        <v>8</v>
      </c>
      <c r="P31" s="2203">
        <v>8</v>
      </c>
      <c r="Q31" s="2203">
        <v>8</v>
      </c>
      <c r="R31" s="3602"/>
      <c r="S31" s="3363">
        <v>8</v>
      </c>
      <c r="T31" s="3364">
        <v>8</v>
      </c>
      <c r="U31" s="3365">
        <v>8</v>
      </c>
      <c r="V31" s="3363">
        <v>8</v>
      </c>
      <c r="W31" s="3364">
        <v>8</v>
      </c>
      <c r="X31" s="3365">
        <v>8</v>
      </c>
      <c r="Y31" s="3363">
        <v>8</v>
      </c>
      <c r="Z31" s="3364">
        <v>8</v>
      </c>
      <c r="AA31" s="3365">
        <v>8</v>
      </c>
      <c r="AB31" s="3360">
        <v>8</v>
      </c>
      <c r="AC31" s="2203">
        <v>8</v>
      </c>
      <c r="AD31" s="2203">
        <v>8</v>
      </c>
      <c r="AE31" s="3475"/>
      <c r="AF31" s="3363">
        <v>8</v>
      </c>
      <c r="AG31" s="3364">
        <v>8</v>
      </c>
      <c r="AH31" s="3365">
        <v>8</v>
      </c>
      <c r="AI31" s="3363">
        <v>8</v>
      </c>
      <c r="AJ31" s="3364">
        <v>8</v>
      </c>
      <c r="AK31" s="3365">
        <v>8</v>
      </c>
      <c r="AL31" s="3363">
        <v>8</v>
      </c>
      <c r="AM31" s="3364">
        <v>8</v>
      </c>
      <c r="AN31" s="3365">
        <v>8</v>
      </c>
      <c r="AO31" s="3360">
        <v>8</v>
      </c>
      <c r="AP31" s="2203">
        <v>8</v>
      </c>
      <c r="AQ31" s="2203">
        <v>8</v>
      </c>
      <c r="AR31" s="3475"/>
      <c r="AS31" s="3363">
        <v>8</v>
      </c>
      <c r="AT31" s="3364">
        <v>8</v>
      </c>
      <c r="AU31" s="3365">
        <v>8</v>
      </c>
      <c r="AV31" s="3363">
        <v>8</v>
      </c>
      <c r="AW31" s="3364">
        <v>8</v>
      </c>
      <c r="AX31" s="3365">
        <v>8</v>
      </c>
      <c r="AY31" s="3363">
        <v>8</v>
      </c>
      <c r="AZ31" s="3364">
        <v>8</v>
      </c>
      <c r="BA31" s="3365">
        <v>8</v>
      </c>
      <c r="BB31" s="3360">
        <v>8</v>
      </c>
      <c r="BC31" s="2203">
        <v>8</v>
      </c>
      <c r="BD31" s="2203">
        <v>8</v>
      </c>
      <c r="BE31" s="2204"/>
    </row>
    <row r="32" spans="1:59">
      <c r="A32" s="2205" t="s">
        <v>966</v>
      </c>
      <c r="B32" s="2156"/>
      <c r="C32" s="2156"/>
      <c r="D32" s="2176"/>
      <c r="E32" s="1647" t="s">
        <v>785</v>
      </c>
      <c r="F32" s="4661">
        <v>3</v>
      </c>
      <c r="G32" s="5271">
        <v>10</v>
      </c>
      <c r="H32" s="5657">
        <v>16</v>
      </c>
      <c r="I32" s="4661">
        <v>16</v>
      </c>
      <c r="J32" s="5271">
        <v>18</v>
      </c>
      <c r="K32" s="2207">
        <v>18</v>
      </c>
      <c r="L32" s="3366">
        <v>18</v>
      </c>
      <c r="M32" s="2206">
        <v>17</v>
      </c>
      <c r="N32" s="2207">
        <v>18</v>
      </c>
      <c r="O32" s="3361">
        <v>10</v>
      </c>
      <c r="P32" s="2206">
        <v>10</v>
      </c>
      <c r="Q32" s="2206">
        <v>9</v>
      </c>
      <c r="R32" s="3603"/>
      <c r="S32" s="3366">
        <v>25</v>
      </c>
      <c r="T32" s="2206">
        <v>25</v>
      </c>
      <c r="U32" s="2207">
        <v>25</v>
      </c>
      <c r="V32" s="3366">
        <v>25</v>
      </c>
      <c r="W32" s="2206">
        <v>25</v>
      </c>
      <c r="X32" s="2207">
        <v>25</v>
      </c>
      <c r="Y32" s="3366">
        <v>25</v>
      </c>
      <c r="Z32" s="2206">
        <v>25</v>
      </c>
      <c r="AA32" s="2207">
        <v>25</v>
      </c>
      <c r="AB32" s="3361">
        <v>25</v>
      </c>
      <c r="AC32" s="2206">
        <v>25</v>
      </c>
      <c r="AD32" s="2206">
        <v>25</v>
      </c>
      <c r="AE32" s="3476"/>
      <c r="AF32" s="3366">
        <v>25</v>
      </c>
      <c r="AG32" s="2206">
        <v>25</v>
      </c>
      <c r="AH32" s="2207">
        <v>25</v>
      </c>
      <c r="AI32" s="3366">
        <v>25</v>
      </c>
      <c r="AJ32" s="2206">
        <v>25</v>
      </c>
      <c r="AK32" s="2207">
        <v>25</v>
      </c>
      <c r="AL32" s="3366">
        <v>25</v>
      </c>
      <c r="AM32" s="2206">
        <v>25</v>
      </c>
      <c r="AN32" s="2207">
        <v>25</v>
      </c>
      <c r="AO32" s="3361">
        <v>25</v>
      </c>
      <c r="AP32" s="2206">
        <v>25</v>
      </c>
      <c r="AQ32" s="2206">
        <v>25</v>
      </c>
      <c r="AR32" s="3476"/>
      <c r="AS32" s="3366">
        <v>25</v>
      </c>
      <c r="AT32" s="2206">
        <v>25</v>
      </c>
      <c r="AU32" s="2207">
        <v>25</v>
      </c>
      <c r="AV32" s="3366">
        <v>25</v>
      </c>
      <c r="AW32" s="2206">
        <v>25</v>
      </c>
      <c r="AX32" s="2207">
        <v>25</v>
      </c>
      <c r="AY32" s="3366">
        <v>25</v>
      </c>
      <c r="AZ32" s="2206">
        <v>25</v>
      </c>
      <c r="BA32" s="2207">
        <v>25</v>
      </c>
      <c r="BB32" s="3361">
        <v>25</v>
      </c>
      <c r="BC32" s="2206">
        <v>25</v>
      </c>
      <c r="BD32" s="2206">
        <v>25</v>
      </c>
      <c r="BE32" s="2208"/>
    </row>
    <row r="33" spans="1:58">
      <c r="A33" s="2205"/>
      <c r="B33" s="2156"/>
      <c r="C33" s="2156"/>
      <c r="D33" s="2176"/>
      <c r="E33" s="1647" t="s">
        <v>784</v>
      </c>
      <c r="F33" s="4661">
        <v>3</v>
      </c>
      <c r="G33" s="5271">
        <v>15</v>
      </c>
      <c r="H33" s="5657">
        <v>17</v>
      </c>
      <c r="I33" s="4661">
        <v>15</v>
      </c>
      <c r="J33" s="5271">
        <v>20</v>
      </c>
      <c r="K33" s="2207">
        <v>20</v>
      </c>
      <c r="L33" s="3366">
        <v>20</v>
      </c>
      <c r="M33" s="2206">
        <v>8</v>
      </c>
      <c r="N33" s="2207">
        <v>12</v>
      </c>
      <c r="O33" s="3361">
        <v>10</v>
      </c>
      <c r="P33" s="2206">
        <v>9</v>
      </c>
      <c r="Q33" s="2206">
        <v>7</v>
      </c>
      <c r="R33" s="3603"/>
      <c r="S33" s="3366">
        <v>21</v>
      </c>
      <c r="T33" s="2206">
        <v>21</v>
      </c>
      <c r="U33" s="2207">
        <v>21</v>
      </c>
      <c r="V33" s="3366">
        <v>21</v>
      </c>
      <c r="W33" s="2206">
        <v>21</v>
      </c>
      <c r="X33" s="2207">
        <v>21</v>
      </c>
      <c r="Y33" s="3366">
        <v>21</v>
      </c>
      <c r="Z33" s="2206">
        <v>21</v>
      </c>
      <c r="AA33" s="2207">
        <v>21</v>
      </c>
      <c r="AB33" s="3361">
        <v>21</v>
      </c>
      <c r="AC33" s="2206">
        <v>21</v>
      </c>
      <c r="AD33" s="2206">
        <v>21</v>
      </c>
      <c r="AE33" s="3476"/>
      <c r="AF33" s="3366">
        <v>21</v>
      </c>
      <c r="AG33" s="2206">
        <v>21</v>
      </c>
      <c r="AH33" s="2207">
        <v>21</v>
      </c>
      <c r="AI33" s="3366">
        <v>21</v>
      </c>
      <c r="AJ33" s="2206">
        <v>21</v>
      </c>
      <c r="AK33" s="2207">
        <v>21</v>
      </c>
      <c r="AL33" s="3366">
        <v>21</v>
      </c>
      <c r="AM33" s="2206">
        <v>21</v>
      </c>
      <c r="AN33" s="2207">
        <v>21</v>
      </c>
      <c r="AO33" s="3361">
        <v>21</v>
      </c>
      <c r="AP33" s="2206">
        <v>21</v>
      </c>
      <c r="AQ33" s="2206">
        <v>21</v>
      </c>
      <c r="AR33" s="3476"/>
      <c r="AS33" s="3366">
        <v>21</v>
      </c>
      <c r="AT33" s="2206">
        <v>21</v>
      </c>
      <c r="AU33" s="2207">
        <v>21</v>
      </c>
      <c r="AV33" s="3366">
        <v>21</v>
      </c>
      <c r="AW33" s="2206">
        <v>21</v>
      </c>
      <c r="AX33" s="2207">
        <v>21</v>
      </c>
      <c r="AY33" s="3366">
        <v>21</v>
      </c>
      <c r="AZ33" s="2206">
        <v>21</v>
      </c>
      <c r="BA33" s="2207">
        <v>21</v>
      </c>
      <c r="BB33" s="3361">
        <v>21</v>
      </c>
      <c r="BC33" s="2206">
        <v>21</v>
      </c>
      <c r="BD33" s="2206">
        <v>21</v>
      </c>
      <c r="BE33" s="2208"/>
      <c r="BF33" s="1532"/>
    </row>
    <row r="34" spans="1:58">
      <c r="A34" s="2209"/>
      <c r="B34" s="2210"/>
      <c r="C34" s="2210"/>
      <c r="D34" s="2211"/>
      <c r="E34" s="3598" t="s">
        <v>92</v>
      </c>
      <c r="F34" s="4662">
        <v>7</v>
      </c>
      <c r="G34" s="5272">
        <v>7</v>
      </c>
      <c r="H34" s="5658">
        <v>7</v>
      </c>
      <c r="I34" s="4662"/>
      <c r="J34" s="5272">
        <v>7</v>
      </c>
      <c r="K34" s="2213">
        <v>7</v>
      </c>
      <c r="L34" s="3367">
        <v>6</v>
      </c>
      <c r="M34" s="2212">
        <v>6</v>
      </c>
      <c r="N34" s="2213">
        <v>6</v>
      </c>
      <c r="O34" s="3362">
        <v>5</v>
      </c>
      <c r="P34" s="2212">
        <v>5</v>
      </c>
      <c r="Q34" s="2212">
        <v>5</v>
      </c>
      <c r="R34" s="3604"/>
      <c r="S34" s="3367">
        <v>8</v>
      </c>
      <c r="T34" s="2212">
        <v>8</v>
      </c>
      <c r="U34" s="2213">
        <v>8</v>
      </c>
      <c r="V34" s="3367">
        <v>8</v>
      </c>
      <c r="W34" s="2212">
        <v>8</v>
      </c>
      <c r="X34" s="2213">
        <v>8</v>
      </c>
      <c r="Y34" s="3367">
        <v>8</v>
      </c>
      <c r="Z34" s="2212">
        <v>8</v>
      </c>
      <c r="AA34" s="2213">
        <v>8</v>
      </c>
      <c r="AB34" s="3362">
        <v>8</v>
      </c>
      <c r="AC34" s="2212">
        <v>8</v>
      </c>
      <c r="AD34" s="2212">
        <v>8</v>
      </c>
      <c r="AE34" s="3477"/>
      <c r="AF34" s="3367">
        <v>8</v>
      </c>
      <c r="AG34" s="2212">
        <v>8</v>
      </c>
      <c r="AH34" s="2213">
        <v>8</v>
      </c>
      <c r="AI34" s="3367">
        <v>8</v>
      </c>
      <c r="AJ34" s="2212">
        <v>8</v>
      </c>
      <c r="AK34" s="2213">
        <v>8</v>
      </c>
      <c r="AL34" s="3367">
        <v>8</v>
      </c>
      <c r="AM34" s="2212">
        <v>8</v>
      </c>
      <c r="AN34" s="2213">
        <v>8</v>
      </c>
      <c r="AO34" s="3362">
        <v>8</v>
      </c>
      <c r="AP34" s="2212">
        <v>8</v>
      </c>
      <c r="AQ34" s="2212">
        <v>8</v>
      </c>
      <c r="AR34" s="3477"/>
      <c r="AS34" s="3367">
        <v>8</v>
      </c>
      <c r="AT34" s="2212">
        <v>8</v>
      </c>
      <c r="AU34" s="2213">
        <v>8</v>
      </c>
      <c r="AV34" s="3367">
        <v>8</v>
      </c>
      <c r="AW34" s="2212">
        <v>8</v>
      </c>
      <c r="AX34" s="2213">
        <v>8</v>
      </c>
      <c r="AY34" s="3367">
        <v>8</v>
      </c>
      <c r="AZ34" s="2212">
        <v>8</v>
      </c>
      <c r="BA34" s="2213">
        <v>8</v>
      </c>
      <c r="BB34" s="3362">
        <v>8</v>
      </c>
      <c r="BC34" s="2212">
        <v>8</v>
      </c>
      <c r="BD34" s="2212">
        <v>8</v>
      </c>
      <c r="BE34" s="2214"/>
    </row>
    <row r="35" spans="1:58" ht="16.2" thickBot="1">
      <c r="A35" s="2215" t="s">
        <v>983</v>
      </c>
      <c r="B35" s="2216" t="s">
        <v>986</v>
      </c>
      <c r="C35" s="2216"/>
      <c r="D35" s="2217"/>
      <c r="E35" s="3599"/>
      <c r="F35" s="4663">
        <f t="shared" ref="F35:G35" si="235">SUM(F31:F34)</f>
        <v>16</v>
      </c>
      <c r="G35" s="5273">
        <f t="shared" si="235"/>
        <v>40</v>
      </c>
      <c r="H35" s="5659">
        <f>SUM(H31:H34)</f>
        <v>48</v>
      </c>
      <c r="I35" s="5273">
        <f t="shared" ref="I35:Q35" si="236">SUM(I31:I34)</f>
        <v>39</v>
      </c>
      <c r="J35" s="5273">
        <f t="shared" si="236"/>
        <v>53</v>
      </c>
      <c r="K35" s="2220">
        <f t="shared" si="236"/>
        <v>53</v>
      </c>
      <c r="L35" s="2218">
        <f t="shared" si="236"/>
        <v>52</v>
      </c>
      <c r="M35" s="2219">
        <f t="shared" si="236"/>
        <v>39</v>
      </c>
      <c r="N35" s="2220">
        <f t="shared" si="236"/>
        <v>44</v>
      </c>
      <c r="O35" s="2219">
        <f t="shared" si="236"/>
        <v>33</v>
      </c>
      <c r="P35" s="2219">
        <f t="shared" si="236"/>
        <v>32</v>
      </c>
      <c r="Q35" s="2219">
        <f t="shared" si="236"/>
        <v>29</v>
      </c>
      <c r="R35" s="3605">
        <f>SUM(F35:Q35)</f>
        <v>478</v>
      </c>
      <c r="S35" s="2218">
        <f t="shared" ref="S35:AD35" si="237">SUM(S31:S34)</f>
        <v>62</v>
      </c>
      <c r="T35" s="2219">
        <f t="shared" si="237"/>
        <v>62</v>
      </c>
      <c r="U35" s="2220">
        <f t="shared" si="237"/>
        <v>62</v>
      </c>
      <c r="V35" s="2219">
        <f t="shared" si="237"/>
        <v>62</v>
      </c>
      <c r="W35" s="2219">
        <f t="shared" si="237"/>
        <v>62</v>
      </c>
      <c r="X35" s="2220">
        <f t="shared" si="237"/>
        <v>62</v>
      </c>
      <c r="Y35" s="2218">
        <f t="shared" si="237"/>
        <v>62</v>
      </c>
      <c r="Z35" s="2219">
        <f t="shared" si="237"/>
        <v>62</v>
      </c>
      <c r="AA35" s="2220">
        <f t="shared" si="237"/>
        <v>62</v>
      </c>
      <c r="AB35" s="2219">
        <f t="shared" si="237"/>
        <v>62</v>
      </c>
      <c r="AC35" s="2219">
        <f t="shared" si="237"/>
        <v>62</v>
      </c>
      <c r="AD35" s="2219">
        <f t="shared" si="237"/>
        <v>62</v>
      </c>
      <c r="AE35" s="3478">
        <f>SUM(S35:AD35)</f>
        <v>744</v>
      </c>
      <c r="AF35" s="2218">
        <f t="shared" ref="AF35:AQ35" si="238">SUM(AF31:AF34)</f>
        <v>62</v>
      </c>
      <c r="AG35" s="2219">
        <f t="shared" si="238"/>
        <v>62</v>
      </c>
      <c r="AH35" s="2220">
        <f t="shared" si="238"/>
        <v>62</v>
      </c>
      <c r="AI35" s="2219">
        <f t="shared" si="238"/>
        <v>62</v>
      </c>
      <c r="AJ35" s="2219">
        <f t="shared" si="238"/>
        <v>62</v>
      </c>
      <c r="AK35" s="2220">
        <f t="shared" si="238"/>
        <v>62</v>
      </c>
      <c r="AL35" s="2218">
        <f t="shared" si="238"/>
        <v>62</v>
      </c>
      <c r="AM35" s="2219">
        <f t="shared" si="238"/>
        <v>62</v>
      </c>
      <c r="AN35" s="2220">
        <f t="shared" si="238"/>
        <v>62</v>
      </c>
      <c r="AO35" s="2219">
        <f t="shared" si="238"/>
        <v>62</v>
      </c>
      <c r="AP35" s="2219">
        <f t="shared" si="238"/>
        <v>62</v>
      </c>
      <c r="AQ35" s="2219">
        <f t="shared" si="238"/>
        <v>62</v>
      </c>
      <c r="AR35" s="3478">
        <f>SUM(AF35:AQ35)</f>
        <v>744</v>
      </c>
      <c r="AS35" s="2218">
        <f t="shared" ref="AS35:BD35" si="239">SUM(AS31:AS34)</f>
        <v>62</v>
      </c>
      <c r="AT35" s="2219">
        <f t="shared" si="239"/>
        <v>62</v>
      </c>
      <c r="AU35" s="2220">
        <f t="shared" si="239"/>
        <v>62</v>
      </c>
      <c r="AV35" s="2219">
        <f t="shared" si="239"/>
        <v>62</v>
      </c>
      <c r="AW35" s="2219">
        <f t="shared" si="239"/>
        <v>62</v>
      </c>
      <c r="AX35" s="2220">
        <f t="shared" si="239"/>
        <v>62</v>
      </c>
      <c r="AY35" s="2218">
        <f t="shared" si="239"/>
        <v>62</v>
      </c>
      <c r="AZ35" s="2219">
        <f t="shared" si="239"/>
        <v>62</v>
      </c>
      <c r="BA35" s="2220">
        <f t="shared" si="239"/>
        <v>62</v>
      </c>
      <c r="BB35" s="2219">
        <f t="shared" si="239"/>
        <v>62</v>
      </c>
      <c r="BC35" s="2219">
        <f t="shared" si="239"/>
        <v>62</v>
      </c>
      <c r="BD35" s="2219">
        <f t="shared" si="239"/>
        <v>62</v>
      </c>
      <c r="BE35" s="2221">
        <f>SUM(AS35:BD35)</f>
        <v>744</v>
      </c>
    </row>
    <row r="36" spans="1:58" ht="16.2" thickBot="1">
      <c r="A36" s="2222" t="s">
        <v>981</v>
      </c>
      <c r="B36" s="2223"/>
      <c r="C36" s="2223"/>
      <c r="D36" s="2224"/>
      <c r="E36" s="3600">
        <f>824-39</f>
        <v>785</v>
      </c>
      <c r="F36" s="4664">
        <f>F29-F30+SUM(F31:F34)</f>
        <v>574.33750416627015</v>
      </c>
      <c r="G36" s="5029">
        <f t="shared" ref="G36" si="240">F36-G30+SUM(G31:G34)</f>
        <v>554.36868086013135</v>
      </c>
      <c r="H36" s="5603">
        <f>G36-H30+SUM(H31:H34)</f>
        <v>544.48488043303246</v>
      </c>
      <c r="I36" s="6171">
        <f>H36-I30+SUM(I31:I34)</f>
        <v>526.6330862341639</v>
      </c>
      <c r="J36" s="6360">
        <f>I36-J30+SUM(J31:J34)</f>
        <v>524.64526763194999</v>
      </c>
      <c r="K36" s="2816">
        <f t="shared" ref="K36" si="241">J36-K30+SUM(K31:K34)</f>
        <v>522.86500493833705</v>
      </c>
      <c r="L36" s="2817">
        <f t="shared" ref="L36" si="242">K36-L30+SUM(L31:L34)</f>
        <v>524.86500493833705</v>
      </c>
      <c r="M36" s="2815">
        <f t="shared" ref="M36" si="243">L36-M30+SUM(M31:M34)</f>
        <v>513.86500493833705</v>
      </c>
      <c r="N36" s="2816">
        <f t="shared" ref="N36" si="244">M36-N30+SUM(N31:N34)</f>
        <v>507.86500493833705</v>
      </c>
      <c r="O36" s="2814">
        <f t="shared" ref="O36" si="245">N36-O30+SUM(O31:O34)</f>
        <v>500.86500493833705</v>
      </c>
      <c r="P36" s="2815">
        <f t="shared" ref="P36" si="246">O36-P30+SUM(P31:P34)</f>
        <v>502.86500493833705</v>
      </c>
      <c r="Q36" s="2818">
        <f t="shared" ref="Q36" si="247">P36-Q30+SUM(Q31:Q34)</f>
        <v>496.86500493833705</v>
      </c>
      <c r="R36" s="2143">
        <f>R29-R30+R35</f>
        <v>496.86500493833717</v>
      </c>
      <c r="S36" s="3434" t="e">
        <f>S29-S30+S35</f>
        <v>#REF!</v>
      </c>
      <c r="T36" s="3435" t="e">
        <f>S36-T30+SUM(T31:T34)</f>
        <v>#REF!</v>
      </c>
      <c r="U36" s="3436" t="e">
        <f t="shared" ref="U36" si="248">T36-U30+SUM(U31:U34)</f>
        <v>#REF!</v>
      </c>
      <c r="V36" s="2814" t="e">
        <f>U36-V30+SUM(V31:V34)</f>
        <v>#REF!</v>
      </c>
      <c r="W36" s="2815" t="e">
        <f t="shared" ref="W36" si="249">V36-W30+SUM(W31:W34)</f>
        <v>#REF!</v>
      </c>
      <c r="X36" s="2816" t="e">
        <f t="shared" ref="X36" si="250">W36-X30+SUM(X31:X34)</f>
        <v>#REF!</v>
      </c>
      <c r="Y36" s="2817" t="e">
        <f t="shared" ref="Y36" si="251">X36-Y30+SUM(Y31:Y34)</f>
        <v>#REF!</v>
      </c>
      <c r="Z36" s="2815" t="e">
        <f t="shared" ref="Z36" si="252">Y36-Z30+SUM(Z31:Z34)</f>
        <v>#REF!</v>
      </c>
      <c r="AA36" s="2816" t="e">
        <f t="shared" ref="AA36" si="253">Z36-AA30+SUM(AA31:AA34)</f>
        <v>#REF!</v>
      </c>
      <c r="AB36" s="2814" t="e">
        <f t="shared" ref="AB36" si="254">AA36-AB30+SUM(AB31:AB34)</f>
        <v>#REF!</v>
      </c>
      <c r="AC36" s="2815" t="e">
        <f t="shared" ref="AC36" si="255">AB36-AC30+SUM(AC31:AC34)</f>
        <v>#REF!</v>
      </c>
      <c r="AD36" s="2818" t="e">
        <f t="shared" ref="AD36" si="256">AC36-AD30+SUM(AD31:AD34)</f>
        <v>#REF!</v>
      </c>
      <c r="AE36" s="2143" t="e">
        <f>AE29-AE30+AE35</f>
        <v>#REF!</v>
      </c>
      <c r="AF36" s="3434" t="e">
        <f>AF29-AF30+AF35</f>
        <v>#REF!</v>
      </c>
      <c r="AG36" s="3435" t="e">
        <f>AF36-AG30+SUM(AG31:AG34)</f>
        <v>#REF!</v>
      </c>
      <c r="AH36" s="3436" t="e">
        <f t="shared" ref="AH36" si="257">AG36-AH30+SUM(AH31:AH34)</f>
        <v>#REF!</v>
      </c>
      <c r="AI36" s="2814" t="e">
        <f>AH36-AI30+SUM(AI31:AI34)</f>
        <v>#REF!</v>
      </c>
      <c r="AJ36" s="2815" t="e">
        <f t="shared" ref="AJ36" si="258">AI36-AJ30+SUM(AJ31:AJ34)</f>
        <v>#REF!</v>
      </c>
      <c r="AK36" s="2816" t="e">
        <f t="shared" ref="AK36" si="259">AJ36-AK30+SUM(AK31:AK34)</f>
        <v>#REF!</v>
      </c>
      <c r="AL36" s="2817" t="e">
        <f t="shared" ref="AL36" si="260">AK36-AL30+SUM(AL31:AL34)</f>
        <v>#REF!</v>
      </c>
      <c r="AM36" s="2815" t="e">
        <f t="shared" ref="AM36" si="261">AL36-AM30+SUM(AM31:AM34)</f>
        <v>#REF!</v>
      </c>
      <c r="AN36" s="2816" t="e">
        <f t="shared" ref="AN36" si="262">AM36-AN30+SUM(AN31:AN34)</f>
        <v>#REF!</v>
      </c>
      <c r="AO36" s="2814" t="e">
        <f t="shared" ref="AO36" si="263">AN36-AO30+SUM(AO31:AO34)</f>
        <v>#REF!</v>
      </c>
      <c r="AP36" s="2815" t="e">
        <f t="shared" ref="AP36" si="264">AO36-AP30+SUM(AP31:AP34)</f>
        <v>#REF!</v>
      </c>
      <c r="AQ36" s="2818" t="e">
        <f t="shared" ref="AQ36" si="265">AP36-AQ30+SUM(AQ31:AQ34)</f>
        <v>#REF!</v>
      </c>
      <c r="AR36" s="2143" t="e">
        <f>AR29-AR30+AR35</f>
        <v>#REF!</v>
      </c>
      <c r="AS36" s="3434" t="e">
        <f>AS29-AS30+AS35</f>
        <v>#REF!</v>
      </c>
      <c r="AT36" s="3435" t="e">
        <f>AS36-AT30+SUM(AT31:AT34)</f>
        <v>#REF!</v>
      </c>
      <c r="AU36" s="3436" t="e">
        <f t="shared" ref="AU36" si="266">AT36-AU30+SUM(AU31:AU34)</f>
        <v>#REF!</v>
      </c>
      <c r="AV36" s="2814" t="e">
        <f>AU36-AV30+SUM(AV31:AV34)</f>
        <v>#REF!</v>
      </c>
      <c r="AW36" s="2815" t="e">
        <f t="shared" ref="AW36" si="267">AV36-AW30+SUM(AW31:AW34)</f>
        <v>#REF!</v>
      </c>
      <c r="AX36" s="2816" t="e">
        <f t="shared" ref="AX36" si="268">AW36-AX30+SUM(AX31:AX34)</f>
        <v>#REF!</v>
      </c>
      <c r="AY36" s="2817" t="e">
        <f t="shared" ref="AY36" si="269">AX36-AY30+SUM(AY31:AY34)</f>
        <v>#REF!</v>
      </c>
      <c r="AZ36" s="2815" t="e">
        <f t="shared" ref="AZ36" si="270">AY36-AZ30+SUM(AZ31:AZ34)</f>
        <v>#REF!</v>
      </c>
      <c r="BA36" s="2816" t="e">
        <f t="shared" ref="BA36" si="271">AZ36-BA30+SUM(BA31:BA34)</f>
        <v>#REF!</v>
      </c>
      <c r="BB36" s="2814" t="e">
        <f t="shared" ref="BB36" si="272">BA36-BB30+SUM(BB31:BB34)</f>
        <v>#REF!</v>
      </c>
      <c r="BC36" s="2815" t="e">
        <f t="shared" ref="BC36" si="273">BB36-BC30+SUM(BC31:BC34)</f>
        <v>#REF!</v>
      </c>
      <c r="BD36" s="2818" t="e">
        <f t="shared" ref="BD36" si="274">BC36-BD30+SUM(BD31:BD34)</f>
        <v>#REF!</v>
      </c>
      <c r="BE36" s="1674" t="e">
        <f>BE29-BE30+BE35</f>
        <v>#REF!</v>
      </c>
    </row>
    <row r="37" spans="1:58" hidden="1">
      <c r="A37" s="5" t="s">
        <v>987</v>
      </c>
      <c r="C37" s="2228">
        <f>E30</f>
        <v>0.1044139079741828</v>
      </c>
      <c r="F37" s="1536" t="s">
        <v>1174</v>
      </c>
      <c r="I37" s="1536" t="s">
        <v>1184</v>
      </c>
      <c r="O37" s="1535" t="s">
        <v>1195</v>
      </c>
      <c r="S37" s="1535" t="s">
        <v>1174</v>
      </c>
      <c r="V37" s="1535" t="s">
        <v>1184</v>
      </c>
      <c r="AB37" s="1535" t="s">
        <v>1195</v>
      </c>
      <c r="AF37" s="1535" t="s">
        <v>1174</v>
      </c>
      <c r="AI37" s="1535" t="s">
        <v>1184</v>
      </c>
      <c r="AO37" s="1535" t="s">
        <v>1195</v>
      </c>
      <c r="AS37" s="1535" t="s">
        <v>1174</v>
      </c>
      <c r="AV37" s="1535" t="s">
        <v>1184</v>
      </c>
      <c r="BB37" s="5" t="s">
        <v>1195</v>
      </c>
    </row>
    <row r="38" spans="1:58" hidden="1">
      <c r="A38" s="5" t="s">
        <v>988</v>
      </c>
      <c r="C38" s="2228"/>
      <c r="F38" s="1536" t="s">
        <v>1175</v>
      </c>
      <c r="I38" s="1536" t="s">
        <v>1180</v>
      </c>
      <c r="S38" s="1535" t="s">
        <v>1175</v>
      </c>
      <c r="V38" s="1535" t="s">
        <v>1180</v>
      </c>
      <c r="AF38" s="1535" t="s">
        <v>1175</v>
      </c>
      <c r="AI38" s="1535" t="s">
        <v>1180</v>
      </c>
      <c r="AS38" s="1535" t="s">
        <v>1175</v>
      </c>
      <c r="AV38" s="1535" t="s">
        <v>1180</v>
      </c>
    </row>
    <row r="39" spans="1:58" ht="18" customHeight="1" thickBot="1">
      <c r="A39" s="2135"/>
      <c r="B39" s="2229"/>
      <c r="C39" s="2135"/>
      <c r="D39" s="2135"/>
      <c r="E39" s="2230"/>
      <c r="F39" s="4571"/>
      <c r="G39" s="4571"/>
      <c r="H39" s="4571"/>
      <c r="I39" s="4571"/>
      <c r="J39" s="6952"/>
      <c r="K39" s="5845"/>
      <c r="L39" s="2231"/>
      <c r="M39" s="2231"/>
      <c r="N39" s="2231"/>
      <c r="O39" s="2231"/>
      <c r="P39" s="2231"/>
      <c r="Q39" s="2231"/>
      <c r="R39" s="2231"/>
      <c r="S39" s="2231"/>
      <c r="T39" s="2231"/>
      <c r="U39" s="2231"/>
      <c r="V39" s="2231" t="s">
        <v>245</v>
      </c>
      <c r="W39" s="2231"/>
      <c r="X39" s="2231"/>
      <c r="Y39" s="2231"/>
      <c r="Z39" s="2231"/>
      <c r="AA39" s="2231"/>
      <c r="AB39" s="2231"/>
      <c r="AC39" s="2231"/>
      <c r="AD39" s="2231"/>
      <c r="AE39" s="2231"/>
      <c r="AF39" s="2231"/>
      <c r="AG39" s="2231"/>
      <c r="AH39" s="2231"/>
      <c r="AI39" s="2231" t="s">
        <v>245</v>
      </c>
      <c r="AJ39" s="2231"/>
      <c r="AK39" s="2231"/>
      <c r="AL39" s="2231"/>
      <c r="AM39" s="2231"/>
      <c r="AN39" s="2231"/>
      <c r="AO39" s="2231"/>
      <c r="AP39" s="2231"/>
      <c r="AQ39" s="2231"/>
      <c r="AR39" s="2231"/>
      <c r="AS39" s="2231"/>
      <c r="AT39" s="2231"/>
      <c r="AU39" s="2231"/>
      <c r="AV39" s="2231" t="s">
        <v>245</v>
      </c>
      <c r="AW39" s="2231"/>
      <c r="AX39" s="2231"/>
      <c r="AY39" s="2231"/>
      <c r="AZ39" s="2231"/>
      <c r="BA39" s="2231"/>
      <c r="BB39" s="2231"/>
      <c r="BC39" s="2231"/>
      <c r="BD39" s="2231"/>
      <c r="BE39" s="2136"/>
    </row>
    <row r="40" spans="1:58" s="1618" customFormat="1" ht="23.25" customHeight="1" thickBot="1">
      <c r="A40" s="7401" t="s">
        <v>476</v>
      </c>
      <c r="B40" s="7402"/>
      <c r="C40" s="7402"/>
      <c r="D40" s="7402"/>
      <c r="E40" s="2232">
        <v>860</v>
      </c>
      <c r="F40" s="4665">
        <f>F13+F25+F36</f>
        <v>857.33750416627015</v>
      </c>
      <c r="G40" s="5274">
        <f t="shared" ref="G40:Q40" si="275">G13+G25+G36</f>
        <v>837.36868086013135</v>
      </c>
      <c r="H40" s="5660">
        <f>H13+H25+H36</f>
        <v>827.48488043303246</v>
      </c>
      <c r="I40" s="4665">
        <f t="shared" si="275"/>
        <v>803.6330862341639</v>
      </c>
      <c r="J40" s="5274">
        <f t="shared" si="275"/>
        <v>800.64526763194999</v>
      </c>
      <c r="K40" s="2934">
        <f t="shared" si="275"/>
        <v>798.86500493833705</v>
      </c>
      <c r="L40" s="2932">
        <f t="shared" si="275"/>
        <v>789.86500493833705</v>
      </c>
      <c r="M40" s="2933">
        <f t="shared" si="275"/>
        <v>778.86500493833705</v>
      </c>
      <c r="N40" s="2934">
        <f t="shared" si="275"/>
        <v>772.86500493833705</v>
      </c>
      <c r="O40" s="2932">
        <f t="shared" si="275"/>
        <v>752.86500493833705</v>
      </c>
      <c r="P40" s="2933">
        <f t="shared" si="275"/>
        <v>754.86500493833705</v>
      </c>
      <c r="Q40" s="2933">
        <f t="shared" si="275"/>
        <v>748.86500493833705</v>
      </c>
      <c r="R40" s="3479">
        <f>AVERAGE(F40:Q40)</f>
        <v>793.62703782449216</v>
      </c>
      <c r="S40" s="2932" t="e">
        <f>S13+S25+S36</f>
        <v>#REF!</v>
      </c>
      <c r="T40" s="2933" t="e">
        <f t="shared" ref="T40:AD40" si="276">T13+T25+T36</f>
        <v>#REF!</v>
      </c>
      <c r="U40" s="2934" t="e">
        <f t="shared" si="276"/>
        <v>#REF!</v>
      </c>
      <c r="V40" s="2932" t="e">
        <f t="shared" si="276"/>
        <v>#REF!</v>
      </c>
      <c r="W40" s="2933" t="e">
        <f t="shared" si="276"/>
        <v>#REF!</v>
      </c>
      <c r="X40" s="2934" t="e">
        <f t="shared" si="276"/>
        <v>#REF!</v>
      </c>
      <c r="Y40" s="2932" t="e">
        <f t="shared" si="276"/>
        <v>#REF!</v>
      </c>
      <c r="Z40" s="2933" t="e">
        <f t="shared" si="276"/>
        <v>#REF!</v>
      </c>
      <c r="AA40" s="2934" t="e">
        <f t="shared" si="276"/>
        <v>#REF!</v>
      </c>
      <c r="AB40" s="2932" t="e">
        <f t="shared" si="276"/>
        <v>#REF!</v>
      </c>
      <c r="AC40" s="2933" t="e">
        <f t="shared" si="276"/>
        <v>#REF!</v>
      </c>
      <c r="AD40" s="2933" t="e">
        <f t="shared" si="276"/>
        <v>#REF!</v>
      </c>
      <c r="AE40" s="3479" t="e">
        <f>AVERAGE(S40:AD40)</f>
        <v>#REF!</v>
      </c>
      <c r="AF40" s="2932" t="e">
        <f>AF13+AF25+AF36</f>
        <v>#REF!</v>
      </c>
      <c r="AG40" s="2933" t="e">
        <f t="shared" ref="AG40:AQ40" si="277">AG13+AG25+AG36</f>
        <v>#REF!</v>
      </c>
      <c r="AH40" s="2934" t="e">
        <f t="shared" si="277"/>
        <v>#REF!</v>
      </c>
      <c r="AI40" s="2932" t="e">
        <f t="shared" si="277"/>
        <v>#REF!</v>
      </c>
      <c r="AJ40" s="2933" t="e">
        <f t="shared" si="277"/>
        <v>#REF!</v>
      </c>
      <c r="AK40" s="2934" t="e">
        <f t="shared" si="277"/>
        <v>#REF!</v>
      </c>
      <c r="AL40" s="2932" t="e">
        <f t="shared" si="277"/>
        <v>#REF!</v>
      </c>
      <c r="AM40" s="2933" t="e">
        <f t="shared" si="277"/>
        <v>#REF!</v>
      </c>
      <c r="AN40" s="2934" t="e">
        <f t="shared" si="277"/>
        <v>#REF!</v>
      </c>
      <c r="AO40" s="2932" t="e">
        <f t="shared" si="277"/>
        <v>#REF!</v>
      </c>
      <c r="AP40" s="2933" t="e">
        <f t="shared" si="277"/>
        <v>#REF!</v>
      </c>
      <c r="AQ40" s="2933" t="e">
        <f t="shared" si="277"/>
        <v>#REF!</v>
      </c>
      <c r="AR40" s="3479" t="e">
        <f>AVERAGE(AF40:AQ40)</f>
        <v>#REF!</v>
      </c>
      <c r="AS40" s="2932" t="e">
        <f>AS13+AS25+AS36</f>
        <v>#REF!</v>
      </c>
      <c r="AT40" s="2933" t="e">
        <f t="shared" ref="AT40:BD40" si="278">AT13+AT25+AT36</f>
        <v>#REF!</v>
      </c>
      <c r="AU40" s="2934" t="e">
        <f t="shared" si="278"/>
        <v>#REF!</v>
      </c>
      <c r="AV40" s="2932" t="e">
        <f t="shared" si="278"/>
        <v>#REF!</v>
      </c>
      <c r="AW40" s="2933" t="e">
        <f t="shared" si="278"/>
        <v>#REF!</v>
      </c>
      <c r="AX40" s="2934" t="e">
        <f t="shared" si="278"/>
        <v>#REF!</v>
      </c>
      <c r="AY40" s="2932" t="e">
        <f t="shared" si="278"/>
        <v>#REF!</v>
      </c>
      <c r="AZ40" s="2933" t="e">
        <f t="shared" si="278"/>
        <v>#REF!</v>
      </c>
      <c r="BA40" s="1666" t="e">
        <f t="shared" si="278"/>
        <v>#REF!</v>
      </c>
      <c r="BB40" s="1664" t="e">
        <f t="shared" si="278"/>
        <v>#REF!</v>
      </c>
      <c r="BC40" s="1665" t="e">
        <f t="shared" si="278"/>
        <v>#REF!</v>
      </c>
      <c r="BD40" s="1665" t="e">
        <f t="shared" si="278"/>
        <v>#REF!</v>
      </c>
      <c r="BE40" s="2824" t="e">
        <f>AVERAGE(AS40:BD40)</f>
        <v>#REF!</v>
      </c>
    </row>
    <row r="41" spans="1:58" s="1618" customFormat="1" ht="18" customHeight="1" thickBot="1">
      <c r="A41" s="1922"/>
      <c r="B41" s="2182"/>
      <c r="C41" s="1922"/>
      <c r="D41" s="1922"/>
      <c r="E41" s="2183"/>
      <c r="F41" s="4666"/>
      <c r="G41" s="4666"/>
      <c r="H41" s="4666"/>
      <c r="I41" s="4666"/>
      <c r="J41" s="4666"/>
      <c r="K41" s="4068"/>
      <c r="L41" s="4068"/>
      <c r="M41" s="1567"/>
      <c r="N41" s="1567"/>
      <c r="O41" s="1567"/>
      <c r="P41" s="1567"/>
      <c r="Q41" s="3758" t="s">
        <v>1320</v>
      </c>
      <c r="R41" s="3759">
        <f>E40-Q40</f>
        <v>111.13499506166295</v>
      </c>
      <c r="S41" s="1567"/>
      <c r="T41" s="1567"/>
      <c r="U41" s="1567"/>
      <c r="V41" s="1567"/>
      <c r="W41" s="1567"/>
      <c r="X41" s="1567"/>
      <c r="Y41" s="1567"/>
      <c r="Z41" s="1567"/>
      <c r="AA41" s="1567"/>
      <c r="AB41" s="1567"/>
      <c r="AC41" s="1567"/>
      <c r="AD41" s="1567"/>
      <c r="AE41" s="1637"/>
      <c r="AF41" s="1567"/>
      <c r="AG41" s="1567"/>
      <c r="AH41" s="1567"/>
      <c r="AI41" s="1567"/>
      <c r="AJ41" s="1567"/>
      <c r="AK41" s="1567"/>
      <c r="AL41" s="1567"/>
      <c r="AM41" s="1567"/>
      <c r="AN41" s="1567"/>
      <c r="AO41" s="1567"/>
      <c r="AP41" s="1567"/>
      <c r="AQ41" s="1567"/>
      <c r="AR41" s="1637"/>
      <c r="AS41" s="1567"/>
      <c r="AT41" s="1567"/>
      <c r="AU41" s="1567"/>
      <c r="AV41" s="1567"/>
      <c r="AW41" s="1567"/>
      <c r="AX41" s="1567"/>
      <c r="AY41" s="1567"/>
      <c r="AZ41" s="1567"/>
      <c r="BA41" s="2454"/>
      <c r="BB41" s="2454"/>
      <c r="BC41" s="2454"/>
      <c r="BD41" s="2454"/>
      <c r="BE41" s="1546"/>
    </row>
    <row r="42" spans="1:58" ht="18" customHeight="1" thickTop="1" thickBot="1">
      <c r="A42" s="1538" t="s">
        <v>971</v>
      </c>
      <c r="B42" s="1511"/>
      <c r="C42" s="3273"/>
      <c r="D42" s="1511"/>
      <c r="E42" s="2186"/>
      <c r="F42" s="4677" t="s">
        <v>1321</v>
      </c>
      <c r="G42" s="5422">
        <v>0.05</v>
      </c>
      <c r="H42" s="4599"/>
      <c r="I42" s="4599"/>
      <c r="J42" s="4599"/>
      <c r="K42" s="3429"/>
      <c r="L42" s="3429"/>
      <c r="M42" s="3429"/>
      <c r="N42" s="3429"/>
      <c r="O42" s="3429"/>
      <c r="P42" s="3429"/>
      <c r="Q42" s="3429"/>
      <c r="R42" s="1896" t="s">
        <v>86</v>
      </c>
      <c r="S42" s="3429"/>
      <c r="T42" s="3429"/>
      <c r="U42" s="3429"/>
      <c r="V42" s="3429"/>
      <c r="W42" s="3429"/>
      <c r="X42" s="3429"/>
      <c r="Y42" s="3429"/>
      <c r="Z42" s="3429"/>
      <c r="AA42" s="3429"/>
      <c r="AB42" s="3429"/>
      <c r="AC42" s="3429"/>
      <c r="AD42" s="3429"/>
      <c r="AE42" s="1896" t="s">
        <v>86</v>
      </c>
      <c r="AF42" s="3429"/>
      <c r="AG42" s="3429"/>
      <c r="AH42" s="3429"/>
      <c r="AI42" s="3429"/>
      <c r="AJ42" s="3429"/>
      <c r="AK42" s="3429"/>
      <c r="AL42" s="3429"/>
      <c r="AM42" s="3429"/>
      <c r="AN42" s="3429"/>
      <c r="AO42" s="3429"/>
      <c r="AP42" s="3429"/>
      <c r="AQ42" s="3429"/>
      <c r="AR42" s="1896" t="s">
        <v>86</v>
      </c>
      <c r="AS42" s="3429"/>
      <c r="AT42" s="3429"/>
      <c r="AU42" s="3429"/>
      <c r="AV42" s="3429"/>
      <c r="AW42" s="3429"/>
      <c r="AX42" s="3429"/>
      <c r="AY42" s="3429"/>
      <c r="AZ42" s="3429"/>
      <c r="BA42" s="2234"/>
      <c r="BB42" s="2234"/>
      <c r="BC42" s="2234"/>
      <c r="BD42" s="2234"/>
      <c r="BE42" s="1840" t="s">
        <v>86</v>
      </c>
    </row>
    <row r="43" spans="1:58" ht="18" customHeight="1" thickBot="1">
      <c r="A43" s="81" t="s">
        <v>111</v>
      </c>
      <c r="B43" s="65" t="s">
        <v>123</v>
      </c>
      <c r="C43" s="74" t="s">
        <v>103</v>
      </c>
      <c r="D43" s="74" t="s">
        <v>835</v>
      </c>
      <c r="E43" s="1680" t="s">
        <v>350</v>
      </c>
      <c r="F43" s="4490" t="str">
        <f>F28</f>
        <v>Jan.26</v>
      </c>
      <c r="G43" s="5005" t="str">
        <f t="shared" ref="G43:Q43" si="279">G28</f>
        <v>Feb.26</v>
      </c>
      <c r="H43" s="5494" t="str">
        <f t="shared" si="279"/>
        <v>Mar.26</v>
      </c>
      <c r="I43" s="4490" t="str">
        <f t="shared" si="279"/>
        <v>Apr.26</v>
      </c>
      <c r="J43" s="5005" t="str">
        <f t="shared" si="279"/>
        <v>May.26</v>
      </c>
      <c r="K43" s="1843" t="str">
        <f t="shared" si="279"/>
        <v>Jun.26</v>
      </c>
      <c r="L43" s="1841" t="str">
        <f t="shared" si="279"/>
        <v>Jul.26</v>
      </c>
      <c r="M43" s="1842" t="str">
        <f t="shared" si="279"/>
        <v>Aug.26</v>
      </c>
      <c r="N43" s="1843" t="str">
        <f t="shared" si="279"/>
        <v>Sep.26</v>
      </c>
      <c r="O43" s="1841" t="str">
        <f t="shared" si="279"/>
        <v>Oct.26</v>
      </c>
      <c r="P43" s="1842" t="str">
        <f t="shared" si="279"/>
        <v>Nov.26</v>
      </c>
      <c r="Q43" s="1843" t="str">
        <f t="shared" si="279"/>
        <v>Dec.26</v>
      </c>
      <c r="R43" s="2472" t="s">
        <v>15</v>
      </c>
      <c r="S43" s="1841" t="s">
        <v>425</v>
      </c>
      <c r="T43" s="1842" t="s">
        <v>545</v>
      </c>
      <c r="U43" s="1843" t="s">
        <v>546</v>
      </c>
      <c r="V43" s="1841" t="s">
        <v>426</v>
      </c>
      <c r="W43" s="1842" t="s">
        <v>547</v>
      </c>
      <c r="X43" s="1843" t="s">
        <v>548</v>
      </c>
      <c r="Y43" s="1841" t="s">
        <v>549</v>
      </c>
      <c r="Z43" s="1842" t="s">
        <v>550</v>
      </c>
      <c r="AA43" s="1843" t="s">
        <v>551</v>
      </c>
      <c r="AB43" s="1841" t="s">
        <v>552</v>
      </c>
      <c r="AC43" s="1842" t="s">
        <v>553</v>
      </c>
      <c r="AD43" s="1843" t="s">
        <v>554</v>
      </c>
      <c r="AE43" s="2472" t="s">
        <v>15</v>
      </c>
      <c r="AF43" s="1841" t="s">
        <v>425</v>
      </c>
      <c r="AG43" s="1842" t="s">
        <v>545</v>
      </c>
      <c r="AH43" s="1843" t="s">
        <v>546</v>
      </c>
      <c r="AI43" s="1841" t="s">
        <v>426</v>
      </c>
      <c r="AJ43" s="1842" t="s">
        <v>547</v>
      </c>
      <c r="AK43" s="1843" t="s">
        <v>548</v>
      </c>
      <c r="AL43" s="1841" t="s">
        <v>549</v>
      </c>
      <c r="AM43" s="1842" t="s">
        <v>550</v>
      </c>
      <c r="AN43" s="1843" t="s">
        <v>551</v>
      </c>
      <c r="AO43" s="1841" t="s">
        <v>552</v>
      </c>
      <c r="AP43" s="1842" t="s">
        <v>553</v>
      </c>
      <c r="AQ43" s="1843" t="s">
        <v>554</v>
      </c>
      <c r="AR43" s="2472" t="s">
        <v>15</v>
      </c>
      <c r="AS43" s="1841" t="s">
        <v>425</v>
      </c>
      <c r="AT43" s="1842" t="s">
        <v>545</v>
      </c>
      <c r="AU43" s="1843" t="s">
        <v>546</v>
      </c>
      <c r="AV43" s="1841" t="s">
        <v>426</v>
      </c>
      <c r="AW43" s="1842" t="s">
        <v>547</v>
      </c>
      <c r="AX43" s="1843" t="s">
        <v>548</v>
      </c>
      <c r="AY43" s="1841" t="s">
        <v>549</v>
      </c>
      <c r="AZ43" s="1842" t="s">
        <v>550</v>
      </c>
      <c r="BA43" s="1843" t="s">
        <v>551</v>
      </c>
      <c r="BB43" s="1841" t="s">
        <v>552</v>
      </c>
      <c r="BC43" s="1842" t="s">
        <v>553</v>
      </c>
      <c r="BD43" s="1843" t="s">
        <v>554</v>
      </c>
      <c r="BE43" s="1541" t="s">
        <v>15</v>
      </c>
    </row>
    <row r="44" spans="1:58" ht="18" customHeight="1">
      <c r="A44" s="7411" t="s">
        <v>311</v>
      </c>
      <c r="B44" s="1672" t="s">
        <v>808</v>
      </c>
      <c r="C44" s="2156">
        <f>54251/5</f>
        <v>10850.2</v>
      </c>
      <c r="D44" s="2156">
        <v>1200</v>
      </c>
      <c r="E44" s="1641">
        <v>5</v>
      </c>
      <c r="F44" s="4491">
        <f t="shared" ref="F44:Q44" si="280">($C44-$D44)*F5*(1+$G$42)</f>
        <v>50663.55</v>
      </c>
      <c r="G44" s="5013">
        <f>($C44-$D44)*G5*(1+$G$42)</f>
        <v>50663.55</v>
      </c>
      <c r="H44" s="5506">
        <f t="shared" si="280"/>
        <v>50663.55</v>
      </c>
      <c r="I44" s="4491">
        <f t="shared" si="280"/>
        <v>50663.55</v>
      </c>
      <c r="J44" s="5013">
        <f t="shared" si="280"/>
        <v>50663.55</v>
      </c>
      <c r="K44" s="3801">
        <f t="shared" si="280"/>
        <v>50663.55</v>
      </c>
      <c r="L44" s="3799">
        <f t="shared" si="280"/>
        <v>50663.55</v>
      </c>
      <c r="M44" s="3800">
        <f t="shared" si="280"/>
        <v>50663.55</v>
      </c>
      <c r="N44" s="3801">
        <f t="shared" si="280"/>
        <v>50663.55</v>
      </c>
      <c r="O44" s="3799">
        <f t="shared" si="280"/>
        <v>50663.55</v>
      </c>
      <c r="P44" s="3800">
        <f t="shared" si="280"/>
        <v>50663.55</v>
      </c>
      <c r="Q44" s="3801">
        <f t="shared" si="280"/>
        <v>50663.55</v>
      </c>
      <c r="R44" s="2480">
        <f>SUM(F44:Q44)</f>
        <v>607962.6</v>
      </c>
      <c r="S44" s="2147">
        <f t="shared" ref="S44:AD44" si="281">($C44-$D$44)*S5</f>
        <v>57901.200000000004</v>
      </c>
      <c r="T44" s="1706">
        <f t="shared" si="281"/>
        <v>57901.200000000004</v>
      </c>
      <c r="U44" s="1707">
        <f t="shared" si="281"/>
        <v>48251</v>
      </c>
      <c r="V44" s="2147">
        <f t="shared" si="281"/>
        <v>48251</v>
      </c>
      <c r="W44" s="1706">
        <f t="shared" si="281"/>
        <v>48251</v>
      </c>
      <c r="X44" s="1707">
        <f t="shared" si="281"/>
        <v>48251</v>
      </c>
      <c r="Y44" s="2147">
        <f t="shared" si="281"/>
        <v>48251</v>
      </c>
      <c r="Z44" s="1706">
        <f t="shared" si="281"/>
        <v>48251</v>
      </c>
      <c r="AA44" s="1707">
        <f t="shared" si="281"/>
        <v>48251</v>
      </c>
      <c r="AB44" s="2147">
        <f t="shared" si="281"/>
        <v>48251</v>
      </c>
      <c r="AC44" s="1706">
        <f t="shared" si="281"/>
        <v>48251</v>
      </c>
      <c r="AD44" s="1707">
        <f t="shared" si="281"/>
        <v>48251</v>
      </c>
      <c r="AE44" s="2480">
        <f>SUM(S44:AD44)</f>
        <v>598312.4</v>
      </c>
      <c r="AF44" s="2147">
        <f t="shared" ref="AF44:AQ44" si="282">($C44-$D$44)*AF5</f>
        <v>57901.200000000004</v>
      </c>
      <c r="AG44" s="1706">
        <f t="shared" si="282"/>
        <v>57901.200000000004</v>
      </c>
      <c r="AH44" s="1707">
        <f t="shared" si="282"/>
        <v>48251</v>
      </c>
      <c r="AI44" s="2147">
        <f t="shared" si="282"/>
        <v>48251</v>
      </c>
      <c r="AJ44" s="1706">
        <f t="shared" si="282"/>
        <v>48251</v>
      </c>
      <c r="AK44" s="1707">
        <f t="shared" si="282"/>
        <v>48251</v>
      </c>
      <c r="AL44" s="2147">
        <f t="shared" si="282"/>
        <v>48251</v>
      </c>
      <c r="AM44" s="1706">
        <f t="shared" si="282"/>
        <v>48251</v>
      </c>
      <c r="AN44" s="1707">
        <f t="shared" si="282"/>
        <v>48251</v>
      </c>
      <c r="AO44" s="2147">
        <f t="shared" si="282"/>
        <v>48251</v>
      </c>
      <c r="AP44" s="1706">
        <f t="shared" si="282"/>
        <v>48251</v>
      </c>
      <c r="AQ44" s="1707">
        <f t="shared" si="282"/>
        <v>48251</v>
      </c>
      <c r="AR44" s="2480">
        <f>SUM(AF44:AQ44)</f>
        <v>598312.4</v>
      </c>
      <c r="AS44" s="2147">
        <f t="shared" ref="AS44:BD44" si="283">($C44-$D$44)*AS5</f>
        <v>57901.200000000004</v>
      </c>
      <c r="AT44" s="1706">
        <f t="shared" si="283"/>
        <v>57901.200000000004</v>
      </c>
      <c r="AU44" s="1707">
        <f t="shared" si="283"/>
        <v>48251</v>
      </c>
      <c r="AV44" s="2147">
        <f t="shared" si="283"/>
        <v>48251</v>
      </c>
      <c r="AW44" s="1706">
        <f t="shared" si="283"/>
        <v>48251</v>
      </c>
      <c r="AX44" s="1707">
        <f t="shared" si="283"/>
        <v>48251</v>
      </c>
      <c r="AY44" s="2147">
        <f t="shared" si="283"/>
        <v>48251</v>
      </c>
      <c r="AZ44" s="1706">
        <f t="shared" si="283"/>
        <v>48251</v>
      </c>
      <c r="BA44" s="1707">
        <f t="shared" si="283"/>
        <v>48251</v>
      </c>
      <c r="BB44" s="2147">
        <f t="shared" si="283"/>
        <v>48251</v>
      </c>
      <c r="BC44" s="1706">
        <f t="shared" si="283"/>
        <v>48251</v>
      </c>
      <c r="BD44" s="1707">
        <f t="shared" si="283"/>
        <v>48251</v>
      </c>
      <c r="BE44" s="1545">
        <f>SUM(AS44:BD44)</f>
        <v>598312.4</v>
      </c>
    </row>
    <row r="45" spans="1:58" ht="18" customHeight="1">
      <c r="A45" s="7412"/>
      <c r="B45" s="2000" t="s">
        <v>429</v>
      </c>
      <c r="C45" s="2156">
        <f>17901/2</f>
        <v>8950.5</v>
      </c>
      <c r="D45" s="2156">
        <v>400</v>
      </c>
      <c r="E45" s="1647">
        <f>E6</f>
        <v>2</v>
      </c>
      <c r="F45" s="4492">
        <f t="shared" ref="F45:Q45" si="284">($C45-$D45)*F6*(1+$G$42)</f>
        <v>17956.05</v>
      </c>
      <c r="G45" s="5014">
        <f t="shared" si="284"/>
        <v>17956.05</v>
      </c>
      <c r="H45" s="5507">
        <f t="shared" si="284"/>
        <v>17956.05</v>
      </c>
      <c r="I45" s="4492">
        <f t="shared" si="284"/>
        <v>17956.05</v>
      </c>
      <c r="J45" s="5014">
        <f t="shared" si="284"/>
        <v>8978.0249999999996</v>
      </c>
      <c r="K45" s="3804">
        <f>($C45-$D45)*K6*(1+$G$42)</f>
        <v>8978.0249999999996</v>
      </c>
      <c r="L45" s="3803">
        <f t="shared" si="284"/>
        <v>8978.0249999999996</v>
      </c>
      <c r="M45" s="3802">
        <f t="shared" si="284"/>
        <v>8978.0249999999996</v>
      </c>
      <c r="N45" s="3804">
        <f t="shared" si="284"/>
        <v>8978.0249999999996</v>
      </c>
      <c r="O45" s="3803">
        <f t="shared" si="284"/>
        <v>8978.0249999999996</v>
      </c>
      <c r="P45" s="3802">
        <f t="shared" si="284"/>
        <v>8978.0249999999996</v>
      </c>
      <c r="Q45" s="3804">
        <f t="shared" si="284"/>
        <v>8978.0249999999996</v>
      </c>
      <c r="R45" s="2085">
        <f t="shared" ref="R45:R50" si="285">SUM(F45:Q45)</f>
        <v>143648.39999999997</v>
      </c>
      <c r="S45" s="1759">
        <f t="shared" ref="S45:AD45" si="286">($C45-$D$45)*S6</f>
        <v>8550.5</v>
      </c>
      <c r="T45" s="1642">
        <f t="shared" si="286"/>
        <v>8550.5</v>
      </c>
      <c r="U45" s="1643">
        <f t="shared" si="286"/>
        <v>8550.5</v>
      </c>
      <c r="V45" s="1759">
        <f t="shared" si="286"/>
        <v>8550.5</v>
      </c>
      <c r="W45" s="1642">
        <f t="shared" si="286"/>
        <v>8550.5</v>
      </c>
      <c r="X45" s="1643">
        <f t="shared" si="286"/>
        <v>8550.5</v>
      </c>
      <c r="Y45" s="1759">
        <f t="shared" si="286"/>
        <v>8550.5</v>
      </c>
      <c r="Z45" s="1642">
        <f t="shared" si="286"/>
        <v>8550.5</v>
      </c>
      <c r="AA45" s="1643">
        <f t="shared" si="286"/>
        <v>8550.5</v>
      </c>
      <c r="AB45" s="1759">
        <f t="shared" si="286"/>
        <v>8550.5</v>
      </c>
      <c r="AC45" s="1642">
        <f t="shared" si="286"/>
        <v>8550.5</v>
      </c>
      <c r="AD45" s="1643">
        <f t="shared" si="286"/>
        <v>8550.5</v>
      </c>
      <c r="AE45" s="2085">
        <f t="shared" ref="AE45:AE50" si="287">SUM(S45:AD45)</f>
        <v>102606</v>
      </c>
      <c r="AF45" s="1759">
        <f t="shared" ref="AF45:AQ45" si="288">($C45-$D$45)*AF6</f>
        <v>8550.5</v>
      </c>
      <c r="AG45" s="1642">
        <f t="shared" si="288"/>
        <v>8550.5</v>
      </c>
      <c r="AH45" s="1643">
        <f t="shared" si="288"/>
        <v>8550.5</v>
      </c>
      <c r="AI45" s="1759">
        <f t="shared" si="288"/>
        <v>8550.5</v>
      </c>
      <c r="AJ45" s="1642">
        <f t="shared" si="288"/>
        <v>8550.5</v>
      </c>
      <c r="AK45" s="1643">
        <f t="shared" si="288"/>
        <v>8550.5</v>
      </c>
      <c r="AL45" s="1759">
        <f t="shared" si="288"/>
        <v>8550.5</v>
      </c>
      <c r="AM45" s="1642">
        <f t="shared" si="288"/>
        <v>8550.5</v>
      </c>
      <c r="AN45" s="1643">
        <f t="shared" si="288"/>
        <v>8550.5</v>
      </c>
      <c r="AO45" s="1759">
        <f t="shared" si="288"/>
        <v>8550.5</v>
      </c>
      <c r="AP45" s="1642">
        <f t="shared" si="288"/>
        <v>8550.5</v>
      </c>
      <c r="AQ45" s="1643">
        <f t="shared" si="288"/>
        <v>8550.5</v>
      </c>
      <c r="AR45" s="2085">
        <f t="shared" ref="AR45:AR50" si="289">SUM(AF45:AQ45)</f>
        <v>102606</v>
      </c>
      <c r="AS45" s="1759">
        <f t="shared" ref="AS45:BD45" si="290">($C45-$D$45)*AS6</f>
        <v>8550.5</v>
      </c>
      <c r="AT45" s="1642">
        <f t="shared" si="290"/>
        <v>8550.5</v>
      </c>
      <c r="AU45" s="1643">
        <f t="shared" si="290"/>
        <v>8550.5</v>
      </c>
      <c r="AV45" s="1759">
        <f t="shared" si="290"/>
        <v>8550.5</v>
      </c>
      <c r="AW45" s="1642">
        <f t="shared" si="290"/>
        <v>8550.5</v>
      </c>
      <c r="AX45" s="1643">
        <f t="shared" si="290"/>
        <v>8550.5</v>
      </c>
      <c r="AY45" s="1759">
        <f t="shared" si="290"/>
        <v>8550.5</v>
      </c>
      <c r="AZ45" s="1642">
        <f t="shared" si="290"/>
        <v>8550.5</v>
      </c>
      <c r="BA45" s="1643">
        <f t="shared" si="290"/>
        <v>8550.5</v>
      </c>
      <c r="BB45" s="1759">
        <f t="shared" si="290"/>
        <v>8550.5</v>
      </c>
      <c r="BC45" s="1642">
        <f t="shared" si="290"/>
        <v>8550.5</v>
      </c>
      <c r="BD45" s="1643">
        <f t="shared" si="290"/>
        <v>8550.5</v>
      </c>
      <c r="BE45" s="1557">
        <f t="shared" ref="BE45:BE50" si="291">SUM(AS45:BD45)</f>
        <v>102606</v>
      </c>
    </row>
    <row r="46" spans="1:58" ht="18" customHeight="1">
      <c r="A46" s="7412"/>
      <c r="B46" s="1658" t="s">
        <v>306</v>
      </c>
      <c r="C46" s="2157">
        <f>11345/2</f>
        <v>5672.5</v>
      </c>
      <c r="D46" s="2157">
        <v>250</v>
      </c>
      <c r="E46" s="1647">
        <f>E7</f>
        <v>2</v>
      </c>
      <c r="F46" s="4492">
        <f t="shared" ref="F46:Q46" si="292">($C46-$D46)*F7*(1+$G$42)</f>
        <v>17080.875</v>
      </c>
      <c r="G46" s="5014">
        <f t="shared" si="292"/>
        <v>17080.875</v>
      </c>
      <c r="H46" s="5507">
        <f t="shared" si="292"/>
        <v>17080.875</v>
      </c>
      <c r="I46" s="4492">
        <f t="shared" si="292"/>
        <v>17080.875</v>
      </c>
      <c r="J46" s="5014">
        <f t="shared" si="292"/>
        <v>17080.875</v>
      </c>
      <c r="K46" s="3804">
        <f>($C46-$D46)*K7*(1+$G$42)</f>
        <v>17080.875</v>
      </c>
      <c r="L46" s="3803">
        <f t="shared" si="292"/>
        <v>17080.875</v>
      </c>
      <c r="M46" s="3802">
        <f t="shared" si="292"/>
        <v>17080.875</v>
      </c>
      <c r="N46" s="3804">
        <f t="shared" si="292"/>
        <v>17080.875</v>
      </c>
      <c r="O46" s="3803">
        <f t="shared" si="292"/>
        <v>17080.875</v>
      </c>
      <c r="P46" s="3802">
        <f t="shared" si="292"/>
        <v>17080.875</v>
      </c>
      <c r="Q46" s="3804">
        <f t="shared" si="292"/>
        <v>17080.875</v>
      </c>
      <c r="R46" s="2085">
        <f t="shared" si="285"/>
        <v>204970.5</v>
      </c>
      <c r="S46" s="1759">
        <f t="shared" ref="S46:AD46" si="293">($C46-$D$46)*S7</f>
        <v>16267.5</v>
      </c>
      <c r="T46" s="1642">
        <f t="shared" si="293"/>
        <v>16267.5</v>
      </c>
      <c r="U46" s="1643">
        <f t="shared" si="293"/>
        <v>16267.5</v>
      </c>
      <c r="V46" s="1759">
        <f t="shared" si="293"/>
        <v>16267.5</v>
      </c>
      <c r="W46" s="1642">
        <f t="shared" si="293"/>
        <v>16267.5</v>
      </c>
      <c r="X46" s="1643">
        <f t="shared" si="293"/>
        <v>16267.5</v>
      </c>
      <c r="Y46" s="1759">
        <f t="shared" si="293"/>
        <v>16267.5</v>
      </c>
      <c r="Z46" s="1642">
        <f t="shared" si="293"/>
        <v>16267.5</v>
      </c>
      <c r="AA46" s="1643">
        <f t="shared" si="293"/>
        <v>16267.5</v>
      </c>
      <c r="AB46" s="1759">
        <f t="shared" si="293"/>
        <v>16267.5</v>
      </c>
      <c r="AC46" s="1642">
        <f t="shared" si="293"/>
        <v>16267.5</v>
      </c>
      <c r="AD46" s="1643">
        <f t="shared" si="293"/>
        <v>16267.5</v>
      </c>
      <c r="AE46" s="2085">
        <f t="shared" si="287"/>
        <v>195210</v>
      </c>
      <c r="AF46" s="1759">
        <f t="shared" ref="AF46:AQ46" si="294">($C46-$D$46)*AF7</f>
        <v>16267.5</v>
      </c>
      <c r="AG46" s="1642">
        <f t="shared" si="294"/>
        <v>16267.5</v>
      </c>
      <c r="AH46" s="1643">
        <f t="shared" si="294"/>
        <v>16267.5</v>
      </c>
      <c r="AI46" s="1759">
        <f t="shared" si="294"/>
        <v>16267.5</v>
      </c>
      <c r="AJ46" s="1642">
        <f t="shared" si="294"/>
        <v>16267.5</v>
      </c>
      <c r="AK46" s="1643">
        <f t="shared" si="294"/>
        <v>16267.5</v>
      </c>
      <c r="AL46" s="1759">
        <f t="shared" si="294"/>
        <v>16267.5</v>
      </c>
      <c r="AM46" s="1642">
        <f t="shared" si="294"/>
        <v>16267.5</v>
      </c>
      <c r="AN46" s="1643">
        <f t="shared" si="294"/>
        <v>16267.5</v>
      </c>
      <c r="AO46" s="1759">
        <f t="shared" si="294"/>
        <v>16267.5</v>
      </c>
      <c r="AP46" s="1642">
        <f t="shared" si="294"/>
        <v>16267.5</v>
      </c>
      <c r="AQ46" s="1643">
        <f t="shared" si="294"/>
        <v>16267.5</v>
      </c>
      <c r="AR46" s="2085">
        <f t="shared" si="289"/>
        <v>195210</v>
      </c>
      <c r="AS46" s="1759">
        <f t="shared" ref="AS46:BD46" si="295">($C46-$D$46)*AS7</f>
        <v>16267.5</v>
      </c>
      <c r="AT46" s="1642">
        <f t="shared" si="295"/>
        <v>16267.5</v>
      </c>
      <c r="AU46" s="1643">
        <f t="shared" si="295"/>
        <v>16267.5</v>
      </c>
      <c r="AV46" s="1759">
        <f t="shared" si="295"/>
        <v>16267.5</v>
      </c>
      <c r="AW46" s="1642">
        <f t="shared" si="295"/>
        <v>16267.5</v>
      </c>
      <c r="AX46" s="1643">
        <f t="shared" si="295"/>
        <v>16267.5</v>
      </c>
      <c r="AY46" s="1759">
        <f t="shared" si="295"/>
        <v>16267.5</v>
      </c>
      <c r="AZ46" s="1642">
        <f t="shared" si="295"/>
        <v>16267.5</v>
      </c>
      <c r="BA46" s="1643">
        <f t="shared" si="295"/>
        <v>16267.5</v>
      </c>
      <c r="BB46" s="1759">
        <f t="shared" si="295"/>
        <v>16267.5</v>
      </c>
      <c r="BC46" s="1642">
        <f t="shared" si="295"/>
        <v>16267.5</v>
      </c>
      <c r="BD46" s="1643">
        <f t="shared" si="295"/>
        <v>16267.5</v>
      </c>
      <c r="BE46" s="1557">
        <f t="shared" si="291"/>
        <v>195210</v>
      </c>
    </row>
    <row r="47" spans="1:58" ht="18" customHeight="1">
      <c r="A47" s="2148"/>
      <c r="B47" s="1726" t="s">
        <v>352</v>
      </c>
      <c r="C47" s="2149"/>
      <c r="D47" s="2149"/>
      <c r="E47" s="2151">
        <f>SUM(E44:E46)</f>
        <v>9</v>
      </c>
      <c r="F47" s="4494">
        <f>SUM(F44:F46)</f>
        <v>85700.475000000006</v>
      </c>
      <c r="G47" s="4734">
        <f t="shared" ref="G47:Q47" si="296">SUM(G44:G46)</f>
        <v>85700.475000000006</v>
      </c>
      <c r="H47" s="5510">
        <f t="shared" si="296"/>
        <v>85700.475000000006</v>
      </c>
      <c r="I47" s="4494">
        <f t="shared" si="296"/>
        <v>85700.475000000006</v>
      </c>
      <c r="J47" s="4734">
        <f t="shared" si="296"/>
        <v>76722.450000000012</v>
      </c>
      <c r="K47" s="1733">
        <f t="shared" si="296"/>
        <v>76722.450000000012</v>
      </c>
      <c r="L47" s="1805">
        <f t="shared" si="296"/>
        <v>76722.450000000012</v>
      </c>
      <c r="M47" s="1732">
        <f t="shared" si="296"/>
        <v>76722.450000000012</v>
      </c>
      <c r="N47" s="1733">
        <f t="shared" si="296"/>
        <v>76722.450000000012</v>
      </c>
      <c r="O47" s="1805">
        <f t="shared" si="296"/>
        <v>76722.450000000012</v>
      </c>
      <c r="P47" s="1732">
        <f t="shared" si="296"/>
        <v>76722.450000000012</v>
      </c>
      <c r="Q47" s="1733">
        <f t="shared" si="296"/>
        <v>76722.450000000012</v>
      </c>
      <c r="R47" s="2108">
        <f t="shared" si="285"/>
        <v>956581.49999999977</v>
      </c>
      <c r="S47" s="1805">
        <f>SUM(S44:S46)</f>
        <v>82719.200000000012</v>
      </c>
      <c r="T47" s="1732">
        <f t="shared" ref="T47:AD47" si="297">SUM(T44:T46)</f>
        <v>82719.200000000012</v>
      </c>
      <c r="U47" s="1733">
        <f t="shared" si="297"/>
        <v>73069</v>
      </c>
      <c r="V47" s="1805">
        <f t="shared" si="297"/>
        <v>73069</v>
      </c>
      <c r="W47" s="1732">
        <f t="shared" si="297"/>
        <v>73069</v>
      </c>
      <c r="X47" s="1733">
        <f t="shared" si="297"/>
        <v>73069</v>
      </c>
      <c r="Y47" s="1805">
        <f t="shared" si="297"/>
        <v>73069</v>
      </c>
      <c r="Z47" s="1732">
        <f t="shared" si="297"/>
        <v>73069</v>
      </c>
      <c r="AA47" s="1733">
        <f t="shared" si="297"/>
        <v>73069</v>
      </c>
      <c r="AB47" s="1805">
        <f t="shared" si="297"/>
        <v>73069</v>
      </c>
      <c r="AC47" s="1732">
        <f t="shared" si="297"/>
        <v>73069</v>
      </c>
      <c r="AD47" s="1733">
        <f t="shared" si="297"/>
        <v>73069</v>
      </c>
      <c r="AE47" s="2108">
        <f t="shared" si="287"/>
        <v>896128.4</v>
      </c>
      <c r="AF47" s="1805">
        <f>SUM(AF44:AF46)</f>
        <v>82719.200000000012</v>
      </c>
      <c r="AG47" s="1732">
        <f t="shared" ref="AG47:AQ47" si="298">SUM(AG44:AG46)</f>
        <v>82719.200000000012</v>
      </c>
      <c r="AH47" s="1733">
        <f t="shared" si="298"/>
        <v>73069</v>
      </c>
      <c r="AI47" s="1805">
        <f t="shared" si="298"/>
        <v>73069</v>
      </c>
      <c r="AJ47" s="1732">
        <f t="shared" si="298"/>
        <v>73069</v>
      </c>
      <c r="AK47" s="1733">
        <f t="shared" si="298"/>
        <v>73069</v>
      </c>
      <c r="AL47" s="1805">
        <f t="shared" si="298"/>
        <v>73069</v>
      </c>
      <c r="AM47" s="1732">
        <f t="shared" si="298"/>
        <v>73069</v>
      </c>
      <c r="AN47" s="1733">
        <f t="shared" si="298"/>
        <v>73069</v>
      </c>
      <c r="AO47" s="1805">
        <f t="shared" si="298"/>
        <v>73069</v>
      </c>
      <c r="AP47" s="1732">
        <f t="shared" si="298"/>
        <v>73069</v>
      </c>
      <c r="AQ47" s="1733">
        <f t="shared" si="298"/>
        <v>73069</v>
      </c>
      <c r="AR47" s="2108">
        <f t="shared" si="289"/>
        <v>896128.4</v>
      </c>
      <c r="AS47" s="1805">
        <f>SUM(AS44:AS46)</f>
        <v>82719.200000000012</v>
      </c>
      <c r="AT47" s="1732">
        <f t="shared" ref="AT47:BD47" si="299">SUM(AT44:AT46)</f>
        <v>82719.200000000012</v>
      </c>
      <c r="AU47" s="1733">
        <f t="shared" si="299"/>
        <v>73069</v>
      </c>
      <c r="AV47" s="1805">
        <f t="shared" si="299"/>
        <v>73069</v>
      </c>
      <c r="AW47" s="1732">
        <f t="shared" si="299"/>
        <v>73069</v>
      </c>
      <c r="AX47" s="1733">
        <f t="shared" si="299"/>
        <v>73069</v>
      </c>
      <c r="AY47" s="1805">
        <f t="shared" si="299"/>
        <v>73069</v>
      </c>
      <c r="AZ47" s="1732">
        <f t="shared" si="299"/>
        <v>73069</v>
      </c>
      <c r="BA47" s="1733">
        <f t="shared" si="299"/>
        <v>73069</v>
      </c>
      <c r="BB47" s="1805">
        <f t="shared" si="299"/>
        <v>73069</v>
      </c>
      <c r="BC47" s="1732">
        <f t="shared" si="299"/>
        <v>73069</v>
      </c>
      <c r="BD47" s="1733">
        <f t="shared" si="299"/>
        <v>73069</v>
      </c>
      <c r="BE47" s="1566">
        <f t="shared" si="291"/>
        <v>896128.4</v>
      </c>
    </row>
    <row r="48" spans="1:58" ht="18" customHeight="1">
      <c r="A48" s="7413" t="s">
        <v>353</v>
      </c>
      <c r="B48" s="2152" t="s">
        <v>354</v>
      </c>
      <c r="C48" s="2153">
        <f>12586</f>
        <v>12586</v>
      </c>
      <c r="D48" s="2153">
        <v>618.93605013333331</v>
      </c>
      <c r="E48" s="2155">
        <f>E9</f>
        <v>1</v>
      </c>
      <c r="F48" s="4492">
        <f t="shared" ref="F48:Q48" si="300">($C48-$D48)*F9*(1+$G$42)</f>
        <v>12565.41714736</v>
      </c>
      <c r="G48" s="5243">
        <f t="shared" si="300"/>
        <v>12565.41714736</v>
      </c>
      <c r="H48" s="5586">
        <f t="shared" si="300"/>
        <v>12565.41714736</v>
      </c>
      <c r="I48" s="4499">
        <f t="shared" si="300"/>
        <v>12565.41714736</v>
      </c>
      <c r="J48" s="5243">
        <f t="shared" si="300"/>
        <v>12565.41714736</v>
      </c>
      <c r="K48" s="3846">
        <f t="shared" si="300"/>
        <v>12565.41714736</v>
      </c>
      <c r="L48" s="3824">
        <f t="shared" si="300"/>
        <v>12565.41714736</v>
      </c>
      <c r="M48" s="3845">
        <f t="shared" si="300"/>
        <v>12565.41714736</v>
      </c>
      <c r="N48" s="3846">
        <f t="shared" si="300"/>
        <v>12565.41714736</v>
      </c>
      <c r="O48" s="3824">
        <f t="shared" si="300"/>
        <v>12565.41714736</v>
      </c>
      <c r="P48" s="3845">
        <f t="shared" si="300"/>
        <v>12565.41714736</v>
      </c>
      <c r="Q48" s="3846">
        <f t="shared" si="300"/>
        <v>12565.41714736</v>
      </c>
      <c r="R48" s="2089">
        <f t="shared" si="285"/>
        <v>150785.00576832</v>
      </c>
      <c r="S48" s="2088">
        <f t="shared" ref="S48:AD48" si="301">($C48-$D48)*S9</f>
        <v>23934.127899733332</v>
      </c>
      <c r="T48" s="1740">
        <f t="shared" si="301"/>
        <v>23934.127899733332</v>
      </c>
      <c r="U48" s="1741">
        <f t="shared" si="301"/>
        <v>23934.127899733332</v>
      </c>
      <c r="V48" s="2088">
        <f t="shared" si="301"/>
        <v>23934.127899733332</v>
      </c>
      <c r="W48" s="1740">
        <f t="shared" si="301"/>
        <v>23934.127899733332</v>
      </c>
      <c r="X48" s="1741">
        <f t="shared" si="301"/>
        <v>23934.127899733332</v>
      </c>
      <c r="Y48" s="2088">
        <f t="shared" si="301"/>
        <v>23934.127899733332</v>
      </c>
      <c r="Z48" s="1740">
        <f t="shared" si="301"/>
        <v>23934.127899733332</v>
      </c>
      <c r="AA48" s="1741">
        <f t="shared" si="301"/>
        <v>23934.127899733332</v>
      </c>
      <c r="AB48" s="2088">
        <f t="shared" si="301"/>
        <v>23934.127899733332</v>
      </c>
      <c r="AC48" s="1740">
        <f t="shared" si="301"/>
        <v>23934.127899733332</v>
      </c>
      <c r="AD48" s="1741">
        <f t="shared" si="301"/>
        <v>23934.127899733332</v>
      </c>
      <c r="AE48" s="2089">
        <f t="shared" si="287"/>
        <v>287209.5347968</v>
      </c>
      <c r="AF48" s="2088">
        <f t="shared" ref="AF48:AQ48" si="302">($C48-$D48)*AF9</f>
        <v>23934.127899733332</v>
      </c>
      <c r="AG48" s="1740">
        <f t="shared" si="302"/>
        <v>23934.127899733332</v>
      </c>
      <c r="AH48" s="1741">
        <f t="shared" si="302"/>
        <v>23934.127899733332</v>
      </c>
      <c r="AI48" s="2088">
        <f t="shared" si="302"/>
        <v>23934.127899733332</v>
      </c>
      <c r="AJ48" s="1740">
        <f t="shared" si="302"/>
        <v>23934.127899733332</v>
      </c>
      <c r="AK48" s="1741">
        <f t="shared" si="302"/>
        <v>23934.127899733332</v>
      </c>
      <c r="AL48" s="2088">
        <f t="shared" si="302"/>
        <v>23934.127899733332</v>
      </c>
      <c r="AM48" s="1740">
        <f t="shared" si="302"/>
        <v>23934.127899733332</v>
      </c>
      <c r="AN48" s="1741">
        <f t="shared" si="302"/>
        <v>23934.127899733332</v>
      </c>
      <c r="AO48" s="2088">
        <f t="shared" si="302"/>
        <v>23934.127899733332</v>
      </c>
      <c r="AP48" s="1740">
        <f t="shared" si="302"/>
        <v>23934.127899733332</v>
      </c>
      <c r="AQ48" s="1741">
        <f t="shared" si="302"/>
        <v>23934.127899733332</v>
      </c>
      <c r="AR48" s="2089">
        <f t="shared" si="289"/>
        <v>287209.5347968</v>
      </c>
      <c r="AS48" s="2088">
        <f t="shared" ref="AS48:BD48" si="303">($C48-$D48)*AS9</f>
        <v>23934.127899733332</v>
      </c>
      <c r="AT48" s="1740">
        <f t="shared" si="303"/>
        <v>23934.127899733332</v>
      </c>
      <c r="AU48" s="1741">
        <f t="shared" si="303"/>
        <v>23934.127899733332</v>
      </c>
      <c r="AV48" s="2088">
        <f t="shared" si="303"/>
        <v>23934.127899733332</v>
      </c>
      <c r="AW48" s="1740">
        <f t="shared" si="303"/>
        <v>23934.127899733332</v>
      </c>
      <c r="AX48" s="1741">
        <f t="shared" si="303"/>
        <v>23934.127899733332</v>
      </c>
      <c r="AY48" s="2088">
        <f t="shared" si="303"/>
        <v>23934.127899733332</v>
      </c>
      <c r="AZ48" s="1740">
        <f t="shared" si="303"/>
        <v>23934.127899733332</v>
      </c>
      <c r="BA48" s="1741">
        <f t="shared" si="303"/>
        <v>23934.127899733332</v>
      </c>
      <c r="BB48" s="2088">
        <f t="shared" si="303"/>
        <v>23934.127899733332</v>
      </c>
      <c r="BC48" s="1740">
        <f t="shared" si="303"/>
        <v>23934.127899733332</v>
      </c>
      <c r="BD48" s="1741">
        <f t="shared" si="303"/>
        <v>23934.127899733332</v>
      </c>
      <c r="BE48" s="1587">
        <f t="shared" si="291"/>
        <v>287209.5347968</v>
      </c>
    </row>
    <row r="49" spans="1:57" ht="18" customHeight="1">
      <c r="A49" s="7412"/>
      <c r="B49" s="2000" t="str">
        <f>B45</f>
        <v>G,S Manager</v>
      </c>
      <c r="C49" s="2156">
        <f>(10515+8255+7455)/3</f>
        <v>8741.6666666666661</v>
      </c>
      <c r="D49" s="2156">
        <v>450</v>
      </c>
      <c r="E49" s="1647">
        <f>E10</f>
        <v>3</v>
      </c>
      <c r="F49" s="4492">
        <f t="shared" ref="F49:Q49" si="304">($C49-$D49)*F10*(1+$G$42)</f>
        <v>26118.75</v>
      </c>
      <c r="G49" s="5014">
        <f t="shared" si="304"/>
        <v>26118.75</v>
      </c>
      <c r="H49" s="5661">
        <f t="shared" si="304"/>
        <v>26118.75</v>
      </c>
      <c r="I49" s="4492">
        <f t="shared" si="304"/>
        <v>26118.75</v>
      </c>
      <c r="J49" s="5014">
        <f t="shared" si="304"/>
        <v>26118.75</v>
      </c>
      <c r="K49" s="3847">
        <f t="shared" si="304"/>
        <v>26118.75</v>
      </c>
      <c r="L49" s="3803">
        <f t="shared" si="304"/>
        <v>26118.75</v>
      </c>
      <c r="M49" s="3802">
        <f t="shared" si="304"/>
        <v>26118.75</v>
      </c>
      <c r="N49" s="3847">
        <f t="shared" si="304"/>
        <v>26118.75</v>
      </c>
      <c r="O49" s="3803">
        <f t="shared" si="304"/>
        <v>26118.75</v>
      </c>
      <c r="P49" s="3802">
        <f t="shared" si="304"/>
        <v>26118.75</v>
      </c>
      <c r="Q49" s="3847">
        <f t="shared" si="304"/>
        <v>26118.75</v>
      </c>
      <c r="R49" s="2085">
        <f t="shared" si="285"/>
        <v>313425</v>
      </c>
      <c r="S49" s="1759">
        <f t="shared" ref="S49:AD49" si="305">($C49-$D$49)*S10</f>
        <v>8291.6666666666661</v>
      </c>
      <c r="T49" s="1642">
        <f t="shared" si="305"/>
        <v>16583.333333333332</v>
      </c>
      <c r="U49" s="2235">
        <f t="shared" si="305"/>
        <v>16583.333333333332</v>
      </c>
      <c r="V49" s="1759">
        <f t="shared" si="305"/>
        <v>16583.333333333332</v>
      </c>
      <c r="W49" s="1642">
        <f t="shared" si="305"/>
        <v>16583.333333333332</v>
      </c>
      <c r="X49" s="2235">
        <f t="shared" si="305"/>
        <v>16583.333333333332</v>
      </c>
      <c r="Y49" s="1759">
        <f t="shared" si="305"/>
        <v>16583.333333333332</v>
      </c>
      <c r="Z49" s="1642">
        <f t="shared" si="305"/>
        <v>16583.333333333332</v>
      </c>
      <c r="AA49" s="2235">
        <f t="shared" si="305"/>
        <v>16583.333333333332</v>
      </c>
      <c r="AB49" s="1759">
        <f t="shared" si="305"/>
        <v>16583.333333333332</v>
      </c>
      <c r="AC49" s="1642">
        <f t="shared" si="305"/>
        <v>16583.333333333332</v>
      </c>
      <c r="AD49" s="2235">
        <f t="shared" si="305"/>
        <v>16583.333333333332</v>
      </c>
      <c r="AE49" s="2085">
        <f t="shared" si="287"/>
        <v>190708.33333333334</v>
      </c>
      <c r="AF49" s="1759">
        <f t="shared" ref="AF49:AQ49" si="306">($C49-$D$49)*AF10</f>
        <v>8291.6666666666661</v>
      </c>
      <c r="AG49" s="1642">
        <f t="shared" si="306"/>
        <v>16583.333333333332</v>
      </c>
      <c r="AH49" s="2235">
        <f t="shared" si="306"/>
        <v>16583.333333333332</v>
      </c>
      <c r="AI49" s="1759">
        <f t="shared" si="306"/>
        <v>16583.333333333332</v>
      </c>
      <c r="AJ49" s="1642">
        <f t="shared" si="306"/>
        <v>16583.333333333332</v>
      </c>
      <c r="AK49" s="2235">
        <f t="shared" si="306"/>
        <v>16583.333333333332</v>
      </c>
      <c r="AL49" s="1759">
        <f t="shared" si="306"/>
        <v>16583.333333333332</v>
      </c>
      <c r="AM49" s="1642">
        <f t="shared" si="306"/>
        <v>16583.333333333332</v>
      </c>
      <c r="AN49" s="2235">
        <f t="shared" si="306"/>
        <v>16583.333333333332</v>
      </c>
      <c r="AO49" s="1759">
        <f t="shared" si="306"/>
        <v>16583.333333333332</v>
      </c>
      <c r="AP49" s="1642">
        <f t="shared" si="306"/>
        <v>16583.333333333332</v>
      </c>
      <c r="AQ49" s="2235">
        <f t="shared" si="306"/>
        <v>16583.333333333332</v>
      </c>
      <c r="AR49" s="2085">
        <f t="shared" si="289"/>
        <v>190708.33333333334</v>
      </c>
      <c r="AS49" s="1759">
        <f t="shared" ref="AS49:BD49" si="307">($C49-$D$49)*AS10</f>
        <v>8291.6666666666661</v>
      </c>
      <c r="AT49" s="1642">
        <f t="shared" si="307"/>
        <v>16583.333333333332</v>
      </c>
      <c r="AU49" s="2235">
        <f t="shared" si="307"/>
        <v>16583.333333333332</v>
      </c>
      <c r="AV49" s="1759">
        <f t="shared" si="307"/>
        <v>16583.333333333332</v>
      </c>
      <c r="AW49" s="1642">
        <f t="shared" si="307"/>
        <v>16583.333333333332</v>
      </c>
      <c r="AX49" s="2235">
        <f t="shared" si="307"/>
        <v>16583.333333333332</v>
      </c>
      <c r="AY49" s="1759">
        <f t="shared" si="307"/>
        <v>16583.333333333332</v>
      </c>
      <c r="AZ49" s="1642">
        <f t="shared" si="307"/>
        <v>16583.333333333332</v>
      </c>
      <c r="BA49" s="2235">
        <f t="shared" si="307"/>
        <v>16583.333333333332</v>
      </c>
      <c r="BB49" s="1759">
        <f t="shared" si="307"/>
        <v>16583.333333333332</v>
      </c>
      <c r="BC49" s="1642">
        <f t="shared" si="307"/>
        <v>16583.333333333332</v>
      </c>
      <c r="BD49" s="2235">
        <f t="shared" si="307"/>
        <v>16583.333333333332</v>
      </c>
      <c r="BE49" s="1557">
        <f t="shared" si="291"/>
        <v>190708.33333333334</v>
      </c>
    </row>
    <row r="50" spans="1:57" ht="18" customHeight="1">
      <c r="A50" s="7412"/>
      <c r="B50" s="2000" t="str">
        <f>B46</f>
        <v>Manager</v>
      </c>
      <c r="C50" s="2157">
        <f>(4015+4315)/2</f>
        <v>4165</v>
      </c>
      <c r="D50" s="2157">
        <v>456.63249999999999</v>
      </c>
      <c r="E50" s="1647">
        <f>E11</f>
        <v>2</v>
      </c>
      <c r="F50" s="4492">
        <f t="shared" ref="F50:Q50" si="308">($C50-$D50)*F11*(1+$G$42)</f>
        <v>7787.5717500000001</v>
      </c>
      <c r="G50" s="5014">
        <f t="shared" si="308"/>
        <v>7787.5717500000001</v>
      </c>
      <c r="H50" s="5507">
        <f t="shared" si="308"/>
        <v>7787.5717500000001</v>
      </c>
      <c r="I50" s="4492">
        <f t="shared" si="308"/>
        <v>7787.5717500000001</v>
      </c>
      <c r="J50" s="5014">
        <f t="shared" si="308"/>
        <v>7787.5717500000001</v>
      </c>
      <c r="K50" s="3804">
        <f t="shared" si="308"/>
        <v>7787.5717500000001</v>
      </c>
      <c r="L50" s="3803">
        <f t="shared" si="308"/>
        <v>7787.5717500000001</v>
      </c>
      <c r="M50" s="3848">
        <f t="shared" si="308"/>
        <v>7787.5717500000001</v>
      </c>
      <c r="N50" s="3849">
        <f t="shared" si="308"/>
        <v>7787.5717500000001</v>
      </c>
      <c r="O50" s="3850">
        <f t="shared" si="308"/>
        <v>7787.5717500000001</v>
      </c>
      <c r="P50" s="3848">
        <f t="shared" si="308"/>
        <v>7787.5717500000001</v>
      </c>
      <c r="Q50" s="3849">
        <f t="shared" si="308"/>
        <v>7787.5717500000001</v>
      </c>
      <c r="R50" s="2085">
        <f t="shared" si="285"/>
        <v>93450.861000000019</v>
      </c>
      <c r="S50" s="1759">
        <f t="shared" ref="S50:AD50" si="309">($C50-$D$50)*S11</f>
        <v>7416.7349999999997</v>
      </c>
      <c r="T50" s="1642">
        <f t="shared" si="309"/>
        <v>7416.7349999999997</v>
      </c>
      <c r="U50" s="1643">
        <f t="shared" si="309"/>
        <v>7416.7349999999997</v>
      </c>
      <c r="V50" s="1759">
        <f t="shared" si="309"/>
        <v>7416.7349999999997</v>
      </c>
      <c r="W50" s="1642">
        <f t="shared" si="309"/>
        <v>7416.7349999999997</v>
      </c>
      <c r="X50" s="1643">
        <f t="shared" si="309"/>
        <v>7416.7349999999997</v>
      </c>
      <c r="Y50" s="1759">
        <f t="shared" si="309"/>
        <v>7416.7349999999997</v>
      </c>
      <c r="Z50" s="2236">
        <f t="shared" si="309"/>
        <v>7416.7349999999997</v>
      </c>
      <c r="AA50" s="2237">
        <f t="shared" si="309"/>
        <v>7416.7349999999997</v>
      </c>
      <c r="AB50" s="2238">
        <f t="shared" si="309"/>
        <v>7416.7349999999997</v>
      </c>
      <c r="AC50" s="2236">
        <f t="shared" si="309"/>
        <v>7416.7349999999997</v>
      </c>
      <c r="AD50" s="2237">
        <f t="shared" si="309"/>
        <v>7416.7349999999997</v>
      </c>
      <c r="AE50" s="2085">
        <f t="shared" si="287"/>
        <v>89000.819999999992</v>
      </c>
      <c r="AF50" s="1759">
        <f t="shared" ref="AF50:AQ50" si="310">($C50-$D$50)*AF11</f>
        <v>7416.7349999999997</v>
      </c>
      <c r="AG50" s="1642">
        <f t="shared" si="310"/>
        <v>7416.7349999999997</v>
      </c>
      <c r="AH50" s="1643">
        <f t="shared" si="310"/>
        <v>7416.7349999999997</v>
      </c>
      <c r="AI50" s="1759">
        <f t="shared" si="310"/>
        <v>7416.7349999999997</v>
      </c>
      <c r="AJ50" s="1642">
        <f t="shared" si="310"/>
        <v>7416.7349999999997</v>
      </c>
      <c r="AK50" s="1643">
        <f t="shared" si="310"/>
        <v>7416.7349999999997</v>
      </c>
      <c r="AL50" s="1759">
        <f t="shared" si="310"/>
        <v>7416.7349999999997</v>
      </c>
      <c r="AM50" s="2236">
        <f t="shared" si="310"/>
        <v>7416.7349999999997</v>
      </c>
      <c r="AN50" s="2237">
        <f t="shared" si="310"/>
        <v>7416.7349999999997</v>
      </c>
      <c r="AO50" s="2238">
        <f t="shared" si="310"/>
        <v>7416.7349999999997</v>
      </c>
      <c r="AP50" s="2236">
        <f t="shared" si="310"/>
        <v>7416.7349999999997</v>
      </c>
      <c r="AQ50" s="2237">
        <f t="shared" si="310"/>
        <v>7416.7349999999997</v>
      </c>
      <c r="AR50" s="2085">
        <f t="shared" si="289"/>
        <v>89000.819999999992</v>
      </c>
      <c r="AS50" s="1759">
        <f t="shared" ref="AS50:BD50" si="311">($C50-$D$50)*AS11</f>
        <v>7416.7349999999997</v>
      </c>
      <c r="AT50" s="1642">
        <f t="shared" si="311"/>
        <v>7416.7349999999997</v>
      </c>
      <c r="AU50" s="1643">
        <f t="shared" si="311"/>
        <v>7416.7349999999997</v>
      </c>
      <c r="AV50" s="1759">
        <f t="shared" si="311"/>
        <v>7416.7349999999997</v>
      </c>
      <c r="AW50" s="1642">
        <f t="shared" si="311"/>
        <v>7416.7349999999997</v>
      </c>
      <c r="AX50" s="1643">
        <f t="shared" si="311"/>
        <v>7416.7349999999997</v>
      </c>
      <c r="AY50" s="1759">
        <f t="shared" si="311"/>
        <v>7416.7349999999997</v>
      </c>
      <c r="AZ50" s="2236">
        <f t="shared" si="311"/>
        <v>7416.7349999999997</v>
      </c>
      <c r="BA50" s="2237">
        <f t="shared" si="311"/>
        <v>7416.7349999999997</v>
      </c>
      <c r="BB50" s="2238">
        <f t="shared" si="311"/>
        <v>7416.7349999999997</v>
      </c>
      <c r="BC50" s="2236">
        <f t="shared" si="311"/>
        <v>7416.7349999999997</v>
      </c>
      <c r="BD50" s="2237">
        <f t="shared" si="311"/>
        <v>7416.7349999999997</v>
      </c>
      <c r="BE50" s="1557">
        <f t="shared" si="291"/>
        <v>89000.819999999992</v>
      </c>
    </row>
    <row r="51" spans="1:57" ht="18" customHeight="1" thickBot="1">
      <c r="A51" s="2239"/>
      <c r="B51" s="2159" t="s">
        <v>355</v>
      </c>
      <c r="C51" s="2160"/>
      <c r="D51" s="2161"/>
      <c r="E51" s="2177">
        <f>E50+E48+E49</f>
        <v>6</v>
      </c>
      <c r="F51" s="4557">
        <f>SUM(F48:F50)</f>
        <v>46471.738897360003</v>
      </c>
      <c r="G51" s="5021">
        <f>SUM(G48:G50)</f>
        <v>46471.738897360003</v>
      </c>
      <c r="H51" s="5518">
        <f t="shared" ref="H51:Q51" si="312">SUM(H48:H50)</f>
        <v>46471.738897360003</v>
      </c>
      <c r="I51" s="4557">
        <f t="shared" si="312"/>
        <v>46471.738897360003</v>
      </c>
      <c r="J51" s="5021">
        <f t="shared" si="312"/>
        <v>46471.738897360003</v>
      </c>
      <c r="K51" s="1816">
        <f t="shared" si="312"/>
        <v>46471.738897360003</v>
      </c>
      <c r="L51" s="1814">
        <f t="shared" si="312"/>
        <v>46471.738897360003</v>
      </c>
      <c r="M51" s="2159">
        <f t="shared" si="312"/>
        <v>46471.738897360003</v>
      </c>
      <c r="N51" s="1816">
        <f t="shared" si="312"/>
        <v>46471.738897360003</v>
      </c>
      <c r="O51" s="1814">
        <f t="shared" si="312"/>
        <v>46471.738897360003</v>
      </c>
      <c r="P51" s="1815">
        <f t="shared" si="312"/>
        <v>46471.738897360003</v>
      </c>
      <c r="Q51" s="1816">
        <f t="shared" si="312"/>
        <v>46471.738897360003</v>
      </c>
      <c r="R51" s="2138">
        <f>SUM(F51:Q51)</f>
        <v>557660.86676831997</v>
      </c>
      <c r="S51" s="1814">
        <f>SUM(S48:S50)</f>
        <v>39642.5295664</v>
      </c>
      <c r="T51" s="1815">
        <f>SUM(T48:T50)</f>
        <v>47934.196233066665</v>
      </c>
      <c r="U51" s="1816">
        <f t="shared" ref="U51:AD51" si="313">SUM(U48:U50)</f>
        <v>47934.196233066665</v>
      </c>
      <c r="V51" s="1814">
        <f t="shared" si="313"/>
        <v>47934.196233066665</v>
      </c>
      <c r="W51" s="1815">
        <f t="shared" si="313"/>
        <v>47934.196233066665</v>
      </c>
      <c r="X51" s="1816">
        <f t="shared" si="313"/>
        <v>47934.196233066665</v>
      </c>
      <c r="Y51" s="1814">
        <f t="shared" si="313"/>
        <v>47934.196233066665</v>
      </c>
      <c r="Z51" s="2159">
        <f t="shared" si="313"/>
        <v>47934.196233066665</v>
      </c>
      <c r="AA51" s="1816">
        <f t="shared" si="313"/>
        <v>47934.196233066665</v>
      </c>
      <c r="AB51" s="1814">
        <f t="shared" si="313"/>
        <v>47934.196233066665</v>
      </c>
      <c r="AC51" s="1815">
        <f t="shared" si="313"/>
        <v>47934.196233066665</v>
      </c>
      <c r="AD51" s="1816">
        <f t="shared" si="313"/>
        <v>47934.196233066665</v>
      </c>
      <c r="AE51" s="2138">
        <f>SUM(S51:AD51)</f>
        <v>566918.68813013332</v>
      </c>
      <c r="AF51" s="1814">
        <f>SUM(AF48:AF50)</f>
        <v>39642.5295664</v>
      </c>
      <c r="AG51" s="1815">
        <f>SUM(AG48:AG50)</f>
        <v>47934.196233066665</v>
      </c>
      <c r="AH51" s="1816">
        <f t="shared" ref="AH51:AQ51" si="314">SUM(AH48:AH50)</f>
        <v>47934.196233066665</v>
      </c>
      <c r="AI51" s="1814">
        <f t="shared" si="314"/>
        <v>47934.196233066665</v>
      </c>
      <c r="AJ51" s="1815">
        <f t="shared" si="314"/>
        <v>47934.196233066665</v>
      </c>
      <c r="AK51" s="1816">
        <f t="shared" si="314"/>
        <v>47934.196233066665</v>
      </c>
      <c r="AL51" s="1814">
        <f t="shared" si="314"/>
        <v>47934.196233066665</v>
      </c>
      <c r="AM51" s="2159">
        <f t="shared" si="314"/>
        <v>47934.196233066665</v>
      </c>
      <c r="AN51" s="1816">
        <f t="shared" si="314"/>
        <v>47934.196233066665</v>
      </c>
      <c r="AO51" s="1814">
        <f t="shared" si="314"/>
        <v>47934.196233066665</v>
      </c>
      <c r="AP51" s="1815">
        <f t="shared" si="314"/>
        <v>47934.196233066665</v>
      </c>
      <c r="AQ51" s="1816">
        <f t="shared" si="314"/>
        <v>47934.196233066665</v>
      </c>
      <c r="AR51" s="2138">
        <f>SUM(AF51:AQ51)</f>
        <v>566918.68813013332</v>
      </c>
      <c r="AS51" s="1814">
        <f>SUM(AS48:AS50)</f>
        <v>39642.5295664</v>
      </c>
      <c r="AT51" s="1815">
        <f>SUM(AT48:AT50)</f>
        <v>47934.196233066665</v>
      </c>
      <c r="AU51" s="1816">
        <f t="shared" ref="AU51:BD51" si="315">SUM(AU48:AU50)</f>
        <v>47934.196233066665</v>
      </c>
      <c r="AV51" s="1814">
        <f t="shared" si="315"/>
        <v>47934.196233066665</v>
      </c>
      <c r="AW51" s="1815">
        <f t="shared" si="315"/>
        <v>47934.196233066665</v>
      </c>
      <c r="AX51" s="1816">
        <f t="shared" si="315"/>
        <v>47934.196233066665</v>
      </c>
      <c r="AY51" s="1814">
        <f t="shared" si="315"/>
        <v>47934.196233066665</v>
      </c>
      <c r="AZ51" s="2159">
        <f t="shared" si="315"/>
        <v>47934.196233066665</v>
      </c>
      <c r="BA51" s="1816">
        <f t="shared" si="315"/>
        <v>47934.196233066665</v>
      </c>
      <c r="BB51" s="1814">
        <f t="shared" si="315"/>
        <v>47934.196233066665</v>
      </c>
      <c r="BC51" s="1815">
        <f t="shared" si="315"/>
        <v>47934.196233066665</v>
      </c>
      <c r="BD51" s="1816">
        <f t="shared" si="315"/>
        <v>47934.196233066665</v>
      </c>
      <c r="BE51" s="1774">
        <f>SUM(AS51:BD51)</f>
        <v>566918.68813013332</v>
      </c>
    </row>
    <row r="52" spans="1:57" ht="18" customHeight="1" thickBot="1">
      <c r="A52" s="81"/>
      <c r="B52" s="80" t="s">
        <v>501</v>
      </c>
      <c r="C52" s="80"/>
      <c r="D52" s="80"/>
      <c r="E52" s="2110"/>
      <c r="F52" s="3952">
        <v>62342</v>
      </c>
      <c r="G52" s="5012">
        <f>27553</f>
        <v>27553</v>
      </c>
      <c r="H52" s="5505"/>
      <c r="I52" s="3952"/>
      <c r="J52" s="5012"/>
      <c r="K52" s="1777"/>
      <c r="L52" s="1824"/>
      <c r="M52" s="1778"/>
      <c r="N52" s="1777"/>
      <c r="O52" s="1824"/>
      <c r="P52" s="1776"/>
      <c r="Q52" s="1777"/>
      <c r="R52" s="2143">
        <f>SUM(F52:Q52)</f>
        <v>89895</v>
      </c>
      <c r="S52" s="1824"/>
      <c r="T52" s="1776"/>
      <c r="U52" s="1777">
        <v>91537</v>
      </c>
      <c r="V52" s="1824"/>
      <c r="W52" s="1776"/>
      <c r="X52" s="1777"/>
      <c r="Y52" s="1824"/>
      <c r="Z52" s="1778"/>
      <c r="AA52" s="1777"/>
      <c r="AB52" s="1824"/>
      <c r="AC52" s="1776"/>
      <c r="AD52" s="1777"/>
      <c r="AE52" s="2143">
        <f>SUM(S52:AD52)</f>
        <v>91537</v>
      </c>
      <c r="AF52" s="1824"/>
      <c r="AG52" s="1776"/>
      <c r="AH52" s="1777">
        <v>91537</v>
      </c>
      <c r="AI52" s="1824"/>
      <c r="AJ52" s="1776"/>
      <c r="AK52" s="1777"/>
      <c r="AL52" s="1824"/>
      <c r="AM52" s="1778"/>
      <c r="AN52" s="1777"/>
      <c r="AO52" s="1824"/>
      <c r="AP52" s="1776"/>
      <c r="AQ52" s="1777"/>
      <c r="AR52" s="2143">
        <f>SUM(AF52:AQ52)</f>
        <v>91537</v>
      </c>
      <c r="AS52" s="1824"/>
      <c r="AT52" s="1776"/>
      <c r="AU52" s="1777">
        <v>91537</v>
      </c>
      <c r="AV52" s="1824"/>
      <c r="AW52" s="1776"/>
      <c r="AX52" s="1777"/>
      <c r="AY52" s="1824"/>
      <c r="AZ52" s="1778"/>
      <c r="BA52" s="1777"/>
      <c r="BB52" s="1824"/>
      <c r="BC52" s="1776"/>
      <c r="BD52" s="1777"/>
      <c r="BE52" s="1674">
        <f>SUM(AS52:BD52)</f>
        <v>91537</v>
      </c>
    </row>
    <row r="53" spans="1:57" ht="18" customHeight="1" thickBot="1">
      <c r="A53" s="7081" t="s">
        <v>15</v>
      </c>
      <c r="B53" s="7082"/>
      <c r="C53" s="7082"/>
      <c r="D53" s="7168"/>
      <c r="E53" s="2167">
        <f>E51+E47</f>
        <v>15</v>
      </c>
      <c r="F53" s="3952">
        <f t="shared" ref="F53:Q53" si="316">F47+F51+F52</f>
        <v>194514.21389736002</v>
      </c>
      <c r="G53" s="5012">
        <f>G47+G51+G52</f>
        <v>159725.21389736002</v>
      </c>
      <c r="H53" s="5505">
        <f t="shared" si="316"/>
        <v>132172.21389736002</v>
      </c>
      <c r="I53" s="3952">
        <f t="shared" si="316"/>
        <v>132172.21389736002</v>
      </c>
      <c r="J53" s="5012">
        <f t="shared" si="316"/>
        <v>123194.18889736001</v>
      </c>
      <c r="K53" s="1777">
        <f t="shared" si="316"/>
        <v>123194.18889736001</v>
      </c>
      <c r="L53" s="1824">
        <f t="shared" si="316"/>
        <v>123194.18889736001</v>
      </c>
      <c r="M53" s="1776">
        <f t="shared" si="316"/>
        <v>123194.18889736001</v>
      </c>
      <c r="N53" s="1777">
        <f t="shared" si="316"/>
        <v>123194.18889736001</v>
      </c>
      <c r="O53" s="1824">
        <f t="shared" si="316"/>
        <v>123194.18889736001</v>
      </c>
      <c r="P53" s="1776">
        <f t="shared" si="316"/>
        <v>123194.18889736001</v>
      </c>
      <c r="Q53" s="1777">
        <f t="shared" si="316"/>
        <v>123194.18889736001</v>
      </c>
      <c r="R53" s="2143">
        <f>SUM(F53:Q53)</f>
        <v>1604137.3667683206</v>
      </c>
      <c r="S53" s="1824">
        <f>S47+S51+S52</f>
        <v>122361.72956640001</v>
      </c>
      <c r="T53" s="1776">
        <f t="shared" ref="T53:AD53" si="317">T47+T51+T52</f>
        <v>130653.39623306668</v>
      </c>
      <c r="U53" s="1777">
        <f t="shared" si="317"/>
        <v>212540.19623306667</v>
      </c>
      <c r="V53" s="1824">
        <f t="shared" si="317"/>
        <v>121003.19623306667</v>
      </c>
      <c r="W53" s="1776">
        <f t="shared" si="317"/>
        <v>121003.19623306667</v>
      </c>
      <c r="X53" s="1777">
        <f t="shared" si="317"/>
        <v>121003.19623306667</v>
      </c>
      <c r="Y53" s="1824">
        <f t="shared" si="317"/>
        <v>121003.19623306667</v>
      </c>
      <c r="Z53" s="1776">
        <f t="shared" si="317"/>
        <v>121003.19623306667</v>
      </c>
      <c r="AA53" s="1777">
        <f t="shared" si="317"/>
        <v>121003.19623306667</v>
      </c>
      <c r="AB53" s="1824">
        <f t="shared" si="317"/>
        <v>121003.19623306667</v>
      </c>
      <c r="AC53" s="1776">
        <f t="shared" si="317"/>
        <v>121003.19623306667</v>
      </c>
      <c r="AD53" s="1777">
        <f t="shared" si="317"/>
        <v>121003.19623306667</v>
      </c>
      <c r="AE53" s="2143">
        <f>SUM(S53:AD53)</f>
        <v>1554584.0881301339</v>
      </c>
      <c r="AF53" s="1824">
        <f>AF47+AF51+AF52</f>
        <v>122361.72956640001</v>
      </c>
      <c r="AG53" s="1776">
        <f t="shared" ref="AG53:AQ53" si="318">AG47+AG51+AG52</f>
        <v>130653.39623306668</v>
      </c>
      <c r="AH53" s="1777">
        <f t="shared" si="318"/>
        <v>212540.19623306667</v>
      </c>
      <c r="AI53" s="1824">
        <f t="shared" si="318"/>
        <v>121003.19623306667</v>
      </c>
      <c r="AJ53" s="1776">
        <f t="shared" si="318"/>
        <v>121003.19623306667</v>
      </c>
      <c r="AK53" s="1777">
        <f t="shared" si="318"/>
        <v>121003.19623306667</v>
      </c>
      <c r="AL53" s="1824">
        <f t="shared" si="318"/>
        <v>121003.19623306667</v>
      </c>
      <c r="AM53" s="1776">
        <f t="shared" si="318"/>
        <v>121003.19623306667</v>
      </c>
      <c r="AN53" s="1777">
        <f t="shared" si="318"/>
        <v>121003.19623306667</v>
      </c>
      <c r="AO53" s="1824">
        <f t="shared" si="318"/>
        <v>121003.19623306667</v>
      </c>
      <c r="AP53" s="1776">
        <f t="shared" si="318"/>
        <v>121003.19623306667</v>
      </c>
      <c r="AQ53" s="1777">
        <f t="shared" si="318"/>
        <v>121003.19623306667</v>
      </c>
      <c r="AR53" s="2143">
        <f>SUM(AF53:AQ53)</f>
        <v>1554584.0881301339</v>
      </c>
      <c r="AS53" s="1824">
        <f>AS47+AS51+AS52</f>
        <v>122361.72956640001</v>
      </c>
      <c r="AT53" s="1776">
        <f t="shared" ref="AT53:BD53" si="319">AT47+AT51+AT52</f>
        <v>130653.39623306668</v>
      </c>
      <c r="AU53" s="1777">
        <f t="shared" si="319"/>
        <v>212540.19623306667</v>
      </c>
      <c r="AV53" s="1824">
        <f t="shared" si="319"/>
        <v>121003.19623306667</v>
      </c>
      <c r="AW53" s="1776">
        <f t="shared" si="319"/>
        <v>121003.19623306667</v>
      </c>
      <c r="AX53" s="1777">
        <f t="shared" si="319"/>
        <v>121003.19623306667</v>
      </c>
      <c r="AY53" s="1824">
        <f t="shared" si="319"/>
        <v>121003.19623306667</v>
      </c>
      <c r="AZ53" s="1776">
        <f t="shared" si="319"/>
        <v>121003.19623306667</v>
      </c>
      <c r="BA53" s="1777">
        <f t="shared" si="319"/>
        <v>121003.19623306667</v>
      </c>
      <c r="BB53" s="1824">
        <f t="shared" si="319"/>
        <v>121003.19623306667</v>
      </c>
      <c r="BC53" s="1776">
        <f t="shared" si="319"/>
        <v>121003.19623306667</v>
      </c>
      <c r="BD53" s="1777">
        <f t="shared" si="319"/>
        <v>121003.19623306667</v>
      </c>
      <c r="BE53" s="1674">
        <f>SUM(AS53:BD53)</f>
        <v>1554584.0881301339</v>
      </c>
    </row>
    <row r="54" spans="1:57" ht="18" customHeight="1">
      <c r="A54" s="2168"/>
      <c r="B54" s="2168"/>
      <c r="C54" s="2168"/>
      <c r="D54" s="2168"/>
      <c r="F54" s="2240"/>
      <c r="G54" s="5267"/>
      <c r="H54" s="5267"/>
      <c r="I54" s="5267"/>
      <c r="J54" s="5267"/>
      <c r="K54" s="2171"/>
      <c r="L54" s="2171"/>
      <c r="M54" s="2171"/>
      <c r="N54" s="2171"/>
      <c r="O54" s="2171"/>
      <c r="P54" s="2171"/>
      <c r="Q54" s="2171"/>
      <c r="R54" s="1705" t="b">
        <f>R53=SUM(F53:Q53)</f>
        <v>1</v>
      </c>
      <c r="S54" s="2370"/>
      <c r="T54" s="2171"/>
      <c r="U54" s="2171"/>
      <c r="V54" s="2171"/>
      <c r="W54" s="2171"/>
      <c r="X54" s="2171"/>
      <c r="Y54" s="2171"/>
      <c r="Z54" s="2171"/>
      <c r="AA54" s="2171"/>
      <c r="AB54" s="2171"/>
      <c r="AC54" s="2171"/>
      <c r="AD54" s="2171"/>
      <c r="AE54" s="1705" t="b">
        <f>AE53=SUM(S53:AD53)</f>
        <v>1</v>
      </c>
      <c r="AF54" s="2370"/>
      <c r="AG54" s="2171"/>
      <c r="AH54" s="2171"/>
      <c r="AI54" s="2171"/>
      <c r="AJ54" s="2171"/>
      <c r="AK54" s="2171"/>
      <c r="AL54" s="2171"/>
      <c r="AM54" s="2171"/>
      <c r="AN54" s="2171"/>
      <c r="AO54" s="2171"/>
      <c r="AP54" s="2171"/>
      <c r="AQ54" s="2171"/>
      <c r="AR54" s="1705" t="b">
        <f>AR53=SUM(AF53:AQ53)</f>
        <v>1</v>
      </c>
      <c r="AS54" s="2370"/>
      <c r="AT54" s="2171"/>
      <c r="AU54" s="2171"/>
      <c r="AV54" s="2171"/>
      <c r="AW54" s="2171"/>
      <c r="AX54" s="2171"/>
      <c r="AY54" s="2171"/>
      <c r="AZ54" s="2171"/>
      <c r="BA54" s="2171"/>
      <c r="BB54" s="2171"/>
      <c r="BC54" s="2171"/>
      <c r="BD54" s="2171"/>
      <c r="BE54" s="2241" t="b">
        <f>BE53=SUM(AS53:BD53)</f>
        <v>1</v>
      </c>
    </row>
    <row r="55" spans="1:57" ht="18" customHeight="1" thickBot="1">
      <c r="A55" s="1538" t="s">
        <v>972</v>
      </c>
      <c r="B55" s="1511"/>
      <c r="C55" s="3273"/>
      <c r="D55" s="3273"/>
      <c r="E55" s="1536"/>
      <c r="F55" s="4677" t="s">
        <v>1321</v>
      </c>
      <c r="G55" s="5422">
        <v>0.06</v>
      </c>
      <c r="R55" s="1896" t="s">
        <v>86</v>
      </c>
      <c r="T55" s="3328"/>
      <c r="AE55" s="1896" t="s">
        <v>86</v>
      </c>
      <c r="AG55" s="3328"/>
      <c r="AR55" s="1896" t="s">
        <v>86</v>
      </c>
      <c r="AT55" s="3328"/>
      <c r="BE55" s="1840" t="s">
        <v>86</v>
      </c>
    </row>
    <row r="56" spans="1:57" ht="18" customHeight="1" thickBot="1">
      <c r="A56" s="81" t="s">
        <v>111</v>
      </c>
      <c r="B56" s="65" t="s">
        <v>123</v>
      </c>
      <c r="C56" s="74" t="s">
        <v>103</v>
      </c>
      <c r="D56" s="74" t="s">
        <v>835</v>
      </c>
      <c r="E56" s="1680" t="s">
        <v>350</v>
      </c>
      <c r="F56" s="4490" t="str">
        <f>F4</f>
        <v>Jan.26</v>
      </c>
      <c r="G56" s="5005" t="str">
        <f t="shared" ref="G56:Q56" si="320">G4</f>
        <v>Feb.26</v>
      </c>
      <c r="H56" s="5494" t="str">
        <f t="shared" si="320"/>
        <v>Mar.26</v>
      </c>
      <c r="I56" s="4490" t="str">
        <f t="shared" si="320"/>
        <v>Apr.26</v>
      </c>
      <c r="J56" s="5005" t="str">
        <f t="shared" si="320"/>
        <v>May.26</v>
      </c>
      <c r="K56" s="1843" t="str">
        <f t="shared" si="320"/>
        <v>Jun.26</v>
      </c>
      <c r="L56" s="1841" t="str">
        <f t="shared" si="320"/>
        <v>Jul.26</v>
      </c>
      <c r="M56" s="1842" t="str">
        <f t="shared" si="320"/>
        <v>Aug.26</v>
      </c>
      <c r="N56" s="1843" t="str">
        <f t="shared" si="320"/>
        <v>Sep.26</v>
      </c>
      <c r="O56" s="1841" t="str">
        <f t="shared" si="320"/>
        <v>Oct.26</v>
      </c>
      <c r="P56" s="1842" t="str">
        <f t="shared" si="320"/>
        <v>Nov.26</v>
      </c>
      <c r="Q56" s="1843" t="str">
        <f t="shared" si="320"/>
        <v>Dec.26</v>
      </c>
      <c r="R56" s="2472" t="s">
        <v>15</v>
      </c>
      <c r="S56" s="1841" t="s">
        <v>425</v>
      </c>
      <c r="T56" s="1842" t="s">
        <v>545</v>
      </c>
      <c r="U56" s="1843" t="s">
        <v>546</v>
      </c>
      <c r="V56" s="1841" t="s">
        <v>426</v>
      </c>
      <c r="W56" s="1842" t="s">
        <v>547</v>
      </c>
      <c r="X56" s="1843" t="s">
        <v>548</v>
      </c>
      <c r="Y56" s="1841" t="s">
        <v>549</v>
      </c>
      <c r="Z56" s="1842" t="s">
        <v>550</v>
      </c>
      <c r="AA56" s="1843" t="s">
        <v>551</v>
      </c>
      <c r="AB56" s="1841" t="s">
        <v>552</v>
      </c>
      <c r="AC56" s="1842" t="s">
        <v>553</v>
      </c>
      <c r="AD56" s="1843" t="s">
        <v>554</v>
      </c>
      <c r="AE56" s="2472" t="s">
        <v>15</v>
      </c>
      <c r="AF56" s="1841" t="s">
        <v>425</v>
      </c>
      <c r="AG56" s="1842" t="s">
        <v>545</v>
      </c>
      <c r="AH56" s="1843" t="s">
        <v>546</v>
      </c>
      <c r="AI56" s="1841" t="s">
        <v>426</v>
      </c>
      <c r="AJ56" s="1842" t="s">
        <v>547</v>
      </c>
      <c r="AK56" s="1843" t="s">
        <v>548</v>
      </c>
      <c r="AL56" s="1841" t="s">
        <v>549</v>
      </c>
      <c r="AM56" s="1842" t="s">
        <v>550</v>
      </c>
      <c r="AN56" s="1843" t="s">
        <v>551</v>
      </c>
      <c r="AO56" s="1841" t="s">
        <v>552</v>
      </c>
      <c r="AP56" s="1842" t="s">
        <v>553</v>
      </c>
      <c r="AQ56" s="1843" t="s">
        <v>554</v>
      </c>
      <c r="AR56" s="2472" t="s">
        <v>15</v>
      </c>
      <c r="AS56" s="1841" t="s">
        <v>425</v>
      </c>
      <c r="AT56" s="1842" t="s">
        <v>545</v>
      </c>
      <c r="AU56" s="1843" t="s">
        <v>546</v>
      </c>
      <c r="AV56" s="1841" t="s">
        <v>426</v>
      </c>
      <c r="AW56" s="1842" t="s">
        <v>547</v>
      </c>
      <c r="AX56" s="1843" t="s">
        <v>548</v>
      </c>
      <c r="AY56" s="1841" t="s">
        <v>549</v>
      </c>
      <c r="AZ56" s="1842" t="s">
        <v>550</v>
      </c>
      <c r="BA56" s="1540" t="s">
        <v>551</v>
      </c>
      <c r="BB56" s="1539" t="s">
        <v>552</v>
      </c>
      <c r="BC56" s="74" t="s">
        <v>553</v>
      </c>
      <c r="BD56" s="1540" t="s">
        <v>554</v>
      </c>
      <c r="BE56" s="1541" t="s">
        <v>15</v>
      </c>
    </row>
    <row r="57" spans="1:57" ht="18" customHeight="1">
      <c r="A57" s="34" t="s">
        <v>357</v>
      </c>
      <c r="B57" s="2173" t="str">
        <f>B17</f>
        <v>S.manger and above</v>
      </c>
      <c r="C57" s="2156">
        <f>(49277119*(1+G55))/'1-1.Assumption'!$F$29</f>
        <v>1978.5509901515152</v>
      </c>
      <c r="D57" s="2156">
        <f>14325000/'1-1.Assumption'!F29</f>
        <v>542.61363636363637</v>
      </c>
      <c r="E57" s="1641">
        <f>+E17</f>
        <v>5</v>
      </c>
      <c r="F57" s="4491">
        <f t="shared" ref="F57:Q57" si="321">$C57*F17+$D57*F17*(1+$G$55)</f>
        <v>12768.607223484847</v>
      </c>
      <c r="G57" s="5013">
        <f t="shared" si="321"/>
        <v>12768.607223484847</v>
      </c>
      <c r="H57" s="5506">
        <f t="shared" si="321"/>
        <v>12768.607223484847</v>
      </c>
      <c r="I57" s="4491">
        <f t="shared" si="321"/>
        <v>12768.607223484847</v>
      </c>
      <c r="J57" s="5013">
        <f t="shared" si="321"/>
        <v>12768.607223484847</v>
      </c>
      <c r="K57" s="3801">
        <f t="shared" si="321"/>
        <v>12768.607223484847</v>
      </c>
      <c r="L57" s="3799">
        <f t="shared" si="321"/>
        <v>10214.885778787879</v>
      </c>
      <c r="M57" s="3800">
        <f t="shared" si="321"/>
        <v>10214.885778787879</v>
      </c>
      <c r="N57" s="3801">
        <f t="shared" si="321"/>
        <v>10214.885778787879</v>
      </c>
      <c r="O57" s="3799">
        <f t="shared" si="321"/>
        <v>10214.885778787879</v>
      </c>
      <c r="P57" s="3800">
        <f t="shared" si="321"/>
        <v>10214.885778787879</v>
      </c>
      <c r="Q57" s="3801">
        <f t="shared" si="321"/>
        <v>10214.885778787879</v>
      </c>
      <c r="R57" s="2480">
        <f>SUM(F57:Q57)</f>
        <v>137900.95801363635</v>
      </c>
      <c r="S57" s="2147">
        <f t="shared" ref="S57:AD57" si="322">$C57*S17+$D57*S17</f>
        <v>15126.987759090909</v>
      </c>
      <c r="T57" s="1706">
        <f t="shared" si="322"/>
        <v>15126.987759090909</v>
      </c>
      <c r="U57" s="1707">
        <f t="shared" si="322"/>
        <v>15126.987759090909</v>
      </c>
      <c r="V57" s="2147">
        <f t="shared" si="322"/>
        <v>15126.987759090909</v>
      </c>
      <c r="W57" s="1706">
        <f t="shared" si="322"/>
        <v>15126.987759090909</v>
      </c>
      <c r="X57" s="1707">
        <f t="shared" si="322"/>
        <v>15126.987759090909</v>
      </c>
      <c r="Y57" s="2147">
        <f t="shared" si="322"/>
        <v>15126.987759090909</v>
      </c>
      <c r="Z57" s="1706">
        <f t="shared" si="322"/>
        <v>15126.987759090909</v>
      </c>
      <c r="AA57" s="1707">
        <f t="shared" si="322"/>
        <v>15126.987759090909</v>
      </c>
      <c r="AB57" s="2147">
        <f t="shared" si="322"/>
        <v>15126.987759090909</v>
      </c>
      <c r="AC57" s="1706">
        <f t="shared" si="322"/>
        <v>15126.987759090909</v>
      </c>
      <c r="AD57" s="1707">
        <f t="shared" si="322"/>
        <v>15126.987759090909</v>
      </c>
      <c r="AE57" s="2480">
        <f>SUM(S57:AD57)</f>
        <v>181523.85310909085</v>
      </c>
      <c r="AF57" s="2147">
        <f t="shared" ref="AF57:AQ57" si="323">$C57*AF17+$D57*AF17</f>
        <v>15126.987759090909</v>
      </c>
      <c r="AG57" s="1706">
        <f t="shared" si="323"/>
        <v>15126.987759090909</v>
      </c>
      <c r="AH57" s="1707">
        <f t="shared" si="323"/>
        <v>15126.987759090909</v>
      </c>
      <c r="AI57" s="2147">
        <f t="shared" si="323"/>
        <v>15126.987759090909</v>
      </c>
      <c r="AJ57" s="1706">
        <f t="shared" si="323"/>
        <v>15126.987759090909</v>
      </c>
      <c r="AK57" s="1707">
        <f t="shared" si="323"/>
        <v>15126.987759090909</v>
      </c>
      <c r="AL57" s="2147">
        <f t="shared" si="323"/>
        <v>15126.987759090909</v>
      </c>
      <c r="AM57" s="1706">
        <f t="shared" si="323"/>
        <v>15126.987759090909</v>
      </c>
      <c r="AN57" s="1707">
        <f t="shared" si="323"/>
        <v>15126.987759090909</v>
      </c>
      <c r="AO57" s="2147">
        <f t="shared" si="323"/>
        <v>15126.987759090909</v>
      </c>
      <c r="AP57" s="1706">
        <f t="shared" si="323"/>
        <v>15126.987759090909</v>
      </c>
      <c r="AQ57" s="1707">
        <f t="shared" si="323"/>
        <v>15126.987759090909</v>
      </c>
      <c r="AR57" s="2480">
        <f>SUM(AF57:AQ57)</f>
        <v>181523.85310909085</v>
      </c>
      <c r="AS57" s="2147">
        <f t="shared" ref="AS57:BD57" si="324">$C57*AS17+$D57*AS17</f>
        <v>15126.987759090909</v>
      </c>
      <c r="AT57" s="1706">
        <f t="shared" si="324"/>
        <v>15126.987759090909</v>
      </c>
      <c r="AU57" s="1707">
        <f t="shared" si="324"/>
        <v>15126.987759090909</v>
      </c>
      <c r="AV57" s="2147">
        <f t="shared" si="324"/>
        <v>15126.987759090909</v>
      </c>
      <c r="AW57" s="1706">
        <f t="shared" si="324"/>
        <v>15126.987759090909</v>
      </c>
      <c r="AX57" s="1707">
        <f t="shared" si="324"/>
        <v>15126.987759090909</v>
      </c>
      <c r="AY57" s="2147">
        <f t="shared" si="324"/>
        <v>15126.987759090909</v>
      </c>
      <c r="AZ57" s="1706">
        <f t="shared" si="324"/>
        <v>15126.987759090909</v>
      </c>
      <c r="BA57" s="1707">
        <f t="shared" si="324"/>
        <v>15126.987759090909</v>
      </c>
      <c r="BB57" s="2147">
        <f t="shared" si="324"/>
        <v>15126.987759090909</v>
      </c>
      <c r="BC57" s="1706">
        <f t="shared" si="324"/>
        <v>15126.987759090909</v>
      </c>
      <c r="BD57" s="1707">
        <f t="shared" si="324"/>
        <v>15126.987759090909</v>
      </c>
      <c r="BE57" s="1545">
        <f>SUM(AS57:BD57)</f>
        <v>181523.85310909085</v>
      </c>
    </row>
    <row r="58" spans="1:57" ht="18" customHeight="1">
      <c r="A58" s="2174"/>
      <c r="B58" s="8" t="s">
        <v>306</v>
      </c>
      <c r="C58" s="2156">
        <f>(24150000*(1+G55))/'1-1.Assumption'!F29</f>
        <v>969.65909090909088</v>
      </c>
      <c r="D58" s="2156">
        <f>8500000/'1-1.Assumption'!F29</f>
        <v>321.969696969697</v>
      </c>
      <c r="E58" s="1647">
        <f>+E18</f>
        <v>7</v>
      </c>
      <c r="F58" s="4492">
        <f t="shared" ref="F58:Q58" si="325">$C58*F18+$D58*F18*(1+$G$55)</f>
        <v>9176.628787878788</v>
      </c>
      <c r="G58" s="5014">
        <f t="shared" si="325"/>
        <v>9176.628787878788</v>
      </c>
      <c r="H58" s="5507">
        <f t="shared" si="325"/>
        <v>9176.628787878788</v>
      </c>
      <c r="I58" s="4492">
        <f t="shared" si="325"/>
        <v>9176.628787878788</v>
      </c>
      <c r="J58" s="5014">
        <f t="shared" si="325"/>
        <v>9176.628787878788</v>
      </c>
      <c r="K58" s="3804">
        <f t="shared" si="325"/>
        <v>9176.628787878788</v>
      </c>
      <c r="L58" s="3803">
        <f t="shared" si="325"/>
        <v>9176.628787878788</v>
      </c>
      <c r="M58" s="3802">
        <f t="shared" si="325"/>
        <v>9176.628787878788</v>
      </c>
      <c r="N58" s="3804">
        <f t="shared" si="325"/>
        <v>9176.628787878788</v>
      </c>
      <c r="O58" s="3803">
        <f t="shared" si="325"/>
        <v>9176.628787878788</v>
      </c>
      <c r="P58" s="3802">
        <f t="shared" si="325"/>
        <v>9176.628787878788</v>
      </c>
      <c r="Q58" s="3804">
        <f t="shared" si="325"/>
        <v>9176.628787878788</v>
      </c>
      <c r="R58" s="2085">
        <f t="shared" ref="R58:R59" si="326">SUM(F58:Q58)</f>
        <v>110119.54545454543</v>
      </c>
      <c r="S58" s="1759">
        <f t="shared" ref="S58:AD58" si="327">$C58*S18+$D58*S18</f>
        <v>14207.916666666668</v>
      </c>
      <c r="T58" s="1642">
        <f t="shared" si="327"/>
        <v>12916.287878787878</v>
      </c>
      <c r="U58" s="1643">
        <f t="shared" si="327"/>
        <v>12916.287878787878</v>
      </c>
      <c r="V58" s="1759">
        <f t="shared" si="327"/>
        <v>12916.287878787878</v>
      </c>
      <c r="W58" s="1642">
        <f t="shared" si="327"/>
        <v>12916.287878787878</v>
      </c>
      <c r="X58" s="1643">
        <f t="shared" si="327"/>
        <v>12916.287878787878</v>
      </c>
      <c r="Y58" s="1759">
        <f t="shared" si="327"/>
        <v>12916.287878787878</v>
      </c>
      <c r="Z58" s="1642">
        <f t="shared" si="327"/>
        <v>12916.287878787878</v>
      </c>
      <c r="AA58" s="1643">
        <f t="shared" si="327"/>
        <v>12916.287878787878</v>
      </c>
      <c r="AB58" s="1759">
        <f t="shared" si="327"/>
        <v>12916.287878787878</v>
      </c>
      <c r="AC58" s="1642">
        <f t="shared" si="327"/>
        <v>12916.287878787878</v>
      </c>
      <c r="AD58" s="1643">
        <f t="shared" si="327"/>
        <v>12916.287878787878</v>
      </c>
      <c r="AE58" s="2085">
        <f t="shared" ref="AE58:AE59" si="328">SUM(S58:AD58)</f>
        <v>156287.08333333328</v>
      </c>
      <c r="AF58" s="1759">
        <f t="shared" ref="AF58:AQ58" si="329">$C58*AF18+$D58*AF18</f>
        <v>14207.916666666668</v>
      </c>
      <c r="AG58" s="1642">
        <f t="shared" si="329"/>
        <v>12916.287878787878</v>
      </c>
      <c r="AH58" s="1643">
        <f t="shared" si="329"/>
        <v>12916.287878787878</v>
      </c>
      <c r="AI58" s="1759">
        <f t="shared" si="329"/>
        <v>12916.287878787878</v>
      </c>
      <c r="AJ58" s="1642">
        <f t="shared" si="329"/>
        <v>12916.287878787878</v>
      </c>
      <c r="AK58" s="1643">
        <f t="shared" si="329"/>
        <v>12916.287878787878</v>
      </c>
      <c r="AL58" s="1759">
        <f t="shared" si="329"/>
        <v>12916.287878787878</v>
      </c>
      <c r="AM58" s="1642">
        <f t="shared" si="329"/>
        <v>12916.287878787878</v>
      </c>
      <c r="AN58" s="1643">
        <f t="shared" si="329"/>
        <v>12916.287878787878</v>
      </c>
      <c r="AO58" s="1759">
        <f t="shared" si="329"/>
        <v>12916.287878787878</v>
      </c>
      <c r="AP58" s="1642">
        <f t="shared" si="329"/>
        <v>12916.287878787878</v>
      </c>
      <c r="AQ58" s="1643">
        <f t="shared" si="329"/>
        <v>12916.287878787878</v>
      </c>
      <c r="AR58" s="2085">
        <f t="shared" ref="AR58:AR59" si="330">SUM(AF58:AQ58)</f>
        <v>156287.08333333328</v>
      </c>
      <c r="AS58" s="1759">
        <f t="shared" ref="AS58:BD58" si="331">$C58*AS18+$D58*AS18</f>
        <v>14207.916666666668</v>
      </c>
      <c r="AT58" s="1642">
        <f t="shared" si="331"/>
        <v>12916.287878787878</v>
      </c>
      <c r="AU58" s="1643">
        <f t="shared" si="331"/>
        <v>12916.287878787878</v>
      </c>
      <c r="AV58" s="1759">
        <f t="shared" si="331"/>
        <v>12916.287878787878</v>
      </c>
      <c r="AW58" s="1642">
        <f t="shared" si="331"/>
        <v>12916.287878787878</v>
      </c>
      <c r="AX58" s="1643">
        <f t="shared" si="331"/>
        <v>12916.287878787878</v>
      </c>
      <c r="AY58" s="1759">
        <f t="shared" si="331"/>
        <v>12916.287878787878</v>
      </c>
      <c r="AZ58" s="1642">
        <f t="shared" si="331"/>
        <v>12916.287878787878</v>
      </c>
      <c r="BA58" s="1643">
        <f t="shared" si="331"/>
        <v>12916.287878787878</v>
      </c>
      <c r="BB58" s="1759">
        <f t="shared" si="331"/>
        <v>12916.287878787878</v>
      </c>
      <c r="BC58" s="1642">
        <f t="shared" si="331"/>
        <v>12916.287878787878</v>
      </c>
      <c r="BD58" s="1643">
        <f t="shared" si="331"/>
        <v>12916.287878787878</v>
      </c>
      <c r="BE58" s="1557">
        <f t="shared" ref="BE58:BE59" si="332">SUM(AS58:BD58)</f>
        <v>156287.08333333328</v>
      </c>
    </row>
    <row r="59" spans="1:57" ht="18" customHeight="1">
      <c r="A59" s="2174"/>
      <c r="B59" s="8" t="s">
        <v>360</v>
      </c>
      <c r="C59" s="2157">
        <f>(14487110*(1+G55))/'1-1.Assumption'!F29</f>
        <v>581.67941666666673</v>
      </c>
      <c r="D59" s="2157">
        <f>4825000/'1-1.Assumption'!F29</f>
        <v>182.7651515151515</v>
      </c>
      <c r="E59" s="1647">
        <f>+E19</f>
        <v>61</v>
      </c>
      <c r="F59" s="4492">
        <f t="shared" ref="F59:Q59" si="333">$C59*F19+$D59*F19*(1+$G$55)</f>
        <v>47300.039113636369</v>
      </c>
      <c r="G59" s="4495">
        <f t="shared" si="333"/>
        <v>47300.039113636369</v>
      </c>
      <c r="H59" s="5507">
        <f t="shared" si="333"/>
        <v>47300.039113636369</v>
      </c>
      <c r="I59" s="4492">
        <f t="shared" si="333"/>
        <v>42647.576249999998</v>
      </c>
      <c r="J59" s="5014">
        <f t="shared" si="333"/>
        <v>42647.576249999998</v>
      </c>
      <c r="K59" s="3804">
        <f t="shared" si="333"/>
        <v>42647.576249999998</v>
      </c>
      <c r="L59" s="3803">
        <f t="shared" si="333"/>
        <v>38770.523863636365</v>
      </c>
      <c r="M59" s="3802">
        <f t="shared" si="333"/>
        <v>38770.523863636365</v>
      </c>
      <c r="N59" s="3804">
        <f t="shared" si="333"/>
        <v>38770.523863636365</v>
      </c>
      <c r="O59" s="3803">
        <f t="shared" si="333"/>
        <v>34893.471477272731</v>
      </c>
      <c r="P59" s="3802">
        <f t="shared" si="333"/>
        <v>34893.471477272731</v>
      </c>
      <c r="Q59" s="3804">
        <f t="shared" si="333"/>
        <v>34893.471477272731</v>
      </c>
      <c r="R59" s="2085">
        <f t="shared" si="326"/>
        <v>490834.83211363642</v>
      </c>
      <c r="S59" s="1759">
        <f t="shared" ref="S59:AD59" si="334">$C59*S19+$D59*S19</f>
        <v>62684.454590909096</v>
      </c>
      <c r="T59" s="1767">
        <f t="shared" si="334"/>
        <v>62684.454590909096</v>
      </c>
      <c r="U59" s="1643">
        <f t="shared" si="334"/>
        <v>61920.010022727278</v>
      </c>
      <c r="V59" s="1759">
        <f t="shared" si="334"/>
        <v>63448.899159090914</v>
      </c>
      <c r="W59" s="1642">
        <f t="shared" si="334"/>
        <v>63448.899159090914</v>
      </c>
      <c r="X59" s="1643">
        <f t="shared" si="334"/>
        <v>63448.899159090914</v>
      </c>
      <c r="Y59" s="1759">
        <f t="shared" si="334"/>
        <v>63448.899159090914</v>
      </c>
      <c r="Z59" s="1642">
        <f t="shared" si="334"/>
        <v>63448.899159090914</v>
      </c>
      <c r="AA59" s="1643">
        <f t="shared" si="334"/>
        <v>63448.899159090914</v>
      </c>
      <c r="AB59" s="1759">
        <f t="shared" si="334"/>
        <v>63448.899159090914</v>
      </c>
      <c r="AC59" s="1642">
        <f t="shared" si="334"/>
        <v>63448.899159090914</v>
      </c>
      <c r="AD59" s="1643">
        <f t="shared" si="334"/>
        <v>63448.899159090914</v>
      </c>
      <c r="AE59" s="2085">
        <f t="shared" si="328"/>
        <v>758329.01163636392</v>
      </c>
      <c r="AF59" s="1759">
        <f t="shared" ref="AF59:AQ59" si="335">$C59*AF19+$D59*AF19</f>
        <v>62684.454590909096</v>
      </c>
      <c r="AG59" s="1767">
        <f t="shared" si="335"/>
        <v>62684.454590909096</v>
      </c>
      <c r="AH59" s="1643">
        <f t="shared" si="335"/>
        <v>61920.010022727278</v>
      </c>
      <c r="AI59" s="1759">
        <f t="shared" si="335"/>
        <v>63448.899159090914</v>
      </c>
      <c r="AJ59" s="1642">
        <f t="shared" si="335"/>
        <v>63448.899159090914</v>
      </c>
      <c r="AK59" s="1643">
        <f t="shared" si="335"/>
        <v>63448.899159090914</v>
      </c>
      <c r="AL59" s="1759">
        <f t="shared" si="335"/>
        <v>63448.899159090914</v>
      </c>
      <c r="AM59" s="1642">
        <f t="shared" si="335"/>
        <v>63448.899159090914</v>
      </c>
      <c r="AN59" s="1643">
        <f t="shared" si="335"/>
        <v>63448.899159090914</v>
      </c>
      <c r="AO59" s="1759">
        <f t="shared" si="335"/>
        <v>63448.899159090914</v>
      </c>
      <c r="AP59" s="1642">
        <f t="shared" si="335"/>
        <v>63448.899159090914</v>
      </c>
      <c r="AQ59" s="1643">
        <f t="shared" si="335"/>
        <v>63448.899159090914</v>
      </c>
      <c r="AR59" s="2085">
        <f t="shared" si="330"/>
        <v>758329.01163636392</v>
      </c>
      <c r="AS59" s="1759">
        <f t="shared" ref="AS59:BD59" si="336">$C59*AS19+$D59*AS19</f>
        <v>62684.454590909096</v>
      </c>
      <c r="AT59" s="1767">
        <f t="shared" si="336"/>
        <v>62684.454590909096</v>
      </c>
      <c r="AU59" s="1643">
        <f t="shared" si="336"/>
        <v>61920.010022727278</v>
      </c>
      <c r="AV59" s="1759">
        <f t="shared" si="336"/>
        <v>63448.899159090914</v>
      </c>
      <c r="AW59" s="1642">
        <f t="shared" si="336"/>
        <v>63448.899159090914</v>
      </c>
      <c r="AX59" s="1643">
        <f t="shared" si="336"/>
        <v>63448.899159090914</v>
      </c>
      <c r="AY59" s="1759">
        <f t="shared" si="336"/>
        <v>63448.899159090914</v>
      </c>
      <c r="AZ59" s="1642">
        <f t="shared" si="336"/>
        <v>63448.899159090914</v>
      </c>
      <c r="BA59" s="1643">
        <f t="shared" si="336"/>
        <v>63448.899159090914</v>
      </c>
      <c r="BB59" s="1759">
        <f t="shared" si="336"/>
        <v>63448.899159090914</v>
      </c>
      <c r="BC59" s="1642">
        <f t="shared" si="336"/>
        <v>63448.899159090914</v>
      </c>
      <c r="BD59" s="1643">
        <f t="shared" si="336"/>
        <v>63448.899159090914</v>
      </c>
      <c r="BE59" s="1557">
        <f t="shared" si="332"/>
        <v>758329.01163636392</v>
      </c>
    </row>
    <row r="60" spans="1:57" ht="18" customHeight="1">
      <c r="A60" s="2148"/>
      <c r="B60" s="1726" t="s">
        <v>352</v>
      </c>
      <c r="C60" s="2149"/>
      <c r="D60" s="2149"/>
      <c r="E60" s="3212">
        <f>SUM(E57:E59)</f>
        <v>73</v>
      </c>
      <c r="F60" s="4494">
        <f>SUM(F57:F59)</f>
        <v>69245.275125</v>
      </c>
      <c r="G60" s="4734">
        <f t="shared" ref="G60:Q60" si="337">SUM(G57:G59)</f>
        <v>69245.275125</v>
      </c>
      <c r="H60" s="5510">
        <f t="shared" si="337"/>
        <v>69245.275125</v>
      </c>
      <c r="I60" s="4494">
        <f t="shared" si="337"/>
        <v>64592.812261363637</v>
      </c>
      <c r="J60" s="4734">
        <f t="shared" si="337"/>
        <v>64592.812261363637</v>
      </c>
      <c r="K60" s="1733">
        <f t="shared" si="337"/>
        <v>64592.812261363637</v>
      </c>
      <c r="L60" s="1805">
        <f t="shared" si="337"/>
        <v>58162.03843030303</v>
      </c>
      <c r="M60" s="1732">
        <f t="shared" si="337"/>
        <v>58162.03843030303</v>
      </c>
      <c r="N60" s="1733">
        <f t="shared" si="337"/>
        <v>58162.03843030303</v>
      </c>
      <c r="O60" s="1805">
        <f t="shared" si="337"/>
        <v>54284.986043939396</v>
      </c>
      <c r="P60" s="1732">
        <f t="shared" si="337"/>
        <v>54284.986043939396</v>
      </c>
      <c r="Q60" s="1733">
        <f t="shared" si="337"/>
        <v>54284.986043939396</v>
      </c>
      <c r="R60" s="2108">
        <f>SUM(R57:R59)</f>
        <v>738855.33558181813</v>
      </c>
      <c r="S60" s="2242">
        <f>SUM(S57:S59)</f>
        <v>92019.359016666669</v>
      </c>
      <c r="T60" s="2243">
        <f t="shared" ref="T60:AD60" si="338">SUM(T57:T59)</f>
        <v>90727.730228787885</v>
      </c>
      <c r="U60" s="2244">
        <f t="shared" si="338"/>
        <v>89963.285660606067</v>
      </c>
      <c r="V60" s="2242">
        <f t="shared" si="338"/>
        <v>91492.174796969703</v>
      </c>
      <c r="W60" s="2243">
        <f t="shared" si="338"/>
        <v>91492.174796969703</v>
      </c>
      <c r="X60" s="2244">
        <f t="shared" si="338"/>
        <v>91492.174796969703</v>
      </c>
      <c r="Y60" s="2242">
        <f t="shared" si="338"/>
        <v>91492.174796969703</v>
      </c>
      <c r="Z60" s="2243">
        <f t="shared" si="338"/>
        <v>91492.174796969703</v>
      </c>
      <c r="AA60" s="2244">
        <f t="shared" si="338"/>
        <v>91492.174796969703</v>
      </c>
      <c r="AB60" s="2242">
        <f t="shared" si="338"/>
        <v>91492.174796969703</v>
      </c>
      <c r="AC60" s="2243">
        <f t="shared" si="338"/>
        <v>91492.174796969703</v>
      </c>
      <c r="AD60" s="2244">
        <f t="shared" si="338"/>
        <v>91492.174796969703</v>
      </c>
      <c r="AE60" s="2108">
        <f>SUM(AE57:AE59)</f>
        <v>1096139.9480787881</v>
      </c>
      <c r="AF60" s="2242">
        <f>SUM(AF57:AF59)</f>
        <v>92019.359016666669</v>
      </c>
      <c r="AG60" s="2243">
        <f t="shared" ref="AG60:AQ60" si="339">SUM(AG57:AG59)</f>
        <v>90727.730228787885</v>
      </c>
      <c r="AH60" s="2244">
        <f t="shared" si="339"/>
        <v>89963.285660606067</v>
      </c>
      <c r="AI60" s="2242">
        <f t="shared" si="339"/>
        <v>91492.174796969703</v>
      </c>
      <c r="AJ60" s="2243">
        <f t="shared" si="339"/>
        <v>91492.174796969703</v>
      </c>
      <c r="AK60" s="2244">
        <f t="shared" si="339"/>
        <v>91492.174796969703</v>
      </c>
      <c r="AL60" s="2242">
        <f t="shared" si="339"/>
        <v>91492.174796969703</v>
      </c>
      <c r="AM60" s="2243">
        <f t="shared" si="339"/>
        <v>91492.174796969703</v>
      </c>
      <c r="AN60" s="2244">
        <f t="shared" si="339"/>
        <v>91492.174796969703</v>
      </c>
      <c r="AO60" s="2242">
        <f t="shared" si="339"/>
        <v>91492.174796969703</v>
      </c>
      <c r="AP60" s="2243">
        <f t="shared" si="339"/>
        <v>91492.174796969703</v>
      </c>
      <c r="AQ60" s="2244">
        <f t="shared" si="339"/>
        <v>91492.174796969703</v>
      </c>
      <c r="AR60" s="2108">
        <f>SUM(AR57:AR59)</f>
        <v>1096139.9480787881</v>
      </c>
      <c r="AS60" s="2242">
        <f>SUM(AS57:AS59)</f>
        <v>92019.359016666669</v>
      </c>
      <c r="AT60" s="2243">
        <f t="shared" ref="AT60:BD60" si="340">SUM(AT57:AT59)</f>
        <v>90727.730228787885</v>
      </c>
      <c r="AU60" s="2244">
        <f t="shared" si="340"/>
        <v>89963.285660606067</v>
      </c>
      <c r="AV60" s="2242">
        <f t="shared" si="340"/>
        <v>91492.174796969703</v>
      </c>
      <c r="AW60" s="2243">
        <f t="shared" si="340"/>
        <v>91492.174796969703</v>
      </c>
      <c r="AX60" s="2244">
        <f t="shared" si="340"/>
        <v>91492.174796969703</v>
      </c>
      <c r="AY60" s="2242">
        <f t="shared" si="340"/>
        <v>91492.174796969703</v>
      </c>
      <c r="AZ60" s="2243">
        <f t="shared" si="340"/>
        <v>91492.174796969703</v>
      </c>
      <c r="BA60" s="2244">
        <f t="shared" si="340"/>
        <v>91492.174796969703</v>
      </c>
      <c r="BB60" s="2242">
        <f t="shared" si="340"/>
        <v>91492.174796969703</v>
      </c>
      <c r="BC60" s="2243">
        <f t="shared" si="340"/>
        <v>91492.174796969703</v>
      </c>
      <c r="BD60" s="2244">
        <f t="shared" si="340"/>
        <v>91492.174796969703</v>
      </c>
      <c r="BE60" s="1566">
        <f>SUM(BE57:BE59)</f>
        <v>1096139.9480787881</v>
      </c>
    </row>
    <row r="61" spans="1:57" ht="18" customHeight="1">
      <c r="A61" s="1906" t="s">
        <v>358</v>
      </c>
      <c r="B61" s="2152" t="str">
        <f>B21</f>
        <v>S.manger and above</v>
      </c>
      <c r="C61" s="2153">
        <f>(48697600*(1+G55))/'1-1.Assumption'!F29</f>
        <v>1955.2824242424242</v>
      </c>
      <c r="D61" s="2153">
        <f>14600000/'1-1.Assumption'!F29</f>
        <v>553.030303030303</v>
      </c>
      <c r="E61" s="2155">
        <f>+E21</f>
        <v>5</v>
      </c>
      <c r="F61" s="4492">
        <f t="shared" ref="F61:Q61" si="341">$C61*F21+$D61*F21*(1+$G$55)</f>
        <v>12707.472727272727</v>
      </c>
      <c r="G61" s="5243">
        <f t="shared" si="341"/>
        <v>12707.472727272727</v>
      </c>
      <c r="H61" s="5586">
        <f t="shared" si="341"/>
        <v>12707.472727272727</v>
      </c>
      <c r="I61" s="4499">
        <f t="shared" si="341"/>
        <v>12707.472727272727</v>
      </c>
      <c r="J61" s="5243">
        <f t="shared" si="341"/>
        <v>12707.472727272727</v>
      </c>
      <c r="K61" s="3846">
        <f t="shared" si="341"/>
        <v>12707.472727272727</v>
      </c>
      <c r="L61" s="3824">
        <f t="shared" si="341"/>
        <v>12707.472727272727</v>
      </c>
      <c r="M61" s="3845">
        <f t="shared" si="341"/>
        <v>12707.472727272727</v>
      </c>
      <c r="N61" s="3846">
        <f t="shared" si="341"/>
        <v>12707.472727272727</v>
      </c>
      <c r="O61" s="3824">
        <f t="shared" si="341"/>
        <v>12707.472727272727</v>
      </c>
      <c r="P61" s="3845">
        <f t="shared" si="341"/>
        <v>12707.472727272727</v>
      </c>
      <c r="Q61" s="3846">
        <f t="shared" si="341"/>
        <v>12707.472727272727</v>
      </c>
      <c r="R61" s="2089">
        <f t="shared" ref="R61:R63" si="342">SUM(F61:Q61)</f>
        <v>152489.67272727273</v>
      </c>
      <c r="S61" s="2088">
        <f t="shared" ref="S61:AD61" si="343">$C61*S21+$D61*S21</f>
        <v>7524.9381818181819</v>
      </c>
      <c r="T61" s="1740">
        <f t="shared" si="343"/>
        <v>7524.9381818181819</v>
      </c>
      <c r="U61" s="1741">
        <f t="shared" si="343"/>
        <v>7524.9381818181819</v>
      </c>
      <c r="V61" s="2088">
        <f t="shared" si="343"/>
        <v>7524.9381818181819</v>
      </c>
      <c r="W61" s="1740">
        <f t="shared" si="343"/>
        <v>7524.9381818181819</v>
      </c>
      <c r="X61" s="1741">
        <f t="shared" si="343"/>
        <v>7524.9381818181819</v>
      </c>
      <c r="Y61" s="2088">
        <f t="shared" si="343"/>
        <v>7524.9381818181819</v>
      </c>
      <c r="Z61" s="1740">
        <f t="shared" si="343"/>
        <v>7524.9381818181819</v>
      </c>
      <c r="AA61" s="1741">
        <f t="shared" si="343"/>
        <v>7524.9381818181819</v>
      </c>
      <c r="AB61" s="2088">
        <f t="shared" si="343"/>
        <v>7524.9381818181819</v>
      </c>
      <c r="AC61" s="1740">
        <f t="shared" si="343"/>
        <v>7524.9381818181819</v>
      </c>
      <c r="AD61" s="1741">
        <f t="shared" si="343"/>
        <v>7524.9381818181819</v>
      </c>
      <c r="AE61" s="2089">
        <f t="shared" ref="AE61:AE63" si="344">SUM(S61:AD61)</f>
        <v>90299.258181818193</v>
      </c>
      <c r="AF61" s="2088">
        <f t="shared" ref="AF61:AQ61" si="345">$C61*AF21+$D61*AF21</f>
        <v>7524.9381818181819</v>
      </c>
      <c r="AG61" s="1740">
        <f t="shared" si="345"/>
        <v>7524.9381818181819</v>
      </c>
      <c r="AH61" s="1741">
        <f t="shared" si="345"/>
        <v>7524.9381818181819</v>
      </c>
      <c r="AI61" s="2088">
        <f t="shared" si="345"/>
        <v>7524.9381818181819</v>
      </c>
      <c r="AJ61" s="1740">
        <f t="shared" si="345"/>
        <v>7524.9381818181819</v>
      </c>
      <c r="AK61" s="1741">
        <f t="shared" si="345"/>
        <v>7524.9381818181819</v>
      </c>
      <c r="AL61" s="2088">
        <f t="shared" si="345"/>
        <v>7524.9381818181819</v>
      </c>
      <c r="AM61" s="1740">
        <f t="shared" si="345"/>
        <v>7524.9381818181819</v>
      </c>
      <c r="AN61" s="1741">
        <f t="shared" si="345"/>
        <v>7524.9381818181819</v>
      </c>
      <c r="AO61" s="2088">
        <f t="shared" si="345"/>
        <v>7524.9381818181819</v>
      </c>
      <c r="AP61" s="1740">
        <f t="shared" si="345"/>
        <v>7524.9381818181819</v>
      </c>
      <c r="AQ61" s="1741">
        <f t="shared" si="345"/>
        <v>7524.9381818181819</v>
      </c>
      <c r="AR61" s="2089">
        <f t="shared" ref="AR61:AR63" si="346">SUM(AF61:AQ61)</f>
        <v>90299.258181818193</v>
      </c>
      <c r="AS61" s="2088">
        <f t="shared" ref="AS61:BD61" si="347">$C61*AS21+$D61*AS21</f>
        <v>7524.9381818181819</v>
      </c>
      <c r="AT61" s="1740">
        <f t="shared" si="347"/>
        <v>7524.9381818181819</v>
      </c>
      <c r="AU61" s="1741">
        <f t="shared" si="347"/>
        <v>7524.9381818181819</v>
      </c>
      <c r="AV61" s="2088">
        <f t="shared" si="347"/>
        <v>7524.9381818181819</v>
      </c>
      <c r="AW61" s="1740">
        <f t="shared" si="347"/>
        <v>7524.9381818181819</v>
      </c>
      <c r="AX61" s="1741">
        <f t="shared" si="347"/>
        <v>7524.9381818181819</v>
      </c>
      <c r="AY61" s="2088">
        <f t="shared" si="347"/>
        <v>7524.9381818181819</v>
      </c>
      <c r="AZ61" s="1740">
        <f t="shared" si="347"/>
        <v>7524.9381818181819</v>
      </c>
      <c r="BA61" s="1741">
        <f t="shared" si="347"/>
        <v>7524.9381818181819</v>
      </c>
      <c r="BB61" s="2088">
        <f t="shared" si="347"/>
        <v>7524.9381818181819</v>
      </c>
      <c r="BC61" s="1740">
        <f t="shared" si="347"/>
        <v>7524.9381818181819</v>
      </c>
      <c r="BD61" s="1741">
        <f t="shared" si="347"/>
        <v>7524.9381818181819</v>
      </c>
      <c r="BE61" s="1587">
        <f t="shared" ref="BE61:BE63" si="348">SUM(AS61:BD61)</f>
        <v>90299.258181818193</v>
      </c>
    </row>
    <row r="62" spans="1:57" ht="18" customHeight="1">
      <c r="A62" s="2174"/>
      <c r="B62" s="8" t="s">
        <v>306</v>
      </c>
      <c r="C62" s="2156">
        <f>(20150000*(1+G55))/'1-1.Assumption'!F29</f>
        <v>809.05303030303025</v>
      </c>
      <c r="D62" s="2156">
        <f>10850000/'1-1.Assumption'!F29</f>
        <v>410.9848484848485</v>
      </c>
      <c r="E62" s="1647">
        <f>+E22</f>
        <v>11</v>
      </c>
      <c r="F62" s="7058">
        <f t="shared" ref="F62:Q62" si="349">$C62*F22+$D62*F22*(1+$G$55)</f>
        <v>13691.666666666666</v>
      </c>
      <c r="G62" s="5014">
        <f t="shared" si="349"/>
        <v>13691.666666666666</v>
      </c>
      <c r="H62" s="7059">
        <f t="shared" si="349"/>
        <v>13691.666666666666</v>
      </c>
      <c r="I62" s="4492">
        <f t="shared" si="349"/>
        <v>13691.666666666666</v>
      </c>
      <c r="J62" s="5014">
        <f t="shared" si="349"/>
        <v>13691.666666666666</v>
      </c>
      <c r="K62" s="3804">
        <f t="shared" si="349"/>
        <v>13691.666666666666</v>
      </c>
      <c r="L62" s="3803">
        <f t="shared" si="349"/>
        <v>13691.666666666666</v>
      </c>
      <c r="M62" s="3802">
        <f t="shared" si="349"/>
        <v>13691.666666666666</v>
      </c>
      <c r="N62" s="3804">
        <f t="shared" si="349"/>
        <v>13691.666666666666</v>
      </c>
      <c r="O62" s="3803">
        <f t="shared" si="349"/>
        <v>13691.666666666666</v>
      </c>
      <c r="P62" s="3802">
        <f t="shared" si="349"/>
        <v>13691.666666666666</v>
      </c>
      <c r="Q62" s="3804">
        <f t="shared" si="349"/>
        <v>13691.666666666666</v>
      </c>
      <c r="R62" s="2085">
        <f t="shared" si="342"/>
        <v>164300</v>
      </c>
      <c r="S62" s="3437">
        <f t="shared" ref="S62:AD62" si="350">$C62*S22+$D62*S22</f>
        <v>13420.416666666666</v>
      </c>
      <c r="T62" s="1642">
        <f t="shared" si="350"/>
        <v>13420.416666666666</v>
      </c>
      <c r="U62" s="2237">
        <f t="shared" si="350"/>
        <v>13420.416666666666</v>
      </c>
      <c r="V62" s="1759">
        <f t="shared" si="350"/>
        <v>13420.416666666666</v>
      </c>
      <c r="W62" s="1642">
        <f t="shared" si="350"/>
        <v>13420.416666666666</v>
      </c>
      <c r="X62" s="1643">
        <f t="shared" si="350"/>
        <v>13420.416666666666</v>
      </c>
      <c r="Y62" s="1759">
        <f t="shared" si="350"/>
        <v>13420.416666666666</v>
      </c>
      <c r="Z62" s="1642">
        <f t="shared" si="350"/>
        <v>13420.416666666666</v>
      </c>
      <c r="AA62" s="1643">
        <f t="shared" si="350"/>
        <v>13420.416666666666</v>
      </c>
      <c r="AB62" s="1759">
        <f t="shared" si="350"/>
        <v>13420.416666666666</v>
      </c>
      <c r="AC62" s="1642">
        <f t="shared" si="350"/>
        <v>13420.416666666666</v>
      </c>
      <c r="AD62" s="1643">
        <f t="shared" si="350"/>
        <v>13420.416666666666</v>
      </c>
      <c r="AE62" s="2085">
        <f t="shared" si="344"/>
        <v>161045</v>
      </c>
      <c r="AF62" s="3437">
        <f t="shared" ref="AF62:AQ62" si="351">$C62*AF22+$D62*AF22</f>
        <v>13420.416666666666</v>
      </c>
      <c r="AG62" s="1642">
        <f t="shared" si="351"/>
        <v>13420.416666666666</v>
      </c>
      <c r="AH62" s="2237">
        <f t="shared" si="351"/>
        <v>13420.416666666666</v>
      </c>
      <c r="AI62" s="1759">
        <f t="shared" si="351"/>
        <v>13420.416666666666</v>
      </c>
      <c r="AJ62" s="1642">
        <f t="shared" si="351"/>
        <v>13420.416666666666</v>
      </c>
      <c r="AK62" s="1643">
        <f t="shared" si="351"/>
        <v>13420.416666666666</v>
      </c>
      <c r="AL62" s="1759">
        <f t="shared" si="351"/>
        <v>13420.416666666666</v>
      </c>
      <c r="AM62" s="1642">
        <f t="shared" si="351"/>
        <v>13420.416666666666</v>
      </c>
      <c r="AN62" s="1643">
        <f t="shared" si="351"/>
        <v>13420.416666666666</v>
      </c>
      <c r="AO62" s="1759">
        <f t="shared" si="351"/>
        <v>13420.416666666666</v>
      </c>
      <c r="AP62" s="1642">
        <f t="shared" si="351"/>
        <v>13420.416666666666</v>
      </c>
      <c r="AQ62" s="1643">
        <f t="shared" si="351"/>
        <v>13420.416666666666</v>
      </c>
      <c r="AR62" s="2085">
        <f t="shared" si="346"/>
        <v>161045</v>
      </c>
      <c r="AS62" s="3437">
        <f t="shared" ref="AS62:BD62" si="352">$C62*AS22+$D62*AS22</f>
        <v>13420.416666666666</v>
      </c>
      <c r="AT62" s="1642">
        <f t="shared" si="352"/>
        <v>13420.416666666666</v>
      </c>
      <c r="AU62" s="2237">
        <f t="shared" si="352"/>
        <v>13420.416666666666</v>
      </c>
      <c r="AV62" s="1759">
        <f t="shared" si="352"/>
        <v>13420.416666666666</v>
      </c>
      <c r="AW62" s="1642">
        <f t="shared" si="352"/>
        <v>13420.416666666666</v>
      </c>
      <c r="AX62" s="1643">
        <f t="shared" si="352"/>
        <v>13420.416666666666</v>
      </c>
      <c r="AY62" s="1759">
        <f t="shared" si="352"/>
        <v>13420.416666666666</v>
      </c>
      <c r="AZ62" s="1642">
        <f t="shared" si="352"/>
        <v>13420.416666666666</v>
      </c>
      <c r="BA62" s="1643">
        <f t="shared" si="352"/>
        <v>13420.416666666666</v>
      </c>
      <c r="BB62" s="1759">
        <f t="shared" si="352"/>
        <v>13420.416666666666</v>
      </c>
      <c r="BC62" s="1642">
        <f t="shared" si="352"/>
        <v>13420.416666666666</v>
      </c>
      <c r="BD62" s="1643">
        <f t="shared" si="352"/>
        <v>13420.416666666666</v>
      </c>
      <c r="BE62" s="1557">
        <f t="shared" si="348"/>
        <v>161045</v>
      </c>
    </row>
    <row r="63" spans="1:57" ht="18" customHeight="1">
      <c r="A63" s="2174"/>
      <c r="B63" s="8" t="s">
        <v>307</v>
      </c>
      <c r="C63" s="2157">
        <f>(13901415*(1+G55))/'1-1.Assumption'!F29</f>
        <v>558.16287499999999</v>
      </c>
      <c r="D63" s="2157">
        <f>6896656/'1-1.Assumption'!F29</f>
        <v>261.23696969696971</v>
      </c>
      <c r="E63" s="1647">
        <f>+E23</f>
        <v>178</v>
      </c>
      <c r="F63" s="7058">
        <f t="shared" ref="F63:Q63" si="353">$C63*F23+$D63*F23*(1+$G$55)</f>
        <v>148643.18319242424</v>
      </c>
      <c r="G63" s="5014">
        <f t="shared" si="353"/>
        <v>148643.18319242424</v>
      </c>
      <c r="H63" s="7059">
        <f t="shared" si="353"/>
        <v>148643.18319242424</v>
      </c>
      <c r="I63" s="4492">
        <f t="shared" si="353"/>
        <v>148643.18319242424</v>
      </c>
      <c r="J63" s="5014">
        <f t="shared" si="353"/>
        <v>148643.18319242424</v>
      </c>
      <c r="K63" s="3804">
        <f t="shared" si="353"/>
        <v>148643.18319242424</v>
      </c>
      <c r="L63" s="3803">
        <f t="shared" si="353"/>
        <v>144467.81287803029</v>
      </c>
      <c r="M63" s="3802">
        <f t="shared" si="353"/>
        <v>144467.81287803029</v>
      </c>
      <c r="N63" s="3804">
        <f t="shared" si="353"/>
        <v>144467.81287803029</v>
      </c>
      <c r="O63" s="3803">
        <f t="shared" si="353"/>
        <v>137787.220375</v>
      </c>
      <c r="P63" s="3802">
        <f t="shared" si="353"/>
        <v>137787.220375</v>
      </c>
      <c r="Q63" s="3804">
        <f t="shared" si="353"/>
        <v>137787.220375</v>
      </c>
      <c r="R63" s="2085">
        <f t="shared" si="342"/>
        <v>1738624.1989136366</v>
      </c>
      <c r="S63" s="3437">
        <f t="shared" ref="S63:X63" si="354">$C63*S23+$D63*S23</f>
        <v>133562.17468560606</v>
      </c>
      <c r="T63" s="1642">
        <f t="shared" si="354"/>
        <v>129465.1754621212</v>
      </c>
      <c r="U63" s="2237">
        <f t="shared" si="354"/>
        <v>126187.57608333333</v>
      </c>
      <c r="V63" s="1759">
        <f t="shared" si="354"/>
        <v>132742.77484090909</v>
      </c>
      <c r="W63" s="1642">
        <f t="shared" si="354"/>
        <v>132742.77484090909</v>
      </c>
      <c r="X63" s="1643">
        <f t="shared" si="354"/>
        <v>132742.77484090909</v>
      </c>
      <c r="Y63" s="1759">
        <f t="shared" ref="Y63:AD63" si="355">($C63*Y23*1.05)+$D63*Y23</f>
        <v>137263.8941284091</v>
      </c>
      <c r="Z63" s="1642">
        <f t="shared" si="355"/>
        <v>137263.8941284091</v>
      </c>
      <c r="AA63" s="1643">
        <f t="shared" si="355"/>
        <v>137263.8941284091</v>
      </c>
      <c r="AB63" s="1759">
        <f t="shared" si="355"/>
        <v>137263.8941284091</v>
      </c>
      <c r="AC63" s="1642">
        <f t="shared" si="355"/>
        <v>137263.8941284091</v>
      </c>
      <c r="AD63" s="1643">
        <f t="shared" si="355"/>
        <v>137263.8941284091</v>
      </c>
      <c r="AE63" s="2085">
        <f t="shared" si="344"/>
        <v>1611026.6155242426</v>
      </c>
      <c r="AF63" s="3437">
        <f t="shared" ref="AF63:AK63" si="356">$C63*AF23+$D63*AF23</f>
        <v>133562.17468560606</v>
      </c>
      <c r="AG63" s="1642">
        <f t="shared" si="356"/>
        <v>129465.1754621212</v>
      </c>
      <c r="AH63" s="2237">
        <f t="shared" si="356"/>
        <v>126187.57608333333</v>
      </c>
      <c r="AI63" s="1759">
        <f t="shared" si="356"/>
        <v>132742.77484090909</v>
      </c>
      <c r="AJ63" s="1642">
        <f t="shared" si="356"/>
        <v>132742.77484090909</v>
      </c>
      <c r="AK63" s="1643">
        <f t="shared" si="356"/>
        <v>132742.77484090909</v>
      </c>
      <c r="AL63" s="1759">
        <f t="shared" ref="AL63:AQ63" si="357">($C63*AL23*1.05)+$D63*AL23</f>
        <v>137263.8941284091</v>
      </c>
      <c r="AM63" s="1642">
        <f t="shared" si="357"/>
        <v>137263.8941284091</v>
      </c>
      <c r="AN63" s="1643">
        <f t="shared" si="357"/>
        <v>137263.8941284091</v>
      </c>
      <c r="AO63" s="1759">
        <f t="shared" si="357"/>
        <v>137263.8941284091</v>
      </c>
      <c r="AP63" s="1642">
        <f t="shared" si="357"/>
        <v>137263.8941284091</v>
      </c>
      <c r="AQ63" s="1643">
        <f t="shared" si="357"/>
        <v>137263.8941284091</v>
      </c>
      <c r="AR63" s="2085">
        <f t="shared" si="346"/>
        <v>1611026.6155242426</v>
      </c>
      <c r="AS63" s="3437">
        <f t="shared" ref="AS63:AX63" si="358">$C63*AS23+$D63*AS23</f>
        <v>133562.17468560606</v>
      </c>
      <c r="AT63" s="1642">
        <f t="shared" si="358"/>
        <v>129465.1754621212</v>
      </c>
      <c r="AU63" s="2237">
        <f t="shared" si="358"/>
        <v>126187.57608333333</v>
      </c>
      <c r="AV63" s="1759">
        <f t="shared" si="358"/>
        <v>132742.77484090909</v>
      </c>
      <c r="AW63" s="1642">
        <f t="shared" si="358"/>
        <v>132742.77484090909</v>
      </c>
      <c r="AX63" s="1643">
        <f t="shared" si="358"/>
        <v>132742.77484090909</v>
      </c>
      <c r="AY63" s="1759">
        <f t="shared" ref="AY63:BD63" si="359">($C63*AY23*1.05)+$D63*AY23</f>
        <v>137263.8941284091</v>
      </c>
      <c r="AZ63" s="1642">
        <f t="shared" si="359"/>
        <v>137263.8941284091</v>
      </c>
      <c r="BA63" s="1643">
        <f t="shared" si="359"/>
        <v>137263.8941284091</v>
      </c>
      <c r="BB63" s="1759">
        <f t="shared" si="359"/>
        <v>137263.8941284091</v>
      </c>
      <c r="BC63" s="1642">
        <f t="shared" si="359"/>
        <v>137263.8941284091</v>
      </c>
      <c r="BD63" s="1643">
        <f t="shared" si="359"/>
        <v>137263.8941284091</v>
      </c>
      <c r="BE63" s="1557">
        <f t="shared" si="348"/>
        <v>1611026.6155242426</v>
      </c>
    </row>
    <row r="64" spans="1:57" ht="18" customHeight="1" thickBot="1">
      <c r="A64" s="2239"/>
      <c r="B64" s="2159" t="s">
        <v>355</v>
      </c>
      <c r="C64" s="2160"/>
      <c r="D64" s="2161"/>
      <c r="E64" s="1631">
        <f t="shared" ref="E64" si="360">SUM(E61:E63)</f>
        <v>194</v>
      </c>
      <c r="F64" s="4667">
        <f t="shared" ref="F64:R64" si="361">SUM(F61:F63)</f>
        <v>175042.32258636365</v>
      </c>
      <c r="G64" s="5021">
        <f t="shared" si="361"/>
        <v>175042.32258636365</v>
      </c>
      <c r="H64" s="5662">
        <f t="shared" si="361"/>
        <v>175042.32258636365</v>
      </c>
      <c r="I64" s="4557">
        <f t="shared" si="361"/>
        <v>175042.32258636365</v>
      </c>
      <c r="J64" s="5021">
        <f t="shared" si="361"/>
        <v>175042.32258636365</v>
      </c>
      <c r="K64" s="1816">
        <f t="shared" si="361"/>
        <v>175042.32258636365</v>
      </c>
      <c r="L64" s="1814">
        <f t="shared" si="361"/>
        <v>170866.9522719697</v>
      </c>
      <c r="M64" s="1815">
        <f t="shared" si="361"/>
        <v>170866.9522719697</v>
      </c>
      <c r="N64" s="1816">
        <f t="shared" si="361"/>
        <v>170866.9522719697</v>
      </c>
      <c r="O64" s="1814">
        <f t="shared" si="361"/>
        <v>164186.35976893941</v>
      </c>
      <c r="P64" s="1815">
        <f t="shared" si="361"/>
        <v>164186.35976893941</v>
      </c>
      <c r="Q64" s="1816">
        <f t="shared" si="361"/>
        <v>164186.35976893941</v>
      </c>
      <c r="R64" s="2138">
        <f t="shared" si="361"/>
        <v>2055413.8716409095</v>
      </c>
      <c r="S64" s="3393">
        <f t="shared" ref="S64:AE64" si="362">SUM(S61:S63)</f>
        <v>154507.52953409092</v>
      </c>
      <c r="T64" s="1815">
        <f t="shared" si="362"/>
        <v>150410.53031060606</v>
      </c>
      <c r="U64" s="2159">
        <f t="shared" si="362"/>
        <v>147132.93093181818</v>
      </c>
      <c r="V64" s="1814">
        <f t="shared" si="362"/>
        <v>153688.12968939394</v>
      </c>
      <c r="W64" s="1815">
        <f t="shared" si="362"/>
        <v>153688.12968939394</v>
      </c>
      <c r="X64" s="1816">
        <f t="shared" si="362"/>
        <v>153688.12968939394</v>
      </c>
      <c r="Y64" s="1814">
        <f t="shared" si="362"/>
        <v>158209.24897689396</v>
      </c>
      <c r="Z64" s="1815">
        <f t="shared" si="362"/>
        <v>158209.24897689396</v>
      </c>
      <c r="AA64" s="1816">
        <f t="shared" si="362"/>
        <v>158209.24897689396</v>
      </c>
      <c r="AB64" s="1814">
        <f t="shared" si="362"/>
        <v>158209.24897689396</v>
      </c>
      <c r="AC64" s="1815">
        <f t="shared" si="362"/>
        <v>158209.24897689396</v>
      </c>
      <c r="AD64" s="1816">
        <f t="shared" si="362"/>
        <v>158209.24897689396</v>
      </c>
      <c r="AE64" s="2138">
        <f t="shared" si="362"/>
        <v>1862370.8737060609</v>
      </c>
      <c r="AF64" s="3393">
        <f t="shared" ref="AF64:BE64" si="363">SUM(AF61:AF63)</f>
        <v>154507.52953409092</v>
      </c>
      <c r="AG64" s="1815">
        <f t="shared" si="363"/>
        <v>150410.53031060606</v>
      </c>
      <c r="AH64" s="2159">
        <f t="shared" si="363"/>
        <v>147132.93093181818</v>
      </c>
      <c r="AI64" s="1814">
        <f t="shared" si="363"/>
        <v>153688.12968939394</v>
      </c>
      <c r="AJ64" s="1815">
        <f t="shared" si="363"/>
        <v>153688.12968939394</v>
      </c>
      <c r="AK64" s="1816">
        <f t="shared" si="363"/>
        <v>153688.12968939394</v>
      </c>
      <c r="AL64" s="1814">
        <f t="shared" si="363"/>
        <v>158209.24897689396</v>
      </c>
      <c r="AM64" s="1815">
        <f t="shared" si="363"/>
        <v>158209.24897689396</v>
      </c>
      <c r="AN64" s="1816">
        <f t="shared" si="363"/>
        <v>158209.24897689396</v>
      </c>
      <c r="AO64" s="1814">
        <f t="shared" si="363"/>
        <v>158209.24897689396</v>
      </c>
      <c r="AP64" s="1815">
        <f t="shared" si="363"/>
        <v>158209.24897689396</v>
      </c>
      <c r="AQ64" s="1816">
        <f t="shared" si="363"/>
        <v>158209.24897689396</v>
      </c>
      <c r="AR64" s="2138">
        <f t="shared" si="363"/>
        <v>1862370.8737060609</v>
      </c>
      <c r="AS64" s="3393">
        <f t="shared" si="363"/>
        <v>154507.52953409092</v>
      </c>
      <c r="AT64" s="1815">
        <f t="shared" si="363"/>
        <v>150410.53031060606</v>
      </c>
      <c r="AU64" s="2159">
        <f t="shared" si="363"/>
        <v>147132.93093181818</v>
      </c>
      <c r="AV64" s="1814">
        <f t="shared" si="363"/>
        <v>153688.12968939394</v>
      </c>
      <c r="AW64" s="1815">
        <f t="shared" si="363"/>
        <v>153688.12968939394</v>
      </c>
      <c r="AX64" s="1816">
        <f t="shared" si="363"/>
        <v>153688.12968939394</v>
      </c>
      <c r="AY64" s="1814">
        <f t="shared" si="363"/>
        <v>158209.24897689396</v>
      </c>
      <c r="AZ64" s="1815">
        <f t="shared" si="363"/>
        <v>158209.24897689396</v>
      </c>
      <c r="BA64" s="1816">
        <f t="shared" si="363"/>
        <v>158209.24897689396</v>
      </c>
      <c r="BB64" s="1814">
        <f t="shared" si="363"/>
        <v>158209.24897689396</v>
      </c>
      <c r="BC64" s="1815">
        <f t="shared" si="363"/>
        <v>158209.24897689396</v>
      </c>
      <c r="BD64" s="1816">
        <f t="shared" si="363"/>
        <v>158209.24897689396</v>
      </c>
      <c r="BE64" s="1774">
        <f t="shared" si="363"/>
        <v>1862370.8737060609</v>
      </c>
    </row>
    <row r="65" spans="1:59" ht="18" customHeight="1" thickBot="1">
      <c r="A65" s="7081" t="s">
        <v>1331</v>
      </c>
      <c r="B65" s="7082"/>
      <c r="C65" s="7082"/>
      <c r="D65" s="7082"/>
      <c r="E65" s="1606"/>
      <c r="F65" s="4630"/>
      <c r="G65" s="5012"/>
      <c r="H65" s="5663"/>
      <c r="I65" s="3952"/>
      <c r="J65" s="5012"/>
      <c r="K65" s="1777"/>
      <c r="L65" s="1824"/>
      <c r="M65" s="1776"/>
      <c r="N65" s="1777"/>
      <c r="O65" s="1824"/>
      <c r="P65" s="1776"/>
      <c r="Q65" s="1777"/>
      <c r="R65" s="2143">
        <f>SUM(F65:Q65)</f>
        <v>0</v>
      </c>
      <c r="S65" s="1775"/>
      <c r="T65" s="1776"/>
      <c r="U65" s="1778"/>
      <c r="V65" s="1824"/>
      <c r="W65" s="1776"/>
      <c r="X65" s="1777"/>
      <c r="Y65" s="1824"/>
      <c r="Z65" s="1776"/>
      <c r="AA65" s="1777"/>
      <c r="AB65" s="1824"/>
      <c r="AC65" s="1776"/>
      <c r="AD65" s="1777"/>
      <c r="AE65" s="2143">
        <f>SUM(S65:AD65)</f>
        <v>0</v>
      </c>
      <c r="AF65" s="1775"/>
      <c r="AG65" s="1776"/>
      <c r="AH65" s="1778"/>
      <c r="AI65" s="1824"/>
      <c r="AJ65" s="1776"/>
      <c r="AK65" s="1777"/>
      <c r="AL65" s="1824"/>
      <c r="AM65" s="1776"/>
      <c r="AN65" s="1777"/>
      <c r="AO65" s="1824"/>
      <c r="AP65" s="1776"/>
      <c r="AQ65" s="1777"/>
      <c r="AR65" s="2143">
        <f>SUM(AF65:AQ65)</f>
        <v>0</v>
      </c>
      <c r="AS65" s="1775"/>
      <c r="AT65" s="1776"/>
      <c r="AU65" s="1778"/>
      <c r="AV65" s="1824"/>
      <c r="AW65" s="1776"/>
      <c r="AX65" s="1777"/>
      <c r="AY65" s="1824"/>
      <c r="AZ65" s="1776"/>
      <c r="BA65" s="1777"/>
      <c r="BB65" s="1824"/>
      <c r="BC65" s="1776"/>
      <c r="BD65" s="1777"/>
      <c r="BE65" s="1674">
        <f>SUM(AS65:BD65)</f>
        <v>0</v>
      </c>
    </row>
    <row r="66" spans="1:59" s="2248" customFormat="1" ht="18" customHeight="1" thickBot="1">
      <c r="A66" s="7081" t="s">
        <v>15</v>
      </c>
      <c r="B66" s="7082"/>
      <c r="C66" s="7082"/>
      <c r="D66" s="7082"/>
      <c r="E66" s="2247"/>
      <c r="F66" s="4630">
        <f>F60+F64+F65</f>
        <v>244287.59771136363</v>
      </c>
      <c r="G66" s="5012">
        <f t="shared" ref="G66:Q66" si="364">G60+G64+G65</f>
        <v>244287.59771136363</v>
      </c>
      <c r="H66" s="5663">
        <f t="shared" si="364"/>
        <v>244287.59771136363</v>
      </c>
      <c r="I66" s="3952">
        <f t="shared" si="364"/>
        <v>239635.13484772728</v>
      </c>
      <c r="J66" s="5012">
        <f t="shared" si="364"/>
        <v>239635.13484772728</v>
      </c>
      <c r="K66" s="1777">
        <f t="shared" si="364"/>
        <v>239635.13484772728</v>
      </c>
      <c r="L66" s="1824">
        <f t="shared" si="364"/>
        <v>229028.99070227274</v>
      </c>
      <c r="M66" s="1776">
        <f t="shared" si="364"/>
        <v>229028.99070227274</v>
      </c>
      <c r="N66" s="1777">
        <f t="shared" si="364"/>
        <v>229028.99070227274</v>
      </c>
      <c r="O66" s="1824">
        <f t="shared" si="364"/>
        <v>218471.3458128788</v>
      </c>
      <c r="P66" s="1776">
        <f t="shared" si="364"/>
        <v>218471.3458128788</v>
      </c>
      <c r="Q66" s="1777">
        <f t="shared" si="364"/>
        <v>218471.3458128788</v>
      </c>
      <c r="R66" s="2143">
        <f>R60+R65+R64</f>
        <v>2794269.2072227276</v>
      </c>
      <c r="S66" s="1775">
        <f>S60+S64+S65</f>
        <v>246526.88855075761</v>
      </c>
      <c r="T66" s="1776">
        <f t="shared" ref="T66:AD66" si="365">T60+T64+T65</f>
        <v>241138.26053939393</v>
      </c>
      <c r="U66" s="1778">
        <f t="shared" si="365"/>
        <v>237096.21659242426</v>
      </c>
      <c r="V66" s="1824">
        <f t="shared" si="365"/>
        <v>245180.30448636366</v>
      </c>
      <c r="W66" s="1776">
        <f t="shared" si="365"/>
        <v>245180.30448636366</v>
      </c>
      <c r="X66" s="1777">
        <f t="shared" si="365"/>
        <v>245180.30448636366</v>
      </c>
      <c r="Y66" s="1824">
        <f t="shared" si="365"/>
        <v>249701.42377386364</v>
      </c>
      <c r="Z66" s="1776">
        <f t="shared" si="365"/>
        <v>249701.42377386364</v>
      </c>
      <c r="AA66" s="1777">
        <f t="shared" si="365"/>
        <v>249701.42377386364</v>
      </c>
      <c r="AB66" s="1824">
        <f t="shared" si="365"/>
        <v>249701.42377386364</v>
      </c>
      <c r="AC66" s="1776">
        <f t="shared" si="365"/>
        <v>249701.42377386364</v>
      </c>
      <c r="AD66" s="1777">
        <f t="shared" si="365"/>
        <v>249701.42377386364</v>
      </c>
      <c r="AE66" s="2143">
        <f>AE60+AE65+AE64</f>
        <v>2958510.8217848493</v>
      </c>
      <c r="AF66" s="1775">
        <f>AF60+AF64+AF65</f>
        <v>246526.88855075761</v>
      </c>
      <c r="AG66" s="1776">
        <f t="shared" ref="AG66:AQ66" si="366">AG60+AG64+AG65</f>
        <v>241138.26053939393</v>
      </c>
      <c r="AH66" s="1778">
        <f t="shared" si="366"/>
        <v>237096.21659242426</v>
      </c>
      <c r="AI66" s="1824">
        <f t="shared" si="366"/>
        <v>245180.30448636366</v>
      </c>
      <c r="AJ66" s="1776">
        <f t="shared" si="366"/>
        <v>245180.30448636366</v>
      </c>
      <c r="AK66" s="1777">
        <f t="shared" si="366"/>
        <v>245180.30448636366</v>
      </c>
      <c r="AL66" s="1824">
        <f t="shared" si="366"/>
        <v>249701.42377386364</v>
      </c>
      <c r="AM66" s="1776">
        <f t="shared" si="366"/>
        <v>249701.42377386364</v>
      </c>
      <c r="AN66" s="1777">
        <f t="shared" si="366"/>
        <v>249701.42377386364</v>
      </c>
      <c r="AO66" s="1824">
        <f t="shared" si="366"/>
        <v>249701.42377386364</v>
      </c>
      <c r="AP66" s="1776">
        <f t="shared" si="366"/>
        <v>249701.42377386364</v>
      </c>
      <c r="AQ66" s="1777">
        <f t="shared" si="366"/>
        <v>249701.42377386364</v>
      </c>
      <c r="AR66" s="2143">
        <f>AR60+AR65+AR64</f>
        <v>2958510.8217848493</v>
      </c>
      <c r="AS66" s="1775">
        <f>AS60+AS64+AS65</f>
        <v>246526.88855075761</v>
      </c>
      <c r="AT66" s="1776">
        <f t="shared" ref="AT66:BD66" si="367">AT60+AT64+AT65</f>
        <v>241138.26053939393</v>
      </c>
      <c r="AU66" s="1778">
        <f t="shared" si="367"/>
        <v>237096.21659242426</v>
      </c>
      <c r="AV66" s="1824">
        <f t="shared" si="367"/>
        <v>245180.30448636366</v>
      </c>
      <c r="AW66" s="1776">
        <f t="shared" si="367"/>
        <v>245180.30448636366</v>
      </c>
      <c r="AX66" s="1777">
        <f t="shared" si="367"/>
        <v>245180.30448636366</v>
      </c>
      <c r="AY66" s="1824">
        <f t="shared" si="367"/>
        <v>249701.42377386364</v>
      </c>
      <c r="AZ66" s="1776">
        <f t="shared" si="367"/>
        <v>249701.42377386364</v>
      </c>
      <c r="BA66" s="1777">
        <f t="shared" si="367"/>
        <v>249701.42377386364</v>
      </c>
      <c r="BB66" s="1824">
        <f t="shared" si="367"/>
        <v>249701.42377386364</v>
      </c>
      <c r="BC66" s="1776">
        <f t="shared" si="367"/>
        <v>249701.42377386364</v>
      </c>
      <c r="BD66" s="1777">
        <f t="shared" si="367"/>
        <v>249701.42377386364</v>
      </c>
      <c r="BE66" s="1674">
        <f>BE60+BE65+BE64</f>
        <v>2958510.8217848493</v>
      </c>
      <c r="BF66" s="4091"/>
    </row>
    <row r="67" spans="1:59" s="2250" customFormat="1" ht="18" customHeight="1">
      <c r="A67" s="1922"/>
      <c r="B67" s="1922"/>
      <c r="C67" s="1922"/>
      <c r="D67" s="1922"/>
      <c r="E67" s="2249"/>
      <c r="F67" s="2233"/>
      <c r="G67" s="2233"/>
      <c r="H67" s="2233"/>
      <c r="I67" s="2233"/>
      <c r="J67" s="2233"/>
      <c r="K67" s="1637"/>
      <c r="L67" s="1637"/>
      <c r="M67" s="1637"/>
      <c r="N67" s="1637"/>
      <c r="O67" s="1637"/>
      <c r="P67" s="1637"/>
      <c r="Q67" s="1637"/>
      <c r="R67" s="4" t="b">
        <f>R66=SUM(F66:Q66)</f>
        <v>1</v>
      </c>
      <c r="S67" s="1637"/>
      <c r="T67" s="1637"/>
      <c r="U67" s="1637"/>
      <c r="V67" s="1637"/>
      <c r="W67" s="1637"/>
      <c r="X67" s="1637"/>
      <c r="Y67" s="1637"/>
      <c r="Z67" s="1637"/>
      <c r="AA67" s="1637"/>
      <c r="AB67" s="1637"/>
      <c r="AC67" s="1637"/>
      <c r="AD67" s="1637"/>
      <c r="AE67" s="4" t="b">
        <f>AE66=SUM(S66:AD66)</f>
        <v>1</v>
      </c>
      <c r="AF67" s="1637"/>
      <c r="AG67" s="1637"/>
      <c r="AH67" s="1637"/>
      <c r="AI67" s="1637"/>
      <c r="AJ67" s="1637"/>
      <c r="AK67" s="1637"/>
      <c r="AL67" s="1637"/>
      <c r="AM67" s="1637"/>
      <c r="AN67" s="1637"/>
      <c r="AO67" s="1637"/>
      <c r="AP67" s="1637"/>
      <c r="AQ67" s="1637"/>
      <c r="AR67" s="4" t="b">
        <f>AR66=SUM(AF66:AQ66)</f>
        <v>1</v>
      </c>
      <c r="AS67" s="1637"/>
      <c r="AT67" s="1637"/>
      <c r="AU67" s="1637"/>
      <c r="AV67" s="1637"/>
      <c r="AW67" s="1637"/>
      <c r="AX67" s="1637"/>
      <c r="AY67" s="1637"/>
      <c r="AZ67" s="1637"/>
      <c r="BA67" s="1637"/>
      <c r="BB67" s="1637"/>
      <c r="BC67" s="1637"/>
      <c r="BD67" s="1637"/>
      <c r="BE67" s="1613" t="b">
        <f>BE66=SUM(AS66:BD66)</f>
        <v>1</v>
      </c>
    </row>
    <row r="68" spans="1:59" ht="18" customHeight="1" thickBot="1">
      <c r="A68" s="1538" t="s">
        <v>973</v>
      </c>
      <c r="B68" s="2251"/>
      <c r="C68" s="1895"/>
      <c r="D68" s="1895"/>
      <c r="E68" s="2252"/>
      <c r="F68" s="4677" t="s">
        <v>1321</v>
      </c>
      <c r="G68" s="5423">
        <v>5.6000000000000001E-2</v>
      </c>
      <c r="H68" s="2233" t="s">
        <v>1553</v>
      </c>
      <c r="I68" s="2233"/>
      <c r="J68" s="2233"/>
      <c r="K68" s="1637"/>
      <c r="L68" s="1637"/>
      <c r="M68" s="1637"/>
      <c r="N68" s="1637"/>
      <c r="O68" s="1637"/>
      <c r="P68" s="1637"/>
      <c r="Q68" s="1637"/>
      <c r="R68" s="1637"/>
      <c r="S68" s="1637"/>
      <c r="T68" s="1637"/>
      <c r="U68" s="1637"/>
      <c r="V68" s="1637"/>
      <c r="W68" s="1637"/>
      <c r="X68" s="1637"/>
      <c r="Y68" s="1637"/>
      <c r="Z68" s="1637"/>
      <c r="AA68" s="1637"/>
      <c r="AB68" s="1637"/>
      <c r="AC68" s="1637"/>
      <c r="AD68" s="1637"/>
      <c r="AE68" s="1637"/>
      <c r="AF68" s="1637"/>
      <c r="AG68" s="1637"/>
      <c r="AH68" s="1637"/>
      <c r="AI68" s="1637"/>
      <c r="AJ68" s="1637"/>
      <c r="AK68" s="1637"/>
      <c r="AL68" s="1637"/>
      <c r="AM68" s="1637"/>
      <c r="AN68" s="1637"/>
      <c r="AO68" s="1637"/>
      <c r="AP68" s="1637"/>
      <c r="AQ68" s="1637"/>
      <c r="AR68" s="1637"/>
      <c r="AS68" s="1637"/>
      <c r="AT68" s="1637"/>
      <c r="AU68" s="1637"/>
      <c r="AV68" s="1637"/>
      <c r="AW68" s="1637"/>
      <c r="AX68" s="1637"/>
      <c r="AY68" s="1637"/>
      <c r="AZ68" s="1637"/>
      <c r="BA68" s="1637"/>
      <c r="BB68" s="1637"/>
      <c r="BC68" s="1637"/>
      <c r="BD68" s="1637"/>
      <c r="BE68" s="1637"/>
    </row>
    <row r="69" spans="1:59" ht="22.5" customHeight="1" thickBot="1">
      <c r="A69" s="81" t="s">
        <v>111</v>
      </c>
      <c r="B69" s="65" t="s">
        <v>123</v>
      </c>
      <c r="C69" s="72" t="s">
        <v>839</v>
      </c>
      <c r="D69" s="72" t="s">
        <v>835</v>
      </c>
      <c r="E69" s="2253" t="s">
        <v>1416</v>
      </c>
      <c r="F69" s="4490" t="str">
        <f t="shared" ref="F69:Q69" si="368">F4</f>
        <v>Jan.26</v>
      </c>
      <c r="G69" s="5005" t="str">
        <f t="shared" si="368"/>
        <v>Feb.26</v>
      </c>
      <c r="H69" s="5553" t="str">
        <f t="shared" si="368"/>
        <v>Mar.26</v>
      </c>
      <c r="I69" s="4490" t="str">
        <f t="shared" si="368"/>
        <v>Apr.26</v>
      </c>
      <c r="J69" s="5005" t="str">
        <f t="shared" si="368"/>
        <v>May.26</v>
      </c>
      <c r="K69" s="1843" t="str">
        <f t="shared" si="368"/>
        <v>Jun.26</v>
      </c>
      <c r="L69" s="1841" t="str">
        <f t="shared" si="368"/>
        <v>Jul.26</v>
      </c>
      <c r="M69" s="1842" t="str">
        <f t="shared" si="368"/>
        <v>Aug.26</v>
      </c>
      <c r="N69" s="1843" t="str">
        <f t="shared" si="368"/>
        <v>Sep.26</v>
      </c>
      <c r="O69" s="1841" t="str">
        <f t="shared" si="368"/>
        <v>Oct.26</v>
      </c>
      <c r="P69" s="1842" t="str">
        <f t="shared" si="368"/>
        <v>Nov.26</v>
      </c>
      <c r="Q69" s="1843" t="str">
        <f t="shared" si="368"/>
        <v>Dec.26</v>
      </c>
      <c r="R69" s="3480" t="s">
        <v>15</v>
      </c>
      <c r="S69" s="1841" t="e">
        <f t="shared" ref="S69:AD69" si="369">S4</f>
        <v>#REF!</v>
      </c>
      <c r="T69" s="1842" t="e">
        <f t="shared" si="369"/>
        <v>#REF!</v>
      </c>
      <c r="U69" s="27" t="e">
        <f t="shared" si="369"/>
        <v>#REF!</v>
      </c>
      <c r="V69" s="1841" t="e">
        <f t="shared" si="369"/>
        <v>#REF!</v>
      </c>
      <c r="W69" s="1842" t="e">
        <f t="shared" si="369"/>
        <v>#REF!</v>
      </c>
      <c r="X69" s="1843" t="e">
        <f t="shared" si="369"/>
        <v>#REF!</v>
      </c>
      <c r="Y69" s="1841" t="e">
        <f t="shared" si="369"/>
        <v>#REF!</v>
      </c>
      <c r="Z69" s="1842" t="e">
        <f t="shared" si="369"/>
        <v>#REF!</v>
      </c>
      <c r="AA69" s="1843" t="e">
        <f t="shared" si="369"/>
        <v>#REF!</v>
      </c>
      <c r="AB69" s="1841" t="e">
        <f t="shared" si="369"/>
        <v>#REF!</v>
      </c>
      <c r="AC69" s="1842" t="e">
        <f t="shared" si="369"/>
        <v>#REF!</v>
      </c>
      <c r="AD69" s="1843" t="e">
        <f t="shared" si="369"/>
        <v>#REF!</v>
      </c>
      <c r="AE69" s="3480" t="s">
        <v>15</v>
      </c>
      <c r="AF69" s="1841" t="e">
        <f t="shared" ref="AF69:AQ69" si="370">AF4</f>
        <v>#REF!</v>
      </c>
      <c r="AG69" s="1842" t="e">
        <f t="shared" si="370"/>
        <v>#REF!</v>
      </c>
      <c r="AH69" s="27" t="e">
        <f t="shared" si="370"/>
        <v>#REF!</v>
      </c>
      <c r="AI69" s="1841" t="e">
        <f t="shared" si="370"/>
        <v>#REF!</v>
      </c>
      <c r="AJ69" s="1842" t="e">
        <f t="shared" si="370"/>
        <v>#REF!</v>
      </c>
      <c r="AK69" s="1843" t="e">
        <f t="shared" si="370"/>
        <v>#REF!</v>
      </c>
      <c r="AL69" s="1841" t="e">
        <f t="shared" si="370"/>
        <v>#REF!</v>
      </c>
      <c r="AM69" s="1842" t="e">
        <f t="shared" si="370"/>
        <v>#REF!</v>
      </c>
      <c r="AN69" s="1843" t="e">
        <f t="shared" si="370"/>
        <v>#REF!</v>
      </c>
      <c r="AO69" s="1841" t="e">
        <f t="shared" si="370"/>
        <v>#REF!</v>
      </c>
      <c r="AP69" s="1842" t="e">
        <f t="shared" si="370"/>
        <v>#REF!</v>
      </c>
      <c r="AQ69" s="1843" t="e">
        <f t="shared" si="370"/>
        <v>#REF!</v>
      </c>
      <c r="AR69" s="3480" t="s">
        <v>15</v>
      </c>
      <c r="AS69" s="1841" t="e">
        <f t="shared" ref="AS69:BD69" si="371">AS4</f>
        <v>#REF!</v>
      </c>
      <c r="AT69" s="1842" t="e">
        <f t="shared" si="371"/>
        <v>#REF!</v>
      </c>
      <c r="AU69" s="27" t="e">
        <f t="shared" si="371"/>
        <v>#REF!</v>
      </c>
      <c r="AV69" s="1841" t="e">
        <f t="shared" si="371"/>
        <v>#REF!</v>
      </c>
      <c r="AW69" s="1842" t="e">
        <f t="shared" si="371"/>
        <v>#REF!</v>
      </c>
      <c r="AX69" s="1843" t="e">
        <f t="shared" si="371"/>
        <v>#REF!</v>
      </c>
      <c r="AY69" s="1841" t="e">
        <f t="shared" si="371"/>
        <v>#REF!</v>
      </c>
      <c r="AZ69" s="1842" t="e">
        <f t="shared" si="371"/>
        <v>#REF!</v>
      </c>
      <c r="BA69" s="1540" t="e">
        <f t="shared" si="371"/>
        <v>#REF!</v>
      </c>
      <c r="BB69" s="1539" t="e">
        <f t="shared" si="371"/>
        <v>#REF!</v>
      </c>
      <c r="BC69" s="74" t="e">
        <f t="shared" si="371"/>
        <v>#REF!</v>
      </c>
      <c r="BD69" s="1540" t="e">
        <f t="shared" si="371"/>
        <v>#REF!</v>
      </c>
      <c r="BE69" s="2254" t="s">
        <v>15</v>
      </c>
    </row>
    <row r="70" spans="1:59" ht="30" customHeight="1">
      <c r="A70" s="60" t="s">
        <v>821</v>
      </c>
      <c r="B70" s="2000" t="s">
        <v>797</v>
      </c>
      <c r="C70" s="4165">
        <f>$C$75</f>
        <v>266</v>
      </c>
      <c r="D70" s="2255">
        <f>D71</f>
        <v>233.74656410256404</v>
      </c>
      <c r="E70" s="4092">
        <f>C70*($G$68+1)</f>
        <v>280.89600000000002</v>
      </c>
      <c r="F70" s="4551">
        <f>($C$70+$D$70)*F122</f>
        <v>5497.212205128204</v>
      </c>
      <c r="G70" s="5006">
        <f>($C$70+$D$70)*G122</f>
        <v>5497.212205128204</v>
      </c>
      <c r="H70" s="5664">
        <f t="shared" ref="H70:Q70" si="372">($E$70+$D$70)*H122</f>
        <v>5661.0682051282047</v>
      </c>
      <c r="I70" s="4576">
        <f t="shared" si="372"/>
        <v>5661.0682051282047</v>
      </c>
      <c r="J70" s="5006">
        <f t="shared" si="372"/>
        <v>5661.0682051282047</v>
      </c>
      <c r="K70" s="1643">
        <f t="shared" si="372"/>
        <v>5661.0682051282047</v>
      </c>
      <c r="L70" s="1759">
        <f t="shared" si="372"/>
        <v>5661.0682051282047</v>
      </c>
      <c r="M70" s="1642">
        <f t="shared" si="372"/>
        <v>5661.0682051282047</v>
      </c>
      <c r="N70" s="1643">
        <f t="shared" si="372"/>
        <v>5661.0682051282047</v>
      </c>
      <c r="O70" s="1759">
        <f t="shared" si="372"/>
        <v>5661.0682051282047</v>
      </c>
      <c r="P70" s="1642">
        <f t="shared" si="372"/>
        <v>5661.0682051282047</v>
      </c>
      <c r="Q70" s="1643">
        <f t="shared" si="372"/>
        <v>5661.0682051282047</v>
      </c>
      <c r="R70" s="2480">
        <f t="shared" ref="R70:R74" si="373">SUM(F70:Q70)</f>
        <v>67605.106461538453</v>
      </c>
      <c r="S70" s="1759" t="e">
        <f>($C$70+$D$70)*#REF!</f>
        <v>#REF!</v>
      </c>
      <c r="T70" s="1642" t="e">
        <f>($C$70+$D$70)*#REF!</f>
        <v>#REF!</v>
      </c>
      <c r="U70" s="1818" t="e">
        <f>($C$70+$D$70)*#REF!</f>
        <v>#REF!</v>
      </c>
      <c r="V70" s="1644" t="e">
        <f>($C$70+$D$70)*#REF!</f>
        <v>#REF!</v>
      </c>
      <c r="W70" s="1642" t="e">
        <f>($C$70+$D$70)*#REF!</f>
        <v>#REF!</v>
      </c>
      <c r="X70" s="1643" t="e">
        <f>($C$70+$D$70)*#REF!</f>
        <v>#REF!</v>
      </c>
      <c r="Y70" s="1759" t="e">
        <f>($C$70+$D$70)*#REF!</f>
        <v>#REF!</v>
      </c>
      <c r="Z70" s="1642" t="e">
        <f>($C$70+$D$70)*#REF!</f>
        <v>#REF!</v>
      </c>
      <c r="AA70" s="1643" t="e">
        <f>($C$70+$D$70)*#REF!</f>
        <v>#REF!</v>
      </c>
      <c r="AB70" s="1759" t="e">
        <f>($C$70+$D$70)*#REF!</f>
        <v>#REF!</v>
      </c>
      <c r="AC70" s="1642" t="e">
        <f>($C$70+$D$70)*#REF!</f>
        <v>#REF!</v>
      </c>
      <c r="AD70" s="1643" t="e">
        <f>($C$70+$D$70)*#REF!</f>
        <v>#REF!</v>
      </c>
      <c r="AE70" s="2480" t="e">
        <f t="shared" ref="AE70:AE74" si="374">SUM(S70:AD70)</f>
        <v>#REF!</v>
      </c>
      <c r="AF70" s="1759" t="e">
        <f>($C$70+$D$70)*#REF!</f>
        <v>#REF!</v>
      </c>
      <c r="AG70" s="1642" t="e">
        <f>($C$70+$D$70)*#REF!</f>
        <v>#REF!</v>
      </c>
      <c r="AH70" s="1818" t="e">
        <f>($C$70+$D$70)*#REF!</f>
        <v>#REF!</v>
      </c>
      <c r="AI70" s="1644" t="e">
        <f>($C$70+$D$70)*#REF!</f>
        <v>#REF!</v>
      </c>
      <c r="AJ70" s="1642" t="e">
        <f>($C$70+$D$70)*#REF!</f>
        <v>#REF!</v>
      </c>
      <c r="AK70" s="1643" t="e">
        <f>($C$70+$D$70)*#REF!</f>
        <v>#REF!</v>
      </c>
      <c r="AL70" s="1759" t="e">
        <f>($C$70+$D$70)*#REF!</f>
        <v>#REF!</v>
      </c>
      <c r="AM70" s="1642" t="e">
        <f>($C$70+$D$70)*#REF!</f>
        <v>#REF!</v>
      </c>
      <c r="AN70" s="1643" t="e">
        <f>($C$70+$D$70)*#REF!</f>
        <v>#REF!</v>
      </c>
      <c r="AO70" s="1759" t="e">
        <f>($C$70+$D$70)*#REF!</f>
        <v>#REF!</v>
      </c>
      <c r="AP70" s="1642" t="e">
        <f>($C$70+$D$70)*#REF!</f>
        <v>#REF!</v>
      </c>
      <c r="AQ70" s="1643" t="e">
        <f>($C$70+$D$70)*#REF!</f>
        <v>#REF!</v>
      </c>
      <c r="AR70" s="2480" t="e">
        <f t="shared" ref="AR70:AR74" si="375">SUM(AF70:AQ70)</f>
        <v>#REF!</v>
      </c>
      <c r="AS70" s="1759" t="e">
        <f>($C$70+$D$70)*#REF!</f>
        <v>#REF!</v>
      </c>
      <c r="AT70" s="1642" t="e">
        <f>($C$70+$D$70)*#REF!</f>
        <v>#REF!</v>
      </c>
      <c r="AU70" s="1818" t="e">
        <f>($C$70+$D$70)*#REF!</f>
        <v>#REF!</v>
      </c>
      <c r="AV70" s="1644" t="e">
        <f>($C$70+$D$70)*#REF!</f>
        <v>#REF!</v>
      </c>
      <c r="AW70" s="1642" t="e">
        <f>($C$70+$D$70)*#REF!</f>
        <v>#REF!</v>
      </c>
      <c r="AX70" s="1643" t="e">
        <f>($C$70+$D$70)*#REF!</f>
        <v>#REF!</v>
      </c>
      <c r="AY70" s="1759" t="e">
        <f>($C$70+$D$70)*#REF!</f>
        <v>#REF!</v>
      </c>
      <c r="AZ70" s="1642" t="e">
        <f>($C$70+$D$70)*#REF!</f>
        <v>#REF!</v>
      </c>
      <c r="BA70" s="1643" t="e">
        <f>($C$70+$D$70)*#REF!</f>
        <v>#REF!</v>
      </c>
      <c r="BB70" s="1759" t="e">
        <f>($C$70+$D$70)*#REF!</f>
        <v>#REF!</v>
      </c>
      <c r="BC70" s="1642" t="e">
        <f>($C$70+$D$70)*#REF!</f>
        <v>#REF!</v>
      </c>
      <c r="BD70" s="1643" t="e">
        <f>($C$70+$D$70)*#REF!</f>
        <v>#REF!</v>
      </c>
      <c r="BE70" s="1545" t="e">
        <f t="shared" ref="BE70:BE74" si="376">SUM(AS70:BD70)</f>
        <v>#REF!</v>
      </c>
      <c r="BG70" s="4544"/>
    </row>
    <row r="71" spans="1:59" ht="30" customHeight="1">
      <c r="A71" s="2000"/>
      <c r="B71" s="2000" t="s">
        <v>786</v>
      </c>
      <c r="C71" s="2156">
        <f>$C$75</f>
        <v>266</v>
      </c>
      <c r="D71" s="2256">
        <f>D72</f>
        <v>233.74656410256404</v>
      </c>
      <c r="E71" s="2256">
        <f t="shared" ref="E71:E74" si="377">C71*($G$68+1)</f>
        <v>280.89600000000002</v>
      </c>
      <c r="F71" s="4551">
        <f>($C$71+$D$71)*F123</f>
        <v>37980.738871794863</v>
      </c>
      <c r="G71" s="5006">
        <f>($C$71+$D$71)*G123</f>
        <v>36483.836246332758</v>
      </c>
      <c r="H71" s="5664">
        <f t="shared" ref="H71:Q71" si="378">($E$71+$D$71)*H123</f>
        <v>36808.320248305499</v>
      </c>
      <c r="I71" s="4576">
        <f t="shared" si="378"/>
        <v>35430.226277254951</v>
      </c>
      <c r="J71" s="5006">
        <f t="shared" si="378"/>
        <v>35276.773867892829</v>
      </c>
      <c r="K71" s="1643">
        <f t="shared" si="378"/>
        <v>35139.344024280261</v>
      </c>
      <c r="L71" s="1759">
        <f t="shared" si="378"/>
        <v>35293.736793511031</v>
      </c>
      <c r="M71" s="1642">
        <f t="shared" si="378"/>
        <v>34444.5765627418</v>
      </c>
      <c r="N71" s="1643">
        <f t="shared" si="378"/>
        <v>33981.398255049484</v>
      </c>
      <c r="O71" s="1759">
        <f t="shared" si="378"/>
        <v>33441.023562741793</v>
      </c>
      <c r="P71" s="1642">
        <f t="shared" si="378"/>
        <v>33595.416331972563</v>
      </c>
      <c r="Q71" s="1643">
        <f t="shared" si="378"/>
        <v>33132.238024280254</v>
      </c>
      <c r="R71" s="2085">
        <f t="shared" si="373"/>
        <v>421007.62906615814</v>
      </c>
      <c r="S71" s="1759" t="e">
        <f>($C$71+$D$71)*#REF!</f>
        <v>#REF!</v>
      </c>
      <c r="T71" s="1642" t="e">
        <f>($C$71+$D$71)*#REF!</f>
        <v>#REF!</v>
      </c>
      <c r="U71" s="1818" t="e">
        <f>($C$71+$D$71)*#REF!</f>
        <v>#REF!</v>
      </c>
      <c r="V71" s="1644" t="e">
        <f>($C$71+$D$71)*#REF!</f>
        <v>#REF!</v>
      </c>
      <c r="W71" s="1642" t="e">
        <f>($C$71+$D$71)*#REF!</f>
        <v>#REF!</v>
      </c>
      <c r="X71" s="1643" t="e">
        <f>($C$71+$D$71)*#REF!</f>
        <v>#REF!</v>
      </c>
      <c r="Y71" s="1759" t="e">
        <f>($C$71+$D$71)*#REF!</f>
        <v>#REF!</v>
      </c>
      <c r="Z71" s="1642" t="e">
        <f>($C$71+$D$71)*#REF!</f>
        <v>#REF!</v>
      </c>
      <c r="AA71" s="1643" t="e">
        <f>($C$71+$D$71)*#REF!</f>
        <v>#REF!</v>
      </c>
      <c r="AB71" s="1759" t="e">
        <f>($C$71+$D$71)*#REF!</f>
        <v>#REF!</v>
      </c>
      <c r="AC71" s="1642" t="e">
        <f>($C$71+$D$71)*#REF!</f>
        <v>#REF!</v>
      </c>
      <c r="AD71" s="1643" t="e">
        <f>($C$71+$D$71)*#REF!</f>
        <v>#REF!</v>
      </c>
      <c r="AE71" s="2085" t="e">
        <f t="shared" si="374"/>
        <v>#REF!</v>
      </c>
      <c r="AF71" s="1759" t="e">
        <f>($C$71+$D$71)*#REF!</f>
        <v>#REF!</v>
      </c>
      <c r="AG71" s="1642" t="e">
        <f>($C$71+$D$71)*#REF!</f>
        <v>#REF!</v>
      </c>
      <c r="AH71" s="1818" t="e">
        <f>($C$71+$D$71)*#REF!</f>
        <v>#REF!</v>
      </c>
      <c r="AI71" s="1644" t="e">
        <f>($C$71+$D$71)*#REF!</f>
        <v>#REF!</v>
      </c>
      <c r="AJ71" s="1642" t="e">
        <f>($C$71+$D$71)*#REF!</f>
        <v>#REF!</v>
      </c>
      <c r="AK71" s="1643" t="e">
        <f>($C$71+$D$71)*#REF!</f>
        <v>#REF!</v>
      </c>
      <c r="AL71" s="1759" t="e">
        <f>($C$71+$D$71)*#REF!</f>
        <v>#REF!</v>
      </c>
      <c r="AM71" s="1642" t="e">
        <f>($C$71+$D$71)*#REF!</f>
        <v>#REF!</v>
      </c>
      <c r="AN71" s="1643" t="e">
        <f>($C$71+$D$71)*#REF!</f>
        <v>#REF!</v>
      </c>
      <c r="AO71" s="1759" t="e">
        <f>($C$71+$D$71)*#REF!</f>
        <v>#REF!</v>
      </c>
      <c r="AP71" s="1642" t="e">
        <f>($C$71+$D$71)*#REF!</f>
        <v>#REF!</v>
      </c>
      <c r="AQ71" s="1643" t="e">
        <f>($C$71+$D$71)*#REF!</f>
        <v>#REF!</v>
      </c>
      <c r="AR71" s="2085" t="e">
        <f t="shared" si="375"/>
        <v>#REF!</v>
      </c>
      <c r="AS71" s="1759" t="e">
        <f>($C$71+$D$71)*#REF!</f>
        <v>#REF!</v>
      </c>
      <c r="AT71" s="1642" t="e">
        <f>($C$71+$D$71)*#REF!</f>
        <v>#REF!</v>
      </c>
      <c r="AU71" s="1818" t="e">
        <f>($C$71+$D$71)*#REF!</f>
        <v>#REF!</v>
      </c>
      <c r="AV71" s="1644" t="e">
        <f>($C$71+$D$71)*#REF!</f>
        <v>#REF!</v>
      </c>
      <c r="AW71" s="1642" t="e">
        <f>($C$71+$D$71)*#REF!</f>
        <v>#REF!</v>
      </c>
      <c r="AX71" s="1643" t="e">
        <f>($C$71+$D$71)*#REF!</f>
        <v>#REF!</v>
      </c>
      <c r="AY71" s="1759" t="e">
        <f>($C$71+$D$71)*#REF!</f>
        <v>#REF!</v>
      </c>
      <c r="AZ71" s="1642" t="e">
        <f>($C$71+$D$71)*#REF!</f>
        <v>#REF!</v>
      </c>
      <c r="BA71" s="1643" t="e">
        <f>($C$71+$D$71)*#REF!</f>
        <v>#REF!</v>
      </c>
      <c r="BB71" s="1759" t="e">
        <f>($C$71+$D$71)*#REF!</f>
        <v>#REF!</v>
      </c>
      <c r="BC71" s="1642" t="e">
        <f>($C$71+$D$71)*#REF!</f>
        <v>#REF!</v>
      </c>
      <c r="BD71" s="1643" t="e">
        <f>($C$71+$D$71)*#REF!</f>
        <v>#REF!</v>
      </c>
      <c r="BE71" s="1557" t="e">
        <f t="shared" si="376"/>
        <v>#REF!</v>
      </c>
    </row>
    <row r="72" spans="1:59" ht="30" customHeight="1">
      <c r="A72" s="2000"/>
      <c r="B72" s="2000" t="s">
        <v>785</v>
      </c>
      <c r="C72" s="2156">
        <f>$C$75</f>
        <v>266</v>
      </c>
      <c r="D72" s="2256">
        <f>D73</f>
        <v>233.74656410256404</v>
      </c>
      <c r="E72" s="2256">
        <f t="shared" si="377"/>
        <v>280.89600000000002</v>
      </c>
      <c r="F72" s="4551">
        <f>($C$72+$D$72)*F124</f>
        <v>102448.04564102563</v>
      </c>
      <c r="G72" s="5006">
        <f>($C$72+$D$72)*G124</f>
        <v>98955.2728482807</v>
      </c>
      <c r="H72" s="5664">
        <f t="shared" ref="H72:Q72" si="379">($E$72+$D$72)*H124</f>
        <v>100124.52485288375</v>
      </c>
      <c r="I72" s="4576">
        <f t="shared" si="379"/>
        <v>96449.60759674896</v>
      </c>
      <c r="J72" s="5006">
        <f t="shared" si="379"/>
        <v>96040.401171783305</v>
      </c>
      <c r="K72" s="1643">
        <f t="shared" si="379"/>
        <v>95673.921588816462</v>
      </c>
      <c r="L72" s="1759">
        <f t="shared" si="379"/>
        <v>96085.63564009851</v>
      </c>
      <c r="M72" s="1642">
        <f t="shared" si="379"/>
        <v>93821.208358047224</v>
      </c>
      <c r="N72" s="1643">
        <f t="shared" si="379"/>
        <v>92586.066204201066</v>
      </c>
      <c r="O72" s="1759">
        <f t="shared" si="379"/>
        <v>91145.067024713891</v>
      </c>
      <c r="P72" s="1642">
        <f t="shared" si="379"/>
        <v>91556.781075995939</v>
      </c>
      <c r="Q72" s="1643">
        <f t="shared" si="379"/>
        <v>90321.638922149781</v>
      </c>
      <c r="R72" s="2085">
        <f t="shared" si="373"/>
        <v>1145208.170924745</v>
      </c>
      <c r="S72" s="1759" t="e">
        <f>($C$72+$D$72)*#REF!</f>
        <v>#REF!</v>
      </c>
      <c r="T72" s="1642" t="e">
        <f>($C$72+$D$72)*#REF!</f>
        <v>#REF!</v>
      </c>
      <c r="U72" s="1818" t="e">
        <f>($C$72+$D$72)*#REF!</f>
        <v>#REF!</v>
      </c>
      <c r="V72" s="1644" t="e">
        <f>($C$72+$D$72)*#REF!</f>
        <v>#REF!</v>
      </c>
      <c r="W72" s="1642" t="e">
        <f>($C$72+$D$72)*#REF!</f>
        <v>#REF!</v>
      </c>
      <c r="X72" s="1643" t="e">
        <f>($C$72+$D$72)*#REF!</f>
        <v>#REF!</v>
      </c>
      <c r="Y72" s="1759" t="e">
        <f>($C$72+$D$72)*#REF!</f>
        <v>#REF!</v>
      </c>
      <c r="Z72" s="1642" t="e">
        <f>($C$72+$D$72)*#REF!</f>
        <v>#REF!</v>
      </c>
      <c r="AA72" s="1643" t="e">
        <f>($C$72+$D$72)*#REF!</f>
        <v>#REF!</v>
      </c>
      <c r="AB72" s="1759" t="e">
        <f>($C$72+$D$72)*#REF!</f>
        <v>#REF!</v>
      </c>
      <c r="AC72" s="1642" t="e">
        <f>($C$72+$D$72)*#REF!</f>
        <v>#REF!</v>
      </c>
      <c r="AD72" s="1643" t="e">
        <f>($C$72+$D$72)*#REF!</f>
        <v>#REF!</v>
      </c>
      <c r="AE72" s="2085" t="e">
        <f t="shared" si="374"/>
        <v>#REF!</v>
      </c>
      <c r="AF72" s="1759" t="e">
        <f>($C$72+$D$72)*#REF!</f>
        <v>#REF!</v>
      </c>
      <c r="AG72" s="1642" t="e">
        <f>($C$72+$D$72)*#REF!</f>
        <v>#REF!</v>
      </c>
      <c r="AH72" s="1818" t="e">
        <f>($C$72+$D$72)*#REF!</f>
        <v>#REF!</v>
      </c>
      <c r="AI72" s="1644" t="e">
        <f>($C$72+$D$72)*#REF!</f>
        <v>#REF!</v>
      </c>
      <c r="AJ72" s="1642" t="e">
        <f>($C$72+$D$72)*#REF!</f>
        <v>#REF!</v>
      </c>
      <c r="AK72" s="1643" t="e">
        <f>($C$72+$D$72)*#REF!</f>
        <v>#REF!</v>
      </c>
      <c r="AL72" s="1759" t="e">
        <f>($C$72+$D$72)*#REF!</f>
        <v>#REF!</v>
      </c>
      <c r="AM72" s="1642" t="e">
        <f>($C$72+$D$72)*#REF!</f>
        <v>#REF!</v>
      </c>
      <c r="AN72" s="1643" t="e">
        <f>($C$72+$D$72)*#REF!</f>
        <v>#REF!</v>
      </c>
      <c r="AO72" s="1759" t="e">
        <f>($C$72+$D$72)*#REF!</f>
        <v>#REF!</v>
      </c>
      <c r="AP72" s="1642" t="e">
        <f>($C$72+$D$72)*#REF!</f>
        <v>#REF!</v>
      </c>
      <c r="AQ72" s="1643" t="e">
        <f>($C$72+$D$72)*#REF!</f>
        <v>#REF!</v>
      </c>
      <c r="AR72" s="2085" t="e">
        <f t="shared" si="375"/>
        <v>#REF!</v>
      </c>
      <c r="AS72" s="1759" t="e">
        <f>($C$72+$D$72)*#REF!</f>
        <v>#REF!</v>
      </c>
      <c r="AT72" s="1642" t="e">
        <f>($C$72+$D$72)*#REF!</f>
        <v>#REF!</v>
      </c>
      <c r="AU72" s="1818" t="e">
        <f>($C$72+$D$72)*#REF!</f>
        <v>#REF!</v>
      </c>
      <c r="AV72" s="1644" t="e">
        <f>($C$72+$D$72)*#REF!</f>
        <v>#REF!</v>
      </c>
      <c r="AW72" s="1642" t="e">
        <f>($C$72+$D$72)*#REF!</f>
        <v>#REF!</v>
      </c>
      <c r="AX72" s="1643" t="e">
        <f>($C$72+$D$72)*#REF!</f>
        <v>#REF!</v>
      </c>
      <c r="AY72" s="1759" t="e">
        <f>($C$72+$D$72)*#REF!</f>
        <v>#REF!</v>
      </c>
      <c r="AZ72" s="1642" t="e">
        <f>($C$72+$D$72)*#REF!</f>
        <v>#REF!</v>
      </c>
      <c r="BA72" s="1643" t="e">
        <f>($C$72+$D$72)*#REF!</f>
        <v>#REF!</v>
      </c>
      <c r="BB72" s="1759" t="e">
        <f>($C$72+$D$72)*#REF!</f>
        <v>#REF!</v>
      </c>
      <c r="BC72" s="1642" t="e">
        <f>($C$72+$D$72)*#REF!</f>
        <v>#REF!</v>
      </c>
      <c r="BD72" s="1643" t="e">
        <f>($C$72+$D$72)*#REF!</f>
        <v>#REF!</v>
      </c>
      <c r="BE72" s="1557" t="e">
        <f t="shared" si="376"/>
        <v>#REF!</v>
      </c>
    </row>
    <row r="73" spans="1:59" ht="30" customHeight="1">
      <c r="A73" s="2000"/>
      <c r="B73" s="2000" t="s">
        <v>784</v>
      </c>
      <c r="C73" s="2156">
        <f>$C$75</f>
        <v>266</v>
      </c>
      <c r="D73" s="2256">
        <f>D74</f>
        <v>233.74656410256404</v>
      </c>
      <c r="E73" s="2256">
        <f t="shared" si="377"/>
        <v>280.89600000000002</v>
      </c>
      <c r="F73" s="4551">
        <f>($C$73+$D$73)*F125</f>
        <v>106945.76471794871</v>
      </c>
      <c r="G73" s="5006">
        <f>($C$73+$D$73)*G125</f>
        <v>102954.02438338308</v>
      </c>
      <c r="H73" s="5664">
        <f t="shared" ref="H73:Q73" si="380">($E$73+$D$73)*H125</f>
        <v>103988.1363886437</v>
      </c>
      <c r="I73" s="4576">
        <f t="shared" si="380"/>
        <v>100772.58378952576</v>
      </c>
      <c r="J73" s="5006">
        <f t="shared" si="380"/>
        <v>100414.52816768081</v>
      </c>
      <c r="K73" s="1643">
        <f t="shared" si="380"/>
        <v>100093.85853258483</v>
      </c>
      <c r="L73" s="1759">
        <f t="shared" si="380"/>
        <v>100454.10832745662</v>
      </c>
      <c r="M73" s="1642">
        <f t="shared" si="380"/>
        <v>98472.734455661746</v>
      </c>
      <c r="N73" s="1643">
        <f t="shared" si="380"/>
        <v>97391.985071046365</v>
      </c>
      <c r="O73" s="1759">
        <f t="shared" si="380"/>
        <v>96131.110788995094</v>
      </c>
      <c r="P73" s="1642">
        <f t="shared" si="380"/>
        <v>96491.360583866874</v>
      </c>
      <c r="Q73" s="1643">
        <f t="shared" si="380"/>
        <v>95410.611199251493</v>
      </c>
      <c r="R73" s="2085">
        <f t="shared" si="373"/>
        <v>1199520.8064060453</v>
      </c>
      <c r="S73" s="1759" t="e">
        <f>($C$73+$D$73)*#REF!</f>
        <v>#REF!</v>
      </c>
      <c r="T73" s="1642" t="e">
        <f>($C$73+$D$73)*#REF!</f>
        <v>#REF!</v>
      </c>
      <c r="U73" s="1818" t="e">
        <f>($C$73+$D$73)*#REF!</f>
        <v>#REF!</v>
      </c>
      <c r="V73" s="1644" t="e">
        <f>($C$73+$D$73)*#REF!</f>
        <v>#REF!</v>
      </c>
      <c r="W73" s="1642" t="e">
        <f>($C$73+$D$73)*#REF!</f>
        <v>#REF!</v>
      </c>
      <c r="X73" s="1643" t="e">
        <f>($C$73+$D$73)*#REF!</f>
        <v>#REF!</v>
      </c>
      <c r="Y73" s="1759" t="e">
        <f>($C$73+$D$73)*#REF!</f>
        <v>#REF!</v>
      </c>
      <c r="Z73" s="1642" t="e">
        <f>($C$73+$D$73)*#REF!</f>
        <v>#REF!</v>
      </c>
      <c r="AA73" s="1643" t="e">
        <f>($C$73+$D$73)*#REF!</f>
        <v>#REF!</v>
      </c>
      <c r="AB73" s="1759" t="e">
        <f>($C$73+$D$73)*#REF!</f>
        <v>#REF!</v>
      </c>
      <c r="AC73" s="1642" t="e">
        <f>($C$73+$D$73)*#REF!</f>
        <v>#REF!</v>
      </c>
      <c r="AD73" s="1643" t="e">
        <f>($C$73+$D$73)*#REF!</f>
        <v>#REF!</v>
      </c>
      <c r="AE73" s="2085" t="e">
        <f t="shared" si="374"/>
        <v>#REF!</v>
      </c>
      <c r="AF73" s="1759" t="e">
        <f>($C$73+$D$73)*#REF!</f>
        <v>#REF!</v>
      </c>
      <c r="AG73" s="1642" t="e">
        <f>($C$73+$D$73)*#REF!</f>
        <v>#REF!</v>
      </c>
      <c r="AH73" s="1818" t="e">
        <f>($C$73+$D$73)*#REF!</f>
        <v>#REF!</v>
      </c>
      <c r="AI73" s="1644" t="e">
        <f>($C$73+$D$73)*#REF!</f>
        <v>#REF!</v>
      </c>
      <c r="AJ73" s="1642" t="e">
        <f>($C$73+$D$73)*#REF!</f>
        <v>#REF!</v>
      </c>
      <c r="AK73" s="1643" t="e">
        <f>($C$73+$D$73)*#REF!</f>
        <v>#REF!</v>
      </c>
      <c r="AL73" s="1759" t="e">
        <f>($C$73+$D$73)*#REF!</f>
        <v>#REF!</v>
      </c>
      <c r="AM73" s="1642" t="e">
        <f>($C$73+$D$73)*#REF!</f>
        <v>#REF!</v>
      </c>
      <c r="AN73" s="1643" t="e">
        <f>($C$73+$D$73)*#REF!</f>
        <v>#REF!</v>
      </c>
      <c r="AO73" s="1759" t="e">
        <f>($C$73+$D$73)*#REF!</f>
        <v>#REF!</v>
      </c>
      <c r="AP73" s="1642" t="e">
        <f>($C$73+$D$73)*#REF!</f>
        <v>#REF!</v>
      </c>
      <c r="AQ73" s="1643" t="e">
        <f>($C$73+$D$73)*#REF!</f>
        <v>#REF!</v>
      </c>
      <c r="AR73" s="2085" t="e">
        <f t="shared" si="375"/>
        <v>#REF!</v>
      </c>
      <c r="AS73" s="1759" t="e">
        <f>($C$73+$D$73)*#REF!</f>
        <v>#REF!</v>
      </c>
      <c r="AT73" s="1642" t="e">
        <f>($C$73+$D$73)*#REF!</f>
        <v>#REF!</v>
      </c>
      <c r="AU73" s="1818" t="e">
        <f>($C$73+$D$73)*#REF!</f>
        <v>#REF!</v>
      </c>
      <c r="AV73" s="1644" t="e">
        <f>($C$73+$D$73)*#REF!</f>
        <v>#REF!</v>
      </c>
      <c r="AW73" s="1642" t="e">
        <f>($C$73+$D$73)*#REF!</f>
        <v>#REF!</v>
      </c>
      <c r="AX73" s="1643" t="e">
        <f>($C$73+$D$73)*#REF!</f>
        <v>#REF!</v>
      </c>
      <c r="AY73" s="1759" t="e">
        <f>($C$73+$D$73)*#REF!</f>
        <v>#REF!</v>
      </c>
      <c r="AZ73" s="1642" t="e">
        <f>($C$73+$D$73)*#REF!</f>
        <v>#REF!</v>
      </c>
      <c r="BA73" s="1643" t="e">
        <f>($C$73+$D$73)*#REF!</f>
        <v>#REF!</v>
      </c>
      <c r="BB73" s="1759" t="e">
        <f>($C$73+$D$73)*#REF!</f>
        <v>#REF!</v>
      </c>
      <c r="BC73" s="1642" t="e">
        <f>($C$73+$D$73)*#REF!</f>
        <v>#REF!</v>
      </c>
      <c r="BD73" s="1643" t="e">
        <f>($C$73+$D$73)*#REF!</f>
        <v>#REF!</v>
      </c>
      <c r="BE73" s="1557" t="e">
        <f t="shared" si="376"/>
        <v>#REF!</v>
      </c>
    </row>
    <row r="74" spans="1:59" ht="30" customHeight="1" thickBot="1">
      <c r="A74" s="2000"/>
      <c r="B74" s="2000" t="s">
        <v>92</v>
      </c>
      <c r="C74" s="2156">
        <f>$C$75</f>
        <v>266</v>
      </c>
      <c r="D74" s="2256">
        <f>D75</f>
        <v>233.74656410256404</v>
      </c>
      <c r="E74" s="2257">
        <f t="shared" si="377"/>
        <v>280.89600000000002</v>
      </c>
      <c r="F74" s="4668">
        <f>($C$74+$D$74)*F126</f>
        <v>45976.683897435891</v>
      </c>
      <c r="G74" s="5275">
        <f>($C$74+$D$74)*G126</f>
        <v>44978.748813794482</v>
      </c>
      <c r="H74" s="5665">
        <f t="shared" ref="H74:Q74" si="381">($E$74+$D$74)*H126</f>
        <v>45810.772815109638</v>
      </c>
      <c r="I74" s="6172">
        <f t="shared" si="381"/>
        <v>44892.043501075939</v>
      </c>
      <c r="J74" s="5275">
        <f t="shared" si="381"/>
        <v>44789.741894834522</v>
      </c>
      <c r="K74" s="2237">
        <f t="shared" si="381"/>
        <v>44698.121999092815</v>
      </c>
      <c r="L74" s="3438">
        <f t="shared" si="381"/>
        <v>44801.05051191333</v>
      </c>
      <c r="M74" s="2236">
        <f t="shared" si="381"/>
        <v>44234.943691400513</v>
      </c>
      <c r="N74" s="2237">
        <f t="shared" si="381"/>
        <v>43926.158152938973</v>
      </c>
      <c r="O74" s="3438">
        <f t="shared" si="381"/>
        <v>43565.90835806718</v>
      </c>
      <c r="P74" s="2236">
        <f t="shared" si="381"/>
        <v>43668.836870887695</v>
      </c>
      <c r="Q74" s="2237">
        <f t="shared" si="381"/>
        <v>43360.051332426156</v>
      </c>
      <c r="R74" s="2085">
        <f t="shared" si="373"/>
        <v>534703.06183897716</v>
      </c>
      <c r="S74" s="3438" t="e">
        <f>($C$74+$D$74)*#REF!</f>
        <v>#REF!</v>
      </c>
      <c r="T74" s="2236" t="e">
        <f>($C$74+$D$74)*#REF!</f>
        <v>#REF!</v>
      </c>
      <c r="U74" s="3439" t="e">
        <f>($C$74+$D$74)*#REF!</f>
        <v>#REF!</v>
      </c>
      <c r="V74" s="2238" t="e">
        <f>($C$74+$D$74)*#REF!</f>
        <v>#REF!</v>
      </c>
      <c r="W74" s="2236" t="e">
        <f>($C$74+$D$74)*#REF!</f>
        <v>#REF!</v>
      </c>
      <c r="X74" s="2237" t="e">
        <f>($C$74+$D$74)*#REF!</f>
        <v>#REF!</v>
      </c>
      <c r="Y74" s="3438" t="e">
        <f>($C$74+$D$74)*#REF!</f>
        <v>#REF!</v>
      </c>
      <c r="Z74" s="2236" t="e">
        <f>($C$74+$D$74)*#REF!</f>
        <v>#REF!</v>
      </c>
      <c r="AA74" s="2237" t="e">
        <f>($C$74+$D$74)*#REF!</f>
        <v>#REF!</v>
      </c>
      <c r="AB74" s="3438" t="e">
        <f>($C$74+$D$74)*#REF!</f>
        <v>#REF!</v>
      </c>
      <c r="AC74" s="2236" t="e">
        <f>($C$74+$D$74)*#REF!</f>
        <v>#REF!</v>
      </c>
      <c r="AD74" s="2237" t="e">
        <f>($C$74+$D$74)*#REF!</f>
        <v>#REF!</v>
      </c>
      <c r="AE74" s="2085" t="e">
        <f t="shared" si="374"/>
        <v>#REF!</v>
      </c>
      <c r="AF74" s="3438" t="e">
        <f>($C$74+$D$74)*#REF!</f>
        <v>#REF!</v>
      </c>
      <c r="AG74" s="2236" t="e">
        <f>($C$74+$D$74)*#REF!</f>
        <v>#REF!</v>
      </c>
      <c r="AH74" s="3439" t="e">
        <f>($C$74+$D$74)*#REF!</f>
        <v>#REF!</v>
      </c>
      <c r="AI74" s="2238" t="e">
        <f>($C$74+$D$74)*#REF!</f>
        <v>#REF!</v>
      </c>
      <c r="AJ74" s="2236" t="e">
        <f>($C$74+$D$74)*#REF!</f>
        <v>#REF!</v>
      </c>
      <c r="AK74" s="2237" t="e">
        <f>($C$74+$D$74)*#REF!</f>
        <v>#REF!</v>
      </c>
      <c r="AL74" s="3438" t="e">
        <f>($C$74+$D$74)*#REF!</f>
        <v>#REF!</v>
      </c>
      <c r="AM74" s="2236" t="e">
        <f>($C$74+$D$74)*#REF!</f>
        <v>#REF!</v>
      </c>
      <c r="AN74" s="2237" t="e">
        <f>($C$74+$D$74)*#REF!</f>
        <v>#REF!</v>
      </c>
      <c r="AO74" s="3438" t="e">
        <f>($C$74+$D$74)*#REF!</f>
        <v>#REF!</v>
      </c>
      <c r="AP74" s="2236" t="e">
        <f>($C$74+$D$74)*#REF!</f>
        <v>#REF!</v>
      </c>
      <c r="AQ74" s="2237" t="e">
        <f>($C$74+$D$74)*#REF!</f>
        <v>#REF!</v>
      </c>
      <c r="AR74" s="2085" t="e">
        <f t="shared" si="375"/>
        <v>#REF!</v>
      </c>
      <c r="AS74" s="3438" t="e">
        <f>($C$74+$D$74)*#REF!</f>
        <v>#REF!</v>
      </c>
      <c r="AT74" s="2236" t="e">
        <f>($C$74+$D$74)*#REF!</f>
        <v>#REF!</v>
      </c>
      <c r="AU74" s="3439" t="e">
        <f>($C$74+$D$74)*#REF!</f>
        <v>#REF!</v>
      </c>
      <c r="AV74" s="2238" t="e">
        <f>($C$74+$D$74)*#REF!</f>
        <v>#REF!</v>
      </c>
      <c r="AW74" s="2236" t="e">
        <f>($C$74+$D$74)*#REF!</f>
        <v>#REF!</v>
      </c>
      <c r="AX74" s="2237" t="e">
        <f>($C$74+$D$74)*#REF!</f>
        <v>#REF!</v>
      </c>
      <c r="AY74" s="3438" t="e">
        <f>($C$74+$D$74)*#REF!</f>
        <v>#REF!</v>
      </c>
      <c r="AZ74" s="2236" t="e">
        <f>($C$74+$D$74)*#REF!</f>
        <v>#REF!</v>
      </c>
      <c r="BA74" s="2245" t="e">
        <f>($C$74+$D$74)*#REF!</f>
        <v>#REF!</v>
      </c>
      <c r="BB74" s="2258" t="e">
        <f>($C$74+$D$74)*#REF!</f>
        <v>#REF!</v>
      </c>
      <c r="BC74" s="2259" t="e">
        <f>($C$74+$D$74)*#REF!</f>
        <v>#REF!</v>
      </c>
      <c r="BD74" s="2245" t="e">
        <f>($C$74+$D$74)*#REF!</f>
        <v>#REF!</v>
      </c>
      <c r="BE74" s="1557" t="e">
        <f t="shared" si="376"/>
        <v>#REF!</v>
      </c>
    </row>
    <row r="75" spans="1:59" ht="22.5" customHeight="1" thickBot="1">
      <c r="A75" s="38" t="s">
        <v>821</v>
      </c>
      <c r="B75" s="1675"/>
      <c r="C75" s="4166">
        <v>266</v>
      </c>
      <c r="D75" s="2255">
        <f>AVERAGE(F117:Q117)-E75</f>
        <v>233.74656410256404</v>
      </c>
      <c r="E75" s="2260">
        <f>C75*($G$68+1)</f>
        <v>280.89600000000002</v>
      </c>
      <c r="F75" s="4669">
        <f>SUM(F70:F74)</f>
        <v>298848.44533333328</v>
      </c>
      <c r="G75" s="5276">
        <f t="shared" ref="G75:Q75" si="382">SUM(G70:G74)</f>
        <v>288869.09449691919</v>
      </c>
      <c r="H75" s="5666">
        <f t="shared" si="382"/>
        <v>292392.82251007081</v>
      </c>
      <c r="I75" s="6173">
        <f t="shared" si="382"/>
        <v>283205.52936973382</v>
      </c>
      <c r="J75" s="5276">
        <f t="shared" si="382"/>
        <v>282182.51330731966</v>
      </c>
      <c r="K75" s="3852">
        <f t="shared" si="382"/>
        <v>281266.31434990256</v>
      </c>
      <c r="L75" s="3853">
        <f t="shared" si="382"/>
        <v>282295.5994781077</v>
      </c>
      <c r="M75" s="3851">
        <f t="shared" si="382"/>
        <v>276634.53127297951</v>
      </c>
      <c r="N75" s="3852">
        <f t="shared" si="382"/>
        <v>273546.67588836409</v>
      </c>
      <c r="O75" s="3853">
        <f t="shared" si="382"/>
        <v>269944.17793964612</v>
      </c>
      <c r="P75" s="3851">
        <f t="shared" si="382"/>
        <v>270973.46306785126</v>
      </c>
      <c r="Q75" s="3852">
        <f t="shared" si="382"/>
        <v>267885.6076832359</v>
      </c>
      <c r="R75" s="2143">
        <f>SUM(F75:Q75)</f>
        <v>3368044.774697464</v>
      </c>
      <c r="S75" s="3440">
        <v>216244</v>
      </c>
      <c r="T75" s="3441">
        <v>347545</v>
      </c>
      <c r="U75" s="3442" t="e">
        <f t="shared" ref="U75:AD75" si="383">U36*U117</f>
        <v>#REF!</v>
      </c>
      <c r="V75" s="3443" t="e">
        <f t="shared" si="383"/>
        <v>#REF!</v>
      </c>
      <c r="W75" s="3441" t="e">
        <f t="shared" si="383"/>
        <v>#REF!</v>
      </c>
      <c r="X75" s="3481" t="e">
        <f t="shared" si="383"/>
        <v>#REF!</v>
      </c>
      <c r="Y75" s="3482" t="e">
        <f t="shared" si="383"/>
        <v>#REF!</v>
      </c>
      <c r="Z75" s="3441" t="e">
        <f t="shared" si="383"/>
        <v>#REF!</v>
      </c>
      <c r="AA75" s="3481" t="e">
        <f t="shared" si="383"/>
        <v>#REF!</v>
      </c>
      <c r="AB75" s="3482" t="e">
        <f t="shared" si="383"/>
        <v>#REF!</v>
      </c>
      <c r="AC75" s="3441" t="e">
        <f t="shared" si="383"/>
        <v>#REF!</v>
      </c>
      <c r="AD75" s="3481" t="e">
        <f t="shared" si="383"/>
        <v>#REF!</v>
      </c>
      <c r="AE75" s="2143" t="e">
        <f>SUM(S75:AD75)</f>
        <v>#REF!</v>
      </c>
      <c r="AF75" s="3440">
        <v>216244</v>
      </c>
      <c r="AG75" s="3441">
        <v>347545</v>
      </c>
      <c r="AH75" s="3442" t="e">
        <f t="shared" ref="AH75:AQ75" si="384">AH36*AH117</f>
        <v>#REF!</v>
      </c>
      <c r="AI75" s="3443" t="e">
        <f t="shared" si="384"/>
        <v>#REF!</v>
      </c>
      <c r="AJ75" s="3441" t="e">
        <f t="shared" si="384"/>
        <v>#REF!</v>
      </c>
      <c r="AK75" s="3481" t="e">
        <f t="shared" si="384"/>
        <v>#REF!</v>
      </c>
      <c r="AL75" s="3482" t="e">
        <f t="shared" si="384"/>
        <v>#REF!</v>
      </c>
      <c r="AM75" s="3441" t="e">
        <f t="shared" si="384"/>
        <v>#REF!</v>
      </c>
      <c r="AN75" s="3481" t="e">
        <f t="shared" si="384"/>
        <v>#REF!</v>
      </c>
      <c r="AO75" s="3482" t="e">
        <f t="shared" si="384"/>
        <v>#REF!</v>
      </c>
      <c r="AP75" s="3441" t="e">
        <f t="shared" si="384"/>
        <v>#REF!</v>
      </c>
      <c r="AQ75" s="3481" t="e">
        <f t="shared" si="384"/>
        <v>#REF!</v>
      </c>
      <c r="AR75" s="2143" t="e">
        <f>SUM(AF75:AQ75)</f>
        <v>#REF!</v>
      </c>
      <c r="AS75" s="3440">
        <v>216244</v>
      </c>
      <c r="AT75" s="3441">
        <v>347545</v>
      </c>
      <c r="AU75" s="3442" t="e">
        <f t="shared" ref="AU75:BD75" si="385">AU36*AU117</f>
        <v>#REF!</v>
      </c>
      <c r="AV75" s="3443" t="e">
        <f t="shared" si="385"/>
        <v>#REF!</v>
      </c>
      <c r="AW75" s="3441" t="e">
        <f t="shared" si="385"/>
        <v>#REF!</v>
      </c>
      <c r="AX75" s="3481" t="e">
        <f t="shared" si="385"/>
        <v>#REF!</v>
      </c>
      <c r="AY75" s="3482" t="e">
        <f t="shared" si="385"/>
        <v>#REF!</v>
      </c>
      <c r="AZ75" s="3441" t="e">
        <f t="shared" si="385"/>
        <v>#REF!</v>
      </c>
      <c r="BA75" s="2262" t="e">
        <f t="shared" si="385"/>
        <v>#REF!</v>
      </c>
      <c r="BB75" s="2263" t="e">
        <f t="shared" si="385"/>
        <v>#REF!</v>
      </c>
      <c r="BC75" s="2261" t="e">
        <f t="shared" si="385"/>
        <v>#REF!</v>
      </c>
      <c r="BD75" s="2262" t="e">
        <f t="shared" si="385"/>
        <v>#REF!</v>
      </c>
      <c r="BE75" s="1674" t="e">
        <f>SUM(AS75:BD75)</f>
        <v>#REF!</v>
      </c>
    </row>
    <row r="76" spans="1:59" ht="18" customHeight="1" thickBot="1">
      <c r="A76" s="7081" t="s">
        <v>1439</v>
      </c>
      <c r="B76" s="7082"/>
      <c r="C76" s="7093"/>
      <c r="D76" s="7082"/>
      <c r="E76" s="2264"/>
      <c r="F76" s="4630">
        <v>16302.25</v>
      </c>
      <c r="G76" s="5012">
        <v>16302.25</v>
      </c>
      <c r="H76" s="5606">
        <v>16302.25</v>
      </c>
      <c r="I76" s="3952">
        <v>16302.25</v>
      </c>
      <c r="J76" s="5012">
        <v>16302.25</v>
      </c>
      <c r="K76" s="1777">
        <v>16302.25</v>
      </c>
      <c r="L76" s="1824">
        <v>16302.25</v>
      </c>
      <c r="M76" s="1776">
        <v>16302.25</v>
      </c>
      <c r="N76" s="1777">
        <v>16302.25</v>
      </c>
      <c r="O76" s="1824">
        <v>16302.25</v>
      </c>
      <c r="P76" s="1776">
        <v>16302.25</v>
      </c>
      <c r="Q76" s="1777">
        <v>16302.25</v>
      </c>
      <c r="R76" s="2142">
        <f t="shared" ref="R76" si="386">SUM(F76:Q76)</f>
        <v>195627</v>
      </c>
      <c r="S76" s="1775">
        <v>22249</v>
      </c>
      <c r="T76" s="1776">
        <v>20000</v>
      </c>
      <c r="U76" s="2295">
        <v>20000</v>
      </c>
      <c r="V76" s="1824">
        <v>20000</v>
      </c>
      <c r="W76" s="1776">
        <v>20000</v>
      </c>
      <c r="X76" s="1777">
        <v>20000</v>
      </c>
      <c r="Y76" s="1824">
        <v>20000</v>
      </c>
      <c r="Z76" s="1776">
        <v>20000</v>
      </c>
      <c r="AA76" s="1777">
        <v>20000</v>
      </c>
      <c r="AB76" s="1824">
        <v>20000</v>
      </c>
      <c r="AC76" s="1776">
        <v>20000</v>
      </c>
      <c r="AD76" s="1777">
        <v>20000</v>
      </c>
      <c r="AE76" s="2142">
        <f t="shared" ref="AE76" si="387">SUM(S76:AD76)</f>
        <v>242249</v>
      </c>
      <c r="AF76" s="1775">
        <v>22249</v>
      </c>
      <c r="AG76" s="1776">
        <v>20000</v>
      </c>
      <c r="AH76" s="2295">
        <v>20000</v>
      </c>
      <c r="AI76" s="1824">
        <v>20000</v>
      </c>
      <c r="AJ76" s="1776">
        <v>20000</v>
      </c>
      <c r="AK76" s="1777">
        <v>20000</v>
      </c>
      <c r="AL76" s="1824">
        <v>20000</v>
      </c>
      <c r="AM76" s="1776">
        <v>20000</v>
      </c>
      <c r="AN76" s="1777">
        <v>20000</v>
      </c>
      <c r="AO76" s="1824">
        <v>20000</v>
      </c>
      <c r="AP76" s="1776">
        <v>20000</v>
      </c>
      <c r="AQ76" s="1777">
        <v>20000</v>
      </c>
      <c r="AR76" s="2142">
        <f t="shared" ref="AR76" si="388">SUM(AF76:AQ76)</f>
        <v>242249</v>
      </c>
      <c r="AS76" s="1775">
        <v>22249</v>
      </c>
      <c r="AT76" s="1776">
        <v>20000</v>
      </c>
      <c r="AU76" s="2295">
        <v>20000</v>
      </c>
      <c r="AV76" s="1824">
        <v>20000</v>
      </c>
      <c r="AW76" s="1776">
        <v>20000</v>
      </c>
      <c r="AX76" s="1777">
        <v>20000</v>
      </c>
      <c r="AY76" s="1824">
        <v>20000</v>
      </c>
      <c r="AZ76" s="1776">
        <v>20000</v>
      </c>
      <c r="BA76" s="1777">
        <v>20000</v>
      </c>
      <c r="BB76" s="1824">
        <v>20000</v>
      </c>
      <c r="BC76" s="1776">
        <v>20000</v>
      </c>
      <c r="BD76" s="1777">
        <v>20000</v>
      </c>
      <c r="BE76" s="1634">
        <f t="shared" ref="BE76" si="389">SUM(AS76:BD76)</f>
        <v>242249</v>
      </c>
    </row>
    <row r="77" spans="1:59" ht="18" customHeight="1" thickBot="1">
      <c r="A77" s="7082" t="s">
        <v>15</v>
      </c>
      <c r="B77" s="7082"/>
      <c r="C77" s="7082"/>
      <c r="D77" s="7082"/>
      <c r="E77" s="2247"/>
      <c r="F77" s="4557">
        <f>F76+F75</f>
        <v>315150.69533333328</v>
      </c>
      <c r="G77" s="5021">
        <f>G76+G75</f>
        <v>305171.34449691919</v>
      </c>
      <c r="H77" s="5667">
        <f>H76+H75</f>
        <v>308695.07251007081</v>
      </c>
      <c r="I77" s="4557">
        <f t="shared" ref="I77:Q77" si="390">I76+I75</f>
        <v>299507.77936973382</v>
      </c>
      <c r="J77" s="5021">
        <f t="shared" si="390"/>
        <v>298484.76330731966</v>
      </c>
      <c r="K77" s="1816">
        <f t="shared" si="390"/>
        <v>297568.56434990256</v>
      </c>
      <c r="L77" s="1814">
        <f t="shared" si="390"/>
        <v>298597.8494781077</v>
      </c>
      <c r="M77" s="1815">
        <f t="shared" si="390"/>
        <v>292936.78127297951</v>
      </c>
      <c r="N77" s="1816">
        <f t="shared" si="390"/>
        <v>289848.92588836409</v>
      </c>
      <c r="O77" s="1814">
        <f t="shared" si="390"/>
        <v>286246.42793964612</v>
      </c>
      <c r="P77" s="1815">
        <f t="shared" si="390"/>
        <v>287275.71306785126</v>
      </c>
      <c r="Q77" s="1816">
        <f t="shared" si="390"/>
        <v>284187.8576832359</v>
      </c>
      <c r="R77" s="2143">
        <f t="shared" ref="R77" si="391">R76+R75</f>
        <v>3563671.774697464</v>
      </c>
      <c r="S77" s="1814">
        <f>S76+S75</f>
        <v>238493</v>
      </c>
      <c r="T77" s="1815">
        <f t="shared" ref="T77:AE77" si="392">T76+T75</f>
        <v>367545</v>
      </c>
      <c r="U77" s="3444" t="e">
        <f t="shared" si="392"/>
        <v>#REF!</v>
      </c>
      <c r="V77" s="1814" t="e">
        <f t="shared" si="392"/>
        <v>#REF!</v>
      </c>
      <c r="W77" s="1815" t="e">
        <f t="shared" si="392"/>
        <v>#REF!</v>
      </c>
      <c r="X77" s="1816" t="e">
        <f t="shared" si="392"/>
        <v>#REF!</v>
      </c>
      <c r="Y77" s="1814" t="e">
        <f t="shared" si="392"/>
        <v>#REF!</v>
      </c>
      <c r="Z77" s="1815" t="e">
        <f t="shared" si="392"/>
        <v>#REF!</v>
      </c>
      <c r="AA77" s="1816" t="e">
        <f t="shared" si="392"/>
        <v>#REF!</v>
      </c>
      <c r="AB77" s="1814" t="e">
        <f t="shared" si="392"/>
        <v>#REF!</v>
      </c>
      <c r="AC77" s="1815" t="e">
        <f t="shared" si="392"/>
        <v>#REF!</v>
      </c>
      <c r="AD77" s="1816" t="e">
        <f t="shared" si="392"/>
        <v>#REF!</v>
      </c>
      <c r="AE77" s="2143" t="e">
        <f t="shared" si="392"/>
        <v>#REF!</v>
      </c>
      <c r="AF77" s="1814">
        <f>AF76+AF75</f>
        <v>238493</v>
      </c>
      <c r="AG77" s="1815">
        <f t="shared" ref="AG77:AR77" si="393">AG76+AG75</f>
        <v>367545</v>
      </c>
      <c r="AH77" s="3444" t="e">
        <f t="shared" si="393"/>
        <v>#REF!</v>
      </c>
      <c r="AI77" s="1814" t="e">
        <f t="shared" si="393"/>
        <v>#REF!</v>
      </c>
      <c r="AJ77" s="1815" t="e">
        <f t="shared" si="393"/>
        <v>#REF!</v>
      </c>
      <c r="AK77" s="1816" t="e">
        <f t="shared" si="393"/>
        <v>#REF!</v>
      </c>
      <c r="AL77" s="1814" t="e">
        <f t="shared" si="393"/>
        <v>#REF!</v>
      </c>
      <c r="AM77" s="1815" t="e">
        <f t="shared" si="393"/>
        <v>#REF!</v>
      </c>
      <c r="AN77" s="1816" t="e">
        <f t="shared" si="393"/>
        <v>#REF!</v>
      </c>
      <c r="AO77" s="1814" t="e">
        <f t="shared" si="393"/>
        <v>#REF!</v>
      </c>
      <c r="AP77" s="1815" t="e">
        <f t="shared" si="393"/>
        <v>#REF!</v>
      </c>
      <c r="AQ77" s="1816" t="e">
        <f t="shared" si="393"/>
        <v>#REF!</v>
      </c>
      <c r="AR77" s="2143" t="e">
        <f t="shared" si="393"/>
        <v>#REF!</v>
      </c>
      <c r="AS77" s="1814">
        <f>AS76+AS75</f>
        <v>238493</v>
      </c>
      <c r="AT77" s="1815">
        <f t="shared" ref="AT77:BE77" si="394">AT76+AT75</f>
        <v>367545</v>
      </c>
      <c r="AU77" s="3444" t="e">
        <f t="shared" si="394"/>
        <v>#REF!</v>
      </c>
      <c r="AV77" s="1814" t="e">
        <f t="shared" si="394"/>
        <v>#REF!</v>
      </c>
      <c r="AW77" s="1815" t="e">
        <f t="shared" si="394"/>
        <v>#REF!</v>
      </c>
      <c r="AX77" s="1816" t="e">
        <f t="shared" si="394"/>
        <v>#REF!</v>
      </c>
      <c r="AY77" s="1814" t="e">
        <f t="shared" si="394"/>
        <v>#REF!</v>
      </c>
      <c r="AZ77" s="1815" t="e">
        <f t="shared" si="394"/>
        <v>#REF!</v>
      </c>
      <c r="BA77" s="1816" t="e">
        <f t="shared" si="394"/>
        <v>#REF!</v>
      </c>
      <c r="BB77" s="1814" t="e">
        <f t="shared" si="394"/>
        <v>#REF!</v>
      </c>
      <c r="BC77" s="1815" t="e">
        <f t="shared" si="394"/>
        <v>#REF!</v>
      </c>
      <c r="BD77" s="1816" t="e">
        <f t="shared" si="394"/>
        <v>#REF!</v>
      </c>
      <c r="BE77" s="1674" t="e">
        <f t="shared" si="394"/>
        <v>#REF!</v>
      </c>
    </row>
    <row r="78" spans="1:59" s="1618" customFormat="1" ht="18" customHeight="1" thickBot="1">
      <c r="A78" s="1922"/>
      <c r="B78" s="2265"/>
      <c r="C78" s="2266"/>
      <c r="D78" s="2267"/>
      <c r="E78" s="2268"/>
      <c r="F78" s="2233"/>
      <c r="G78" s="2233"/>
      <c r="H78" s="2233"/>
      <c r="I78" s="2233"/>
      <c r="J78" s="2233"/>
      <c r="K78" s="1637"/>
      <c r="L78" s="1637"/>
      <c r="M78" s="1637"/>
      <c r="N78" s="1637"/>
      <c r="O78" s="1637"/>
      <c r="P78" s="1637"/>
      <c r="Q78" s="1637"/>
      <c r="R78" s="1535" t="b">
        <f>R77=SUM(F77:Q77)</f>
        <v>1</v>
      </c>
      <c r="S78" s="1637"/>
      <c r="T78" s="1637"/>
      <c r="U78" s="1637"/>
      <c r="V78" s="1637"/>
      <c r="W78" s="1637"/>
      <c r="X78" s="1637"/>
      <c r="Y78" s="1637"/>
      <c r="Z78" s="1637"/>
      <c r="AA78" s="1637"/>
      <c r="AB78" s="1637"/>
      <c r="AC78" s="1637"/>
      <c r="AD78" s="1637"/>
      <c r="AE78" s="1535" t="e">
        <f>AE77=SUM(S77:AD77)</f>
        <v>#REF!</v>
      </c>
      <c r="AF78" s="1637"/>
      <c r="AG78" s="1637"/>
      <c r="AH78" s="1637"/>
      <c r="AI78" s="1637"/>
      <c r="AJ78" s="1637"/>
      <c r="AK78" s="1637"/>
      <c r="AL78" s="1637"/>
      <c r="AM78" s="1637"/>
      <c r="AN78" s="1637"/>
      <c r="AO78" s="1637"/>
      <c r="AP78" s="1637"/>
      <c r="AQ78" s="1637"/>
      <c r="AR78" s="1535" t="e">
        <f>AR77=SUM(AF77:AQ77)</f>
        <v>#REF!</v>
      </c>
      <c r="AS78" s="1637"/>
      <c r="AT78" s="1637"/>
      <c r="AU78" s="1637"/>
      <c r="AV78" s="1637"/>
      <c r="AW78" s="1637"/>
      <c r="AX78" s="1637"/>
      <c r="AY78" s="1637"/>
      <c r="AZ78" s="1637"/>
      <c r="BA78" s="1637"/>
      <c r="BB78" s="1637"/>
      <c r="BC78" s="1637"/>
      <c r="BD78" s="1637"/>
      <c r="BE78" s="5" t="e">
        <f>BE77=SUM(AS77:BD77)</f>
        <v>#REF!</v>
      </c>
    </row>
    <row r="79" spans="1:59" s="1618" customFormat="1" ht="18" customHeight="1" thickBot="1">
      <c r="A79" s="7401" t="s">
        <v>831</v>
      </c>
      <c r="B79" s="7402"/>
      <c r="C79" s="7402"/>
      <c r="D79" s="7402"/>
      <c r="E79" s="7403"/>
      <c r="F79" s="3952">
        <f t="shared" ref="F79:Q79" si="395">F53+F66+F77</f>
        <v>753952.50694205693</v>
      </c>
      <c r="G79" s="5012">
        <f>G53+G66+G77</f>
        <v>709184.15610564291</v>
      </c>
      <c r="H79" s="5505">
        <f>H53+H66+H77</f>
        <v>685154.88411879446</v>
      </c>
      <c r="I79" s="3952">
        <f t="shared" si="395"/>
        <v>671315.12811482116</v>
      </c>
      <c r="J79" s="5012">
        <f t="shared" si="395"/>
        <v>661314.08705240698</v>
      </c>
      <c r="K79" s="1777">
        <f t="shared" si="395"/>
        <v>660397.88809498982</v>
      </c>
      <c r="L79" s="1824">
        <f t="shared" si="395"/>
        <v>650821.02907774039</v>
      </c>
      <c r="M79" s="1776">
        <f t="shared" si="395"/>
        <v>645159.9608726122</v>
      </c>
      <c r="N79" s="1777">
        <f t="shared" si="395"/>
        <v>642072.10548799683</v>
      </c>
      <c r="O79" s="1824">
        <f t="shared" si="395"/>
        <v>627911.96264988487</v>
      </c>
      <c r="P79" s="1776">
        <f t="shared" si="395"/>
        <v>628941.24777809007</v>
      </c>
      <c r="Q79" s="1776">
        <f t="shared" si="395"/>
        <v>625853.3923934747</v>
      </c>
      <c r="R79" s="3345">
        <f>SUM(F79:Q79)</f>
        <v>7962078.3486885093</v>
      </c>
      <c r="S79" s="1824">
        <v>575569.01815999998</v>
      </c>
      <c r="T79" s="1776">
        <v>708945.95163999998</v>
      </c>
      <c r="U79" s="1777" t="e">
        <f t="shared" ref="U79:AD79" si="396">U53+U66+U77</f>
        <v>#REF!</v>
      </c>
      <c r="V79" s="1824" t="e">
        <f t="shared" si="396"/>
        <v>#REF!</v>
      </c>
      <c r="W79" s="1776" t="e">
        <f t="shared" si="396"/>
        <v>#REF!</v>
      </c>
      <c r="X79" s="1777" t="e">
        <f t="shared" si="396"/>
        <v>#REF!</v>
      </c>
      <c r="Y79" s="1824" t="e">
        <f t="shared" si="396"/>
        <v>#REF!</v>
      </c>
      <c r="Z79" s="1776" t="e">
        <f t="shared" si="396"/>
        <v>#REF!</v>
      </c>
      <c r="AA79" s="1777" t="e">
        <f t="shared" si="396"/>
        <v>#REF!</v>
      </c>
      <c r="AB79" s="1824" t="e">
        <f t="shared" si="396"/>
        <v>#REF!</v>
      </c>
      <c r="AC79" s="1776" t="e">
        <f t="shared" si="396"/>
        <v>#REF!</v>
      </c>
      <c r="AD79" s="1776" t="e">
        <f t="shared" si="396"/>
        <v>#REF!</v>
      </c>
      <c r="AE79" s="3345" t="e">
        <f>SUM(S79:AD79)</f>
        <v>#REF!</v>
      </c>
      <c r="AF79" s="1824">
        <v>575569.01815999998</v>
      </c>
      <c r="AG79" s="1776">
        <v>708945.95163999998</v>
      </c>
      <c r="AH79" s="1777" t="e">
        <f t="shared" ref="AH79:AQ79" si="397">AH53+AH66+AH77</f>
        <v>#REF!</v>
      </c>
      <c r="AI79" s="1824" t="e">
        <f t="shared" si="397"/>
        <v>#REF!</v>
      </c>
      <c r="AJ79" s="1776" t="e">
        <f t="shared" si="397"/>
        <v>#REF!</v>
      </c>
      <c r="AK79" s="1777" t="e">
        <f t="shared" si="397"/>
        <v>#REF!</v>
      </c>
      <c r="AL79" s="1824" t="e">
        <f t="shared" si="397"/>
        <v>#REF!</v>
      </c>
      <c r="AM79" s="1776" t="e">
        <f t="shared" si="397"/>
        <v>#REF!</v>
      </c>
      <c r="AN79" s="1777" t="e">
        <f t="shared" si="397"/>
        <v>#REF!</v>
      </c>
      <c r="AO79" s="1824" t="e">
        <f t="shared" si="397"/>
        <v>#REF!</v>
      </c>
      <c r="AP79" s="1776" t="e">
        <f t="shared" si="397"/>
        <v>#REF!</v>
      </c>
      <c r="AQ79" s="1776" t="e">
        <f t="shared" si="397"/>
        <v>#REF!</v>
      </c>
      <c r="AR79" s="3345" t="e">
        <f>SUM(AF79:AQ79)</f>
        <v>#REF!</v>
      </c>
      <c r="AS79" s="1824">
        <v>575569.01815999998</v>
      </c>
      <c r="AT79" s="1776">
        <v>708945.95163999998</v>
      </c>
      <c r="AU79" s="1777" t="e">
        <f t="shared" ref="AU79:BD79" si="398">AU53+AU66+AU77</f>
        <v>#REF!</v>
      </c>
      <c r="AV79" s="1824" t="e">
        <f t="shared" si="398"/>
        <v>#REF!</v>
      </c>
      <c r="AW79" s="1776" t="e">
        <f t="shared" si="398"/>
        <v>#REF!</v>
      </c>
      <c r="AX79" s="1777" t="e">
        <f t="shared" si="398"/>
        <v>#REF!</v>
      </c>
      <c r="AY79" s="1824" t="e">
        <f t="shared" si="398"/>
        <v>#REF!</v>
      </c>
      <c r="AZ79" s="1776" t="e">
        <f t="shared" si="398"/>
        <v>#REF!</v>
      </c>
      <c r="BA79" s="1606" t="e">
        <f t="shared" si="398"/>
        <v>#REF!</v>
      </c>
      <c r="BB79" s="1604" t="e">
        <f t="shared" si="398"/>
        <v>#REF!</v>
      </c>
      <c r="BC79" s="1605" t="e">
        <f t="shared" si="398"/>
        <v>#REF!</v>
      </c>
      <c r="BD79" s="1605" t="e">
        <f t="shared" si="398"/>
        <v>#REF!</v>
      </c>
      <c r="BE79" s="1609" t="e">
        <f>SUM(AS79:BD79)</f>
        <v>#REF!</v>
      </c>
    </row>
    <row r="80" spans="1:59" s="1636" customFormat="1" ht="18" customHeight="1">
      <c r="A80" s="2269"/>
      <c r="B80" s="2269"/>
      <c r="C80" s="2269"/>
      <c r="D80" s="2269"/>
      <c r="E80" s="2269"/>
      <c r="F80" s="4670"/>
      <c r="G80" s="1534"/>
      <c r="H80" s="1534"/>
      <c r="I80" s="4670"/>
      <c r="J80" s="4670"/>
      <c r="K80" s="2270"/>
      <c r="L80" s="2270"/>
      <c r="M80" s="2270"/>
      <c r="N80" s="2270"/>
      <c r="O80" s="2270"/>
      <c r="P80" s="2270"/>
      <c r="Q80" s="2270"/>
      <c r="R80" s="1535" t="b">
        <f>R79=SUM(F79:Q79)</f>
        <v>1</v>
      </c>
      <c r="S80" s="2270"/>
      <c r="T80" s="2270"/>
      <c r="U80" s="2270"/>
      <c r="V80" s="2270"/>
      <c r="W80" s="2270"/>
      <c r="X80" s="2270"/>
      <c r="Y80" s="2270"/>
      <c r="Z80" s="2270"/>
      <c r="AA80" s="2270"/>
      <c r="AB80" s="2270"/>
      <c r="AC80" s="2270"/>
      <c r="AD80" s="2270"/>
      <c r="AE80" s="1535" t="e">
        <f>AE79=SUM(S79:AD79)</f>
        <v>#REF!</v>
      </c>
      <c r="AF80" s="2270"/>
      <c r="AG80" s="2270"/>
      <c r="AH80" s="2270"/>
      <c r="AI80" s="2270"/>
      <c r="AJ80" s="2270"/>
      <c r="AK80" s="2270"/>
      <c r="AL80" s="2270"/>
      <c r="AM80" s="2270"/>
      <c r="AN80" s="2270"/>
      <c r="AO80" s="2270"/>
      <c r="AP80" s="2270"/>
      <c r="AQ80" s="2270"/>
      <c r="AR80" s="1535" t="e">
        <f>AR79=SUM(AF79:AQ79)</f>
        <v>#REF!</v>
      </c>
      <c r="AS80" s="2270"/>
      <c r="AT80" s="2270"/>
      <c r="AU80" s="2270"/>
      <c r="AV80" s="2270"/>
      <c r="AW80" s="2270"/>
      <c r="AX80" s="2270"/>
      <c r="AY80" s="2270"/>
      <c r="AZ80" s="2270"/>
      <c r="BA80" s="2270"/>
      <c r="BB80" s="2270"/>
      <c r="BC80" s="2270"/>
      <c r="BD80" s="2270"/>
      <c r="BE80" s="5" t="e">
        <f>BE79=SUM(AS79:BD79)</f>
        <v>#REF!</v>
      </c>
    </row>
    <row r="81" spans="1:57" ht="18" customHeight="1" thickBot="1">
      <c r="A81" s="1538" t="s">
        <v>837</v>
      </c>
      <c r="B81" s="2271"/>
      <c r="C81" s="2271"/>
      <c r="D81" s="2271"/>
      <c r="E81" s="2271"/>
      <c r="F81" s="2271"/>
      <c r="G81" s="2271"/>
      <c r="H81" s="1534"/>
      <c r="I81" s="1534"/>
      <c r="J81" s="1534"/>
      <c r="K81" s="1533"/>
      <c r="L81" s="2370"/>
      <c r="M81" s="2370"/>
      <c r="N81" s="2370"/>
      <c r="O81" s="2370"/>
      <c r="P81" s="2370"/>
      <c r="Q81" s="2370"/>
      <c r="R81" s="1785" t="s">
        <v>86</v>
      </c>
      <c r="S81" s="1533"/>
      <c r="T81" s="1533"/>
      <c r="U81" s="1533"/>
      <c r="V81" s="1533"/>
      <c r="W81" s="1533"/>
      <c r="X81" s="1533"/>
      <c r="Y81" s="2370"/>
      <c r="Z81" s="2370"/>
      <c r="AA81" s="2370"/>
      <c r="AB81" s="2370"/>
      <c r="AC81" s="2370"/>
      <c r="AD81" s="2370"/>
      <c r="AE81" s="1785" t="s">
        <v>86</v>
      </c>
      <c r="AF81" s="1533"/>
      <c r="AG81" s="1533"/>
      <c r="AH81" s="1533"/>
      <c r="AI81" s="1533"/>
      <c r="AJ81" s="1533"/>
      <c r="AK81" s="1533"/>
      <c r="AL81" s="2370"/>
      <c r="AM81" s="2370"/>
      <c r="AN81" s="2370"/>
      <c r="AO81" s="2370"/>
      <c r="AP81" s="2370"/>
      <c r="AQ81" s="2370"/>
      <c r="AR81" s="1785" t="s">
        <v>86</v>
      </c>
      <c r="AS81" s="1533"/>
      <c r="AT81" s="1533"/>
      <c r="AU81" s="1533"/>
      <c r="AV81" s="1533"/>
      <c r="AW81" s="1533"/>
      <c r="AX81" s="1533"/>
      <c r="AY81" s="2370"/>
      <c r="AZ81" s="2370"/>
      <c r="BA81" s="2272"/>
      <c r="BB81" s="2272"/>
      <c r="BC81" s="2272"/>
      <c r="BD81" s="2272"/>
      <c r="BE81" s="1537" t="s">
        <v>86</v>
      </c>
    </row>
    <row r="82" spans="1:57" ht="18" customHeight="1" thickBot="1">
      <c r="A82" s="7390" t="s">
        <v>136</v>
      </c>
      <c r="B82" s="7391"/>
      <c r="C82" s="72" t="s">
        <v>125</v>
      </c>
      <c r="D82" s="57"/>
      <c r="E82" s="2253" t="s">
        <v>28</v>
      </c>
      <c r="F82" s="4490" t="str">
        <f t="shared" ref="F82:Q82" si="399">F4</f>
        <v>Jan.26</v>
      </c>
      <c r="G82" s="5005" t="str">
        <f t="shared" si="399"/>
        <v>Feb.26</v>
      </c>
      <c r="H82" s="5494" t="str">
        <f t="shared" si="399"/>
        <v>Mar.26</v>
      </c>
      <c r="I82" s="4490" t="str">
        <f t="shared" si="399"/>
        <v>Apr.26</v>
      </c>
      <c r="J82" s="5005" t="str">
        <f t="shared" si="399"/>
        <v>May.26</v>
      </c>
      <c r="K82" s="1843" t="str">
        <f t="shared" si="399"/>
        <v>Jun.26</v>
      </c>
      <c r="L82" s="1841" t="str">
        <f t="shared" si="399"/>
        <v>Jul.26</v>
      </c>
      <c r="M82" s="1842" t="str">
        <f t="shared" si="399"/>
        <v>Aug.26</v>
      </c>
      <c r="N82" s="1843" t="str">
        <f t="shared" si="399"/>
        <v>Sep.26</v>
      </c>
      <c r="O82" s="1841" t="str">
        <f t="shared" si="399"/>
        <v>Oct.26</v>
      </c>
      <c r="P82" s="1842" t="str">
        <f t="shared" si="399"/>
        <v>Nov.26</v>
      </c>
      <c r="Q82" s="1843" t="str">
        <f t="shared" si="399"/>
        <v>Dec.26</v>
      </c>
      <c r="R82" s="3480" t="s">
        <v>15</v>
      </c>
      <c r="S82" s="1841" t="e">
        <f t="shared" ref="S82:AD82" si="400">S4</f>
        <v>#REF!</v>
      </c>
      <c r="T82" s="1842" t="e">
        <f t="shared" si="400"/>
        <v>#REF!</v>
      </c>
      <c r="U82" s="1843" t="e">
        <f t="shared" si="400"/>
        <v>#REF!</v>
      </c>
      <c r="V82" s="1841" t="e">
        <f t="shared" si="400"/>
        <v>#REF!</v>
      </c>
      <c r="W82" s="1842" t="e">
        <f t="shared" si="400"/>
        <v>#REF!</v>
      </c>
      <c r="X82" s="1843" t="e">
        <f t="shared" si="400"/>
        <v>#REF!</v>
      </c>
      <c r="Y82" s="1841" t="e">
        <f t="shared" si="400"/>
        <v>#REF!</v>
      </c>
      <c r="Z82" s="1842" t="e">
        <f t="shared" si="400"/>
        <v>#REF!</v>
      </c>
      <c r="AA82" s="1843" t="e">
        <f t="shared" si="400"/>
        <v>#REF!</v>
      </c>
      <c r="AB82" s="1841" t="e">
        <f t="shared" si="400"/>
        <v>#REF!</v>
      </c>
      <c r="AC82" s="1842" t="e">
        <f t="shared" si="400"/>
        <v>#REF!</v>
      </c>
      <c r="AD82" s="1843" t="e">
        <f t="shared" si="400"/>
        <v>#REF!</v>
      </c>
      <c r="AE82" s="3480" t="s">
        <v>15</v>
      </c>
      <c r="AF82" s="1841" t="e">
        <f t="shared" ref="AF82:AQ82" si="401">AF4</f>
        <v>#REF!</v>
      </c>
      <c r="AG82" s="1842" t="e">
        <f t="shared" si="401"/>
        <v>#REF!</v>
      </c>
      <c r="AH82" s="1843" t="e">
        <f t="shared" si="401"/>
        <v>#REF!</v>
      </c>
      <c r="AI82" s="1841" t="e">
        <f t="shared" si="401"/>
        <v>#REF!</v>
      </c>
      <c r="AJ82" s="1842" t="e">
        <f t="shared" si="401"/>
        <v>#REF!</v>
      </c>
      <c r="AK82" s="1843" t="e">
        <f t="shared" si="401"/>
        <v>#REF!</v>
      </c>
      <c r="AL82" s="1841" t="e">
        <f t="shared" si="401"/>
        <v>#REF!</v>
      </c>
      <c r="AM82" s="1842" t="e">
        <f t="shared" si="401"/>
        <v>#REF!</v>
      </c>
      <c r="AN82" s="1843" t="e">
        <f t="shared" si="401"/>
        <v>#REF!</v>
      </c>
      <c r="AO82" s="1841" t="e">
        <f t="shared" si="401"/>
        <v>#REF!</v>
      </c>
      <c r="AP82" s="1842" t="e">
        <f t="shared" si="401"/>
        <v>#REF!</v>
      </c>
      <c r="AQ82" s="1843" t="e">
        <f t="shared" si="401"/>
        <v>#REF!</v>
      </c>
      <c r="AR82" s="3480" t="s">
        <v>15</v>
      </c>
      <c r="AS82" s="1841" t="e">
        <f t="shared" ref="AS82:BD82" si="402">AS4</f>
        <v>#REF!</v>
      </c>
      <c r="AT82" s="1842" t="e">
        <f t="shared" si="402"/>
        <v>#REF!</v>
      </c>
      <c r="AU82" s="1843" t="e">
        <f t="shared" si="402"/>
        <v>#REF!</v>
      </c>
      <c r="AV82" s="1841" t="e">
        <f t="shared" si="402"/>
        <v>#REF!</v>
      </c>
      <c r="AW82" s="1842" t="e">
        <f t="shared" si="402"/>
        <v>#REF!</v>
      </c>
      <c r="AX82" s="1843" t="e">
        <f t="shared" si="402"/>
        <v>#REF!</v>
      </c>
      <c r="AY82" s="1841" t="e">
        <f t="shared" si="402"/>
        <v>#REF!</v>
      </c>
      <c r="AZ82" s="1842" t="e">
        <f t="shared" si="402"/>
        <v>#REF!</v>
      </c>
      <c r="BA82" s="1843" t="e">
        <f t="shared" si="402"/>
        <v>#REF!</v>
      </c>
      <c r="BB82" s="1841" t="e">
        <f t="shared" si="402"/>
        <v>#REF!</v>
      </c>
      <c r="BC82" s="1842" t="e">
        <f t="shared" si="402"/>
        <v>#REF!</v>
      </c>
      <c r="BD82" s="1843" t="e">
        <f t="shared" si="402"/>
        <v>#REF!</v>
      </c>
      <c r="BE82" s="2254" t="s">
        <v>15</v>
      </c>
    </row>
    <row r="83" spans="1:57" ht="18" customHeight="1">
      <c r="A83" s="7404" t="s">
        <v>309</v>
      </c>
      <c r="B83" s="2273" t="s">
        <v>834</v>
      </c>
      <c r="C83" s="2274"/>
      <c r="D83" s="49"/>
      <c r="E83" s="2275"/>
      <c r="F83" s="4671">
        <v>49758.738897360003</v>
      </c>
      <c r="G83" s="5013">
        <v>43332.738897360003</v>
      </c>
      <c r="H83" s="4671">
        <v>41806.738897360003</v>
      </c>
      <c r="I83" s="4491">
        <v>41841.464269230768</v>
      </c>
      <c r="J83" s="6951">
        <v>33905.170961538461</v>
      </c>
      <c r="K83" s="3856">
        <f>K51+(K52*0.3)</f>
        <v>46471.738897360003</v>
      </c>
      <c r="L83" s="3855">
        <f t="shared" ref="L83:P83" si="403">L51</f>
        <v>46471.738897360003</v>
      </c>
      <c r="M83" s="3855">
        <f t="shared" si="403"/>
        <v>46471.738897360003</v>
      </c>
      <c r="N83" s="3854">
        <f t="shared" si="403"/>
        <v>46471.738897360003</v>
      </c>
      <c r="O83" s="3799">
        <f t="shared" si="403"/>
        <v>46471.738897360003</v>
      </c>
      <c r="P83" s="3855">
        <f t="shared" si="403"/>
        <v>46471.738897360003</v>
      </c>
      <c r="Q83" s="3856">
        <f>Q51+Q52</f>
        <v>46471.738897360003</v>
      </c>
      <c r="R83" s="3483">
        <f t="shared" ref="R83:R85" si="404">SUM(F83:Q83)</f>
        <v>535947.02420436917</v>
      </c>
      <c r="S83" s="1705">
        <f>S51+(S52*0.3)</f>
        <v>39642.5295664</v>
      </c>
      <c r="T83" s="1706">
        <f t="shared" ref="T83:W83" si="405">T51</f>
        <v>47934.196233066665</v>
      </c>
      <c r="U83" s="1705">
        <f t="shared" si="405"/>
        <v>47934.196233066665</v>
      </c>
      <c r="V83" s="2147">
        <f t="shared" si="405"/>
        <v>47934.196233066665</v>
      </c>
      <c r="W83" s="1794">
        <f t="shared" si="405"/>
        <v>47934.196233066665</v>
      </c>
      <c r="X83" s="2276">
        <f>X51+(X52*0.3)</f>
        <v>47934.196233066665</v>
      </c>
      <c r="Y83" s="1794">
        <f t="shared" ref="Y83:AC83" si="406">Y51</f>
        <v>47934.196233066665</v>
      </c>
      <c r="Z83" s="1794">
        <f t="shared" si="406"/>
        <v>47934.196233066665</v>
      </c>
      <c r="AA83" s="1705">
        <f t="shared" si="406"/>
        <v>47934.196233066665</v>
      </c>
      <c r="AB83" s="2147">
        <f t="shared" si="406"/>
        <v>47934.196233066665</v>
      </c>
      <c r="AC83" s="1794">
        <f t="shared" si="406"/>
        <v>47934.196233066665</v>
      </c>
      <c r="AD83" s="2276">
        <f>AD51+AD52</f>
        <v>47934.196233066665</v>
      </c>
      <c r="AE83" s="3483">
        <f t="shared" ref="AE83:AE85" si="407">SUM(S83:AD83)</f>
        <v>566918.68813013332</v>
      </c>
      <c r="AF83" s="1705">
        <f>AF51+(AF52*0.3)</f>
        <v>39642.5295664</v>
      </c>
      <c r="AG83" s="1706">
        <f t="shared" ref="AG83:AJ83" si="408">AG51</f>
        <v>47934.196233066665</v>
      </c>
      <c r="AH83" s="1705">
        <f t="shared" si="408"/>
        <v>47934.196233066665</v>
      </c>
      <c r="AI83" s="2147">
        <f t="shared" si="408"/>
        <v>47934.196233066665</v>
      </c>
      <c r="AJ83" s="1794">
        <f t="shared" si="408"/>
        <v>47934.196233066665</v>
      </c>
      <c r="AK83" s="2276">
        <f>AK51+(AK52*0.3)</f>
        <v>47934.196233066665</v>
      </c>
      <c r="AL83" s="1794">
        <f t="shared" ref="AL83:AP83" si="409">AL51</f>
        <v>47934.196233066665</v>
      </c>
      <c r="AM83" s="1794">
        <f t="shared" si="409"/>
        <v>47934.196233066665</v>
      </c>
      <c r="AN83" s="1705">
        <f t="shared" si="409"/>
        <v>47934.196233066665</v>
      </c>
      <c r="AO83" s="2147">
        <f t="shared" si="409"/>
        <v>47934.196233066665</v>
      </c>
      <c r="AP83" s="1794">
        <f t="shared" si="409"/>
        <v>47934.196233066665</v>
      </c>
      <c r="AQ83" s="2276">
        <f>AQ51+AQ52</f>
        <v>47934.196233066665</v>
      </c>
      <c r="AR83" s="3483">
        <f t="shared" ref="AR83:AR85" si="410">SUM(AF83:AQ83)</f>
        <v>566918.68813013332</v>
      </c>
      <c r="AS83" s="1705">
        <f>AS51+(AS52*0.3)</f>
        <v>39642.5295664</v>
      </c>
      <c r="AT83" s="1706">
        <f t="shared" ref="AT83:AW83" si="411">AT51</f>
        <v>47934.196233066665</v>
      </c>
      <c r="AU83" s="1705">
        <f t="shared" si="411"/>
        <v>47934.196233066665</v>
      </c>
      <c r="AV83" s="2147">
        <f t="shared" si="411"/>
        <v>47934.196233066665</v>
      </c>
      <c r="AW83" s="1794">
        <f t="shared" si="411"/>
        <v>47934.196233066665</v>
      </c>
      <c r="AX83" s="2276">
        <f>AX51+(AX52*0.3)</f>
        <v>47934.196233066665</v>
      </c>
      <c r="AY83" s="1794">
        <f t="shared" ref="AY83:BC83" si="412">AY51</f>
        <v>47934.196233066665</v>
      </c>
      <c r="AZ83" s="1794">
        <f t="shared" si="412"/>
        <v>47934.196233066665</v>
      </c>
      <c r="BA83" s="1705">
        <f t="shared" si="412"/>
        <v>47934.196233066665</v>
      </c>
      <c r="BB83" s="2147">
        <f t="shared" si="412"/>
        <v>47934.196233066665</v>
      </c>
      <c r="BC83" s="1794">
        <f t="shared" si="412"/>
        <v>47934.196233066665</v>
      </c>
      <c r="BD83" s="2276">
        <f>BD51+BD52</f>
        <v>47934.196233066665</v>
      </c>
      <c r="BE83" s="2277">
        <f t="shared" ref="BE83:BE85" si="413">SUM(AS83:BD83)</f>
        <v>566918.68813013332</v>
      </c>
    </row>
    <row r="84" spans="1:57" ht="18" customHeight="1">
      <c r="A84" s="7405"/>
      <c r="B84" s="2278" t="s">
        <v>310</v>
      </c>
      <c r="C84" s="1764"/>
      <c r="D84" s="60"/>
      <c r="E84" s="2279"/>
      <c r="F84" s="7057">
        <v>180691.86641212122</v>
      </c>
      <c r="G84" s="7057">
        <v>214266.86641212122</v>
      </c>
      <c r="H84" s="4495">
        <v>240976.86641212122</v>
      </c>
      <c r="I84" s="4492">
        <v>256445.23950000003</v>
      </c>
      <c r="J84" s="4495">
        <v>233957.7243846154</v>
      </c>
      <c r="K84" s="3857">
        <f t="shared" ref="K84:Q84" si="414">K64</f>
        <v>175042.32258636365</v>
      </c>
      <c r="L84" s="3805">
        <f>L64</f>
        <v>170866.9522719697</v>
      </c>
      <c r="M84" s="3805">
        <f t="shared" si="414"/>
        <v>170866.9522719697</v>
      </c>
      <c r="N84" s="3858">
        <f t="shared" si="414"/>
        <v>170866.9522719697</v>
      </c>
      <c r="O84" s="3803">
        <f t="shared" si="414"/>
        <v>164186.35976893941</v>
      </c>
      <c r="P84" s="3805">
        <f t="shared" si="414"/>
        <v>164186.35976893941</v>
      </c>
      <c r="Q84" s="3857">
        <f t="shared" si="414"/>
        <v>164186.35976893941</v>
      </c>
      <c r="R84" s="3484">
        <f t="shared" si="404"/>
        <v>2306540.8218300701</v>
      </c>
      <c r="S84" s="3445">
        <f>S64</f>
        <v>154507.52953409092</v>
      </c>
      <c r="T84" s="3445">
        <f>T64</f>
        <v>150410.53031060606</v>
      </c>
      <c r="U84" s="3327">
        <f t="shared" ref="U84:AD84" si="415">U64</f>
        <v>147132.93093181818</v>
      </c>
      <c r="V84" s="1759">
        <f t="shared" si="415"/>
        <v>153688.12968939394</v>
      </c>
      <c r="W84" s="1767">
        <f t="shared" si="415"/>
        <v>153688.12968939394</v>
      </c>
      <c r="X84" s="2084">
        <f t="shared" si="415"/>
        <v>153688.12968939394</v>
      </c>
      <c r="Y84" s="1767">
        <f t="shared" si="415"/>
        <v>158209.24897689396</v>
      </c>
      <c r="Z84" s="1767">
        <f t="shared" si="415"/>
        <v>158209.24897689396</v>
      </c>
      <c r="AA84" s="4">
        <f t="shared" si="415"/>
        <v>158209.24897689396</v>
      </c>
      <c r="AB84" s="1759">
        <f t="shared" si="415"/>
        <v>158209.24897689396</v>
      </c>
      <c r="AC84" s="1767">
        <f t="shared" si="415"/>
        <v>158209.24897689396</v>
      </c>
      <c r="AD84" s="2084">
        <f t="shared" si="415"/>
        <v>158209.24897689396</v>
      </c>
      <c r="AE84" s="3484">
        <f t="shared" si="407"/>
        <v>1862370.8737060607</v>
      </c>
      <c r="AF84" s="3445">
        <f>AF64</f>
        <v>154507.52953409092</v>
      </c>
      <c r="AG84" s="3445">
        <f>AG64</f>
        <v>150410.53031060606</v>
      </c>
      <c r="AH84" s="3327">
        <f t="shared" ref="AH84:AQ84" si="416">AH64</f>
        <v>147132.93093181818</v>
      </c>
      <c r="AI84" s="1759">
        <f t="shared" si="416"/>
        <v>153688.12968939394</v>
      </c>
      <c r="AJ84" s="1767">
        <f t="shared" si="416"/>
        <v>153688.12968939394</v>
      </c>
      <c r="AK84" s="2084">
        <f t="shared" si="416"/>
        <v>153688.12968939394</v>
      </c>
      <c r="AL84" s="1767">
        <f t="shared" si="416"/>
        <v>158209.24897689396</v>
      </c>
      <c r="AM84" s="1767">
        <f t="shared" si="416"/>
        <v>158209.24897689396</v>
      </c>
      <c r="AN84" s="4">
        <f t="shared" si="416"/>
        <v>158209.24897689396</v>
      </c>
      <c r="AO84" s="1759">
        <f t="shared" si="416"/>
        <v>158209.24897689396</v>
      </c>
      <c r="AP84" s="1767">
        <f t="shared" si="416"/>
        <v>158209.24897689396</v>
      </c>
      <c r="AQ84" s="2084">
        <f t="shared" si="416"/>
        <v>158209.24897689396</v>
      </c>
      <c r="AR84" s="3484">
        <f t="shared" si="410"/>
        <v>1862370.8737060607</v>
      </c>
      <c r="AS84" s="3445">
        <f>AS64</f>
        <v>154507.52953409092</v>
      </c>
      <c r="AT84" s="3445">
        <f>AT64</f>
        <v>150410.53031060606</v>
      </c>
      <c r="AU84" s="3327">
        <f t="shared" ref="AU84:BD84" si="417">AU64</f>
        <v>147132.93093181818</v>
      </c>
      <c r="AV84" s="1759">
        <f t="shared" si="417"/>
        <v>153688.12968939394</v>
      </c>
      <c r="AW84" s="1767">
        <f t="shared" si="417"/>
        <v>153688.12968939394</v>
      </c>
      <c r="AX84" s="2084">
        <f t="shared" si="417"/>
        <v>153688.12968939394</v>
      </c>
      <c r="AY84" s="1767">
        <f t="shared" si="417"/>
        <v>158209.24897689396</v>
      </c>
      <c r="AZ84" s="1767">
        <f t="shared" si="417"/>
        <v>158209.24897689396</v>
      </c>
      <c r="BA84" s="4">
        <f t="shared" si="417"/>
        <v>158209.24897689396</v>
      </c>
      <c r="BB84" s="1759">
        <f t="shared" si="417"/>
        <v>158209.24897689396</v>
      </c>
      <c r="BC84" s="1767">
        <f t="shared" si="417"/>
        <v>158209.24897689396</v>
      </c>
      <c r="BD84" s="2084">
        <f t="shared" si="417"/>
        <v>158209.24897689396</v>
      </c>
      <c r="BE84" s="2280">
        <f t="shared" si="413"/>
        <v>1862370.8737060607</v>
      </c>
    </row>
    <row r="85" spans="1:57" ht="18" customHeight="1">
      <c r="A85" s="7405"/>
      <c r="B85" s="2278" t="s">
        <v>838</v>
      </c>
      <c r="C85" s="1764"/>
      <c r="D85" s="60"/>
      <c r="E85" s="2279"/>
      <c r="F85" s="4495">
        <v>202379.82533333328</v>
      </c>
      <c r="G85" s="4495">
        <v>229561.80863714142</v>
      </c>
      <c r="H85" s="4495">
        <v>263819.75222163415</v>
      </c>
      <c r="I85" s="4492">
        <v>300469.67684615386</v>
      </c>
      <c r="J85" s="4495">
        <v>258627.48584615384</v>
      </c>
      <c r="K85" s="3857">
        <f t="shared" ref="K85:P85" si="418">K77</f>
        <v>297568.56434990256</v>
      </c>
      <c r="L85" s="3805">
        <f t="shared" si="418"/>
        <v>298597.8494781077</v>
      </c>
      <c r="M85" s="3805">
        <f t="shared" si="418"/>
        <v>292936.78127297951</v>
      </c>
      <c r="N85" s="3858">
        <f t="shared" si="418"/>
        <v>289848.92588836409</v>
      </c>
      <c r="O85" s="3803">
        <f t="shared" si="418"/>
        <v>286246.42793964612</v>
      </c>
      <c r="P85" s="3805">
        <f t="shared" si="418"/>
        <v>287275.71306785126</v>
      </c>
      <c r="Q85" s="3858">
        <f>Q77</f>
        <v>284187.8576832359</v>
      </c>
      <c r="R85" s="3484">
        <f t="shared" si="404"/>
        <v>3291520.668564504</v>
      </c>
      <c r="S85" s="3327">
        <f>S77</f>
        <v>238493</v>
      </c>
      <c r="T85" s="3327">
        <f t="shared" ref="T85:AC85" si="419">T77</f>
        <v>367545</v>
      </c>
      <c r="U85" s="3327" t="e">
        <f t="shared" si="419"/>
        <v>#REF!</v>
      </c>
      <c r="V85" s="1759" t="e">
        <f t="shared" si="419"/>
        <v>#REF!</v>
      </c>
      <c r="W85" s="1767" t="e">
        <f t="shared" si="419"/>
        <v>#REF!</v>
      </c>
      <c r="X85" s="2084" t="e">
        <f t="shared" si="419"/>
        <v>#REF!</v>
      </c>
      <c r="Y85" s="1767" t="e">
        <f t="shared" si="419"/>
        <v>#REF!</v>
      </c>
      <c r="Z85" s="1767" t="e">
        <f t="shared" si="419"/>
        <v>#REF!</v>
      </c>
      <c r="AA85" s="4" t="e">
        <f t="shared" si="419"/>
        <v>#REF!</v>
      </c>
      <c r="AB85" s="1759" t="e">
        <f t="shared" si="419"/>
        <v>#REF!</v>
      </c>
      <c r="AC85" s="1767" t="e">
        <f t="shared" si="419"/>
        <v>#REF!</v>
      </c>
      <c r="AD85" s="4" t="e">
        <f>AD77</f>
        <v>#REF!</v>
      </c>
      <c r="AE85" s="3484" t="e">
        <f t="shared" si="407"/>
        <v>#REF!</v>
      </c>
      <c r="AF85" s="3327">
        <f>AF77</f>
        <v>238493</v>
      </c>
      <c r="AG85" s="3327">
        <f t="shared" ref="AG85:AP85" si="420">AG77</f>
        <v>367545</v>
      </c>
      <c r="AH85" s="3327" t="e">
        <f t="shared" si="420"/>
        <v>#REF!</v>
      </c>
      <c r="AI85" s="1759" t="e">
        <f t="shared" si="420"/>
        <v>#REF!</v>
      </c>
      <c r="AJ85" s="1767" t="e">
        <f t="shared" si="420"/>
        <v>#REF!</v>
      </c>
      <c r="AK85" s="2084" t="e">
        <f t="shared" si="420"/>
        <v>#REF!</v>
      </c>
      <c r="AL85" s="1767" t="e">
        <f t="shared" si="420"/>
        <v>#REF!</v>
      </c>
      <c r="AM85" s="1767" t="e">
        <f t="shared" si="420"/>
        <v>#REF!</v>
      </c>
      <c r="AN85" s="4" t="e">
        <f t="shared" si="420"/>
        <v>#REF!</v>
      </c>
      <c r="AO85" s="1759" t="e">
        <f t="shared" si="420"/>
        <v>#REF!</v>
      </c>
      <c r="AP85" s="1767" t="e">
        <f t="shared" si="420"/>
        <v>#REF!</v>
      </c>
      <c r="AQ85" s="4" t="e">
        <f>AQ77</f>
        <v>#REF!</v>
      </c>
      <c r="AR85" s="3484" t="e">
        <f t="shared" si="410"/>
        <v>#REF!</v>
      </c>
      <c r="AS85" s="3327">
        <f>AS77</f>
        <v>238493</v>
      </c>
      <c r="AT85" s="3327">
        <f t="shared" ref="AT85:BC85" si="421">AT77</f>
        <v>367545</v>
      </c>
      <c r="AU85" s="3327" t="e">
        <f t="shared" si="421"/>
        <v>#REF!</v>
      </c>
      <c r="AV85" s="1759" t="e">
        <f t="shared" si="421"/>
        <v>#REF!</v>
      </c>
      <c r="AW85" s="1767" t="e">
        <f t="shared" si="421"/>
        <v>#REF!</v>
      </c>
      <c r="AX85" s="2084" t="e">
        <f t="shared" si="421"/>
        <v>#REF!</v>
      </c>
      <c r="AY85" s="1767" t="e">
        <f t="shared" si="421"/>
        <v>#REF!</v>
      </c>
      <c r="AZ85" s="1767" t="e">
        <f t="shared" si="421"/>
        <v>#REF!</v>
      </c>
      <c r="BA85" s="4" t="e">
        <f t="shared" si="421"/>
        <v>#REF!</v>
      </c>
      <c r="BB85" s="1759" t="e">
        <f t="shared" si="421"/>
        <v>#REF!</v>
      </c>
      <c r="BC85" s="1767" t="e">
        <f t="shared" si="421"/>
        <v>#REF!</v>
      </c>
      <c r="BD85" s="4" t="e">
        <f>BD77</f>
        <v>#REF!</v>
      </c>
      <c r="BE85" s="2280" t="e">
        <f t="shared" si="413"/>
        <v>#REF!</v>
      </c>
    </row>
    <row r="86" spans="1:57" ht="18" customHeight="1">
      <c r="A86" s="7406"/>
      <c r="B86" s="2281" t="s">
        <v>361</v>
      </c>
      <c r="C86" s="2282"/>
      <c r="D86" s="2283"/>
      <c r="E86" s="15"/>
      <c r="F86" s="4672">
        <f>SUM(F83:F85)</f>
        <v>432830.43064281449</v>
      </c>
      <c r="G86" s="4672">
        <f t="shared" ref="G86:Q86" si="422">SUM(G83:G85)</f>
        <v>487161.41394662263</v>
      </c>
      <c r="H86" s="4672">
        <f t="shared" si="422"/>
        <v>546603.35753111541</v>
      </c>
      <c r="I86" s="4747">
        <f t="shared" si="422"/>
        <v>598756.38061538467</v>
      </c>
      <c r="J86" s="4672">
        <f t="shared" si="422"/>
        <v>526490.38119230769</v>
      </c>
      <c r="K86" s="2286">
        <f t="shared" si="422"/>
        <v>519082.6258336262</v>
      </c>
      <c r="L86" s="2284">
        <f t="shared" si="422"/>
        <v>515936.54064743739</v>
      </c>
      <c r="M86" s="2284">
        <f t="shared" si="422"/>
        <v>510275.4724423092</v>
      </c>
      <c r="N86" s="2287">
        <f t="shared" si="422"/>
        <v>507187.61705769377</v>
      </c>
      <c r="O86" s="2285">
        <f t="shared" si="422"/>
        <v>496904.52660594555</v>
      </c>
      <c r="P86" s="2284">
        <f t="shared" si="422"/>
        <v>497933.81173415069</v>
      </c>
      <c r="Q86" s="2287">
        <f t="shared" si="422"/>
        <v>494845.95634953532</v>
      </c>
      <c r="R86" s="2089">
        <f>SUM(R83:R85)</f>
        <v>6134008.5145989433</v>
      </c>
      <c r="S86" s="2284">
        <f>SUM(S83:S85)</f>
        <v>432643.05910049094</v>
      </c>
      <c r="T86" s="2284">
        <f t="shared" ref="T86:AD86" si="423">SUM(T83:T85)</f>
        <v>565889.72654367273</v>
      </c>
      <c r="U86" s="2284" t="e">
        <f t="shared" si="423"/>
        <v>#REF!</v>
      </c>
      <c r="V86" s="2285" t="e">
        <f t="shared" si="423"/>
        <v>#REF!</v>
      </c>
      <c r="W86" s="2284" t="e">
        <f t="shared" si="423"/>
        <v>#REF!</v>
      </c>
      <c r="X86" s="2286" t="e">
        <f t="shared" si="423"/>
        <v>#REF!</v>
      </c>
      <c r="Y86" s="2284" t="e">
        <f t="shared" si="423"/>
        <v>#REF!</v>
      </c>
      <c r="Z86" s="2284" t="e">
        <f t="shared" si="423"/>
        <v>#REF!</v>
      </c>
      <c r="AA86" s="2287" t="e">
        <f t="shared" si="423"/>
        <v>#REF!</v>
      </c>
      <c r="AB86" s="2285" t="e">
        <f t="shared" si="423"/>
        <v>#REF!</v>
      </c>
      <c r="AC86" s="2284" t="e">
        <f t="shared" si="423"/>
        <v>#REF!</v>
      </c>
      <c r="AD86" s="2287" t="e">
        <f t="shared" si="423"/>
        <v>#REF!</v>
      </c>
      <c r="AE86" s="2089" t="e">
        <f>SUM(AE83:AE85)</f>
        <v>#REF!</v>
      </c>
      <c r="AF86" s="2284">
        <f>SUM(AF83:AF85)</f>
        <v>432643.05910049094</v>
      </c>
      <c r="AG86" s="2284">
        <f t="shared" ref="AG86:AQ86" si="424">SUM(AG83:AG85)</f>
        <v>565889.72654367273</v>
      </c>
      <c r="AH86" s="2284" t="e">
        <f t="shared" si="424"/>
        <v>#REF!</v>
      </c>
      <c r="AI86" s="2285" t="e">
        <f t="shared" si="424"/>
        <v>#REF!</v>
      </c>
      <c r="AJ86" s="2284" t="e">
        <f t="shared" si="424"/>
        <v>#REF!</v>
      </c>
      <c r="AK86" s="2286" t="e">
        <f t="shared" si="424"/>
        <v>#REF!</v>
      </c>
      <c r="AL86" s="2284" t="e">
        <f t="shared" si="424"/>
        <v>#REF!</v>
      </c>
      <c r="AM86" s="2284" t="e">
        <f t="shared" si="424"/>
        <v>#REF!</v>
      </c>
      <c r="AN86" s="2287" t="e">
        <f t="shared" si="424"/>
        <v>#REF!</v>
      </c>
      <c r="AO86" s="2285" t="e">
        <f t="shared" si="424"/>
        <v>#REF!</v>
      </c>
      <c r="AP86" s="2284" t="e">
        <f t="shared" si="424"/>
        <v>#REF!</v>
      </c>
      <c r="AQ86" s="2287" t="e">
        <f t="shared" si="424"/>
        <v>#REF!</v>
      </c>
      <c r="AR86" s="2089" t="e">
        <f>SUM(AR83:AR85)</f>
        <v>#REF!</v>
      </c>
      <c r="AS86" s="2284">
        <f>SUM(AS83:AS85)</f>
        <v>432643.05910049094</v>
      </c>
      <c r="AT86" s="2284">
        <f t="shared" ref="AT86:BD86" si="425">SUM(AT83:AT85)</f>
        <v>565889.72654367273</v>
      </c>
      <c r="AU86" s="2284" t="e">
        <f t="shared" si="425"/>
        <v>#REF!</v>
      </c>
      <c r="AV86" s="2285" t="e">
        <f t="shared" si="425"/>
        <v>#REF!</v>
      </c>
      <c r="AW86" s="2284" t="e">
        <f t="shared" si="425"/>
        <v>#REF!</v>
      </c>
      <c r="AX86" s="2286" t="e">
        <f t="shared" si="425"/>
        <v>#REF!</v>
      </c>
      <c r="AY86" s="2284" t="e">
        <f t="shared" si="425"/>
        <v>#REF!</v>
      </c>
      <c r="AZ86" s="2284" t="e">
        <f t="shared" si="425"/>
        <v>#REF!</v>
      </c>
      <c r="BA86" s="2287" t="e">
        <f t="shared" si="425"/>
        <v>#REF!</v>
      </c>
      <c r="BB86" s="2285" t="e">
        <f t="shared" si="425"/>
        <v>#REF!</v>
      </c>
      <c r="BC86" s="2284" t="e">
        <f t="shared" si="425"/>
        <v>#REF!</v>
      </c>
      <c r="BD86" s="2287" t="e">
        <f t="shared" si="425"/>
        <v>#REF!</v>
      </c>
      <c r="BE86" s="1587" t="e">
        <f>SUM(BE83:BE85)</f>
        <v>#REF!</v>
      </c>
    </row>
    <row r="87" spans="1:57" ht="18" customHeight="1">
      <c r="A87" s="7407" t="s">
        <v>362</v>
      </c>
      <c r="B87" s="21" t="s">
        <v>834</v>
      </c>
      <c r="C87" s="2288"/>
      <c r="D87" s="59"/>
      <c r="E87" s="2289"/>
      <c r="F87" s="5676">
        <v>95885.475000000006</v>
      </c>
      <c r="G87" s="5675">
        <v>76323.475000000006</v>
      </c>
      <c r="H87" s="4651">
        <v>72922.475000000006</v>
      </c>
      <c r="I87" s="4499">
        <v>71740.718192307701</v>
      </c>
      <c r="J87" s="6287">
        <v>71725.798615384614</v>
      </c>
      <c r="K87" s="3860">
        <f>K47</f>
        <v>76722.450000000012</v>
      </c>
      <c r="L87" s="3828">
        <f t="shared" ref="L87:Q87" si="426">L47</f>
        <v>76722.450000000012</v>
      </c>
      <c r="M87" s="3828">
        <f t="shared" si="426"/>
        <v>76722.450000000012</v>
      </c>
      <c r="N87" s="3859">
        <f t="shared" si="426"/>
        <v>76722.450000000012</v>
      </c>
      <c r="O87" s="3824">
        <f t="shared" si="426"/>
        <v>76722.450000000012</v>
      </c>
      <c r="P87" s="3828">
        <f t="shared" si="426"/>
        <v>76722.450000000012</v>
      </c>
      <c r="Q87" s="3860">
        <f t="shared" si="426"/>
        <v>76722.450000000012</v>
      </c>
      <c r="R87" s="3485">
        <f t="shared" ref="R87:R88" si="427">SUM(F87:Q87)</f>
        <v>925655.09180769208</v>
      </c>
      <c r="S87" s="3446">
        <f>S47+(S52*0.7)</f>
        <v>82719.200000000012</v>
      </c>
      <c r="T87" s="3447">
        <f t="shared" ref="T87:W87" si="428">T47</f>
        <v>82719.200000000012</v>
      </c>
      <c r="U87" s="3446">
        <f t="shared" si="428"/>
        <v>73069</v>
      </c>
      <c r="V87" s="2088">
        <f t="shared" si="428"/>
        <v>73069</v>
      </c>
      <c r="W87" s="2175">
        <f t="shared" si="428"/>
        <v>73069</v>
      </c>
      <c r="X87" s="2100">
        <f>X47</f>
        <v>73069</v>
      </c>
      <c r="Y87" s="2175">
        <f t="shared" ref="Y87:AD87" si="429">Y47</f>
        <v>73069</v>
      </c>
      <c r="Z87" s="2175">
        <f t="shared" si="429"/>
        <v>73069</v>
      </c>
      <c r="AA87" s="1739">
        <f t="shared" si="429"/>
        <v>73069</v>
      </c>
      <c r="AB87" s="2088">
        <f t="shared" si="429"/>
        <v>73069</v>
      </c>
      <c r="AC87" s="2175">
        <f t="shared" si="429"/>
        <v>73069</v>
      </c>
      <c r="AD87" s="2100">
        <f t="shared" si="429"/>
        <v>73069</v>
      </c>
      <c r="AE87" s="3485">
        <f t="shared" ref="AE87:AE88" si="430">SUM(S87:AD87)</f>
        <v>896128.4</v>
      </c>
      <c r="AF87" s="3446">
        <f>AF47+(AF52*0.7)</f>
        <v>82719.200000000012</v>
      </c>
      <c r="AG87" s="3447">
        <f t="shared" ref="AG87:AJ87" si="431">AG47</f>
        <v>82719.200000000012</v>
      </c>
      <c r="AH87" s="3446">
        <f t="shared" si="431"/>
        <v>73069</v>
      </c>
      <c r="AI87" s="2088">
        <f t="shared" si="431"/>
        <v>73069</v>
      </c>
      <c r="AJ87" s="2175">
        <f t="shared" si="431"/>
        <v>73069</v>
      </c>
      <c r="AK87" s="2100">
        <f>AK47</f>
        <v>73069</v>
      </c>
      <c r="AL87" s="2175">
        <f t="shared" ref="AL87:AQ87" si="432">AL47</f>
        <v>73069</v>
      </c>
      <c r="AM87" s="2175">
        <f t="shared" si="432"/>
        <v>73069</v>
      </c>
      <c r="AN87" s="1739">
        <f t="shared" si="432"/>
        <v>73069</v>
      </c>
      <c r="AO87" s="2088">
        <f t="shared" si="432"/>
        <v>73069</v>
      </c>
      <c r="AP87" s="2175">
        <f t="shared" si="432"/>
        <v>73069</v>
      </c>
      <c r="AQ87" s="2100">
        <f t="shared" si="432"/>
        <v>73069</v>
      </c>
      <c r="AR87" s="3485">
        <f t="shared" ref="AR87:AR88" si="433">SUM(AF87:AQ87)</f>
        <v>896128.4</v>
      </c>
      <c r="AS87" s="3446">
        <f>AS47+(AS52*0.7)</f>
        <v>82719.200000000012</v>
      </c>
      <c r="AT87" s="3447">
        <f t="shared" ref="AT87:AW87" si="434">AT47</f>
        <v>82719.200000000012</v>
      </c>
      <c r="AU87" s="3446">
        <f t="shared" si="434"/>
        <v>73069</v>
      </c>
      <c r="AV87" s="2088">
        <f t="shared" si="434"/>
        <v>73069</v>
      </c>
      <c r="AW87" s="2175">
        <f t="shared" si="434"/>
        <v>73069</v>
      </c>
      <c r="AX87" s="2100">
        <f>AX47</f>
        <v>73069</v>
      </c>
      <c r="AY87" s="2175">
        <f t="shared" ref="AY87:BD87" si="435">AY47</f>
        <v>73069</v>
      </c>
      <c r="AZ87" s="2175">
        <f t="shared" si="435"/>
        <v>73069</v>
      </c>
      <c r="BA87" s="1739">
        <f t="shared" si="435"/>
        <v>73069</v>
      </c>
      <c r="BB87" s="2088">
        <f t="shared" si="435"/>
        <v>73069</v>
      </c>
      <c r="BC87" s="2175">
        <f t="shared" si="435"/>
        <v>73069</v>
      </c>
      <c r="BD87" s="2100">
        <f t="shared" si="435"/>
        <v>73069</v>
      </c>
      <c r="BE87" s="2202">
        <f t="shared" ref="BE87:BE88" si="436">SUM(AS87:BD87)</f>
        <v>896128.4</v>
      </c>
    </row>
    <row r="88" spans="1:57" ht="18" customHeight="1">
      <c r="A88" s="7408"/>
      <c r="B88" s="25" t="s">
        <v>310</v>
      </c>
      <c r="C88" s="1764"/>
      <c r="D88" s="60"/>
      <c r="E88" s="2279"/>
      <c r="F88" s="4673">
        <v>52272.275125</v>
      </c>
      <c r="G88" s="5277">
        <v>72714.275125</v>
      </c>
      <c r="H88" s="5668">
        <v>85766.275125</v>
      </c>
      <c r="I88" s="4492">
        <v>84830.971807692316</v>
      </c>
      <c r="J88" s="4495">
        <v>81566.792499999996</v>
      </c>
      <c r="K88" s="3857">
        <f t="shared" ref="K88:P88" si="437">+K60</f>
        <v>64592.812261363637</v>
      </c>
      <c r="L88" s="3805">
        <f t="shared" si="437"/>
        <v>58162.03843030303</v>
      </c>
      <c r="M88" s="3805">
        <f t="shared" si="437"/>
        <v>58162.03843030303</v>
      </c>
      <c r="N88" s="3858">
        <f t="shared" si="437"/>
        <v>58162.03843030303</v>
      </c>
      <c r="O88" s="3803">
        <f t="shared" si="437"/>
        <v>54284.986043939396</v>
      </c>
      <c r="P88" s="3805">
        <f t="shared" si="437"/>
        <v>54284.986043939396</v>
      </c>
      <c r="Q88" s="3857">
        <f>+Q60+Q65</f>
        <v>54284.986043939396</v>
      </c>
      <c r="R88" s="3486">
        <f t="shared" si="427"/>
        <v>779084.4753667831</v>
      </c>
      <c r="S88" s="3448">
        <f>+S60</f>
        <v>92019.359016666669</v>
      </c>
      <c r="T88" s="3449">
        <f>+T60</f>
        <v>90727.730228787885</v>
      </c>
      <c r="U88" s="3450">
        <f t="shared" ref="U88:AC88" si="438">+U60</f>
        <v>89963.285660606067</v>
      </c>
      <c r="V88" s="1759">
        <f t="shared" si="438"/>
        <v>91492.174796969703</v>
      </c>
      <c r="W88" s="1767">
        <f t="shared" si="438"/>
        <v>91492.174796969703</v>
      </c>
      <c r="X88" s="2084">
        <f t="shared" si="438"/>
        <v>91492.174796969703</v>
      </c>
      <c r="Y88" s="1767">
        <f t="shared" si="438"/>
        <v>91492.174796969703</v>
      </c>
      <c r="Z88" s="1767">
        <f t="shared" si="438"/>
        <v>91492.174796969703</v>
      </c>
      <c r="AA88" s="4">
        <f t="shared" si="438"/>
        <v>91492.174796969703</v>
      </c>
      <c r="AB88" s="1759">
        <f t="shared" si="438"/>
        <v>91492.174796969703</v>
      </c>
      <c r="AC88" s="1767">
        <f t="shared" si="438"/>
        <v>91492.174796969703</v>
      </c>
      <c r="AD88" s="2084">
        <f>+AD60+AD65</f>
        <v>91492.174796969703</v>
      </c>
      <c r="AE88" s="3486">
        <f t="shared" si="430"/>
        <v>1096139.9480787881</v>
      </c>
      <c r="AF88" s="3448">
        <f>+AF60</f>
        <v>92019.359016666669</v>
      </c>
      <c r="AG88" s="3449">
        <f>+AG60</f>
        <v>90727.730228787885</v>
      </c>
      <c r="AH88" s="3450">
        <f t="shared" ref="AH88:AP88" si="439">+AH60</f>
        <v>89963.285660606067</v>
      </c>
      <c r="AI88" s="1759">
        <f t="shared" si="439"/>
        <v>91492.174796969703</v>
      </c>
      <c r="AJ88" s="1767">
        <f t="shared" si="439"/>
        <v>91492.174796969703</v>
      </c>
      <c r="AK88" s="2084">
        <f t="shared" si="439"/>
        <v>91492.174796969703</v>
      </c>
      <c r="AL88" s="1767">
        <f t="shared" si="439"/>
        <v>91492.174796969703</v>
      </c>
      <c r="AM88" s="1767">
        <f t="shared" si="439"/>
        <v>91492.174796969703</v>
      </c>
      <c r="AN88" s="4">
        <f t="shared" si="439"/>
        <v>91492.174796969703</v>
      </c>
      <c r="AO88" s="1759">
        <f t="shared" si="439"/>
        <v>91492.174796969703</v>
      </c>
      <c r="AP88" s="1767">
        <f t="shared" si="439"/>
        <v>91492.174796969703</v>
      </c>
      <c r="AQ88" s="2084">
        <f>+AQ60+AQ65</f>
        <v>91492.174796969703</v>
      </c>
      <c r="AR88" s="3486">
        <f t="shared" si="433"/>
        <v>1096139.9480787881</v>
      </c>
      <c r="AS88" s="3448">
        <f>+AS60</f>
        <v>92019.359016666669</v>
      </c>
      <c r="AT88" s="3449">
        <f>+AT60</f>
        <v>90727.730228787885</v>
      </c>
      <c r="AU88" s="3450">
        <f t="shared" ref="AU88:BC88" si="440">+AU60</f>
        <v>89963.285660606067</v>
      </c>
      <c r="AV88" s="1759">
        <f t="shared" si="440"/>
        <v>91492.174796969703</v>
      </c>
      <c r="AW88" s="1767">
        <f t="shared" si="440"/>
        <v>91492.174796969703</v>
      </c>
      <c r="AX88" s="2084">
        <f t="shared" si="440"/>
        <v>91492.174796969703</v>
      </c>
      <c r="AY88" s="1767">
        <f t="shared" si="440"/>
        <v>91492.174796969703</v>
      </c>
      <c r="AZ88" s="1767">
        <f t="shared" si="440"/>
        <v>91492.174796969703</v>
      </c>
      <c r="BA88" s="4">
        <f t="shared" si="440"/>
        <v>91492.174796969703</v>
      </c>
      <c r="BB88" s="1759">
        <f t="shared" si="440"/>
        <v>91492.174796969703</v>
      </c>
      <c r="BC88" s="1767">
        <f t="shared" si="440"/>
        <v>91492.174796969703</v>
      </c>
      <c r="BD88" s="2084">
        <f>+BD60+BD65</f>
        <v>91492.174796969703</v>
      </c>
      <c r="BE88" s="1654">
        <f t="shared" si="436"/>
        <v>1096139.9480787881</v>
      </c>
    </row>
    <row r="89" spans="1:57" ht="18" customHeight="1" thickBot="1">
      <c r="A89" s="7406"/>
      <c r="B89" s="2290" t="s">
        <v>361</v>
      </c>
      <c r="C89" s="2291"/>
      <c r="D89" s="2292"/>
      <c r="E89" s="2293"/>
      <c r="F89" s="4674">
        <f>SUM(F87:F88)</f>
        <v>148157.75012500002</v>
      </c>
      <c r="G89" s="4674">
        <f t="shared" ref="G89:Q89" si="441">SUM(G87:G88)</f>
        <v>149037.75012500002</v>
      </c>
      <c r="H89" s="5669">
        <f t="shared" si="441"/>
        <v>158688.75012500002</v>
      </c>
      <c r="I89" s="4494">
        <f t="shared" si="441"/>
        <v>156571.69</v>
      </c>
      <c r="J89" s="6178">
        <f t="shared" si="441"/>
        <v>153292.5911153846</v>
      </c>
      <c r="K89" s="2107">
        <f t="shared" si="441"/>
        <v>141315.26226136365</v>
      </c>
      <c r="L89" s="1806">
        <f t="shared" si="441"/>
        <v>134884.48843030306</v>
      </c>
      <c r="M89" s="1806">
        <f t="shared" si="441"/>
        <v>134884.48843030306</v>
      </c>
      <c r="N89" s="1731">
        <f t="shared" si="441"/>
        <v>134884.48843030306</v>
      </c>
      <c r="O89" s="1805">
        <f t="shared" si="441"/>
        <v>131007.43604393941</v>
      </c>
      <c r="P89" s="1806">
        <f t="shared" si="441"/>
        <v>131007.43604393941</v>
      </c>
      <c r="Q89" s="2107">
        <f t="shared" si="441"/>
        <v>131007.43604393941</v>
      </c>
      <c r="R89" s="2108">
        <f>SUM(R87:R88)</f>
        <v>1704739.5671744752</v>
      </c>
      <c r="S89" s="2">
        <f>SUM(S87:S88)</f>
        <v>174738.55901666667</v>
      </c>
      <c r="T89" s="2">
        <f t="shared" ref="T89:AD89" si="442">SUM(T87:T88)</f>
        <v>173446.93022878788</v>
      </c>
      <c r="U89" s="3451">
        <f t="shared" si="442"/>
        <v>163032.28566060605</v>
      </c>
      <c r="V89" s="1805">
        <f t="shared" si="442"/>
        <v>164561.17479696969</v>
      </c>
      <c r="W89" s="1806">
        <f t="shared" si="442"/>
        <v>164561.17479696969</v>
      </c>
      <c r="X89" s="2107">
        <f t="shared" si="442"/>
        <v>164561.17479696969</v>
      </c>
      <c r="Y89" s="1806">
        <f t="shared" si="442"/>
        <v>164561.17479696969</v>
      </c>
      <c r="Z89" s="1806">
        <f t="shared" si="442"/>
        <v>164561.17479696969</v>
      </c>
      <c r="AA89" s="1731">
        <f t="shared" si="442"/>
        <v>164561.17479696969</v>
      </c>
      <c r="AB89" s="1805">
        <f t="shared" si="442"/>
        <v>164561.17479696969</v>
      </c>
      <c r="AC89" s="1806">
        <f t="shared" si="442"/>
        <v>164561.17479696969</v>
      </c>
      <c r="AD89" s="2107">
        <f t="shared" si="442"/>
        <v>164561.17479696969</v>
      </c>
      <c r="AE89" s="2108">
        <f>SUM(AE87:AE88)</f>
        <v>1992268.3480787883</v>
      </c>
      <c r="AF89" s="2">
        <f>SUM(AF87:AF88)</f>
        <v>174738.55901666667</v>
      </c>
      <c r="AG89" s="2">
        <f t="shared" ref="AG89:AQ89" si="443">SUM(AG87:AG88)</f>
        <v>173446.93022878788</v>
      </c>
      <c r="AH89" s="3451">
        <f t="shared" si="443"/>
        <v>163032.28566060605</v>
      </c>
      <c r="AI89" s="1805">
        <f t="shared" si="443"/>
        <v>164561.17479696969</v>
      </c>
      <c r="AJ89" s="1806">
        <f t="shared" si="443"/>
        <v>164561.17479696969</v>
      </c>
      <c r="AK89" s="2107">
        <f t="shared" si="443"/>
        <v>164561.17479696969</v>
      </c>
      <c r="AL89" s="1806">
        <f t="shared" si="443"/>
        <v>164561.17479696969</v>
      </c>
      <c r="AM89" s="1806">
        <f t="shared" si="443"/>
        <v>164561.17479696969</v>
      </c>
      <c r="AN89" s="1731">
        <f t="shared" si="443"/>
        <v>164561.17479696969</v>
      </c>
      <c r="AO89" s="1805">
        <f t="shared" si="443"/>
        <v>164561.17479696969</v>
      </c>
      <c r="AP89" s="1806">
        <f t="shared" si="443"/>
        <v>164561.17479696969</v>
      </c>
      <c r="AQ89" s="2107">
        <f t="shared" si="443"/>
        <v>164561.17479696969</v>
      </c>
      <c r="AR89" s="2108">
        <f>SUM(AR87:AR88)</f>
        <v>1992268.3480787883</v>
      </c>
      <c r="AS89" s="2">
        <f>SUM(AS87:AS88)</f>
        <v>174738.55901666667</v>
      </c>
      <c r="AT89" s="2">
        <f t="shared" ref="AT89:BD89" si="444">SUM(AT87:AT88)</f>
        <v>173446.93022878788</v>
      </c>
      <c r="AU89" s="3451">
        <f t="shared" si="444"/>
        <v>163032.28566060605</v>
      </c>
      <c r="AV89" s="1805">
        <f t="shared" si="444"/>
        <v>164561.17479696969</v>
      </c>
      <c r="AW89" s="1806">
        <f t="shared" si="444"/>
        <v>164561.17479696969</v>
      </c>
      <c r="AX89" s="2107">
        <f t="shared" si="444"/>
        <v>164561.17479696969</v>
      </c>
      <c r="AY89" s="1806">
        <f t="shared" si="444"/>
        <v>164561.17479696969</v>
      </c>
      <c r="AZ89" s="1806">
        <f t="shared" si="444"/>
        <v>164561.17479696969</v>
      </c>
      <c r="BA89" s="1731">
        <f t="shared" si="444"/>
        <v>164561.17479696969</v>
      </c>
      <c r="BB89" s="1805">
        <f t="shared" si="444"/>
        <v>164561.17479696969</v>
      </c>
      <c r="BC89" s="1806">
        <f t="shared" si="444"/>
        <v>164561.17479696969</v>
      </c>
      <c r="BD89" s="2107">
        <f t="shared" si="444"/>
        <v>164561.17479696969</v>
      </c>
      <c r="BE89" s="1566">
        <f>SUM(BE87:BE88)</f>
        <v>1992268.3480787883</v>
      </c>
    </row>
    <row r="90" spans="1:57" ht="18" customHeight="1" thickBot="1">
      <c r="A90" s="7390" t="s">
        <v>363</v>
      </c>
      <c r="B90" s="7409"/>
      <c r="C90" s="7409"/>
      <c r="D90" s="7409"/>
      <c r="E90" s="7410"/>
      <c r="F90" s="3952">
        <f t="shared" ref="F90:Q90" si="445">F89+F86</f>
        <v>580988.18076781451</v>
      </c>
      <c r="G90" s="5012">
        <f t="shared" si="445"/>
        <v>636199.16407162265</v>
      </c>
      <c r="H90" s="5505">
        <f t="shared" si="445"/>
        <v>705292.10765611543</v>
      </c>
      <c r="I90" s="3952">
        <f t="shared" si="445"/>
        <v>755328.07061538473</v>
      </c>
      <c r="J90" s="5663">
        <f t="shared" si="445"/>
        <v>679782.97230769228</v>
      </c>
      <c r="K90" s="2294">
        <f t="shared" si="445"/>
        <v>660397.88809498982</v>
      </c>
      <c r="L90" s="1778">
        <f t="shared" si="445"/>
        <v>650821.02907774039</v>
      </c>
      <c r="M90" s="1778">
        <f t="shared" si="445"/>
        <v>645159.9608726122</v>
      </c>
      <c r="N90" s="2295">
        <f t="shared" si="445"/>
        <v>642072.10548799683</v>
      </c>
      <c r="O90" s="1824">
        <f t="shared" si="445"/>
        <v>627911.96264988498</v>
      </c>
      <c r="P90" s="1778">
        <f t="shared" si="445"/>
        <v>628941.24777809007</v>
      </c>
      <c r="Q90" s="2294">
        <f t="shared" si="445"/>
        <v>625853.3923934747</v>
      </c>
      <c r="R90" s="2143">
        <f>R89+R86</f>
        <v>7838748.0817734189</v>
      </c>
      <c r="S90" s="1824">
        <v>575569.01815999998</v>
      </c>
      <c r="T90" s="1776">
        <v>708945.95163999998</v>
      </c>
      <c r="U90" s="1777" t="e">
        <f t="shared" ref="U90:AD90" si="446">U89+U86</f>
        <v>#REF!</v>
      </c>
      <c r="V90" s="1824" t="e">
        <f t="shared" si="446"/>
        <v>#REF!</v>
      </c>
      <c r="W90" s="1778" t="e">
        <f t="shared" si="446"/>
        <v>#REF!</v>
      </c>
      <c r="X90" s="2294" t="e">
        <f t="shared" si="446"/>
        <v>#REF!</v>
      </c>
      <c r="Y90" s="1778" t="e">
        <f t="shared" si="446"/>
        <v>#REF!</v>
      </c>
      <c r="Z90" s="1778" t="e">
        <f t="shared" si="446"/>
        <v>#REF!</v>
      </c>
      <c r="AA90" s="2295" t="e">
        <f t="shared" si="446"/>
        <v>#REF!</v>
      </c>
      <c r="AB90" s="1824" t="e">
        <f t="shared" si="446"/>
        <v>#REF!</v>
      </c>
      <c r="AC90" s="1778" t="e">
        <f t="shared" si="446"/>
        <v>#REF!</v>
      </c>
      <c r="AD90" s="2294" t="e">
        <f t="shared" si="446"/>
        <v>#REF!</v>
      </c>
      <c r="AE90" s="2143" t="e">
        <f>AE89+AE86</f>
        <v>#REF!</v>
      </c>
      <c r="AF90" s="1824">
        <v>575569.01815999998</v>
      </c>
      <c r="AG90" s="1776">
        <v>708945.95163999998</v>
      </c>
      <c r="AH90" s="1777" t="e">
        <f t="shared" ref="AH90:AQ90" si="447">AH89+AH86</f>
        <v>#REF!</v>
      </c>
      <c r="AI90" s="1824" t="e">
        <f t="shared" si="447"/>
        <v>#REF!</v>
      </c>
      <c r="AJ90" s="1778" t="e">
        <f t="shared" si="447"/>
        <v>#REF!</v>
      </c>
      <c r="AK90" s="2294" t="e">
        <f t="shared" si="447"/>
        <v>#REF!</v>
      </c>
      <c r="AL90" s="1778" t="e">
        <f t="shared" si="447"/>
        <v>#REF!</v>
      </c>
      <c r="AM90" s="1778" t="e">
        <f t="shared" si="447"/>
        <v>#REF!</v>
      </c>
      <c r="AN90" s="2295" t="e">
        <f t="shared" si="447"/>
        <v>#REF!</v>
      </c>
      <c r="AO90" s="1824" t="e">
        <f t="shared" si="447"/>
        <v>#REF!</v>
      </c>
      <c r="AP90" s="1778" t="e">
        <f t="shared" si="447"/>
        <v>#REF!</v>
      </c>
      <c r="AQ90" s="2294" t="e">
        <f t="shared" si="447"/>
        <v>#REF!</v>
      </c>
      <c r="AR90" s="2143" t="e">
        <f>AR89+AR86</f>
        <v>#REF!</v>
      </c>
      <c r="AS90" s="1824">
        <v>575569.01815999998</v>
      </c>
      <c r="AT90" s="1776">
        <v>708945.95163999998</v>
      </c>
      <c r="AU90" s="1777" t="e">
        <f t="shared" ref="AU90:BD90" si="448">AU89+AU86</f>
        <v>#REF!</v>
      </c>
      <c r="AV90" s="1824" t="e">
        <f t="shared" si="448"/>
        <v>#REF!</v>
      </c>
      <c r="AW90" s="1778" t="e">
        <f t="shared" si="448"/>
        <v>#REF!</v>
      </c>
      <c r="AX90" s="2294" t="e">
        <f t="shared" si="448"/>
        <v>#REF!</v>
      </c>
      <c r="AY90" s="1778" t="e">
        <f t="shared" si="448"/>
        <v>#REF!</v>
      </c>
      <c r="AZ90" s="1778" t="e">
        <f t="shared" si="448"/>
        <v>#REF!</v>
      </c>
      <c r="BA90" s="2295" t="e">
        <f t="shared" si="448"/>
        <v>#REF!</v>
      </c>
      <c r="BB90" s="1824" t="e">
        <f t="shared" si="448"/>
        <v>#REF!</v>
      </c>
      <c r="BC90" s="1778" t="e">
        <f t="shared" si="448"/>
        <v>#REF!</v>
      </c>
      <c r="BD90" s="2294" t="e">
        <f t="shared" si="448"/>
        <v>#REF!</v>
      </c>
      <c r="BE90" s="1674" t="e">
        <f>BE89+BE86</f>
        <v>#REF!</v>
      </c>
    </row>
    <row r="91" spans="1:57" s="2248" customFormat="1" ht="18" customHeight="1">
      <c r="A91" s="1922"/>
      <c r="B91" s="1922"/>
      <c r="C91" s="1922"/>
      <c r="D91" s="1922"/>
      <c r="E91" s="2249"/>
      <c r="F91" s="2233"/>
      <c r="G91" s="2233"/>
      <c r="H91" s="2233"/>
      <c r="I91" s="2233"/>
      <c r="J91" s="2233"/>
      <c r="K91" s="1637"/>
      <c r="L91" s="1637"/>
      <c r="M91" s="1637"/>
      <c r="N91" s="1637"/>
      <c r="O91" s="1637"/>
      <c r="P91" s="1637"/>
      <c r="Q91" s="1637"/>
      <c r="R91" s="1533"/>
      <c r="S91" s="1637"/>
      <c r="T91" s="1637"/>
      <c r="U91" s="1637"/>
      <c r="V91" s="1637"/>
      <c r="W91" s="1637"/>
      <c r="X91" s="1637"/>
      <c r="Y91" s="1637"/>
      <c r="Z91" s="1637"/>
      <c r="AA91" s="1637"/>
      <c r="AB91" s="1637"/>
      <c r="AC91" s="1637"/>
      <c r="AD91" s="1637"/>
      <c r="AE91" s="1533" t="e">
        <f>AE90-SUM(S90:AD90)</f>
        <v>#REF!</v>
      </c>
      <c r="AF91" s="1637"/>
      <c r="AG91" s="1637"/>
      <c r="AH91" s="1637"/>
      <c r="AI91" s="1637"/>
      <c r="AJ91" s="1637"/>
      <c r="AK91" s="1637"/>
      <c r="AL91" s="1637"/>
      <c r="AM91" s="1637"/>
      <c r="AN91" s="1637"/>
      <c r="AO91" s="1637"/>
      <c r="AP91" s="1637"/>
      <c r="AQ91" s="1637"/>
      <c r="AR91" s="1533" t="e">
        <f>AR90-SUM(AF90:AQ90)</f>
        <v>#REF!</v>
      </c>
      <c r="AS91" s="1637"/>
      <c r="AT91" s="1637"/>
      <c r="AU91" s="1637"/>
      <c r="AV91" s="1637"/>
      <c r="AW91" s="1637"/>
      <c r="AX91" s="1637"/>
      <c r="AY91" s="1637"/>
      <c r="AZ91" s="1637"/>
      <c r="BA91" s="2233"/>
      <c r="BB91" s="2233"/>
      <c r="BC91" s="2233"/>
      <c r="BD91" s="2233"/>
      <c r="BE91" s="1532" t="e">
        <f>BE90-SUM(AS90:BD90)</f>
        <v>#REF!</v>
      </c>
    </row>
    <row r="92" spans="1:57" ht="18" customHeight="1" thickBot="1">
      <c r="A92" s="1538" t="s">
        <v>822</v>
      </c>
      <c r="B92" s="1511"/>
      <c r="C92" s="1511"/>
      <c r="D92" s="1511"/>
      <c r="E92" s="1511"/>
      <c r="F92" s="4599"/>
      <c r="G92" s="4599"/>
      <c r="H92" s="4568"/>
      <c r="I92" s="4568"/>
      <c r="J92" s="4568"/>
      <c r="K92" s="1784"/>
      <c r="L92" s="1784"/>
      <c r="M92" s="1784"/>
      <c r="N92" s="1784"/>
      <c r="O92" s="1784"/>
      <c r="P92" s="1784"/>
      <c r="Q92" s="1784"/>
      <c r="R92" s="1785" t="s">
        <v>86</v>
      </c>
      <c r="S92" s="3429"/>
      <c r="T92" s="3429"/>
      <c r="U92" s="1784"/>
      <c r="V92" s="1784"/>
      <c r="W92" s="1784"/>
      <c r="X92" s="1784"/>
      <c r="Y92" s="1784"/>
      <c r="Z92" s="1784"/>
      <c r="AA92" s="1784"/>
      <c r="AB92" s="1784"/>
      <c r="AC92" s="1784"/>
      <c r="AD92" s="1784"/>
      <c r="AE92" s="1785" t="s">
        <v>86</v>
      </c>
      <c r="AF92" s="3429"/>
      <c r="AG92" s="3429"/>
      <c r="AH92" s="1784"/>
      <c r="AI92" s="1784"/>
      <c r="AJ92" s="1784"/>
      <c r="AK92" s="1784"/>
      <c r="AL92" s="1784"/>
      <c r="AM92" s="1784"/>
      <c r="AN92" s="1784"/>
      <c r="AO92" s="1784"/>
      <c r="AP92" s="1784"/>
      <c r="AQ92" s="1784"/>
      <c r="AR92" s="1785" t="s">
        <v>86</v>
      </c>
      <c r="AS92" s="3429"/>
      <c r="AT92" s="3429"/>
      <c r="AU92" s="1784"/>
      <c r="AV92" s="1784"/>
      <c r="AW92" s="1784"/>
      <c r="AX92" s="1784"/>
      <c r="AY92" s="1784"/>
      <c r="AZ92" s="1784"/>
      <c r="BA92" s="1568"/>
      <c r="BB92" s="1568"/>
      <c r="BC92" s="1568"/>
      <c r="BD92" s="1568"/>
      <c r="BE92" s="1537" t="s">
        <v>86</v>
      </c>
    </row>
    <row r="93" spans="1:57" ht="18" customHeight="1" thickBot="1">
      <c r="A93" s="1539" t="s">
        <v>111</v>
      </c>
      <c r="B93" s="7398" t="s">
        <v>108</v>
      </c>
      <c r="C93" s="7091"/>
      <c r="D93" s="65" t="s">
        <v>744</v>
      </c>
      <c r="E93" s="1540" t="s">
        <v>28</v>
      </c>
      <c r="F93" s="4574" t="str">
        <f t="shared" ref="F93:Q93" si="449">F4</f>
        <v>Jan.26</v>
      </c>
      <c r="G93" s="5005" t="str">
        <f t="shared" si="449"/>
        <v>Feb.26</v>
      </c>
      <c r="H93" s="5630" t="str">
        <f t="shared" si="449"/>
        <v>Mar.26</v>
      </c>
      <c r="I93" s="4574" t="str">
        <f t="shared" si="449"/>
        <v>Apr.26</v>
      </c>
      <c r="J93" s="5005" t="str">
        <f t="shared" si="449"/>
        <v>May.26</v>
      </c>
      <c r="K93" s="3452" t="str">
        <f t="shared" si="449"/>
        <v>Jun.26</v>
      </c>
      <c r="L93" s="82" t="str">
        <f t="shared" si="449"/>
        <v>Jul.26</v>
      </c>
      <c r="M93" s="1842" t="str">
        <f t="shared" si="449"/>
        <v>Aug.26</v>
      </c>
      <c r="N93" s="3452" t="str">
        <f t="shared" si="449"/>
        <v>Sep.26</v>
      </c>
      <c r="O93" s="82" t="str">
        <f t="shared" si="449"/>
        <v>Oct.26</v>
      </c>
      <c r="P93" s="1842" t="str">
        <f t="shared" si="449"/>
        <v>Nov.26</v>
      </c>
      <c r="Q93" s="3452" t="str">
        <f t="shared" si="449"/>
        <v>Dec.26</v>
      </c>
      <c r="R93" s="1843" t="s">
        <v>466</v>
      </c>
      <c r="S93" s="82" t="e">
        <f t="shared" ref="S93:AD93" si="450">S4</f>
        <v>#REF!</v>
      </c>
      <c r="T93" s="1842" t="e">
        <f t="shared" si="450"/>
        <v>#REF!</v>
      </c>
      <c r="U93" s="3452" t="e">
        <f t="shared" si="450"/>
        <v>#REF!</v>
      </c>
      <c r="V93" s="82" t="e">
        <f t="shared" si="450"/>
        <v>#REF!</v>
      </c>
      <c r="W93" s="1842" t="e">
        <f t="shared" si="450"/>
        <v>#REF!</v>
      </c>
      <c r="X93" s="3452" t="e">
        <f t="shared" si="450"/>
        <v>#REF!</v>
      </c>
      <c r="Y93" s="82" t="e">
        <f t="shared" si="450"/>
        <v>#REF!</v>
      </c>
      <c r="Z93" s="1842" t="e">
        <f t="shared" si="450"/>
        <v>#REF!</v>
      </c>
      <c r="AA93" s="3452" t="e">
        <f t="shared" si="450"/>
        <v>#REF!</v>
      </c>
      <c r="AB93" s="82" t="e">
        <f t="shared" si="450"/>
        <v>#REF!</v>
      </c>
      <c r="AC93" s="1842" t="e">
        <f t="shared" si="450"/>
        <v>#REF!</v>
      </c>
      <c r="AD93" s="3452" t="e">
        <f t="shared" si="450"/>
        <v>#REF!</v>
      </c>
      <c r="AE93" s="1843" t="s">
        <v>466</v>
      </c>
      <c r="AF93" s="82" t="e">
        <f t="shared" ref="AF93:AQ93" si="451">AF4</f>
        <v>#REF!</v>
      </c>
      <c r="AG93" s="1842" t="e">
        <f t="shared" si="451"/>
        <v>#REF!</v>
      </c>
      <c r="AH93" s="3452" t="e">
        <f t="shared" si="451"/>
        <v>#REF!</v>
      </c>
      <c r="AI93" s="82" t="e">
        <f t="shared" si="451"/>
        <v>#REF!</v>
      </c>
      <c r="AJ93" s="1842" t="e">
        <f t="shared" si="451"/>
        <v>#REF!</v>
      </c>
      <c r="AK93" s="3452" t="e">
        <f t="shared" si="451"/>
        <v>#REF!</v>
      </c>
      <c r="AL93" s="82" t="e">
        <f t="shared" si="451"/>
        <v>#REF!</v>
      </c>
      <c r="AM93" s="1842" t="e">
        <f t="shared" si="451"/>
        <v>#REF!</v>
      </c>
      <c r="AN93" s="3452" t="e">
        <f t="shared" si="451"/>
        <v>#REF!</v>
      </c>
      <c r="AO93" s="82" t="e">
        <f t="shared" si="451"/>
        <v>#REF!</v>
      </c>
      <c r="AP93" s="1842" t="e">
        <f t="shared" si="451"/>
        <v>#REF!</v>
      </c>
      <c r="AQ93" s="3452" t="e">
        <f t="shared" si="451"/>
        <v>#REF!</v>
      </c>
      <c r="AR93" s="1843" t="s">
        <v>466</v>
      </c>
      <c r="AS93" s="82" t="e">
        <f t="shared" ref="AS93:BD93" si="452">AS4</f>
        <v>#REF!</v>
      </c>
      <c r="AT93" s="1842" t="e">
        <f t="shared" si="452"/>
        <v>#REF!</v>
      </c>
      <c r="AU93" s="3452" t="e">
        <f t="shared" si="452"/>
        <v>#REF!</v>
      </c>
      <c r="AV93" s="82" t="e">
        <f t="shared" si="452"/>
        <v>#REF!</v>
      </c>
      <c r="AW93" s="1842" t="e">
        <f t="shared" si="452"/>
        <v>#REF!</v>
      </c>
      <c r="AX93" s="3452" t="e">
        <f t="shared" si="452"/>
        <v>#REF!</v>
      </c>
      <c r="AY93" s="82" t="e">
        <f t="shared" si="452"/>
        <v>#REF!</v>
      </c>
      <c r="AZ93" s="1842" t="e">
        <f t="shared" si="452"/>
        <v>#REF!</v>
      </c>
      <c r="BA93" s="64" t="e">
        <f t="shared" si="452"/>
        <v>#REF!</v>
      </c>
      <c r="BB93" s="81" t="e">
        <f t="shared" si="452"/>
        <v>#REF!</v>
      </c>
      <c r="BC93" s="74" t="e">
        <f t="shared" si="452"/>
        <v>#REF!</v>
      </c>
      <c r="BD93" s="64" t="e">
        <f t="shared" si="452"/>
        <v>#REF!</v>
      </c>
      <c r="BE93" s="1540" t="s">
        <v>466</v>
      </c>
    </row>
    <row r="94" spans="1:57" ht="18" customHeight="1">
      <c r="A94" s="2296" t="s">
        <v>826</v>
      </c>
      <c r="B94" s="7399" t="s">
        <v>834</v>
      </c>
      <c r="C94" s="7400"/>
      <c r="D94" s="2297">
        <v>2</v>
      </c>
      <c r="E94" s="2298">
        <f>65000/'1-1.Assumption'!F29</f>
        <v>2.4621212121212119</v>
      </c>
      <c r="F94" s="4675">
        <v>1747</v>
      </c>
      <c r="G94" s="5014">
        <f t="shared" ref="G94:Q94" si="453">SUM(G13)*G107*$E$94*$D$94</f>
        <v>1024.2424242424242</v>
      </c>
      <c r="H94" s="5670">
        <v>2303.0769230769229</v>
      </c>
      <c r="I94" s="4675">
        <v>2215.3846153846152</v>
      </c>
      <c r="J94" s="5014">
        <v>1768</v>
      </c>
      <c r="K94" s="3862">
        <f t="shared" si="453"/>
        <v>1920.4545454545453</v>
      </c>
      <c r="L94" s="3861">
        <f t="shared" si="453"/>
        <v>1994.3181818181818</v>
      </c>
      <c r="M94" s="3802">
        <f t="shared" si="453"/>
        <v>1920.4545454545453</v>
      </c>
      <c r="N94" s="3857">
        <f t="shared" si="453"/>
        <v>1772.7272727272725</v>
      </c>
      <c r="O94" s="3861">
        <f t="shared" si="453"/>
        <v>1994.3181818181818</v>
      </c>
      <c r="P94" s="3802">
        <f t="shared" si="453"/>
        <v>1846.590909090909</v>
      </c>
      <c r="Q94" s="3857">
        <f t="shared" si="453"/>
        <v>1994.3181818181818</v>
      </c>
      <c r="R94" s="2300">
        <f>SUM(F94:Q94)</f>
        <v>22500.885780885779</v>
      </c>
      <c r="S94" s="3236">
        <f t="shared" ref="S94:AD94" si="454">SUM(S13)*S107*$E$94*$D$94</f>
        <v>1477.2727272727273</v>
      </c>
      <c r="T94" s="2299">
        <f t="shared" si="454"/>
        <v>1812.121212121212</v>
      </c>
      <c r="U94" s="3234">
        <f t="shared" si="454"/>
        <v>1920.4545454545453</v>
      </c>
      <c r="V94" s="3236">
        <f t="shared" si="454"/>
        <v>1772.7272727272725</v>
      </c>
      <c r="W94" s="2299">
        <f t="shared" si="454"/>
        <v>1846.590909090909</v>
      </c>
      <c r="X94" s="3487">
        <f t="shared" si="454"/>
        <v>1846.590909090909</v>
      </c>
      <c r="Y94" s="3236">
        <f t="shared" si="454"/>
        <v>1994.3181818181818</v>
      </c>
      <c r="Z94" s="2299">
        <f t="shared" si="454"/>
        <v>1920.4545454545453</v>
      </c>
      <c r="AA94" s="3234">
        <f t="shared" si="454"/>
        <v>1698.8636363636363</v>
      </c>
      <c r="AB94" s="3236">
        <f t="shared" si="454"/>
        <v>1920.4545454545453</v>
      </c>
      <c r="AC94" s="2299">
        <f t="shared" si="454"/>
        <v>1846.590909090909</v>
      </c>
      <c r="AD94" s="3234">
        <f t="shared" si="454"/>
        <v>1920.4545454545453</v>
      </c>
      <c r="AE94" s="2300">
        <f>SUM(S94:AD94)</f>
        <v>21976.893939393933</v>
      </c>
      <c r="AF94" s="3236">
        <f t="shared" ref="AF94:AQ94" si="455">SUM(AF13)*AF107*$E$94*$D$94</f>
        <v>1477.2727272727273</v>
      </c>
      <c r="AG94" s="2299">
        <f t="shared" si="455"/>
        <v>1812.121212121212</v>
      </c>
      <c r="AH94" s="3234">
        <f t="shared" si="455"/>
        <v>1920.4545454545453</v>
      </c>
      <c r="AI94" s="3236">
        <f t="shared" si="455"/>
        <v>1772.7272727272725</v>
      </c>
      <c r="AJ94" s="2299">
        <f t="shared" si="455"/>
        <v>1846.590909090909</v>
      </c>
      <c r="AK94" s="3487">
        <f t="shared" si="455"/>
        <v>1846.590909090909</v>
      </c>
      <c r="AL94" s="3236">
        <f t="shared" si="455"/>
        <v>1994.3181818181818</v>
      </c>
      <c r="AM94" s="2299">
        <f t="shared" si="455"/>
        <v>1920.4545454545453</v>
      </c>
      <c r="AN94" s="3234">
        <f t="shared" si="455"/>
        <v>1698.8636363636363</v>
      </c>
      <c r="AO94" s="3236">
        <f t="shared" si="455"/>
        <v>1920.4545454545453</v>
      </c>
      <c r="AP94" s="2299">
        <f t="shared" si="455"/>
        <v>1846.590909090909</v>
      </c>
      <c r="AQ94" s="3234">
        <f t="shared" si="455"/>
        <v>1920.4545454545453</v>
      </c>
      <c r="AR94" s="2300">
        <f>SUM(AF94:AQ94)</f>
        <v>21976.893939393933</v>
      </c>
      <c r="AS94" s="3236">
        <f t="shared" ref="AS94:BD94" si="456">SUM(AS13)*AS107*$E$94*$D$94</f>
        <v>1477.2727272727273</v>
      </c>
      <c r="AT94" s="2299">
        <f t="shared" si="456"/>
        <v>1812.121212121212</v>
      </c>
      <c r="AU94" s="3234">
        <f t="shared" si="456"/>
        <v>1920.4545454545453</v>
      </c>
      <c r="AV94" s="3236">
        <f t="shared" si="456"/>
        <v>1772.7272727272725</v>
      </c>
      <c r="AW94" s="2299">
        <f t="shared" si="456"/>
        <v>1846.590909090909</v>
      </c>
      <c r="AX94" s="3487">
        <f t="shared" si="456"/>
        <v>1846.590909090909</v>
      </c>
      <c r="AY94" s="3236">
        <f t="shared" si="456"/>
        <v>1994.3181818181818</v>
      </c>
      <c r="AZ94" s="2299">
        <f t="shared" si="456"/>
        <v>1920.4545454545453</v>
      </c>
      <c r="BA94" s="3234">
        <f t="shared" si="456"/>
        <v>1698.8636363636363</v>
      </c>
      <c r="BB94" s="3236">
        <f t="shared" si="456"/>
        <v>1920.4545454545453</v>
      </c>
      <c r="BC94" s="2299">
        <f t="shared" si="456"/>
        <v>1846.590909090909</v>
      </c>
      <c r="BD94" s="3234">
        <f t="shared" si="456"/>
        <v>1920.4545454545453</v>
      </c>
      <c r="BE94" s="2300">
        <f>SUM(AS94:BD94)</f>
        <v>21976.893939393933</v>
      </c>
    </row>
    <row r="95" spans="1:57" ht="18" customHeight="1">
      <c r="A95" s="2296"/>
      <c r="B95" s="7399" t="s">
        <v>827</v>
      </c>
      <c r="C95" s="7400"/>
      <c r="D95" s="2297">
        <v>1.2</v>
      </c>
      <c r="E95" s="2298">
        <f>22600/'1-1.Assumption'!F29</f>
        <v>0.85606060606060608</v>
      </c>
      <c r="F95" s="4675">
        <v>3157.6838461538459</v>
      </c>
      <c r="G95" s="5014">
        <v>2652.95</v>
      </c>
      <c r="H95" s="5670">
        <v>1761</v>
      </c>
      <c r="I95" s="4675">
        <v>2341</v>
      </c>
      <c r="J95" s="5014">
        <v>2555</v>
      </c>
      <c r="K95" s="3857">
        <f t="shared" ref="K95:Q95" si="457">SUM(K25)*K107*$E$95*$D$95</f>
        <v>6971.0727272727272</v>
      </c>
      <c r="L95" s="3861">
        <f t="shared" si="457"/>
        <v>6934.090909090909</v>
      </c>
      <c r="M95" s="3802">
        <f t="shared" si="457"/>
        <v>6677.2727272727279</v>
      </c>
      <c r="N95" s="3857">
        <f t="shared" si="457"/>
        <v>6163.6363636363631</v>
      </c>
      <c r="O95" s="3861">
        <f t="shared" si="457"/>
        <v>6573.5181818181818</v>
      </c>
      <c r="P95" s="3802">
        <f t="shared" si="457"/>
        <v>6086.590909090909</v>
      </c>
      <c r="Q95" s="3857">
        <f t="shared" si="457"/>
        <v>6573.5181818181818</v>
      </c>
      <c r="R95" s="2300">
        <f>SUM(F95:Q95)</f>
        <v>58447.333846153844</v>
      </c>
      <c r="S95" s="3236">
        <f t="shared" ref="S95:AD95" si="458">SUM(S25)*S107*$E$95*$D$95</f>
        <v>5670.545454545455</v>
      </c>
      <c r="T95" s="2299">
        <f t="shared" si="458"/>
        <v>6379.3636363636369</v>
      </c>
      <c r="U95" s="3234">
        <f t="shared" si="458"/>
        <v>7077.909090909091</v>
      </c>
      <c r="V95" s="3236">
        <f t="shared" si="458"/>
        <v>6780</v>
      </c>
      <c r="W95" s="2299">
        <f t="shared" si="458"/>
        <v>7062.5</v>
      </c>
      <c r="X95" s="3234">
        <f t="shared" si="458"/>
        <v>7062.5</v>
      </c>
      <c r="Y95" s="3236">
        <f t="shared" si="458"/>
        <v>7627.5</v>
      </c>
      <c r="Z95" s="2299">
        <f t="shared" si="458"/>
        <v>7344.9999999999991</v>
      </c>
      <c r="AA95" s="3234">
        <f t="shared" si="458"/>
        <v>6497.4999999999991</v>
      </c>
      <c r="AB95" s="3236">
        <f t="shared" si="458"/>
        <v>7344.9999999999991</v>
      </c>
      <c r="AC95" s="2299">
        <f t="shared" si="458"/>
        <v>7062.5</v>
      </c>
      <c r="AD95" s="3234">
        <f t="shared" si="458"/>
        <v>7344.9999999999991</v>
      </c>
      <c r="AE95" s="2300">
        <f>SUM(S95:AD95)</f>
        <v>83255.318181818177</v>
      </c>
      <c r="AF95" s="3236">
        <f t="shared" ref="AF95:AQ95" si="459">SUM(AF25)*AF107*$E$95*$D$95</f>
        <v>5670.545454545455</v>
      </c>
      <c r="AG95" s="2299">
        <f t="shared" si="459"/>
        <v>6379.3636363636369</v>
      </c>
      <c r="AH95" s="3234">
        <f t="shared" si="459"/>
        <v>7077.909090909091</v>
      </c>
      <c r="AI95" s="3236">
        <f t="shared" si="459"/>
        <v>6780</v>
      </c>
      <c r="AJ95" s="2299">
        <f t="shared" si="459"/>
        <v>7062.5</v>
      </c>
      <c r="AK95" s="3234">
        <f t="shared" si="459"/>
        <v>7062.5</v>
      </c>
      <c r="AL95" s="3236">
        <f t="shared" si="459"/>
        <v>7627.5</v>
      </c>
      <c r="AM95" s="2299">
        <f t="shared" si="459"/>
        <v>7344.9999999999991</v>
      </c>
      <c r="AN95" s="3234">
        <f t="shared" si="459"/>
        <v>6497.4999999999991</v>
      </c>
      <c r="AO95" s="3236">
        <f t="shared" si="459"/>
        <v>7344.9999999999991</v>
      </c>
      <c r="AP95" s="2299">
        <f t="shared" si="459"/>
        <v>7062.5</v>
      </c>
      <c r="AQ95" s="3234">
        <f t="shared" si="459"/>
        <v>7344.9999999999991</v>
      </c>
      <c r="AR95" s="2300">
        <f>SUM(AF95:AQ95)</f>
        <v>83255.318181818177</v>
      </c>
      <c r="AS95" s="3236">
        <f t="shared" ref="AS95:BD95" si="460">SUM(AS25)*AS107*$E$95*$D$95</f>
        <v>5670.545454545455</v>
      </c>
      <c r="AT95" s="2299">
        <f t="shared" si="460"/>
        <v>6379.3636363636369</v>
      </c>
      <c r="AU95" s="3234">
        <f t="shared" si="460"/>
        <v>7077.909090909091</v>
      </c>
      <c r="AV95" s="3236">
        <f t="shared" si="460"/>
        <v>6780</v>
      </c>
      <c r="AW95" s="2299">
        <f t="shared" si="460"/>
        <v>7062.5</v>
      </c>
      <c r="AX95" s="3234">
        <f t="shared" si="460"/>
        <v>7062.5</v>
      </c>
      <c r="AY95" s="3236">
        <f t="shared" si="460"/>
        <v>7627.5</v>
      </c>
      <c r="AZ95" s="2299">
        <f t="shared" si="460"/>
        <v>7344.9999999999991</v>
      </c>
      <c r="BA95" s="3234">
        <f t="shared" si="460"/>
        <v>6497.4999999999991</v>
      </c>
      <c r="BB95" s="3236">
        <f t="shared" si="460"/>
        <v>7344.9999999999991</v>
      </c>
      <c r="BC95" s="2299">
        <f t="shared" si="460"/>
        <v>7062.5</v>
      </c>
      <c r="BD95" s="3234">
        <f t="shared" si="460"/>
        <v>7344.9999999999991</v>
      </c>
      <c r="BE95" s="2300">
        <f>SUM(AS95:BD95)</f>
        <v>83255.318181818177</v>
      </c>
    </row>
    <row r="96" spans="1:57" ht="18" customHeight="1" thickBot="1">
      <c r="A96" s="2301"/>
      <c r="B96" s="2302" t="s">
        <v>828</v>
      </c>
      <c r="C96" s="36"/>
      <c r="D96" s="2297">
        <v>3</v>
      </c>
      <c r="E96" s="2298">
        <f>22600/'1-1.Assumption'!F29</f>
        <v>0.85606060606060608</v>
      </c>
      <c r="F96" s="4675">
        <v>29128.72692307692</v>
      </c>
      <c r="G96" s="5014">
        <v>24482.190209790209</v>
      </c>
      <c r="H96" s="5670">
        <v>30444.076923076922</v>
      </c>
      <c r="I96" s="6174">
        <v>34954.461538461539</v>
      </c>
      <c r="J96" s="5014">
        <v>28224</v>
      </c>
      <c r="K96" s="3857">
        <f t="shared" ref="K96:Q96" si="461">SUM(K36)*K107*$E$96*$D$96</f>
        <v>34913.122375200779</v>
      </c>
      <c r="L96" s="3861">
        <f t="shared" si="461"/>
        <v>36394.616592428778</v>
      </c>
      <c r="M96" s="3802">
        <f t="shared" si="461"/>
        <v>34312.167829746235</v>
      </c>
      <c r="N96" s="3857">
        <f t="shared" si="461"/>
        <v>31302.952122562958</v>
      </c>
      <c r="O96" s="3861">
        <f t="shared" si="461"/>
        <v>34730.434774246969</v>
      </c>
      <c r="P96" s="3802">
        <f t="shared" si="461"/>
        <v>32286.219067063692</v>
      </c>
      <c r="Q96" s="3857">
        <f t="shared" si="461"/>
        <v>34453.071137883329</v>
      </c>
      <c r="R96" s="2300">
        <f>SUM(F96:Q96)</f>
        <v>385626.03949353838</v>
      </c>
      <c r="S96" s="3236" t="e">
        <f>SUM(#REF!)*S107*$E$96*$D$96</f>
        <v>#REF!</v>
      </c>
      <c r="T96" s="2299" t="e">
        <f>SUM(#REF!)*T107*$E$96*$D$96</f>
        <v>#REF!</v>
      </c>
      <c r="U96" s="3234" t="e">
        <f>SUM(#REF!)*U107*$E$96*$D$96</f>
        <v>#REF!</v>
      </c>
      <c r="V96" s="1533" t="e">
        <f>SUM(#REF!)*V107*$E$96*$D$96</f>
        <v>#REF!</v>
      </c>
      <c r="W96" s="2299" t="e">
        <f>SUM(#REF!)*W107*$E$96*$D$96</f>
        <v>#REF!</v>
      </c>
      <c r="X96" s="3234" t="e">
        <f>SUM(#REF!)*X107*$E$96*$D$96</f>
        <v>#REF!</v>
      </c>
      <c r="Y96" s="3236" t="e">
        <f>SUM(#REF!)*Y107*$E$96*$D$96</f>
        <v>#REF!</v>
      </c>
      <c r="Z96" s="2299" t="e">
        <f>SUM(#REF!)*Z107*$E$96*$D$96</f>
        <v>#REF!</v>
      </c>
      <c r="AA96" s="3234" t="e">
        <f>SUM(#REF!)*AA107*$E$96*$D$96</f>
        <v>#REF!</v>
      </c>
      <c r="AB96" s="3236" t="e">
        <f>SUM(#REF!)*AB107*$E$96*$D$96</f>
        <v>#REF!</v>
      </c>
      <c r="AC96" s="2299" t="e">
        <f>SUM(#REF!)*AC107*$E$96*$D$96</f>
        <v>#REF!</v>
      </c>
      <c r="AD96" s="3234" t="e">
        <f>SUM(#REF!)*AD107*$E$96*$D$96</f>
        <v>#REF!</v>
      </c>
      <c r="AE96" s="2300" t="e">
        <f>SUM(S96:AD96)</f>
        <v>#REF!</v>
      </c>
      <c r="AF96" s="3236" t="e">
        <f>SUM(#REF!)*AF107*$E$96*$D$96</f>
        <v>#REF!</v>
      </c>
      <c r="AG96" s="2299" t="e">
        <f>SUM(#REF!)*AG107*$E$96*$D$96</f>
        <v>#REF!</v>
      </c>
      <c r="AH96" s="3234" t="e">
        <f>SUM(#REF!)*AH107*$E$96*$D$96</f>
        <v>#REF!</v>
      </c>
      <c r="AI96" s="1533" t="e">
        <f>SUM(#REF!)*AI107*$E$96*$D$96</f>
        <v>#REF!</v>
      </c>
      <c r="AJ96" s="2299" t="e">
        <f>SUM(#REF!)*AJ107*$E$96*$D$96</f>
        <v>#REF!</v>
      </c>
      <c r="AK96" s="3234" t="e">
        <f>SUM(#REF!)*AK107*$E$96*$D$96</f>
        <v>#REF!</v>
      </c>
      <c r="AL96" s="3236" t="e">
        <f>SUM(#REF!)*AL107*$E$96*$D$96</f>
        <v>#REF!</v>
      </c>
      <c r="AM96" s="2299" t="e">
        <f>SUM(#REF!)*AM107*$E$96*$D$96</f>
        <v>#REF!</v>
      </c>
      <c r="AN96" s="3234" t="e">
        <f>SUM(#REF!)*AN107*$E$96*$D$96</f>
        <v>#REF!</v>
      </c>
      <c r="AO96" s="3236" t="e">
        <f>SUM(#REF!)*AO107*$E$96*$D$96</f>
        <v>#REF!</v>
      </c>
      <c r="AP96" s="2299" t="e">
        <f>SUM(#REF!)*AP107*$E$96*$D$96</f>
        <v>#REF!</v>
      </c>
      <c r="AQ96" s="3234" t="e">
        <f>SUM(#REF!)*AQ107*$E$96*$D$96</f>
        <v>#REF!</v>
      </c>
      <c r="AR96" s="2300" t="e">
        <f>SUM(AF96:AQ96)</f>
        <v>#REF!</v>
      </c>
      <c r="AS96" s="3236" t="e">
        <f>SUM(#REF!)*AS107*$E$96*$D$96</f>
        <v>#REF!</v>
      </c>
      <c r="AT96" s="2299" t="e">
        <f>SUM(#REF!)*AT107*$E$96*$D$96</f>
        <v>#REF!</v>
      </c>
      <c r="AU96" s="3234" t="e">
        <f>SUM(#REF!)*AU107*$E$96*$D$96</f>
        <v>#REF!</v>
      </c>
      <c r="AV96" s="1533" t="e">
        <f>SUM(#REF!)*AV107*$E$96*$D$96</f>
        <v>#REF!</v>
      </c>
      <c r="AW96" s="2299" t="e">
        <f>SUM(#REF!)*AW107*$E$96*$D$96</f>
        <v>#REF!</v>
      </c>
      <c r="AX96" s="3234" t="e">
        <f>SUM(#REF!)*AX107*$E$96*$D$96</f>
        <v>#REF!</v>
      </c>
      <c r="AY96" s="3236" t="e">
        <f>SUM(#REF!)*AY107*$E$96*$D$96</f>
        <v>#REF!</v>
      </c>
      <c r="AZ96" s="2299" t="e">
        <f>SUM(#REF!)*AZ107*$E$96*$D$96</f>
        <v>#REF!</v>
      </c>
      <c r="BA96" s="3234" t="e">
        <f>SUM(#REF!)*BA107*$E$96*$D$96</f>
        <v>#REF!</v>
      </c>
      <c r="BB96" s="3236" t="e">
        <f>SUM(#REF!)*BB107*$E$96*$D$96</f>
        <v>#REF!</v>
      </c>
      <c r="BC96" s="2299" t="e">
        <f>SUM(#REF!)*BC107*$E$96*$D$96</f>
        <v>#REF!</v>
      </c>
      <c r="BD96" s="3234" t="e">
        <f>SUM(#REF!)*BD107*$E$96*$D$96</f>
        <v>#REF!</v>
      </c>
      <c r="BE96" s="2300" t="e">
        <f>SUM(AS96:BD96)</f>
        <v>#REF!</v>
      </c>
    </row>
    <row r="97" spans="1:57" ht="18" customHeight="1" thickBot="1">
      <c r="A97" s="7395" t="s">
        <v>137</v>
      </c>
      <c r="B97" s="7396"/>
      <c r="C97" s="7396"/>
      <c r="D97" s="7396"/>
      <c r="E97" s="7397"/>
      <c r="F97" s="4676">
        <f t="shared" ref="F97:R97" si="462">SUM(F94:F96)</f>
        <v>34033.410769230766</v>
      </c>
      <c r="G97" s="5112">
        <f t="shared" si="462"/>
        <v>28159.382634032634</v>
      </c>
      <c r="H97" s="5671">
        <f t="shared" si="462"/>
        <v>34508.153846153844</v>
      </c>
      <c r="I97" s="4676">
        <f t="shared" si="462"/>
        <v>39510.846153846156</v>
      </c>
      <c r="J97" s="5112">
        <f t="shared" si="462"/>
        <v>32547</v>
      </c>
      <c r="K97" s="3235">
        <f t="shared" si="462"/>
        <v>43804.649647928054</v>
      </c>
      <c r="L97" s="3237">
        <f t="shared" si="462"/>
        <v>45323.025683337866</v>
      </c>
      <c r="M97" s="2563">
        <f t="shared" si="462"/>
        <v>42909.895102473507</v>
      </c>
      <c r="N97" s="3235">
        <f t="shared" si="462"/>
        <v>39239.31575892659</v>
      </c>
      <c r="O97" s="3237">
        <f t="shared" si="462"/>
        <v>43298.271137883334</v>
      </c>
      <c r="P97" s="2563">
        <f t="shared" si="462"/>
        <v>40219.400885245508</v>
      </c>
      <c r="Q97" s="3235">
        <f t="shared" si="462"/>
        <v>43020.907501519694</v>
      </c>
      <c r="R97" s="2303">
        <f t="shared" si="462"/>
        <v>466574.259120578</v>
      </c>
      <c r="S97" s="3453" t="e">
        <f t="shared" ref="S97:AE97" si="463">SUM(S94:S96)</f>
        <v>#REF!</v>
      </c>
      <c r="T97" s="2528" t="e">
        <f t="shared" si="463"/>
        <v>#REF!</v>
      </c>
      <c r="U97" s="3454" t="e">
        <f t="shared" si="463"/>
        <v>#REF!</v>
      </c>
      <c r="V97" s="3453" t="e">
        <f t="shared" si="463"/>
        <v>#REF!</v>
      </c>
      <c r="W97" s="2528" t="e">
        <f t="shared" si="463"/>
        <v>#REF!</v>
      </c>
      <c r="X97" s="3235" t="e">
        <f t="shared" si="463"/>
        <v>#REF!</v>
      </c>
      <c r="Y97" s="3237" t="e">
        <f t="shared" si="463"/>
        <v>#REF!</v>
      </c>
      <c r="Z97" s="2563" t="e">
        <f t="shared" si="463"/>
        <v>#REF!</v>
      </c>
      <c r="AA97" s="3235" t="e">
        <f t="shared" si="463"/>
        <v>#REF!</v>
      </c>
      <c r="AB97" s="3237" t="e">
        <f t="shared" si="463"/>
        <v>#REF!</v>
      </c>
      <c r="AC97" s="2563" t="e">
        <f t="shared" si="463"/>
        <v>#REF!</v>
      </c>
      <c r="AD97" s="3235" t="e">
        <f t="shared" si="463"/>
        <v>#REF!</v>
      </c>
      <c r="AE97" s="2303" t="e">
        <f t="shared" si="463"/>
        <v>#REF!</v>
      </c>
      <c r="AF97" s="3453" t="e">
        <f t="shared" ref="AF97:BE97" si="464">SUM(AF94:AF96)</f>
        <v>#REF!</v>
      </c>
      <c r="AG97" s="2528" t="e">
        <f t="shared" si="464"/>
        <v>#REF!</v>
      </c>
      <c r="AH97" s="3454" t="e">
        <f t="shared" si="464"/>
        <v>#REF!</v>
      </c>
      <c r="AI97" s="3453" t="e">
        <f t="shared" si="464"/>
        <v>#REF!</v>
      </c>
      <c r="AJ97" s="2528" t="e">
        <f t="shared" si="464"/>
        <v>#REF!</v>
      </c>
      <c r="AK97" s="3235" t="e">
        <f t="shared" si="464"/>
        <v>#REF!</v>
      </c>
      <c r="AL97" s="3237" t="e">
        <f t="shared" si="464"/>
        <v>#REF!</v>
      </c>
      <c r="AM97" s="2563" t="e">
        <f t="shared" si="464"/>
        <v>#REF!</v>
      </c>
      <c r="AN97" s="3235" t="e">
        <f t="shared" si="464"/>
        <v>#REF!</v>
      </c>
      <c r="AO97" s="3237" t="e">
        <f t="shared" si="464"/>
        <v>#REF!</v>
      </c>
      <c r="AP97" s="2563" t="e">
        <f t="shared" si="464"/>
        <v>#REF!</v>
      </c>
      <c r="AQ97" s="3235" t="e">
        <f t="shared" si="464"/>
        <v>#REF!</v>
      </c>
      <c r="AR97" s="2303" t="e">
        <f t="shared" si="464"/>
        <v>#REF!</v>
      </c>
      <c r="AS97" s="3453" t="e">
        <f t="shared" si="464"/>
        <v>#REF!</v>
      </c>
      <c r="AT97" s="2528" t="e">
        <f t="shared" si="464"/>
        <v>#REF!</v>
      </c>
      <c r="AU97" s="3454" t="e">
        <f t="shared" si="464"/>
        <v>#REF!</v>
      </c>
      <c r="AV97" s="3453" t="e">
        <f t="shared" si="464"/>
        <v>#REF!</v>
      </c>
      <c r="AW97" s="2528" t="e">
        <f t="shared" si="464"/>
        <v>#REF!</v>
      </c>
      <c r="AX97" s="3235" t="e">
        <f t="shared" si="464"/>
        <v>#REF!</v>
      </c>
      <c r="AY97" s="3237" t="e">
        <f t="shared" si="464"/>
        <v>#REF!</v>
      </c>
      <c r="AZ97" s="2563" t="e">
        <f t="shared" si="464"/>
        <v>#REF!</v>
      </c>
      <c r="BA97" s="3235" t="e">
        <f t="shared" si="464"/>
        <v>#REF!</v>
      </c>
      <c r="BB97" s="3237" t="e">
        <f t="shared" si="464"/>
        <v>#REF!</v>
      </c>
      <c r="BC97" s="2563" t="e">
        <f t="shared" si="464"/>
        <v>#REF!</v>
      </c>
      <c r="BD97" s="3235" t="e">
        <f t="shared" si="464"/>
        <v>#REF!</v>
      </c>
      <c r="BE97" s="2303" t="e">
        <f t="shared" si="464"/>
        <v>#REF!</v>
      </c>
    </row>
    <row r="98" spans="1:57" ht="18" customHeight="1">
      <c r="D98" s="1532"/>
      <c r="E98" s="1532"/>
      <c r="F98" s="2432"/>
      <c r="G98" s="4566"/>
      <c r="H98" s="4566"/>
      <c r="R98" s="1533" t="b">
        <f>R97=SUM(F97:Q97)</f>
        <v>1</v>
      </c>
      <c r="S98" s="2432"/>
      <c r="T98" s="2432"/>
      <c r="U98" s="2432"/>
      <c r="AE98" s="1533" t="e">
        <f>AE97=SUM(S97:AD97)</f>
        <v>#REF!</v>
      </c>
      <c r="AF98" s="2432"/>
      <c r="AG98" s="2432"/>
      <c r="AH98" s="2432"/>
      <c r="AR98" s="1533" t="e">
        <f>AR97=SUM(AF97:AQ97)</f>
        <v>#REF!</v>
      </c>
      <c r="AS98" s="2432"/>
      <c r="AT98" s="2432"/>
      <c r="AU98" s="2432"/>
      <c r="BE98" s="1532" t="e">
        <f>BE97=SUM(AS97:BD97)</f>
        <v>#REF!</v>
      </c>
    </row>
    <row r="99" spans="1:57" ht="20.25" customHeight="1">
      <c r="E99" s="1696"/>
      <c r="F99" s="4546"/>
      <c r="G99" s="4489"/>
      <c r="H99" s="4568"/>
      <c r="I99" s="4568"/>
      <c r="J99" s="4568"/>
      <c r="K99" s="1784"/>
      <c r="L99" s="1784"/>
      <c r="M99" s="1784"/>
      <c r="N99" s="1784"/>
      <c r="O99" s="1784"/>
      <c r="P99" s="7084" t="s">
        <v>1077</v>
      </c>
      <c r="Q99" s="3488" t="s">
        <v>1319</v>
      </c>
      <c r="R99" s="3489">
        <f>R97+R79</f>
        <v>8428652.6078090873</v>
      </c>
      <c r="S99" s="2432"/>
      <c r="T99" s="2432"/>
      <c r="U99" s="2432"/>
      <c r="V99" s="1784"/>
      <c r="W99" s="1784"/>
      <c r="X99" s="1784"/>
      <c r="Y99" s="1784"/>
      <c r="Z99" s="1784"/>
      <c r="AA99" s="1784"/>
      <c r="AB99" s="1784"/>
      <c r="AC99" s="7084" t="s">
        <v>1077</v>
      </c>
      <c r="AD99" s="3488" t="s">
        <v>1074</v>
      </c>
      <c r="AE99" s="3489" t="e">
        <f>AE97+AE79</f>
        <v>#REF!</v>
      </c>
      <c r="AF99" s="2432"/>
      <c r="AG99" s="2432"/>
      <c r="AH99" s="2432"/>
      <c r="AI99" s="1784"/>
      <c r="AJ99" s="1784"/>
      <c r="AK99" s="1784"/>
      <c r="AL99" s="1784"/>
      <c r="AM99" s="1784"/>
      <c r="AN99" s="1784"/>
      <c r="AO99" s="1784"/>
      <c r="AP99" s="7084" t="s">
        <v>1077</v>
      </c>
      <c r="AQ99" s="3488" t="s">
        <v>1074</v>
      </c>
      <c r="AR99" s="3489" t="e">
        <f>AR97+AR79</f>
        <v>#REF!</v>
      </c>
      <c r="AS99" s="2432"/>
      <c r="AT99" s="2432"/>
      <c r="AU99" s="2432"/>
      <c r="AV99" s="1784"/>
      <c r="AW99" s="1784"/>
      <c r="AX99" s="1784"/>
      <c r="AY99" s="1784"/>
      <c r="AZ99" s="1784"/>
      <c r="BA99" s="1568"/>
      <c r="BB99" s="1568"/>
      <c r="BC99" s="7386" t="s">
        <v>1077</v>
      </c>
      <c r="BD99" s="2820" t="s">
        <v>1074</v>
      </c>
      <c r="BE99" s="2821" t="e">
        <f>BE97+BE79</f>
        <v>#REF!</v>
      </c>
    </row>
    <row r="100" spans="1:57" ht="22.5" customHeight="1">
      <c r="F100" s="4544"/>
      <c r="G100" s="5421"/>
      <c r="H100" s="4568"/>
      <c r="I100" s="4568"/>
      <c r="P100" s="7085"/>
      <c r="Q100" s="3488" t="s">
        <v>1074</v>
      </c>
      <c r="R100" s="4038">
        <v>9203078.7877288088</v>
      </c>
      <c r="S100" s="1533"/>
      <c r="U100" s="1784"/>
      <c r="AC100" s="7085"/>
      <c r="AD100" s="3488" t="s">
        <v>1075</v>
      </c>
      <c r="AE100" s="3489">
        <v>10330310.507700244</v>
      </c>
      <c r="AF100" s="1533"/>
      <c r="AH100" s="1784"/>
      <c r="AP100" s="7085"/>
      <c r="AQ100" s="3488" t="s">
        <v>1075</v>
      </c>
      <c r="AR100" s="3489">
        <v>10330310.507700244</v>
      </c>
      <c r="AS100" s="1533"/>
      <c r="AU100" s="1784"/>
      <c r="BC100" s="7387"/>
      <c r="BD100" s="2820" t="s">
        <v>1075</v>
      </c>
      <c r="BE100" s="2821">
        <v>10330310.507700244</v>
      </c>
    </row>
    <row r="101" spans="1:57" ht="20.25" customHeight="1">
      <c r="F101" s="4546"/>
      <c r="G101" s="4489"/>
      <c r="P101" s="3490" t="s">
        <v>1072</v>
      </c>
      <c r="Q101" s="3488" t="s">
        <v>1076</v>
      </c>
      <c r="R101" s="3491">
        <f>(R99-R100)/R99</f>
        <v>-9.1880187255816093E-2</v>
      </c>
      <c r="AC101" s="3490" t="s">
        <v>1072</v>
      </c>
      <c r="AD101" s="3488" t="s">
        <v>1076</v>
      </c>
      <c r="AE101" s="3491" t="e">
        <f>(AE99-AE100)/AE99</f>
        <v>#REF!</v>
      </c>
      <c r="AP101" s="3490" t="s">
        <v>1072</v>
      </c>
      <c r="AQ101" s="3488" t="s">
        <v>1076</v>
      </c>
      <c r="AR101" s="3491" t="e">
        <f>(AR99-AR100)/AR99</f>
        <v>#REF!</v>
      </c>
      <c r="BC101" s="29" t="s">
        <v>1072</v>
      </c>
      <c r="BD101" s="2820" t="s">
        <v>1076</v>
      </c>
      <c r="BE101" s="2822" t="e">
        <f>(BE99-BE100)/BE99</f>
        <v>#REF!</v>
      </c>
    </row>
    <row r="102" spans="1:57">
      <c r="C102" s="1568"/>
      <c r="E102" s="1568"/>
      <c r="F102" s="4546"/>
      <c r="G102" s="4489"/>
    </row>
    <row r="103" spans="1:57" ht="18" customHeight="1">
      <c r="A103" s="2304" t="s">
        <v>967</v>
      </c>
      <c r="B103" s="2305"/>
      <c r="C103" s="2306"/>
      <c r="D103" s="2305"/>
      <c r="E103" s="2305"/>
      <c r="F103" s="3455"/>
      <c r="G103" s="5278"/>
      <c r="H103" s="5278"/>
      <c r="I103" s="5278"/>
      <c r="J103" s="5278"/>
      <c r="K103" s="3455"/>
      <c r="L103" s="3455"/>
      <c r="M103" s="3455"/>
      <c r="N103" s="3455"/>
      <c r="O103" s="3455"/>
      <c r="P103" s="3455"/>
      <c r="Q103" s="3455"/>
      <c r="R103" s="3455"/>
      <c r="S103" s="3455"/>
      <c r="T103" s="3455"/>
      <c r="U103" s="3455"/>
      <c r="V103" s="3455"/>
      <c r="W103" s="3455"/>
      <c r="X103" s="3455"/>
      <c r="Y103" s="3455"/>
      <c r="Z103" s="3455"/>
      <c r="AA103" s="3455"/>
      <c r="AB103" s="3455"/>
      <c r="AC103" s="3455"/>
      <c r="AD103" s="3455"/>
      <c r="AE103" s="3455"/>
      <c r="AF103" s="3455"/>
      <c r="AG103" s="3455"/>
      <c r="AH103" s="3455"/>
      <c r="AI103" s="3455"/>
      <c r="AJ103" s="3455"/>
      <c r="AK103" s="3455"/>
      <c r="AL103" s="3455"/>
      <c r="AM103" s="3455"/>
      <c r="AN103" s="3455"/>
      <c r="AO103" s="3455"/>
      <c r="AP103" s="3455"/>
      <c r="AQ103" s="3455"/>
      <c r="AR103" s="3455"/>
      <c r="AS103" s="3455"/>
      <c r="AT103" s="3455"/>
      <c r="AU103" s="3455"/>
      <c r="AV103" s="3455"/>
      <c r="AW103" s="3455"/>
      <c r="AX103" s="3455"/>
      <c r="AY103" s="3455"/>
      <c r="AZ103" s="3455"/>
      <c r="BA103" s="2305"/>
      <c r="BB103" s="2305"/>
      <c r="BC103" s="2305"/>
      <c r="BD103" s="2305"/>
      <c r="BE103" s="2305"/>
    </row>
    <row r="104" spans="1:57" ht="18" customHeight="1">
      <c r="C104" s="1568"/>
    </row>
    <row r="105" spans="1:57" s="1618" customFormat="1" ht="18" customHeight="1" thickBot="1">
      <c r="A105" s="3557" t="s">
        <v>969</v>
      </c>
      <c r="B105" s="3558"/>
      <c r="C105" s="3558"/>
      <c r="D105" s="3558"/>
      <c r="E105" s="3558"/>
      <c r="F105" s="3559"/>
      <c r="G105" s="5279"/>
      <c r="H105" s="5279"/>
      <c r="I105" s="6175"/>
      <c r="J105" s="5279"/>
      <c r="K105" s="3560"/>
      <c r="L105" s="3560"/>
      <c r="M105" s="3560"/>
      <c r="N105" s="3560"/>
      <c r="O105" s="3560"/>
      <c r="P105" s="3560"/>
      <c r="Q105" s="3560"/>
      <c r="R105" s="3561" t="s">
        <v>364</v>
      </c>
      <c r="S105" s="4110"/>
      <c r="T105" s="4110"/>
      <c r="U105" s="4110"/>
      <c r="V105" s="4111"/>
      <c r="W105" s="4110"/>
      <c r="X105" s="4111"/>
      <c r="Y105" s="4111"/>
      <c r="Z105" s="4111"/>
      <c r="AA105" s="4111"/>
      <c r="AB105" s="4111"/>
      <c r="AC105" s="4111"/>
      <c r="AD105" s="4111"/>
      <c r="AE105" s="1896" t="s">
        <v>364</v>
      </c>
      <c r="AF105" s="4110"/>
      <c r="AG105" s="4110"/>
      <c r="AH105" s="4110"/>
      <c r="AI105" s="4111"/>
      <c r="AJ105" s="4110"/>
      <c r="AK105" s="4111"/>
      <c r="AL105" s="4111"/>
      <c r="AM105" s="4111"/>
      <c r="AN105" s="4111"/>
      <c r="AO105" s="4111"/>
      <c r="AP105" s="4111"/>
      <c r="AQ105" s="4111"/>
      <c r="AR105" s="1896" t="s">
        <v>364</v>
      </c>
      <c r="AS105" s="4110"/>
      <c r="AT105" s="4110"/>
      <c r="AU105" s="4110"/>
      <c r="AV105" s="4111"/>
      <c r="AW105" s="4110"/>
      <c r="AX105" s="4111"/>
      <c r="AY105" s="4111"/>
      <c r="AZ105" s="4111"/>
      <c r="BA105" s="1492"/>
      <c r="BB105" s="1492"/>
      <c r="BC105" s="1492"/>
      <c r="BD105" s="1492"/>
      <c r="BE105" s="1840" t="s">
        <v>364</v>
      </c>
    </row>
    <row r="106" spans="1:57" ht="18" customHeight="1" thickBot="1">
      <c r="A106" s="7390" t="s">
        <v>136</v>
      </c>
      <c r="B106" s="7391"/>
      <c r="C106" s="2309" t="s">
        <v>365</v>
      </c>
      <c r="D106" s="2310"/>
      <c r="E106" s="1540" t="s">
        <v>28</v>
      </c>
      <c r="F106" s="4490" t="str">
        <f t="shared" ref="F106:Q106" si="465">F4</f>
        <v>Jan.26</v>
      </c>
      <c r="G106" s="5005" t="str">
        <f t="shared" si="465"/>
        <v>Feb.26</v>
      </c>
      <c r="H106" s="5553" t="str">
        <f t="shared" si="465"/>
        <v>Mar.26</v>
      </c>
      <c r="I106" s="4490" t="str">
        <f t="shared" si="465"/>
        <v>Apr.26</v>
      </c>
      <c r="J106" s="5005" t="str">
        <f t="shared" si="465"/>
        <v>May.26</v>
      </c>
      <c r="K106" s="1843" t="str">
        <f t="shared" si="465"/>
        <v>Jun.26</v>
      </c>
      <c r="L106" s="1841" t="str">
        <f t="shared" si="465"/>
        <v>Jul.26</v>
      </c>
      <c r="M106" s="1842" t="str">
        <f t="shared" si="465"/>
        <v>Aug.26</v>
      </c>
      <c r="N106" s="1843" t="str">
        <f t="shared" si="465"/>
        <v>Sep.26</v>
      </c>
      <c r="O106" s="1841" t="str">
        <f t="shared" si="465"/>
        <v>Oct.26</v>
      </c>
      <c r="P106" s="1842" t="str">
        <f t="shared" si="465"/>
        <v>Nov.26</v>
      </c>
      <c r="Q106" s="1843" t="str">
        <f t="shared" si="465"/>
        <v>Dec.26</v>
      </c>
      <c r="R106" s="2472" t="s">
        <v>15</v>
      </c>
      <c r="S106" s="1841" t="e">
        <f t="shared" ref="S106:AD106" si="466">S4</f>
        <v>#REF!</v>
      </c>
      <c r="T106" s="1842" t="e">
        <f t="shared" si="466"/>
        <v>#REF!</v>
      </c>
      <c r="U106" s="27" t="e">
        <f t="shared" si="466"/>
        <v>#REF!</v>
      </c>
      <c r="V106" s="1841" t="e">
        <f t="shared" si="466"/>
        <v>#REF!</v>
      </c>
      <c r="W106" s="1842" t="e">
        <f t="shared" si="466"/>
        <v>#REF!</v>
      </c>
      <c r="X106" s="1843" t="e">
        <f t="shared" si="466"/>
        <v>#REF!</v>
      </c>
      <c r="Y106" s="1841" t="e">
        <f t="shared" si="466"/>
        <v>#REF!</v>
      </c>
      <c r="Z106" s="1842" t="e">
        <f t="shared" si="466"/>
        <v>#REF!</v>
      </c>
      <c r="AA106" s="1843" t="e">
        <f t="shared" si="466"/>
        <v>#REF!</v>
      </c>
      <c r="AB106" s="1841" t="e">
        <f t="shared" si="466"/>
        <v>#REF!</v>
      </c>
      <c r="AC106" s="1842" t="e">
        <f t="shared" si="466"/>
        <v>#REF!</v>
      </c>
      <c r="AD106" s="1843" t="e">
        <f t="shared" si="466"/>
        <v>#REF!</v>
      </c>
      <c r="AE106" s="2472" t="s">
        <v>15</v>
      </c>
      <c r="AF106" s="1841" t="e">
        <f t="shared" ref="AF106:AQ106" si="467">AF4</f>
        <v>#REF!</v>
      </c>
      <c r="AG106" s="1842" t="e">
        <f t="shared" si="467"/>
        <v>#REF!</v>
      </c>
      <c r="AH106" s="27" t="e">
        <f t="shared" si="467"/>
        <v>#REF!</v>
      </c>
      <c r="AI106" s="1841" t="e">
        <f t="shared" si="467"/>
        <v>#REF!</v>
      </c>
      <c r="AJ106" s="1842" t="e">
        <f t="shared" si="467"/>
        <v>#REF!</v>
      </c>
      <c r="AK106" s="1843" t="e">
        <f t="shared" si="467"/>
        <v>#REF!</v>
      </c>
      <c r="AL106" s="1841" t="e">
        <f t="shared" si="467"/>
        <v>#REF!</v>
      </c>
      <c r="AM106" s="1842" t="e">
        <f t="shared" si="467"/>
        <v>#REF!</v>
      </c>
      <c r="AN106" s="1843" t="e">
        <f t="shared" si="467"/>
        <v>#REF!</v>
      </c>
      <c r="AO106" s="1841" t="e">
        <f t="shared" si="467"/>
        <v>#REF!</v>
      </c>
      <c r="AP106" s="1842" t="e">
        <f t="shared" si="467"/>
        <v>#REF!</v>
      </c>
      <c r="AQ106" s="1843" t="e">
        <f t="shared" si="467"/>
        <v>#REF!</v>
      </c>
      <c r="AR106" s="2472" t="s">
        <v>15</v>
      </c>
      <c r="AS106" s="1841" t="e">
        <f t="shared" ref="AS106:BD106" si="468">AS4</f>
        <v>#REF!</v>
      </c>
      <c r="AT106" s="1842" t="e">
        <f t="shared" si="468"/>
        <v>#REF!</v>
      </c>
      <c r="AU106" s="27" t="e">
        <f t="shared" si="468"/>
        <v>#REF!</v>
      </c>
      <c r="AV106" s="1841" t="e">
        <f t="shared" si="468"/>
        <v>#REF!</v>
      </c>
      <c r="AW106" s="1842" t="e">
        <f t="shared" si="468"/>
        <v>#REF!</v>
      </c>
      <c r="AX106" s="1843" t="e">
        <f t="shared" si="468"/>
        <v>#REF!</v>
      </c>
      <c r="AY106" s="1841" t="e">
        <f t="shared" si="468"/>
        <v>#REF!</v>
      </c>
      <c r="AZ106" s="1842" t="e">
        <f t="shared" si="468"/>
        <v>#REF!</v>
      </c>
      <c r="BA106" s="1540" t="e">
        <f t="shared" si="468"/>
        <v>#REF!</v>
      </c>
      <c r="BB106" s="1539" t="e">
        <f t="shared" si="468"/>
        <v>#REF!</v>
      </c>
      <c r="BC106" s="74" t="e">
        <f t="shared" si="468"/>
        <v>#REF!</v>
      </c>
      <c r="BD106" s="1540" t="e">
        <f t="shared" si="468"/>
        <v>#REF!</v>
      </c>
      <c r="BE106" s="1541" t="s">
        <v>15</v>
      </c>
    </row>
    <row r="107" spans="1:57" ht="18" customHeight="1">
      <c r="A107" s="7392" t="s">
        <v>366</v>
      </c>
      <c r="B107" s="23" t="s">
        <v>367</v>
      </c>
      <c r="C107" s="2274"/>
      <c r="D107" s="49"/>
      <c r="E107" s="2275"/>
      <c r="F107" s="5424">
        <v>26</v>
      </c>
      <c r="G107" s="5280">
        <v>13</v>
      </c>
      <c r="H107" s="5672">
        <v>26</v>
      </c>
      <c r="I107" s="5424">
        <v>22</v>
      </c>
      <c r="J107" s="5280">
        <v>25</v>
      </c>
      <c r="K107" s="3492">
        <v>26</v>
      </c>
      <c r="L107" s="3456">
        <v>27</v>
      </c>
      <c r="M107" s="3457">
        <v>26</v>
      </c>
      <c r="N107" s="3492">
        <v>24</v>
      </c>
      <c r="O107" s="3456">
        <v>27</v>
      </c>
      <c r="P107" s="3457">
        <v>25</v>
      </c>
      <c r="Q107" s="3492">
        <v>27</v>
      </c>
      <c r="R107" s="3493">
        <f>SUM(F107:Q107)</f>
        <v>294</v>
      </c>
      <c r="S107" s="3456">
        <v>20</v>
      </c>
      <c r="T107" s="3457">
        <v>23</v>
      </c>
      <c r="U107" s="3458">
        <v>26</v>
      </c>
      <c r="V107" s="3456">
        <v>24</v>
      </c>
      <c r="W107" s="3457">
        <v>25</v>
      </c>
      <c r="X107" s="3492">
        <v>25</v>
      </c>
      <c r="Y107" s="3456">
        <v>27</v>
      </c>
      <c r="Z107" s="3457">
        <v>26</v>
      </c>
      <c r="AA107" s="3492">
        <v>23</v>
      </c>
      <c r="AB107" s="3456">
        <v>26</v>
      </c>
      <c r="AC107" s="3457">
        <v>25</v>
      </c>
      <c r="AD107" s="3492">
        <v>26</v>
      </c>
      <c r="AE107" s="3493">
        <f>SUM(S107:AD107)</f>
        <v>296</v>
      </c>
      <c r="AF107" s="3456">
        <v>20</v>
      </c>
      <c r="AG107" s="3457">
        <v>23</v>
      </c>
      <c r="AH107" s="3458">
        <v>26</v>
      </c>
      <c r="AI107" s="3456">
        <v>24</v>
      </c>
      <c r="AJ107" s="3457">
        <v>25</v>
      </c>
      <c r="AK107" s="3492">
        <v>25</v>
      </c>
      <c r="AL107" s="3456">
        <v>27</v>
      </c>
      <c r="AM107" s="3457">
        <v>26</v>
      </c>
      <c r="AN107" s="3492">
        <v>23</v>
      </c>
      <c r="AO107" s="3456">
        <v>26</v>
      </c>
      <c r="AP107" s="3457">
        <v>25</v>
      </c>
      <c r="AQ107" s="3492">
        <v>26</v>
      </c>
      <c r="AR107" s="3493">
        <f>SUM(AF107:AQ107)</f>
        <v>296</v>
      </c>
      <c r="AS107" s="3456">
        <v>20</v>
      </c>
      <c r="AT107" s="3457">
        <v>23</v>
      </c>
      <c r="AU107" s="3458">
        <v>26</v>
      </c>
      <c r="AV107" s="3456">
        <v>24</v>
      </c>
      <c r="AW107" s="3457">
        <v>25</v>
      </c>
      <c r="AX107" s="3492">
        <v>25</v>
      </c>
      <c r="AY107" s="3456">
        <v>27</v>
      </c>
      <c r="AZ107" s="3457">
        <v>26</v>
      </c>
      <c r="BA107" s="2313">
        <v>23</v>
      </c>
      <c r="BB107" s="2311">
        <v>26</v>
      </c>
      <c r="BC107" s="2312">
        <v>25</v>
      </c>
      <c r="BD107" s="2313">
        <v>26</v>
      </c>
      <c r="BE107" s="2314">
        <f>SUM(AS107:BD107)</f>
        <v>296</v>
      </c>
    </row>
    <row r="108" spans="1:57" ht="18" customHeight="1" thickBot="1">
      <c r="A108" s="7393"/>
      <c r="B108" s="25" t="s">
        <v>368</v>
      </c>
      <c r="C108" s="1764"/>
      <c r="D108" s="60"/>
      <c r="E108" s="2298"/>
      <c r="F108" s="5425">
        <v>0</v>
      </c>
      <c r="G108" s="5281">
        <v>3</v>
      </c>
      <c r="H108" s="5673">
        <v>0</v>
      </c>
      <c r="I108" s="5425">
        <v>0</v>
      </c>
      <c r="J108" s="5281">
        <v>0</v>
      </c>
      <c r="K108" s="3494">
        <v>0</v>
      </c>
      <c r="L108" s="3459">
        <v>0</v>
      </c>
      <c r="M108" s="3460">
        <v>0</v>
      </c>
      <c r="N108" s="3494">
        <v>0</v>
      </c>
      <c r="O108" s="3459">
        <v>0</v>
      </c>
      <c r="P108" s="3460">
        <v>0</v>
      </c>
      <c r="Q108" s="3494">
        <v>0</v>
      </c>
      <c r="R108" s="3495">
        <f>SUM(F108:Q108)</f>
        <v>3</v>
      </c>
      <c r="S108" s="3459">
        <f>'4-1. 인원계획'!AD13</f>
        <v>0</v>
      </c>
      <c r="T108" s="3460">
        <f>'4-1. 인원계획'!AE13</f>
        <v>0</v>
      </c>
      <c r="U108" s="3461">
        <f>'4-1. 인원계획'!AF13</f>
        <v>0</v>
      </c>
      <c r="V108" s="3459">
        <f>'4-1. 인원계획'!AG13</f>
        <v>0</v>
      </c>
      <c r="W108" s="3460">
        <f>'4-1. 인원계획'!AH13</f>
        <v>0</v>
      </c>
      <c r="X108" s="3494">
        <f>'4-1. 인원계획'!AI13</f>
        <v>0</v>
      </c>
      <c r="Y108" s="3459">
        <f>'4-1. 인원계획'!AJ13</f>
        <v>0</v>
      </c>
      <c r="Z108" s="3460">
        <f>'4-1. 인원계획'!AK13</f>
        <v>0</v>
      </c>
      <c r="AA108" s="3494">
        <f>'4-1. 인원계획'!AL13</f>
        <v>0</v>
      </c>
      <c r="AB108" s="3459">
        <f>'4-1. 인원계획'!AM13</f>
        <v>0</v>
      </c>
      <c r="AC108" s="3460">
        <f>'4-1. 인원계획'!AN13</f>
        <v>0</v>
      </c>
      <c r="AD108" s="3494">
        <f>'4-1. 인원계획'!AO13</f>
        <v>0</v>
      </c>
      <c r="AE108" s="3495">
        <f>SUM(S108:AD108)</f>
        <v>0</v>
      </c>
      <c r="AF108" s="3459">
        <f>'4-1. 인원계획'!AQ13</f>
        <v>0</v>
      </c>
      <c r="AG108" s="3460">
        <f>'4-1. 인원계획'!AR13</f>
        <v>0</v>
      </c>
      <c r="AH108" s="3461">
        <f>'4-1. 인원계획'!AS13</f>
        <v>0</v>
      </c>
      <c r="AI108" s="3459">
        <f>'4-1. 인원계획'!AT13</f>
        <v>0</v>
      </c>
      <c r="AJ108" s="3460">
        <f>'4-1. 인원계획'!AU13</f>
        <v>0</v>
      </c>
      <c r="AK108" s="3494">
        <f>'4-1. 인원계획'!AV13</f>
        <v>0</v>
      </c>
      <c r="AL108" s="3459">
        <f>'4-1. 인원계획'!AW13</f>
        <v>0</v>
      </c>
      <c r="AM108" s="3460">
        <f>'4-1. 인원계획'!AX13</f>
        <v>0</v>
      </c>
      <c r="AN108" s="3494">
        <f>'4-1. 인원계획'!AY13</f>
        <v>0</v>
      </c>
      <c r="AO108" s="3459">
        <f>'4-1. 인원계획'!AZ13</f>
        <v>0</v>
      </c>
      <c r="AP108" s="3460">
        <f>'4-1. 인원계획'!BA13</f>
        <v>0</v>
      </c>
      <c r="AQ108" s="3494">
        <f>'4-1. 인원계획'!BB13</f>
        <v>0</v>
      </c>
      <c r="AR108" s="3495">
        <f>SUM(AF108:AQ108)</f>
        <v>0</v>
      </c>
      <c r="AS108" s="3459">
        <f>'4-1. 인원계획'!BD13</f>
        <v>0</v>
      </c>
      <c r="AT108" s="3460">
        <f>'4-1. 인원계획'!BE13</f>
        <v>0</v>
      </c>
      <c r="AU108" s="3461">
        <f>'4-1. 인원계획'!BF13</f>
        <v>0</v>
      </c>
      <c r="AV108" s="3459">
        <f>'4-1. 인원계획'!BG13</f>
        <v>0</v>
      </c>
      <c r="AW108" s="3460">
        <f>'4-1. 인원계획'!BH13</f>
        <v>0</v>
      </c>
      <c r="AX108" s="3494">
        <f>'4-1. 인원계획'!BI13</f>
        <v>0</v>
      </c>
      <c r="AY108" s="3459">
        <f>'4-1. 인원계획'!BJ13</f>
        <v>0</v>
      </c>
      <c r="AZ108" s="3460">
        <f>'4-1. 인원계획'!BK13</f>
        <v>0</v>
      </c>
      <c r="BA108" s="2317">
        <f>'4-1. 인원계획'!BL13</f>
        <v>0</v>
      </c>
      <c r="BB108" s="2315">
        <f>'4-1. 인원계획'!BM13</f>
        <v>0</v>
      </c>
      <c r="BC108" s="2316">
        <f>'4-1. 인원계획'!BN13</f>
        <v>0</v>
      </c>
      <c r="BD108" s="2317">
        <f>'4-1. 인원계획'!BO13</f>
        <v>0</v>
      </c>
      <c r="BE108" s="2318">
        <f>SUM(AS108:BD108)</f>
        <v>0</v>
      </c>
    </row>
    <row r="109" spans="1:57" ht="18" customHeight="1" thickBot="1">
      <c r="A109" s="7394"/>
      <c r="B109" s="1673" t="s">
        <v>121</v>
      </c>
      <c r="C109" s="2309"/>
      <c r="D109" s="2310"/>
      <c r="E109" s="17"/>
      <c r="F109" s="3952">
        <f>F107+F108</f>
        <v>26</v>
      </c>
      <c r="G109" s="5012">
        <f t="shared" ref="G109:Q109" si="469">G107+G108</f>
        <v>16</v>
      </c>
      <c r="H109" s="5059">
        <f t="shared" si="469"/>
        <v>26</v>
      </c>
      <c r="I109" s="3952">
        <f t="shared" si="469"/>
        <v>22</v>
      </c>
      <c r="J109" s="5012">
        <f t="shared" si="469"/>
        <v>25</v>
      </c>
      <c r="K109" s="1777">
        <f t="shared" si="469"/>
        <v>26</v>
      </c>
      <c r="L109" s="1824">
        <f t="shared" si="469"/>
        <v>27</v>
      </c>
      <c r="M109" s="1776">
        <f t="shared" si="469"/>
        <v>26</v>
      </c>
      <c r="N109" s="1777">
        <f t="shared" si="469"/>
        <v>24</v>
      </c>
      <c r="O109" s="1824">
        <f t="shared" si="469"/>
        <v>27</v>
      </c>
      <c r="P109" s="1776">
        <f t="shared" si="469"/>
        <v>25</v>
      </c>
      <c r="Q109" s="1777">
        <f t="shared" si="469"/>
        <v>27</v>
      </c>
      <c r="R109" s="2143">
        <f>SUM(F109:Q109)</f>
        <v>297</v>
      </c>
      <c r="S109" s="1824">
        <f>S107+S108</f>
        <v>20</v>
      </c>
      <c r="T109" s="1776">
        <f t="shared" ref="T109:AD109" si="470">T107+T108</f>
        <v>23</v>
      </c>
      <c r="U109" s="1825">
        <f t="shared" si="470"/>
        <v>26</v>
      </c>
      <c r="V109" s="1824">
        <f t="shared" si="470"/>
        <v>24</v>
      </c>
      <c r="W109" s="1776">
        <f t="shared" si="470"/>
        <v>25</v>
      </c>
      <c r="X109" s="1777">
        <f t="shared" si="470"/>
        <v>25</v>
      </c>
      <c r="Y109" s="1824">
        <f t="shared" si="470"/>
        <v>27</v>
      </c>
      <c r="Z109" s="1776">
        <f t="shared" si="470"/>
        <v>26</v>
      </c>
      <c r="AA109" s="1777">
        <f t="shared" si="470"/>
        <v>23</v>
      </c>
      <c r="AB109" s="1824">
        <f t="shared" si="470"/>
        <v>26</v>
      </c>
      <c r="AC109" s="1776">
        <f t="shared" si="470"/>
        <v>25</v>
      </c>
      <c r="AD109" s="1777">
        <f t="shared" si="470"/>
        <v>26</v>
      </c>
      <c r="AE109" s="2143">
        <f>SUM(S109:AD109)</f>
        <v>296</v>
      </c>
      <c r="AF109" s="1824">
        <f>AF107+AF108</f>
        <v>20</v>
      </c>
      <c r="AG109" s="1776">
        <f t="shared" ref="AG109:AQ109" si="471">AG107+AG108</f>
        <v>23</v>
      </c>
      <c r="AH109" s="1825">
        <f t="shared" si="471"/>
        <v>26</v>
      </c>
      <c r="AI109" s="1824">
        <f t="shared" si="471"/>
        <v>24</v>
      </c>
      <c r="AJ109" s="1776">
        <f t="shared" si="471"/>
        <v>25</v>
      </c>
      <c r="AK109" s="1777">
        <f t="shared" si="471"/>
        <v>25</v>
      </c>
      <c r="AL109" s="1824">
        <f t="shared" si="471"/>
        <v>27</v>
      </c>
      <c r="AM109" s="1776">
        <f t="shared" si="471"/>
        <v>26</v>
      </c>
      <c r="AN109" s="1777">
        <f t="shared" si="471"/>
        <v>23</v>
      </c>
      <c r="AO109" s="1824">
        <f t="shared" si="471"/>
        <v>26</v>
      </c>
      <c r="AP109" s="1776">
        <f t="shared" si="471"/>
        <v>25</v>
      </c>
      <c r="AQ109" s="1777">
        <f t="shared" si="471"/>
        <v>26</v>
      </c>
      <c r="AR109" s="2143">
        <f>SUM(AF109:AQ109)</f>
        <v>296</v>
      </c>
      <c r="AS109" s="1824">
        <f>AS107+AS108</f>
        <v>20</v>
      </c>
      <c r="AT109" s="1776">
        <f t="shared" ref="AT109:BD109" si="472">AT107+AT108</f>
        <v>23</v>
      </c>
      <c r="AU109" s="1825">
        <f t="shared" si="472"/>
        <v>26</v>
      </c>
      <c r="AV109" s="1824">
        <f t="shared" si="472"/>
        <v>24</v>
      </c>
      <c r="AW109" s="1776">
        <f t="shared" si="472"/>
        <v>25</v>
      </c>
      <c r="AX109" s="1777">
        <f t="shared" si="472"/>
        <v>25</v>
      </c>
      <c r="AY109" s="1824">
        <f t="shared" si="472"/>
        <v>27</v>
      </c>
      <c r="AZ109" s="1776">
        <f t="shared" si="472"/>
        <v>26</v>
      </c>
      <c r="BA109" s="1606">
        <f t="shared" si="472"/>
        <v>23</v>
      </c>
      <c r="BB109" s="1604">
        <f t="shared" si="472"/>
        <v>26</v>
      </c>
      <c r="BC109" s="1605">
        <f t="shared" si="472"/>
        <v>25</v>
      </c>
      <c r="BD109" s="1606">
        <f t="shared" si="472"/>
        <v>26</v>
      </c>
      <c r="BE109" s="1674">
        <f>SUM(AS109:BD109)</f>
        <v>296</v>
      </c>
    </row>
    <row r="110" spans="1:57" ht="18" customHeight="1">
      <c r="C110" s="1568"/>
      <c r="F110" s="1536"/>
    </row>
    <row r="111" spans="1:57" ht="16.2" thickBot="1">
      <c r="F111" s="1536"/>
    </row>
    <row r="112" spans="1:57" ht="18" customHeight="1" thickBot="1">
      <c r="A112" s="7390" t="s">
        <v>136</v>
      </c>
      <c r="B112" s="7391"/>
      <c r="C112" s="2309" t="s">
        <v>365</v>
      </c>
      <c r="D112" s="74" t="s">
        <v>1427</v>
      </c>
      <c r="E112" s="1540" t="s">
        <v>1428</v>
      </c>
      <c r="F112" s="4490" t="s">
        <v>1292</v>
      </c>
      <c r="G112" s="5005" t="s">
        <v>1293</v>
      </c>
      <c r="H112" s="5553" t="s">
        <v>1294</v>
      </c>
      <c r="I112" s="4490" t="s">
        <v>1295</v>
      </c>
      <c r="J112" s="5005" t="s">
        <v>1296</v>
      </c>
      <c r="K112" s="1843" t="s">
        <v>1297</v>
      </c>
      <c r="L112" s="1841" t="s">
        <v>1298</v>
      </c>
      <c r="M112" s="1842" t="s">
        <v>1299</v>
      </c>
      <c r="N112" s="1843" t="s">
        <v>1300</v>
      </c>
      <c r="O112" s="1841" t="s">
        <v>1301</v>
      </c>
      <c r="P112" s="1842" t="s">
        <v>1302</v>
      </c>
      <c r="Q112" s="1843" t="s">
        <v>1303</v>
      </c>
      <c r="R112" s="2472" t="s">
        <v>15</v>
      </c>
      <c r="S112" s="1841" t="s">
        <v>425</v>
      </c>
      <c r="T112" s="1842" t="s">
        <v>545</v>
      </c>
      <c r="U112" s="27" t="s">
        <v>546</v>
      </c>
      <c r="V112" s="1841" t="s">
        <v>426</v>
      </c>
      <c r="W112" s="1842" t="s">
        <v>547</v>
      </c>
      <c r="X112" s="1843" t="s">
        <v>548</v>
      </c>
      <c r="Y112" s="1841" t="s">
        <v>549</v>
      </c>
      <c r="Z112" s="1842" t="s">
        <v>550</v>
      </c>
      <c r="AA112" s="1843" t="s">
        <v>551</v>
      </c>
      <c r="AB112" s="1841" t="s">
        <v>552</v>
      </c>
      <c r="AC112" s="1842" t="s">
        <v>553</v>
      </c>
      <c r="AD112" s="1843" t="s">
        <v>554</v>
      </c>
      <c r="AE112" s="2472" t="s">
        <v>15</v>
      </c>
      <c r="AF112" s="1841" t="s">
        <v>425</v>
      </c>
      <c r="AG112" s="1842" t="s">
        <v>545</v>
      </c>
      <c r="AH112" s="27" t="s">
        <v>546</v>
      </c>
      <c r="AI112" s="1841" t="s">
        <v>426</v>
      </c>
      <c r="AJ112" s="1842" t="s">
        <v>547</v>
      </c>
      <c r="AK112" s="1843" t="s">
        <v>548</v>
      </c>
      <c r="AL112" s="1841" t="s">
        <v>549</v>
      </c>
      <c r="AM112" s="1842" t="s">
        <v>550</v>
      </c>
      <c r="AN112" s="1843" t="s">
        <v>551</v>
      </c>
      <c r="AO112" s="1841" t="s">
        <v>552</v>
      </c>
      <c r="AP112" s="1842" t="s">
        <v>553</v>
      </c>
      <c r="AQ112" s="1843" t="s">
        <v>554</v>
      </c>
      <c r="AR112" s="2472" t="s">
        <v>15</v>
      </c>
      <c r="AS112" s="1841" t="s">
        <v>425</v>
      </c>
      <c r="AT112" s="1842" t="s">
        <v>545</v>
      </c>
      <c r="AU112" s="27" t="s">
        <v>546</v>
      </c>
      <c r="AV112" s="1841" t="s">
        <v>426</v>
      </c>
      <c r="AW112" s="1842" t="s">
        <v>547</v>
      </c>
      <c r="AX112" s="1843" t="s">
        <v>548</v>
      </c>
      <c r="AY112" s="1841" t="s">
        <v>549</v>
      </c>
      <c r="AZ112" s="1842" t="s">
        <v>550</v>
      </c>
      <c r="BA112" s="1540" t="s">
        <v>551</v>
      </c>
      <c r="BB112" s="1539" t="s">
        <v>552</v>
      </c>
      <c r="BC112" s="74" t="s">
        <v>553</v>
      </c>
      <c r="BD112" s="1540" t="s">
        <v>554</v>
      </c>
      <c r="BE112" s="1541" t="s">
        <v>15</v>
      </c>
    </row>
    <row r="113" spans="1:57" ht="18" customHeight="1">
      <c r="A113" s="7392" t="s">
        <v>366</v>
      </c>
      <c r="B113" s="55" t="s">
        <v>1019</v>
      </c>
      <c r="C113" s="2274"/>
      <c r="D113" s="2274">
        <f>C75</f>
        <v>266</v>
      </c>
      <c r="E113" s="2275">
        <f>D113*(1+G68)</f>
        <v>280.89600000000002</v>
      </c>
      <c r="F113" s="5426">
        <f>D113</f>
        <v>266</v>
      </c>
      <c r="G113" s="5282">
        <f>D113</f>
        <v>266</v>
      </c>
      <c r="H113" s="5672">
        <f t="shared" ref="H113:Q113" si="473">$E113</f>
        <v>280.89600000000002</v>
      </c>
      <c r="I113" s="5424">
        <f t="shared" si="473"/>
        <v>280.89600000000002</v>
      </c>
      <c r="J113" s="5280">
        <f t="shared" si="473"/>
        <v>280.89600000000002</v>
      </c>
      <c r="K113" s="3492">
        <f t="shared" si="473"/>
        <v>280.89600000000002</v>
      </c>
      <c r="L113" s="3456">
        <f t="shared" si="473"/>
        <v>280.89600000000002</v>
      </c>
      <c r="M113" s="3457">
        <f t="shared" si="473"/>
        <v>280.89600000000002</v>
      </c>
      <c r="N113" s="3492">
        <f t="shared" si="473"/>
        <v>280.89600000000002</v>
      </c>
      <c r="O113" s="3456">
        <f t="shared" si="473"/>
        <v>280.89600000000002</v>
      </c>
      <c r="P113" s="3457">
        <f t="shared" si="473"/>
        <v>280.89600000000002</v>
      </c>
      <c r="Q113" s="3492">
        <f t="shared" si="473"/>
        <v>280.89600000000002</v>
      </c>
      <c r="R113" s="3493">
        <f>SUM(F113:Q113)</f>
        <v>3340.9600000000005</v>
      </c>
      <c r="S113" s="3456">
        <f t="shared" ref="S113:X113" si="474">$E113</f>
        <v>280.89600000000002</v>
      </c>
      <c r="T113" s="3457">
        <f t="shared" si="474"/>
        <v>280.89600000000002</v>
      </c>
      <c r="U113" s="3458">
        <f t="shared" si="474"/>
        <v>280.89600000000002</v>
      </c>
      <c r="V113" s="3456">
        <f t="shared" si="474"/>
        <v>280.89600000000002</v>
      </c>
      <c r="W113" s="3457">
        <f t="shared" si="474"/>
        <v>280.89600000000002</v>
      </c>
      <c r="X113" s="3492">
        <f t="shared" si="474"/>
        <v>280.89600000000002</v>
      </c>
      <c r="Y113" s="3456">
        <f t="shared" ref="Y113:AD113" si="475">$E113*1.02</f>
        <v>286.51392000000004</v>
      </c>
      <c r="Z113" s="3457">
        <f t="shared" si="475"/>
        <v>286.51392000000004</v>
      </c>
      <c r="AA113" s="3492">
        <f t="shared" si="475"/>
        <v>286.51392000000004</v>
      </c>
      <c r="AB113" s="3456">
        <f t="shared" si="475"/>
        <v>286.51392000000004</v>
      </c>
      <c r="AC113" s="3457">
        <f t="shared" si="475"/>
        <v>286.51392000000004</v>
      </c>
      <c r="AD113" s="3492">
        <f t="shared" si="475"/>
        <v>286.51392000000004</v>
      </c>
      <c r="AE113" s="3493">
        <f>SUM(S113:AD113)</f>
        <v>3404.4595199999994</v>
      </c>
      <c r="AF113" s="3456">
        <f t="shared" ref="AF113:AK113" si="476">$E113</f>
        <v>280.89600000000002</v>
      </c>
      <c r="AG113" s="3457">
        <f t="shared" si="476"/>
        <v>280.89600000000002</v>
      </c>
      <c r="AH113" s="3458">
        <f t="shared" si="476"/>
        <v>280.89600000000002</v>
      </c>
      <c r="AI113" s="3456">
        <f t="shared" si="476"/>
        <v>280.89600000000002</v>
      </c>
      <c r="AJ113" s="3457">
        <f t="shared" si="476"/>
        <v>280.89600000000002</v>
      </c>
      <c r="AK113" s="3492">
        <f t="shared" si="476"/>
        <v>280.89600000000002</v>
      </c>
      <c r="AL113" s="3456">
        <f t="shared" ref="AL113:AQ113" si="477">$E113*1.02</f>
        <v>286.51392000000004</v>
      </c>
      <c r="AM113" s="3457">
        <f t="shared" si="477"/>
        <v>286.51392000000004</v>
      </c>
      <c r="AN113" s="3492">
        <f t="shared" si="477"/>
        <v>286.51392000000004</v>
      </c>
      <c r="AO113" s="3456">
        <f t="shared" si="477"/>
        <v>286.51392000000004</v>
      </c>
      <c r="AP113" s="3457">
        <f t="shared" si="477"/>
        <v>286.51392000000004</v>
      </c>
      <c r="AQ113" s="3492">
        <f t="shared" si="477"/>
        <v>286.51392000000004</v>
      </c>
      <c r="AR113" s="3493">
        <f>SUM(AF113:AQ113)</f>
        <v>3404.4595199999994</v>
      </c>
      <c r="AS113" s="3456">
        <f t="shared" ref="AS113:AX113" si="478">$E113</f>
        <v>280.89600000000002</v>
      </c>
      <c r="AT113" s="3457">
        <f t="shared" si="478"/>
        <v>280.89600000000002</v>
      </c>
      <c r="AU113" s="3458">
        <f t="shared" si="478"/>
        <v>280.89600000000002</v>
      </c>
      <c r="AV113" s="3456">
        <f t="shared" si="478"/>
        <v>280.89600000000002</v>
      </c>
      <c r="AW113" s="3457">
        <f t="shared" si="478"/>
        <v>280.89600000000002</v>
      </c>
      <c r="AX113" s="3492">
        <f t="shared" si="478"/>
        <v>280.89600000000002</v>
      </c>
      <c r="AY113" s="3456">
        <f t="shared" ref="AY113:BD113" si="479">$E113*1.02</f>
        <v>286.51392000000004</v>
      </c>
      <c r="AZ113" s="3457">
        <f t="shared" si="479"/>
        <v>286.51392000000004</v>
      </c>
      <c r="BA113" s="2313">
        <f t="shared" si="479"/>
        <v>286.51392000000004</v>
      </c>
      <c r="BB113" s="2311">
        <f t="shared" si="479"/>
        <v>286.51392000000004</v>
      </c>
      <c r="BC113" s="2312">
        <f t="shared" si="479"/>
        <v>286.51392000000004</v>
      </c>
      <c r="BD113" s="2313">
        <f t="shared" si="479"/>
        <v>286.51392000000004</v>
      </c>
      <c r="BE113" s="2314">
        <f>SUM(AS113:BD113)</f>
        <v>3404.4595199999994</v>
      </c>
    </row>
    <row r="114" spans="1:57" ht="18" customHeight="1">
      <c r="A114" s="7393"/>
      <c r="B114" s="54" t="s">
        <v>830</v>
      </c>
      <c r="C114" s="1764"/>
      <c r="D114" s="1764">
        <v>180</v>
      </c>
      <c r="E114" s="2279">
        <f>D114*(1+G68)</f>
        <v>190.08</v>
      </c>
      <c r="F114" s="5427">
        <f>$E114/26*F107</f>
        <v>190.08</v>
      </c>
      <c r="G114" s="5283">
        <f t="shared" ref="G114:Q114" si="480">$E114/26*G107</f>
        <v>95.04</v>
      </c>
      <c r="H114" s="5673">
        <f t="shared" si="480"/>
        <v>190.08</v>
      </c>
      <c r="I114" s="5425">
        <f t="shared" si="480"/>
        <v>160.83692307692309</v>
      </c>
      <c r="J114" s="5281">
        <f t="shared" si="480"/>
        <v>182.76923076923077</v>
      </c>
      <c r="K114" s="3494">
        <f t="shared" si="480"/>
        <v>190.08</v>
      </c>
      <c r="L114" s="3459">
        <f t="shared" si="480"/>
        <v>197.39076923076922</v>
      </c>
      <c r="M114" s="3460">
        <f t="shared" si="480"/>
        <v>190.08</v>
      </c>
      <c r="N114" s="3494">
        <f t="shared" si="480"/>
        <v>175.45846153846153</v>
      </c>
      <c r="O114" s="3459">
        <f t="shared" si="480"/>
        <v>197.39076923076922</v>
      </c>
      <c r="P114" s="3460">
        <f t="shared" si="480"/>
        <v>182.76923076923077</v>
      </c>
      <c r="Q114" s="3494">
        <f t="shared" si="480"/>
        <v>197.39076923076922</v>
      </c>
      <c r="R114" s="3495">
        <f>SUM(F114:Q114)</f>
        <v>2149.3661538461538</v>
      </c>
      <c r="S114" s="3459">
        <f>$E114/26*S107</f>
        <v>146.21538461538461</v>
      </c>
      <c r="T114" s="3460">
        <f t="shared" ref="T114:AD114" si="481">$E114/26*T107</f>
        <v>168.14769230769232</v>
      </c>
      <c r="U114" s="3461">
        <f t="shared" si="481"/>
        <v>190.08</v>
      </c>
      <c r="V114" s="3459">
        <f t="shared" si="481"/>
        <v>175.45846153846153</v>
      </c>
      <c r="W114" s="3460">
        <f t="shared" si="481"/>
        <v>182.76923076923077</v>
      </c>
      <c r="X114" s="3494">
        <f t="shared" si="481"/>
        <v>182.76923076923077</v>
      </c>
      <c r="Y114" s="3459">
        <f t="shared" si="481"/>
        <v>197.39076923076922</v>
      </c>
      <c r="Z114" s="3460">
        <f t="shared" si="481"/>
        <v>190.08</v>
      </c>
      <c r="AA114" s="3494">
        <f t="shared" si="481"/>
        <v>168.14769230769232</v>
      </c>
      <c r="AB114" s="3459">
        <f t="shared" si="481"/>
        <v>190.08</v>
      </c>
      <c r="AC114" s="3460">
        <f t="shared" si="481"/>
        <v>182.76923076923077</v>
      </c>
      <c r="AD114" s="3494">
        <f t="shared" si="481"/>
        <v>190.08</v>
      </c>
      <c r="AE114" s="3495">
        <f>SUM(S114:AD114)</f>
        <v>2163.9876923076922</v>
      </c>
      <c r="AF114" s="3459">
        <f>$E114/26*AF107</f>
        <v>146.21538461538461</v>
      </c>
      <c r="AG114" s="3460">
        <f t="shared" ref="AG114:AQ114" si="482">$E114/26*AG107</f>
        <v>168.14769230769232</v>
      </c>
      <c r="AH114" s="3461">
        <f t="shared" si="482"/>
        <v>190.08</v>
      </c>
      <c r="AI114" s="3459">
        <f t="shared" si="482"/>
        <v>175.45846153846153</v>
      </c>
      <c r="AJ114" s="3460">
        <f t="shared" si="482"/>
        <v>182.76923076923077</v>
      </c>
      <c r="AK114" s="3494">
        <f t="shared" si="482"/>
        <v>182.76923076923077</v>
      </c>
      <c r="AL114" s="3459">
        <f t="shared" si="482"/>
        <v>197.39076923076922</v>
      </c>
      <c r="AM114" s="3460">
        <f t="shared" si="482"/>
        <v>190.08</v>
      </c>
      <c r="AN114" s="3494">
        <f t="shared" si="482"/>
        <v>168.14769230769232</v>
      </c>
      <c r="AO114" s="3459">
        <f t="shared" si="482"/>
        <v>190.08</v>
      </c>
      <c r="AP114" s="3460">
        <f t="shared" si="482"/>
        <v>182.76923076923077</v>
      </c>
      <c r="AQ114" s="3494">
        <f t="shared" si="482"/>
        <v>190.08</v>
      </c>
      <c r="AR114" s="3495">
        <f>SUM(AF114:AQ114)</f>
        <v>2163.9876923076922</v>
      </c>
      <c r="AS114" s="3459">
        <f>$E114/26*AS107</f>
        <v>146.21538461538461</v>
      </c>
      <c r="AT114" s="3460">
        <f t="shared" ref="AT114:BD114" si="483">$E114/26*AT107</f>
        <v>168.14769230769232</v>
      </c>
      <c r="AU114" s="3461">
        <f t="shared" si="483"/>
        <v>190.08</v>
      </c>
      <c r="AV114" s="3459">
        <f t="shared" si="483"/>
        <v>175.45846153846153</v>
      </c>
      <c r="AW114" s="3460">
        <f t="shared" si="483"/>
        <v>182.76923076923077</v>
      </c>
      <c r="AX114" s="3494">
        <f t="shared" si="483"/>
        <v>182.76923076923077</v>
      </c>
      <c r="AY114" s="3459">
        <f t="shared" si="483"/>
        <v>197.39076923076922</v>
      </c>
      <c r="AZ114" s="3460">
        <f t="shared" si="483"/>
        <v>190.08</v>
      </c>
      <c r="BA114" s="2317">
        <f t="shared" si="483"/>
        <v>168.14769230769232</v>
      </c>
      <c r="BB114" s="2315">
        <f t="shared" si="483"/>
        <v>190.08</v>
      </c>
      <c r="BC114" s="2316">
        <f t="shared" si="483"/>
        <v>182.76923076923077</v>
      </c>
      <c r="BD114" s="2317">
        <f t="shared" si="483"/>
        <v>190.08</v>
      </c>
      <c r="BE114" s="2318">
        <f>SUM(AS114:BD114)</f>
        <v>2163.9876923076922</v>
      </c>
    </row>
    <row r="115" spans="1:57" ht="18" customHeight="1">
      <c r="A115" s="7393"/>
      <c r="B115" s="54" t="s">
        <v>368</v>
      </c>
      <c r="C115" s="1764"/>
      <c r="D115" s="60"/>
      <c r="E115" s="2298"/>
      <c r="F115" s="5427">
        <f>F113/26*2*F108</f>
        <v>0</v>
      </c>
      <c r="G115" s="5283">
        <f t="shared" ref="G115:K115" si="484">G113/26*2*G108</f>
        <v>61.38461538461538</v>
      </c>
      <c r="H115" s="5673">
        <f t="shared" si="484"/>
        <v>0</v>
      </c>
      <c r="I115" s="5425">
        <f t="shared" si="484"/>
        <v>0</v>
      </c>
      <c r="J115" s="5281">
        <f t="shared" si="484"/>
        <v>0</v>
      </c>
      <c r="K115" s="3494">
        <f t="shared" si="484"/>
        <v>0</v>
      </c>
      <c r="L115" s="3459">
        <f>L113/26*2*L108</f>
        <v>0</v>
      </c>
      <c r="M115" s="3460">
        <f t="shared" ref="M115:Q115" si="485">M113/26*2*M108</f>
        <v>0</v>
      </c>
      <c r="N115" s="3494">
        <f t="shared" si="485"/>
        <v>0</v>
      </c>
      <c r="O115" s="3459">
        <f t="shared" si="485"/>
        <v>0</v>
      </c>
      <c r="P115" s="3460">
        <f t="shared" si="485"/>
        <v>0</v>
      </c>
      <c r="Q115" s="3494">
        <f t="shared" si="485"/>
        <v>0</v>
      </c>
      <c r="R115" s="3495">
        <f>SUM(F115:Q115)</f>
        <v>61.38461538461538</v>
      </c>
      <c r="S115" s="3459">
        <f>S113/26*2*S108</f>
        <v>0</v>
      </c>
      <c r="T115" s="3460">
        <f t="shared" ref="T115:X115" si="486">T113/26*2*T108</f>
        <v>0</v>
      </c>
      <c r="U115" s="3461">
        <f t="shared" si="486"/>
        <v>0</v>
      </c>
      <c r="V115" s="3459">
        <f t="shared" si="486"/>
        <v>0</v>
      </c>
      <c r="W115" s="3460">
        <f t="shared" si="486"/>
        <v>0</v>
      </c>
      <c r="X115" s="3494">
        <f t="shared" si="486"/>
        <v>0</v>
      </c>
      <c r="Y115" s="3459">
        <f>Y113/26*2*Y108</f>
        <v>0</v>
      </c>
      <c r="Z115" s="3460">
        <f t="shared" ref="Z115:AD115" si="487">Z113/26*2*Z108</f>
        <v>0</v>
      </c>
      <c r="AA115" s="3494">
        <f t="shared" si="487"/>
        <v>0</v>
      </c>
      <c r="AB115" s="3459">
        <f t="shared" si="487"/>
        <v>0</v>
      </c>
      <c r="AC115" s="3460">
        <f t="shared" si="487"/>
        <v>0</v>
      </c>
      <c r="AD115" s="3494">
        <f t="shared" si="487"/>
        <v>0</v>
      </c>
      <c r="AE115" s="3495">
        <f>SUM(S115:AD115)</f>
        <v>0</v>
      </c>
      <c r="AF115" s="3459">
        <f>AF113/26*2*AF108</f>
        <v>0</v>
      </c>
      <c r="AG115" s="3460">
        <f t="shared" ref="AG115:AK115" si="488">AG113/26*2*AG108</f>
        <v>0</v>
      </c>
      <c r="AH115" s="3461">
        <f t="shared" si="488"/>
        <v>0</v>
      </c>
      <c r="AI115" s="3459">
        <f t="shared" si="488"/>
        <v>0</v>
      </c>
      <c r="AJ115" s="3460">
        <f t="shared" si="488"/>
        <v>0</v>
      </c>
      <c r="AK115" s="3494">
        <f t="shared" si="488"/>
        <v>0</v>
      </c>
      <c r="AL115" s="3459">
        <f>AL113/26*2*AL108</f>
        <v>0</v>
      </c>
      <c r="AM115" s="3460">
        <f t="shared" ref="AM115:AQ115" si="489">AM113/26*2*AM108</f>
        <v>0</v>
      </c>
      <c r="AN115" s="3494">
        <f t="shared" si="489"/>
        <v>0</v>
      </c>
      <c r="AO115" s="3459">
        <f t="shared" si="489"/>
        <v>0</v>
      </c>
      <c r="AP115" s="3460">
        <f t="shared" si="489"/>
        <v>0</v>
      </c>
      <c r="AQ115" s="3494">
        <f t="shared" si="489"/>
        <v>0</v>
      </c>
      <c r="AR115" s="3495">
        <f>SUM(AF115:AQ115)</f>
        <v>0</v>
      </c>
      <c r="AS115" s="3459">
        <f>AS113/26*2*AS108</f>
        <v>0</v>
      </c>
      <c r="AT115" s="3460">
        <f t="shared" ref="AT115:AX115" si="490">AT113/26*2*AT108</f>
        <v>0</v>
      </c>
      <c r="AU115" s="3461">
        <f t="shared" si="490"/>
        <v>0</v>
      </c>
      <c r="AV115" s="3459">
        <f t="shared" si="490"/>
        <v>0</v>
      </c>
      <c r="AW115" s="3460">
        <f t="shared" si="490"/>
        <v>0</v>
      </c>
      <c r="AX115" s="3494">
        <f t="shared" si="490"/>
        <v>0</v>
      </c>
      <c r="AY115" s="3459">
        <f>AY113/26*2*AY108</f>
        <v>0</v>
      </c>
      <c r="AZ115" s="3460">
        <f t="shared" ref="AZ115:BD115" si="491">AZ113/26*2*AZ108</f>
        <v>0</v>
      </c>
      <c r="BA115" s="2317">
        <f t="shared" si="491"/>
        <v>0</v>
      </c>
      <c r="BB115" s="2315">
        <f t="shared" si="491"/>
        <v>0</v>
      </c>
      <c r="BC115" s="2316">
        <f t="shared" si="491"/>
        <v>0</v>
      </c>
      <c r="BD115" s="2317">
        <f t="shared" si="491"/>
        <v>0</v>
      </c>
      <c r="BE115" s="2318">
        <f>SUM(AS115:BD115)</f>
        <v>0</v>
      </c>
    </row>
    <row r="116" spans="1:57" ht="18" customHeight="1" thickBot="1">
      <c r="A116" s="7393"/>
      <c r="B116" s="3238" t="s">
        <v>1200</v>
      </c>
      <c r="C116" s="1764"/>
      <c r="D116" s="60"/>
      <c r="E116" s="2298"/>
      <c r="F116" s="5427">
        <v>52</v>
      </c>
      <c r="G116" s="5283">
        <v>52</v>
      </c>
      <c r="H116" s="5673">
        <v>52</v>
      </c>
      <c r="I116" s="5425">
        <v>52</v>
      </c>
      <c r="J116" s="5281">
        <v>52</v>
      </c>
      <c r="K116" s="3494">
        <v>52</v>
      </c>
      <c r="L116" s="3459">
        <v>52</v>
      </c>
      <c r="M116" s="3460">
        <v>52</v>
      </c>
      <c r="N116" s="3494">
        <v>52</v>
      </c>
      <c r="O116" s="3459">
        <v>52</v>
      </c>
      <c r="P116" s="3460">
        <v>52</v>
      </c>
      <c r="Q116" s="3494">
        <v>52</v>
      </c>
      <c r="R116" s="3495">
        <f>SUM(F116:Q116)</f>
        <v>624</v>
      </c>
      <c r="S116" s="3459">
        <v>52</v>
      </c>
      <c r="T116" s="3460">
        <v>52</v>
      </c>
      <c r="U116" s="3461">
        <v>52</v>
      </c>
      <c r="V116" s="3459">
        <v>52</v>
      </c>
      <c r="W116" s="3460">
        <v>52</v>
      </c>
      <c r="X116" s="3494">
        <v>52</v>
      </c>
      <c r="Y116" s="3459">
        <v>52</v>
      </c>
      <c r="Z116" s="3460">
        <v>52</v>
      </c>
      <c r="AA116" s="3494">
        <v>52</v>
      </c>
      <c r="AB116" s="3459">
        <v>52</v>
      </c>
      <c r="AC116" s="3460">
        <v>52</v>
      </c>
      <c r="AD116" s="3494">
        <v>52</v>
      </c>
      <c r="AE116" s="3495">
        <f>SUM(S116:AD116)</f>
        <v>624</v>
      </c>
      <c r="AF116" s="3459">
        <v>52</v>
      </c>
      <c r="AG116" s="3460">
        <v>52</v>
      </c>
      <c r="AH116" s="3461">
        <v>52</v>
      </c>
      <c r="AI116" s="3459">
        <v>52</v>
      </c>
      <c r="AJ116" s="3460">
        <v>52</v>
      </c>
      <c r="AK116" s="3494">
        <v>52</v>
      </c>
      <c r="AL116" s="3459">
        <v>52</v>
      </c>
      <c r="AM116" s="3460">
        <v>52</v>
      </c>
      <c r="AN116" s="3494">
        <v>52</v>
      </c>
      <c r="AO116" s="3459">
        <v>52</v>
      </c>
      <c r="AP116" s="3460">
        <v>52</v>
      </c>
      <c r="AQ116" s="3494">
        <v>52</v>
      </c>
      <c r="AR116" s="3495">
        <f>SUM(AF116:AQ116)</f>
        <v>624</v>
      </c>
      <c r="AS116" s="3459">
        <v>52</v>
      </c>
      <c r="AT116" s="3460">
        <v>52</v>
      </c>
      <c r="AU116" s="3461">
        <v>52</v>
      </c>
      <c r="AV116" s="3459">
        <v>52</v>
      </c>
      <c r="AW116" s="3460">
        <v>52</v>
      </c>
      <c r="AX116" s="3494">
        <v>52</v>
      </c>
      <c r="AY116" s="3459">
        <v>52</v>
      </c>
      <c r="AZ116" s="3460">
        <v>52</v>
      </c>
      <c r="BA116" s="2317">
        <v>52</v>
      </c>
      <c r="BB116" s="2315">
        <v>52</v>
      </c>
      <c r="BC116" s="2316">
        <v>52</v>
      </c>
      <c r="BD116" s="2317">
        <v>52</v>
      </c>
      <c r="BE116" s="2318">
        <f>SUM(AS116:BD116)</f>
        <v>624</v>
      </c>
    </row>
    <row r="117" spans="1:57" ht="18" customHeight="1" thickBot="1">
      <c r="A117" s="7394"/>
      <c r="B117" s="1673" t="s">
        <v>121</v>
      </c>
      <c r="C117" s="2309"/>
      <c r="D117" s="2310"/>
      <c r="E117" s="17"/>
      <c r="F117" s="3952">
        <f>SUM(F113:F116)</f>
        <v>508.08000000000004</v>
      </c>
      <c r="G117" s="5012">
        <f>SUM(G113:G116)</f>
        <v>474.42461538461538</v>
      </c>
      <c r="H117" s="5059">
        <f>SUM(H113:H116)</f>
        <v>522.976</v>
      </c>
      <c r="I117" s="3952">
        <f>SUM(I113:I116)</f>
        <v>493.7329230769231</v>
      </c>
      <c r="J117" s="5012">
        <f t="shared" ref="J117:Q117" si="492">SUM(J113:J116)</f>
        <v>515.66523076923079</v>
      </c>
      <c r="K117" s="1777">
        <f t="shared" si="492"/>
        <v>522.976</v>
      </c>
      <c r="L117" s="1824">
        <f t="shared" si="492"/>
        <v>530.28676923076921</v>
      </c>
      <c r="M117" s="1776">
        <f t="shared" si="492"/>
        <v>522.976</v>
      </c>
      <c r="N117" s="1777">
        <f t="shared" si="492"/>
        <v>508.35446153846158</v>
      </c>
      <c r="O117" s="1824">
        <f t="shared" si="492"/>
        <v>530.28676923076921</v>
      </c>
      <c r="P117" s="1776">
        <f t="shared" si="492"/>
        <v>515.66523076923079</v>
      </c>
      <c r="Q117" s="1777">
        <f t="shared" si="492"/>
        <v>530.28676923076921</v>
      </c>
      <c r="R117" s="2143">
        <f>SUM(F117:Q117)</f>
        <v>6175.7107692307691</v>
      </c>
      <c r="S117" s="1824">
        <f>SUM(S113:S116)</f>
        <v>479.11138461538462</v>
      </c>
      <c r="T117" s="1776">
        <f>SUM(T113:T116)</f>
        <v>501.04369230769237</v>
      </c>
      <c r="U117" s="1825">
        <f>SUM(U113:U116)</f>
        <v>522.976</v>
      </c>
      <c r="V117" s="1824">
        <f>SUM(V113:V116)</f>
        <v>508.35446153846158</v>
      </c>
      <c r="W117" s="1776">
        <f t="shared" ref="W117:AD117" si="493">SUM(W113:W116)</f>
        <v>515.66523076923079</v>
      </c>
      <c r="X117" s="1777">
        <f t="shared" si="493"/>
        <v>515.66523076923079</v>
      </c>
      <c r="Y117" s="1824">
        <f t="shared" si="493"/>
        <v>535.90468923076924</v>
      </c>
      <c r="Z117" s="1776">
        <f t="shared" si="493"/>
        <v>528.59392000000003</v>
      </c>
      <c r="AA117" s="1777">
        <f t="shared" si="493"/>
        <v>506.66161230769239</v>
      </c>
      <c r="AB117" s="1824">
        <f t="shared" si="493"/>
        <v>528.59392000000003</v>
      </c>
      <c r="AC117" s="1776">
        <f t="shared" si="493"/>
        <v>521.28315076923082</v>
      </c>
      <c r="AD117" s="1777">
        <f t="shared" si="493"/>
        <v>528.59392000000003</v>
      </c>
      <c r="AE117" s="2143">
        <f>SUM(S117:AD117)</f>
        <v>6192.447212307693</v>
      </c>
      <c r="AF117" s="1824">
        <f>SUM(AF113:AF116)</f>
        <v>479.11138461538462</v>
      </c>
      <c r="AG117" s="1776">
        <f>SUM(AG113:AG116)</f>
        <v>501.04369230769237</v>
      </c>
      <c r="AH117" s="1825">
        <f>SUM(AH113:AH116)</f>
        <v>522.976</v>
      </c>
      <c r="AI117" s="1824">
        <f>SUM(AI113:AI116)</f>
        <v>508.35446153846158</v>
      </c>
      <c r="AJ117" s="1776">
        <f t="shared" ref="AJ117:AQ117" si="494">SUM(AJ113:AJ116)</f>
        <v>515.66523076923079</v>
      </c>
      <c r="AK117" s="1777">
        <f t="shared" si="494"/>
        <v>515.66523076923079</v>
      </c>
      <c r="AL117" s="1824">
        <f t="shared" si="494"/>
        <v>535.90468923076924</v>
      </c>
      <c r="AM117" s="1776">
        <f t="shared" si="494"/>
        <v>528.59392000000003</v>
      </c>
      <c r="AN117" s="1777">
        <f t="shared" si="494"/>
        <v>506.66161230769239</v>
      </c>
      <c r="AO117" s="1824">
        <f t="shared" si="494"/>
        <v>528.59392000000003</v>
      </c>
      <c r="AP117" s="1776">
        <f t="shared" si="494"/>
        <v>521.28315076923082</v>
      </c>
      <c r="AQ117" s="1777">
        <f t="shared" si="494"/>
        <v>528.59392000000003</v>
      </c>
      <c r="AR117" s="2143">
        <f>SUM(AF117:AQ117)</f>
        <v>6192.447212307693</v>
      </c>
      <c r="AS117" s="1824">
        <f>SUM(AS113:AS116)</f>
        <v>479.11138461538462</v>
      </c>
      <c r="AT117" s="1776">
        <f>SUM(AT113:AT116)</f>
        <v>501.04369230769237</v>
      </c>
      <c r="AU117" s="1825">
        <f>SUM(AU113:AU116)</f>
        <v>522.976</v>
      </c>
      <c r="AV117" s="1824">
        <f>SUM(AV113:AV116)</f>
        <v>508.35446153846158</v>
      </c>
      <c r="AW117" s="1776">
        <f t="shared" ref="AW117:BD117" si="495">SUM(AW113:AW116)</f>
        <v>515.66523076923079</v>
      </c>
      <c r="AX117" s="1777">
        <f t="shared" si="495"/>
        <v>515.66523076923079</v>
      </c>
      <c r="AY117" s="1824">
        <f t="shared" si="495"/>
        <v>535.90468923076924</v>
      </c>
      <c r="AZ117" s="1776">
        <f t="shared" si="495"/>
        <v>528.59392000000003</v>
      </c>
      <c r="BA117" s="1606">
        <f t="shared" si="495"/>
        <v>506.66161230769239</v>
      </c>
      <c r="BB117" s="1604">
        <f t="shared" si="495"/>
        <v>528.59392000000003</v>
      </c>
      <c r="BC117" s="1605">
        <f t="shared" si="495"/>
        <v>521.28315076923082</v>
      </c>
      <c r="BD117" s="1606">
        <f t="shared" si="495"/>
        <v>528.59392000000003</v>
      </c>
      <c r="BE117" s="1674">
        <f>SUM(AS117:BD117)</f>
        <v>6192.447212307693</v>
      </c>
    </row>
    <row r="118" spans="1:57" ht="18" customHeight="1">
      <c r="C118" s="1568"/>
      <c r="F118" s="1536"/>
    </row>
    <row r="119" spans="1:57" ht="18" customHeight="1" thickBot="1">
      <c r="A119" s="2184" t="s">
        <v>968</v>
      </c>
      <c r="B119" s="1637"/>
      <c r="C119" s="2319"/>
      <c r="D119" s="2185"/>
      <c r="E119" s="2186"/>
      <c r="F119" s="4599"/>
      <c r="G119" s="4599"/>
      <c r="H119" s="4599"/>
      <c r="I119" s="4599"/>
      <c r="J119" s="4599"/>
      <c r="K119" s="3429"/>
      <c r="L119" s="3429"/>
      <c r="M119" s="3429"/>
      <c r="N119" s="3429"/>
      <c r="O119" s="3429"/>
      <c r="P119" s="3429"/>
      <c r="Q119" s="3429"/>
      <c r="R119" s="1636"/>
      <c r="S119" s="3429"/>
      <c r="T119" s="3429"/>
      <c r="U119" s="3429"/>
      <c r="V119" s="3429"/>
      <c r="W119" s="3429"/>
      <c r="X119" s="3429"/>
      <c r="Y119" s="3429"/>
      <c r="Z119" s="3429"/>
      <c r="AA119" s="3429"/>
      <c r="AB119" s="3429"/>
      <c r="AC119" s="3429"/>
      <c r="AD119" s="3429"/>
      <c r="AE119" s="1636"/>
      <c r="AF119" s="3429"/>
      <c r="AG119" s="3429"/>
      <c r="AH119" s="3429"/>
      <c r="AI119" s="3429"/>
      <c r="AJ119" s="3429"/>
      <c r="AK119" s="3429"/>
      <c r="AL119" s="3429"/>
      <c r="AM119" s="3429"/>
      <c r="AN119" s="3429"/>
      <c r="AO119" s="3429"/>
      <c r="AP119" s="3429"/>
      <c r="AQ119" s="3429"/>
      <c r="AR119" s="1636"/>
      <c r="AS119" s="3429"/>
      <c r="AT119" s="3429"/>
      <c r="AU119" s="3429"/>
      <c r="AV119" s="3429"/>
      <c r="AW119" s="3429"/>
      <c r="AX119" s="3429"/>
      <c r="AY119" s="3429"/>
      <c r="AZ119" s="3429"/>
      <c r="BA119" s="2187"/>
      <c r="BB119" s="2187"/>
      <c r="BC119" s="2187"/>
      <c r="BD119" s="2187"/>
      <c r="BE119" s="2144"/>
    </row>
    <row r="120" spans="1:57" ht="18" customHeight="1" thickBot="1">
      <c r="A120" s="65" t="s">
        <v>111</v>
      </c>
      <c r="B120" s="65" t="s">
        <v>123</v>
      </c>
      <c r="C120" s="1995"/>
      <c r="D120" s="74"/>
      <c r="E120" s="65"/>
      <c r="F120" s="4490" t="s">
        <v>1292</v>
      </c>
      <c r="G120" s="5005" t="s">
        <v>1293</v>
      </c>
      <c r="H120" s="5494" t="s">
        <v>1294</v>
      </c>
      <c r="I120" s="4490" t="s">
        <v>1295</v>
      </c>
      <c r="J120" s="5005" t="s">
        <v>1296</v>
      </c>
      <c r="K120" s="1843" t="s">
        <v>1297</v>
      </c>
      <c r="L120" s="1841" t="s">
        <v>1298</v>
      </c>
      <c r="M120" s="1842" t="s">
        <v>1299</v>
      </c>
      <c r="N120" s="1843" t="s">
        <v>1300</v>
      </c>
      <c r="O120" s="1841" t="s">
        <v>1301</v>
      </c>
      <c r="P120" s="1842" t="s">
        <v>1302</v>
      </c>
      <c r="Q120" s="1843" t="s">
        <v>1303</v>
      </c>
      <c r="R120" s="2472" t="s">
        <v>15</v>
      </c>
      <c r="S120" s="1841" t="s">
        <v>425</v>
      </c>
      <c r="T120" s="1842" t="s">
        <v>545</v>
      </c>
      <c r="U120" s="1843" t="s">
        <v>546</v>
      </c>
      <c r="V120" s="1841" t="s">
        <v>426</v>
      </c>
      <c r="W120" s="1842" t="s">
        <v>547</v>
      </c>
      <c r="X120" s="1843" t="s">
        <v>548</v>
      </c>
      <c r="Y120" s="1841" t="s">
        <v>549</v>
      </c>
      <c r="Z120" s="1842" t="s">
        <v>550</v>
      </c>
      <c r="AA120" s="1843" t="s">
        <v>551</v>
      </c>
      <c r="AB120" s="1841" t="s">
        <v>552</v>
      </c>
      <c r="AC120" s="1842" t="s">
        <v>553</v>
      </c>
      <c r="AD120" s="1843" t="s">
        <v>554</v>
      </c>
      <c r="AE120" s="2472" t="s">
        <v>15</v>
      </c>
      <c r="AF120" s="1841" t="s">
        <v>425</v>
      </c>
      <c r="AG120" s="1842" t="s">
        <v>545</v>
      </c>
      <c r="AH120" s="1843" t="s">
        <v>546</v>
      </c>
      <c r="AI120" s="1841" t="s">
        <v>426</v>
      </c>
      <c r="AJ120" s="1842" t="s">
        <v>547</v>
      </c>
      <c r="AK120" s="1843" t="s">
        <v>548</v>
      </c>
      <c r="AL120" s="1841" t="s">
        <v>549</v>
      </c>
      <c r="AM120" s="1842" t="s">
        <v>550</v>
      </c>
      <c r="AN120" s="1843" t="s">
        <v>551</v>
      </c>
      <c r="AO120" s="1841" t="s">
        <v>552</v>
      </c>
      <c r="AP120" s="1842" t="s">
        <v>553</v>
      </c>
      <c r="AQ120" s="1843" t="s">
        <v>554</v>
      </c>
      <c r="AR120" s="2472" t="s">
        <v>15</v>
      </c>
      <c r="AS120" s="1841" t="s">
        <v>425</v>
      </c>
      <c r="AT120" s="1842" t="s">
        <v>545</v>
      </c>
      <c r="AU120" s="1843" t="s">
        <v>546</v>
      </c>
      <c r="AV120" s="1841" t="s">
        <v>426</v>
      </c>
      <c r="AW120" s="1842" t="s">
        <v>547</v>
      </c>
      <c r="AX120" s="1843" t="s">
        <v>548</v>
      </c>
      <c r="AY120" s="1841" t="s">
        <v>549</v>
      </c>
      <c r="AZ120" s="1842" t="s">
        <v>550</v>
      </c>
      <c r="BA120" s="1540" t="s">
        <v>551</v>
      </c>
      <c r="BB120" s="1539" t="s">
        <v>552</v>
      </c>
      <c r="BC120" s="74" t="s">
        <v>553</v>
      </c>
      <c r="BD120" s="1540" t="s">
        <v>554</v>
      </c>
      <c r="BE120" s="1541" t="s">
        <v>15</v>
      </c>
    </row>
    <row r="121" spans="1:57" ht="18" customHeight="1">
      <c r="A121" s="2320" t="s">
        <v>820</v>
      </c>
      <c r="B121" s="2320" t="s">
        <v>307</v>
      </c>
      <c r="C121" s="2321"/>
      <c r="D121" s="68"/>
      <c r="E121" s="2322"/>
      <c r="F121" s="5428">
        <v>4</v>
      </c>
      <c r="G121" s="5257">
        <f>F121</f>
        <v>4</v>
      </c>
      <c r="H121" s="5674">
        <f>G121</f>
        <v>4</v>
      </c>
      <c r="I121" s="6176">
        <f>H121</f>
        <v>4</v>
      </c>
      <c r="J121" s="5257">
        <f>I121</f>
        <v>4</v>
      </c>
      <c r="K121" s="4107">
        <f t="shared" ref="K121" si="496">J121</f>
        <v>4</v>
      </c>
      <c r="L121" s="3751">
        <v>4</v>
      </c>
      <c r="M121" s="3752">
        <v>4</v>
      </c>
      <c r="N121" s="3753">
        <f t="shared" ref="N121:Q121" si="497">M121</f>
        <v>4</v>
      </c>
      <c r="O121" s="4106">
        <f t="shared" si="497"/>
        <v>4</v>
      </c>
      <c r="P121" s="3752">
        <f t="shared" si="497"/>
        <v>4</v>
      </c>
      <c r="Q121" s="3753">
        <f t="shared" si="497"/>
        <v>4</v>
      </c>
      <c r="R121" s="3496">
        <f t="shared" ref="R121:R126" si="498">SUM(F121:Q121)</f>
        <v>48</v>
      </c>
      <c r="S121" s="3462">
        <v>4</v>
      </c>
      <c r="T121" s="3463">
        <f>S121</f>
        <v>4</v>
      </c>
      <c r="U121" s="3464">
        <f>T121</f>
        <v>4</v>
      </c>
      <c r="V121" s="3465">
        <f>U121</f>
        <v>4</v>
      </c>
      <c r="W121" s="3463">
        <f>V121</f>
        <v>4</v>
      </c>
      <c r="X121" s="3464">
        <f t="shared" ref="X121" si="499">W121</f>
        <v>4</v>
      </c>
      <c r="Y121" s="3462">
        <v>4</v>
      </c>
      <c r="Z121" s="3463">
        <v>4</v>
      </c>
      <c r="AA121" s="3464">
        <f t="shared" ref="AA121" si="500">Z121</f>
        <v>4</v>
      </c>
      <c r="AB121" s="3462">
        <f t="shared" ref="AB121" si="501">AA121</f>
        <v>4</v>
      </c>
      <c r="AC121" s="3463">
        <f t="shared" ref="AC121" si="502">AB121</f>
        <v>4</v>
      </c>
      <c r="AD121" s="3464">
        <f t="shared" ref="AD121" si="503">AC121</f>
        <v>4</v>
      </c>
      <c r="AE121" s="3496">
        <f t="shared" ref="AE121:AE126" si="504">SUM(S121:AD121)</f>
        <v>48</v>
      </c>
      <c r="AF121" s="3462">
        <v>4</v>
      </c>
      <c r="AG121" s="3463">
        <f>AF121</f>
        <v>4</v>
      </c>
      <c r="AH121" s="3464">
        <f>AG121</f>
        <v>4</v>
      </c>
      <c r="AI121" s="3465">
        <f>AH121</f>
        <v>4</v>
      </c>
      <c r="AJ121" s="3463">
        <f>AI121</f>
        <v>4</v>
      </c>
      <c r="AK121" s="3464">
        <f t="shared" ref="AK121" si="505">AJ121</f>
        <v>4</v>
      </c>
      <c r="AL121" s="3462">
        <v>4</v>
      </c>
      <c r="AM121" s="3463">
        <v>4</v>
      </c>
      <c r="AN121" s="3464">
        <f t="shared" ref="AN121" si="506">AM121</f>
        <v>4</v>
      </c>
      <c r="AO121" s="3462">
        <f t="shared" ref="AO121" si="507">AN121</f>
        <v>4</v>
      </c>
      <c r="AP121" s="3463">
        <f t="shared" ref="AP121" si="508">AO121</f>
        <v>4</v>
      </c>
      <c r="AQ121" s="3464">
        <f t="shared" ref="AQ121" si="509">AP121</f>
        <v>4</v>
      </c>
      <c r="AR121" s="3496">
        <f t="shared" ref="AR121:AR126" si="510">SUM(AF121:AQ121)</f>
        <v>48</v>
      </c>
      <c r="AS121" s="3462">
        <v>4</v>
      </c>
      <c r="AT121" s="3463">
        <f>AS121</f>
        <v>4</v>
      </c>
      <c r="AU121" s="3464">
        <f>AT121</f>
        <v>4</v>
      </c>
      <c r="AV121" s="3465">
        <f>AU121</f>
        <v>4</v>
      </c>
      <c r="AW121" s="3463">
        <f>AV121</f>
        <v>4</v>
      </c>
      <c r="AX121" s="3464">
        <f t="shared" ref="AX121" si="511">AW121</f>
        <v>4</v>
      </c>
      <c r="AY121" s="3462">
        <v>4</v>
      </c>
      <c r="AZ121" s="3463">
        <v>4</v>
      </c>
      <c r="BA121" s="2325">
        <f t="shared" ref="BA121" si="512">AZ121</f>
        <v>4</v>
      </c>
      <c r="BB121" s="2323">
        <f t="shared" ref="BB121" si="513">BA121</f>
        <v>4</v>
      </c>
      <c r="BC121" s="2324">
        <f t="shared" ref="BC121" si="514">BB121</f>
        <v>4</v>
      </c>
      <c r="BD121" s="2325">
        <f t="shared" ref="BD121" si="515">BC121</f>
        <v>4</v>
      </c>
      <c r="BE121" s="2326">
        <f t="shared" ref="BE121:BE126" si="516">SUM(AS121:BD121)</f>
        <v>48</v>
      </c>
    </row>
    <row r="122" spans="1:57" ht="18" customHeight="1">
      <c r="A122" s="2000" t="s">
        <v>821</v>
      </c>
      <c r="B122" s="2000" t="s">
        <v>797</v>
      </c>
      <c r="C122" s="2156"/>
      <c r="D122" s="73"/>
      <c r="E122" s="56"/>
      <c r="F122" s="4551">
        <v>11</v>
      </c>
      <c r="G122" s="5006">
        <v>11</v>
      </c>
      <c r="H122" s="5498">
        <v>11</v>
      </c>
      <c r="I122" s="5073">
        <v>11</v>
      </c>
      <c r="J122" s="5006">
        <v>11</v>
      </c>
      <c r="K122" s="1818">
        <v>11</v>
      </c>
      <c r="L122" s="1759">
        <v>11</v>
      </c>
      <c r="M122" s="1642">
        <v>11</v>
      </c>
      <c r="N122" s="1643">
        <v>11</v>
      </c>
      <c r="O122" s="1767">
        <v>11</v>
      </c>
      <c r="P122" s="1642">
        <v>11</v>
      </c>
      <c r="Q122" s="1643">
        <v>11</v>
      </c>
      <c r="R122" s="2085">
        <f t="shared" si="498"/>
        <v>132</v>
      </c>
      <c r="S122" s="2327"/>
      <c r="T122" s="2328"/>
      <c r="U122" s="2329"/>
      <c r="V122" s="3466"/>
      <c r="W122" s="2328"/>
      <c r="X122" s="2329"/>
      <c r="Y122" s="2327"/>
      <c r="Z122" s="2328"/>
      <c r="AA122" s="2329"/>
      <c r="AB122" s="2327"/>
      <c r="AC122" s="2328"/>
      <c r="AD122" s="2329"/>
      <c r="AE122" s="2085">
        <f t="shared" si="504"/>
        <v>0</v>
      </c>
      <c r="AF122" s="2327"/>
      <c r="AG122" s="2328"/>
      <c r="AH122" s="2329"/>
      <c r="AI122" s="3466"/>
      <c r="AJ122" s="2328"/>
      <c r="AK122" s="2329"/>
      <c r="AL122" s="2327"/>
      <c r="AM122" s="2328"/>
      <c r="AN122" s="2329"/>
      <c r="AO122" s="2327"/>
      <c r="AP122" s="2328"/>
      <c r="AQ122" s="2329"/>
      <c r="AR122" s="2085">
        <f t="shared" si="510"/>
        <v>0</v>
      </c>
      <c r="AS122" s="2327"/>
      <c r="AT122" s="2328"/>
      <c r="AU122" s="2329"/>
      <c r="AV122" s="3466"/>
      <c r="AW122" s="2328"/>
      <c r="AX122" s="2329"/>
      <c r="AY122" s="2327"/>
      <c r="AZ122" s="2328"/>
      <c r="BA122" s="2329"/>
      <c r="BB122" s="2327"/>
      <c r="BC122" s="2328"/>
      <c r="BD122" s="2329"/>
      <c r="BE122" s="1557">
        <f t="shared" si="516"/>
        <v>0</v>
      </c>
    </row>
    <row r="123" spans="1:57" ht="18" customHeight="1">
      <c r="A123" s="2000"/>
      <c r="B123" s="2000" t="s">
        <v>786</v>
      </c>
      <c r="C123" s="2156"/>
      <c r="D123" s="2256"/>
      <c r="E123" s="2256"/>
      <c r="F123" s="4551">
        <v>76</v>
      </c>
      <c r="G123" s="5006">
        <f>F123-G129*0.15</f>
        <v>73.004676504079185</v>
      </c>
      <c r="H123" s="5498">
        <f t="shared" ref="H123:Q123" si="517">G123-H129*0.15</f>
        <v>71.522106440014355</v>
      </c>
      <c r="I123" s="5073">
        <f t="shared" si="517"/>
        <v>68.844337310184073</v>
      </c>
      <c r="J123" s="5006">
        <f t="shared" si="517"/>
        <v>68.546164519851985</v>
      </c>
      <c r="K123" s="1818">
        <f t="shared" si="517"/>
        <v>68.279125115810047</v>
      </c>
      <c r="L123" s="1759">
        <f t="shared" si="517"/>
        <v>68.579125115810044</v>
      </c>
      <c r="M123" s="1642">
        <f t="shared" si="517"/>
        <v>66.929125115810038</v>
      </c>
      <c r="N123" s="1643">
        <f t="shared" si="517"/>
        <v>66.029125115810032</v>
      </c>
      <c r="O123" s="1767">
        <f t="shared" si="517"/>
        <v>64.979125115810035</v>
      </c>
      <c r="P123" s="1642">
        <f t="shared" si="517"/>
        <v>65.279125115810032</v>
      </c>
      <c r="Q123" s="1643">
        <f t="shared" si="517"/>
        <v>64.379125115810027</v>
      </c>
      <c r="R123" s="2085">
        <f t="shared" si="498"/>
        <v>822.3711605847999</v>
      </c>
      <c r="S123" s="2327"/>
      <c r="T123" s="2328"/>
      <c r="U123" s="2329"/>
      <c r="V123" s="3466"/>
      <c r="W123" s="2328"/>
      <c r="X123" s="2329"/>
      <c r="Y123" s="2327"/>
      <c r="Z123" s="2328"/>
      <c r="AA123" s="2329"/>
      <c r="AB123" s="2327"/>
      <c r="AC123" s="2328"/>
      <c r="AD123" s="2329"/>
      <c r="AE123" s="2085">
        <f t="shared" si="504"/>
        <v>0</v>
      </c>
      <c r="AF123" s="2327"/>
      <c r="AG123" s="2328"/>
      <c r="AH123" s="2329"/>
      <c r="AI123" s="3466"/>
      <c r="AJ123" s="2328"/>
      <c r="AK123" s="2329"/>
      <c r="AL123" s="2327"/>
      <c r="AM123" s="2328"/>
      <c r="AN123" s="2329"/>
      <c r="AO123" s="2327"/>
      <c r="AP123" s="2328"/>
      <c r="AQ123" s="2329"/>
      <c r="AR123" s="2085">
        <f t="shared" si="510"/>
        <v>0</v>
      </c>
      <c r="AS123" s="2327"/>
      <c r="AT123" s="2328"/>
      <c r="AU123" s="2329"/>
      <c r="AV123" s="3466"/>
      <c r="AW123" s="2328"/>
      <c r="AX123" s="2329"/>
      <c r="AY123" s="2327"/>
      <c r="AZ123" s="2328"/>
      <c r="BA123" s="2329"/>
      <c r="BB123" s="2327"/>
      <c r="BC123" s="2328"/>
      <c r="BD123" s="2329"/>
      <c r="BE123" s="1557">
        <f t="shared" si="516"/>
        <v>0</v>
      </c>
    </row>
    <row r="124" spans="1:57" ht="18" customHeight="1">
      <c r="A124" s="2000"/>
      <c r="B124" s="2000" t="s">
        <v>785</v>
      </c>
      <c r="C124" s="2156"/>
      <c r="D124" s="2256"/>
      <c r="E124" s="2256"/>
      <c r="F124" s="4551">
        <v>205</v>
      </c>
      <c r="G124" s="5006">
        <f>F124-G129*0.35</f>
        <v>198.01091184285141</v>
      </c>
      <c r="H124" s="5498">
        <f t="shared" ref="H124" si="518">G124-H129*0.35</f>
        <v>194.55158169336681</v>
      </c>
      <c r="I124" s="5073">
        <f>H124-I129*0.4</f>
        <v>187.41086401381938</v>
      </c>
      <c r="J124" s="5006">
        <f t="shared" ref="J124:Q124" si="519">I124-J129*0.4</f>
        <v>186.61573657293383</v>
      </c>
      <c r="K124" s="1818">
        <f t="shared" si="519"/>
        <v>185.90363149548864</v>
      </c>
      <c r="L124" s="1759">
        <f t="shared" si="519"/>
        <v>186.70363149548865</v>
      </c>
      <c r="M124" s="1642">
        <f t="shared" si="519"/>
        <v>182.30363149548864</v>
      </c>
      <c r="N124" s="1643">
        <f t="shared" si="519"/>
        <v>179.90363149548864</v>
      </c>
      <c r="O124" s="1767">
        <f t="shared" si="519"/>
        <v>177.10363149548863</v>
      </c>
      <c r="P124" s="1642">
        <f t="shared" si="519"/>
        <v>177.90363149548864</v>
      </c>
      <c r="Q124" s="1643">
        <f t="shared" si="519"/>
        <v>175.50363149548863</v>
      </c>
      <c r="R124" s="2085">
        <f t="shared" si="498"/>
        <v>2236.9145145913922</v>
      </c>
      <c r="S124" s="2327"/>
      <c r="T124" s="2328"/>
      <c r="U124" s="2329"/>
      <c r="V124" s="3466"/>
      <c r="W124" s="2328"/>
      <c r="X124" s="2329"/>
      <c r="Y124" s="2327"/>
      <c r="Z124" s="2328"/>
      <c r="AA124" s="2329"/>
      <c r="AB124" s="2327"/>
      <c r="AC124" s="2328"/>
      <c r="AD124" s="2329"/>
      <c r="AE124" s="2085">
        <f t="shared" si="504"/>
        <v>0</v>
      </c>
      <c r="AF124" s="2327"/>
      <c r="AG124" s="2328"/>
      <c r="AH124" s="2329"/>
      <c r="AI124" s="3466"/>
      <c r="AJ124" s="2328"/>
      <c r="AK124" s="2329"/>
      <c r="AL124" s="2327"/>
      <c r="AM124" s="2328"/>
      <c r="AN124" s="2329"/>
      <c r="AO124" s="2327"/>
      <c r="AP124" s="2328"/>
      <c r="AQ124" s="2329"/>
      <c r="AR124" s="2085">
        <f t="shared" si="510"/>
        <v>0</v>
      </c>
      <c r="AS124" s="2327"/>
      <c r="AT124" s="2328"/>
      <c r="AU124" s="2329"/>
      <c r="AV124" s="3466"/>
      <c r="AW124" s="2328"/>
      <c r="AX124" s="2329"/>
      <c r="AY124" s="2327"/>
      <c r="AZ124" s="2328"/>
      <c r="BA124" s="2329"/>
      <c r="BB124" s="2327"/>
      <c r="BC124" s="2328"/>
      <c r="BD124" s="2329"/>
      <c r="BE124" s="1557">
        <f t="shared" si="516"/>
        <v>0</v>
      </c>
    </row>
    <row r="125" spans="1:57" ht="18" customHeight="1">
      <c r="A125" s="2000"/>
      <c r="B125" s="2000" t="s">
        <v>784</v>
      </c>
      <c r="C125" s="2156"/>
      <c r="D125" s="2256"/>
      <c r="E125" s="2256"/>
      <c r="F125" s="4551">
        <v>214</v>
      </c>
      <c r="G125" s="5006">
        <f>F125-G129*0.4</f>
        <v>206.01247067754448</v>
      </c>
      <c r="H125" s="5498">
        <f t="shared" ref="H125" si="520">G125-H129*0.4</f>
        <v>202.05895050670492</v>
      </c>
      <c r="I125" s="5073">
        <f>H125-I129*0.35</f>
        <v>195.81082253710093</v>
      </c>
      <c r="J125" s="5006">
        <f t="shared" ref="J125:Q125" si="521">I125-J129*0.35</f>
        <v>195.11508602632605</v>
      </c>
      <c r="K125" s="1818">
        <f t="shared" si="521"/>
        <v>194.49199408356154</v>
      </c>
      <c r="L125" s="1759">
        <f t="shared" si="521"/>
        <v>195.19199408356153</v>
      </c>
      <c r="M125" s="1642">
        <f t="shared" si="521"/>
        <v>191.34199408356153</v>
      </c>
      <c r="N125" s="1643">
        <f t="shared" si="521"/>
        <v>189.24199408356154</v>
      </c>
      <c r="O125" s="1767">
        <f t="shared" si="521"/>
        <v>186.79199408356155</v>
      </c>
      <c r="P125" s="1642">
        <f t="shared" si="521"/>
        <v>187.49199408356154</v>
      </c>
      <c r="Q125" s="1643">
        <f t="shared" si="521"/>
        <v>185.39199408356154</v>
      </c>
      <c r="R125" s="2085">
        <f t="shared" si="498"/>
        <v>2342.9412883326072</v>
      </c>
      <c r="S125" s="2327"/>
      <c r="T125" s="2328"/>
      <c r="U125" s="2329"/>
      <c r="V125" s="3466"/>
      <c r="W125" s="2328"/>
      <c r="X125" s="2329"/>
      <c r="Y125" s="2327"/>
      <c r="Z125" s="2328"/>
      <c r="AA125" s="2329"/>
      <c r="AB125" s="2327"/>
      <c r="AC125" s="2328"/>
      <c r="AD125" s="2329"/>
      <c r="AE125" s="2085">
        <f t="shared" si="504"/>
        <v>0</v>
      </c>
      <c r="AF125" s="2327"/>
      <c r="AG125" s="2328"/>
      <c r="AH125" s="2329"/>
      <c r="AI125" s="3466"/>
      <c r="AJ125" s="2328"/>
      <c r="AK125" s="2329"/>
      <c r="AL125" s="2327"/>
      <c r="AM125" s="2328"/>
      <c r="AN125" s="2329"/>
      <c r="AO125" s="2327"/>
      <c r="AP125" s="2328"/>
      <c r="AQ125" s="2329"/>
      <c r="AR125" s="2085">
        <f t="shared" si="510"/>
        <v>0</v>
      </c>
      <c r="AS125" s="2327"/>
      <c r="AT125" s="2328"/>
      <c r="AU125" s="2329"/>
      <c r="AV125" s="3466"/>
      <c r="AW125" s="2328"/>
      <c r="AX125" s="2329"/>
      <c r="AY125" s="2327"/>
      <c r="AZ125" s="2328"/>
      <c r="BA125" s="2329"/>
      <c r="BB125" s="2327"/>
      <c r="BC125" s="2328"/>
      <c r="BD125" s="2329"/>
      <c r="BE125" s="1557">
        <f t="shared" si="516"/>
        <v>0</v>
      </c>
    </row>
    <row r="126" spans="1:57" ht="18" customHeight="1" thickBot="1">
      <c r="A126" s="1997"/>
      <c r="B126" s="1997" t="s">
        <v>92</v>
      </c>
      <c r="C126" s="2156"/>
      <c r="D126" s="2256"/>
      <c r="E126" s="2330"/>
      <c r="F126" s="4556">
        <v>92</v>
      </c>
      <c r="G126" s="5011">
        <f>F126-G129*0.1</f>
        <v>90.003117669386114</v>
      </c>
      <c r="H126" s="5504">
        <f t="shared" ref="H126:Q126" si="522">G126-H129*0.1</f>
        <v>89.014737626676222</v>
      </c>
      <c r="I126" s="6177">
        <f t="shared" si="522"/>
        <v>87.229558206789363</v>
      </c>
      <c r="J126" s="5011">
        <f t="shared" si="522"/>
        <v>87.030776346567976</v>
      </c>
      <c r="K126" s="4109">
        <f t="shared" si="522"/>
        <v>86.852750077206679</v>
      </c>
      <c r="L126" s="2141">
        <f t="shared" si="522"/>
        <v>87.052750077206682</v>
      </c>
      <c r="M126" s="2139">
        <f t="shared" si="522"/>
        <v>85.952750077206687</v>
      </c>
      <c r="N126" s="2140">
        <f t="shared" si="522"/>
        <v>85.352750077206693</v>
      </c>
      <c r="O126" s="4108">
        <f t="shared" si="522"/>
        <v>84.65275007720669</v>
      </c>
      <c r="P126" s="2139">
        <f t="shared" si="522"/>
        <v>84.852750077206693</v>
      </c>
      <c r="Q126" s="2140">
        <f t="shared" si="522"/>
        <v>84.252750077206699</v>
      </c>
      <c r="R126" s="2085">
        <f t="shared" si="498"/>
        <v>1044.2474403898666</v>
      </c>
      <c r="S126" s="3467"/>
      <c r="T126" s="3468"/>
      <c r="U126" s="3469"/>
      <c r="V126" s="3467"/>
      <c r="W126" s="3468"/>
      <c r="X126" s="3469"/>
      <c r="Y126" s="3467"/>
      <c r="Z126" s="3468"/>
      <c r="AA126" s="3469"/>
      <c r="AB126" s="3467"/>
      <c r="AC126" s="3468"/>
      <c r="AD126" s="3469"/>
      <c r="AE126" s="2085">
        <f t="shared" si="504"/>
        <v>0</v>
      </c>
      <c r="AF126" s="3467"/>
      <c r="AG126" s="3468"/>
      <c r="AH126" s="3469"/>
      <c r="AI126" s="3467"/>
      <c r="AJ126" s="3468"/>
      <c r="AK126" s="3469"/>
      <c r="AL126" s="3467"/>
      <c r="AM126" s="3468"/>
      <c r="AN126" s="3469"/>
      <c r="AO126" s="3467"/>
      <c r="AP126" s="3468"/>
      <c r="AQ126" s="3469"/>
      <c r="AR126" s="2085">
        <f t="shared" si="510"/>
        <v>0</v>
      </c>
      <c r="AS126" s="3467"/>
      <c r="AT126" s="3468"/>
      <c r="AU126" s="3469"/>
      <c r="AV126" s="3467"/>
      <c r="AW126" s="3468"/>
      <c r="AX126" s="3469"/>
      <c r="AY126" s="3467"/>
      <c r="AZ126" s="3468"/>
      <c r="BA126" s="2333"/>
      <c r="BB126" s="2331"/>
      <c r="BC126" s="2332"/>
      <c r="BD126" s="2333"/>
      <c r="BE126" s="1557">
        <f t="shared" si="516"/>
        <v>0</v>
      </c>
    </row>
    <row r="127" spans="1:57" ht="18" customHeight="1" thickBot="1">
      <c r="A127" s="2334"/>
      <c r="B127" s="2334" t="s">
        <v>352</v>
      </c>
      <c r="C127" s="1769"/>
      <c r="D127" s="1769"/>
      <c r="E127" s="2335"/>
      <c r="F127" s="4557">
        <f>SUM(F123:F126)</f>
        <v>587</v>
      </c>
      <c r="G127" s="5021">
        <f t="shared" ref="G127:Q127" si="523">SUM(G123:G126)</f>
        <v>567.0311766938612</v>
      </c>
      <c r="H127" s="5518">
        <f t="shared" si="523"/>
        <v>557.14737626676231</v>
      </c>
      <c r="I127" s="4557">
        <f t="shared" si="523"/>
        <v>539.29558206789375</v>
      </c>
      <c r="J127" s="5021">
        <f t="shared" si="523"/>
        <v>537.30776346567984</v>
      </c>
      <c r="K127" s="1816">
        <f t="shared" si="523"/>
        <v>535.5275007720669</v>
      </c>
      <c r="L127" s="1814">
        <f t="shared" si="523"/>
        <v>537.5275007720669</v>
      </c>
      <c r="M127" s="1815">
        <f t="shared" si="523"/>
        <v>526.5275007720669</v>
      </c>
      <c r="N127" s="1816">
        <f t="shared" si="523"/>
        <v>520.5275007720669</v>
      </c>
      <c r="O127" s="1814">
        <f t="shared" si="523"/>
        <v>513.5275007720669</v>
      </c>
      <c r="P127" s="1815">
        <f t="shared" si="523"/>
        <v>515.5275007720669</v>
      </c>
      <c r="Q127" s="1816">
        <f t="shared" si="523"/>
        <v>509.5275007720669</v>
      </c>
      <c r="R127" s="2138">
        <f>SUM(R121:R126)</f>
        <v>6626.4744038986664</v>
      </c>
      <c r="S127" s="1814">
        <f t="shared" ref="S127:AC127" si="524">SUM(S121:S126)</f>
        <v>4</v>
      </c>
      <c r="T127" s="1815">
        <f t="shared" si="524"/>
        <v>4</v>
      </c>
      <c r="U127" s="1816">
        <f t="shared" si="524"/>
        <v>4</v>
      </c>
      <c r="V127" s="1814">
        <f t="shared" si="524"/>
        <v>4</v>
      </c>
      <c r="W127" s="1815">
        <f t="shared" si="524"/>
        <v>4</v>
      </c>
      <c r="X127" s="1816">
        <f t="shared" si="524"/>
        <v>4</v>
      </c>
      <c r="Y127" s="1814">
        <f t="shared" si="524"/>
        <v>4</v>
      </c>
      <c r="Z127" s="1815">
        <f t="shared" si="524"/>
        <v>4</v>
      </c>
      <c r="AA127" s="1816">
        <f t="shared" si="524"/>
        <v>4</v>
      </c>
      <c r="AB127" s="1814">
        <f t="shared" si="524"/>
        <v>4</v>
      </c>
      <c r="AC127" s="1815">
        <f t="shared" si="524"/>
        <v>4</v>
      </c>
      <c r="AD127" s="1816">
        <f>SUM(AD121:AD126)</f>
        <v>4</v>
      </c>
      <c r="AE127" s="2138">
        <f>SUM(AE121:AE126)</f>
        <v>48</v>
      </c>
      <c r="AF127" s="1814">
        <f t="shared" ref="AF127:AP127" si="525">SUM(AF121:AF126)</f>
        <v>4</v>
      </c>
      <c r="AG127" s="1815">
        <f t="shared" si="525"/>
        <v>4</v>
      </c>
      <c r="AH127" s="1816">
        <f t="shared" si="525"/>
        <v>4</v>
      </c>
      <c r="AI127" s="1814">
        <f t="shared" si="525"/>
        <v>4</v>
      </c>
      <c r="AJ127" s="1815">
        <f t="shared" si="525"/>
        <v>4</v>
      </c>
      <c r="AK127" s="1816">
        <f t="shared" si="525"/>
        <v>4</v>
      </c>
      <c r="AL127" s="1814">
        <f t="shared" si="525"/>
        <v>4</v>
      </c>
      <c r="AM127" s="1815">
        <f t="shared" si="525"/>
        <v>4</v>
      </c>
      <c r="AN127" s="1816">
        <f t="shared" si="525"/>
        <v>4</v>
      </c>
      <c r="AO127" s="1814">
        <f t="shared" si="525"/>
        <v>4</v>
      </c>
      <c r="AP127" s="1815">
        <f t="shared" si="525"/>
        <v>4</v>
      </c>
      <c r="AQ127" s="1816">
        <f>SUM(AQ121:AQ126)</f>
        <v>4</v>
      </c>
      <c r="AR127" s="2138">
        <f>SUM(AR121:AR126)</f>
        <v>48</v>
      </c>
      <c r="AS127" s="1814">
        <f t="shared" ref="AS127:BC127" si="526">SUM(AS121:AS126)</f>
        <v>4</v>
      </c>
      <c r="AT127" s="1815">
        <f t="shared" si="526"/>
        <v>4</v>
      </c>
      <c r="AU127" s="1816">
        <f t="shared" si="526"/>
        <v>4</v>
      </c>
      <c r="AV127" s="1814">
        <f t="shared" si="526"/>
        <v>4</v>
      </c>
      <c r="AW127" s="1815">
        <f t="shared" si="526"/>
        <v>4</v>
      </c>
      <c r="AX127" s="1816">
        <f t="shared" si="526"/>
        <v>4</v>
      </c>
      <c r="AY127" s="1814">
        <f t="shared" si="526"/>
        <v>4</v>
      </c>
      <c r="AZ127" s="1815">
        <f t="shared" si="526"/>
        <v>4</v>
      </c>
      <c r="BA127" s="1816">
        <f t="shared" si="526"/>
        <v>4</v>
      </c>
      <c r="BB127" s="1814">
        <f t="shared" si="526"/>
        <v>4</v>
      </c>
      <c r="BC127" s="1815">
        <f t="shared" si="526"/>
        <v>4</v>
      </c>
      <c r="BD127" s="1816">
        <f>SUM(BD121:BD126)</f>
        <v>4</v>
      </c>
      <c r="BE127" s="1774">
        <f>SUM(BE121:BE126)</f>
        <v>48</v>
      </c>
    </row>
    <row r="128" spans="1:57" ht="18" customHeight="1">
      <c r="A128" s="1507"/>
      <c r="B128" s="1511"/>
      <c r="C128" s="2185"/>
      <c r="D128" s="2185"/>
      <c r="E128" s="2186"/>
      <c r="F128" s="4599">
        <f t="shared" ref="F128:Q128" si="527">F36</f>
        <v>574.33750416627015</v>
      </c>
      <c r="G128" s="4599">
        <f t="shared" si="527"/>
        <v>554.36868086013135</v>
      </c>
      <c r="H128" s="4599">
        <f t="shared" si="527"/>
        <v>544.48488043303246</v>
      </c>
      <c r="I128" s="4599">
        <f t="shared" si="527"/>
        <v>526.6330862341639</v>
      </c>
      <c r="J128" s="4599">
        <f t="shared" si="527"/>
        <v>524.64526763194999</v>
      </c>
      <c r="K128" s="2187">
        <f t="shared" si="527"/>
        <v>522.86500493833705</v>
      </c>
      <c r="L128" s="2187">
        <f t="shared" si="527"/>
        <v>524.86500493833705</v>
      </c>
      <c r="M128" s="2187">
        <f t="shared" si="527"/>
        <v>513.86500493833705</v>
      </c>
      <c r="N128" s="2187">
        <f t="shared" si="527"/>
        <v>507.86500493833705</v>
      </c>
      <c r="O128" s="2187">
        <f t="shared" si="527"/>
        <v>500.86500493833705</v>
      </c>
      <c r="P128" s="2187">
        <f t="shared" si="527"/>
        <v>502.86500493833705</v>
      </c>
      <c r="Q128" s="2187">
        <f t="shared" si="527"/>
        <v>496.86500493833705</v>
      </c>
      <c r="R128" s="3498"/>
      <c r="S128" s="3429"/>
      <c r="T128" s="3429"/>
      <c r="U128" s="3429"/>
      <c r="V128" s="3429"/>
      <c r="W128" s="3429"/>
      <c r="X128" s="3429"/>
      <c r="Y128" s="3429"/>
      <c r="Z128" s="3429"/>
      <c r="AA128" s="3429"/>
      <c r="AD128" s="3497"/>
      <c r="AE128" s="3498"/>
      <c r="AF128" s="3429"/>
      <c r="AG128" s="3429"/>
      <c r="AH128" s="3429"/>
      <c r="AI128" s="3429"/>
      <c r="AJ128" s="3429"/>
      <c r="AK128" s="3429"/>
      <c r="AL128" s="3429"/>
      <c r="AM128" s="3429"/>
      <c r="AN128" s="3429"/>
      <c r="AQ128" s="3497"/>
      <c r="AR128" s="3498"/>
      <c r="AS128" s="3429"/>
      <c r="AT128" s="3429"/>
      <c r="AU128" s="3429"/>
      <c r="AV128" s="3429"/>
      <c r="AW128" s="3429"/>
      <c r="AX128" s="3429"/>
      <c r="AY128" s="3429"/>
      <c r="AZ128" s="3429"/>
      <c r="BA128" s="2336"/>
      <c r="BD128" s="2337"/>
      <c r="BE128" s="2338"/>
    </row>
    <row r="129" spans="1:57" ht="18" customHeight="1">
      <c r="F129" s="1536"/>
      <c r="G129" s="4599">
        <f>F128-G128</f>
        <v>19.968823306138802</v>
      </c>
      <c r="H129" s="4599">
        <f t="shared" ref="H129:Q129" si="528">G128-H128</f>
        <v>9.8838004270988904</v>
      </c>
      <c r="I129" s="4599">
        <f t="shared" si="528"/>
        <v>17.851794198868561</v>
      </c>
      <c r="J129" s="4599">
        <f t="shared" si="528"/>
        <v>1.9878186022139062</v>
      </c>
      <c r="K129" s="2187">
        <f t="shared" si="528"/>
        <v>1.78026269361294</v>
      </c>
      <c r="L129" s="2187">
        <f t="shared" si="528"/>
        <v>-2</v>
      </c>
      <c r="M129" s="2187">
        <f t="shared" si="528"/>
        <v>11</v>
      </c>
      <c r="N129" s="2187">
        <f t="shared" si="528"/>
        <v>6</v>
      </c>
      <c r="O129" s="2187">
        <f t="shared" si="528"/>
        <v>7</v>
      </c>
      <c r="P129" s="2187">
        <f t="shared" si="528"/>
        <v>-2</v>
      </c>
      <c r="Q129" s="2187">
        <f t="shared" si="528"/>
        <v>6</v>
      </c>
      <c r="R129" s="1533"/>
      <c r="AD129" s="1785" t="s">
        <v>1073</v>
      </c>
      <c r="AE129" s="1533">
        <f>240*AE128</f>
        <v>0</v>
      </c>
      <c r="AQ129" s="1785" t="s">
        <v>1073</v>
      </c>
      <c r="AR129" s="1533">
        <f>240*AR128</f>
        <v>0</v>
      </c>
      <c r="BD129" s="1537" t="s">
        <v>1073</v>
      </c>
      <c r="BE129" s="1532">
        <f>240*BE128</f>
        <v>0</v>
      </c>
    </row>
    <row r="130" spans="1:57" ht="18" customHeight="1">
      <c r="A130" s="2184" t="s">
        <v>970</v>
      </c>
      <c r="F130" s="1536"/>
    </row>
    <row r="131" spans="1:57" ht="18" customHeight="1" thickBot="1">
      <c r="A131" s="2249" t="s">
        <v>1430</v>
      </c>
      <c r="E131" s="2249"/>
      <c r="F131" s="2649"/>
      <c r="G131" s="2233"/>
      <c r="H131" s="2233"/>
      <c r="I131" s="2233"/>
      <c r="J131" s="2233"/>
      <c r="K131" s="1637"/>
      <c r="L131" s="1637"/>
      <c r="M131" s="1637"/>
      <c r="O131" s="1637"/>
      <c r="Q131" s="2825" t="s">
        <v>949</v>
      </c>
      <c r="R131" s="1785" t="s">
        <v>349</v>
      </c>
      <c r="S131" s="4"/>
      <c r="T131" s="1637"/>
      <c r="U131" s="1637"/>
      <c r="V131" s="1637"/>
      <c r="W131" s="1637"/>
      <c r="X131" s="1637"/>
      <c r="Y131" s="1637"/>
      <c r="Z131" s="1637"/>
      <c r="AB131" s="1637"/>
      <c r="AD131" s="2825" t="s">
        <v>949</v>
      </c>
      <c r="AE131" s="1785" t="s">
        <v>349</v>
      </c>
      <c r="AF131" s="4"/>
      <c r="AG131" s="1637"/>
      <c r="AH131" s="1637"/>
      <c r="AI131" s="1637"/>
      <c r="AJ131" s="1637"/>
      <c r="AK131" s="1637"/>
      <c r="AL131" s="1637"/>
      <c r="AM131" s="1637"/>
      <c r="AO131" s="1637"/>
      <c r="AQ131" s="2825" t="s">
        <v>949</v>
      </c>
      <c r="AR131" s="1785" t="s">
        <v>349</v>
      </c>
      <c r="AS131" s="4"/>
      <c r="AT131" s="1637"/>
      <c r="AU131" s="1637"/>
      <c r="AV131" s="1637"/>
      <c r="AW131" s="1637"/>
      <c r="AX131" s="1637"/>
      <c r="AY131" s="1637"/>
      <c r="AZ131" s="1637"/>
      <c r="BB131" s="1637"/>
      <c r="BD131" s="2825" t="s">
        <v>949</v>
      </c>
      <c r="BE131" s="1537" t="s">
        <v>349</v>
      </c>
    </row>
    <row r="132" spans="1:57" ht="18" customHeight="1">
      <c r="A132" s="2339" t="s">
        <v>108</v>
      </c>
      <c r="B132" s="2340" t="s">
        <v>929</v>
      </c>
      <c r="C132" s="2340"/>
      <c r="D132" s="2340"/>
      <c r="E132" s="2341" t="s">
        <v>818</v>
      </c>
      <c r="F132" s="5284" t="s">
        <v>930</v>
      </c>
      <c r="G132" s="5284" t="s">
        <v>557</v>
      </c>
      <c r="H132" s="5284" t="s">
        <v>558</v>
      </c>
      <c r="I132" s="5284" t="s">
        <v>508</v>
      </c>
      <c r="J132" s="5284" t="s">
        <v>509</v>
      </c>
      <c r="K132" s="2439" t="s">
        <v>559</v>
      </c>
      <c r="L132" s="2439" t="s">
        <v>611</v>
      </c>
      <c r="M132" s="2439" t="s">
        <v>510</v>
      </c>
      <c r="N132" s="2439" t="s">
        <v>511</v>
      </c>
      <c r="O132" s="2439" t="s">
        <v>409</v>
      </c>
      <c r="P132" s="2439" t="s">
        <v>410</v>
      </c>
      <c r="Q132" s="2439" t="s">
        <v>411</v>
      </c>
      <c r="R132" s="3499" t="s">
        <v>15</v>
      </c>
      <c r="S132" s="2439" t="s">
        <v>930</v>
      </c>
      <c r="T132" s="2439" t="s">
        <v>557</v>
      </c>
      <c r="U132" s="2439" t="s">
        <v>558</v>
      </c>
      <c r="V132" s="2439" t="s">
        <v>508</v>
      </c>
      <c r="W132" s="2439" t="s">
        <v>509</v>
      </c>
      <c r="X132" s="2439" t="s">
        <v>559</v>
      </c>
      <c r="Y132" s="2439" t="s">
        <v>611</v>
      </c>
      <c r="Z132" s="2439" t="s">
        <v>510</v>
      </c>
      <c r="AA132" s="2439" t="s">
        <v>511</v>
      </c>
      <c r="AB132" s="2439" t="s">
        <v>409</v>
      </c>
      <c r="AC132" s="2439" t="s">
        <v>410</v>
      </c>
      <c r="AD132" s="2439" t="s">
        <v>411</v>
      </c>
      <c r="AE132" s="3499" t="s">
        <v>15</v>
      </c>
      <c r="AF132" s="2439" t="s">
        <v>930</v>
      </c>
      <c r="AG132" s="2439" t="s">
        <v>557</v>
      </c>
      <c r="AH132" s="2439" t="s">
        <v>558</v>
      </c>
      <c r="AI132" s="2439" t="s">
        <v>508</v>
      </c>
      <c r="AJ132" s="2439" t="s">
        <v>509</v>
      </c>
      <c r="AK132" s="2439" t="s">
        <v>559</v>
      </c>
      <c r="AL132" s="2439" t="s">
        <v>611</v>
      </c>
      <c r="AM132" s="2439" t="s">
        <v>510</v>
      </c>
      <c r="AN132" s="2439" t="s">
        <v>511</v>
      </c>
      <c r="AO132" s="2439" t="s">
        <v>409</v>
      </c>
      <c r="AP132" s="2439" t="s">
        <v>410</v>
      </c>
      <c r="AQ132" s="2439" t="s">
        <v>411</v>
      </c>
      <c r="AR132" s="3499" t="s">
        <v>15</v>
      </c>
      <c r="AS132" s="2439" t="s">
        <v>930</v>
      </c>
      <c r="AT132" s="2439" t="s">
        <v>557</v>
      </c>
      <c r="AU132" s="2439" t="s">
        <v>558</v>
      </c>
      <c r="AV132" s="2439" t="s">
        <v>508</v>
      </c>
      <c r="AW132" s="2439" t="s">
        <v>509</v>
      </c>
      <c r="AX132" s="2439" t="s">
        <v>559</v>
      </c>
      <c r="AY132" s="2439" t="s">
        <v>611</v>
      </c>
      <c r="AZ132" s="2439" t="s">
        <v>510</v>
      </c>
      <c r="BA132" s="2340" t="s">
        <v>511</v>
      </c>
      <c r="BB132" s="2340" t="s">
        <v>409</v>
      </c>
      <c r="BC132" s="2340" t="s">
        <v>410</v>
      </c>
      <c r="BD132" s="2340" t="s">
        <v>411</v>
      </c>
      <c r="BE132" s="2341" t="s">
        <v>15</v>
      </c>
    </row>
    <row r="133" spans="1:57" ht="18" customHeight="1">
      <c r="A133" s="7388" t="s">
        <v>931</v>
      </c>
      <c r="B133" s="2342" t="s">
        <v>948</v>
      </c>
      <c r="C133" s="2343"/>
      <c r="D133" s="2343"/>
      <c r="E133" s="2344">
        <f>AVERAGE(F133:Q133)</f>
        <v>1067.3333333333333</v>
      </c>
      <c r="F133" s="5285">
        <v>940</v>
      </c>
      <c r="G133" s="5285">
        <v>1129</v>
      </c>
      <c r="H133" s="5285">
        <v>1202</v>
      </c>
      <c r="I133" s="5285">
        <v>1112</v>
      </c>
      <c r="J133" s="5285">
        <v>1161</v>
      </c>
      <c r="K133" s="3470">
        <v>1028</v>
      </c>
      <c r="L133" s="3470">
        <v>1078</v>
      </c>
      <c r="M133" s="3470">
        <v>1026</v>
      </c>
      <c r="N133" s="3470">
        <v>930</v>
      </c>
      <c r="O133" s="3500"/>
      <c r="P133" s="3500"/>
      <c r="Q133" s="3500"/>
      <c r="R133" s="3501">
        <f>SUM(F133:N133)</f>
        <v>9606</v>
      </c>
      <c r="S133" s="3470">
        <v>940</v>
      </c>
      <c r="T133" s="3470">
        <v>1129</v>
      </c>
      <c r="U133" s="3470">
        <v>1202</v>
      </c>
      <c r="V133" s="3470">
        <v>1112</v>
      </c>
      <c r="W133" s="3470">
        <v>1161</v>
      </c>
      <c r="X133" s="3470">
        <v>1028</v>
      </c>
      <c r="Y133" s="3470">
        <v>1078</v>
      </c>
      <c r="Z133" s="3470">
        <v>1026</v>
      </c>
      <c r="AA133" s="3470">
        <v>930</v>
      </c>
      <c r="AB133" s="3500"/>
      <c r="AC133" s="3500"/>
      <c r="AD133" s="3500"/>
      <c r="AE133" s="3501">
        <f>SUM(S133:AA133)</f>
        <v>9606</v>
      </c>
      <c r="AF133" s="3470">
        <v>940</v>
      </c>
      <c r="AG133" s="3470">
        <v>1129</v>
      </c>
      <c r="AH133" s="3470">
        <v>1202</v>
      </c>
      <c r="AI133" s="3470">
        <v>1112</v>
      </c>
      <c r="AJ133" s="3470">
        <v>1161</v>
      </c>
      <c r="AK133" s="3470">
        <v>1028</v>
      </c>
      <c r="AL133" s="3470">
        <v>1078</v>
      </c>
      <c r="AM133" s="3470">
        <v>1026</v>
      </c>
      <c r="AN133" s="3470">
        <v>930</v>
      </c>
      <c r="AO133" s="3500"/>
      <c r="AP133" s="3500"/>
      <c r="AQ133" s="3500"/>
      <c r="AR133" s="3501">
        <f>SUM(AF133:AN133)</f>
        <v>9606</v>
      </c>
      <c r="AS133" s="3470">
        <v>940</v>
      </c>
      <c r="AT133" s="3470">
        <v>1129</v>
      </c>
      <c r="AU133" s="3470">
        <v>1202</v>
      </c>
      <c r="AV133" s="3470">
        <v>1112</v>
      </c>
      <c r="AW133" s="3470">
        <v>1161</v>
      </c>
      <c r="AX133" s="3470">
        <v>1028</v>
      </c>
      <c r="AY133" s="3470">
        <v>1078</v>
      </c>
      <c r="AZ133" s="3470">
        <v>1026</v>
      </c>
      <c r="BA133" s="2345">
        <v>930</v>
      </c>
      <c r="BB133" s="2346"/>
      <c r="BC133" s="2346"/>
      <c r="BD133" s="2346"/>
      <c r="BE133" s="2344">
        <f>SUM(AS133:BA133)</f>
        <v>9606</v>
      </c>
    </row>
    <row r="134" spans="1:57" ht="18" customHeight="1">
      <c r="A134" s="7389"/>
      <c r="B134" s="2347" t="s">
        <v>932</v>
      </c>
      <c r="C134" s="2347"/>
      <c r="D134" s="2347"/>
      <c r="E134" s="2344">
        <f>AVERAGE(F134:Q134)</f>
        <v>111.44444444444444</v>
      </c>
      <c r="F134" s="5285">
        <v>31</v>
      </c>
      <c r="G134" s="5285">
        <v>160</v>
      </c>
      <c r="H134" s="5285">
        <v>188</v>
      </c>
      <c r="I134" s="5285">
        <v>100</v>
      </c>
      <c r="J134" s="5285">
        <v>163</v>
      </c>
      <c r="K134" s="3470">
        <v>103</v>
      </c>
      <c r="L134" s="3470">
        <v>126</v>
      </c>
      <c r="M134" s="3470">
        <v>91</v>
      </c>
      <c r="N134" s="3470">
        <v>41</v>
      </c>
      <c r="O134" s="3500"/>
      <c r="P134" s="3500"/>
      <c r="Q134" s="3500"/>
      <c r="R134" s="3501">
        <f>SUM(F134:N134)</f>
        <v>1003</v>
      </c>
      <c r="S134" s="3470">
        <v>31</v>
      </c>
      <c r="T134" s="3470">
        <v>160</v>
      </c>
      <c r="U134" s="3470">
        <v>188</v>
      </c>
      <c r="V134" s="3470">
        <v>100</v>
      </c>
      <c r="W134" s="3470">
        <v>163</v>
      </c>
      <c r="X134" s="3470">
        <v>103</v>
      </c>
      <c r="Y134" s="3470">
        <v>126</v>
      </c>
      <c r="Z134" s="3470">
        <v>91</v>
      </c>
      <c r="AA134" s="3470">
        <v>41</v>
      </c>
      <c r="AB134" s="3500"/>
      <c r="AC134" s="3500"/>
      <c r="AD134" s="3500"/>
      <c r="AE134" s="3501">
        <f>SUM(S134:AA134)</f>
        <v>1003</v>
      </c>
      <c r="AF134" s="3470">
        <v>31</v>
      </c>
      <c r="AG134" s="3470">
        <v>160</v>
      </c>
      <c r="AH134" s="3470">
        <v>188</v>
      </c>
      <c r="AI134" s="3470">
        <v>100</v>
      </c>
      <c r="AJ134" s="3470">
        <v>163</v>
      </c>
      <c r="AK134" s="3470">
        <v>103</v>
      </c>
      <c r="AL134" s="3470">
        <v>126</v>
      </c>
      <c r="AM134" s="3470">
        <v>91</v>
      </c>
      <c r="AN134" s="3470">
        <v>41</v>
      </c>
      <c r="AO134" s="3500"/>
      <c r="AP134" s="3500"/>
      <c r="AQ134" s="3500"/>
      <c r="AR134" s="3501">
        <f>SUM(AF134:AN134)</f>
        <v>1003</v>
      </c>
      <c r="AS134" s="3470">
        <v>31</v>
      </c>
      <c r="AT134" s="3470">
        <v>160</v>
      </c>
      <c r="AU134" s="3470">
        <v>188</v>
      </c>
      <c r="AV134" s="3470">
        <v>100</v>
      </c>
      <c r="AW134" s="3470">
        <v>163</v>
      </c>
      <c r="AX134" s="3470">
        <v>103</v>
      </c>
      <c r="AY134" s="3470">
        <v>126</v>
      </c>
      <c r="AZ134" s="3470">
        <v>91</v>
      </c>
      <c r="BA134" s="2345">
        <v>41</v>
      </c>
      <c r="BB134" s="2346"/>
      <c r="BC134" s="2346"/>
      <c r="BD134" s="2346"/>
      <c r="BE134" s="2344">
        <f>SUM(AS134:BA134)</f>
        <v>1003</v>
      </c>
    </row>
    <row r="135" spans="1:57" ht="18" customHeight="1" thickBot="1">
      <c r="A135" s="69"/>
      <c r="B135" s="2348" t="s">
        <v>938</v>
      </c>
      <c r="C135" s="2349"/>
      <c r="D135" s="2349"/>
      <c r="E135" s="2350"/>
      <c r="F135" s="5286">
        <f t="shared" ref="F135:N135" si="529">F134/F133</f>
        <v>3.2978723404255318E-2</v>
      </c>
      <c r="G135" s="5286">
        <f t="shared" si="529"/>
        <v>0.141718334809566</v>
      </c>
      <c r="H135" s="5286">
        <f t="shared" si="529"/>
        <v>0.15640599001663893</v>
      </c>
      <c r="I135" s="5286">
        <f t="shared" si="529"/>
        <v>8.9928057553956831E-2</v>
      </c>
      <c r="J135" s="5286">
        <f t="shared" si="529"/>
        <v>0.14039621016365203</v>
      </c>
      <c r="K135" s="3471">
        <f t="shared" si="529"/>
        <v>0.10019455252918288</v>
      </c>
      <c r="L135" s="3471">
        <f t="shared" si="529"/>
        <v>0.11688311688311688</v>
      </c>
      <c r="M135" s="3471">
        <f t="shared" si="529"/>
        <v>8.8693957115009742E-2</v>
      </c>
      <c r="N135" s="3471">
        <f t="shared" si="529"/>
        <v>4.4086021505376341E-2</v>
      </c>
      <c r="O135" s="3471"/>
      <c r="P135" s="3471"/>
      <c r="Q135" s="3471"/>
      <c r="R135" s="3502">
        <f>R134/R133</f>
        <v>0.1044139079741828</v>
      </c>
      <c r="S135" s="3503">
        <f t="shared" ref="S135:AA135" si="530">S134/S133</f>
        <v>3.2978723404255318E-2</v>
      </c>
      <c r="T135" s="3503">
        <f t="shared" si="530"/>
        <v>0.141718334809566</v>
      </c>
      <c r="U135" s="3503">
        <f t="shared" si="530"/>
        <v>0.15640599001663893</v>
      </c>
      <c r="V135" s="3503">
        <f t="shared" si="530"/>
        <v>8.9928057553956831E-2</v>
      </c>
      <c r="W135" s="3503">
        <f t="shared" si="530"/>
        <v>0.14039621016365203</v>
      </c>
      <c r="X135" s="3503">
        <f t="shared" si="530"/>
        <v>0.10019455252918288</v>
      </c>
      <c r="Y135" s="3503">
        <f t="shared" si="530"/>
        <v>0.11688311688311688</v>
      </c>
      <c r="Z135" s="3503">
        <f t="shared" si="530"/>
        <v>8.8693957115009742E-2</v>
      </c>
      <c r="AA135" s="3503">
        <f t="shared" si="530"/>
        <v>4.4086021505376341E-2</v>
      </c>
      <c r="AB135" s="3503"/>
      <c r="AC135" s="3503"/>
      <c r="AD135" s="3503"/>
      <c r="AE135" s="3502">
        <f>AE134/AE133</f>
        <v>0.1044139079741828</v>
      </c>
      <c r="AF135" s="3503">
        <f t="shared" ref="AF135:AN135" si="531">AF134/AF133</f>
        <v>3.2978723404255318E-2</v>
      </c>
      <c r="AG135" s="3503">
        <f t="shared" si="531"/>
        <v>0.141718334809566</v>
      </c>
      <c r="AH135" s="3503">
        <f t="shared" si="531"/>
        <v>0.15640599001663893</v>
      </c>
      <c r="AI135" s="3503">
        <f t="shared" si="531"/>
        <v>8.9928057553956831E-2</v>
      </c>
      <c r="AJ135" s="3503">
        <f t="shared" si="531"/>
        <v>0.14039621016365203</v>
      </c>
      <c r="AK135" s="3503">
        <f t="shared" si="531"/>
        <v>0.10019455252918288</v>
      </c>
      <c r="AL135" s="3503">
        <f t="shared" si="531"/>
        <v>0.11688311688311688</v>
      </c>
      <c r="AM135" s="3503">
        <f t="shared" si="531"/>
        <v>8.8693957115009742E-2</v>
      </c>
      <c r="AN135" s="3503">
        <f t="shared" si="531"/>
        <v>4.4086021505376341E-2</v>
      </c>
      <c r="AO135" s="3503"/>
      <c r="AP135" s="3503"/>
      <c r="AQ135" s="3503"/>
      <c r="AR135" s="3502">
        <f>AR134/AR133</f>
        <v>0.1044139079741828</v>
      </c>
      <c r="AS135" s="3503">
        <f t="shared" ref="AS135:BA135" si="532">AS134/AS133</f>
        <v>3.2978723404255318E-2</v>
      </c>
      <c r="AT135" s="3503">
        <f t="shared" si="532"/>
        <v>0.141718334809566</v>
      </c>
      <c r="AU135" s="3503">
        <f t="shared" si="532"/>
        <v>0.15640599001663893</v>
      </c>
      <c r="AV135" s="3503">
        <f t="shared" si="532"/>
        <v>8.9928057553956831E-2</v>
      </c>
      <c r="AW135" s="3503">
        <f t="shared" si="532"/>
        <v>0.14039621016365203</v>
      </c>
      <c r="AX135" s="3503">
        <f t="shared" si="532"/>
        <v>0.10019455252918288</v>
      </c>
      <c r="AY135" s="3503">
        <f t="shared" si="532"/>
        <v>0.11688311688311688</v>
      </c>
      <c r="AZ135" s="3503">
        <f t="shared" si="532"/>
        <v>8.8693957115009742E-2</v>
      </c>
      <c r="BA135" s="3370">
        <f t="shared" si="532"/>
        <v>4.4086021505376341E-2</v>
      </c>
      <c r="BB135" s="3370"/>
      <c r="BC135" s="3370"/>
      <c r="BD135" s="3370"/>
      <c r="BE135" s="3369">
        <f>BE134/BE133</f>
        <v>0.1044139079741828</v>
      </c>
    </row>
    <row r="136" spans="1:57" ht="18" customHeight="1"/>
    <row r="137" spans="1:57" ht="18" customHeight="1"/>
    <row r="138" spans="1:57" ht="18" customHeight="1"/>
    <row r="139" spans="1:57" ht="18" customHeight="1" thickBot="1">
      <c r="A139" s="2351" t="s">
        <v>1429</v>
      </c>
      <c r="R139" s="1785" t="s">
        <v>86</v>
      </c>
      <c r="AE139" s="1785" t="s">
        <v>86</v>
      </c>
      <c r="AR139" s="1785" t="s">
        <v>86</v>
      </c>
      <c r="BE139" s="1537" t="s">
        <v>86</v>
      </c>
    </row>
    <row r="140" spans="1:57" ht="18" customHeight="1" thickBot="1">
      <c r="B140" s="35" t="s">
        <v>794</v>
      </c>
      <c r="C140" s="35"/>
      <c r="D140" s="35"/>
      <c r="E140" s="2352" t="s">
        <v>818</v>
      </c>
      <c r="F140" s="5005" t="s">
        <v>1292</v>
      </c>
      <c r="G140" s="5005" t="s">
        <v>1293</v>
      </c>
      <c r="H140" s="5005" t="s">
        <v>1294</v>
      </c>
      <c r="I140" s="5005" t="s">
        <v>1295</v>
      </c>
      <c r="J140" s="5005" t="s">
        <v>1296</v>
      </c>
      <c r="K140" s="1842" t="s">
        <v>1297</v>
      </c>
      <c r="L140" s="1842" t="s">
        <v>1298</v>
      </c>
      <c r="M140" s="1842" t="s">
        <v>1299</v>
      </c>
      <c r="N140" s="1842" t="s">
        <v>1300</v>
      </c>
      <c r="O140" s="1842" t="s">
        <v>1301</v>
      </c>
      <c r="P140" s="1842" t="s">
        <v>1302</v>
      </c>
      <c r="Q140" s="27" t="s">
        <v>1303</v>
      </c>
      <c r="R140" s="2472" t="s">
        <v>15</v>
      </c>
      <c r="S140" s="1842" t="s">
        <v>425</v>
      </c>
      <c r="T140" s="1842" t="s">
        <v>545</v>
      </c>
      <c r="U140" s="1842" t="s">
        <v>546</v>
      </c>
      <c r="V140" s="1842" t="s">
        <v>426</v>
      </c>
      <c r="W140" s="1842" t="s">
        <v>547</v>
      </c>
      <c r="X140" s="1842" t="s">
        <v>548</v>
      </c>
      <c r="Y140" s="1842" t="s">
        <v>549</v>
      </c>
      <c r="Z140" s="1842" t="s">
        <v>550</v>
      </c>
      <c r="AA140" s="1842" t="s">
        <v>551</v>
      </c>
      <c r="AB140" s="1842" t="s">
        <v>552</v>
      </c>
      <c r="AC140" s="1842" t="s">
        <v>553</v>
      </c>
      <c r="AD140" s="27" t="s">
        <v>554</v>
      </c>
      <c r="AE140" s="2472" t="s">
        <v>15</v>
      </c>
      <c r="AF140" s="1842" t="s">
        <v>425</v>
      </c>
      <c r="AG140" s="1842" t="s">
        <v>545</v>
      </c>
      <c r="AH140" s="1842" t="s">
        <v>546</v>
      </c>
      <c r="AI140" s="1842" t="s">
        <v>426</v>
      </c>
      <c r="AJ140" s="1842" t="s">
        <v>547</v>
      </c>
      <c r="AK140" s="1842" t="s">
        <v>548</v>
      </c>
      <c r="AL140" s="1842" t="s">
        <v>549</v>
      </c>
      <c r="AM140" s="1842" t="s">
        <v>550</v>
      </c>
      <c r="AN140" s="1842" t="s">
        <v>551</v>
      </c>
      <c r="AO140" s="1842" t="s">
        <v>552</v>
      </c>
      <c r="AP140" s="1842" t="s">
        <v>553</v>
      </c>
      <c r="AQ140" s="27" t="s">
        <v>554</v>
      </c>
      <c r="AR140" s="2472" t="s">
        <v>15</v>
      </c>
      <c r="AS140" s="1842" t="s">
        <v>425</v>
      </c>
      <c r="AT140" s="1842" t="s">
        <v>545</v>
      </c>
      <c r="AU140" s="1842" t="s">
        <v>546</v>
      </c>
      <c r="AV140" s="1842" t="s">
        <v>426</v>
      </c>
      <c r="AW140" s="1842" t="s">
        <v>547</v>
      </c>
      <c r="AX140" s="1842" t="s">
        <v>548</v>
      </c>
      <c r="AY140" s="1842" t="s">
        <v>549</v>
      </c>
      <c r="AZ140" s="1842" t="s">
        <v>550</v>
      </c>
      <c r="BA140" s="1842" t="s">
        <v>551</v>
      </c>
      <c r="BB140" s="1842" t="s">
        <v>552</v>
      </c>
      <c r="BC140" s="1842" t="s">
        <v>553</v>
      </c>
      <c r="BD140" s="27" t="s">
        <v>554</v>
      </c>
      <c r="BE140" s="2472" t="s">
        <v>15</v>
      </c>
    </row>
    <row r="141" spans="1:57" ht="18" customHeight="1" thickBot="1">
      <c r="B141" s="2353" t="s">
        <v>795</v>
      </c>
      <c r="C141" s="2353"/>
      <c r="D141" s="2353"/>
      <c r="E141" s="10">
        <f>AVERAGE(F141:Q141)</f>
        <v>3528267.3234189819</v>
      </c>
      <c r="F141" s="5014">
        <f>'2. S Plan'!L206</f>
        <v>3649629.1786013301</v>
      </c>
      <c r="G141" s="5014">
        <f>'2. S Plan'!M206</f>
        <v>3143407.1582357911</v>
      </c>
      <c r="H141" s="5014">
        <f>'2. S Plan'!N206</f>
        <v>4097111.3807477951</v>
      </c>
      <c r="I141" s="5014">
        <f>'2. S Plan'!O206</f>
        <v>3295318.8450423609</v>
      </c>
      <c r="J141" s="5014">
        <f>'2. S Plan'!P206</f>
        <v>3701636.9408252668</v>
      </c>
      <c r="K141" s="3802">
        <f>'2. S Plan'!Q206</f>
        <v>3769217.9071706124</v>
      </c>
      <c r="L141" s="3802">
        <f>'2. S Plan'!R206</f>
        <v>4064405.2347158645</v>
      </c>
      <c r="M141" s="3802">
        <f>'2. S Plan'!S206</f>
        <v>3777949.723959133</v>
      </c>
      <c r="N141" s="3802">
        <f>'2. S Plan'!T206</f>
        <v>3320220.2391426302</v>
      </c>
      <c r="O141" s="3802">
        <f>'2. S Plan'!U206</f>
        <v>3200183.1483620182</v>
      </c>
      <c r="P141" s="3802">
        <f>'2. S Plan'!V206</f>
        <v>3156589.4836383178</v>
      </c>
      <c r="Q141" s="3802">
        <f>'2. S Plan'!W206</f>
        <v>3163538.640586664</v>
      </c>
      <c r="R141" s="2833">
        <f>SUM(F141:Q141)</f>
        <v>42339207.88102778</v>
      </c>
      <c r="S141" s="2299" t="e">
        <f>'2. S Plan'!#REF!</f>
        <v>#REF!</v>
      </c>
      <c r="T141" s="2299" t="e">
        <f>'2. S Plan'!#REF!</f>
        <v>#REF!</v>
      </c>
      <c r="U141" s="2299" t="e">
        <f>'2. S Plan'!#REF!</f>
        <v>#REF!</v>
      </c>
      <c r="V141" s="2299" t="e">
        <f>'2. S Plan'!#REF!</f>
        <v>#REF!</v>
      </c>
      <c r="W141" s="2299" t="e">
        <f>'2. S Plan'!#REF!</f>
        <v>#REF!</v>
      </c>
      <c r="X141" s="2299" t="e">
        <f>'2. S Plan'!#REF!</f>
        <v>#REF!</v>
      </c>
      <c r="Y141" s="2299" t="e">
        <f>'2. S Plan'!#REF!</f>
        <v>#REF!</v>
      </c>
      <c r="Z141" s="2299" t="e">
        <f>'2. S Plan'!#REF!</f>
        <v>#REF!</v>
      </c>
      <c r="AA141" s="2299" t="e">
        <f>'2. S Plan'!#REF!</f>
        <v>#REF!</v>
      </c>
      <c r="AB141" s="2299" t="e">
        <f>'2. S Plan'!#REF!</f>
        <v>#REF!</v>
      </c>
      <c r="AC141" s="2299" t="e">
        <f>'2. S Plan'!#REF!</f>
        <v>#REF!</v>
      </c>
      <c r="AD141" s="2299" t="e">
        <f>'2. S Plan'!#REF!</f>
        <v>#REF!</v>
      </c>
      <c r="AE141" s="2833" t="e">
        <f>SUM(S141:AD141)</f>
        <v>#REF!</v>
      </c>
      <c r="AF141" s="2299" t="e">
        <f>'2. S Plan'!#REF!</f>
        <v>#REF!</v>
      </c>
      <c r="AG141" s="2299" t="e">
        <f>'2. S Plan'!#REF!</f>
        <v>#REF!</v>
      </c>
      <c r="AH141" s="2299" t="e">
        <f>'2. S Plan'!#REF!</f>
        <v>#REF!</v>
      </c>
      <c r="AI141" s="2299" t="e">
        <f>'2. S Plan'!#REF!</f>
        <v>#REF!</v>
      </c>
      <c r="AJ141" s="2299" t="e">
        <f>'2. S Plan'!#REF!</f>
        <v>#REF!</v>
      </c>
      <c r="AK141" s="2299" t="e">
        <f>'2. S Plan'!#REF!</f>
        <v>#REF!</v>
      </c>
      <c r="AL141" s="2299" t="e">
        <f>'2. S Plan'!#REF!</f>
        <v>#REF!</v>
      </c>
      <c r="AM141" s="2299" t="e">
        <f>'2. S Plan'!#REF!</f>
        <v>#REF!</v>
      </c>
      <c r="AN141" s="2299" t="e">
        <f>'2. S Plan'!#REF!</f>
        <v>#REF!</v>
      </c>
      <c r="AO141" s="2299" t="e">
        <f>'2. S Plan'!#REF!</f>
        <v>#REF!</v>
      </c>
      <c r="AP141" s="2299" t="e">
        <f>'2. S Plan'!#REF!</f>
        <v>#REF!</v>
      </c>
      <c r="AQ141" s="2299" t="e">
        <f>'2. S Plan'!#REF!</f>
        <v>#REF!</v>
      </c>
      <c r="AR141" s="2833" t="e">
        <f>SUM(AF141:AQ141)</f>
        <v>#REF!</v>
      </c>
      <c r="AS141" s="2299" t="e">
        <f>'2. S Plan'!#REF!</f>
        <v>#REF!</v>
      </c>
      <c r="AT141" s="2299" t="e">
        <f>'2. S Plan'!#REF!</f>
        <v>#REF!</v>
      </c>
      <c r="AU141" s="2299" t="e">
        <f>'2. S Plan'!#REF!</f>
        <v>#REF!</v>
      </c>
      <c r="AV141" s="2299" t="e">
        <f>'2. S Plan'!#REF!</f>
        <v>#REF!</v>
      </c>
      <c r="AW141" s="2299" t="e">
        <f>'2. S Plan'!#REF!</f>
        <v>#REF!</v>
      </c>
      <c r="AX141" s="2299" t="e">
        <f>'2. S Plan'!#REF!</f>
        <v>#REF!</v>
      </c>
      <c r="AY141" s="2299" t="e">
        <f>'2. S Plan'!#REF!</f>
        <v>#REF!</v>
      </c>
      <c r="AZ141" s="2299" t="e">
        <f>'2. S Plan'!#REF!</f>
        <v>#REF!</v>
      </c>
      <c r="BA141" s="2299" t="e">
        <f>'2. S Plan'!#REF!</f>
        <v>#REF!</v>
      </c>
      <c r="BB141" s="2299" t="e">
        <f>'2. S Plan'!#REF!</f>
        <v>#REF!</v>
      </c>
      <c r="BC141" s="2299" t="e">
        <f>'2. S Plan'!#REF!</f>
        <v>#REF!</v>
      </c>
      <c r="BD141" s="2299" t="e">
        <f>'2. S Plan'!#REF!</f>
        <v>#REF!</v>
      </c>
      <c r="BE141" s="2833" t="e">
        <f>SUM(AS141:BD141)</f>
        <v>#REF!</v>
      </c>
    </row>
    <row r="142" spans="1:57" ht="18" customHeight="1" thickBot="1">
      <c r="B142" s="1694" t="s">
        <v>942</v>
      </c>
      <c r="C142" s="1694"/>
      <c r="D142" s="1694"/>
      <c r="E142" s="1776">
        <f t="shared" ref="E142:E144" si="533">AVERAGE(F142:Q142)</f>
        <v>6728.1651346967146</v>
      </c>
      <c r="F142" s="5287">
        <f t="shared" ref="F142:Q142" si="534">F141/F36</f>
        <v>6354.5026262898655</v>
      </c>
      <c r="G142" s="5287">
        <f t="shared" si="534"/>
        <v>5670.2466549131786</v>
      </c>
      <c r="H142" s="5287">
        <f t="shared" si="534"/>
        <v>7524.7477533064557</v>
      </c>
      <c r="I142" s="5287">
        <f t="shared" si="534"/>
        <v>6257.333485456551</v>
      </c>
      <c r="J142" s="5287">
        <f t="shared" si="534"/>
        <v>7055.5042982338409</v>
      </c>
      <c r="K142" s="2354">
        <f t="shared" si="534"/>
        <v>7208.7783109812963</v>
      </c>
      <c r="L142" s="2354">
        <f t="shared" si="534"/>
        <v>7743.7154248707529</v>
      </c>
      <c r="M142" s="2354">
        <f t="shared" si="534"/>
        <v>7352.0276486087641</v>
      </c>
      <c r="N142" s="2354">
        <f t="shared" si="534"/>
        <v>6537.603904300825</v>
      </c>
      <c r="O142" s="2354">
        <f t="shared" si="534"/>
        <v>6389.3127226087636</v>
      </c>
      <c r="P142" s="2354">
        <f t="shared" si="534"/>
        <v>6277.2104891756962</v>
      </c>
      <c r="Q142" s="2354">
        <f t="shared" si="534"/>
        <v>6366.9982976146039</v>
      </c>
      <c r="R142" s="2834" t="e">
        <f>R141/#REF!</f>
        <v>#REF!</v>
      </c>
      <c r="S142" s="2354" t="e">
        <f t="shared" ref="S142:AD142" si="535">S141/S36</f>
        <v>#REF!</v>
      </c>
      <c r="T142" s="2354" t="e">
        <f t="shared" si="535"/>
        <v>#REF!</v>
      </c>
      <c r="U142" s="2354" t="e">
        <f t="shared" si="535"/>
        <v>#REF!</v>
      </c>
      <c r="V142" s="2354" t="e">
        <f t="shared" si="535"/>
        <v>#REF!</v>
      </c>
      <c r="W142" s="2354" t="e">
        <f t="shared" si="535"/>
        <v>#REF!</v>
      </c>
      <c r="X142" s="2354" t="e">
        <f t="shared" si="535"/>
        <v>#REF!</v>
      </c>
      <c r="Y142" s="2354" t="e">
        <f t="shared" si="535"/>
        <v>#REF!</v>
      </c>
      <c r="Z142" s="2354" t="e">
        <f t="shared" si="535"/>
        <v>#REF!</v>
      </c>
      <c r="AA142" s="2354" t="e">
        <f t="shared" si="535"/>
        <v>#REF!</v>
      </c>
      <c r="AB142" s="2354" t="e">
        <f t="shared" si="535"/>
        <v>#REF!</v>
      </c>
      <c r="AC142" s="2354" t="e">
        <f t="shared" si="535"/>
        <v>#REF!</v>
      </c>
      <c r="AD142" s="2354" t="e">
        <f t="shared" si="535"/>
        <v>#REF!</v>
      </c>
      <c r="AE142" s="2834" t="e">
        <f>AE141/#REF!</f>
        <v>#REF!</v>
      </c>
      <c r="AF142" s="2354" t="e">
        <f t="shared" ref="AF142:AQ142" si="536">AF141/AF36</f>
        <v>#REF!</v>
      </c>
      <c r="AG142" s="2354" t="e">
        <f t="shared" si="536"/>
        <v>#REF!</v>
      </c>
      <c r="AH142" s="2354" t="e">
        <f t="shared" si="536"/>
        <v>#REF!</v>
      </c>
      <c r="AI142" s="2354" t="e">
        <f t="shared" si="536"/>
        <v>#REF!</v>
      </c>
      <c r="AJ142" s="2354" t="e">
        <f t="shared" si="536"/>
        <v>#REF!</v>
      </c>
      <c r="AK142" s="2354" t="e">
        <f t="shared" si="536"/>
        <v>#REF!</v>
      </c>
      <c r="AL142" s="2354" t="e">
        <f t="shared" si="536"/>
        <v>#REF!</v>
      </c>
      <c r="AM142" s="2354" t="e">
        <f t="shared" si="536"/>
        <v>#REF!</v>
      </c>
      <c r="AN142" s="2354" t="e">
        <f t="shared" si="536"/>
        <v>#REF!</v>
      </c>
      <c r="AO142" s="2354" t="e">
        <f t="shared" si="536"/>
        <v>#REF!</v>
      </c>
      <c r="AP142" s="2354" t="e">
        <f t="shared" si="536"/>
        <v>#REF!</v>
      </c>
      <c r="AQ142" s="2354" t="e">
        <f t="shared" si="536"/>
        <v>#REF!</v>
      </c>
      <c r="AR142" s="2834" t="e">
        <f>AR141/#REF!</f>
        <v>#REF!</v>
      </c>
      <c r="AS142" s="2354" t="e">
        <f t="shared" ref="AS142:BD142" si="537">AS141/AS36</f>
        <v>#REF!</v>
      </c>
      <c r="AT142" s="2354" t="e">
        <f t="shared" si="537"/>
        <v>#REF!</v>
      </c>
      <c r="AU142" s="2354" t="e">
        <f t="shared" si="537"/>
        <v>#REF!</v>
      </c>
      <c r="AV142" s="2354" t="e">
        <f t="shared" si="537"/>
        <v>#REF!</v>
      </c>
      <c r="AW142" s="2354" t="e">
        <f t="shared" si="537"/>
        <v>#REF!</v>
      </c>
      <c r="AX142" s="2354" t="e">
        <f t="shared" si="537"/>
        <v>#REF!</v>
      </c>
      <c r="AY142" s="2354" t="e">
        <f t="shared" si="537"/>
        <v>#REF!</v>
      </c>
      <c r="AZ142" s="2354" t="e">
        <f t="shared" si="537"/>
        <v>#REF!</v>
      </c>
      <c r="BA142" s="2354" t="e">
        <f t="shared" si="537"/>
        <v>#REF!</v>
      </c>
      <c r="BB142" s="2354" t="e">
        <f t="shared" si="537"/>
        <v>#REF!</v>
      </c>
      <c r="BC142" s="2354" t="e">
        <f t="shared" si="537"/>
        <v>#REF!</v>
      </c>
      <c r="BD142" s="2354" t="e">
        <f t="shared" si="537"/>
        <v>#REF!</v>
      </c>
      <c r="BE142" s="2834" t="e">
        <f>BE141/#REF!</f>
        <v>#REF!</v>
      </c>
    </row>
    <row r="143" spans="1:57" ht="18" customHeight="1">
      <c r="B143" s="2355" t="s">
        <v>943</v>
      </c>
      <c r="C143" s="2355"/>
      <c r="D143" s="2355"/>
      <c r="E143" s="6">
        <f t="shared" si="533"/>
        <v>4034761.1820314727</v>
      </c>
      <c r="F143" s="5028">
        <f>'3. P PLAN'!J168</f>
        <v>3929151.8247594591</v>
      </c>
      <c r="G143" s="5028">
        <f>'3. P PLAN'!K168</f>
        <v>3273168.2933272044</v>
      </c>
      <c r="H143" s="5028">
        <f>'3. P PLAN'!L168</f>
        <v>4079852.458245975</v>
      </c>
      <c r="I143" s="5028">
        <f>'3. P PLAN'!M168</f>
        <v>3314775.7670847676</v>
      </c>
      <c r="J143" s="5028">
        <f>'3. P PLAN'!N168</f>
        <v>3745115.4394292096</v>
      </c>
      <c r="K143" s="2356">
        <f>'3. P PLAN'!O168</f>
        <v>4571657.0033039553</v>
      </c>
      <c r="L143" s="2356">
        <f>'3. P PLAN'!P168</f>
        <v>5067942.4468751298</v>
      </c>
      <c r="M143" s="2356">
        <f>'3. P PLAN'!Q168</f>
        <v>4820918.8121612612</v>
      </c>
      <c r="N143" s="2356">
        <f>'3. P PLAN'!R168</f>
        <v>3994243.3824332478</v>
      </c>
      <c r="O143" s="2356">
        <f>'3. P PLAN'!S168</f>
        <v>3687430.2413423262</v>
      </c>
      <c r="P143" s="2356">
        <f>'3. P PLAN'!T168</f>
        <v>3999994.7268904485</v>
      </c>
      <c r="Q143" s="2356">
        <f>'3. P PLAN'!U168</f>
        <v>3932883.7885246705</v>
      </c>
      <c r="R143" s="3504">
        <f>SUM(F143:Q143)</f>
        <v>48417134.18437767</v>
      </c>
      <c r="S143" s="2356" t="e">
        <f>'3. P PLAN'!#REF!</f>
        <v>#REF!</v>
      </c>
      <c r="T143" s="2356" t="e">
        <f>'3. P PLAN'!#REF!</f>
        <v>#REF!</v>
      </c>
      <c r="U143" s="2356" t="e">
        <f>'3. P PLAN'!#REF!</f>
        <v>#REF!</v>
      </c>
      <c r="V143" s="2356" t="e">
        <f>'3. P PLAN'!#REF!</f>
        <v>#REF!</v>
      </c>
      <c r="W143" s="2356" t="e">
        <f>'3. P PLAN'!#REF!</f>
        <v>#REF!</v>
      </c>
      <c r="X143" s="2356" t="e">
        <f>'3. P PLAN'!#REF!</f>
        <v>#REF!</v>
      </c>
      <c r="Y143" s="2356" t="e">
        <f>'3. P PLAN'!#REF!</f>
        <v>#REF!</v>
      </c>
      <c r="Z143" s="2356" t="e">
        <f>'3. P PLAN'!#REF!</f>
        <v>#REF!</v>
      </c>
      <c r="AA143" s="2356" t="e">
        <f>'3. P PLAN'!#REF!</f>
        <v>#REF!</v>
      </c>
      <c r="AB143" s="2356" t="e">
        <f>'3. P PLAN'!#REF!</f>
        <v>#REF!</v>
      </c>
      <c r="AC143" s="2356" t="e">
        <f>'3. P PLAN'!#REF!</f>
        <v>#REF!</v>
      </c>
      <c r="AD143" s="2356" t="e">
        <f>'3. P PLAN'!#REF!</f>
        <v>#REF!</v>
      </c>
      <c r="AE143" s="3504" t="e">
        <f>SUM(S143:AD143)</f>
        <v>#REF!</v>
      </c>
      <c r="AF143" s="2356" t="e">
        <f>'3. P PLAN'!#REF!</f>
        <v>#REF!</v>
      </c>
      <c r="AG143" s="2356" t="e">
        <f>'3. P PLAN'!#REF!</f>
        <v>#REF!</v>
      </c>
      <c r="AH143" s="2356" t="e">
        <f>'3. P PLAN'!#REF!</f>
        <v>#REF!</v>
      </c>
      <c r="AI143" s="2356" t="e">
        <f>'3. P PLAN'!#REF!</f>
        <v>#REF!</v>
      </c>
      <c r="AJ143" s="2356" t="e">
        <f>'3. P PLAN'!#REF!</f>
        <v>#REF!</v>
      </c>
      <c r="AK143" s="2356" t="e">
        <f>'3. P PLAN'!#REF!</f>
        <v>#REF!</v>
      </c>
      <c r="AL143" s="2356" t="e">
        <f>'3. P PLAN'!#REF!</f>
        <v>#REF!</v>
      </c>
      <c r="AM143" s="2356" t="e">
        <f>'3. P PLAN'!#REF!</f>
        <v>#REF!</v>
      </c>
      <c r="AN143" s="2356" t="e">
        <f>'3. P PLAN'!#REF!</f>
        <v>#REF!</v>
      </c>
      <c r="AO143" s="2356" t="e">
        <f>'3. P PLAN'!#REF!</f>
        <v>#REF!</v>
      </c>
      <c r="AP143" s="2356" t="e">
        <f>'3. P PLAN'!#REF!</f>
        <v>#REF!</v>
      </c>
      <c r="AQ143" s="2356" t="e">
        <f>'3. P PLAN'!#REF!</f>
        <v>#REF!</v>
      </c>
      <c r="AR143" s="3504" t="e">
        <f>SUM(AF143:AQ143)</f>
        <v>#REF!</v>
      </c>
      <c r="AS143" s="2356" t="e">
        <f>'3. P PLAN'!#REF!</f>
        <v>#REF!</v>
      </c>
      <c r="AT143" s="2356" t="e">
        <f>'3. P PLAN'!#REF!</f>
        <v>#REF!</v>
      </c>
      <c r="AU143" s="2356" t="e">
        <f>'3. P PLAN'!#REF!</f>
        <v>#REF!</v>
      </c>
      <c r="AV143" s="2356" t="e">
        <f>'3. P PLAN'!#REF!</f>
        <v>#REF!</v>
      </c>
      <c r="AW143" s="2356" t="e">
        <f>'3. P PLAN'!#REF!</f>
        <v>#REF!</v>
      </c>
      <c r="AX143" s="2356" t="e">
        <f>'3. P PLAN'!#REF!</f>
        <v>#REF!</v>
      </c>
      <c r="AY143" s="2356" t="e">
        <f>'3. P PLAN'!#REF!</f>
        <v>#REF!</v>
      </c>
      <c r="AZ143" s="2356" t="e">
        <f>'3. P PLAN'!#REF!</f>
        <v>#REF!</v>
      </c>
      <c r="BA143" s="2356" t="e">
        <f>'3. P PLAN'!#REF!</f>
        <v>#REF!</v>
      </c>
      <c r="BB143" s="2356" t="e">
        <f>'3. P PLAN'!#REF!</f>
        <v>#REF!</v>
      </c>
      <c r="BC143" s="2356" t="e">
        <f>'3. P PLAN'!#REF!</f>
        <v>#REF!</v>
      </c>
      <c r="BD143" s="2356" t="e">
        <f>'3. P PLAN'!#REF!</f>
        <v>#REF!</v>
      </c>
      <c r="BE143" s="2835" t="e">
        <f>SUM(AS143:BD143)</f>
        <v>#REF!</v>
      </c>
    </row>
    <row r="144" spans="1:57" ht="18" customHeight="1" thickBot="1">
      <c r="B144" s="2357" t="s">
        <v>944</v>
      </c>
      <c r="C144" s="2357"/>
      <c r="D144" s="2357"/>
      <c r="E144" s="2358">
        <f t="shared" si="533"/>
        <v>0.88156054627822167</v>
      </c>
      <c r="F144" s="5288">
        <f t="shared" ref="F144:Q144" si="538">F141/F143</f>
        <v>0.92885929110788656</v>
      </c>
      <c r="G144" s="5288">
        <f t="shared" si="538"/>
        <v>0.9603561065418027</v>
      </c>
      <c r="H144" s="5288">
        <f t="shared" si="538"/>
        <v>1.0042302810404178</v>
      </c>
      <c r="I144" s="5288">
        <f t="shared" si="538"/>
        <v>0.99413024487640733</v>
      </c>
      <c r="J144" s="5288">
        <f t="shared" si="538"/>
        <v>0.98839061190312216</v>
      </c>
      <c r="K144" s="2359">
        <f t="shared" si="538"/>
        <v>0.82447521860161055</v>
      </c>
      <c r="L144" s="2359">
        <f t="shared" si="538"/>
        <v>0.80198330531988549</v>
      </c>
      <c r="M144" s="2359">
        <f t="shared" si="538"/>
        <v>0.78365761199480644</v>
      </c>
      <c r="N144" s="2359">
        <f t="shared" si="538"/>
        <v>0.83125135882931345</v>
      </c>
      <c r="O144" s="2359">
        <f t="shared" si="538"/>
        <v>0.86786269540303584</v>
      </c>
      <c r="P144" s="2359">
        <f t="shared" si="538"/>
        <v>0.7891484112260857</v>
      </c>
      <c r="Q144" s="2360">
        <f t="shared" si="538"/>
        <v>0.80438141849428801</v>
      </c>
      <c r="R144" s="3505"/>
      <c r="S144" s="2359" t="e">
        <f t="shared" ref="S144:AD144" si="539">S141/S143</f>
        <v>#REF!</v>
      </c>
      <c r="T144" s="2359" t="e">
        <f t="shared" si="539"/>
        <v>#REF!</v>
      </c>
      <c r="U144" s="2359" t="e">
        <f t="shared" si="539"/>
        <v>#REF!</v>
      </c>
      <c r="V144" s="2359" t="e">
        <f t="shared" si="539"/>
        <v>#REF!</v>
      </c>
      <c r="W144" s="2359" t="e">
        <f t="shared" si="539"/>
        <v>#REF!</v>
      </c>
      <c r="X144" s="2359" t="e">
        <f t="shared" si="539"/>
        <v>#REF!</v>
      </c>
      <c r="Y144" s="2359" t="e">
        <f t="shared" si="539"/>
        <v>#REF!</v>
      </c>
      <c r="Z144" s="2359" t="e">
        <f t="shared" si="539"/>
        <v>#REF!</v>
      </c>
      <c r="AA144" s="2359" t="e">
        <f t="shared" si="539"/>
        <v>#REF!</v>
      </c>
      <c r="AB144" s="2359" t="e">
        <f t="shared" si="539"/>
        <v>#REF!</v>
      </c>
      <c r="AC144" s="2359" t="e">
        <f t="shared" si="539"/>
        <v>#REF!</v>
      </c>
      <c r="AD144" s="2360" t="e">
        <f t="shared" si="539"/>
        <v>#REF!</v>
      </c>
      <c r="AE144" s="3505"/>
      <c r="AF144" s="2359" t="e">
        <f t="shared" ref="AF144:AQ144" si="540">AF141/AF143</f>
        <v>#REF!</v>
      </c>
      <c r="AG144" s="2359" t="e">
        <f t="shared" si="540"/>
        <v>#REF!</v>
      </c>
      <c r="AH144" s="2359" t="e">
        <f t="shared" si="540"/>
        <v>#REF!</v>
      </c>
      <c r="AI144" s="2359" t="e">
        <f t="shared" si="540"/>
        <v>#REF!</v>
      </c>
      <c r="AJ144" s="2359" t="e">
        <f t="shared" si="540"/>
        <v>#REF!</v>
      </c>
      <c r="AK144" s="2359" t="e">
        <f t="shared" si="540"/>
        <v>#REF!</v>
      </c>
      <c r="AL144" s="2359" t="e">
        <f t="shared" si="540"/>
        <v>#REF!</v>
      </c>
      <c r="AM144" s="2359" t="e">
        <f t="shared" si="540"/>
        <v>#REF!</v>
      </c>
      <c r="AN144" s="2359" t="e">
        <f t="shared" si="540"/>
        <v>#REF!</v>
      </c>
      <c r="AO144" s="2359" t="e">
        <f t="shared" si="540"/>
        <v>#REF!</v>
      </c>
      <c r="AP144" s="2359" t="e">
        <f t="shared" si="540"/>
        <v>#REF!</v>
      </c>
      <c r="AQ144" s="2360" t="e">
        <f t="shared" si="540"/>
        <v>#REF!</v>
      </c>
      <c r="AR144" s="3505"/>
      <c r="AS144" s="2359" t="e">
        <f t="shared" ref="AS144:BD144" si="541">AS141/AS143</f>
        <v>#REF!</v>
      </c>
      <c r="AT144" s="2359" t="e">
        <f t="shared" si="541"/>
        <v>#REF!</v>
      </c>
      <c r="AU144" s="2359" t="e">
        <f t="shared" si="541"/>
        <v>#REF!</v>
      </c>
      <c r="AV144" s="2359" t="e">
        <f t="shared" si="541"/>
        <v>#REF!</v>
      </c>
      <c r="AW144" s="2359" t="e">
        <f t="shared" si="541"/>
        <v>#REF!</v>
      </c>
      <c r="AX144" s="2359" t="e">
        <f t="shared" si="541"/>
        <v>#REF!</v>
      </c>
      <c r="AY144" s="2359" t="e">
        <f t="shared" si="541"/>
        <v>#REF!</v>
      </c>
      <c r="AZ144" s="2359" t="e">
        <f t="shared" si="541"/>
        <v>#REF!</v>
      </c>
      <c r="BA144" s="2359" t="e">
        <f t="shared" si="541"/>
        <v>#REF!</v>
      </c>
      <c r="BB144" s="2359" t="e">
        <f t="shared" si="541"/>
        <v>#REF!</v>
      </c>
      <c r="BC144" s="2359" t="e">
        <f t="shared" si="541"/>
        <v>#REF!</v>
      </c>
      <c r="BD144" s="2360" t="e">
        <f t="shared" si="541"/>
        <v>#REF!</v>
      </c>
      <c r="BE144" s="2836"/>
    </row>
    <row r="145" spans="1:57" ht="18" customHeight="1">
      <c r="E145" s="1528"/>
      <c r="N145" s="1535" t="s">
        <v>945</v>
      </c>
      <c r="AA145" s="1535" t="s">
        <v>945</v>
      </c>
      <c r="AN145" s="1535" t="s">
        <v>945</v>
      </c>
      <c r="BA145" s="5" t="s">
        <v>945</v>
      </c>
    </row>
    <row r="147" spans="1:57">
      <c r="A147" s="1993"/>
    </row>
    <row r="155" spans="1:57">
      <c r="G155" s="1534"/>
      <c r="H155" s="1534"/>
      <c r="I155" s="1534"/>
      <c r="J155" s="1534"/>
      <c r="K155" s="1533"/>
      <c r="L155" s="1533"/>
      <c r="M155" s="1533"/>
      <c r="N155" s="1533"/>
      <c r="O155" s="1533"/>
      <c r="P155" s="1533"/>
      <c r="Q155" s="1533"/>
      <c r="T155" s="1533"/>
      <c r="U155" s="1533"/>
      <c r="V155" s="1533"/>
      <c r="W155" s="1533"/>
      <c r="X155" s="1533"/>
      <c r="Y155" s="1533"/>
      <c r="Z155" s="1533"/>
      <c r="AA155" s="1533"/>
      <c r="AB155" s="1533"/>
      <c r="AC155" s="1533"/>
      <c r="AD155" s="1533"/>
      <c r="AG155" s="1533"/>
      <c r="AH155" s="1533"/>
      <c r="AI155" s="1533"/>
      <c r="AJ155" s="1533"/>
      <c r="AK155" s="1533"/>
      <c r="AL155" s="1533"/>
      <c r="AM155" s="1533"/>
      <c r="AN155" s="1533"/>
      <c r="AO155" s="1533"/>
      <c r="AP155" s="1533"/>
      <c r="AQ155" s="1533"/>
      <c r="AT155" s="1533"/>
      <c r="AU155" s="1533"/>
      <c r="AV155" s="1533"/>
      <c r="AW155" s="1533"/>
      <c r="AX155" s="1533"/>
      <c r="AY155" s="1533"/>
      <c r="AZ155" s="1533"/>
      <c r="BA155" s="1532"/>
      <c r="BB155" s="1532"/>
      <c r="BC155" s="1532"/>
      <c r="BD155" s="1532"/>
    </row>
    <row r="156" spans="1:57">
      <c r="G156" s="1534"/>
      <c r="T156" s="1533"/>
      <c r="AG156" s="1533"/>
      <c r="AT156" s="1533"/>
    </row>
    <row r="157" spans="1:57">
      <c r="R157" s="1533"/>
      <c r="AE157" s="1533"/>
      <c r="AR157" s="1533"/>
      <c r="BE157" s="1532"/>
    </row>
    <row r="162" ht="13.2" customHeight="1"/>
  </sheetData>
  <mergeCells count="30">
    <mergeCell ref="A5:A7"/>
    <mergeCell ref="A9:A11"/>
    <mergeCell ref="A44:A46"/>
    <mergeCell ref="A48:A50"/>
    <mergeCell ref="A13:B13"/>
    <mergeCell ref="A25:B25"/>
    <mergeCell ref="A40:D40"/>
    <mergeCell ref="A97:E97"/>
    <mergeCell ref="B93:C93"/>
    <mergeCell ref="B94:C94"/>
    <mergeCell ref="B95:C95"/>
    <mergeCell ref="A79:E79"/>
    <mergeCell ref="A82:B82"/>
    <mergeCell ref="A83:A86"/>
    <mergeCell ref="A87:A89"/>
    <mergeCell ref="A90:E90"/>
    <mergeCell ref="A53:D53"/>
    <mergeCell ref="A66:D66"/>
    <mergeCell ref="A65:D65"/>
    <mergeCell ref="A76:D76"/>
    <mergeCell ref="A77:D77"/>
    <mergeCell ref="P99:P100"/>
    <mergeCell ref="AC99:AC100"/>
    <mergeCell ref="AP99:AP100"/>
    <mergeCell ref="BC99:BC100"/>
    <mergeCell ref="A133:A134"/>
    <mergeCell ref="A112:B112"/>
    <mergeCell ref="A113:A117"/>
    <mergeCell ref="A106:B106"/>
    <mergeCell ref="A107:A109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scale="21" orientation="landscape" r:id="rId1"/>
  <customProperties>
    <customPr name="BudgetSheetCodeName" r:id="rId2"/>
  </customProperties>
  <ignoredErrors>
    <ignoredError sqref="A1:E3 A9 A8:B8 A25:E28 A21 A18:A20 A17 A43:E43 A41:D41 A12:B14 A11 A22 A7 A10 A16:B16 A15:B15 D10 D9 D7 A6 D6 A5 D5 A23 A30 A29:E29 A38:E38 A36:D36 A40:D40 A39:E39 D21 D20:E20 D17 D22 D23 D18 A35:E35 A33:E33 A32:E32 A37:E37 A34:E34 A31:E31 A51:E51 A44 C30:E30 A47:B47 E45:E50 A4:B4 D8:E8 A24:B24 D24:E24 D12:E14 D16:E16 D4:E4 A42:B42 D42:E42 A48:A50 A45:A46" formula="1"/>
  </ignoredErrors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91"/>
  <sheetViews>
    <sheetView showGridLines="0" zoomScale="70" zoomScaleNormal="70" workbookViewId="0">
      <selection activeCell="D21" sqref="D21"/>
    </sheetView>
  </sheetViews>
  <sheetFormatPr defaultColWidth="9" defaultRowHeight="15" customHeight="1"/>
  <cols>
    <col min="1" max="1" width="18.69921875" style="5" customWidth="1"/>
    <col min="2" max="2" width="24.3984375" style="2362" customWidth="1"/>
    <col min="3" max="3" width="32" style="2363" bestFit="1" customWidth="1"/>
    <col min="4" max="4" width="12.69921875" style="2363" customWidth="1"/>
    <col min="5" max="5" width="15.69921875" style="2363" bestFit="1" customWidth="1"/>
    <col min="6" max="6" width="14.3984375" style="1532" customWidth="1"/>
    <col min="7" max="7" width="14.3984375" style="1534" customWidth="1"/>
    <col min="8" max="8" width="14.3984375" style="1532" customWidth="1"/>
    <col min="9" max="10" width="14.3984375" style="1534" customWidth="1"/>
    <col min="11" max="17" width="14.3984375" style="1532" customWidth="1"/>
    <col min="18" max="18" width="16.09765625" style="5" bestFit="1" customWidth="1"/>
    <col min="19" max="20" width="9" style="5"/>
    <col min="21" max="21" width="10" style="5" customWidth="1"/>
    <col min="22" max="16384" width="9" style="5"/>
  </cols>
  <sheetData>
    <row r="1" spans="1:18" ht="20.25" customHeight="1">
      <c r="A1" s="2361" t="s">
        <v>96</v>
      </c>
    </row>
    <row r="2" spans="1:18" ht="20.25" customHeight="1">
      <c r="A2" s="1530"/>
      <c r="R2" s="1530"/>
    </row>
    <row r="3" spans="1:18" ht="20.25" customHeight="1" thickBot="1">
      <c r="A3" s="1538" t="s">
        <v>31</v>
      </c>
      <c r="R3" s="1537" t="s">
        <v>86</v>
      </c>
    </row>
    <row r="4" spans="1:18" ht="22.5" customHeight="1">
      <c r="A4" s="7060" t="s">
        <v>123</v>
      </c>
      <c r="B4" s="7061"/>
      <c r="C4" s="7061"/>
      <c r="D4" s="7061"/>
      <c r="E4" s="7062"/>
      <c r="F4" s="4558" t="str">
        <f>'2. S Plan'!L4</f>
        <v>Jan.26</v>
      </c>
      <c r="G4" s="5101" t="str">
        <f>'2. S Plan'!M4</f>
        <v>Feb.26</v>
      </c>
      <c r="H4" s="5576" t="str">
        <f>'2. S Plan'!N4</f>
        <v>Mar.26</v>
      </c>
      <c r="I4" s="4558" t="str">
        <f>'2. S Plan'!O4</f>
        <v>Apr.26</v>
      </c>
      <c r="J4" s="5101" t="str">
        <f>'2. S Plan'!P4</f>
        <v>May.26</v>
      </c>
      <c r="K4" s="2253" t="str">
        <f>'2. S Plan'!Q4</f>
        <v>Jun.26</v>
      </c>
      <c r="L4" s="71" t="str">
        <f>'2. S Plan'!R4</f>
        <v>Jul.26</v>
      </c>
      <c r="M4" s="72" t="str">
        <f>'2. S Plan'!S4</f>
        <v>Aug.26</v>
      </c>
      <c r="N4" s="2253" t="str">
        <f>'2. S Plan'!T4</f>
        <v>Sep.26</v>
      </c>
      <c r="O4" s="71" t="str">
        <f>'2. S Plan'!U4</f>
        <v>Oct.26</v>
      </c>
      <c r="P4" s="72" t="str">
        <f>'2. S Plan'!V4</f>
        <v>Nov.26</v>
      </c>
      <c r="Q4" s="2253" t="str">
        <f>'2. S Plan'!W4</f>
        <v>Dec.26</v>
      </c>
      <c r="R4" s="2253" t="str">
        <f>'2. S Plan'!X4</f>
        <v>2026
Total</v>
      </c>
    </row>
    <row r="5" spans="1:18" ht="22.5" customHeight="1" thickBot="1">
      <c r="A5" s="7063" t="s">
        <v>17</v>
      </c>
      <c r="B5" s="7064"/>
      <c r="C5" s="7064"/>
      <c r="D5" s="7064"/>
      <c r="E5" s="7065"/>
      <c r="F5" s="4614">
        <f>'2. S Plan'!L206</f>
        <v>3649629.1786013301</v>
      </c>
      <c r="G5" s="5102">
        <f>'2. S Plan'!M206</f>
        <v>3143407.1582357911</v>
      </c>
      <c r="H5" s="5577">
        <f>'2. S Plan'!N206</f>
        <v>4097111.3807477951</v>
      </c>
      <c r="I5" s="6146">
        <f>'2. S Plan'!O206</f>
        <v>3295318.8450423609</v>
      </c>
      <c r="J5" s="5102">
        <f>'2. S Plan'!P206</f>
        <v>3701636.9408252668</v>
      </c>
      <c r="K5" s="2365">
        <f>'2. S Plan'!Q206</f>
        <v>3769217.9071706124</v>
      </c>
      <c r="L5" s="2366">
        <f>'2. S Plan'!R206</f>
        <v>4064405.2347158645</v>
      </c>
      <c r="M5" s="2367">
        <f>'2. S Plan'!S206</f>
        <v>3777949.723959133</v>
      </c>
      <c r="N5" s="2368">
        <f>'2. S Plan'!T206</f>
        <v>3320220.2391426302</v>
      </c>
      <c r="O5" s="2366">
        <f>'2. S Plan'!U206</f>
        <v>3200183.1483620182</v>
      </c>
      <c r="P5" s="2367">
        <f>'2. S Plan'!V206</f>
        <v>3156589.4836383178</v>
      </c>
      <c r="Q5" s="2368">
        <f>'2. S Plan'!W206</f>
        <v>3163538.640586664</v>
      </c>
      <c r="R5" s="1631">
        <f>SUM(F5:Q5)</f>
        <v>42339207.88102778</v>
      </c>
    </row>
    <row r="6" spans="1:18" ht="22.5" customHeight="1">
      <c r="A6" s="1988"/>
      <c r="B6" s="2369"/>
      <c r="F6" s="2240"/>
      <c r="G6" s="2240"/>
      <c r="H6" s="2240"/>
      <c r="I6" s="2240"/>
      <c r="J6" s="2240"/>
      <c r="K6" s="2370"/>
      <c r="L6" s="2370"/>
      <c r="M6" s="2370"/>
      <c r="N6" s="2370"/>
      <c r="O6" s="2370"/>
      <c r="P6" s="2370"/>
      <c r="Q6" s="2370"/>
      <c r="R6" s="2370"/>
    </row>
    <row r="7" spans="1:18" ht="22.5" customHeight="1" thickBot="1">
      <c r="A7" s="1538" t="s">
        <v>512</v>
      </c>
      <c r="F7" s="1534"/>
      <c r="H7" s="1534"/>
      <c r="R7" s="1614" t="s">
        <v>113</v>
      </c>
    </row>
    <row r="8" spans="1:18" ht="22.5" customHeight="1" thickBot="1">
      <c r="A8" s="7060" t="s">
        <v>123</v>
      </c>
      <c r="B8" s="7061"/>
      <c r="C8" s="7061"/>
      <c r="D8" s="7061"/>
      <c r="E8" s="7062"/>
      <c r="F8" s="4558" t="str">
        <f t="shared" ref="F8:R8" si="0">F4</f>
        <v>Jan.26</v>
      </c>
      <c r="G8" s="5101" t="str">
        <f t="shared" si="0"/>
        <v>Feb.26</v>
      </c>
      <c r="H8" s="5576" t="str">
        <f t="shared" si="0"/>
        <v>Mar.26</v>
      </c>
      <c r="I8" s="4558" t="str">
        <f t="shared" si="0"/>
        <v>Apr.26</v>
      </c>
      <c r="J8" s="5101" t="str">
        <f t="shared" si="0"/>
        <v>May.26</v>
      </c>
      <c r="K8" s="2253" t="str">
        <f t="shared" si="0"/>
        <v>Jun.26</v>
      </c>
      <c r="L8" s="71" t="str">
        <f t="shared" si="0"/>
        <v>Jul.26</v>
      </c>
      <c r="M8" s="72" t="str">
        <f t="shared" si="0"/>
        <v>Aug.26</v>
      </c>
      <c r="N8" s="2253" t="str">
        <f t="shared" si="0"/>
        <v>Sep.26</v>
      </c>
      <c r="O8" s="71" t="str">
        <f t="shared" si="0"/>
        <v>Oct.26</v>
      </c>
      <c r="P8" s="72" t="str">
        <f t="shared" si="0"/>
        <v>Nov.26</v>
      </c>
      <c r="Q8" s="2253" t="str">
        <f t="shared" si="0"/>
        <v>Dec.26</v>
      </c>
      <c r="R8" s="2253" t="str">
        <f t="shared" si="0"/>
        <v>2026
Total</v>
      </c>
    </row>
    <row r="9" spans="1:18" ht="22.5" customHeight="1">
      <c r="A9" s="7075" t="s">
        <v>97</v>
      </c>
      <c r="B9" s="7076"/>
      <c r="C9" s="7076"/>
      <c r="D9" s="7076"/>
      <c r="E9" s="7077"/>
      <c r="F9" s="4615">
        <f>'3. P PLAN'!J456</f>
        <v>428851.83338659164</v>
      </c>
      <c r="G9" s="5034">
        <f>'3. P PLAN'!K456</f>
        <v>569082.36735394597</v>
      </c>
      <c r="H9" s="5578">
        <f>'3. P PLAN'!L456</f>
        <v>616847.00303786376</v>
      </c>
      <c r="I9" s="6277">
        <f>'3. P PLAN'!M456</f>
        <v>700149.38742199051</v>
      </c>
      <c r="J9" s="5034">
        <f>'3. P PLAN'!N456</f>
        <v>592656.69645688264</v>
      </c>
      <c r="K9" s="2374">
        <f>'3. P PLAN'!O456</f>
        <v>566555.69781624817</v>
      </c>
      <c r="L9" s="2371">
        <f>'3. P PLAN'!P456</f>
        <v>528112.42654248071</v>
      </c>
      <c r="M9" s="2372">
        <f>'3. P PLAN'!Q456</f>
        <v>323002.25110315869</v>
      </c>
      <c r="N9" s="2373">
        <f>'3. P PLAN'!R456</f>
        <v>266941.08299230871</v>
      </c>
      <c r="O9" s="2371">
        <f>'3. P PLAN'!S456</f>
        <v>240437.2825490057</v>
      </c>
      <c r="P9" s="2372">
        <f>'3. P PLAN'!T456</f>
        <v>217466.68709696486</v>
      </c>
      <c r="Q9" s="2373">
        <f>'3. P PLAN'!U456</f>
        <v>219543.96217884336</v>
      </c>
      <c r="R9" s="2375">
        <f>SUM(F9:Q9)</f>
        <v>5269646.6779362848</v>
      </c>
    </row>
    <row r="10" spans="1:18" ht="21.75" customHeight="1">
      <c r="A10" s="7078" t="s">
        <v>1054</v>
      </c>
      <c r="B10" s="7079"/>
      <c r="C10" s="7079"/>
      <c r="D10" s="7079"/>
      <c r="E10" s="7080"/>
      <c r="F10" s="4616">
        <f>'3. P PLAN'!J457</f>
        <v>324160</v>
      </c>
      <c r="G10" s="5246">
        <f>'3. P PLAN'!K457</f>
        <v>310177.49745366967</v>
      </c>
      <c r="H10" s="5579">
        <f>'3. P PLAN'!L457</f>
        <v>324916.61274210119</v>
      </c>
      <c r="I10" s="6278">
        <f>'3. P PLAN'!M457</f>
        <v>260191.29592979985</v>
      </c>
      <c r="J10" s="5246">
        <f>'3. P PLAN'!N457</f>
        <v>330295.9960894197</v>
      </c>
      <c r="K10" s="2379">
        <f>'3. P PLAN'!O457</f>
        <v>496505.91377666546</v>
      </c>
      <c r="L10" s="2376">
        <f>'3. P PLAN'!P457</f>
        <v>563518.68845031573</v>
      </c>
      <c r="M10" s="2377">
        <f>'3. P PLAN'!Q457</f>
        <v>543886.68392347184</v>
      </c>
      <c r="N10" s="2378">
        <f>'3. P PLAN'!R457</f>
        <v>398638.72025075875</v>
      </c>
      <c r="O10" s="2376">
        <f>'3. P PLAN'!S457</f>
        <v>342075.95500808657</v>
      </c>
      <c r="P10" s="2377">
        <f>'3. P PLAN'!T457</f>
        <v>423023.24403908796</v>
      </c>
      <c r="Q10" s="2378">
        <f>'3. P PLAN'!U457</f>
        <v>415265.45525101037</v>
      </c>
      <c r="R10" s="1621">
        <f>SUM(F10:Q10)</f>
        <v>4732656.0629143873</v>
      </c>
    </row>
    <row r="11" spans="1:18" ht="21.75" customHeight="1" thickBot="1">
      <c r="A11" s="7063" t="s">
        <v>1055</v>
      </c>
      <c r="B11" s="7064"/>
      <c r="C11" s="7064"/>
      <c r="D11" s="7064"/>
      <c r="E11" s="7065"/>
      <c r="F11" s="4617">
        <f>'3. P PLAN'!J458</f>
        <v>54938.43726714544</v>
      </c>
      <c r="G11" s="5247">
        <f>'3. P PLAN'!K458</f>
        <v>27565.719675891924</v>
      </c>
      <c r="H11" s="5580">
        <f>'3. P PLAN'!L458</f>
        <v>64665.501630990155</v>
      </c>
      <c r="I11" s="6279">
        <f>'3. P PLAN'!M458</f>
        <v>23955.518152022083</v>
      </c>
      <c r="J11" s="5247">
        <f>'3. P PLAN'!N458</f>
        <v>58162.662756086313</v>
      </c>
      <c r="K11" s="1822">
        <f>'3. P PLAN'!O458</f>
        <v>37617.024887776453</v>
      </c>
      <c r="L11" s="1821">
        <f>'3. P PLAN'!P458</f>
        <v>52407.577339204479</v>
      </c>
      <c r="M11" s="1770">
        <f>'3. P PLAN'!Q458</f>
        <v>43886.683923471683</v>
      </c>
      <c r="N11" s="1771">
        <f>'3. P PLAN'!R458</f>
        <v>54194.275806314196</v>
      </c>
      <c r="O11" s="1821">
        <f>'3. P PLAN'!S458</f>
        <v>52075.955008086486</v>
      </c>
      <c r="P11" s="1770">
        <f>'3. P PLAN'!T458</f>
        <v>52601.30311081784</v>
      </c>
      <c r="Q11" s="1771">
        <f>'3. P PLAN'!U458</f>
        <v>52044.639498548961</v>
      </c>
      <c r="R11" s="1631">
        <f>SUM(F11:Q11)</f>
        <v>574115.29905635607</v>
      </c>
    </row>
    <row r="12" spans="1:18" ht="21.75" customHeight="1" thickBot="1">
      <c r="A12" s="7081" t="s">
        <v>15</v>
      </c>
      <c r="B12" s="7082"/>
      <c r="C12" s="7082"/>
      <c r="D12" s="7082"/>
      <c r="E12" s="7083"/>
      <c r="F12" s="3952">
        <f>SUM(F9:F11)</f>
        <v>807950.27065373713</v>
      </c>
      <c r="G12" s="5012">
        <f t="shared" ref="G12:Q12" si="1">SUM(G9:G11)</f>
        <v>906825.58448350755</v>
      </c>
      <c r="H12" s="5505">
        <f t="shared" si="1"/>
        <v>1006429.1174109551</v>
      </c>
      <c r="I12" s="5663">
        <f t="shared" si="1"/>
        <v>984296.20150381234</v>
      </c>
      <c r="J12" s="5012">
        <f t="shared" si="1"/>
        <v>981115.35530238866</v>
      </c>
      <c r="K12" s="1825">
        <f t="shared" si="1"/>
        <v>1100678.63648069</v>
      </c>
      <c r="L12" s="1824">
        <f t="shared" si="1"/>
        <v>1144038.6923320009</v>
      </c>
      <c r="M12" s="1776">
        <f t="shared" si="1"/>
        <v>910775.61895010225</v>
      </c>
      <c r="N12" s="1777">
        <f t="shared" si="1"/>
        <v>719774.07904938166</v>
      </c>
      <c r="O12" s="1824">
        <f t="shared" si="1"/>
        <v>634589.19256517873</v>
      </c>
      <c r="P12" s="1776">
        <f t="shared" si="1"/>
        <v>693091.23424687062</v>
      </c>
      <c r="Q12" s="1777">
        <f t="shared" si="1"/>
        <v>686854.05692840263</v>
      </c>
      <c r="R12" s="1777">
        <f>SUM(F12:Q12)</f>
        <v>10576418.039907027</v>
      </c>
    </row>
    <row r="13" spans="1:18" ht="21.75" customHeight="1">
      <c r="A13" s="1538"/>
      <c r="F13" s="1534"/>
      <c r="H13" s="1534"/>
      <c r="R13" s="1614"/>
    </row>
    <row r="14" spans="1:18" ht="21.75" customHeight="1" thickBot="1">
      <c r="A14" s="1538" t="s">
        <v>1037</v>
      </c>
      <c r="F14" s="1534"/>
      <c r="H14" s="1534"/>
      <c r="R14" s="1614"/>
    </row>
    <row r="15" spans="1:18" ht="21.75" customHeight="1" thickBot="1">
      <c r="A15" s="7060" t="s">
        <v>123</v>
      </c>
      <c r="B15" s="7061"/>
      <c r="C15" s="7061"/>
      <c r="D15" s="7061"/>
      <c r="E15" s="7062"/>
      <c r="F15" s="4490" t="str">
        <f t="shared" ref="F15:R15" si="2">F4</f>
        <v>Jan.26</v>
      </c>
      <c r="G15" s="5005" t="str">
        <f t="shared" si="2"/>
        <v>Feb.26</v>
      </c>
      <c r="H15" s="5494" t="str">
        <f t="shared" si="2"/>
        <v>Mar.26</v>
      </c>
      <c r="I15" s="4490" t="str">
        <f t="shared" si="2"/>
        <v>Apr.26</v>
      </c>
      <c r="J15" s="5005" t="str">
        <f t="shared" si="2"/>
        <v>May.26</v>
      </c>
      <c r="K15" s="1540" t="str">
        <f t="shared" si="2"/>
        <v>Jun.26</v>
      </c>
      <c r="L15" s="1539" t="str">
        <f t="shared" si="2"/>
        <v>Jul.26</v>
      </c>
      <c r="M15" s="74" t="str">
        <f t="shared" si="2"/>
        <v>Aug.26</v>
      </c>
      <c r="N15" s="1540" t="str">
        <f t="shared" si="2"/>
        <v>Sep.26</v>
      </c>
      <c r="O15" s="1539" t="str">
        <f t="shared" si="2"/>
        <v>Oct.26</v>
      </c>
      <c r="P15" s="74" t="str">
        <f t="shared" si="2"/>
        <v>Nov.26</v>
      </c>
      <c r="Q15" s="1540" t="str">
        <f t="shared" si="2"/>
        <v>Dec.26</v>
      </c>
      <c r="R15" s="2253" t="str">
        <f t="shared" si="2"/>
        <v>2026
Total</v>
      </c>
    </row>
    <row r="16" spans="1:18" ht="21.75" customHeight="1">
      <c r="A16" s="7075" t="s">
        <v>97</v>
      </c>
      <c r="B16" s="7076"/>
      <c r="C16" s="7076"/>
      <c r="D16" s="7076"/>
      <c r="E16" s="7077"/>
      <c r="F16" s="4615">
        <f>'3. P PLAN'!J449</f>
        <v>110109.06176843621</v>
      </c>
      <c r="G16" s="5034">
        <f>'3. P PLAN'!K449</f>
        <v>134938.39093551345</v>
      </c>
      <c r="H16" s="5578">
        <f>'3. P PLAN'!L449</f>
        <v>150555.98458741419</v>
      </c>
      <c r="I16" s="6277">
        <f>'3. P PLAN'!M449</f>
        <v>161761.85386002439</v>
      </c>
      <c r="J16" s="5034">
        <f>'3. P PLAN'!N449</f>
        <v>134076.78240070707</v>
      </c>
      <c r="K16" s="2374">
        <f>'3. P PLAN'!O449</f>
        <v>127899.78531893247</v>
      </c>
      <c r="L16" s="2371">
        <f>'3. P PLAN'!P449</f>
        <v>112710.61739728352</v>
      </c>
      <c r="M16" s="2372">
        <f>'3. P PLAN'!Q449</f>
        <v>81306.466142222416</v>
      </c>
      <c r="N16" s="2373">
        <f>'3. P PLAN'!R449</f>
        <v>74754.162385462623</v>
      </c>
      <c r="O16" s="2371">
        <f>'3. P PLAN'!S449</f>
        <v>67275.748123672136</v>
      </c>
      <c r="P16" s="2372">
        <f>'3. P PLAN'!T449</f>
        <v>60427.261049564768</v>
      </c>
      <c r="Q16" s="2373">
        <f>'3. P PLAN'!U449</f>
        <v>61115.713551423505</v>
      </c>
      <c r="R16" s="2375">
        <f>SUM(F16:Q16)</f>
        <v>1276931.8275206566</v>
      </c>
    </row>
    <row r="17" spans="1:18" ht="21.75" customHeight="1">
      <c r="A17" s="7078" t="s">
        <v>1054</v>
      </c>
      <c r="B17" s="7079"/>
      <c r="C17" s="7079"/>
      <c r="D17" s="7079"/>
      <c r="E17" s="7080"/>
      <c r="F17" s="4616">
        <f>'3. P PLAN'!J450</f>
        <v>54789.523200000003</v>
      </c>
      <c r="G17" s="5246">
        <f>'3. P PLAN'!K450</f>
        <v>47767.042680000006</v>
      </c>
      <c r="H17" s="5579">
        <f>'3. P PLAN'!L450</f>
        <v>43987.642800000001</v>
      </c>
      <c r="I17" s="6278">
        <f>'3. P PLAN'!M450</f>
        <v>39928.571160000007</v>
      </c>
      <c r="J17" s="5246">
        <f>'3. P PLAN'!N450</f>
        <v>45995.976000000002</v>
      </c>
      <c r="K17" s="2379">
        <f>'3. P PLAN'!O450</f>
        <v>77561.400000000009</v>
      </c>
      <c r="L17" s="2376">
        <f>'3. P PLAN'!P450</f>
        <v>86388</v>
      </c>
      <c r="M17" s="2377">
        <f>'3. P PLAN'!Q450</f>
        <v>84510</v>
      </c>
      <c r="N17" s="2378">
        <f>'3. P PLAN'!R450</f>
        <v>58218.000000000007</v>
      </c>
      <c r="O17" s="2376">
        <f>'3. P PLAN'!S450</f>
        <v>49015.8</v>
      </c>
      <c r="P17" s="2377">
        <f>'3. P PLAN'!T450</f>
        <v>62389</v>
      </c>
      <c r="Q17" s="2378">
        <f>'3. P PLAN'!U450</f>
        <v>60293.000000000007</v>
      </c>
      <c r="R17" s="1621">
        <f>SUM(F17:Q17)</f>
        <v>710843.95584000007</v>
      </c>
    </row>
    <row r="18" spans="1:18" ht="21.75" customHeight="1" thickBot="1">
      <c r="A18" s="7063" t="s">
        <v>1055</v>
      </c>
      <c r="B18" s="7064"/>
      <c r="C18" s="7064"/>
      <c r="D18" s="7064"/>
      <c r="E18" s="7065"/>
      <c r="F18" s="4614">
        <f>'3. P PLAN'!J451</f>
        <v>15913.862506551903</v>
      </c>
      <c r="G18" s="5102">
        <f>'3. P PLAN'!K451</f>
        <v>8003.3404735644372</v>
      </c>
      <c r="H18" s="5577">
        <f>'3. P PLAN'!L451</f>
        <v>18775.943072217546</v>
      </c>
      <c r="I18" s="6146">
        <f>'3. P PLAN'!M451</f>
        <v>6582.2715402459698</v>
      </c>
      <c r="J18" s="5102">
        <f>'3. P PLAN'!N451</f>
        <v>17199.241930275391</v>
      </c>
      <c r="K18" s="2380">
        <f>'3. P PLAN'!O451</f>
        <v>11257.390600370125</v>
      </c>
      <c r="L18" s="2366">
        <f>'3. P PLAN'!P451</f>
        <v>15330.69021939193</v>
      </c>
      <c r="M18" s="2367">
        <f>'3. P PLAN'!Q451</f>
        <v>13142.71217203267</v>
      </c>
      <c r="N18" s="2368">
        <f>'3. P PLAN'!R451</f>
        <v>15753.628740210592</v>
      </c>
      <c r="O18" s="2366">
        <f>'3. P PLAN'!S451</f>
        <v>15478.179705194632</v>
      </c>
      <c r="P18" s="2367">
        <f>'3. P PLAN'!T451</f>
        <v>15295.782155967447</v>
      </c>
      <c r="Q18" s="2368">
        <f>'3. P PLAN'!U451</f>
        <v>15490.574814707546</v>
      </c>
      <c r="R18" s="1631">
        <f>SUM(F18:Q18)</f>
        <v>168223.61793073016</v>
      </c>
    </row>
    <row r="19" spans="1:18" ht="21.75" customHeight="1" thickBot="1">
      <c r="A19" s="7081" t="s">
        <v>15</v>
      </c>
      <c r="B19" s="7082"/>
      <c r="C19" s="7082"/>
      <c r="D19" s="7082"/>
      <c r="E19" s="7083"/>
      <c r="F19" s="3952">
        <f>SUM(F16:F18)</f>
        <v>180812.44747498812</v>
      </c>
      <c r="G19" s="5012">
        <f t="shared" ref="G19:Q19" si="3">SUM(G16:G18)</f>
        <v>190708.7740890779</v>
      </c>
      <c r="H19" s="5505">
        <f t="shared" si="3"/>
        <v>213319.57045963174</v>
      </c>
      <c r="I19" s="5663">
        <f t="shared" si="3"/>
        <v>208272.69656027039</v>
      </c>
      <c r="J19" s="5012">
        <f t="shared" si="3"/>
        <v>197272.00033098247</v>
      </c>
      <c r="K19" s="1825">
        <f t="shared" si="3"/>
        <v>216718.57591930259</v>
      </c>
      <c r="L19" s="1824">
        <f t="shared" si="3"/>
        <v>214429.30761667545</v>
      </c>
      <c r="M19" s="1776">
        <f t="shared" si="3"/>
        <v>178959.17831425508</v>
      </c>
      <c r="N19" s="1777">
        <f t="shared" si="3"/>
        <v>148725.79112567322</v>
      </c>
      <c r="O19" s="1824">
        <f t="shared" si="3"/>
        <v>131769.72782886677</v>
      </c>
      <c r="P19" s="1776">
        <f t="shared" si="3"/>
        <v>138112.04320553222</v>
      </c>
      <c r="Q19" s="1777">
        <f t="shared" si="3"/>
        <v>136899.28836613105</v>
      </c>
      <c r="R19" s="1777">
        <f>SUM(F19:Q19)</f>
        <v>2155999.4012913872</v>
      </c>
    </row>
    <row r="20" spans="1:18" ht="21.75" customHeight="1">
      <c r="A20" s="1922"/>
      <c r="B20" s="1922"/>
      <c r="C20" s="2381"/>
      <c r="D20" s="1922"/>
      <c r="E20" s="2381"/>
      <c r="F20" s="2240"/>
      <c r="G20" s="2240"/>
      <c r="H20" s="2240"/>
      <c r="I20" s="2240"/>
      <c r="J20" s="2240"/>
      <c r="K20" s="2240"/>
      <c r="L20" s="2240"/>
      <c r="M20" s="2240"/>
      <c r="N20" s="2240"/>
      <c r="O20" s="2240"/>
      <c r="P20" s="2240"/>
      <c r="Q20" s="2240"/>
      <c r="R20" s="1546"/>
    </row>
    <row r="21" spans="1:18" ht="21.75" customHeight="1" thickBot="1">
      <c r="A21" s="2382" t="s">
        <v>430</v>
      </c>
      <c r="B21" s="2369"/>
      <c r="E21" s="2383"/>
      <c r="F21" s="2384"/>
      <c r="G21" s="2384"/>
      <c r="H21" s="2384"/>
      <c r="I21" s="2384"/>
      <c r="J21" s="2384"/>
      <c r="K21" s="2384"/>
      <c r="L21" s="2384"/>
      <c r="M21" s="2384"/>
      <c r="N21" s="2384"/>
      <c r="O21" s="2384"/>
      <c r="P21" s="2384"/>
      <c r="Q21" s="2384"/>
      <c r="R21" s="1614" t="s">
        <v>113</v>
      </c>
    </row>
    <row r="22" spans="1:18" s="1528" customFormat="1" ht="21.75" customHeight="1" thickBot="1">
      <c r="A22" s="81" t="s">
        <v>126</v>
      </c>
      <c r="B22" s="2385" t="s">
        <v>107</v>
      </c>
      <c r="C22" s="2386" t="s">
        <v>127</v>
      </c>
      <c r="D22" s="2387" t="s">
        <v>1043</v>
      </c>
      <c r="E22" s="37" t="s">
        <v>28</v>
      </c>
      <c r="F22" s="4490" t="str">
        <f t="shared" ref="F22:R22" si="4">F4</f>
        <v>Jan.26</v>
      </c>
      <c r="G22" s="5005" t="str">
        <f t="shared" si="4"/>
        <v>Feb.26</v>
      </c>
      <c r="H22" s="5494" t="str">
        <f t="shared" si="4"/>
        <v>Mar.26</v>
      </c>
      <c r="I22" s="4490" t="str">
        <f t="shared" si="4"/>
        <v>Apr.26</v>
      </c>
      <c r="J22" s="5005" t="str">
        <f t="shared" si="4"/>
        <v>May.26</v>
      </c>
      <c r="K22" s="1540" t="str">
        <f t="shared" si="4"/>
        <v>Jun.26</v>
      </c>
      <c r="L22" s="1539" t="str">
        <f t="shared" si="4"/>
        <v>Jul.26</v>
      </c>
      <c r="M22" s="74" t="str">
        <f t="shared" si="4"/>
        <v>Aug.26</v>
      </c>
      <c r="N22" s="1540" t="str">
        <f t="shared" si="4"/>
        <v>Sep.26</v>
      </c>
      <c r="O22" s="1539" t="str">
        <f t="shared" si="4"/>
        <v>Oct.26</v>
      </c>
      <c r="P22" s="74" t="str">
        <f t="shared" si="4"/>
        <v>Nov.26</v>
      </c>
      <c r="Q22" s="1540" t="str">
        <f t="shared" si="4"/>
        <v>Dec.26</v>
      </c>
      <c r="R22" s="1539" t="str">
        <f t="shared" si="4"/>
        <v>2026
Total</v>
      </c>
    </row>
    <row r="23" spans="1:18" ht="21.75" customHeight="1">
      <c r="A23" s="7067" t="s">
        <v>205</v>
      </c>
      <c r="B23" s="7069" t="s">
        <v>97</v>
      </c>
      <c r="C23" s="63" t="s">
        <v>98</v>
      </c>
      <c r="D23" s="1681">
        <v>0.05</v>
      </c>
      <c r="E23" s="3760">
        <f>89000/'1-1.Assumption'!F29</f>
        <v>3.3712121212121211</v>
      </c>
      <c r="F23" s="4559">
        <f>F16*(1+$D$23)</f>
        <v>115614.51485685802</v>
      </c>
      <c r="G23" s="5248">
        <f t="shared" ref="G23:Q23" si="5">G16*(1+$D$23)</f>
        <v>141685.31048228912</v>
      </c>
      <c r="H23" s="5581">
        <f t="shared" si="5"/>
        <v>158083.78381678491</v>
      </c>
      <c r="I23" s="5248">
        <f t="shared" si="5"/>
        <v>169849.94655302563</v>
      </c>
      <c r="J23" s="5104">
        <f t="shared" si="5"/>
        <v>140780.62152074242</v>
      </c>
      <c r="K23" s="1708">
        <f t="shared" si="5"/>
        <v>134294.77458487911</v>
      </c>
      <c r="L23" s="5853">
        <f t="shared" si="5"/>
        <v>118346.1482671477</v>
      </c>
      <c r="M23" s="2390">
        <f t="shared" si="5"/>
        <v>85371.789449333533</v>
      </c>
      <c r="N23" s="2391">
        <f t="shared" si="5"/>
        <v>78491.870504735751</v>
      </c>
      <c r="O23" s="2392">
        <f t="shared" si="5"/>
        <v>70639.535529855741</v>
      </c>
      <c r="P23" s="2390">
        <f t="shared" si="5"/>
        <v>63448.62410204301</v>
      </c>
      <c r="Q23" s="2391">
        <f t="shared" si="5"/>
        <v>64171.499228994682</v>
      </c>
      <c r="R23" s="2394">
        <f>SUM(F23:Q23)</f>
        <v>1340778.4188966893</v>
      </c>
    </row>
    <row r="24" spans="1:18" ht="21.75" hidden="1" customHeight="1">
      <c r="A24" s="7068"/>
      <c r="B24" s="7070"/>
      <c r="C24" s="66" t="s">
        <v>248</v>
      </c>
      <c r="D24" s="1684">
        <v>0</v>
      </c>
      <c r="E24" s="3761">
        <v>0</v>
      </c>
      <c r="F24" s="4618">
        <v>0</v>
      </c>
      <c r="G24" s="5073">
        <v>0</v>
      </c>
      <c r="H24" s="5498">
        <v>0</v>
      </c>
      <c r="I24" s="6280">
        <v>0</v>
      </c>
      <c r="J24" s="5006">
        <v>0</v>
      </c>
      <c r="K24" s="1556">
        <v>0</v>
      </c>
      <c r="L24" s="5854">
        <v>0</v>
      </c>
      <c r="M24" s="5855">
        <v>0</v>
      </c>
      <c r="N24" s="5856">
        <v>0</v>
      </c>
      <c r="O24" s="1801">
        <v>0</v>
      </c>
      <c r="P24" s="1717">
        <v>0</v>
      </c>
      <c r="Q24" s="1718">
        <v>0</v>
      </c>
      <c r="R24" s="2396">
        <f>SUM(F24:Q24)</f>
        <v>0</v>
      </c>
    </row>
    <row r="25" spans="1:18" ht="21.75" hidden="1" customHeight="1">
      <c r="A25" s="7068"/>
      <c r="B25" s="2397"/>
      <c r="C25" s="2412" t="s">
        <v>122</v>
      </c>
      <c r="D25" s="3762">
        <f t="shared" ref="D25:E25" si="6">SUM(D23:D24)</f>
        <v>0.05</v>
      </c>
      <c r="E25" s="3194">
        <f t="shared" si="6"/>
        <v>3.3712121212121211</v>
      </c>
      <c r="F25" s="4553">
        <f t="shared" ref="F25:Q25" si="7">SUM(F23:F24)</f>
        <v>115614.51485685802</v>
      </c>
      <c r="G25" s="5249">
        <f t="shared" si="7"/>
        <v>141685.31048228912</v>
      </c>
      <c r="H25" s="5500">
        <f t="shared" si="7"/>
        <v>158083.78381678491</v>
      </c>
      <c r="I25" s="5249">
        <f t="shared" si="7"/>
        <v>169849.94655302563</v>
      </c>
      <c r="J25" s="5008">
        <f t="shared" si="7"/>
        <v>140780.62152074242</v>
      </c>
      <c r="K25" s="5857">
        <f t="shared" si="7"/>
        <v>134294.77458487911</v>
      </c>
      <c r="L25" s="5858">
        <f t="shared" si="7"/>
        <v>118346.1482671477</v>
      </c>
      <c r="M25" s="1527">
        <f t="shared" si="7"/>
        <v>85371.789449333533</v>
      </c>
      <c r="N25" s="2401">
        <f t="shared" si="7"/>
        <v>78491.870504735751</v>
      </c>
      <c r="O25" s="2402">
        <f t="shared" si="7"/>
        <v>70639.535529855741</v>
      </c>
      <c r="P25" s="1527">
        <f t="shared" si="7"/>
        <v>63448.62410204301</v>
      </c>
      <c r="Q25" s="2401">
        <f t="shared" si="7"/>
        <v>64171.499228994682</v>
      </c>
      <c r="R25" s="1621">
        <f>SUM(R23:R24)</f>
        <v>1340778.4188966893</v>
      </c>
    </row>
    <row r="26" spans="1:18" ht="21.75" customHeight="1">
      <c r="A26" s="7068"/>
      <c r="B26" s="7071" t="s">
        <v>1054</v>
      </c>
      <c r="C26" s="3763" t="s">
        <v>98</v>
      </c>
      <c r="D26" s="3764">
        <v>0.05</v>
      </c>
      <c r="E26" s="3765">
        <f>101000/'1-1.Assumption'!F29</f>
        <v>3.8257575757575757</v>
      </c>
      <c r="F26" s="4619">
        <f>F17*(1+$D$26)</f>
        <v>57528.999360000009</v>
      </c>
      <c r="G26" s="5074">
        <f t="shared" ref="G26:Q26" si="8">G17*(1+$D$26)</f>
        <v>50155.394814000007</v>
      </c>
      <c r="H26" s="5582">
        <f t="shared" si="8"/>
        <v>46187.024940000003</v>
      </c>
      <c r="I26" s="6281">
        <f t="shared" si="8"/>
        <v>41924.999718000006</v>
      </c>
      <c r="J26" s="4655">
        <f t="shared" si="8"/>
        <v>48295.774800000007</v>
      </c>
      <c r="K26" s="1586">
        <f t="shared" si="8"/>
        <v>81439.470000000016</v>
      </c>
      <c r="L26" s="1808">
        <f t="shared" si="8"/>
        <v>90707.400000000009</v>
      </c>
      <c r="M26" s="1740">
        <f t="shared" si="8"/>
        <v>88735.5</v>
      </c>
      <c r="N26" s="1741">
        <f t="shared" si="8"/>
        <v>61128.900000000009</v>
      </c>
      <c r="O26" s="2088">
        <f t="shared" si="8"/>
        <v>51466.590000000004</v>
      </c>
      <c r="P26" s="1740">
        <f t="shared" si="8"/>
        <v>65508.450000000004</v>
      </c>
      <c r="Q26" s="1741">
        <f t="shared" si="8"/>
        <v>63307.650000000009</v>
      </c>
      <c r="R26" s="1659">
        <f>SUM(F26:Q26)</f>
        <v>746386.15363199997</v>
      </c>
    </row>
    <row r="27" spans="1:18" ht="21.75" hidden="1" customHeight="1">
      <c r="A27" s="7068"/>
      <c r="B27" s="7072"/>
      <c r="C27" s="61" t="s">
        <v>248</v>
      </c>
      <c r="D27" s="1684">
        <v>0</v>
      </c>
      <c r="E27" s="2395">
        <v>0</v>
      </c>
      <c r="F27" s="4618">
        <v>0</v>
      </c>
      <c r="G27" s="5073">
        <v>0</v>
      </c>
      <c r="H27" s="5498">
        <v>0</v>
      </c>
      <c r="I27" s="6280">
        <v>0</v>
      </c>
      <c r="J27" s="5006">
        <v>0</v>
      </c>
      <c r="K27" s="1556">
        <v>0</v>
      </c>
      <c r="L27" s="5854">
        <v>0</v>
      </c>
      <c r="M27" s="5855">
        <v>0</v>
      </c>
      <c r="N27" s="5856">
        <v>0</v>
      </c>
      <c r="O27" s="1801">
        <v>0</v>
      </c>
      <c r="P27" s="1717">
        <v>0</v>
      </c>
      <c r="Q27" s="1718">
        <v>0</v>
      </c>
      <c r="R27" s="2396">
        <f>SUM(F27:Q27)</f>
        <v>0</v>
      </c>
    </row>
    <row r="28" spans="1:18" ht="21.75" hidden="1" customHeight="1">
      <c r="A28" s="7068"/>
      <c r="B28" s="7073"/>
      <c r="C28" s="2398" t="s">
        <v>122</v>
      </c>
      <c r="D28" s="2399">
        <f t="shared" ref="D28:E28" si="9">SUM(D26:D27)</f>
        <v>0.05</v>
      </c>
      <c r="E28" s="2400">
        <f t="shared" si="9"/>
        <v>3.8257575757575757</v>
      </c>
      <c r="F28" s="4553">
        <f t="shared" ref="F28:Q28" si="10">SUM(F26:F27)</f>
        <v>57528.999360000009</v>
      </c>
      <c r="G28" s="5249">
        <f t="shared" si="10"/>
        <v>50155.394814000007</v>
      </c>
      <c r="H28" s="5500">
        <f t="shared" si="10"/>
        <v>46187.024940000003</v>
      </c>
      <c r="I28" s="5249">
        <f t="shared" si="10"/>
        <v>41924.999718000006</v>
      </c>
      <c r="J28" s="5008">
        <f t="shared" si="10"/>
        <v>48295.774800000007</v>
      </c>
      <c r="K28" s="5857">
        <f t="shared" si="10"/>
        <v>81439.470000000016</v>
      </c>
      <c r="L28" s="5858">
        <f t="shared" si="10"/>
        <v>90707.400000000009</v>
      </c>
      <c r="M28" s="1527">
        <f t="shared" si="10"/>
        <v>88735.5</v>
      </c>
      <c r="N28" s="2401">
        <f t="shared" si="10"/>
        <v>61128.900000000009</v>
      </c>
      <c r="O28" s="2402">
        <f t="shared" si="10"/>
        <v>51466.590000000004</v>
      </c>
      <c r="P28" s="1527">
        <f t="shared" si="10"/>
        <v>65508.450000000004</v>
      </c>
      <c r="Q28" s="2401">
        <f t="shared" si="10"/>
        <v>63307.650000000009</v>
      </c>
      <c r="R28" s="1621">
        <f>SUM(R26:R27)</f>
        <v>746386.15363199997</v>
      </c>
    </row>
    <row r="29" spans="1:18" ht="21.75" customHeight="1" thickBot="1">
      <c r="A29" s="7068"/>
      <c r="B29" s="7071" t="s">
        <v>1055</v>
      </c>
      <c r="C29" s="62" t="s">
        <v>431</v>
      </c>
      <c r="D29" s="1686">
        <v>0.05</v>
      </c>
      <c r="E29" s="2403">
        <f>101000/'1-1.Assumption'!F29</f>
        <v>3.8257575757575757</v>
      </c>
      <c r="F29" s="4620">
        <f>F18*(1+$D$29)</f>
        <v>16709.555631879499</v>
      </c>
      <c r="G29" s="5250">
        <f t="shared" ref="G29:Q29" si="11">G18*(1+$D$29)</f>
        <v>8403.5074972426592</v>
      </c>
      <c r="H29" s="5583">
        <f t="shared" si="11"/>
        <v>19714.740225828424</v>
      </c>
      <c r="I29" s="5250">
        <f t="shared" si="11"/>
        <v>6911.385117258269</v>
      </c>
      <c r="J29" s="6960">
        <f t="shared" si="11"/>
        <v>18059.204026789161</v>
      </c>
      <c r="K29" s="5859">
        <f t="shared" si="11"/>
        <v>11820.260130388631</v>
      </c>
      <c r="L29" s="5860">
        <f t="shared" si="11"/>
        <v>16097.224730361528</v>
      </c>
      <c r="M29" s="5861">
        <f t="shared" si="11"/>
        <v>13799.847780634305</v>
      </c>
      <c r="N29" s="5862">
        <f t="shared" si="11"/>
        <v>16541.310177221123</v>
      </c>
      <c r="O29" s="5863">
        <f t="shared" si="11"/>
        <v>16252.088690454364</v>
      </c>
      <c r="P29" s="5861">
        <f t="shared" si="11"/>
        <v>16060.57126376582</v>
      </c>
      <c r="Q29" s="5862">
        <f t="shared" si="11"/>
        <v>16265.103555442924</v>
      </c>
      <c r="R29" s="1659">
        <f>SUM(F29:Q29)</f>
        <v>176634.7988272667</v>
      </c>
    </row>
    <row r="30" spans="1:18" ht="21.75" hidden="1" customHeight="1">
      <c r="A30" s="7068"/>
      <c r="B30" s="7072"/>
      <c r="C30" s="66" t="s">
        <v>248</v>
      </c>
      <c r="D30" s="1686">
        <v>0</v>
      </c>
      <c r="E30" s="2403">
        <v>0</v>
      </c>
      <c r="F30" s="4621">
        <f t="shared" ref="F30:Q30" si="12">F18*$D$30</f>
        <v>0</v>
      </c>
      <c r="G30" s="5251">
        <f t="shared" si="12"/>
        <v>0</v>
      </c>
      <c r="H30" s="5573">
        <f t="shared" si="12"/>
        <v>0</v>
      </c>
      <c r="I30" s="6282">
        <f t="shared" si="12"/>
        <v>0</v>
      </c>
      <c r="J30" s="5096">
        <f t="shared" si="12"/>
        <v>0</v>
      </c>
      <c r="K30" s="2407">
        <f t="shared" si="12"/>
        <v>0</v>
      </c>
      <c r="L30" s="2408">
        <f t="shared" si="12"/>
        <v>0</v>
      </c>
      <c r="M30" s="2409">
        <f t="shared" si="12"/>
        <v>0</v>
      </c>
      <c r="N30" s="2410">
        <f t="shared" si="12"/>
        <v>0</v>
      </c>
      <c r="O30" s="2411">
        <f t="shared" si="12"/>
        <v>0</v>
      </c>
      <c r="P30" s="2409">
        <f t="shared" si="12"/>
        <v>0</v>
      </c>
      <c r="Q30" s="2410">
        <f t="shared" si="12"/>
        <v>0</v>
      </c>
      <c r="R30" s="1655">
        <f>SUM(F30:Q30)</f>
        <v>0</v>
      </c>
    </row>
    <row r="31" spans="1:18" ht="21.75" hidden="1" customHeight="1" thickBot="1">
      <c r="A31" s="7068"/>
      <c r="B31" s="7072"/>
      <c r="C31" s="2412" t="s">
        <v>122</v>
      </c>
      <c r="D31" s="2413">
        <f t="shared" ref="D31:E31" si="13">SUM(D29:D30)</f>
        <v>0.05</v>
      </c>
      <c r="E31" s="2414">
        <f t="shared" si="13"/>
        <v>3.8257575757575757</v>
      </c>
      <c r="F31" s="4622">
        <f t="shared" ref="F31:Q31" si="14">SUM(F29:F30)</f>
        <v>16709.555631879499</v>
      </c>
      <c r="G31" s="5252">
        <f t="shared" si="14"/>
        <v>8403.5074972426592</v>
      </c>
      <c r="H31" s="5584">
        <f t="shared" si="14"/>
        <v>19714.740225828424</v>
      </c>
      <c r="I31" s="5252">
        <f t="shared" si="14"/>
        <v>6911.385117258269</v>
      </c>
      <c r="J31" s="6961">
        <f t="shared" si="14"/>
        <v>18059.204026789161</v>
      </c>
      <c r="K31" s="2416">
        <f t="shared" si="14"/>
        <v>11820.260130388631</v>
      </c>
      <c r="L31" s="2417">
        <f t="shared" si="14"/>
        <v>16097.224730361528</v>
      </c>
      <c r="M31" s="2418">
        <f t="shared" si="14"/>
        <v>13799.847780634305</v>
      </c>
      <c r="N31" s="2419">
        <f t="shared" si="14"/>
        <v>16541.310177221123</v>
      </c>
      <c r="O31" s="2420">
        <f t="shared" si="14"/>
        <v>16252.088690454364</v>
      </c>
      <c r="P31" s="2418">
        <f t="shared" si="14"/>
        <v>16060.57126376582</v>
      </c>
      <c r="Q31" s="2419">
        <f t="shared" si="14"/>
        <v>16265.103555442924</v>
      </c>
      <c r="R31" s="1631">
        <f>SUM(R29:R30)</f>
        <v>176634.7988272667</v>
      </c>
    </row>
    <row r="32" spans="1:18" ht="21.75" customHeight="1" thickBot="1">
      <c r="A32" s="2421"/>
      <c r="B32" s="7066" t="s">
        <v>15</v>
      </c>
      <c r="C32" s="7066"/>
      <c r="D32" s="33"/>
      <c r="E32" s="33"/>
      <c r="F32" s="3952">
        <f t="shared" ref="F32:R32" si="15">+F25+F28+F31</f>
        <v>189853.0698487375</v>
      </c>
      <c r="G32" s="5012">
        <f t="shared" si="15"/>
        <v>200244.21279353177</v>
      </c>
      <c r="H32" s="5505">
        <f>+H23+H26+H29</f>
        <v>223985.54898261334</v>
      </c>
      <c r="I32" s="5663">
        <f t="shared" ref="I32:Q32" si="16">+I23+I26+I29</f>
        <v>218686.3313882839</v>
      </c>
      <c r="J32" s="5012">
        <f t="shared" si="16"/>
        <v>207135.60034753161</v>
      </c>
      <c r="K32" s="1607">
        <f t="shared" si="16"/>
        <v>227554.50471526777</v>
      </c>
      <c r="L32" s="1824">
        <f t="shared" si="16"/>
        <v>225150.77299750922</v>
      </c>
      <c r="M32" s="1776">
        <f t="shared" si="16"/>
        <v>187907.13722996783</v>
      </c>
      <c r="N32" s="1777">
        <f t="shared" si="16"/>
        <v>156162.0806819569</v>
      </c>
      <c r="O32" s="1824">
        <f t="shared" si="16"/>
        <v>138358.21422031012</v>
      </c>
      <c r="P32" s="1776">
        <f t="shared" si="16"/>
        <v>145017.64536580883</v>
      </c>
      <c r="Q32" s="1777">
        <f t="shared" si="16"/>
        <v>143744.25278443762</v>
      </c>
      <c r="R32" s="1777">
        <f t="shared" si="15"/>
        <v>2263799.371355956</v>
      </c>
    </row>
    <row r="33" spans="1:19" ht="21.75" customHeight="1">
      <c r="A33" s="1636"/>
      <c r="B33" s="2422"/>
      <c r="C33" s="2423"/>
      <c r="D33" s="2423"/>
      <c r="E33" s="2424"/>
      <c r="F33" s="2384"/>
      <c r="G33" s="2384"/>
      <c r="H33" s="2384"/>
      <c r="I33" s="6283"/>
      <c r="J33" s="6283"/>
      <c r="K33" s="2426"/>
      <c r="L33" s="2427"/>
      <c r="M33" s="2427"/>
      <c r="N33" s="2427"/>
      <c r="O33" s="2427"/>
      <c r="P33" s="2427"/>
      <c r="Q33" s="2428"/>
      <c r="R33" s="2429" t="b">
        <f>R32=SUM(F32:Q32)</f>
        <v>1</v>
      </c>
    </row>
    <row r="34" spans="1:19" ht="21.75" customHeight="1" thickBot="1">
      <c r="A34" s="2382" t="s">
        <v>203</v>
      </c>
      <c r="B34" s="2430"/>
      <c r="C34" s="2431"/>
      <c r="D34" s="2431"/>
      <c r="E34" s="2431"/>
      <c r="F34" s="5852"/>
      <c r="G34" s="5852"/>
      <c r="H34" s="5852">
        <v>0.03</v>
      </c>
      <c r="I34" s="5852">
        <v>0.06</v>
      </c>
      <c r="J34" s="5852"/>
      <c r="K34" s="5848"/>
      <c r="L34" s="5848">
        <v>0.03</v>
      </c>
      <c r="M34" s="2432"/>
      <c r="N34" s="2432"/>
      <c r="O34" s="5848">
        <v>0.03</v>
      </c>
      <c r="P34" s="1781"/>
      <c r="Q34" s="1781"/>
      <c r="R34" s="1614" t="s">
        <v>86</v>
      </c>
      <c r="S34" s="2461" cm="1">
        <f t="array" ref="S34">PRODUCT(1+F34:Q34)-1</f>
        <v>0.15829062000000005</v>
      </c>
    </row>
    <row r="35" spans="1:19" ht="21.75" customHeight="1" thickBot="1">
      <c r="A35" s="81" t="s">
        <v>126</v>
      </c>
      <c r="B35" s="2385" t="s">
        <v>107</v>
      </c>
      <c r="C35" s="2386" t="s">
        <v>127</v>
      </c>
      <c r="D35" s="2387" t="str">
        <f t="shared" ref="D35:D44" si="17">D22</f>
        <v>Loss Yield%</v>
      </c>
      <c r="E35" s="37" t="s">
        <v>28</v>
      </c>
      <c r="F35" s="4490" t="str">
        <f t="shared" ref="F35:R35" si="18">F4</f>
        <v>Jan.26</v>
      </c>
      <c r="G35" s="5005" t="str">
        <f t="shared" si="18"/>
        <v>Feb.26</v>
      </c>
      <c r="H35" s="5494" t="str">
        <f t="shared" si="18"/>
        <v>Mar.26</v>
      </c>
      <c r="I35" s="4490" t="str">
        <f t="shared" si="18"/>
        <v>Apr.26</v>
      </c>
      <c r="J35" s="5005" t="str">
        <f t="shared" si="18"/>
        <v>May.26</v>
      </c>
      <c r="K35" s="1540" t="str">
        <f t="shared" si="18"/>
        <v>Jun.26</v>
      </c>
      <c r="L35" s="1539" t="str">
        <f t="shared" si="18"/>
        <v>Jul.26</v>
      </c>
      <c r="M35" s="74" t="str">
        <f t="shared" si="18"/>
        <v>Aug.26</v>
      </c>
      <c r="N35" s="1540" t="str">
        <f t="shared" si="18"/>
        <v>Sep.26</v>
      </c>
      <c r="O35" s="1539" t="str">
        <f t="shared" si="18"/>
        <v>Oct.26</v>
      </c>
      <c r="P35" s="74" t="str">
        <f t="shared" si="18"/>
        <v>Nov.26</v>
      </c>
      <c r="Q35" s="1540" t="str">
        <f t="shared" si="18"/>
        <v>Dec.26</v>
      </c>
      <c r="R35" s="2388" t="str">
        <f t="shared" si="18"/>
        <v>2026
Total</v>
      </c>
    </row>
    <row r="36" spans="1:19" ht="21.75" customHeight="1">
      <c r="A36" s="7067" t="s">
        <v>204</v>
      </c>
      <c r="B36" s="7069" t="s">
        <v>97</v>
      </c>
      <c r="C36" s="63" t="s">
        <v>98</v>
      </c>
      <c r="D36" s="1681">
        <f t="shared" si="17"/>
        <v>0.05</v>
      </c>
      <c r="E36" s="2389">
        <f t="shared" ref="E36:E41" si="19">E23</f>
        <v>3.3712121212121211</v>
      </c>
      <c r="F36" s="4499">
        <f>$E36*F23</f>
        <v>389761.05387349863</v>
      </c>
      <c r="G36" s="5253">
        <f t="shared" ref="G36:I36" si="20">$E36*G23</f>
        <v>477651.23609559587</v>
      </c>
      <c r="H36" s="5585">
        <f t="shared" si="20"/>
        <v>532933.96817022189</v>
      </c>
      <c r="I36" s="6284">
        <f t="shared" si="20"/>
        <v>572600.19860679097</v>
      </c>
      <c r="J36" s="6284" cm="1">
        <f t="array" ref="J36">J23*$E$36*PRODUCT(1+$F$34:J34)</f>
        <v>518169.74050359265</v>
      </c>
      <c r="K36" s="3863" cm="1">
        <f t="array" ref="K36">K23*$E$36*PRODUCT(1+$F$34:K34)</f>
        <v>494297.35247604625</v>
      </c>
      <c r="L36" s="3864" cm="1">
        <f t="array" ref="L36">L23*$E$36*PRODUCT(1+$F$34:L34)</f>
        <v>448663.27512268361</v>
      </c>
      <c r="M36" s="3865" cm="1">
        <f t="array" ref="M36">M23*$E$36*PRODUCT(1+$F$34:M34)</f>
        <v>323653.85116682266</v>
      </c>
      <c r="N36" s="3866" cm="1">
        <f t="array" ref="N36">N23*$E$36*PRODUCT(1+$F$34:N34)</f>
        <v>297571.32113556255</v>
      </c>
      <c r="O36" s="3864" cm="1">
        <f t="array" ref="O36">O23*$E$36*PRODUCT(1+$F$34:O34)</f>
        <v>275836.32254089351</v>
      </c>
      <c r="P36" s="3865" cm="1">
        <f t="array" ref="P36">P23*$E$36*PRODUCT(1+$F$34:P34)</f>
        <v>247756.93966999653</v>
      </c>
      <c r="Q36" s="3866" cm="1">
        <f t="array" ref="Q36">Q23*$E$36*PRODUCT(1+$F$34:Q34)</f>
        <v>250579.65382261659</v>
      </c>
      <c r="R36" s="2394">
        <f t="shared" ref="R36:R44" si="21">SUM(F36:Q36)</f>
        <v>4829474.9131843215</v>
      </c>
    </row>
    <row r="37" spans="1:19" ht="21.75" hidden="1" customHeight="1">
      <c r="A37" s="7068"/>
      <c r="B37" s="7074"/>
      <c r="C37" s="61" t="str">
        <f>C24</f>
        <v>Out Recycle</v>
      </c>
      <c r="D37" s="1684">
        <f t="shared" si="17"/>
        <v>0</v>
      </c>
      <c r="E37" s="2395">
        <f t="shared" si="19"/>
        <v>0</v>
      </c>
      <c r="F37" s="4493">
        <f>$E37*F24</f>
        <v>0</v>
      </c>
      <c r="G37" s="5254">
        <f t="shared" ref="G37:Q37" si="22">$E37*G24</f>
        <v>0</v>
      </c>
      <c r="H37" s="5513">
        <f t="shared" si="22"/>
        <v>0</v>
      </c>
      <c r="I37" s="6285">
        <f t="shared" si="22"/>
        <v>0</v>
      </c>
      <c r="J37" s="5018">
        <f t="shared" si="22"/>
        <v>0</v>
      </c>
      <c r="K37" s="3867">
        <f t="shared" si="22"/>
        <v>0</v>
      </c>
      <c r="L37" s="3816">
        <f t="shared" si="22"/>
        <v>0</v>
      </c>
      <c r="M37" s="3817">
        <f t="shared" si="22"/>
        <v>0</v>
      </c>
      <c r="N37" s="3818">
        <f t="shared" si="22"/>
        <v>0</v>
      </c>
      <c r="O37" s="3816">
        <f t="shared" si="22"/>
        <v>0</v>
      </c>
      <c r="P37" s="3817">
        <f t="shared" si="22"/>
        <v>0</v>
      </c>
      <c r="Q37" s="3818">
        <f t="shared" si="22"/>
        <v>0</v>
      </c>
      <c r="R37" s="2396">
        <f t="shared" si="21"/>
        <v>0</v>
      </c>
    </row>
    <row r="38" spans="1:19" ht="21.75" hidden="1" customHeight="1">
      <c r="A38" s="7068"/>
      <c r="B38" s="2397"/>
      <c r="C38" s="2398" t="s">
        <v>122</v>
      </c>
      <c r="D38" s="2399">
        <f t="shared" si="17"/>
        <v>0.05</v>
      </c>
      <c r="E38" s="2400">
        <f t="shared" si="19"/>
        <v>3.3712121212121211</v>
      </c>
      <c r="F38" s="4623">
        <f t="shared" ref="F38" si="23">SUM(F36:F37)</f>
        <v>389761.05387349863</v>
      </c>
      <c r="G38" s="5255">
        <f t="shared" ref="G38:Q38" si="24">SUM(G36:G37)</f>
        <v>477651.23609559587</v>
      </c>
      <c r="H38" s="5508">
        <f t="shared" si="24"/>
        <v>532933.96817022189</v>
      </c>
      <c r="I38" s="6286">
        <f t="shared" si="24"/>
        <v>572600.19860679097</v>
      </c>
      <c r="J38" s="5255">
        <f t="shared" si="24"/>
        <v>518169.74050359265</v>
      </c>
      <c r="K38" s="3868">
        <f t="shared" si="24"/>
        <v>494297.35247604625</v>
      </c>
      <c r="L38" s="3831">
        <f t="shared" si="24"/>
        <v>448663.27512268361</v>
      </c>
      <c r="M38" s="3833">
        <f t="shared" si="24"/>
        <v>323653.85116682266</v>
      </c>
      <c r="N38" s="3832">
        <f t="shared" si="24"/>
        <v>297571.32113556255</v>
      </c>
      <c r="O38" s="3831">
        <f t="shared" si="24"/>
        <v>275836.32254089351</v>
      </c>
      <c r="P38" s="3833">
        <f t="shared" si="24"/>
        <v>247756.93966999653</v>
      </c>
      <c r="Q38" s="3832">
        <f t="shared" si="24"/>
        <v>250579.65382261659</v>
      </c>
      <c r="R38" s="1621">
        <f t="shared" si="21"/>
        <v>4829474.9131843215</v>
      </c>
    </row>
    <row r="39" spans="1:19" ht="21.75" customHeight="1">
      <c r="A39" s="7068"/>
      <c r="B39" s="7071" t="s">
        <v>1054</v>
      </c>
      <c r="C39" s="3763" t="s">
        <v>98</v>
      </c>
      <c r="D39" s="3764">
        <f t="shared" si="17"/>
        <v>0.05</v>
      </c>
      <c r="E39" s="3765">
        <f t="shared" si="19"/>
        <v>3.8257575757575757</v>
      </c>
      <c r="F39" s="4499">
        <f t="shared" ref="F39:F43" si="25">$E39*F26</f>
        <v>220092.00512727274</v>
      </c>
      <c r="G39" s="5243">
        <f t="shared" ref="G39:Q39" si="26">$E39*G26</f>
        <v>191882.38167477274</v>
      </c>
      <c r="H39" s="5586">
        <f t="shared" si="26"/>
        <v>176700.3605659091</v>
      </c>
      <c r="I39" s="6287">
        <f t="shared" si="26"/>
        <v>160394.88528477275</v>
      </c>
      <c r="J39" s="5243">
        <f t="shared" si="26"/>
        <v>184767.92631818185</v>
      </c>
      <c r="K39" s="3870">
        <f t="shared" si="26"/>
        <v>311567.66931818187</v>
      </c>
      <c r="L39" s="3824">
        <f t="shared" si="26"/>
        <v>347024.52272727276</v>
      </c>
      <c r="M39" s="3845">
        <f t="shared" si="26"/>
        <v>339480.51136363635</v>
      </c>
      <c r="N39" s="3846">
        <f t="shared" si="26"/>
        <v>233864.35227272729</v>
      </c>
      <c r="O39" s="3824">
        <f t="shared" si="26"/>
        <v>196898.69659090909</v>
      </c>
      <c r="P39" s="3845">
        <f t="shared" si="26"/>
        <v>250619.44886363638</v>
      </c>
      <c r="Q39" s="3846">
        <f t="shared" si="26"/>
        <v>242199.72159090912</v>
      </c>
      <c r="R39" s="1659">
        <f t="shared" si="21"/>
        <v>2855492.4816981824</v>
      </c>
    </row>
    <row r="40" spans="1:19" ht="21.75" hidden="1" customHeight="1">
      <c r="A40" s="7068"/>
      <c r="B40" s="7072"/>
      <c r="C40" s="61" t="str">
        <f>C27</f>
        <v>Out Recycle</v>
      </c>
      <c r="D40" s="1684">
        <f t="shared" si="17"/>
        <v>0</v>
      </c>
      <c r="E40" s="2395">
        <f t="shared" si="19"/>
        <v>0</v>
      </c>
      <c r="F40" s="4493">
        <f t="shared" si="25"/>
        <v>0</v>
      </c>
      <c r="G40" s="5018">
        <f t="shared" ref="G40:Q40" si="27">$E40*G27</f>
        <v>0</v>
      </c>
      <c r="H40" s="5513">
        <f t="shared" si="27"/>
        <v>0</v>
      </c>
      <c r="I40" s="6285">
        <f t="shared" si="27"/>
        <v>0</v>
      </c>
      <c r="J40" s="5018">
        <f t="shared" si="27"/>
        <v>0</v>
      </c>
      <c r="K40" s="3867">
        <f t="shared" si="27"/>
        <v>0</v>
      </c>
      <c r="L40" s="3816">
        <f t="shared" si="27"/>
        <v>0</v>
      </c>
      <c r="M40" s="3817">
        <f t="shared" si="27"/>
        <v>0</v>
      </c>
      <c r="N40" s="3818">
        <f t="shared" si="27"/>
        <v>0</v>
      </c>
      <c r="O40" s="3816">
        <f t="shared" si="27"/>
        <v>0</v>
      </c>
      <c r="P40" s="3817">
        <f t="shared" si="27"/>
        <v>0</v>
      </c>
      <c r="Q40" s="3818">
        <f t="shared" si="27"/>
        <v>0</v>
      </c>
      <c r="R40" s="2396">
        <f t="shared" si="21"/>
        <v>0</v>
      </c>
    </row>
    <row r="41" spans="1:19" ht="21.75" hidden="1" customHeight="1">
      <c r="A41" s="7068"/>
      <c r="B41" s="7073"/>
      <c r="C41" s="2398" t="s">
        <v>122</v>
      </c>
      <c r="D41" s="2399">
        <f t="shared" si="17"/>
        <v>0.05</v>
      </c>
      <c r="E41" s="2400">
        <f t="shared" si="19"/>
        <v>3.8257575757575757</v>
      </c>
      <c r="F41" s="4623">
        <f t="shared" ref="F41" si="28">SUM(F39:F40)</f>
        <v>220092.00512727274</v>
      </c>
      <c r="G41" s="5255">
        <f t="shared" ref="G41:Q41" si="29">SUM(G39:G40)</f>
        <v>191882.38167477274</v>
      </c>
      <c r="H41" s="5508">
        <f t="shared" si="29"/>
        <v>176700.3605659091</v>
      </c>
      <c r="I41" s="6286">
        <f t="shared" si="29"/>
        <v>160394.88528477275</v>
      </c>
      <c r="J41" s="5255">
        <f t="shared" si="29"/>
        <v>184767.92631818185</v>
      </c>
      <c r="K41" s="3868">
        <f t="shared" si="29"/>
        <v>311567.66931818187</v>
      </c>
      <c r="L41" s="3831">
        <f t="shared" si="29"/>
        <v>347024.52272727276</v>
      </c>
      <c r="M41" s="3833">
        <f t="shared" si="29"/>
        <v>339480.51136363635</v>
      </c>
      <c r="N41" s="3832">
        <f t="shared" si="29"/>
        <v>233864.35227272729</v>
      </c>
      <c r="O41" s="3831">
        <f t="shared" si="29"/>
        <v>196898.69659090909</v>
      </c>
      <c r="P41" s="3833">
        <f t="shared" si="29"/>
        <v>250619.44886363638</v>
      </c>
      <c r="Q41" s="3832">
        <f t="shared" si="29"/>
        <v>242199.72159090912</v>
      </c>
      <c r="R41" s="1621">
        <f t="shared" si="21"/>
        <v>2855492.4816981824</v>
      </c>
    </row>
    <row r="42" spans="1:19" ht="21.75" customHeight="1" thickBot="1">
      <c r="A42" s="7068"/>
      <c r="B42" s="7071" t="s">
        <v>1055</v>
      </c>
      <c r="C42" s="2433" t="s">
        <v>98</v>
      </c>
      <c r="D42" s="1686">
        <f t="shared" si="17"/>
        <v>0.05</v>
      </c>
      <c r="E42" s="2403">
        <f>E29</f>
        <v>3.8257575757575757</v>
      </c>
      <c r="F42" s="4624">
        <f t="shared" si="25"/>
        <v>63926.709046205659</v>
      </c>
      <c r="G42" s="5256">
        <f t="shared" ref="G42:Q42" si="30">$E42*G29</f>
        <v>32149.782470511687</v>
      </c>
      <c r="H42" s="5587">
        <f t="shared" si="30"/>
        <v>75423.816773055703</v>
      </c>
      <c r="I42" s="6288">
        <f t="shared" si="30"/>
        <v>26441.283971328983</v>
      </c>
      <c r="J42" s="5256">
        <f t="shared" si="30"/>
        <v>69090.136617640354</v>
      </c>
      <c r="K42" s="3871">
        <f t="shared" si="30"/>
        <v>45221.449741259537</v>
      </c>
      <c r="L42" s="3872">
        <f t="shared" si="30"/>
        <v>61584.079460852816</v>
      </c>
      <c r="M42" s="3873">
        <f t="shared" si="30"/>
        <v>52794.872191063063</v>
      </c>
      <c r="N42" s="3874">
        <f t="shared" si="30"/>
        <v>63283.042723459599</v>
      </c>
      <c r="O42" s="3872">
        <f t="shared" si="30"/>
        <v>62176.551429389801</v>
      </c>
      <c r="P42" s="3875">
        <f t="shared" si="30"/>
        <v>61443.852183346506</v>
      </c>
      <c r="Q42" s="3874">
        <f t="shared" si="30"/>
        <v>62226.343147717242</v>
      </c>
      <c r="R42" s="1659">
        <f t="shared" si="21"/>
        <v>675761.91975583113</v>
      </c>
    </row>
    <row r="43" spans="1:19" ht="21.75" hidden="1" customHeight="1">
      <c r="A43" s="7068"/>
      <c r="B43" s="7072"/>
      <c r="C43" s="66" t="str">
        <f>C30</f>
        <v>Out Recycle</v>
      </c>
      <c r="D43" s="1686">
        <f t="shared" si="17"/>
        <v>0</v>
      </c>
      <c r="E43" s="2403">
        <f>E30</f>
        <v>0</v>
      </c>
      <c r="F43" s="4621">
        <f t="shared" si="25"/>
        <v>0</v>
      </c>
      <c r="G43" s="5096">
        <f t="shared" ref="G43:Q43" si="31">$E43*G30</f>
        <v>0</v>
      </c>
      <c r="H43" s="5588">
        <f t="shared" si="31"/>
        <v>0</v>
      </c>
      <c r="I43" s="5251">
        <f t="shared" si="31"/>
        <v>0</v>
      </c>
      <c r="J43" s="5096">
        <f t="shared" si="31"/>
        <v>0</v>
      </c>
      <c r="K43" s="2407">
        <f t="shared" si="31"/>
        <v>0</v>
      </c>
      <c r="L43" s="2411">
        <f t="shared" si="31"/>
        <v>0</v>
      </c>
      <c r="M43" s="2409">
        <f t="shared" si="31"/>
        <v>0</v>
      </c>
      <c r="N43" s="2410">
        <f t="shared" si="31"/>
        <v>0</v>
      </c>
      <c r="O43" s="1696">
        <f t="shared" si="31"/>
        <v>0</v>
      </c>
      <c r="P43" s="2409">
        <f t="shared" si="31"/>
        <v>0</v>
      </c>
      <c r="Q43" s="2410">
        <f t="shared" si="31"/>
        <v>0</v>
      </c>
      <c r="R43" s="1655">
        <f t="shared" si="21"/>
        <v>0</v>
      </c>
    </row>
    <row r="44" spans="1:19" ht="21.75" hidden="1" customHeight="1" thickBot="1">
      <c r="A44" s="7068"/>
      <c r="B44" s="7072"/>
      <c r="C44" s="2412" t="s">
        <v>122</v>
      </c>
      <c r="D44" s="2413">
        <f t="shared" si="17"/>
        <v>0.05</v>
      </c>
      <c r="E44" s="2434">
        <f>E31</f>
        <v>3.8257575757575757</v>
      </c>
      <c r="F44" s="4622">
        <f>SUM(F42:F43)</f>
        <v>63926.709046205659</v>
      </c>
      <c r="G44" s="5252">
        <f t="shared" ref="G44:Q44" si="32">SUM(G42:G43)</f>
        <v>32149.782470511687</v>
      </c>
      <c r="H44" s="5589">
        <f t="shared" si="32"/>
        <v>75423.816773055703</v>
      </c>
      <c r="I44" s="5252">
        <f t="shared" si="32"/>
        <v>26441.283971328983</v>
      </c>
      <c r="J44" s="5252">
        <f t="shared" si="32"/>
        <v>69090.136617640354</v>
      </c>
      <c r="K44" s="2415">
        <f t="shared" si="32"/>
        <v>45221.449741259537</v>
      </c>
      <c r="L44" s="2420">
        <f t="shared" si="32"/>
        <v>61584.079460852816</v>
      </c>
      <c r="M44" s="2418">
        <f t="shared" si="32"/>
        <v>52794.872191063063</v>
      </c>
      <c r="N44" s="2419">
        <f t="shared" si="32"/>
        <v>63283.042723459599</v>
      </c>
      <c r="O44" s="2420">
        <f t="shared" si="32"/>
        <v>62176.551429389801</v>
      </c>
      <c r="P44" s="2418">
        <f t="shared" si="32"/>
        <v>61443.852183346506</v>
      </c>
      <c r="Q44" s="2419">
        <f t="shared" si="32"/>
        <v>62226.343147717242</v>
      </c>
      <c r="R44" s="1631">
        <f t="shared" si="21"/>
        <v>675761.91975583113</v>
      </c>
    </row>
    <row r="45" spans="1:19" ht="21.75" customHeight="1" thickBot="1">
      <c r="A45" s="2421"/>
      <c r="B45" s="7066" t="s">
        <v>15</v>
      </c>
      <c r="C45" s="7066"/>
      <c r="D45" s="33"/>
      <c r="E45" s="33"/>
      <c r="F45" s="3952">
        <f t="shared" ref="F45" si="33">+F38+F41+F44</f>
        <v>673779.768046977</v>
      </c>
      <c r="G45" s="5012">
        <f t="shared" ref="G45" si="34">+G38+G41+G44</f>
        <v>701683.40024088032</v>
      </c>
      <c r="H45" s="5505">
        <f>+H36+H39+H42</f>
        <v>785058.14550918667</v>
      </c>
      <c r="I45" s="5663">
        <f t="shared" ref="I45:Q45" si="35">+I36+I39+I42</f>
        <v>759436.36786289269</v>
      </c>
      <c r="J45" s="5012">
        <f t="shared" si="35"/>
        <v>772027.80343941494</v>
      </c>
      <c r="K45" s="1607">
        <f t="shared" si="35"/>
        <v>851086.47153548768</v>
      </c>
      <c r="L45" s="1824">
        <f t="shared" si="35"/>
        <v>857271.87731080921</v>
      </c>
      <c r="M45" s="1776">
        <f t="shared" si="35"/>
        <v>715929.23472152196</v>
      </c>
      <c r="N45" s="1777">
        <f t="shared" si="35"/>
        <v>594718.71613174956</v>
      </c>
      <c r="O45" s="1824">
        <f t="shared" si="35"/>
        <v>534911.57056119246</v>
      </c>
      <c r="P45" s="1776">
        <f t="shared" si="35"/>
        <v>559820.24071697937</v>
      </c>
      <c r="Q45" s="1777">
        <f t="shared" si="35"/>
        <v>555005.71856124303</v>
      </c>
      <c r="R45" s="1777">
        <f>+R38+R41+R44</f>
        <v>8360729.3146383353</v>
      </c>
    </row>
    <row r="46" spans="1:19" ht="21.75" customHeight="1">
      <c r="A46" s="1988"/>
      <c r="B46" s="2430"/>
      <c r="C46" s="2431"/>
      <c r="E46" s="2431"/>
      <c r="F46" s="4625"/>
      <c r="G46" s="4625"/>
      <c r="H46" s="4625"/>
      <c r="I46" s="4625"/>
      <c r="J46" s="4625"/>
      <c r="K46" s="2435"/>
      <c r="L46" s="2436"/>
      <c r="M46" s="2436"/>
      <c r="N46" s="2436"/>
      <c r="O46" s="2436"/>
      <c r="P46" s="2436"/>
      <c r="Q46" s="2436"/>
      <c r="R46" s="2436" t="b">
        <f>SUM(F45:Q45)=R45</f>
        <v>1</v>
      </c>
    </row>
    <row r="47" spans="1:19" ht="21.75" customHeight="1">
      <c r="D47" s="2431"/>
      <c r="F47" s="4568"/>
      <c r="H47" s="1534"/>
    </row>
    <row r="48" spans="1:19" ht="21.75" customHeight="1" thickBot="1">
      <c r="A48" s="2382" t="s">
        <v>332</v>
      </c>
      <c r="B48" s="2430"/>
      <c r="C48" s="2431"/>
      <c r="D48" s="2431"/>
      <c r="E48" s="2431"/>
      <c r="F48" s="2240"/>
      <c r="G48" s="2240"/>
      <c r="H48" s="2240"/>
      <c r="I48" s="2240"/>
      <c r="J48" s="2240"/>
      <c r="K48" s="2436"/>
      <c r="L48" s="2436"/>
      <c r="M48" s="2436"/>
      <c r="N48" s="2436"/>
      <c r="O48" s="2436"/>
      <c r="P48" s="2436"/>
      <c r="Q48" s="2436"/>
      <c r="R48" s="1614" t="s">
        <v>114</v>
      </c>
    </row>
    <row r="49" spans="1:21" ht="21.75" customHeight="1" thickBot="1">
      <c r="A49" s="34" t="s">
        <v>108</v>
      </c>
      <c r="B49" s="2437" t="s">
        <v>107</v>
      </c>
      <c r="C49" s="2438" t="s">
        <v>107</v>
      </c>
      <c r="D49" s="20" t="s">
        <v>240</v>
      </c>
      <c r="E49" s="2503"/>
      <c r="F49" s="4626" t="str">
        <f t="shared" ref="F49:R49" si="36">F4</f>
        <v>Jan.26</v>
      </c>
      <c r="G49" s="5101" t="str">
        <f t="shared" si="36"/>
        <v>Feb.26</v>
      </c>
      <c r="H49" s="5590" t="str">
        <f t="shared" si="36"/>
        <v>Mar.26</v>
      </c>
      <c r="I49" s="6289" t="str">
        <f t="shared" si="36"/>
        <v>Apr.26</v>
      </c>
      <c r="J49" s="5101" t="str">
        <f t="shared" si="36"/>
        <v>May.26</v>
      </c>
      <c r="K49" s="64" t="str">
        <f t="shared" si="36"/>
        <v>Jun.26</v>
      </c>
      <c r="L49" s="81" t="str">
        <f t="shared" si="36"/>
        <v>Jul.26</v>
      </c>
      <c r="M49" s="74" t="str">
        <f t="shared" si="36"/>
        <v>Aug.26</v>
      </c>
      <c r="N49" s="64" t="str">
        <f t="shared" si="36"/>
        <v>Sep.26</v>
      </c>
      <c r="O49" s="81" t="str">
        <f t="shared" si="36"/>
        <v>Oct.26</v>
      </c>
      <c r="P49" s="74" t="str">
        <f t="shared" si="36"/>
        <v>Nov.26</v>
      </c>
      <c r="Q49" s="64" t="str">
        <f t="shared" si="36"/>
        <v>Dec.26</v>
      </c>
      <c r="R49" s="2388" t="str">
        <f t="shared" si="36"/>
        <v>2026
Total</v>
      </c>
    </row>
    <row r="50" spans="1:21" ht="21.75" customHeight="1">
      <c r="A50" s="7086" t="s">
        <v>481</v>
      </c>
      <c r="B50" s="2439" t="s">
        <v>19</v>
      </c>
      <c r="C50" s="2440" t="s">
        <v>478</v>
      </c>
      <c r="D50" s="2441">
        <v>0.01</v>
      </c>
      <c r="E50" s="3546"/>
      <c r="F50" s="4627">
        <f>SUM('3. P PLAN'!J5:J11)</f>
        <v>1458720</v>
      </c>
      <c r="G50" s="5257">
        <f>SUM('3. P PLAN'!K5:K11)</f>
        <v>1271753</v>
      </c>
      <c r="H50" s="5591">
        <f>SUM('3. P PLAN'!L5:L11)</f>
        <v>1171130</v>
      </c>
      <c r="I50" s="6290">
        <f>SUM('3. P PLAN'!M5:M11)</f>
        <v>1063061</v>
      </c>
      <c r="J50" s="5257">
        <f>SUM('3. P PLAN'!N5:N11)</f>
        <v>1224600</v>
      </c>
      <c r="K50" s="3274">
        <f>SUM('3. P PLAN'!O5:O11)</f>
        <v>2065000</v>
      </c>
      <c r="L50" s="3275">
        <f>SUM('3. P PLAN'!P5:P11)</f>
        <v>2300000</v>
      </c>
      <c r="M50" s="3276">
        <f>SUM('3. P PLAN'!Q5:Q11)</f>
        <v>2250000</v>
      </c>
      <c r="N50" s="3274">
        <f>SUM('3. P PLAN'!R5:R11)</f>
        <v>1550000</v>
      </c>
      <c r="O50" s="3275">
        <f>SUM('3. P PLAN'!S5:S11)</f>
        <v>1305000</v>
      </c>
      <c r="P50" s="3276">
        <f>SUM('3. P PLAN'!T5:T11)</f>
        <v>1660000</v>
      </c>
      <c r="Q50" s="3274">
        <f>SUM('3. P PLAN'!U5:U11)</f>
        <v>1600000</v>
      </c>
      <c r="R50" s="2442">
        <f>SUM(F50:Q50)</f>
        <v>18919264</v>
      </c>
    </row>
    <row r="51" spans="1:21" ht="21.75" customHeight="1" thickBot="1">
      <c r="A51" s="7087"/>
      <c r="B51" s="3547" t="s">
        <v>479</v>
      </c>
      <c r="C51" s="3548" t="s">
        <v>480</v>
      </c>
      <c r="D51" s="3549">
        <v>0.01</v>
      </c>
      <c r="E51" s="3550"/>
      <c r="F51" s="4628">
        <f>'3. P PLAN'!J102</f>
        <v>4004.9751243781088</v>
      </c>
      <c r="G51" s="5258">
        <f>'3. P PLAN'!K102</f>
        <v>2222.2222222222217</v>
      </c>
      <c r="H51" s="5592">
        <f>'3. P PLAN'!L102</f>
        <v>2222.2222222222217</v>
      </c>
      <c r="I51" s="6291">
        <f>'3. P PLAN'!M102</f>
        <v>5000</v>
      </c>
      <c r="J51" s="5258">
        <f>'3. P PLAN'!N102</f>
        <v>2777.7777777777778</v>
      </c>
      <c r="K51" s="2445">
        <f>'3. P PLAN'!O102</f>
        <v>1333.3333333333333</v>
      </c>
      <c r="L51" s="2446">
        <f>'3. P PLAN'!P102</f>
        <v>2777.7777777777778</v>
      </c>
      <c r="M51" s="2444">
        <f>'3. P PLAN'!Q102</f>
        <v>1333.3333333333333</v>
      </c>
      <c r="N51" s="2445">
        <f>'3. P PLAN'!R102</f>
        <v>1333.3333333333333</v>
      </c>
      <c r="O51" s="2446">
        <f>'3. P PLAN'!S102</f>
        <v>1333.3333333333333</v>
      </c>
      <c r="P51" s="2444">
        <f>'3. P PLAN'!T102</f>
        <v>1333.3333333333333</v>
      </c>
      <c r="Q51" s="2445">
        <f>'3. P PLAN'!U102</f>
        <v>1333.3333333333333</v>
      </c>
      <c r="R51" s="15">
        <f>SUM(F51:Q51)</f>
        <v>27004.975124378099</v>
      </c>
    </row>
    <row r="52" spans="1:21" ht="21.75" customHeight="1" thickBot="1">
      <c r="A52" s="7088"/>
      <c r="B52" s="2447"/>
      <c r="C52" s="2448" t="s">
        <v>122</v>
      </c>
      <c r="D52" s="20"/>
      <c r="E52" s="2503"/>
      <c r="F52" s="4629">
        <f t="shared" ref="F52:R52" si="37">SUM(F50:F51)</f>
        <v>1462724.9751243782</v>
      </c>
      <c r="G52" s="5259">
        <f t="shared" si="37"/>
        <v>1273975.2222222222</v>
      </c>
      <c r="H52" s="5593">
        <f t="shared" si="37"/>
        <v>1173352.2222222222</v>
      </c>
      <c r="I52" s="6292">
        <f t="shared" si="37"/>
        <v>1068061</v>
      </c>
      <c r="J52" s="5259">
        <f t="shared" si="37"/>
        <v>1227377.7777777778</v>
      </c>
      <c r="K52" s="2450">
        <f t="shared" si="37"/>
        <v>2066333.3333333333</v>
      </c>
      <c r="L52" s="2451">
        <f t="shared" si="37"/>
        <v>2302777.777777778</v>
      </c>
      <c r="M52" s="2449">
        <f t="shared" si="37"/>
        <v>2251333.3333333335</v>
      </c>
      <c r="N52" s="2450">
        <f t="shared" si="37"/>
        <v>1551333.3333333333</v>
      </c>
      <c r="O52" s="2451">
        <f t="shared" si="37"/>
        <v>1306333.3333333333</v>
      </c>
      <c r="P52" s="2449">
        <f t="shared" si="37"/>
        <v>1661333.3333333333</v>
      </c>
      <c r="Q52" s="2450">
        <f t="shared" si="37"/>
        <v>1601333.3333333333</v>
      </c>
      <c r="R52" s="2452">
        <f t="shared" si="37"/>
        <v>18946268.975124378</v>
      </c>
    </row>
    <row r="53" spans="1:21" ht="21.75" customHeight="1" thickBot="1">
      <c r="A53" s="7089" t="s">
        <v>121</v>
      </c>
      <c r="B53" s="7090"/>
      <c r="C53" s="7091"/>
      <c r="D53" s="2453"/>
      <c r="E53" s="2456"/>
      <c r="F53" s="4630">
        <f>+F52</f>
        <v>1462724.9751243782</v>
      </c>
      <c r="G53" s="5012">
        <f t="shared" ref="G53:Q53" si="38">+G52</f>
        <v>1273975.2222222222</v>
      </c>
      <c r="H53" s="5594">
        <f>+H52</f>
        <v>1173352.2222222222</v>
      </c>
      <c r="I53" s="5606">
        <f t="shared" si="38"/>
        <v>1068061</v>
      </c>
      <c r="J53" s="5012">
        <f t="shared" si="38"/>
        <v>1227377.7777777778</v>
      </c>
      <c r="K53" s="2110">
        <f t="shared" si="38"/>
        <v>2066333.3333333333</v>
      </c>
      <c r="L53" s="2295">
        <f t="shared" si="38"/>
        <v>2302777.777777778</v>
      </c>
      <c r="M53" s="1776">
        <f t="shared" si="38"/>
        <v>2251333.3333333335</v>
      </c>
      <c r="N53" s="2294">
        <f t="shared" si="38"/>
        <v>1551333.3333333333</v>
      </c>
      <c r="O53" s="1775">
        <f t="shared" si="38"/>
        <v>1306333.3333333333</v>
      </c>
      <c r="P53" s="1776">
        <f t="shared" si="38"/>
        <v>1661333.3333333333</v>
      </c>
      <c r="Q53" s="2294">
        <f t="shared" si="38"/>
        <v>1601333.3333333333</v>
      </c>
      <c r="R53" s="1777">
        <f>SUM(R52)</f>
        <v>18946268.975124378</v>
      </c>
    </row>
    <row r="54" spans="1:21" ht="21.75" customHeight="1">
      <c r="F54" s="1534"/>
      <c r="H54" s="1534"/>
      <c r="R54" s="1535" t="b">
        <f>SUM(F53:Q53)=R53</f>
        <v>1</v>
      </c>
    </row>
    <row r="55" spans="1:21" ht="21.75" customHeight="1" thickBot="1">
      <c r="A55" s="2382" t="s">
        <v>333</v>
      </c>
      <c r="B55" s="2430"/>
      <c r="C55" s="2431"/>
      <c r="D55" s="2431"/>
      <c r="E55" s="2431"/>
      <c r="F55" s="2240"/>
      <c r="G55" s="2240"/>
      <c r="H55" s="2240"/>
      <c r="I55" s="2240"/>
      <c r="J55" s="2240"/>
      <c r="K55" s="2436"/>
      <c r="L55" s="2436"/>
      <c r="M55" s="2436"/>
      <c r="N55" s="2436"/>
      <c r="O55" s="2436"/>
      <c r="P55" s="2436"/>
      <c r="Q55" s="2436"/>
      <c r="R55" s="1614" t="s">
        <v>86</v>
      </c>
      <c r="U55" s="1532"/>
    </row>
    <row r="56" spans="1:21" ht="21.75" customHeight="1" thickBot="1">
      <c r="A56" s="81" t="s">
        <v>108</v>
      </c>
      <c r="B56" s="2385" t="s">
        <v>107</v>
      </c>
      <c r="C56" s="2385" t="s">
        <v>107</v>
      </c>
      <c r="D56" s="2386"/>
      <c r="E56" s="2386" t="s">
        <v>124</v>
      </c>
      <c r="F56" s="4490" t="str">
        <f t="shared" ref="F56:R56" si="39">F4</f>
        <v>Jan.26</v>
      </c>
      <c r="G56" s="5005" t="str">
        <f t="shared" si="39"/>
        <v>Feb.26</v>
      </c>
      <c r="H56" s="5494" t="str">
        <f t="shared" si="39"/>
        <v>Mar.26</v>
      </c>
      <c r="I56" s="4490" t="str">
        <f t="shared" si="39"/>
        <v>Apr.26</v>
      </c>
      <c r="J56" s="5005" t="str">
        <f t="shared" si="39"/>
        <v>May.26</v>
      </c>
      <c r="K56" s="1540" t="str">
        <f t="shared" si="39"/>
        <v>Jun.26</v>
      </c>
      <c r="L56" s="1539" t="str">
        <f t="shared" si="39"/>
        <v>Jul.26</v>
      </c>
      <c r="M56" s="74" t="str">
        <f t="shared" si="39"/>
        <v>Aug.26</v>
      </c>
      <c r="N56" s="1540" t="str">
        <f t="shared" si="39"/>
        <v>Sep.26</v>
      </c>
      <c r="O56" s="1539" t="str">
        <f t="shared" si="39"/>
        <v>Oct.26</v>
      </c>
      <c r="P56" s="74" t="str">
        <f t="shared" si="39"/>
        <v>Nov.26</v>
      </c>
      <c r="Q56" s="1540" t="str">
        <f t="shared" si="39"/>
        <v>Dec.26</v>
      </c>
      <c r="R56" s="2388" t="str">
        <f t="shared" si="39"/>
        <v>2026
Total</v>
      </c>
    </row>
    <row r="57" spans="1:21" ht="21.75" customHeight="1" thickBot="1">
      <c r="A57" s="32" t="s">
        <v>206</v>
      </c>
      <c r="B57" s="63" t="s">
        <v>463</v>
      </c>
      <c r="C57" s="63" t="s">
        <v>99</v>
      </c>
      <c r="D57" s="63"/>
      <c r="E57" s="4078">
        <f>0.05*0.85</f>
        <v>4.2500000000000003E-2</v>
      </c>
      <c r="F57" s="4631">
        <f t="shared" ref="F57:Q57" si="40">F52*$E$57</f>
        <v>62165.811442786078</v>
      </c>
      <c r="G57" s="5253">
        <f t="shared" si="40"/>
        <v>54143.946944444448</v>
      </c>
      <c r="H57" s="5585">
        <f t="shared" si="40"/>
        <v>49867.469444444447</v>
      </c>
      <c r="I57" s="6284">
        <f t="shared" si="40"/>
        <v>45392.592500000006</v>
      </c>
      <c r="J57" s="5253">
        <f t="shared" si="40"/>
        <v>52163.555555555555</v>
      </c>
      <c r="K57" s="3863">
        <f t="shared" si="40"/>
        <v>87819.166666666672</v>
      </c>
      <c r="L57" s="3863">
        <f t="shared" si="40"/>
        <v>97868.055555555577</v>
      </c>
      <c r="M57" s="3865">
        <f t="shared" si="40"/>
        <v>95681.666666666686</v>
      </c>
      <c r="N57" s="3866">
        <f t="shared" si="40"/>
        <v>65931.666666666672</v>
      </c>
      <c r="O57" s="3864">
        <f t="shared" si="40"/>
        <v>55519.166666666664</v>
      </c>
      <c r="P57" s="3865">
        <f t="shared" si="40"/>
        <v>70606.666666666672</v>
      </c>
      <c r="Q57" s="3866">
        <f t="shared" si="40"/>
        <v>68056.666666666672</v>
      </c>
      <c r="R57" s="2394">
        <f>SUM(F57:Q57)</f>
        <v>805216.43144278601</v>
      </c>
      <c r="S57" s="1532"/>
      <c r="T57" s="1532"/>
      <c r="U57" s="1532"/>
    </row>
    <row r="58" spans="1:21" ht="21.75" customHeight="1" thickBot="1">
      <c r="A58" s="2455"/>
      <c r="B58" s="7066" t="s">
        <v>121</v>
      </c>
      <c r="C58" s="7066"/>
      <c r="D58" s="33"/>
      <c r="E58" s="2456" t="s">
        <v>245</v>
      </c>
      <c r="F58" s="3952">
        <f t="shared" ref="F58:Q58" si="41">SUM(F57:F57)</f>
        <v>62165.811442786078</v>
      </c>
      <c r="G58" s="5012">
        <f t="shared" si="41"/>
        <v>54143.946944444448</v>
      </c>
      <c r="H58" s="5505">
        <f t="shared" si="41"/>
        <v>49867.469444444447</v>
      </c>
      <c r="I58" s="5663">
        <f t="shared" si="41"/>
        <v>45392.592500000006</v>
      </c>
      <c r="J58" s="5012">
        <f t="shared" si="41"/>
        <v>52163.555555555555</v>
      </c>
      <c r="K58" s="1607">
        <f t="shared" si="41"/>
        <v>87819.166666666672</v>
      </c>
      <c r="L58" s="1824">
        <f t="shared" si="41"/>
        <v>97868.055555555577</v>
      </c>
      <c r="M58" s="1776">
        <f t="shared" si="41"/>
        <v>95681.666666666686</v>
      </c>
      <c r="N58" s="1777">
        <f t="shared" si="41"/>
        <v>65931.666666666672</v>
      </c>
      <c r="O58" s="1824">
        <f t="shared" si="41"/>
        <v>55519.166666666664</v>
      </c>
      <c r="P58" s="1776">
        <f t="shared" si="41"/>
        <v>70606.666666666672</v>
      </c>
      <c r="Q58" s="1777">
        <f t="shared" si="41"/>
        <v>68056.666666666672</v>
      </c>
      <c r="R58" s="1777">
        <f>SUM(R57:R57)</f>
        <v>805216.43144278601</v>
      </c>
    </row>
    <row r="59" spans="1:21" ht="21.75" customHeight="1">
      <c r="F59" s="1534"/>
      <c r="H59" s="1534"/>
      <c r="R59" s="5" t="b">
        <f>SUM(F58:Q58)=R58</f>
        <v>1</v>
      </c>
      <c r="U59" s="2467"/>
    </row>
    <row r="60" spans="1:21" ht="21.75" customHeight="1" thickBot="1">
      <c r="A60" s="2382" t="s">
        <v>334</v>
      </c>
      <c r="F60" s="1534"/>
      <c r="H60" s="2240"/>
      <c r="I60" s="2240">
        <v>0.08</v>
      </c>
      <c r="J60" s="2240"/>
      <c r="L60" s="2436">
        <v>0.03</v>
      </c>
      <c r="O60" s="2436">
        <v>0.03</v>
      </c>
      <c r="S60" s="2461" cm="1">
        <f t="array" ref="S60">PRODUCT(1+F60:Q60)-1</f>
        <v>0.14577200000000001</v>
      </c>
    </row>
    <row r="61" spans="1:21" ht="21.75" customHeight="1" thickBot="1">
      <c r="A61" s="2455"/>
      <c r="B61" s="2457"/>
      <c r="C61" s="2457"/>
      <c r="D61" s="33"/>
      <c r="E61" s="2456"/>
      <c r="F61" s="4503">
        <f t="shared" ref="F61:G61" si="42">F5*0.04</f>
        <v>145985.16714405321</v>
      </c>
      <c r="G61" s="5026">
        <f t="shared" si="42"/>
        <v>125736.28632943165</v>
      </c>
      <c r="H61" s="5522" cm="1">
        <f t="array" ref="H61">H5*0.04*PRODUCT(1+$F$60:H60)</f>
        <v>163884.45522991181</v>
      </c>
      <c r="I61" s="4503" cm="1">
        <f t="array" ref="I61">I5*0.04*PRODUCT(1+$F$60:I60)</f>
        <v>142357.77410583</v>
      </c>
      <c r="J61" s="5026" cm="1">
        <f t="array" ref="J61">J5*0.04*PRODUCT(1+$F$60:J60)</f>
        <v>159910.71584365156</v>
      </c>
      <c r="K61" s="1676" cm="1">
        <f t="array" ref="K61">K5*0.04*PRODUCT(1+$F$60:K60)</f>
        <v>162830.21358977046</v>
      </c>
      <c r="L61" s="2458" cm="1">
        <f t="array" ref="L61">L5*0.04*PRODUCT(1+$F$60:L60)</f>
        <v>180849.77532391713</v>
      </c>
      <c r="M61" s="2459" cm="1">
        <f t="array" ref="M61">M5*0.04*PRODUCT(1+$F$60:M60)</f>
        <v>168103.65091728559</v>
      </c>
      <c r="N61" s="2460" cm="1">
        <f t="array" ref="N61">N5*0.04*PRODUCT(1+$F$60:N60)</f>
        <v>147736.51976089049</v>
      </c>
      <c r="O61" s="2458" cm="1">
        <f t="array" ref="O61">O5*0.04*PRODUCT(1+$F$60:O60)</f>
        <v>146667.20985060185</v>
      </c>
      <c r="P61" s="2459" cm="1">
        <f t="array" ref="P61">P5*0.04*PRODUCT(1+$F$60:P60)</f>
        <v>144669.27383388969</v>
      </c>
      <c r="Q61" s="2460" cm="1">
        <f t="array" ref="Q61">Q5*0.04*PRODUCT(1+$F$60:Q60)</f>
        <v>144987.75981209052</v>
      </c>
      <c r="R61" s="1606">
        <f>SUM(F61:Q61)</f>
        <v>1833718.8017413239</v>
      </c>
    </row>
    <row r="62" spans="1:21" ht="21.75" customHeight="1">
      <c r="F62" s="3272"/>
      <c r="G62" s="3272"/>
      <c r="H62" s="5851"/>
      <c r="I62" s="5851"/>
      <c r="J62" s="3272"/>
      <c r="K62" s="2461"/>
      <c r="L62" s="2461"/>
      <c r="M62" s="2461"/>
      <c r="N62" s="2461"/>
      <c r="O62" s="2461"/>
      <c r="P62" s="2065"/>
      <c r="Q62" s="2461"/>
    </row>
    <row r="63" spans="1:21" ht="21.75" customHeight="1" thickBot="1">
      <c r="A63" s="2382" t="s">
        <v>1554</v>
      </c>
      <c r="F63" s="3272"/>
      <c r="G63" s="3272"/>
      <c r="H63" s="5851"/>
      <c r="I63" s="3272"/>
      <c r="J63" s="3272"/>
      <c r="K63" s="2461"/>
      <c r="L63" s="2461"/>
      <c r="M63" s="2461"/>
      <c r="N63" s="2461"/>
      <c r="O63" s="2461"/>
      <c r="P63" s="2065"/>
      <c r="Q63" s="2461"/>
    </row>
    <row r="64" spans="1:21" ht="21.75" customHeight="1" thickBot="1">
      <c r="A64" s="81" t="s">
        <v>108</v>
      </c>
      <c r="B64" s="2385" t="s">
        <v>107</v>
      </c>
      <c r="C64" s="2385" t="s">
        <v>1378</v>
      </c>
      <c r="D64" s="20" t="s">
        <v>240</v>
      </c>
      <c r="E64" s="2386" t="s">
        <v>124</v>
      </c>
      <c r="F64" s="4490" t="str">
        <f t="shared" ref="F64:R64" si="43">F56</f>
        <v>Jan.26</v>
      </c>
      <c r="G64" s="5005" t="str">
        <f t="shared" si="43"/>
        <v>Feb.26</v>
      </c>
      <c r="H64" s="5494" t="str">
        <f t="shared" si="43"/>
        <v>Mar.26</v>
      </c>
      <c r="I64" s="4490" t="str">
        <f t="shared" si="43"/>
        <v>Apr.26</v>
      </c>
      <c r="J64" s="5005" t="str">
        <f t="shared" si="43"/>
        <v>May.26</v>
      </c>
      <c r="K64" s="1540" t="str">
        <f t="shared" si="43"/>
        <v>Jun.26</v>
      </c>
      <c r="L64" s="1539" t="str">
        <f t="shared" si="43"/>
        <v>Jul.26</v>
      </c>
      <c r="M64" s="74" t="str">
        <f t="shared" si="43"/>
        <v>Aug.26</v>
      </c>
      <c r="N64" s="1540" t="str">
        <f t="shared" si="43"/>
        <v>Sep.26</v>
      </c>
      <c r="O64" s="1539" t="str">
        <f t="shared" si="43"/>
        <v>Oct.26</v>
      </c>
      <c r="P64" s="74" t="str">
        <f t="shared" si="43"/>
        <v>Nov.26</v>
      </c>
      <c r="Q64" s="1540" t="str">
        <f t="shared" si="43"/>
        <v>Dec.26</v>
      </c>
      <c r="R64" s="2388" t="str">
        <f t="shared" si="43"/>
        <v>2026
Total</v>
      </c>
    </row>
    <row r="65" spans="1:18" ht="21.75" customHeight="1">
      <c r="A65" s="7095" t="s">
        <v>1555</v>
      </c>
      <c r="B65" s="4100" t="s">
        <v>1415</v>
      </c>
      <c r="C65" s="4101" t="s">
        <v>1565</v>
      </c>
      <c r="D65" s="4920">
        <v>0.05</v>
      </c>
      <c r="E65" s="3303">
        <v>93</v>
      </c>
      <c r="F65" s="4902">
        <f>$E$65*'2. S Plan'!L95</f>
        <v>0</v>
      </c>
      <c r="G65" s="5260">
        <f>$E$65*'2. S Plan'!M95</f>
        <v>675.96819457436845</v>
      </c>
      <c r="H65" s="5595">
        <v>11121.025257249765</v>
      </c>
      <c r="I65" s="6293"/>
      <c r="J65" s="5260"/>
      <c r="K65" s="4904">
        <f>$E$65*'2. S Plan'!Q95</f>
        <v>0</v>
      </c>
      <c r="L65" s="4905">
        <f>$E$65*'2. S Plan'!R95</f>
        <v>0</v>
      </c>
      <c r="M65" s="4903">
        <f>$E$65*'2. S Plan'!S95</f>
        <v>7177.268475210476</v>
      </c>
      <c r="N65" s="4904">
        <f>$E$65*'2. S Plan'!T95</f>
        <v>10765.902712815716</v>
      </c>
      <c r="O65" s="4905">
        <f>$E$65*'2. S Plan'!U95</f>
        <v>7177.268475210476</v>
      </c>
      <c r="P65" s="4903">
        <f>$E$65*'2. S Plan'!V95</f>
        <v>7177.268475210476</v>
      </c>
      <c r="Q65" s="4904">
        <f>$E$65*'2. S Plan'!W95</f>
        <v>7177.268475210476</v>
      </c>
      <c r="R65" s="2452">
        <f>SUM(F65:Q65)</f>
        <v>51271.970065481757</v>
      </c>
    </row>
    <row r="66" spans="1:18" ht="21.75" customHeight="1">
      <c r="A66" s="7097"/>
      <c r="B66" s="4922" t="s">
        <v>1415</v>
      </c>
      <c r="C66" s="4923" t="s">
        <v>1426</v>
      </c>
      <c r="D66" s="4909">
        <v>0.05</v>
      </c>
      <c r="E66" s="1624">
        <v>90</v>
      </c>
      <c r="F66" s="4930">
        <f>E66*'2. S Plan'!L95</f>
        <v>0</v>
      </c>
      <c r="G66" s="5261">
        <f>$E$66*'2. S Plan'!M95</f>
        <v>654.1627689429373</v>
      </c>
      <c r="H66" s="5596">
        <v>11121.025257249765</v>
      </c>
      <c r="I66" s="6294"/>
      <c r="J66" s="5261"/>
      <c r="K66" s="4932">
        <f>$E$65*'2. S Plan'!Q95</f>
        <v>0</v>
      </c>
      <c r="L66" s="4933">
        <f>$E$65*'2. S Plan'!R95</f>
        <v>0</v>
      </c>
      <c r="M66" s="4931">
        <f>$E$65*'2. S Plan'!S95</f>
        <v>7177.268475210476</v>
      </c>
      <c r="N66" s="4932">
        <f>$E$65*'2. S Plan'!T95</f>
        <v>10765.902712815716</v>
      </c>
      <c r="O66" s="4933">
        <f>$E$65*'2. S Plan'!U95</f>
        <v>7177.268475210476</v>
      </c>
      <c r="P66" s="4931">
        <f>$E$65*'2. S Plan'!V95</f>
        <v>7177.268475210476</v>
      </c>
      <c r="Q66" s="4932">
        <f>$E$65*'2. S Plan'!W95</f>
        <v>7177.268475210476</v>
      </c>
      <c r="R66" s="16">
        <f t="shared" ref="R66:R70" si="44">SUM(F66:Q66)</f>
        <v>51250.164639850322</v>
      </c>
    </row>
    <row r="67" spans="1:18" ht="21.75" customHeight="1">
      <c r="A67" s="7097"/>
      <c r="B67" s="4922" t="s">
        <v>1425</v>
      </c>
      <c r="C67" s="4923" t="s">
        <v>1565</v>
      </c>
      <c r="D67" s="4909">
        <v>0.05</v>
      </c>
      <c r="E67" s="1624">
        <v>13.1</v>
      </c>
      <c r="F67" s="4930"/>
      <c r="G67" s="5261">
        <f>$E$67*'2. S Plan'!M95</f>
        <v>95.217025257249759</v>
      </c>
      <c r="H67" s="5596">
        <v>1566.5100093545368</v>
      </c>
      <c r="I67" s="6294"/>
      <c r="J67" s="5261"/>
      <c r="K67" s="4932"/>
      <c r="L67" s="4933"/>
      <c r="M67" s="4931"/>
      <c r="N67" s="4932"/>
      <c r="O67" s="4933"/>
      <c r="P67" s="4931"/>
      <c r="Q67" s="4932"/>
      <c r="R67" s="16">
        <f t="shared" si="44"/>
        <v>1661.7270346117866</v>
      </c>
    </row>
    <row r="68" spans="1:18" ht="21.75" customHeight="1" thickBot="1">
      <c r="A68" s="7096"/>
      <c r="B68" s="4908" t="s">
        <v>1425</v>
      </c>
      <c r="C68" s="4921" t="s">
        <v>1426</v>
      </c>
      <c r="D68" s="4906">
        <v>0.05</v>
      </c>
      <c r="E68" s="4907">
        <v>13.1</v>
      </c>
      <c r="F68" s="4934"/>
      <c r="G68" s="5262">
        <f>$E$68*'2. S Plan'!M95</f>
        <v>95.217025257249759</v>
      </c>
      <c r="H68" s="5597">
        <v>1566.5100093545368</v>
      </c>
      <c r="I68" s="6295"/>
      <c r="J68" s="5262"/>
      <c r="K68" s="4936"/>
      <c r="L68" s="4937"/>
      <c r="M68" s="4935"/>
      <c r="N68" s="4936"/>
      <c r="O68" s="4937"/>
      <c r="P68" s="4935"/>
      <c r="Q68" s="4936"/>
      <c r="R68" s="4938">
        <f t="shared" si="44"/>
        <v>1661.7270346117866</v>
      </c>
    </row>
    <row r="69" spans="1:18" ht="21.75" customHeight="1">
      <c r="A69" s="7095" t="s">
        <v>1424</v>
      </c>
      <c r="B69" s="4100" t="s">
        <v>1566</v>
      </c>
      <c r="C69" s="2302"/>
      <c r="D69" s="4924">
        <v>0</v>
      </c>
      <c r="E69" s="1552">
        <f>12495/26000</f>
        <v>0.48057692307692307</v>
      </c>
      <c r="F69" s="4632"/>
      <c r="G69" s="5263">
        <f>'2. S Plan'!M200</f>
        <v>1653</v>
      </c>
      <c r="H69" s="5598">
        <f>'2. S Plan'!N200</f>
        <v>14387</v>
      </c>
      <c r="I69" s="6296"/>
      <c r="J69" s="5263"/>
      <c r="K69" s="4939"/>
      <c r="L69" s="3878"/>
      <c r="M69" s="3876"/>
      <c r="N69" s="3877"/>
      <c r="O69" s="3878"/>
      <c r="P69" s="3876"/>
      <c r="Q69" s="3877"/>
      <c r="R69" s="2442">
        <f t="shared" si="44"/>
        <v>16040</v>
      </c>
    </row>
    <row r="70" spans="1:18" ht="21.75" customHeight="1" thickBot="1">
      <c r="A70" s="7096"/>
      <c r="B70" s="4925" t="s">
        <v>1567</v>
      </c>
      <c r="C70" s="4926"/>
      <c r="D70" s="4910">
        <v>0</v>
      </c>
      <c r="E70" s="2434">
        <f>12495/26000</f>
        <v>0.48057692307692307</v>
      </c>
      <c r="F70" s="4927"/>
      <c r="G70" s="5264">
        <f>'2. S Plan'!M200</f>
        <v>1653</v>
      </c>
      <c r="H70" s="5599">
        <f>'2. S Plan'!N200</f>
        <v>14387</v>
      </c>
      <c r="I70" s="6297"/>
      <c r="J70" s="5264"/>
      <c r="K70" s="3881"/>
      <c r="L70" s="4929"/>
      <c r="M70" s="3880"/>
      <c r="N70" s="4928"/>
      <c r="O70" s="4929"/>
      <c r="P70" s="3880"/>
      <c r="Q70" s="4928"/>
      <c r="R70" s="4911">
        <f t="shared" si="44"/>
        <v>16040</v>
      </c>
    </row>
    <row r="71" spans="1:18" ht="21.75" customHeight="1" thickBot="1">
      <c r="A71" s="7092" t="s">
        <v>122</v>
      </c>
      <c r="B71" s="7093"/>
      <c r="C71" s="7094"/>
      <c r="D71" s="4098"/>
      <c r="E71" s="4099"/>
      <c r="F71" s="4633">
        <f t="shared" ref="F71:Q71" si="45">SUM(F65:F65)</f>
        <v>0</v>
      </c>
      <c r="G71" s="5265">
        <f t="shared" si="45"/>
        <v>675.96819457436845</v>
      </c>
      <c r="H71" s="5600">
        <f>SUM(H65:H70)</f>
        <v>54149.070533208607</v>
      </c>
      <c r="I71" s="6298">
        <f t="shared" si="45"/>
        <v>0</v>
      </c>
      <c r="J71" s="5265">
        <f t="shared" si="45"/>
        <v>0</v>
      </c>
      <c r="K71" s="3606">
        <f t="shared" si="45"/>
        <v>0</v>
      </c>
      <c r="L71" s="3607">
        <f t="shared" si="45"/>
        <v>0</v>
      </c>
      <c r="M71" s="3608">
        <f t="shared" si="45"/>
        <v>7177.268475210476</v>
      </c>
      <c r="N71" s="3609">
        <f t="shared" si="45"/>
        <v>10765.902712815716</v>
      </c>
      <c r="O71" s="3607">
        <f t="shared" si="45"/>
        <v>7177.268475210476</v>
      </c>
      <c r="P71" s="3608">
        <f t="shared" si="45"/>
        <v>7177.268475210476</v>
      </c>
      <c r="Q71" s="3609">
        <f t="shared" si="45"/>
        <v>7177.268475210476</v>
      </c>
      <c r="R71" s="2394">
        <f>SUM(F71:Q71)</f>
        <v>94300.015341440565</v>
      </c>
    </row>
    <row r="72" spans="1:18" s="1618" customFormat="1" ht="21.75" customHeight="1" thickBot="1">
      <c r="A72" s="3522"/>
      <c r="B72" s="2169"/>
      <c r="C72" s="2169"/>
      <c r="D72" s="2169"/>
      <c r="E72" s="2169"/>
      <c r="F72" s="4634"/>
      <c r="G72" s="4634"/>
      <c r="H72" s="4634"/>
      <c r="I72" s="4634"/>
      <c r="J72" s="4634"/>
      <c r="K72" s="3523"/>
      <c r="L72" s="3524"/>
      <c r="M72" s="3524"/>
      <c r="N72" s="3524"/>
      <c r="O72" s="3524"/>
      <c r="P72" s="3524"/>
      <c r="Q72" s="3524"/>
      <c r="R72" s="2172"/>
    </row>
    <row r="73" spans="1:18" ht="21.75" customHeight="1" thickBot="1">
      <c r="A73" s="7081" t="s">
        <v>137</v>
      </c>
      <c r="B73" s="7082"/>
      <c r="C73" s="7082"/>
      <c r="D73" s="7082"/>
      <c r="E73" s="7083"/>
      <c r="F73" s="4630">
        <v>1168999.0510574721</v>
      </c>
      <c r="G73" s="5012">
        <f>G61+G45+G58+G71-142654</f>
        <v>739585.6017093308</v>
      </c>
      <c r="H73" s="5505">
        <f>H61+H45+H58+H71+126251</f>
        <v>1179210.1407167516</v>
      </c>
      <c r="I73" s="5012">
        <f>I61+I45+I58+I71-89756+34373</f>
        <v>891803.73446872272</v>
      </c>
      <c r="J73" s="5012">
        <f t="shared" ref="J73:R73" si="46">J61+J45+J58+J71</f>
        <v>984102.07483862201</v>
      </c>
      <c r="K73" s="1607">
        <f t="shared" si="46"/>
        <v>1101735.8517919248</v>
      </c>
      <c r="L73" s="1824">
        <f t="shared" si="46"/>
        <v>1135989.7081902819</v>
      </c>
      <c r="M73" s="1776">
        <f t="shared" si="46"/>
        <v>986891.82078068471</v>
      </c>
      <c r="N73" s="1777">
        <f t="shared" si="46"/>
        <v>819152.80527212238</v>
      </c>
      <c r="O73" s="1824">
        <f t="shared" si="46"/>
        <v>744275.21555367147</v>
      </c>
      <c r="P73" s="1776">
        <f t="shared" si="46"/>
        <v>782273.44969274628</v>
      </c>
      <c r="Q73" s="1777">
        <f t="shared" si="46"/>
        <v>775227.41351521073</v>
      </c>
      <c r="R73" s="1606">
        <f t="shared" si="46"/>
        <v>11093964.563163886</v>
      </c>
    </row>
    <row r="74" spans="1:18" ht="18.75" customHeight="1">
      <c r="E74" s="2462"/>
      <c r="K74" s="1699">
        <v>642532.44273919996</v>
      </c>
      <c r="P74" s="1533"/>
      <c r="Q74" s="1533"/>
      <c r="R74" s="1535"/>
    </row>
    <row r="75" spans="1:18" ht="18.75" customHeight="1">
      <c r="E75" s="2462"/>
      <c r="F75" s="4544"/>
      <c r="K75" s="1699"/>
      <c r="P75" s="1533"/>
      <c r="Q75" s="6123"/>
      <c r="R75" s="6124"/>
    </row>
    <row r="76" spans="1:18" ht="16.5" customHeight="1">
      <c r="E76" s="2462"/>
      <c r="K76" s="1699">
        <f>+K73-K74</f>
        <v>459203.40905272483</v>
      </c>
      <c r="P76" s="7084" t="s">
        <v>1077</v>
      </c>
      <c r="Q76" s="3779" t="s">
        <v>1319</v>
      </c>
      <c r="R76" s="3780">
        <f>R73</f>
        <v>11093964.563163886</v>
      </c>
    </row>
    <row r="77" spans="1:18" ht="17.399999999999999">
      <c r="K77" s="1699"/>
      <c r="P77" s="7085"/>
      <c r="Q77" s="3488" t="s">
        <v>1074</v>
      </c>
      <c r="R77" s="3489">
        <v>11578546.388536405</v>
      </c>
    </row>
    <row r="78" spans="1:18" ht="15.75" customHeight="1">
      <c r="B78" s="5"/>
      <c r="K78" s="1699"/>
      <c r="P78" s="3490" t="s">
        <v>1072</v>
      </c>
      <c r="Q78" s="3488" t="s">
        <v>1076</v>
      </c>
      <c r="R78" s="3491">
        <f>(R76-R77)/R76</f>
        <v>-4.3679770438560077E-2</v>
      </c>
    </row>
    <row r="79" spans="1:18" ht="15.75" customHeight="1">
      <c r="R79" s="2463"/>
    </row>
    <row r="80" spans="1:18" ht="15" customHeight="1">
      <c r="R80" s="1839"/>
    </row>
    <row r="81" spans="10:18" ht="15" customHeight="1">
      <c r="R81" s="1613"/>
    </row>
    <row r="82" spans="10:18" ht="15" customHeight="1">
      <c r="Q82" s="2464"/>
      <c r="R82" s="1613"/>
    </row>
    <row r="83" spans="10:18" ht="15" customHeight="1">
      <c r="R83" s="1613"/>
    </row>
    <row r="84" spans="10:18" ht="15" customHeight="1">
      <c r="R84" s="1924"/>
    </row>
    <row r="85" spans="10:18" ht="15" customHeight="1">
      <c r="R85" s="2466"/>
    </row>
    <row r="86" spans="10:18" ht="15" customHeight="1">
      <c r="Q86" s="2464"/>
      <c r="R86" s="2062"/>
    </row>
    <row r="87" spans="10:18" ht="15" customHeight="1">
      <c r="J87" s="2649"/>
      <c r="R87" s="2062"/>
    </row>
    <row r="88" spans="10:18" ht="15" customHeight="1">
      <c r="R88" s="2062"/>
    </row>
    <row r="89" spans="10:18" ht="15" customHeight="1">
      <c r="R89" s="2466"/>
    </row>
    <row r="90" spans="10:18" ht="15" customHeight="1">
      <c r="R90" s="2467"/>
    </row>
    <row r="91" spans="10:18" ht="15" customHeight="1">
      <c r="R91" s="2464"/>
    </row>
  </sheetData>
  <mergeCells count="30">
    <mergeCell ref="P76:P77"/>
    <mergeCell ref="A19:E19"/>
    <mergeCell ref="B58:C58"/>
    <mergeCell ref="A73:E73"/>
    <mergeCell ref="A50:A52"/>
    <mergeCell ref="A53:C53"/>
    <mergeCell ref="A71:C71"/>
    <mergeCell ref="A69:A70"/>
    <mergeCell ref="A65:A68"/>
    <mergeCell ref="A8:E8"/>
    <mergeCell ref="A9:E9"/>
    <mergeCell ref="A10:E10"/>
    <mergeCell ref="A11:E11"/>
    <mergeCell ref="A12:E12"/>
    <mergeCell ref="A4:E4"/>
    <mergeCell ref="A5:E5"/>
    <mergeCell ref="B45:C45"/>
    <mergeCell ref="A23:A31"/>
    <mergeCell ref="B23:B24"/>
    <mergeCell ref="B26:B28"/>
    <mergeCell ref="B29:B31"/>
    <mergeCell ref="B32:C32"/>
    <mergeCell ref="A36:A44"/>
    <mergeCell ref="B36:B37"/>
    <mergeCell ref="B39:B41"/>
    <mergeCell ref="B42:B44"/>
    <mergeCell ref="A15:E15"/>
    <mergeCell ref="A16:E16"/>
    <mergeCell ref="A17:E17"/>
    <mergeCell ref="A18:E18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W65"/>
  <sheetViews>
    <sheetView showGridLines="0" zoomScale="70" zoomScaleNormal="70" workbookViewId="0">
      <selection activeCell="E32" sqref="E32"/>
    </sheetView>
  </sheetViews>
  <sheetFormatPr defaultColWidth="9" defaultRowHeight="15" customHeight="1"/>
  <cols>
    <col min="1" max="1" width="18.09765625" style="1511" customWidth="1"/>
    <col min="2" max="2" width="18.09765625" style="3048" customWidth="1"/>
    <col min="3" max="3" width="32.09765625" style="2851" bestFit="1" customWidth="1"/>
    <col min="4" max="4" width="12.69921875" style="2851" customWidth="1"/>
    <col min="5" max="5" width="15.69921875" style="2851" bestFit="1" customWidth="1"/>
    <col min="6" max="7" width="14.3984375" style="2307" customWidth="1"/>
    <col min="8" max="18" width="14.3984375" style="2186" customWidth="1"/>
    <col min="19" max="19" width="15.3984375" style="1511" customWidth="1"/>
    <col min="20" max="20" width="19.09765625" style="2855" customWidth="1"/>
    <col min="21" max="21" width="9" style="2856" customWidth="1"/>
    <col min="22" max="22" width="11.8984375" style="2856" customWidth="1"/>
    <col min="23" max="23" width="9" style="2856"/>
    <col min="24" max="16384" width="9" style="1511"/>
  </cols>
  <sheetData>
    <row r="1" spans="1:23" s="2837" customFormat="1" ht="20.25" customHeight="1">
      <c r="A1" s="2361" t="s">
        <v>1080</v>
      </c>
      <c r="B1" s="2838"/>
      <c r="C1" s="2839"/>
      <c r="D1" s="2839"/>
      <c r="E1" s="2839"/>
      <c r="F1" s="2840"/>
      <c r="G1" s="2840"/>
      <c r="H1" s="2841"/>
      <c r="I1" s="2841"/>
      <c r="J1" s="2841"/>
      <c r="K1" s="2841"/>
      <c r="L1" s="2841"/>
      <c r="M1" s="2841"/>
      <c r="N1" s="2841"/>
      <c r="O1" s="2841"/>
      <c r="P1" s="2841"/>
      <c r="Q1" s="2841"/>
      <c r="R1" s="2841"/>
      <c r="T1" s="2842"/>
      <c r="U1" s="2843"/>
      <c r="V1" s="2843"/>
      <c r="W1" s="2843"/>
    </row>
    <row r="2" spans="1:23" s="2248" customFormat="1" ht="17.25" customHeight="1">
      <c r="A2" s="1538" t="s">
        <v>1081</v>
      </c>
      <c r="B2" s="2844"/>
      <c r="C2" s="2845"/>
      <c r="D2" s="2845"/>
      <c r="E2" s="2846"/>
      <c r="F2" s="2847"/>
      <c r="G2" s="2847"/>
      <c r="H2" s="2847"/>
      <c r="I2" s="2847"/>
      <c r="J2" s="2847"/>
      <c r="K2" s="2847"/>
      <c r="L2" s="2847"/>
      <c r="M2" s="2847"/>
      <c r="N2" s="2847"/>
      <c r="O2" s="2847"/>
      <c r="P2" s="2847"/>
      <c r="Q2" s="2847"/>
      <c r="R2" s="2847"/>
      <c r="T2" s="2819"/>
      <c r="U2" s="2848"/>
      <c r="V2" s="2848"/>
      <c r="W2" s="2848"/>
    </row>
    <row r="3" spans="1:23" s="2248" customFormat="1" ht="17.25" customHeight="1">
      <c r="A3" s="1538" t="s">
        <v>1082</v>
      </c>
      <c r="B3" s="2844"/>
      <c r="C3" s="2845"/>
      <c r="D3" s="2845"/>
      <c r="E3" s="2846"/>
      <c r="F3" s="2847"/>
      <c r="G3" s="2847"/>
      <c r="H3" s="2847"/>
      <c r="I3" s="2847"/>
      <c r="J3" s="2847"/>
      <c r="K3" s="2847"/>
      <c r="L3" s="2847"/>
      <c r="M3" s="2847"/>
      <c r="N3" s="2847"/>
      <c r="O3" s="2847"/>
      <c r="P3" s="2847"/>
      <c r="Q3" s="2847"/>
      <c r="R3" s="2847"/>
      <c r="S3" s="2849"/>
      <c r="T3" s="2819"/>
      <c r="U3" s="2848"/>
      <c r="V3" s="2848"/>
      <c r="W3" s="2848"/>
    </row>
    <row r="4" spans="1:23" s="2248" customFormat="1" ht="17.25" customHeight="1">
      <c r="A4" s="1538" t="s">
        <v>1083</v>
      </c>
      <c r="B4" s="2844"/>
      <c r="C4" s="2845"/>
      <c r="D4" s="2845"/>
      <c r="E4" s="2846"/>
      <c r="F4" s="2847"/>
      <c r="G4" s="2847"/>
      <c r="H4" s="2847"/>
      <c r="I4" s="2847"/>
      <c r="J4" s="2847"/>
      <c r="K4" s="2847"/>
      <c r="L4" s="2847"/>
      <c r="M4" s="2847"/>
      <c r="N4" s="2847"/>
      <c r="O4" s="2847"/>
      <c r="P4" s="2847"/>
      <c r="Q4" s="2847"/>
      <c r="R4" s="2847"/>
      <c r="S4" s="2849"/>
      <c r="T4" s="2819"/>
      <c r="U4" s="2848"/>
      <c r="V4" s="2848"/>
      <c r="W4" s="2848"/>
    </row>
    <row r="5" spans="1:23" s="2248" customFormat="1" ht="17.25" customHeight="1">
      <c r="A5" s="2248" t="s">
        <v>1084</v>
      </c>
      <c r="B5" s="2844"/>
      <c r="C5" s="2845"/>
      <c r="D5" s="2845"/>
      <c r="E5" s="2846"/>
      <c r="F5" s="2847"/>
      <c r="G5" s="2847"/>
      <c r="H5" s="2847"/>
      <c r="I5" s="2847"/>
      <c r="J5" s="2847"/>
      <c r="K5" s="2847"/>
      <c r="L5" s="2847"/>
      <c r="M5" s="2847"/>
      <c r="N5" s="2847"/>
      <c r="O5" s="2847"/>
      <c r="P5" s="2847"/>
      <c r="Q5" s="2847"/>
      <c r="R5" s="2847"/>
      <c r="S5" s="2849"/>
      <c r="T5" s="2819"/>
      <c r="U5" s="2848"/>
      <c r="V5" s="2848"/>
      <c r="W5" s="2848"/>
    </row>
    <row r="6" spans="1:23" ht="17.25" customHeight="1">
      <c r="A6" s="2248" t="s">
        <v>1085</v>
      </c>
      <c r="B6" s="2850"/>
      <c r="E6" s="2852"/>
      <c r="F6" s="2853"/>
      <c r="G6" s="2853"/>
      <c r="H6" s="2853"/>
      <c r="I6" s="2853"/>
      <c r="J6" s="2853"/>
      <c r="K6" s="2853"/>
      <c r="L6" s="2853"/>
      <c r="M6" s="2853"/>
      <c r="N6" s="2853"/>
      <c r="O6" s="2853"/>
      <c r="P6" s="2853"/>
      <c r="Q6" s="2853"/>
      <c r="R6" s="2853"/>
      <c r="S6" s="2854"/>
    </row>
    <row r="7" spans="1:23" ht="17.25" customHeight="1">
      <c r="A7" s="2857"/>
      <c r="B7" s="2850"/>
      <c r="E7" s="2852"/>
      <c r="F7" s="2853"/>
      <c r="G7" s="2853"/>
      <c r="H7" s="2853"/>
      <c r="I7" s="2853"/>
      <c r="J7" s="2853"/>
      <c r="K7" s="2853"/>
      <c r="L7" s="2853"/>
      <c r="M7" s="2853"/>
      <c r="N7" s="2853"/>
      <c r="O7" s="2853"/>
      <c r="P7" s="2853"/>
      <c r="Q7" s="2853"/>
      <c r="R7" s="2853"/>
      <c r="S7" s="2854"/>
    </row>
    <row r="8" spans="1:23" ht="17.25" customHeight="1">
      <c r="A8" s="2382" t="s">
        <v>430</v>
      </c>
      <c r="B8" s="2850"/>
      <c r="E8" s="2852"/>
      <c r="F8" s="2853"/>
      <c r="G8" s="2853"/>
      <c r="H8" s="2853"/>
      <c r="I8" s="2853"/>
      <c r="J8" s="2853"/>
      <c r="K8" s="2853"/>
      <c r="L8" s="2853"/>
      <c r="M8" s="2853"/>
      <c r="N8" s="2853"/>
      <c r="O8" s="2853"/>
      <c r="P8" s="2853"/>
      <c r="Q8" s="2853"/>
      <c r="R8" s="2853"/>
      <c r="S8" s="2854"/>
    </row>
    <row r="9" spans="1:23" ht="17.25" customHeight="1" thickBot="1">
      <c r="A9" s="2382" t="s">
        <v>1086</v>
      </c>
      <c r="B9" s="2850"/>
      <c r="E9" s="2852"/>
      <c r="F9" s="2853"/>
      <c r="G9" s="2853"/>
      <c r="H9" s="2853"/>
      <c r="I9" s="2853"/>
      <c r="J9" s="2853"/>
      <c r="K9" s="2853"/>
      <c r="L9" s="2853"/>
      <c r="M9" s="2853"/>
      <c r="N9" s="2853"/>
      <c r="O9" s="2853"/>
      <c r="P9" s="2853"/>
      <c r="Q9" s="2853"/>
      <c r="R9" s="2853"/>
      <c r="S9" s="2854" t="s">
        <v>113</v>
      </c>
    </row>
    <row r="10" spans="1:23" ht="17.25" customHeight="1" thickBot="1">
      <c r="A10" s="39" t="s">
        <v>126</v>
      </c>
      <c r="B10" s="2858" t="s">
        <v>107</v>
      </c>
      <c r="C10" s="30" t="s">
        <v>127</v>
      </c>
      <c r="D10" s="2859" t="s">
        <v>1043</v>
      </c>
      <c r="E10" s="2860" t="s">
        <v>28</v>
      </c>
      <c r="F10" s="2861" t="s">
        <v>425</v>
      </c>
      <c r="G10" s="2862" t="s">
        <v>545</v>
      </c>
      <c r="H10" s="2863" t="s">
        <v>546</v>
      </c>
      <c r="I10" s="2861" t="s">
        <v>426</v>
      </c>
      <c r="J10" s="2864" t="s">
        <v>547</v>
      </c>
      <c r="K10" s="2863" t="s">
        <v>548</v>
      </c>
      <c r="L10" s="39" t="s">
        <v>549</v>
      </c>
      <c r="M10" s="2864" t="s">
        <v>550</v>
      </c>
      <c r="N10" s="2863" t="s">
        <v>551</v>
      </c>
      <c r="O10" s="2861" t="s">
        <v>552</v>
      </c>
      <c r="P10" s="2864" t="s">
        <v>553</v>
      </c>
      <c r="Q10" s="2863" t="s">
        <v>554</v>
      </c>
      <c r="R10" s="2865" t="s">
        <v>14</v>
      </c>
      <c r="S10" s="2866" t="s">
        <v>112</v>
      </c>
    </row>
    <row r="11" spans="1:23" ht="17.25" customHeight="1" thickBot="1">
      <c r="A11" s="2867" t="s">
        <v>205</v>
      </c>
      <c r="B11" s="2868" t="s">
        <v>97</v>
      </c>
      <c r="C11" s="2869" t="s">
        <v>1087</v>
      </c>
      <c r="D11" s="2870">
        <v>0.05</v>
      </c>
      <c r="E11" s="2871">
        <v>2.88</v>
      </c>
      <c r="F11" s="2872" t="e">
        <f>'5. M Plan'!#REF!</f>
        <v>#REF!</v>
      </c>
      <c r="G11" s="2873" t="e">
        <f>'5. M Plan'!#REF!</f>
        <v>#REF!</v>
      </c>
      <c r="H11" s="2874" t="e">
        <f>'5. M Plan'!#REF!</f>
        <v>#REF!</v>
      </c>
      <c r="I11" s="2875" t="e">
        <f>'5. M Plan'!#REF!</f>
        <v>#REF!</v>
      </c>
      <c r="J11" s="2873" t="e">
        <f>'5. M Plan'!#REF!</f>
        <v>#REF!</v>
      </c>
      <c r="K11" s="2876" t="e">
        <f>'5. M Plan'!#REF!</f>
        <v>#REF!</v>
      </c>
      <c r="L11" s="2877" t="e">
        <f>'5. M Plan'!#REF!</f>
        <v>#REF!</v>
      </c>
      <c r="M11" s="2878" t="e">
        <f>'5. M Plan'!#REF!</f>
        <v>#REF!</v>
      </c>
      <c r="N11" s="2879" t="e">
        <f>'5. M Plan'!#REF!</f>
        <v>#REF!</v>
      </c>
      <c r="O11" s="2877" t="e">
        <f>'5. M Plan'!#REF!</f>
        <v>#REF!</v>
      </c>
      <c r="P11" s="2878" t="e">
        <f>'5. M Plan'!#REF!</f>
        <v>#REF!</v>
      </c>
      <c r="Q11" s="2879" t="e">
        <f>'5. M Plan'!#REF!</f>
        <v>#REF!</v>
      </c>
      <c r="R11" s="2880" t="e">
        <f>AVERAGE(F11:Q11)</f>
        <v>#REF!</v>
      </c>
      <c r="S11" s="1666" t="e">
        <f>SUM(F11:Q11)</f>
        <v>#REF!</v>
      </c>
    </row>
    <row r="12" spans="1:23" ht="21.75" customHeight="1">
      <c r="A12" s="2881"/>
      <c r="B12" s="2882"/>
      <c r="C12" s="2883"/>
      <c r="D12" s="2883"/>
      <c r="E12" s="2884"/>
      <c r="F12" s="2885"/>
      <c r="G12" s="2885"/>
      <c r="H12" s="2885"/>
      <c r="I12" s="2885"/>
      <c r="J12" s="2885"/>
      <c r="K12" s="2885"/>
      <c r="L12" s="2885"/>
      <c r="M12" s="2885"/>
      <c r="N12" s="2885"/>
      <c r="O12" s="2885"/>
      <c r="P12" s="2885"/>
      <c r="Q12" s="2885"/>
      <c r="R12" s="2885"/>
      <c r="S12" s="2886"/>
    </row>
    <row r="13" spans="1:23" ht="17.25" customHeight="1" thickBot="1">
      <c r="A13" s="2382" t="s">
        <v>1088</v>
      </c>
      <c r="B13" s="2887"/>
      <c r="E13" s="2852"/>
      <c r="F13" s="2888"/>
      <c r="G13" s="2888"/>
      <c r="H13" s="2888"/>
      <c r="I13" s="2888"/>
      <c r="J13" s="2888"/>
      <c r="K13" s="2888"/>
      <c r="L13" s="2888"/>
      <c r="M13" s="2888"/>
      <c r="N13" s="2888"/>
      <c r="O13" s="2888"/>
      <c r="P13" s="2888"/>
      <c r="Q13" s="2888"/>
      <c r="R13" s="2888"/>
      <c r="S13" s="2854" t="s">
        <v>86</v>
      </c>
    </row>
    <row r="14" spans="1:23" s="1512" customFormat="1" ht="18.75" customHeight="1" thickBot="1">
      <c r="A14" s="39" t="s">
        <v>126</v>
      </c>
      <c r="B14" s="2858" t="s">
        <v>107</v>
      </c>
      <c r="C14" s="2889" t="s">
        <v>127</v>
      </c>
      <c r="D14" s="2890" t="s">
        <v>1043</v>
      </c>
      <c r="E14" s="2891" t="s">
        <v>28</v>
      </c>
      <c r="F14" s="2892" t="s">
        <v>425</v>
      </c>
      <c r="G14" s="2893" t="s">
        <v>545</v>
      </c>
      <c r="H14" s="2894" t="s">
        <v>546</v>
      </c>
      <c r="I14" s="2892" t="s">
        <v>426</v>
      </c>
      <c r="J14" s="2895" t="s">
        <v>547</v>
      </c>
      <c r="K14" s="2894" t="s">
        <v>548</v>
      </c>
      <c r="L14" s="2896" t="s">
        <v>549</v>
      </c>
      <c r="M14" s="2895" t="s">
        <v>550</v>
      </c>
      <c r="N14" s="2894" t="s">
        <v>551</v>
      </c>
      <c r="O14" s="2892" t="s">
        <v>552</v>
      </c>
      <c r="P14" s="2895" t="s">
        <v>553</v>
      </c>
      <c r="Q14" s="2894" t="s">
        <v>554</v>
      </c>
      <c r="R14" s="2893" t="s">
        <v>14</v>
      </c>
      <c r="S14" s="2894" t="s">
        <v>112</v>
      </c>
      <c r="T14" s="2897"/>
      <c r="U14" s="2898"/>
      <c r="V14" s="2898"/>
      <c r="W14" s="2898"/>
    </row>
    <row r="15" spans="1:23" ht="18.75" customHeight="1">
      <c r="A15" s="7417" t="s">
        <v>205</v>
      </c>
      <c r="B15" s="7419" t="s">
        <v>97</v>
      </c>
      <c r="C15" s="2899" t="s">
        <v>1089</v>
      </c>
      <c r="D15" s="2900"/>
      <c r="E15" s="2901">
        <v>2.54</v>
      </c>
      <c r="F15" s="2902">
        <v>20000</v>
      </c>
      <c r="G15" s="2903">
        <v>100000</v>
      </c>
      <c r="H15" s="2904">
        <v>150000</v>
      </c>
      <c r="I15" s="2903">
        <f t="shared" ref="I15:Q15" si="0">H15</f>
        <v>150000</v>
      </c>
      <c r="J15" s="2905">
        <f t="shared" si="0"/>
        <v>150000</v>
      </c>
      <c r="K15" s="2906">
        <f t="shared" si="0"/>
        <v>150000</v>
      </c>
      <c r="L15" s="2907">
        <f t="shared" si="0"/>
        <v>150000</v>
      </c>
      <c r="M15" s="2908">
        <f t="shared" si="0"/>
        <v>150000</v>
      </c>
      <c r="N15" s="2909">
        <f t="shared" si="0"/>
        <v>150000</v>
      </c>
      <c r="O15" s="2910">
        <f t="shared" si="0"/>
        <v>150000</v>
      </c>
      <c r="P15" s="2908">
        <f t="shared" si="0"/>
        <v>150000</v>
      </c>
      <c r="Q15" s="2909">
        <f t="shared" si="0"/>
        <v>150000</v>
      </c>
      <c r="R15" s="2911">
        <f>AVERAGE(F15:Q15)</f>
        <v>135000</v>
      </c>
      <c r="S15" s="2912">
        <f>SUM(F15:Q15)</f>
        <v>1620000</v>
      </c>
      <c r="U15" s="2913"/>
      <c r="V15" s="2914"/>
    </row>
    <row r="16" spans="1:23" ht="18.75" customHeight="1" thickBot="1">
      <c r="A16" s="7418"/>
      <c r="B16" s="7420"/>
      <c r="C16" s="2915" t="s">
        <v>1090</v>
      </c>
      <c r="D16" s="2916"/>
      <c r="E16" s="2917">
        <v>2.88</v>
      </c>
      <c r="F16" s="2918" t="e">
        <f t="shared" ref="F16:Q16" si="1">F11-F15</f>
        <v>#REF!</v>
      </c>
      <c r="G16" s="2919" t="e">
        <f t="shared" si="1"/>
        <v>#REF!</v>
      </c>
      <c r="H16" s="2920" t="e">
        <f t="shared" si="1"/>
        <v>#REF!</v>
      </c>
      <c r="I16" s="2919" t="e">
        <f t="shared" si="1"/>
        <v>#REF!</v>
      </c>
      <c r="J16" s="2921" t="e">
        <f t="shared" si="1"/>
        <v>#REF!</v>
      </c>
      <c r="K16" s="2922" t="e">
        <f t="shared" si="1"/>
        <v>#REF!</v>
      </c>
      <c r="L16" s="2923" t="e">
        <f t="shared" si="1"/>
        <v>#REF!</v>
      </c>
      <c r="M16" s="2924" t="e">
        <f t="shared" si="1"/>
        <v>#REF!</v>
      </c>
      <c r="N16" s="2925" t="e">
        <f t="shared" si="1"/>
        <v>#REF!</v>
      </c>
      <c r="O16" s="2926" t="e">
        <f t="shared" si="1"/>
        <v>#REF!</v>
      </c>
      <c r="P16" s="2924" t="e">
        <f t="shared" si="1"/>
        <v>#REF!</v>
      </c>
      <c r="Q16" s="2925" t="e">
        <f t="shared" si="1"/>
        <v>#REF!</v>
      </c>
      <c r="R16" s="2927" t="e">
        <f>AVERAGE(F16:Q16)</f>
        <v>#REF!</v>
      </c>
      <c r="S16" s="2928" t="e">
        <f>SUM(F16:Q16)</f>
        <v>#REF!</v>
      </c>
      <c r="U16" s="2913"/>
      <c r="V16" s="2914"/>
    </row>
    <row r="17" spans="1:22" ht="18.75" customHeight="1" thickBot="1">
      <c r="A17" s="2929"/>
      <c r="B17" s="7421" t="s">
        <v>15</v>
      </c>
      <c r="C17" s="7421"/>
      <c r="D17" s="31"/>
      <c r="E17" s="31"/>
      <c r="F17" s="1664" t="e">
        <f>SUM(F15:F16)</f>
        <v>#REF!</v>
      </c>
      <c r="G17" s="1665" t="e">
        <f t="shared" ref="G17:Q17" si="2">SUM(G15:G16)</f>
        <v>#REF!</v>
      </c>
      <c r="H17" s="1666" t="e">
        <f t="shared" si="2"/>
        <v>#REF!</v>
      </c>
      <c r="I17" s="2930" t="e">
        <f t="shared" si="2"/>
        <v>#REF!</v>
      </c>
      <c r="J17" s="1665" t="e">
        <f t="shared" si="2"/>
        <v>#REF!</v>
      </c>
      <c r="K17" s="2931" t="e">
        <f t="shared" si="2"/>
        <v>#REF!</v>
      </c>
      <c r="L17" s="2932" t="e">
        <f t="shared" si="2"/>
        <v>#REF!</v>
      </c>
      <c r="M17" s="2933" t="e">
        <f t="shared" si="2"/>
        <v>#REF!</v>
      </c>
      <c r="N17" s="2934" t="e">
        <f t="shared" si="2"/>
        <v>#REF!</v>
      </c>
      <c r="O17" s="2932" t="e">
        <f t="shared" si="2"/>
        <v>#REF!</v>
      </c>
      <c r="P17" s="2933" t="e">
        <f t="shared" si="2"/>
        <v>#REF!</v>
      </c>
      <c r="Q17" s="2934" t="e">
        <f t="shared" si="2"/>
        <v>#REF!</v>
      </c>
      <c r="R17" s="2935" t="e">
        <f>R11</f>
        <v>#REF!</v>
      </c>
      <c r="S17" s="2934" t="e">
        <f>S11</f>
        <v>#REF!</v>
      </c>
      <c r="T17" s="2936" t="e">
        <f>SUM(F17:Q17)=S17</f>
        <v>#REF!</v>
      </c>
    </row>
    <row r="18" spans="1:22" s="2856" customFormat="1" ht="18.75" customHeight="1">
      <c r="A18" s="1496"/>
      <c r="B18" s="2937"/>
      <c r="C18" s="2938"/>
      <c r="E18" s="2939">
        <f>E16-E15</f>
        <v>0.33999999999999986</v>
      </c>
      <c r="F18" s="2940" t="s">
        <v>1091</v>
      </c>
      <c r="G18" s="2940"/>
      <c r="H18" s="2940"/>
      <c r="I18" s="2941"/>
      <c r="J18" s="2941"/>
      <c r="K18" s="2942"/>
      <c r="L18" s="2943"/>
      <c r="M18" s="2943"/>
      <c r="N18" s="2943"/>
      <c r="O18" s="2943"/>
      <c r="P18" s="2943"/>
      <c r="Q18" s="2944"/>
      <c r="R18" s="2943"/>
      <c r="S18" s="2945" t="e">
        <f>S17=SUM(F17:Q17)</f>
        <v>#REF!</v>
      </c>
      <c r="T18" s="2855"/>
    </row>
    <row r="19" spans="1:22" s="2856" customFormat="1" ht="18.75" customHeight="1" thickBot="1">
      <c r="A19" s="2857" t="s">
        <v>1092</v>
      </c>
      <c r="B19" s="2946"/>
      <c r="C19" s="2947"/>
      <c r="E19" s="2948">
        <f>E18/E22</f>
        <v>0.11805555555555551</v>
      </c>
      <c r="F19" s="2949"/>
      <c r="G19" s="2949"/>
      <c r="H19" s="2950"/>
      <c r="I19" s="2950"/>
      <c r="J19" s="2950"/>
      <c r="K19" s="2950"/>
      <c r="L19" s="2951"/>
      <c r="M19" s="2951"/>
      <c r="N19" s="2951"/>
      <c r="O19" s="2951"/>
      <c r="P19" s="2952"/>
      <c r="Q19" s="2952" t="e">
        <f>+#REF!-Q18</f>
        <v>#REF!</v>
      </c>
      <c r="R19" s="2185"/>
      <c r="S19" s="2854" t="s">
        <v>86</v>
      </c>
      <c r="T19" s="2855"/>
    </row>
    <row r="20" spans="1:22" s="2856" customFormat="1" ht="18.75" customHeight="1" thickBot="1">
      <c r="A20" s="39" t="s">
        <v>126</v>
      </c>
      <c r="B20" s="2953" t="s">
        <v>107</v>
      </c>
      <c r="C20" s="2859" t="s">
        <v>127</v>
      </c>
      <c r="D20" s="2859" t="str">
        <f>D14</f>
        <v>Loss Yield%</v>
      </c>
      <c r="E20" s="2954" t="s">
        <v>28</v>
      </c>
      <c r="F20" s="2862" t="s">
        <v>425</v>
      </c>
      <c r="G20" s="2864" t="s">
        <v>545</v>
      </c>
      <c r="H20" s="2955" t="s">
        <v>546</v>
      </c>
      <c r="I20" s="2861" t="s">
        <v>426</v>
      </c>
      <c r="J20" s="2864" t="s">
        <v>547</v>
      </c>
      <c r="K20" s="2863" t="s">
        <v>548</v>
      </c>
      <c r="L20" s="2862" t="s">
        <v>549</v>
      </c>
      <c r="M20" s="2864" t="s">
        <v>550</v>
      </c>
      <c r="N20" s="2955" t="s">
        <v>551</v>
      </c>
      <c r="O20" s="2861" t="s">
        <v>552</v>
      </c>
      <c r="P20" s="2864" t="s">
        <v>553</v>
      </c>
      <c r="Q20" s="2863" t="s">
        <v>554</v>
      </c>
      <c r="R20" s="2862" t="s">
        <v>14</v>
      </c>
      <c r="S20" s="2863" t="s">
        <v>112</v>
      </c>
      <c r="T20" s="2855"/>
    </row>
    <row r="21" spans="1:22" ht="18.75" customHeight="1">
      <c r="A21" s="7422" t="s">
        <v>204</v>
      </c>
      <c r="B21" s="7425" t="s">
        <v>1093</v>
      </c>
      <c r="C21" s="2956" t="s">
        <v>1089</v>
      </c>
      <c r="D21" s="2957"/>
      <c r="E21" s="2958">
        <f>E15</f>
        <v>2.54</v>
      </c>
      <c r="F21" s="2959">
        <f t="shared" ref="F21:Q21" si="3">F15*$E$15</f>
        <v>50800</v>
      </c>
      <c r="G21" s="2960">
        <f t="shared" si="3"/>
        <v>254000</v>
      </c>
      <c r="H21" s="2961">
        <f t="shared" si="3"/>
        <v>381000</v>
      </c>
      <c r="I21" s="2962">
        <f t="shared" si="3"/>
        <v>381000</v>
      </c>
      <c r="J21" s="2960">
        <f t="shared" si="3"/>
        <v>381000</v>
      </c>
      <c r="K21" s="2963">
        <f t="shared" si="3"/>
        <v>381000</v>
      </c>
      <c r="L21" s="2964">
        <f t="shared" si="3"/>
        <v>381000</v>
      </c>
      <c r="M21" s="2965">
        <f t="shared" si="3"/>
        <v>381000</v>
      </c>
      <c r="N21" s="2966">
        <f t="shared" si="3"/>
        <v>381000</v>
      </c>
      <c r="O21" s="2967">
        <f t="shared" si="3"/>
        <v>381000</v>
      </c>
      <c r="P21" s="2965">
        <f t="shared" si="3"/>
        <v>381000</v>
      </c>
      <c r="Q21" s="2968">
        <f t="shared" si="3"/>
        <v>381000</v>
      </c>
      <c r="R21" s="2969">
        <f>AVERAGE(F21:Q21)</f>
        <v>342900</v>
      </c>
      <c r="S21" s="2970">
        <f>SUM(F21:Q21)</f>
        <v>4114800</v>
      </c>
      <c r="U21" s="2913"/>
      <c r="V21" s="2914"/>
    </row>
    <row r="22" spans="1:22" ht="18.75" customHeight="1">
      <c r="A22" s="7423"/>
      <c r="B22" s="7425"/>
      <c r="C22" s="2971" t="s">
        <v>1090</v>
      </c>
      <c r="D22" s="2972"/>
      <c r="E22" s="2973">
        <f>E16</f>
        <v>2.88</v>
      </c>
      <c r="F22" s="2974" t="e">
        <f t="shared" ref="F22:Q22" si="4">F16*$E$16</f>
        <v>#REF!</v>
      </c>
      <c r="G22" s="2975" t="e">
        <f t="shared" si="4"/>
        <v>#REF!</v>
      </c>
      <c r="H22" s="2976" t="e">
        <f t="shared" si="4"/>
        <v>#REF!</v>
      </c>
      <c r="I22" s="2977" t="e">
        <f t="shared" si="4"/>
        <v>#REF!</v>
      </c>
      <c r="J22" s="2975" t="e">
        <f t="shared" si="4"/>
        <v>#REF!</v>
      </c>
      <c r="K22" s="2978" t="e">
        <f t="shared" si="4"/>
        <v>#REF!</v>
      </c>
      <c r="L22" s="2979" t="e">
        <f t="shared" si="4"/>
        <v>#REF!</v>
      </c>
      <c r="M22" s="2980" t="e">
        <f t="shared" si="4"/>
        <v>#REF!</v>
      </c>
      <c r="N22" s="2981" t="e">
        <f t="shared" si="4"/>
        <v>#REF!</v>
      </c>
      <c r="O22" s="2982" t="e">
        <f t="shared" si="4"/>
        <v>#REF!</v>
      </c>
      <c r="P22" s="2980" t="e">
        <f t="shared" si="4"/>
        <v>#REF!</v>
      </c>
      <c r="Q22" s="2983" t="e">
        <f t="shared" si="4"/>
        <v>#REF!</v>
      </c>
      <c r="R22" s="2984" t="e">
        <f>AVERAGE(F22:Q22)</f>
        <v>#REF!</v>
      </c>
      <c r="S22" s="2985" t="e">
        <f>SUM(F22:Q22)</f>
        <v>#REF!</v>
      </c>
      <c r="U22" s="2913"/>
      <c r="V22" s="2914"/>
    </row>
    <row r="23" spans="1:22" ht="18.75" customHeight="1">
      <c r="A23" s="7423"/>
      <c r="B23" s="7426"/>
      <c r="C23" s="2986" t="s">
        <v>1094</v>
      </c>
      <c r="D23" s="2987"/>
      <c r="E23" s="2988"/>
      <c r="F23" s="2989" t="e">
        <f>SUM(F21:F22)</f>
        <v>#REF!</v>
      </c>
      <c r="G23" s="2990" t="e">
        <f>SUM(G21:G22)</f>
        <v>#REF!</v>
      </c>
      <c r="H23" s="2991" t="e">
        <f t="shared" ref="H23:Q23" si="5">SUM(H21:H22)</f>
        <v>#REF!</v>
      </c>
      <c r="I23" s="2992" t="e">
        <f t="shared" si="5"/>
        <v>#REF!</v>
      </c>
      <c r="J23" s="2990" t="e">
        <f t="shared" si="5"/>
        <v>#REF!</v>
      </c>
      <c r="K23" s="2993" t="e">
        <f t="shared" si="5"/>
        <v>#REF!</v>
      </c>
      <c r="L23" s="2994" t="e">
        <f t="shared" si="5"/>
        <v>#REF!</v>
      </c>
      <c r="M23" s="2995" t="e">
        <f t="shared" si="5"/>
        <v>#REF!</v>
      </c>
      <c r="N23" s="2996" t="e">
        <f t="shared" si="5"/>
        <v>#REF!</v>
      </c>
      <c r="O23" s="2997" t="e">
        <f t="shared" si="5"/>
        <v>#REF!</v>
      </c>
      <c r="P23" s="2995" t="e">
        <f t="shared" si="5"/>
        <v>#REF!</v>
      </c>
      <c r="Q23" s="2998" t="e">
        <f t="shared" si="5"/>
        <v>#REF!</v>
      </c>
      <c r="R23" s="2999" t="e">
        <f>AVERAGE(F23:Q23)</f>
        <v>#REF!</v>
      </c>
      <c r="S23" s="3000" t="e">
        <f>SUM(F23:Q23)</f>
        <v>#REF!</v>
      </c>
      <c r="U23" s="2913"/>
      <c r="V23" s="2914"/>
    </row>
    <row r="24" spans="1:22" s="2856" customFormat="1" ht="18.75" customHeight="1" thickBot="1">
      <c r="A24" s="7423"/>
      <c r="B24" s="3001" t="s">
        <v>1095</v>
      </c>
      <c r="C24" s="3002" t="s">
        <v>1096</v>
      </c>
      <c r="D24" s="3003"/>
      <c r="E24" s="3004"/>
      <c r="F24" s="3005" t="e">
        <f t="shared" ref="F24:Q24" si="6">F11*$E$11</f>
        <v>#REF!</v>
      </c>
      <c r="G24" s="3006" t="e">
        <f t="shared" si="6"/>
        <v>#REF!</v>
      </c>
      <c r="H24" s="3007" t="e">
        <f t="shared" si="6"/>
        <v>#REF!</v>
      </c>
      <c r="I24" s="3008" t="e">
        <f t="shared" si="6"/>
        <v>#REF!</v>
      </c>
      <c r="J24" s="3006" t="e">
        <f t="shared" si="6"/>
        <v>#REF!</v>
      </c>
      <c r="K24" s="3009" t="e">
        <f t="shared" si="6"/>
        <v>#REF!</v>
      </c>
      <c r="L24" s="3010" t="e">
        <f t="shared" si="6"/>
        <v>#REF!</v>
      </c>
      <c r="M24" s="3011" t="e">
        <f t="shared" si="6"/>
        <v>#REF!</v>
      </c>
      <c r="N24" s="3012" t="e">
        <f t="shared" si="6"/>
        <v>#REF!</v>
      </c>
      <c r="O24" s="3013" t="e">
        <f t="shared" si="6"/>
        <v>#REF!</v>
      </c>
      <c r="P24" s="3011" t="e">
        <f t="shared" si="6"/>
        <v>#REF!</v>
      </c>
      <c r="Q24" s="3014" t="e">
        <f t="shared" si="6"/>
        <v>#REF!</v>
      </c>
      <c r="R24" s="3015" t="e">
        <f>AVERAGE(F24:Q24)</f>
        <v>#REF!</v>
      </c>
      <c r="S24" s="3016" t="e">
        <f>SUM(F24:Q24)</f>
        <v>#REF!</v>
      </c>
      <c r="T24" s="2855"/>
    </row>
    <row r="25" spans="1:22" s="2856" customFormat="1" ht="18.75" customHeight="1" thickBot="1">
      <c r="A25" s="7424"/>
      <c r="B25" s="3017"/>
      <c r="C25" s="2864" t="s">
        <v>1069</v>
      </c>
      <c r="D25" s="3018"/>
      <c r="E25" s="3019"/>
      <c r="F25" s="3020" t="e">
        <f>F24-F23</f>
        <v>#REF!</v>
      </c>
      <c r="G25" s="3021" t="e">
        <f t="shared" ref="G25:Q25" si="7">G24-G23</f>
        <v>#REF!</v>
      </c>
      <c r="H25" s="3022" t="e">
        <f t="shared" si="7"/>
        <v>#REF!</v>
      </c>
      <c r="I25" s="3023" t="e">
        <f t="shared" si="7"/>
        <v>#REF!</v>
      </c>
      <c r="J25" s="3024" t="e">
        <f t="shared" si="7"/>
        <v>#REF!</v>
      </c>
      <c r="K25" s="3025" t="e">
        <f t="shared" si="7"/>
        <v>#REF!</v>
      </c>
      <c r="L25" s="3026" t="e">
        <f t="shared" si="7"/>
        <v>#REF!</v>
      </c>
      <c r="M25" s="3027" t="e">
        <f t="shared" si="7"/>
        <v>#REF!</v>
      </c>
      <c r="N25" s="3028" t="e">
        <f t="shared" si="7"/>
        <v>#REF!</v>
      </c>
      <c r="O25" s="3029" t="e">
        <f t="shared" si="7"/>
        <v>#REF!</v>
      </c>
      <c r="P25" s="3027" t="e">
        <f t="shared" si="7"/>
        <v>#REF!</v>
      </c>
      <c r="Q25" s="3030" t="e">
        <f t="shared" si="7"/>
        <v>#REF!</v>
      </c>
      <c r="R25" s="2935" t="e">
        <f>AVERAGE(F25:Q25)</f>
        <v>#REF!</v>
      </c>
      <c r="S25" s="1666" t="e">
        <f>SUM(F25:Q25)</f>
        <v>#REF!</v>
      </c>
      <c r="T25" s="2855"/>
    </row>
    <row r="26" spans="1:22" s="2856" customFormat="1" ht="18.75" customHeight="1">
      <c r="A26" s="3031"/>
      <c r="B26" s="2887"/>
      <c r="C26" s="3032"/>
      <c r="D26" s="3033"/>
      <c r="E26" s="3034"/>
      <c r="F26" s="3035"/>
      <c r="G26" s="3035"/>
      <c r="H26" s="3036"/>
      <c r="I26" s="3036"/>
      <c r="J26" s="3036"/>
      <c r="K26" s="3036"/>
      <c r="L26" s="3037"/>
      <c r="M26" s="3037"/>
      <c r="N26" s="3037"/>
      <c r="O26" s="3037"/>
      <c r="P26" s="3037"/>
      <c r="Q26" s="3037"/>
      <c r="R26" s="3037"/>
      <c r="S26" s="3036"/>
      <c r="T26" s="2855"/>
    </row>
    <row r="27" spans="1:22" s="2856" customFormat="1" ht="18.75" customHeight="1">
      <c r="A27" s="3031"/>
      <c r="B27" s="2887"/>
      <c r="C27" s="3032"/>
      <c r="D27" s="3033"/>
      <c r="E27" s="3034"/>
      <c r="F27" s="3035"/>
      <c r="G27" s="3035"/>
      <c r="H27" s="3036"/>
      <c r="I27" s="3036"/>
      <c r="J27" s="3036"/>
      <c r="K27" s="3036"/>
      <c r="L27" s="3037"/>
      <c r="M27" s="3037"/>
      <c r="N27" s="3037"/>
      <c r="O27" s="3037"/>
      <c r="P27" s="3037"/>
      <c r="Q27" s="3037"/>
      <c r="R27" s="3037"/>
      <c r="S27" s="3036"/>
      <c r="T27" s="2855"/>
    </row>
    <row r="28" spans="1:22" s="2856" customFormat="1" ht="18.75" customHeight="1">
      <c r="A28" s="3038" t="s">
        <v>1097</v>
      </c>
      <c r="B28" s="2887"/>
      <c r="C28" s="3032"/>
      <c r="D28" s="3033"/>
      <c r="E28" s="3034"/>
      <c r="F28" s="3035"/>
      <c r="G28" s="3035"/>
      <c r="H28" s="3036"/>
      <c r="I28" s="3036"/>
      <c r="J28" s="3036"/>
      <c r="K28" s="3036"/>
      <c r="L28" s="3037"/>
      <c r="M28" s="3037"/>
      <c r="N28" s="3037"/>
      <c r="O28" s="3037"/>
      <c r="P28" s="3037"/>
      <c r="Q28" s="3037"/>
      <c r="R28" s="3037"/>
      <c r="S28" s="3036"/>
      <c r="T28" s="2855"/>
    </row>
    <row r="29" spans="1:22" s="2856" customFormat="1" ht="18.75" customHeight="1">
      <c r="A29" s="3039" t="s">
        <v>1098</v>
      </c>
      <c r="B29" s="3040"/>
      <c r="C29" s="3041"/>
      <c r="D29" s="3042"/>
      <c r="E29" s="3043"/>
      <c r="F29" s="3044"/>
      <c r="G29" s="3044"/>
      <c r="H29" s="3045"/>
      <c r="I29" s="3045"/>
      <c r="J29" s="3045"/>
      <c r="K29" s="3045"/>
      <c r="L29" s="3046"/>
      <c r="M29" s="3046"/>
      <c r="N29" s="3046"/>
      <c r="O29" s="3046"/>
      <c r="P29" s="3046"/>
      <c r="Q29" s="3046"/>
      <c r="R29" s="3046"/>
      <c r="S29" s="3045"/>
      <c r="T29" s="2855"/>
    </row>
    <row r="30" spans="1:22" ht="15" customHeight="1">
      <c r="A30" s="3047" t="s">
        <v>1099</v>
      </c>
    </row>
    <row r="31" spans="1:22" ht="15" customHeight="1">
      <c r="A31" s="3049" t="s">
        <v>1100</v>
      </c>
    </row>
    <row r="32" spans="1:22" ht="15" customHeight="1">
      <c r="A32" s="3049" t="s">
        <v>1101</v>
      </c>
    </row>
    <row r="33" spans="1:22" ht="15" customHeight="1">
      <c r="A33" s="3050"/>
    </row>
    <row r="34" spans="1:22" s="2856" customFormat="1" ht="18.75" customHeight="1" thickBot="1">
      <c r="A34" s="2382" t="s">
        <v>1102</v>
      </c>
      <c r="B34" s="2946"/>
      <c r="C34" s="2947"/>
      <c r="D34" s="2947"/>
      <c r="E34" s="2947"/>
      <c r="F34" s="3051"/>
      <c r="G34" s="3051"/>
      <c r="H34" s="3051"/>
      <c r="I34" s="3051"/>
      <c r="J34" s="3051"/>
      <c r="K34" s="3051"/>
      <c r="L34" s="3052"/>
      <c r="M34" s="3052"/>
      <c r="N34" s="3052"/>
      <c r="O34" s="3052"/>
      <c r="P34" s="3052"/>
      <c r="Q34" s="3052"/>
      <c r="R34" s="3052"/>
      <c r="S34" s="3052" t="e">
        <f>SUM(F63:Q63)=S63</f>
        <v>#REF!</v>
      </c>
      <c r="T34" s="2855"/>
    </row>
    <row r="35" spans="1:22" s="2856" customFormat="1" ht="18.75" customHeight="1" thickBot="1">
      <c r="A35" s="39"/>
      <c r="B35" s="2858" t="s">
        <v>794</v>
      </c>
      <c r="C35" s="30" t="s">
        <v>41</v>
      </c>
      <c r="D35" s="2859"/>
      <c r="E35" s="2860"/>
      <c r="F35" s="2861" t="s">
        <v>1103</v>
      </c>
      <c r="G35" s="2864" t="s">
        <v>1104</v>
      </c>
      <c r="H35" s="2863" t="s">
        <v>1105</v>
      </c>
      <c r="I35" s="2861" t="s">
        <v>1106</v>
      </c>
      <c r="J35" s="2864" t="s">
        <v>1107</v>
      </c>
      <c r="K35" s="2863" t="s">
        <v>1108</v>
      </c>
      <c r="L35" s="2861" t="s">
        <v>1109</v>
      </c>
      <c r="M35" s="2864" t="s">
        <v>1110</v>
      </c>
      <c r="N35" s="2863" t="s">
        <v>1111</v>
      </c>
      <c r="O35" s="2861" t="s">
        <v>1112</v>
      </c>
      <c r="P35" s="2864" t="s">
        <v>1113</v>
      </c>
      <c r="Q35" s="2863" t="s">
        <v>1114</v>
      </c>
      <c r="R35" s="2865" t="s">
        <v>14</v>
      </c>
      <c r="S35" s="2866" t="s">
        <v>112</v>
      </c>
      <c r="T35" s="2855"/>
    </row>
    <row r="36" spans="1:22" ht="15" customHeight="1" thickBot="1">
      <c r="A36" s="3053"/>
      <c r="B36" s="3054" t="s">
        <v>1115</v>
      </c>
      <c r="C36" s="3054" t="s">
        <v>1116</v>
      </c>
      <c r="D36" s="2916"/>
      <c r="E36" s="2917"/>
      <c r="F36" s="2918">
        <v>60452.735999999997</v>
      </c>
      <c r="G36" s="2919">
        <v>49327.4</v>
      </c>
      <c r="H36" s="2920">
        <v>76289.135999999999</v>
      </c>
      <c r="I36" s="2919">
        <v>82042.2</v>
      </c>
      <c r="J36" s="2921">
        <v>61670</v>
      </c>
      <c r="K36" s="2922">
        <v>63097.16</v>
      </c>
      <c r="L36" s="2923">
        <v>91291.16</v>
      </c>
      <c r="M36" s="2924">
        <v>65896</v>
      </c>
      <c r="N36" s="2925">
        <v>60536</v>
      </c>
      <c r="O36" s="2926">
        <v>93546</v>
      </c>
      <c r="P36" s="2924">
        <v>66056</v>
      </c>
      <c r="Q36" s="2925"/>
      <c r="R36" s="2927">
        <f>AVERAGE(F36:P36)</f>
        <v>70018.526545454544</v>
      </c>
      <c r="S36" s="2928"/>
      <c r="V36" s="2914"/>
    </row>
    <row r="37" spans="1:22" ht="15" customHeight="1">
      <c r="A37" s="3055"/>
      <c r="B37" s="2882"/>
      <c r="C37" s="3056"/>
      <c r="D37" s="3057"/>
      <c r="E37" s="3058"/>
      <c r="F37" s="3059"/>
      <c r="G37" s="3059"/>
      <c r="H37" s="3059"/>
      <c r="I37" s="3059"/>
      <c r="J37" s="3059"/>
      <c r="K37" s="3059"/>
      <c r="L37" s="3060"/>
      <c r="M37" s="3060"/>
      <c r="N37" s="3060"/>
      <c r="O37" s="3060"/>
      <c r="P37" s="3060"/>
      <c r="Q37" s="3060"/>
      <c r="R37" s="3061"/>
      <c r="S37" s="3062"/>
      <c r="V37" s="2914"/>
    </row>
    <row r="38" spans="1:22" ht="15" customHeight="1" thickBot="1">
      <c r="A38" s="3063" t="s">
        <v>1117</v>
      </c>
      <c r="B38" s="2887"/>
      <c r="C38" s="1512"/>
      <c r="D38" s="3064"/>
      <c r="E38" s="3065"/>
      <c r="F38" s="2950"/>
      <c r="G38" s="2950"/>
      <c r="H38" s="2950"/>
      <c r="I38" s="2950"/>
      <c r="J38" s="2950"/>
      <c r="K38" s="2950"/>
      <c r="L38" s="2951"/>
      <c r="M38" s="2951"/>
      <c r="N38" s="2951"/>
      <c r="O38" s="2951"/>
      <c r="P38" s="2951"/>
      <c r="Q38" s="2951"/>
      <c r="R38" s="3066"/>
      <c r="S38" s="3036"/>
      <c r="V38" s="2914"/>
    </row>
    <row r="39" spans="1:22" ht="15" customHeight="1" thickBot="1">
      <c r="A39" s="39" t="s">
        <v>126</v>
      </c>
      <c r="B39" s="3067" t="s">
        <v>794</v>
      </c>
      <c r="C39" s="3068" t="s">
        <v>41</v>
      </c>
      <c r="D39" s="2870"/>
      <c r="E39" s="2871"/>
      <c r="F39" s="2861" t="s">
        <v>425</v>
      </c>
      <c r="G39" s="2864" t="s">
        <v>545</v>
      </c>
      <c r="H39" s="2863" t="s">
        <v>546</v>
      </c>
      <c r="I39" s="2861" t="s">
        <v>426</v>
      </c>
      <c r="J39" s="2864" t="s">
        <v>547</v>
      </c>
      <c r="K39" s="2863" t="s">
        <v>548</v>
      </c>
      <c r="L39" s="2861" t="s">
        <v>549</v>
      </c>
      <c r="M39" s="2864" t="s">
        <v>550</v>
      </c>
      <c r="N39" s="2863" t="s">
        <v>551</v>
      </c>
      <c r="O39" s="2861" t="s">
        <v>552</v>
      </c>
      <c r="P39" s="2864" t="s">
        <v>553</v>
      </c>
      <c r="Q39" s="2863" t="s">
        <v>554</v>
      </c>
      <c r="R39" s="3069"/>
      <c r="S39" s="1666"/>
      <c r="V39" s="2914"/>
    </row>
    <row r="40" spans="1:22" ht="15" customHeight="1">
      <c r="A40" s="3070" t="s">
        <v>204</v>
      </c>
      <c r="B40" s="3071" t="s">
        <v>1118</v>
      </c>
      <c r="C40" s="3072" t="s">
        <v>1119</v>
      </c>
      <c r="D40" s="2900"/>
      <c r="E40" s="2901"/>
      <c r="F40" s="2902">
        <v>70000</v>
      </c>
      <c r="G40" s="2905">
        <v>70000</v>
      </c>
      <c r="H40" s="3073">
        <v>70000</v>
      </c>
      <c r="I40" s="2902">
        <v>70000</v>
      </c>
      <c r="J40" s="2905">
        <v>70000</v>
      </c>
      <c r="K40" s="3073">
        <v>70000</v>
      </c>
      <c r="L40" s="2902">
        <v>70000</v>
      </c>
      <c r="M40" s="2905">
        <v>70000</v>
      </c>
      <c r="N40" s="3073">
        <v>70000</v>
      </c>
      <c r="O40" s="2902">
        <v>70000</v>
      </c>
      <c r="P40" s="2905">
        <v>70000</v>
      </c>
      <c r="Q40" s="3073">
        <v>70000</v>
      </c>
      <c r="R40" s="2911"/>
      <c r="S40" s="2912"/>
      <c r="V40" s="2914"/>
    </row>
    <row r="41" spans="1:22" ht="15" customHeight="1" thickBot="1">
      <c r="A41" s="3074"/>
      <c r="B41" s="3075"/>
      <c r="C41" s="3076" t="s">
        <v>1120</v>
      </c>
      <c r="D41" s="2957"/>
      <c r="E41" s="3077"/>
      <c r="F41" s="2962">
        <v>70000</v>
      </c>
      <c r="G41" s="2960">
        <v>70000</v>
      </c>
      <c r="H41" s="3078">
        <v>70000</v>
      </c>
      <c r="I41" s="2959">
        <f>70000*0.9</f>
        <v>63000</v>
      </c>
      <c r="J41" s="2960">
        <f t="shared" ref="J41:Q41" si="8">70000*0.9</f>
        <v>63000</v>
      </c>
      <c r="K41" s="2961">
        <f t="shared" si="8"/>
        <v>63000</v>
      </c>
      <c r="L41" s="2967">
        <f t="shared" si="8"/>
        <v>63000</v>
      </c>
      <c r="M41" s="2965">
        <f t="shared" si="8"/>
        <v>63000</v>
      </c>
      <c r="N41" s="2968">
        <f t="shared" si="8"/>
        <v>63000</v>
      </c>
      <c r="O41" s="2967">
        <f t="shared" si="8"/>
        <v>63000</v>
      </c>
      <c r="P41" s="2965">
        <f t="shared" si="8"/>
        <v>63000</v>
      </c>
      <c r="Q41" s="2968">
        <f t="shared" si="8"/>
        <v>63000</v>
      </c>
      <c r="R41" s="2969"/>
      <c r="S41" s="2970"/>
      <c r="V41" s="2914"/>
    </row>
    <row r="42" spans="1:22" ht="15" customHeight="1" thickBot="1">
      <c r="A42" s="3079"/>
      <c r="B42" s="3080"/>
      <c r="C42" s="3081" t="s">
        <v>1069</v>
      </c>
      <c r="D42" s="3082"/>
      <c r="E42" s="3083"/>
      <c r="F42" s="3084">
        <f>F40-F41</f>
        <v>0</v>
      </c>
      <c r="G42" s="3085">
        <f t="shared" ref="G42:Q42" si="9">G40-G41</f>
        <v>0</v>
      </c>
      <c r="H42" s="3086">
        <f t="shared" si="9"/>
        <v>0</v>
      </c>
      <c r="I42" s="3087">
        <f t="shared" si="9"/>
        <v>7000</v>
      </c>
      <c r="J42" s="3085">
        <f t="shared" si="9"/>
        <v>7000</v>
      </c>
      <c r="K42" s="3088">
        <f t="shared" si="9"/>
        <v>7000</v>
      </c>
      <c r="L42" s="3089">
        <f t="shared" si="9"/>
        <v>7000</v>
      </c>
      <c r="M42" s="3090">
        <f t="shared" si="9"/>
        <v>7000</v>
      </c>
      <c r="N42" s="3091">
        <f t="shared" si="9"/>
        <v>7000</v>
      </c>
      <c r="O42" s="3089">
        <f t="shared" si="9"/>
        <v>7000</v>
      </c>
      <c r="P42" s="3090">
        <f t="shared" si="9"/>
        <v>7000</v>
      </c>
      <c r="Q42" s="3091">
        <f t="shared" si="9"/>
        <v>7000</v>
      </c>
      <c r="R42" s="2880"/>
      <c r="S42" s="1666">
        <f>SUM(F42:R42)</f>
        <v>63000</v>
      </c>
      <c r="V42" s="2914"/>
    </row>
    <row r="43" spans="1:22" ht="15" customHeight="1">
      <c r="C43" s="3092"/>
      <c r="D43" s="3092"/>
      <c r="E43" s="3092"/>
      <c r="F43" s="1511"/>
      <c r="G43" s="2308"/>
      <c r="H43" s="1511"/>
      <c r="I43" s="1511" t="s">
        <v>1121</v>
      </c>
      <c r="J43" s="1492"/>
      <c r="K43" s="1511"/>
      <c r="L43" s="1511"/>
      <c r="M43" s="1511"/>
      <c r="N43" s="1511"/>
      <c r="O43" s="1511"/>
      <c r="P43" s="1511"/>
      <c r="Q43" s="1511"/>
      <c r="R43" s="1492"/>
      <c r="S43" s="3093"/>
    </row>
    <row r="44" spans="1:22" ht="15" customHeight="1">
      <c r="C44" s="3092"/>
      <c r="D44" s="3092"/>
      <c r="E44" s="3092"/>
      <c r="F44" s="1511"/>
      <c r="G44" s="3094"/>
      <c r="H44" s="3095"/>
      <c r="I44" s="3095"/>
      <c r="J44" s="3095"/>
      <c r="K44" s="3095"/>
      <c r="L44" s="3095"/>
      <c r="M44" s="3095"/>
      <c r="N44" s="3095"/>
      <c r="O44" s="3095"/>
      <c r="P44" s="3095"/>
      <c r="Q44" s="3095"/>
      <c r="R44" s="3096"/>
      <c r="S44" s="3096"/>
    </row>
    <row r="45" spans="1:22" ht="15" customHeight="1">
      <c r="C45" s="3092"/>
      <c r="D45" s="3092"/>
      <c r="E45" s="3092"/>
      <c r="F45" s="2308"/>
      <c r="G45" s="2308"/>
      <c r="H45" s="1511"/>
      <c r="I45" s="1511"/>
      <c r="J45" s="1511"/>
      <c r="K45" s="1511"/>
      <c r="L45" s="1511"/>
      <c r="M45" s="1511"/>
      <c r="N45" s="1511"/>
      <c r="O45" s="1511"/>
      <c r="P45" s="1511"/>
      <c r="Q45" s="1511"/>
      <c r="R45" s="1511"/>
    </row>
    <row r="46" spans="1:22" ht="15" customHeight="1" thickBot="1">
      <c r="A46" s="1538" t="s">
        <v>1122</v>
      </c>
      <c r="C46" s="3092"/>
      <c r="D46" s="3092"/>
      <c r="E46" s="3092"/>
      <c r="F46" s="2308"/>
      <c r="G46" s="2308"/>
      <c r="H46" s="1511"/>
      <c r="I46" s="1511"/>
      <c r="J46" s="1511"/>
      <c r="K46" s="1511"/>
      <c r="L46" s="1511"/>
      <c r="M46" s="1511"/>
      <c r="N46" s="1511"/>
      <c r="O46" s="1511"/>
      <c r="P46" s="1511"/>
      <c r="Q46" s="1511"/>
      <c r="R46" s="1511"/>
    </row>
    <row r="47" spans="1:22" ht="15" customHeight="1" thickBot="1">
      <c r="A47" s="7414"/>
      <c r="B47" s="7415"/>
      <c r="C47" s="7415"/>
      <c r="D47" s="7415"/>
      <c r="E47" s="7416"/>
      <c r="F47" s="2892" t="s">
        <v>425</v>
      </c>
      <c r="G47" s="2895" t="s">
        <v>545</v>
      </c>
      <c r="H47" s="2894" t="s">
        <v>546</v>
      </c>
      <c r="I47" s="2892" t="s">
        <v>426</v>
      </c>
      <c r="J47" s="2895" t="s">
        <v>547</v>
      </c>
      <c r="K47" s="2894" t="s">
        <v>548</v>
      </c>
      <c r="L47" s="2892" t="s">
        <v>549</v>
      </c>
      <c r="M47" s="2895" t="s">
        <v>550</v>
      </c>
      <c r="N47" s="2894" t="s">
        <v>551</v>
      </c>
      <c r="O47" s="2892" t="s">
        <v>552</v>
      </c>
      <c r="P47" s="2895" t="s">
        <v>553</v>
      </c>
      <c r="Q47" s="2894" t="s">
        <v>554</v>
      </c>
      <c r="R47" s="2893" t="s">
        <v>14</v>
      </c>
      <c r="S47" s="2894" t="s">
        <v>112</v>
      </c>
      <c r="V47" s="3097"/>
    </row>
    <row r="48" spans="1:22" ht="15" customHeight="1">
      <c r="A48" s="7432" t="str">
        <f>B11</f>
        <v>ADC12</v>
      </c>
      <c r="B48" s="7433"/>
      <c r="C48" s="7433"/>
      <c r="D48" s="7433"/>
      <c r="E48" s="7434"/>
      <c r="F48" s="3098" t="e">
        <f t="shared" ref="F48:Q48" si="10">F25</f>
        <v>#REF!</v>
      </c>
      <c r="G48" s="3098" t="e">
        <f t="shared" si="10"/>
        <v>#REF!</v>
      </c>
      <c r="H48" s="3098" t="e">
        <f t="shared" si="10"/>
        <v>#REF!</v>
      </c>
      <c r="I48" s="3098" t="e">
        <f t="shared" si="10"/>
        <v>#REF!</v>
      </c>
      <c r="J48" s="3098" t="e">
        <f t="shared" si="10"/>
        <v>#REF!</v>
      </c>
      <c r="K48" s="3098" t="e">
        <f t="shared" si="10"/>
        <v>#REF!</v>
      </c>
      <c r="L48" s="3098" t="e">
        <f t="shared" si="10"/>
        <v>#REF!</v>
      </c>
      <c r="M48" s="3098" t="e">
        <f t="shared" si="10"/>
        <v>#REF!</v>
      </c>
      <c r="N48" s="3098" t="e">
        <f t="shared" si="10"/>
        <v>#REF!</v>
      </c>
      <c r="O48" s="3098" t="e">
        <f t="shared" si="10"/>
        <v>#REF!</v>
      </c>
      <c r="P48" s="3098" t="e">
        <f t="shared" si="10"/>
        <v>#REF!</v>
      </c>
      <c r="Q48" s="3098" t="e">
        <f t="shared" si="10"/>
        <v>#REF!</v>
      </c>
      <c r="R48" s="3099" t="e">
        <f>AVERAGE(F48:Q48)</f>
        <v>#REF!</v>
      </c>
      <c r="S48" s="2912" t="e">
        <f>SUM(F48:Q48)</f>
        <v>#REF!</v>
      </c>
    </row>
    <row r="49" spans="1:20" ht="15" customHeight="1" thickBot="1">
      <c r="A49" s="7435" t="s">
        <v>1123</v>
      </c>
      <c r="B49" s="7436"/>
      <c r="C49" s="7436"/>
      <c r="D49" s="7436"/>
      <c r="E49" s="7437"/>
      <c r="F49" s="3100">
        <f>F42</f>
        <v>0</v>
      </c>
      <c r="G49" s="3100">
        <f t="shared" ref="G49:Q49" si="11">G42</f>
        <v>0</v>
      </c>
      <c r="H49" s="3100">
        <f t="shared" si="11"/>
        <v>0</v>
      </c>
      <c r="I49" s="3100">
        <f t="shared" si="11"/>
        <v>7000</v>
      </c>
      <c r="J49" s="3100">
        <f t="shared" si="11"/>
        <v>7000</v>
      </c>
      <c r="K49" s="3100">
        <f t="shared" si="11"/>
        <v>7000</v>
      </c>
      <c r="L49" s="3100">
        <f t="shared" si="11"/>
        <v>7000</v>
      </c>
      <c r="M49" s="3100">
        <f t="shared" si="11"/>
        <v>7000</v>
      </c>
      <c r="N49" s="3100">
        <f t="shared" si="11"/>
        <v>7000</v>
      </c>
      <c r="O49" s="3100">
        <f t="shared" si="11"/>
        <v>7000</v>
      </c>
      <c r="P49" s="3100">
        <f t="shared" si="11"/>
        <v>7000</v>
      </c>
      <c r="Q49" s="3100">
        <f t="shared" si="11"/>
        <v>7000</v>
      </c>
      <c r="R49" s="3101">
        <f>AVERAGE(F49:Q49)</f>
        <v>5250</v>
      </c>
      <c r="S49" s="2928">
        <f>SUM(F49:Q49)</f>
        <v>63000</v>
      </c>
    </row>
    <row r="50" spans="1:20" ht="15" customHeight="1" thickBot="1">
      <c r="A50" s="7438" t="s">
        <v>94</v>
      </c>
      <c r="B50" s="7439"/>
      <c r="C50" s="7439"/>
      <c r="D50" s="7439"/>
      <c r="E50" s="7440"/>
      <c r="F50" s="1664" t="e">
        <f>F48+F49</f>
        <v>#REF!</v>
      </c>
      <c r="G50" s="1664" t="e">
        <f t="shared" ref="G50:Q50" si="12">G48+G49</f>
        <v>#REF!</v>
      </c>
      <c r="H50" s="1664" t="e">
        <f t="shared" si="12"/>
        <v>#REF!</v>
      </c>
      <c r="I50" s="1664" t="e">
        <f t="shared" si="12"/>
        <v>#REF!</v>
      </c>
      <c r="J50" s="1664" t="e">
        <f t="shared" si="12"/>
        <v>#REF!</v>
      </c>
      <c r="K50" s="1664" t="e">
        <f t="shared" si="12"/>
        <v>#REF!</v>
      </c>
      <c r="L50" s="1664" t="e">
        <f t="shared" si="12"/>
        <v>#REF!</v>
      </c>
      <c r="M50" s="1664" t="e">
        <f t="shared" si="12"/>
        <v>#REF!</v>
      </c>
      <c r="N50" s="1664" t="e">
        <f t="shared" si="12"/>
        <v>#REF!</v>
      </c>
      <c r="O50" s="1664" t="e">
        <f t="shared" si="12"/>
        <v>#REF!</v>
      </c>
      <c r="P50" s="1664" t="e">
        <f t="shared" si="12"/>
        <v>#REF!</v>
      </c>
      <c r="Q50" s="1664" t="e">
        <f t="shared" si="12"/>
        <v>#REF!</v>
      </c>
      <c r="R50" s="3069" t="e">
        <f>AVERAGE(F50:Q50)</f>
        <v>#REF!</v>
      </c>
      <c r="S50" s="1666" t="e">
        <f>SUM(F50:Q50)</f>
        <v>#REF!</v>
      </c>
    </row>
    <row r="54" spans="1:20" ht="15" customHeight="1">
      <c r="A54" s="1538" t="s">
        <v>1124</v>
      </c>
    </row>
    <row r="55" spans="1:20" ht="15" customHeight="1">
      <c r="A55" s="1538" t="s">
        <v>1125</v>
      </c>
    </row>
    <row r="56" spans="1:20" ht="15" customHeight="1">
      <c r="A56" s="3102" t="s">
        <v>1126</v>
      </c>
    </row>
    <row r="57" spans="1:20" ht="15" customHeight="1">
      <c r="A57" s="2248" t="s">
        <v>1127</v>
      </c>
    </row>
    <row r="58" spans="1:20" ht="15" customHeight="1" thickBot="1">
      <c r="S58" s="2854" t="s">
        <v>86</v>
      </c>
    </row>
    <row r="59" spans="1:20" ht="15" customHeight="1" thickBot="1">
      <c r="A59" s="39"/>
      <c r="B59" s="2858" t="s">
        <v>794</v>
      </c>
      <c r="C59" s="7441" t="s">
        <v>41</v>
      </c>
      <c r="D59" s="7442"/>
      <c r="E59" s="2860" t="s">
        <v>1128</v>
      </c>
      <c r="F59" s="2861" t="s">
        <v>1103</v>
      </c>
      <c r="G59" s="2864" t="s">
        <v>1104</v>
      </c>
      <c r="H59" s="2863" t="s">
        <v>1105</v>
      </c>
      <c r="I59" s="2861" t="s">
        <v>1106</v>
      </c>
      <c r="J59" s="2864" t="s">
        <v>1107</v>
      </c>
      <c r="K59" s="2863" t="s">
        <v>1108</v>
      </c>
      <c r="L59" s="2861" t="s">
        <v>1109</v>
      </c>
      <c r="M59" s="2864" t="s">
        <v>1110</v>
      </c>
      <c r="N59" s="2863" t="s">
        <v>1111</v>
      </c>
      <c r="O59" s="2861" t="s">
        <v>1112</v>
      </c>
      <c r="P59" s="2864" t="s">
        <v>1113</v>
      </c>
      <c r="Q59" s="2863" t="s">
        <v>1114</v>
      </c>
      <c r="R59" s="2865" t="s">
        <v>14</v>
      </c>
      <c r="S59" s="2866" t="s">
        <v>112</v>
      </c>
    </row>
    <row r="60" spans="1:20" ht="15" customHeight="1">
      <c r="A60" s="3103"/>
      <c r="B60" s="3104"/>
      <c r="C60" s="7443" t="s">
        <v>1129</v>
      </c>
      <c r="D60" s="7444"/>
      <c r="E60" s="3105">
        <v>500000</v>
      </c>
      <c r="F60" s="3106" t="e">
        <f t="shared" ref="F60:Q60" si="13">F50</f>
        <v>#REF!</v>
      </c>
      <c r="G60" s="3107" t="e">
        <f t="shared" si="13"/>
        <v>#REF!</v>
      </c>
      <c r="H60" s="3108" t="e">
        <f t="shared" si="13"/>
        <v>#REF!</v>
      </c>
      <c r="I60" s="3109" t="e">
        <f t="shared" si="13"/>
        <v>#REF!</v>
      </c>
      <c r="J60" s="3110" t="e">
        <f t="shared" si="13"/>
        <v>#REF!</v>
      </c>
      <c r="K60" s="3111" t="e">
        <f t="shared" si="13"/>
        <v>#REF!</v>
      </c>
      <c r="L60" s="3112" t="e">
        <f t="shared" si="13"/>
        <v>#REF!</v>
      </c>
      <c r="M60" s="3113" t="e">
        <f t="shared" si="13"/>
        <v>#REF!</v>
      </c>
      <c r="N60" s="3114" t="e">
        <f t="shared" si="13"/>
        <v>#REF!</v>
      </c>
      <c r="O60" s="3112" t="e">
        <f t="shared" si="13"/>
        <v>#REF!</v>
      </c>
      <c r="P60" s="3113" t="e">
        <f t="shared" si="13"/>
        <v>#REF!</v>
      </c>
      <c r="Q60" s="3114" t="e">
        <f t="shared" si="13"/>
        <v>#REF!</v>
      </c>
      <c r="R60" s="2999" t="e">
        <f>AVERAGE(F60:Q60)</f>
        <v>#REF!</v>
      </c>
      <c r="S60" s="3000" t="e">
        <f>SUM(F60:Q60)</f>
        <v>#REF!</v>
      </c>
    </row>
    <row r="61" spans="1:20" s="2856" customFormat="1" ht="18.75" customHeight="1">
      <c r="A61" s="3103"/>
      <c r="B61" s="3104"/>
      <c r="C61" s="7427" t="s">
        <v>1130</v>
      </c>
      <c r="D61" s="7428"/>
      <c r="E61" s="3115"/>
      <c r="F61" s="3106">
        <f>'11. CF-2026'!C43</f>
        <v>0</v>
      </c>
      <c r="G61" s="3107">
        <f>'11. CF-2026'!D43</f>
        <v>0</v>
      </c>
      <c r="H61" s="3116">
        <f>'11. CF-2026'!E43</f>
        <v>0</v>
      </c>
      <c r="I61" s="3109">
        <f>'11. CF-2026'!F43</f>
        <v>862520.26957692299</v>
      </c>
      <c r="J61" s="3110">
        <f>'11. CF-2026'!G43</f>
        <v>1083007.3466538461</v>
      </c>
      <c r="K61" s="3117">
        <f>'11. CF-2026'!H43</f>
        <v>821203</v>
      </c>
      <c r="L61" s="3112">
        <f>'11. CF-2026'!I43</f>
        <v>0</v>
      </c>
      <c r="M61" s="3113">
        <f>'11. CF-2026'!J43</f>
        <v>0</v>
      </c>
      <c r="N61" s="3118">
        <f>'11. CF-2026'!K43</f>
        <v>0</v>
      </c>
      <c r="O61" s="3112">
        <f>'11. CF-2026'!L43</f>
        <v>0</v>
      </c>
      <c r="P61" s="3113">
        <f>'11. CF-2026'!M43</f>
        <v>0</v>
      </c>
      <c r="Q61" s="3118">
        <f>'11. CF-2026'!N43</f>
        <v>0</v>
      </c>
      <c r="R61" s="2999">
        <f>AVERAGE(F61:Q61)</f>
        <v>230560.88468589741</v>
      </c>
      <c r="S61" s="3000">
        <f>SUM(F61:Q61)</f>
        <v>2766730.6162307691</v>
      </c>
      <c r="T61" s="2855"/>
    </row>
    <row r="62" spans="1:20" s="2856" customFormat="1" ht="18.75" customHeight="1">
      <c r="A62" s="3103"/>
      <c r="B62" s="3104"/>
      <c r="C62" s="7427" t="s">
        <v>1131</v>
      </c>
      <c r="D62" s="7428"/>
      <c r="E62" s="3115"/>
      <c r="F62" s="3106"/>
      <c r="G62" s="3107"/>
      <c r="H62" s="3116"/>
      <c r="I62" s="3109"/>
      <c r="J62" s="3110"/>
      <c r="K62" s="3117"/>
      <c r="L62" s="3112">
        <f t="shared" ref="L62:Q62" si="14">(33333+5333)*2</f>
        <v>77332</v>
      </c>
      <c r="M62" s="3113">
        <f t="shared" si="14"/>
        <v>77332</v>
      </c>
      <c r="N62" s="3118">
        <f t="shared" si="14"/>
        <v>77332</v>
      </c>
      <c r="O62" s="3112">
        <f t="shared" si="14"/>
        <v>77332</v>
      </c>
      <c r="P62" s="3113">
        <f t="shared" si="14"/>
        <v>77332</v>
      </c>
      <c r="Q62" s="3118">
        <f t="shared" si="14"/>
        <v>77332</v>
      </c>
      <c r="R62" s="2999">
        <f>AVERAGE(F62:Q62)</f>
        <v>77332</v>
      </c>
      <c r="S62" s="3000">
        <f>SUM(F62:Q62)</f>
        <v>463992</v>
      </c>
      <c r="T62" s="2855"/>
    </row>
    <row r="63" spans="1:20" s="2856" customFormat="1" ht="18.75" customHeight="1" thickBot="1">
      <c r="A63" s="7429" t="s">
        <v>15</v>
      </c>
      <c r="B63" s="7430"/>
      <c r="C63" s="7430"/>
      <c r="D63" s="7430"/>
      <c r="E63" s="7431"/>
      <c r="F63" s="3100" t="e">
        <f t="shared" ref="F63:Q63" si="15">F25+F61-F62</f>
        <v>#REF!</v>
      </c>
      <c r="G63" s="3119" t="e">
        <f t="shared" si="15"/>
        <v>#REF!</v>
      </c>
      <c r="H63" s="2928" t="e">
        <f t="shared" si="15"/>
        <v>#REF!</v>
      </c>
      <c r="I63" s="3120" t="e">
        <f t="shared" si="15"/>
        <v>#REF!</v>
      </c>
      <c r="J63" s="3119" t="e">
        <f t="shared" si="15"/>
        <v>#REF!</v>
      </c>
      <c r="K63" s="3121" t="e">
        <f t="shared" si="15"/>
        <v>#REF!</v>
      </c>
      <c r="L63" s="3122" t="e">
        <f t="shared" si="15"/>
        <v>#REF!</v>
      </c>
      <c r="M63" s="3123" t="e">
        <f>M25+M61-M62</f>
        <v>#REF!</v>
      </c>
      <c r="N63" s="3124" t="e">
        <f t="shared" si="15"/>
        <v>#REF!</v>
      </c>
      <c r="O63" s="3122" t="e">
        <f t="shared" si="15"/>
        <v>#REF!</v>
      </c>
      <c r="P63" s="3123" t="e">
        <f t="shared" si="15"/>
        <v>#REF!</v>
      </c>
      <c r="Q63" s="3124" t="e">
        <f t="shared" si="15"/>
        <v>#REF!</v>
      </c>
      <c r="R63" s="3122" t="e">
        <f>AVERAGE(F63:Q63)</f>
        <v>#REF!</v>
      </c>
      <c r="S63" s="2928" t="e">
        <f>SUM(F63:Q63)</f>
        <v>#REF!</v>
      </c>
      <c r="T63" s="2855"/>
    </row>
    <row r="64" spans="1:20" s="2856" customFormat="1" ht="18.75" customHeight="1">
      <c r="T64" s="2936" t="e">
        <f>SUM(F63:Q63)=S63</f>
        <v>#REF!</v>
      </c>
    </row>
    <row r="65" spans="5:5" ht="15" customHeight="1">
      <c r="E65" s="2852"/>
    </row>
  </sheetData>
  <mergeCells count="14">
    <mergeCell ref="C62:D62"/>
    <mergeCell ref="A63:E63"/>
    <mergeCell ref="A48:E48"/>
    <mergeCell ref="A49:E49"/>
    <mergeCell ref="A50:E50"/>
    <mergeCell ref="C59:D59"/>
    <mergeCell ref="C60:D60"/>
    <mergeCell ref="C61:D61"/>
    <mergeCell ref="A47:E47"/>
    <mergeCell ref="A15:A16"/>
    <mergeCell ref="B15:B16"/>
    <mergeCell ref="B17:C17"/>
    <mergeCell ref="A21:A25"/>
    <mergeCell ref="B21:B23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V93"/>
  <sheetViews>
    <sheetView showGridLines="0" topLeftCell="A17" zoomScale="70" zoomScaleNormal="70" workbookViewId="0">
      <selection activeCell="L56" sqref="L56"/>
    </sheetView>
  </sheetViews>
  <sheetFormatPr defaultColWidth="9" defaultRowHeight="15" customHeight="1"/>
  <cols>
    <col min="1" max="1" width="5.09765625" style="5" customWidth="1"/>
    <col min="2" max="2" width="15.3984375" style="2362" customWidth="1"/>
    <col min="3" max="3" width="9.09765625" style="2363" customWidth="1"/>
    <col min="4" max="4" width="7.3984375" style="2363" customWidth="1"/>
    <col min="5" max="5" width="18.09765625" style="1532" customWidth="1"/>
    <col min="6" max="6" width="10.69921875" style="1532" customWidth="1"/>
    <col min="7" max="7" width="21.8984375" style="5" customWidth="1"/>
    <col min="8" max="8" width="10.3984375" style="1532" customWidth="1"/>
    <col min="9" max="9" width="15.09765625" style="1532" customWidth="1"/>
    <col min="10" max="10" width="15.09765625" style="1534" customWidth="1"/>
    <col min="11" max="11" width="15.09765625" style="1532" customWidth="1"/>
    <col min="12" max="12" width="15.09765625" style="1534" customWidth="1"/>
    <col min="13" max="18" width="15.09765625" style="1532" customWidth="1"/>
    <col min="19" max="19" width="15.09765625" style="5" customWidth="1"/>
    <col min="20" max="20" width="15.09765625" style="1610" customWidth="1"/>
    <col min="21" max="21" width="22.59765625" style="5" customWidth="1"/>
    <col min="22" max="22" width="10.3984375" style="5" bestFit="1" customWidth="1"/>
    <col min="23" max="16384" width="9" style="5"/>
  </cols>
  <sheetData>
    <row r="1" spans="1:21" ht="20.25" customHeight="1">
      <c r="A1" s="2361" t="s">
        <v>489</v>
      </c>
    </row>
    <row r="2" spans="1:21" ht="17.25" customHeight="1">
      <c r="A2" s="1530"/>
      <c r="R2" s="5"/>
      <c r="S2" s="1530"/>
    </row>
    <row r="3" spans="1:21" ht="17.25" customHeight="1" thickBot="1">
      <c r="A3" s="1538" t="s">
        <v>490</v>
      </c>
      <c r="B3" s="1610"/>
      <c r="C3" s="1610"/>
      <c r="D3" s="1610"/>
      <c r="E3" s="2113"/>
      <c r="F3" s="2114"/>
      <c r="G3" s="2113"/>
      <c r="H3" s="2114"/>
      <c r="N3" s="1612"/>
      <c r="O3" s="1612"/>
      <c r="P3" s="1612"/>
      <c r="Q3" s="1612"/>
      <c r="R3" s="1612"/>
      <c r="S3" s="1612"/>
      <c r="T3" s="1612"/>
      <c r="U3" s="1537" t="s">
        <v>138</v>
      </c>
    </row>
    <row r="4" spans="1:21" ht="22.5" customHeight="1" thickBot="1">
      <c r="A4" s="1539" t="s">
        <v>40</v>
      </c>
      <c r="B4" s="74" t="s">
        <v>106</v>
      </c>
      <c r="C4" s="74" t="s">
        <v>105</v>
      </c>
      <c r="D4" s="65" t="s">
        <v>1009</v>
      </c>
      <c r="E4" s="7313" t="s">
        <v>107</v>
      </c>
      <c r="F4" s="7168"/>
      <c r="G4" s="1701"/>
      <c r="H4" s="1700" t="s">
        <v>491</v>
      </c>
      <c r="I4" s="4635" t="str">
        <f>'2. S Plan'!L4</f>
        <v>Jan.26</v>
      </c>
      <c r="J4" s="5005" t="str">
        <f>'2. S Plan'!M4</f>
        <v>Feb.26</v>
      </c>
      <c r="K4" s="5494" t="str">
        <f>'2. S Plan'!N4</f>
        <v>Mar.26</v>
      </c>
      <c r="L4" s="4490" t="str">
        <f>'2. S Plan'!O4</f>
        <v>Apr.26</v>
      </c>
      <c r="M4" s="5005" t="str">
        <f>'2. S Plan'!P4</f>
        <v>May.26</v>
      </c>
      <c r="N4" s="1540" t="str">
        <f>'2. S Plan'!Q4</f>
        <v>Jun.26</v>
      </c>
      <c r="O4" s="1539" t="str">
        <f>'2. S Plan'!R4</f>
        <v>Jul.26</v>
      </c>
      <c r="P4" s="74" t="str">
        <f>'2. S Plan'!S4</f>
        <v>Aug.26</v>
      </c>
      <c r="Q4" s="1540" t="str">
        <f>'2. S Plan'!T4</f>
        <v>Sep.26</v>
      </c>
      <c r="R4" s="79" t="str">
        <f>'2. S Plan'!U4</f>
        <v>Oct.26</v>
      </c>
      <c r="S4" s="74" t="str">
        <f>'2. S Plan'!V4</f>
        <v>Nov.26</v>
      </c>
      <c r="T4" s="1540" t="str">
        <f>'2. S Plan'!W4</f>
        <v>Dec.26</v>
      </c>
      <c r="U4" s="1541" t="str">
        <f>'2. S Plan'!X4</f>
        <v>2026
Total</v>
      </c>
    </row>
    <row r="5" spans="1:21" ht="18" customHeight="1">
      <c r="A5" s="7224">
        <v>1</v>
      </c>
      <c r="B5" s="7299" t="s">
        <v>16</v>
      </c>
      <c r="C5" s="7490" t="s">
        <v>1193</v>
      </c>
      <c r="D5" s="23">
        <f>VLOOKUP(E5,B.BasicInfomation!B:C,2,0)</f>
        <v>1</v>
      </c>
      <c r="E5" s="1672" t="str">
        <f>'2. S Plan'!F5</f>
        <v>Galaxy Tap</v>
      </c>
      <c r="F5" s="3192"/>
      <c r="G5" s="1792"/>
      <c r="H5" s="1703">
        <v>0.98</v>
      </c>
      <c r="I5" s="4559">
        <f>'3. P PLAN'!J5</f>
        <v>0</v>
      </c>
      <c r="J5" s="5235">
        <f>'3. P PLAN'!K5</f>
        <v>0</v>
      </c>
      <c r="K5" s="5601">
        <f>'3. P PLAN'!L5</f>
        <v>0</v>
      </c>
      <c r="L5" s="4654">
        <f>'3. P PLAN'!M5</f>
        <v>0</v>
      </c>
      <c r="M5" s="5235">
        <f>'3. P PLAN'!N5</f>
        <v>0</v>
      </c>
      <c r="N5" s="1707">
        <f>'3. P PLAN'!O5</f>
        <v>0</v>
      </c>
      <c r="O5" s="2051">
        <f>'3. P PLAN'!P5</f>
        <v>0</v>
      </c>
      <c r="P5" s="1543">
        <f>'3. P PLAN'!Q5</f>
        <v>0</v>
      </c>
      <c r="Q5" s="1544">
        <f>'3. P PLAN'!R5</f>
        <v>0</v>
      </c>
      <c r="R5" s="1709">
        <f>'3. P PLAN'!S5</f>
        <v>0</v>
      </c>
      <c r="S5" s="1543">
        <f>'3. P PLAN'!T5</f>
        <v>10000</v>
      </c>
      <c r="T5" s="1544">
        <f>'3. P PLAN'!U5</f>
        <v>50000</v>
      </c>
      <c r="U5" s="1545">
        <f>SUM(I5:T5)</f>
        <v>60000</v>
      </c>
    </row>
    <row r="6" spans="1:21" ht="21.75" customHeight="1">
      <c r="A6" s="7225"/>
      <c r="B6" s="7300"/>
      <c r="C6" s="7491"/>
      <c r="D6" s="25">
        <f>VLOOKUP(E6,B.BasicInfomation!B:C,2,0)</f>
        <v>2</v>
      </c>
      <c r="E6" s="25" t="s">
        <v>1215</v>
      </c>
      <c r="F6" s="24"/>
      <c r="G6" s="1797"/>
      <c r="H6" s="1719">
        <v>0.98</v>
      </c>
      <c r="I6" s="4636">
        <f>'3. P PLAN'!J6</f>
        <v>1134160</v>
      </c>
      <c r="J6" s="5006">
        <f>'3. P PLAN'!K6</f>
        <v>804560</v>
      </c>
      <c r="K6" s="5498">
        <f>'3. P PLAN'!L6</f>
        <v>887570</v>
      </c>
      <c r="L6" s="4551">
        <f>'3. P PLAN'!M6</f>
        <v>972545</v>
      </c>
      <c r="M6" s="5006">
        <f>'3. P PLAN'!N6</f>
        <v>970800</v>
      </c>
      <c r="N6" s="1643">
        <f>'3. P PLAN'!O6</f>
        <v>1160000</v>
      </c>
      <c r="O6" s="2055">
        <f>'3. P PLAN'!P6</f>
        <v>1200000</v>
      </c>
      <c r="P6" s="1554">
        <f>'3. P PLAN'!Q6</f>
        <v>1200000</v>
      </c>
      <c r="Q6" s="1555">
        <f>'3. P PLAN'!R6</f>
        <v>800000</v>
      </c>
      <c r="R6" s="1599">
        <f>'3. P PLAN'!S6</f>
        <v>750000</v>
      </c>
      <c r="S6" s="1554">
        <f>'3. P PLAN'!T6</f>
        <v>750000</v>
      </c>
      <c r="T6" s="1555">
        <f>'3. P PLAN'!U6</f>
        <v>750000</v>
      </c>
      <c r="U6" s="1557">
        <f>SUM(I6:T6)</f>
        <v>11379635</v>
      </c>
    </row>
    <row r="7" spans="1:21" ht="21.75" customHeight="1">
      <c r="A7" s="7225"/>
      <c r="B7" s="7300"/>
      <c r="C7" s="7491"/>
      <c r="D7" s="25">
        <f>VLOOKUP(E7,B.BasicInfomation!B:C,2,0)</f>
        <v>3</v>
      </c>
      <c r="E7" s="25" t="s">
        <v>1190</v>
      </c>
      <c r="F7" s="24"/>
      <c r="G7" s="1797"/>
      <c r="H7" s="1719">
        <v>0.98</v>
      </c>
      <c r="I7" s="4636">
        <f>'3. P PLAN'!J7</f>
        <v>46320</v>
      </c>
      <c r="J7" s="5006">
        <f>'3. P PLAN'!K7</f>
        <v>0</v>
      </c>
      <c r="K7" s="5498">
        <f>'3. P PLAN'!L7</f>
        <v>60960</v>
      </c>
      <c r="L7" s="4551">
        <f>'3. P PLAN'!M7</f>
        <v>80640</v>
      </c>
      <c r="M7" s="5006">
        <f>'3. P PLAN'!N7</f>
        <v>20160</v>
      </c>
      <c r="N7" s="1643">
        <f>'3. P PLAN'!O7</f>
        <v>15000</v>
      </c>
      <c r="O7" s="2055">
        <f>'3. P PLAN'!P7</f>
        <v>0</v>
      </c>
      <c r="P7" s="1554">
        <f>'3. P PLAN'!Q7</f>
        <v>0</v>
      </c>
      <c r="Q7" s="1555">
        <f>'3. P PLAN'!R7</f>
        <v>0</v>
      </c>
      <c r="R7" s="1599">
        <f>'3. P PLAN'!S7</f>
        <v>0</v>
      </c>
      <c r="S7" s="1554">
        <f>'3. P PLAN'!T7</f>
        <v>0</v>
      </c>
      <c r="T7" s="1555">
        <f>'3. P PLAN'!U7</f>
        <v>0</v>
      </c>
      <c r="U7" s="1557">
        <f>SUM(I7:T7)</f>
        <v>223080</v>
      </c>
    </row>
    <row r="8" spans="1:21" ht="21.75" customHeight="1">
      <c r="A8" s="7225"/>
      <c r="B8" s="7300"/>
      <c r="C8" s="7491"/>
      <c r="D8" s="25">
        <v>4</v>
      </c>
      <c r="E8" s="25" t="s">
        <v>1191</v>
      </c>
      <c r="F8" s="24"/>
      <c r="G8" s="1797"/>
      <c r="H8" s="1719">
        <v>0.98</v>
      </c>
      <c r="I8" s="4636">
        <f>'3. P PLAN'!J8</f>
        <v>209040</v>
      </c>
      <c r="J8" s="5006">
        <f>'3. P PLAN'!K8</f>
        <v>55293</v>
      </c>
      <c r="K8" s="5498">
        <f>'3. P PLAN'!L8</f>
        <v>0</v>
      </c>
      <c r="L8" s="4551">
        <f>'3. P PLAN'!M8</f>
        <v>9876</v>
      </c>
      <c r="M8" s="5006">
        <f>'3. P PLAN'!N8</f>
        <v>83280</v>
      </c>
      <c r="N8" s="1643">
        <f>'3. P PLAN'!O8</f>
        <v>0</v>
      </c>
      <c r="O8" s="2055">
        <f>'3. P PLAN'!P8</f>
        <v>0</v>
      </c>
      <c r="P8" s="1554">
        <f>'3. P PLAN'!Q8</f>
        <v>0</v>
      </c>
      <c r="Q8" s="1555">
        <f>'3. P PLAN'!R8</f>
        <v>0</v>
      </c>
      <c r="R8" s="1599">
        <f>'3. P PLAN'!S8</f>
        <v>0</v>
      </c>
      <c r="S8" s="1554">
        <f>'3. P PLAN'!T8</f>
        <v>0</v>
      </c>
      <c r="T8" s="1555">
        <f>'3. P PLAN'!U8</f>
        <v>0</v>
      </c>
      <c r="U8" s="1557">
        <f>SUM(I8:T8)</f>
        <v>357489</v>
      </c>
    </row>
    <row r="9" spans="1:21" ht="21.75" customHeight="1">
      <c r="A9" s="7225"/>
      <c r="B9" s="7300"/>
      <c r="C9" s="7491"/>
      <c r="D9" s="25">
        <v>5</v>
      </c>
      <c r="E9" s="2000" t="s">
        <v>1216</v>
      </c>
      <c r="F9" s="2013"/>
      <c r="G9" s="1797"/>
      <c r="H9" s="1719">
        <v>0.98</v>
      </c>
      <c r="I9" s="4636">
        <f>'3. P PLAN'!J9</f>
        <v>0</v>
      </c>
      <c r="J9" s="5006">
        <f>'3. P PLAN'!K9</f>
        <v>0</v>
      </c>
      <c r="K9" s="5498">
        <f>'3. P PLAN'!L9</f>
        <v>0</v>
      </c>
      <c r="L9" s="4551">
        <f>'3. P PLAN'!M9</f>
        <v>0</v>
      </c>
      <c r="M9" s="5006">
        <f>'3. P PLAN'!N9</f>
        <v>101760</v>
      </c>
      <c r="N9" s="1643">
        <f>'3. P PLAN'!O9</f>
        <v>790000</v>
      </c>
      <c r="O9" s="1553">
        <f>'3. P PLAN'!P9</f>
        <v>1000000</v>
      </c>
      <c r="P9" s="1554">
        <f>'3. P PLAN'!Q9</f>
        <v>1000000</v>
      </c>
      <c r="Q9" s="1555">
        <f>'3. P PLAN'!R9</f>
        <v>700000</v>
      </c>
      <c r="R9" s="1599">
        <f>'3. P PLAN'!S9</f>
        <v>500000</v>
      </c>
      <c r="S9" s="1554">
        <f>'3. P PLAN'!T9</f>
        <v>500000</v>
      </c>
      <c r="T9" s="1555">
        <f>'3. P PLAN'!U9</f>
        <v>400000</v>
      </c>
      <c r="U9" s="1557">
        <f t="shared" ref="U9:U17" si="0">SUM(I9:T9)</f>
        <v>4991760</v>
      </c>
    </row>
    <row r="10" spans="1:21" ht="17.25" customHeight="1">
      <c r="A10" s="7225"/>
      <c r="B10" s="7300"/>
      <c r="C10" s="7491"/>
      <c r="D10" s="25">
        <v>6</v>
      </c>
      <c r="E10" s="25" t="s">
        <v>1217</v>
      </c>
      <c r="F10" s="24"/>
      <c r="G10" s="1797"/>
      <c r="H10" s="1719">
        <v>0.98</v>
      </c>
      <c r="I10" s="4636">
        <f>'3. P PLAN'!J10</f>
        <v>69200</v>
      </c>
      <c r="J10" s="5006">
        <f>'3. P PLAN'!K10</f>
        <v>411900</v>
      </c>
      <c r="K10" s="5498">
        <f>'3. P PLAN'!L10</f>
        <v>222600</v>
      </c>
      <c r="L10" s="4551">
        <f>'3. P PLAN'!M10</f>
        <v>0</v>
      </c>
      <c r="M10" s="5006">
        <f>'3. P PLAN'!N10</f>
        <v>48600</v>
      </c>
      <c r="N10" s="1643">
        <f>'3. P PLAN'!O10</f>
        <v>100000</v>
      </c>
      <c r="O10" s="1553">
        <f>'3. P PLAN'!P10</f>
        <v>100000</v>
      </c>
      <c r="P10" s="1554">
        <f>'3. P PLAN'!Q10</f>
        <v>50000</v>
      </c>
      <c r="Q10" s="1555">
        <f>'3. P PLAN'!R10</f>
        <v>50000</v>
      </c>
      <c r="R10" s="1599">
        <f>'3. P PLAN'!S10</f>
        <v>5000</v>
      </c>
      <c r="S10" s="1554">
        <f>'3. P PLAN'!T10</f>
        <v>0</v>
      </c>
      <c r="T10" s="1555">
        <f>'3. P PLAN'!U10</f>
        <v>0</v>
      </c>
      <c r="U10" s="1557">
        <f t="shared" si="0"/>
        <v>1057300</v>
      </c>
    </row>
    <row r="11" spans="1:21" ht="17.25" customHeight="1">
      <c r="A11" s="7225"/>
      <c r="B11" s="7300"/>
      <c r="C11" s="7492"/>
      <c r="D11" s="25">
        <v>7</v>
      </c>
      <c r="E11" s="25" t="s">
        <v>1218</v>
      </c>
      <c r="F11" s="24"/>
      <c r="G11" s="1797"/>
      <c r="H11" s="1719">
        <v>0.98</v>
      </c>
      <c r="I11" s="4636">
        <f>'3. P PLAN'!J11</f>
        <v>0</v>
      </c>
      <c r="J11" s="5006">
        <f>'3. P PLAN'!K11</f>
        <v>0</v>
      </c>
      <c r="K11" s="5498">
        <f>'3. P PLAN'!L11</f>
        <v>0</v>
      </c>
      <c r="L11" s="4551">
        <f>'3. P PLAN'!M11</f>
        <v>0</v>
      </c>
      <c r="M11" s="5006">
        <f>'3. P PLAN'!N11</f>
        <v>0</v>
      </c>
      <c r="N11" s="1643">
        <f>'3. P PLAN'!O11</f>
        <v>0</v>
      </c>
      <c r="O11" s="1553">
        <f>'3. P PLAN'!P11</f>
        <v>0</v>
      </c>
      <c r="P11" s="1554">
        <f>'3. P PLAN'!Q11</f>
        <v>0</v>
      </c>
      <c r="Q11" s="1555">
        <f>'3. P PLAN'!R11</f>
        <v>0</v>
      </c>
      <c r="R11" s="1599">
        <f>'3. P PLAN'!S11</f>
        <v>50000</v>
      </c>
      <c r="S11" s="1554">
        <f>'3. P PLAN'!T11</f>
        <v>400000</v>
      </c>
      <c r="T11" s="1555">
        <f>'3. P PLAN'!U11</f>
        <v>400000</v>
      </c>
      <c r="U11" s="1557">
        <f t="shared" si="0"/>
        <v>850000</v>
      </c>
    </row>
    <row r="12" spans="1:21" ht="17.25" customHeight="1">
      <c r="A12" s="7225"/>
      <c r="B12" s="7300"/>
      <c r="C12" s="7502" t="s">
        <v>150</v>
      </c>
      <c r="D12" s="26">
        <v>18</v>
      </c>
      <c r="E12" s="26" t="s">
        <v>846</v>
      </c>
      <c r="F12" s="3637"/>
      <c r="G12" s="1809"/>
      <c r="H12" s="3638">
        <v>0.98</v>
      </c>
      <c r="I12" s="4637">
        <f>'3. P PLAN'!J97</f>
        <v>20000</v>
      </c>
      <c r="J12" s="5056">
        <f>'3. P PLAN'!K97</f>
        <v>6788</v>
      </c>
      <c r="K12" s="5533">
        <f>'3. P PLAN'!L97</f>
        <v>19184.899184899186</v>
      </c>
      <c r="L12" s="4750">
        <f>'3. P PLAN'!M97</f>
        <v>17777.777777777777</v>
      </c>
      <c r="M12" s="5056">
        <f>'3. P PLAN'!N97</f>
        <v>16177.60617760618</v>
      </c>
      <c r="N12" s="1750">
        <f>'3. P PLAN'!O97</f>
        <v>20296.010296010296</v>
      </c>
      <c r="O12" s="1571">
        <f>'3. P PLAN'!P97</f>
        <v>20296.010296010296</v>
      </c>
      <c r="P12" s="1572">
        <f>'3. P PLAN'!Q97</f>
        <v>20296.010296010296</v>
      </c>
      <c r="Q12" s="1573">
        <f>'3. P PLAN'!R97</f>
        <v>20296.010296010296</v>
      </c>
      <c r="R12" s="1751">
        <f>'3. P PLAN'!S97</f>
        <v>20296.010296010296</v>
      </c>
      <c r="S12" s="1572">
        <f>'3. P PLAN'!T97</f>
        <v>15148.005148005148</v>
      </c>
      <c r="T12" s="1573">
        <f>'3. P PLAN'!U97</f>
        <v>15148.005148005148</v>
      </c>
      <c r="U12" s="1575">
        <f t="shared" si="0"/>
        <v>211704.34491634491</v>
      </c>
    </row>
    <row r="13" spans="1:21" ht="17.25" customHeight="1">
      <c r="A13" s="7225"/>
      <c r="B13" s="7300"/>
      <c r="C13" s="7491"/>
      <c r="D13" s="25">
        <v>19</v>
      </c>
      <c r="E13" s="25" t="s">
        <v>847</v>
      </c>
      <c r="F13" s="24"/>
      <c r="G13" s="1797"/>
      <c r="H13" s="1719">
        <v>0.98</v>
      </c>
      <c r="I13" s="4636">
        <f>'3. P PLAN'!J98</f>
        <v>222.22222222222223</v>
      </c>
      <c r="J13" s="5006">
        <f>'3. P PLAN'!K98</f>
        <v>222.22222222222223</v>
      </c>
      <c r="K13" s="5498">
        <v>445</v>
      </c>
      <c r="L13" s="4551">
        <f>'3. P PLAN'!M98</f>
        <v>157.77684446311073</v>
      </c>
      <c r="M13" s="5006">
        <f>'3. P PLAN'!N98</f>
        <v>222.22222222222223</v>
      </c>
      <c r="N13" s="1643">
        <f>'3. P PLAN'!O98</f>
        <v>222.22222222222223</v>
      </c>
      <c r="O13" s="1553">
        <f>'3. P PLAN'!P98</f>
        <v>277.77777777777771</v>
      </c>
      <c r="P13" s="1554">
        <f>'3. P PLAN'!Q98</f>
        <v>277.77777777777771</v>
      </c>
      <c r="Q13" s="1555">
        <f>'3. P PLAN'!R98</f>
        <v>277.77777777777771</v>
      </c>
      <c r="R13" s="1599">
        <f>'3. P PLAN'!S98</f>
        <v>222.22222222222223</v>
      </c>
      <c r="S13" s="1554">
        <f>'3. P PLAN'!T98</f>
        <v>111.11111111111111</v>
      </c>
      <c r="T13" s="1555">
        <f>'3. P PLAN'!U98</f>
        <v>111.11111111111111</v>
      </c>
      <c r="U13" s="1557">
        <f t="shared" si="0"/>
        <v>2769.4435111297776</v>
      </c>
    </row>
    <row r="14" spans="1:21" ht="17.25" customHeight="1">
      <c r="A14" s="7225"/>
      <c r="B14" s="7300"/>
      <c r="C14" s="7491"/>
      <c r="D14" s="25">
        <v>20</v>
      </c>
      <c r="E14" s="25" t="s">
        <v>1171</v>
      </c>
      <c r="F14" s="24"/>
      <c r="G14" s="1797"/>
      <c r="H14" s="1719">
        <v>0.98</v>
      </c>
      <c r="I14" s="4636">
        <f>'3. P PLAN'!J99</f>
        <v>0</v>
      </c>
      <c r="J14" s="5006">
        <f>'3. P PLAN'!K99</f>
        <v>0</v>
      </c>
      <c r="K14" s="5498">
        <f>'3. P PLAN'!L99</f>
        <v>0</v>
      </c>
      <c r="L14" s="4551">
        <f>'3. P PLAN'!M99</f>
        <v>0</v>
      </c>
      <c r="M14" s="5006">
        <f>'3. P PLAN'!N99</f>
        <v>0</v>
      </c>
      <c r="N14" s="1643">
        <f>'3. P PLAN'!O99</f>
        <v>0</v>
      </c>
      <c r="O14" s="1553">
        <f>'3. P PLAN'!P99</f>
        <v>0</v>
      </c>
      <c r="P14" s="1554">
        <f>'3. P PLAN'!Q99</f>
        <v>0</v>
      </c>
      <c r="Q14" s="1555">
        <f>'3. P PLAN'!R99</f>
        <v>0</v>
      </c>
      <c r="R14" s="1599">
        <f>'3. P PLAN'!S99</f>
        <v>0</v>
      </c>
      <c r="S14" s="1554">
        <f>'3. P PLAN'!T99</f>
        <v>0</v>
      </c>
      <c r="T14" s="1555">
        <f>'3. P PLAN'!U99</f>
        <v>0</v>
      </c>
      <c r="U14" s="1557">
        <f t="shared" si="0"/>
        <v>0</v>
      </c>
    </row>
    <row r="15" spans="1:21" ht="17.25" customHeight="1">
      <c r="A15" s="7225"/>
      <c r="B15" s="7300"/>
      <c r="C15" s="7491"/>
      <c r="D15" s="25">
        <v>21</v>
      </c>
      <c r="E15" s="25" t="s">
        <v>1048</v>
      </c>
      <c r="F15" s="24"/>
      <c r="G15" s="1797"/>
      <c r="H15" s="1719">
        <v>0.98</v>
      </c>
      <c r="I15" s="4636">
        <f>'3. P PLAN'!J100</f>
        <v>1111.1111111111111</v>
      </c>
      <c r="J15" s="5006">
        <f>'3. P PLAN'!K100</f>
        <v>902.29728635074923</v>
      </c>
      <c r="K15" s="5498">
        <f>'3. P PLAN'!L100</f>
        <v>1111.1111111111111</v>
      </c>
      <c r="L15" s="4551">
        <f>'3. P PLAN'!M100</f>
        <v>1111.1111111111111</v>
      </c>
      <c r="M15" s="5006">
        <f>'3. P PLAN'!N100</f>
        <v>1111.1111111111111</v>
      </c>
      <c r="N15" s="1643">
        <f>'3. P PLAN'!O100</f>
        <v>1111.1111111111111</v>
      </c>
      <c r="O15" s="1553">
        <f>'3. P PLAN'!P100</f>
        <v>1111.1111111111111</v>
      </c>
      <c r="P15" s="1554">
        <f>'3. P PLAN'!Q100</f>
        <v>1111.1111111111111</v>
      </c>
      <c r="Q15" s="1555">
        <f>'3. P PLAN'!R100</f>
        <v>1111.1111111111111</v>
      </c>
      <c r="R15" s="1599">
        <f>'3. P PLAN'!S100</f>
        <v>1111.1111111111111</v>
      </c>
      <c r="S15" s="1554">
        <f>'3. P PLAN'!T100</f>
        <v>1111.1111111111111</v>
      </c>
      <c r="T15" s="1555">
        <f>'3. P PLAN'!U100</f>
        <v>1111.1111111111111</v>
      </c>
      <c r="U15" s="1557">
        <f t="shared" si="0"/>
        <v>13124.519508572972</v>
      </c>
    </row>
    <row r="16" spans="1:21" ht="17.25" customHeight="1">
      <c r="A16" s="7225"/>
      <c r="B16" s="7300"/>
      <c r="C16" s="7491"/>
      <c r="D16" s="25">
        <v>22</v>
      </c>
      <c r="E16" s="2000" t="s">
        <v>1049</v>
      </c>
      <c r="F16" s="2013"/>
      <c r="G16" s="1797"/>
      <c r="H16" s="1719">
        <v>0.98</v>
      </c>
      <c r="I16" s="4636">
        <f>'3. P PLAN'!J16</f>
        <v>1000</v>
      </c>
      <c r="J16" s="5006">
        <f>'3. P PLAN'!K16</f>
        <v>812.0675577156743</v>
      </c>
      <c r="K16" s="5498">
        <f>'3. P PLAN'!L16</f>
        <v>1000</v>
      </c>
      <c r="L16" s="4551">
        <f>'3. P PLAN'!M16</f>
        <v>1000</v>
      </c>
      <c r="M16" s="5006">
        <f>'3. P PLAN'!N16</f>
        <v>1000</v>
      </c>
      <c r="N16" s="1643">
        <f>'3. P PLAN'!O16</f>
        <v>1000</v>
      </c>
      <c r="O16" s="1553">
        <f>'3. P PLAN'!P16</f>
        <v>1000</v>
      </c>
      <c r="P16" s="1554">
        <f>'3. P PLAN'!Q16</f>
        <v>1000</v>
      </c>
      <c r="Q16" s="1555">
        <f>'3. P PLAN'!R16</f>
        <v>1000</v>
      </c>
      <c r="R16" s="1599">
        <f>'3. P PLAN'!S16</f>
        <v>1000</v>
      </c>
      <c r="S16" s="1554">
        <f>'3. P PLAN'!T16</f>
        <v>1000</v>
      </c>
      <c r="T16" s="1555">
        <f>'3. P PLAN'!U16</f>
        <v>1000</v>
      </c>
      <c r="U16" s="1557">
        <f t="shared" si="0"/>
        <v>11812.067557715674</v>
      </c>
    </row>
    <row r="17" spans="1:21" ht="17.25" customHeight="1">
      <c r="A17" s="7225"/>
      <c r="B17" s="7300"/>
      <c r="C17" s="7503"/>
      <c r="D17" s="25">
        <v>23</v>
      </c>
      <c r="E17" s="1997" t="str">
        <f>'3. P PLAN'!F18</f>
        <v>LDS Antenna</v>
      </c>
      <c r="F17" s="3392"/>
      <c r="G17" s="1795"/>
      <c r="H17" s="1714">
        <v>0.98</v>
      </c>
      <c r="I17" s="4636">
        <f>'3. P PLAN'!J17</f>
        <v>500</v>
      </c>
      <c r="J17" s="5006">
        <f>'3. P PLAN'!K17</f>
        <v>500</v>
      </c>
      <c r="K17" s="5498">
        <f>'3. P PLAN'!L17</f>
        <v>531.22721749696234</v>
      </c>
      <c r="L17" s="4551">
        <f>'3. P PLAN'!M17</f>
        <v>0</v>
      </c>
      <c r="M17" s="5006">
        <f>'3. P PLAN'!N17</f>
        <v>500</v>
      </c>
      <c r="N17" s="1643">
        <f>'3. P PLAN'!O17</f>
        <v>0</v>
      </c>
      <c r="O17" s="1553">
        <f>'3. P PLAN'!P17</f>
        <v>500</v>
      </c>
      <c r="P17" s="1554">
        <f>'3. P PLAN'!Q17</f>
        <v>0</v>
      </c>
      <c r="Q17" s="1555">
        <f>'3. P PLAN'!R17</f>
        <v>500</v>
      </c>
      <c r="R17" s="1599">
        <f>'3. P PLAN'!S17</f>
        <v>0</v>
      </c>
      <c r="S17" s="1554">
        <f>'3. P PLAN'!T17</f>
        <v>500</v>
      </c>
      <c r="T17" s="1555">
        <f>'3. P PLAN'!U17</f>
        <v>0</v>
      </c>
      <c r="U17" s="1557">
        <f t="shared" si="0"/>
        <v>3531.2272174969621</v>
      </c>
    </row>
    <row r="18" spans="1:21" ht="17.25" customHeight="1">
      <c r="A18" s="7500">
        <v>2</v>
      </c>
      <c r="B18" s="7501" t="s">
        <v>1278</v>
      </c>
      <c r="C18" s="5833" t="s">
        <v>348</v>
      </c>
      <c r="D18" s="5834">
        <f>VLOOKUP(E18,B.BasicInfomation!B:C,2,0)</f>
        <v>43</v>
      </c>
      <c r="E18" s="7482" t="str">
        <f>'3. P PLAN'!F66</f>
        <v>GM ACP Housing</v>
      </c>
      <c r="F18" s="7483"/>
      <c r="G18" s="5835"/>
      <c r="H18" s="5836">
        <v>0.98</v>
      </c>
      <c r="I18" s="4637">
        <f>'2. S Plan'!L81</f>
        <v>116257.04893332788</v>
      </c>
      <c r="J18" s="5056">
        <f>'2. S Plan'!M81</f>
        <v>0</v>
      </c>
      <c r="K18" s="5533">
        <f>'2. S Plan'!N81</f>
        <v>151469.97318800021</v>
      </c>
      <c r="L18" s="4750">
        <f>'2. S Plan'!O81</f>
        <v>18369.932001876317</v>
      </c>
      <c r="M18" s="5056">
        <f>'2. S Plan'!P81</f>
        <v>36377.914839652527</v>
      </c>
      <c r="N18" s="1750">
        <f>'2. S Plan'!Q81</f>
        <v>46812.411445163067</v>
      </c>
      <c r="O18" s="1571">
        <f>'2. S Plan'!R81</f>
        <v>99935.192221922378</v>
      </c>
      <c r="P18" s="1572">
        <f>'2. S Plan'!S81</f>
        <v>79135.151853424584</v>
      </c>
      <c r="Q18" s="1573">
        <f>'2. S Plan'!T81</f>
        <v>118105.73088895435</v>
      </c>
      <c r="R18" s="1751">
        <f>'2. S Plan'!U81</f>
        <v>118105.73088895435</v>
      </c>
      <c r="S18" s="1572">
        <f>'2. S Plan'!V81</f>
        <v>111554.83433665993</v>
      </c>
      <c r="T18" s="1573">
        <f>'2. S Plan'!W81</f>
        <v>116953.40706887511</v>
      </c>
      <c r="U18" s="1575">
        <f t="shared" ref="U18:U27" si="1">SUM(I18:T18)</f>
        <v>1013077.3276668107</v>
      </c>
    </row>
    <row r="19" spans="1:21" ht="17.25" customHeight="1">
      <c r="A19" s="7225"/>
      <c r="B19" s="7200"/>
      <c r="C19" s="10" t="s">
        <v>544</v>
      </c>
      <c r="D19" s="8"/>
      <c r="E19" s="25" t="str">
        <f>'2. S Plan'!F57</f>
        <v>MPC5.5 Cover Lens</v>
      </c>
      <c r="F19" s="24"/>
      <c r="G19" s="1797"/>
      <c r="H19" s="1719"/>
      <c r="I19" s="4636">
        <f>'2. S Plan'!L57</f>
        <v>145774.22603669483</v>
      </c>
      <c r="J19" s="5006">
        <f>'2. S Plan'!M57</f>
        <v>80811.176270963784</v>
      </c>
      <c r="K19" s="5498">
        <f>'2. S Plan'!N57</f>
        <v>145774.22603669483</v>
      </c>
      <c r="L19" s="4551">
        <f>'2. S Plan'!O57</f>
        <v>119959.13734392736</v>
      </c>
      <c r="M19" s="5006">
        <f>'2. S Plan'!P57</f>
        <v>64777.93416572077</v>
      </c>
      <c r="N19" s="1643">
        <f>'2. S Plan'!Q57</f>
        <v>82821.787741203196</v>
      </c>
      <c r="O19" s="1553">
        <f>'2. S Plan'!R57</f>
        <v>82821.787741203196</v>
      </c>
      <c r="P19" s="1554">
        <f>'2. S Plan'!S57</f>
        <v>82821.787741203196</v>
      </c>
      <c r="Q19" s="1555">
        <f>'2. S Plan'!T57</f>
        <v>82821.787741203196</v>
      </c>
      <c r="R19" s="1599">
        <f>'2. S Plan'!U57</f>
        <v>82821.787741203196</v>
      </c>
      <c r="S19" s="1554">
        <f>'2. S Plan'!V57</f>
        <v>82821.787741203196</v>
      </c>
      <c r="T19" s="1555">
        <f>'2. S Plan'!W57</f>
        <v>82821.787741203196</v>
      </c>
      <c r="U19" s="1557">
        <f>'2. S Plan'!X57</f>
        <v>1136849.214042424</v>
      </c>
    </row>
    <row r="20" spans="1:21" ht="17.25" customHeight="1">
      <c r="A20" s="7298"/>
      <c r="B20" s="7198"/>
      <c r="C20" s="10" t="s">
        <v>347</v>
      </c>
      <c r="D20" s="8">
        <v>32</v>
      </c>
      <c r="E20" s="7447" t="str">
        <f>'2. S Plan'!F76</f>
        <v>MAS65 Heatsink Cover</v>
      </c>
      <c r="F20" s="7448"/>
      <c r="G20" s="1797"/>
      <c r="H20" s="1719">
        <v>0.98</v>
      </c>
      <c r="I20" s="4636">
        <f>'2. S Plan'!L76</f>
        <v>95545.942753228592</v>
      </c>
      <c r="J20" s="5006">
        <f>'2. S Plan'!M76</f>
        <v>64304.616547321544</v>
      </c>
      <c r="K20" s="5498">
        <f>'2. S Plan'!N76</f>
        <v>64304.616547321544</v>
      </c>
      <c r="L20" s="4551">
        <f>'2. S Plan'!O76</f>
        <v>96456.924820982313</v>
      </c>
      <c r="M20" s="5006">
        <f>'2. S Plan'!P76</f>
        <v>64304.616547321544</v>
      </c>
      <c r="N20" s="1643">
        <f>'2. S Plan'!Q76</f>
        <v>92820.651861461156</v>
      </c>
      <c r="O20" s="1553">
        <f>'2. S Plan'!R76</f>
        <v>95978.467852624264</v>
      </c>
      <c r="P20" s="1554">
        <f>'2. S Plan'!S76</f>
        <v>64304.616547321544</v>
      </c>
      <c r="Q20" s="1555">
        <f>'2. S Plan'!T76</f>
        <v>64304.616547321544</v>
      </c>
      <c r="R20" s="1599">
        <f>'2. S Plan'!U76</f>
        <v>64304.616547321544</v>
      </c>
      <c r="S20" s="1554">
        <f>'2. S Plan'!V76</f>
        <v>64304.616547321544</v>
      </c>
      <c r="T20" s="1555">
        <f>'2. S Plan'!W76</f>
        <v>64304.616547321544</v>
      </c>
      <c r="U20" s="1557">
        <f t="shared" si="1"/>
        <v>895238.91966686875</v>
      </c>
    </row>
    <row r="21" spans="1:21" ht="17.25" customHeight="1">
      <c r="A21" s="7305">
        <v>3</v>
      </c>
      <c r="B21" s="7498" t="s">
        <v>1262</v>
      </c>
      <c r="C21" s="7499" t="s">
        <v>1262</v>
      </c>
      <c r="D21" s="5833">
        <f>'2. S Plan'!E283</f>
        <v>0</v>
      </c>
      <c r="E21" s="7482" t="str">
        <f>'2. S Plan'!F283</f>
        <v>Glass Frame (ZF60A-T5)</v>
      </c>
      <c r="F21" s="7483"/>
      <c r="G21" s="5835"/>
      <c r="H21" s="5837">
        <v>0.98</v>
      </c>
      <c r="I21" s="5838">
        <f>'2. S Plan'!L95</f>
        <v>0</v>
      </c>
      <c r="J21" s="5839">
        <f>'2. S Plan'!M95</f>
        <v>7.2684752104770807</v>
      </c>
      <c r="K21" s="5497">
        <f>'2. S Plan'!N95</f>
        <v>0</v>
      </c>
      <c r="L21" s="6049">
        <f>'2. S Plan'!O95</f>
        <v>90.503274087932638</v>
      </c>
      <c r="M21" s="5839">
        <f>'2. S Plan'!P95</f>
        <v>15</v>
      </c>
      <c r="N21" s="5291">
        <f>'2. S Plan'!Q95</f>
        <v>0</v>
      </c>
      <c r="O21" s="5841">
        <f>'2. S Plan'!R95</f>
        <v>0</v>
      </c>
      <c r="P21" s="5840">
        <f>'2. S Plan'!S95</f>
        <v>77.174929840972865</v>
      </c>
      <c r="Q21" s="5842">
        <f>'2. S Plan'!T95</f>
        <v>115.7623947614593</v>
      </c>
      <c r="R21" s="5843">
        <f>'2. S Plan'!U95</f>
        <v>77.174929840972865</v>
      </c>
      <c r="S21" s="5840">
        <f>'2. S Plan'!V95</f>
        <v>77.174929840972865</v>
      </c>
      <c r="T21" s="5842">
        <f>'2. S Plan'!W95</f>
        <v>77.174929840972865</v>
      </c>
      <c r="U21" s="5844">
        <f t="shared" si="1"/>
        <v>537.23386342376045</v>
      </c>
    </row>
    <row r="22" spans="1:21" ht="17.25" customHeight="1" thickBot="1">
      <c r="A22" s="7225"/>
      <c r="B22" s="7200"/>
      <c r="C22" s="7186"/>
      <c r="D22" s="10"/>
      <c r="E22" s="7447" t="str">
        <f>'2. S Plan'!F284</f>
        <v>Body Compute enclosure (AL6061-T6)</v>
      </c>
      <c r="F22" s="7448"/>
      <c r="G22" s="1797"/>
      <c r="H22" s="3571">
        <v>0.98</v>
      </c>
      <c r="I22" s="4636">
        <f>'2. S Plan'!L96</f>
        <v>0</v>
      </c>
      <c r="J22" s="5006">
        <f>'2. S Plan'!M96</f>
        <v>7.7315247895229184</v>
      </c>
      <c r="K22" s="5498">
        <f>'2. S Plan'!N96</f>
        <v>67.291861552853135</v>
      </c>
      <c r="L22" s="4551">
        <f>'2. S Plan'!O96</f>
        <v>0</v>
      </c>
      <c r="M22" s="5006">
        <f>'2. S Plan'!P96</f>
        <v>0</v>
      </c>
      <c r="N22" s="1643">
        <f>'2. S Plan'!Q96</f>
        <v>0</v>
      </c>
      <c r="O22" s="2055">
        <f>'2. S Plan'!R96</f>
        <v>0</v>
      </c>
      <c r="P22" s="1554">
        <f>'2. S Plan'!S96</f>
        <v>0</v>
      </c>
      <c r="Q22" s="1555">
        <f>'2. S Plan'!T96</f>
        <v>0</v>
      </c>
      <c r="R22" s="1599">
        <f>'2. S Plan'!U96</f>
        <v>0</v>
      </c>
      <c r="S22" s="1554">
        <f>'2. S Plan'!V96</f>
        <v>0</v>
      </c>
      <c r="T22" s="1555">
        <f>'2. S Plan'!W96</f>
        <v>0</v>
      </c>
      <c r="U22" s="1557">
        <f t="shared" si="1"/>
        <v>75.023386342376057</v>
      </c>
    </row>
    <row r="23" spans="1:21" ht="17.25" hidden="1" customHeight="1">
      <c r="A23" s="7225"/>
      <c r="B23" s="7200"/>
      <c r="C23" s="7186"/>
      <c r="D23" s="10"/>
      <c r="E23" s="7447" t="str">
        <f>'2. S Plan'!F285</f>
        <v>Others Part</v>
      </c>
      <c r="F23" s="7448"/>
      <c r="G23" s="1797"/>
      <c r="H23" s="3571">
        <v>0.98</v>
      </c>
      <c r="I23" s="4636">
        <f>'2. S Plan'!L97</f>
        <v>0</v>
      </c>
      <c r="J23" s="5006">
        <f>'2. S Plan'!M97</f>
        <v>66.610389610389618</v>
      </c>
      <c r="K23" s="5498">
        <f>'2. S Plan'!N97</f>
        <v>2525.6623376623374</v>
      </c>
      <c r="L23" s="4551">
        <f>'2. S Plan'!O97</f>
        <v>2449.5757575757575</v>
      </c>
      <c r="M23" s="5006">
        <f>'2. S Plan'!P97</f>
        <v>2180</v>
      </c>
      <c r="N23" s="1643">
        <f>'2. S Plan'!Q97</f>
        <v>10.942105263157895</v>
      </c>
      <c r="O23" s="2055">
        <f>'2. S Plan'!R97</f>
        <v>0</v>
      </c>
      <c r="P23" s="1554">
        <f>'2. S Plan'!S97</f>
        <v>75</v>
      </c>
      <c r="Q23" s="1555">
        <f>'2. S Plan'!T97</f>
        <v>75</v>
      </c>
      <c r="R23" s="1599">
        <f>'2. S Plan'!U97</f>
        <v>75</v>
      </c>
      <c r="S23" s="1554">
        <f>'2. S Plan'!V97</f>
        <v>75</v>
      </c>
      <c r="T23" s="1555">
        <f>'2. S Plan'!W97</f>
        <v>75</v>
      </c>
      <c r="U23" s="1557">
        <f t="shared" si="1"/>
        <v>7607.7905901116419</v>
      </c>
    </row>
    <row r="24" spans="1:21" ht="17.25" hidden="1" customHeight="1">
      <c r="A24" s="7225"/>
      <c r="B24" s="7200"/>
      <c r="C24" s="7186"/>
      <c r="D24" s="10"/>
      <c r="E24" s="7447" t="e">
        <f>'2. S Plan'!#REF!</f>
        <v>#REF!</v>
      </c>
      <c r="F24" s="7448"/>
      <c r="G24" s="1797"/>
      <c r="H24" s="3571">
        <v>0.98</v>
      </c>
      <c r="I24" s="4636">
        <f>'2. S Plan'!L98</f>
        <v>0</v>
      </c>
      <c r="J24" s="5006">
        <f>'2. S Plan'!M98</f>
        <v>0</v>
      </c>
      <c r="K24" s="5498">
        <f>'2. S Plan'!N98</f>
        <v>0</v>
      </c>
      <c r="L24" s="4551">
        <f>'2. S Plan'!O98</f>
        <v>0</v>
      </c>
      <c r="M24" s="5006">
        <f>'2. S Plan'!P98</f>
        <v>0</v>
      </c>
      <c r="N24" s="1643">
        <f>'2. S Plan'!Q98</f>
        <v>0</v>
      </c>
      <c r="O24" s="1553">
        <f>'2. S Plan'!R98</f>
        <v>0</v>
      </c>
      <c r="P24" s="1554">
        <f>'2. S Plan'!S98</f>
        <v>0</v>
      </c>
      <c r="Q24" s="1555">
        <f>'2. S Plan'!T98</f>
        <v>0</v>
      </c>
      <c r="R24" s="1599">
        <f>'2. S Plan'!U98</f>
        <v>0</v>
      </c>
      <c r="S24" s="1554">
        <f>'2. S Plan'!V98</f>
        <v>0</v>
      </c>
      <c r="T24" s="1555">
        <f>'2. S Plan'!W98</f>
        <v>0</v>
      </c>
      <c r="U24" s="1557">
        <f t="shared" si="1"/>
        <v>0</v>
      </c>
    </row>
    <row r="25" spans="1:21" ht="17.25" hidden="1" customHeight="1">
      <c r="A25" s="7225"/>
      <c r="B25" s="7200"/>
      <c r="C25" s="7186"/>
      <c r="D25" s="10"/>
      <c r="E25" s="7447" t="e">
        <f>'2. S Plan'!#REF!</f>
        <v>#REF!</v>
      </c>
      <c r="F25" s="7448"/>
      <c r="G25" s="1797"/>
      <c r="H25" s="3571">
        <v>0.98</v>
      </c>
      <c r="I25" s="4636">
        <f>'2. S Plan'!L99</f>
        <v>0</v>
      </c>
      <c r="J25" s="5006">
        <f>'2. S Plan'!M99</f>
        <v>0</v>
      </c>
      <c r="K25" s="5498">
        <f>'2. S Plan'!N99</f>
        <v>0</v>
      </c>
      <c r="L25" s="4551">
        <f>'2. S Plan'!O99</f>
        <v>0</v>
      </c>
      <c r="M25" s="5006">
        <f>'2. S Plan'!P99</f>
        <v>0</v>
      </c>
      <c r="N25" s="1643">
        <f>'2. S Plan'!Q99</f>
        <v>0</v>
      </c>
      <c r="O25" s="1553">
        <f>'2. S Plan'!R99</f>
        <v>0</v>
      </c>
      <c r="P25" s="1554">
        <f>'2. S Plan'!S99</f>
        <v>0</v>
      </c>
      <c r="Q25" s="1555">
        <f>'2. S Plan'!T99</f>
        <v>0</v>
      </c>
      <c r="R25" s="1599">
        <f>'2. S Plan'!U99</f>
        <v>0</v>
      </c>
      <c r="S25" s="1554">
        <f>'2. S Plan'!V99</f>
        <v>0</v>
      </c>
      <c r="T25" s="1555">
        <f>'2. S Plan'!W99</f>
        <v>0</v>
      </c>
      <c r="U25" s="1557">
        <f t="shared" si="1"/>
        <v>0</v>
      </c>
    </row>
    <row r="26" spans="1:21" ht="17.25" hidden="1" customHeight="1">
      <c r="A26" s="7225"/>
      <c r="B26" s="7200"/>
      <c r="C26" s="7186"/>
      <c r="D26" s="10"/>
      <c r="E26" s="7447" t="e">
        <f>'2. S Plan'!#REF!</f>
        <v>#REF!</v>
      </c>
      <c r="F26" s="7448"/>
      <c r="G26" s="1797"/>
      <c r="H26" s="3571">
        <v>0.98</v>
      </c>
      <c r="I26" s="4636">
        <f>'2. S Plan'!L100</f>
        <v>0</v>
      </c>
      <c r="J26" s="5006">
        <f>'2. S Plan'!M100</f>
        <v>0</v>
      </c>
      <c r="K26" s="5498">
        <f>'2. S Plan'!N100</f>
        <v>0</v>
      </c>
      <c r="L26" s="4551">
        <f>'2. S Plan'!O100</f>
        <v>0</v>
      </c>
      <c r="M26" s="5006">
        <f>'2. S Plan'!P100</f>
        <v>0</v>
      </c>
      <c r="N26" s="1643">
        <f>'2. S Plan'!Q100</f>
        <v>0</v>
      </c>
      <c r="O26" s="1553">
        <f>'2. S Plan'!R100</f>
        <v>0</v>
      </c>
      <c r="P26" s="1554">
        <f>'2. S Plan'!S100</f>
        <v>0</v>
      </c>
      <c r="Q26" s="1555">
        <f>'2. S Plan'!T100</f>
        <v>0</v>
      </c>
      <c r="R26" s="1599">
        <f>'2. S Plan'!U100</f>
        <v>0</v>
      </c>
      <c r="S26" s="1554">
        <f>'2. S Plan'!V100</f>
        <v>0</v>
      </c>
      <c r="T26" s="1555">
        <f>'2. S Plan'!W100</f>
        <v>0</v>
      </c>
      <c r="U26" s="1557">
        <f t="shared" si="1"/>
        <v>0</v>
      </c>
    </row>
    <row r="27" spans="1:21" ht="17.25" hidden="1" customHeight="1" thickBot="1">
      <c r="A27" s="7225"/>
      <c r="B27" s="7200"/>
      <c r="C27" s="7186"/>
      <c r="D27" s="10"/>
      <c r="E27" s="7447" t="e">
        <f>'2. S Plan'!#REF!</f>
        <v>#REF!</v>
      </c>
      <c r="F27" s="7448"/>
      <c r="G27" s="1797"/>
      <c r="H27" s="3571">
        <v>0.98</v>
      </c>
      <c r="I27" s="4636">
        <f>'2. S Plan'!L101</f>
        <v>0</v>
      </c>
      <c r="J27" s="5006">
        <f>'2. S Plan'!M101</f>
        <v>0</v>
      </c>
      <c r="K27" s="5498">
        <f>'2. S Plan'!N101</f>
        <v>0</v>
      </c>
      <c r="L27" s="4551">
        <f>'2. S Plan'!O101</f>
        <v>0</v>
      </c>
      <c r="M27" s="5006">
        <f>'2. S Plan'!P101</f>
        <v>0</v>
      </c>
      <c r="N27" s="1643">
        <f>'2. S Plan'!Q101</f>
        <v>0</v>
      </c>
      <c r="O27" s="1553">
        <f>'2. S Plan'!R101</f>
        <v>0</v>
      </c>
      <c r="P27" s="1554">
        <f>'2. S Plan'!S101</f>
        <v>0</v>
      </c>
      <c r="Q27" s="1555">
        <f>'2. S Plan'!T101</f>
        <v>0</v>
      </c>
      <c r="R27" s="1599">
        <f>'2. S Plan'!U101</f>
        <v>0</v>
      </c>
      <c r="S27" s="1554">
        <f>'2. S Plan'!V101</f>
        <v>0</v>
      </c>
      <c r="T27" s="1555">
        <f>'2. S Plan'!W101</f>
        <v>0</v>
      </c>
      <c r="U27" s="1557">
        <f t="shared" si="1"/>
        <v>0</v>
      </c>
    </row>
    <row r="28" spans="1:21" ht="17.25" customHeight="1" thickBot="1">
      <c r="A28" s="7493" t="s">
        <v>137</v>
      </c>
      <c r="B28" s="7493"/>
      <c r="C28" s="7493"/>
      <c r="D28" s="7493"/>
      <c r="E28" s="7493"/>
      <c r="F28" s="7493"/>
      <c r="G28" s="7493"/>
      <c r="H28" s="7493"/>
      <c r="I28" s="4638">
        <f t="shared" ref="I28:U28" si="2">SUM(I6:I27)</f>
        <v>1839130.5510565846</v>
      </c>
      <c r="J28" s="5236">
        <f t="shared" si="2"/>
        <v>1426174.9902741842</v>
      </c>
      <c r="K28" s="5236">
        <f t="shared" si="2"/>
        <v>1557544.0074847389</v>
      </c>
      <c r="L28" s="5236">
        <f t="shared" si="2"/>
        <v>1320433.7389318016</v>
      </c>
      <c r="M28" s="5236">
        <f t="shared" si="2"/>
        <v>1411266.4050636343</v>
      </c>
      <c r="N28" s="2179">
        <f t="shared" si="2"/>
        <v>2310095.1367824343</v>
      </c>
      <c r="O28" s="1769">
        <f t="shared" si="2"/>
        <v>2601920.3470006492</v>
      </c>
      <c r="P28" s="1769">
        <f t="shared" si="2"/>
        <v>2499098.6302566896</v>
      </c>
      <c r="Q28" s="1769">
        <f t="shared" si="2"/>
        <v>1838607.7967571395</v>
      </c>
      <c r="R28" s="1769">
        <f t="shared" si="2"/>
        <v>1593013.6537366635</v>
      </c>
      <c r="S28" s="1769">
        <f t="shared" si="2"/>
        <v>1926703.6409252526</v>
      </c>
      <c r="T28" s="3766">
        <f t="shared" si="2"/>
        <v>1831602.2136574679</v>
      </c>
      <c r="U28" s="1674">
        <f t="shared" si="2"/>
        <v>22155591.111927237</v>
      </c>
    </row>
    <row r="29" spans="1:21" ht="17.25" customHeight="1">
      <c r="I29" s="1534"/>
      <c r="K29" s="1534"/>
      <c r="M29" s="1534"/>
    </row>
    <row r="30" spans="1:21" ht="17.25" customHeight="1" thickBot="1">
      <c r="A30" s="1538" t="s">
        <v>282</v>
      </c>
      <c r="B30" s="1610"/>
      <c r="C30" s="1610"/>
      <c r="D30" s="1610"/>
      <c r="E30" s="3562"/>
      <c r="F30" s="2114"/>
      <c r="G30" s="2113"/>
      <c r="H30" s="2114"/>
      <c r="I30" s="1534"/>
      <c r="K30" s="1534"/>
      <c r="L30" s="2240"/>
      <c r="M30" s="1534"/>
      <c r="N30" s="1612"/>
      <c r="O30" s="1612"/>
      <c r="P30" s="1612"/>
      <c r="Q30" s="1612"/>
      <c r="R30" s="1612"/>
      <c r="S30" s="1612"/>
      <c r="T30" s="1612"/>
      <c r="U30" s="1537" t="s">
        <v>138</v>
      </c>
    </row>
    <row r="31" spans="1:21" ht="27.75" customHeight="1" thickBot="1">
      <c r="A31" s="82" t="s">
        <v>139</v>
      </c>
      <c r="B31" s="1842" t="s">
        <v>140</v>
      </c>
      <c r="C31" s="2470" t="s">
        <v>108</v>
      </c>
      <c r="D31" s="2471"/>
      <c r="E31" s="7489" t="s">
        <v>105</v>
      </c>
      <c r="F31" s="7166"/>
      <c r="G31" s="1842" t="s">
        <v>107</v>
      </c>
      <c r="H31" s="27" t="s">
        <v>240</v>
      </c>
      <c r="I31" s="4574" t="str">
        <f t="shared" ref="I31:U31" si="3">I4</f>
        <v>Jan.26</v>
      </c>
      <c r="J31" s="5005" t="str">
        <f t="shared" si="3"/>
        <v>Feb.26</v>
      </c>
      <c r="K31" s="5005" t="str">
        <f t="shared" si="3"/>
        <v>Mar.26</v>
      </c>
      <c r="L31" s="4574" t="str">
        <f t="shared" si="3"/>
        <v>Apr.26</v>
      </c>
      <c r="M31" s="5005" t="str">
        <f t="shared" si="3"/>
        <v>May.26</v>
      </c>
      <c r="N31" s="64" t="str">
        <f t="shared" si="3"/>
        <v>Jun.26</v>
      </c>
      <c r="O31" s="1539" t="str">
        <f t="shared" si="3"/>
        <v>Jul.26</v>
      </c>
      <c r="P31" s="74" t="str">
        <f t="shared" si="3"/>
        <v>Aug.26</v>
      </c>
      <c r="Q31" s="1540" t="str">
        <f t="shared" si="3"/>
        <v>Sep.26</v>
      </c>
      <c r="R31" s="1539" t="str">
        <f t="shared" si="3"/>
        <v>Oct.26</v>
      </c>
      <c r="S31" s="74" t="str">
        <f t="shared" si="3"/>
        <v>Nov.26</v>
      </c>
      <c r="T31" s="1540" t="str">
        <f t="shared" si="3"/>
        <v>Dec.26</v>
      </c>
      <c r="U31" s="2472" t="str">
        <f t="shared" si="3"/>
        <v>2026
Total</v>
      </c>
    </row>
    <row r="32" spans="1:21" ht="23.25" customHeight="1" thickBot="1">
      <c r="A32" s="7169">
        <v>1</v>
      </c>
      <c r="B32" s="7468" t="s">
        <v>493</v>
      </c>
      <c r="C32" s="7494" t="s">
        <v>1194</v>
      </c>
      <c r="D32" s="7495"/>
      <c r="E32" s="7484" t="s">
        <v>1193</v>
      </c>
      <c r="F32" s="7485"/>
      <c r="G32" s="1679" t="s">
        <v>1305</v>
      </c>
      <c r="H32" s="3189">
        <v>0</v>
      </c>
      <c r="I32" s="4639">
        <f>IF(SUM(I5:I11)-500000&gt;0,SUM(I5:I11)-500000,0)</f>
        <v>958720</v>
      </c>
      <c r="J32" s="5237">
        <f>IF(SUM(J5:J11)-500000&gt;0,SUM(J5:J11)-500000,0)</f>
        <v>771753</v>
      </c>
      <c r="K32" s="5602">
        <v>412500</v>
      </c>
      <c r="L32" s="4572">
        <f>IF(SUM(L5:L6)-780000&gt;0,SUM(L5:L6)-780000,0)</f>
        <v>192545</v>
      </c>
      <c r="M32" s="5115"/>
      <c r="N32" s="3257"/>
      <c r="O32" s="3258"/>
      <c r="P32" s="3259"/>
      <c r="Q32" s="3260"/>
      <c r="R32" s="3258"/>
      <c r="S32" s="3259"/>
      <c r="T32" s="3260"/>
      <c r="U32" s="3261">
        <f>SUM(I32:T32)</f>
        <v>2335518</v>
      </c>
    </row>
    <row r="33" spans="1:21" ht="23.25" customHeight="1" thickBot="1">
      <c r="A33" s="7170"/>
      <c r="B33" s="7469"/>
      <c r="C33" s="7496"/>
      <c r="D33" s="7497"/>
      <c r="E33" s="7093" t="s">
        <v>43</v>
      </c>
      <c r="F33" s="7094"/>
      <c r="G33" s="1690"/>
      <c r="H33" s="3190"/>
      <c r="I33" s="4640">
        <f>I32</f>
        <v>958720</v>
      </c>
      <c r="J33" s="5029">
        <f>J32</f>
        <v>771753</v>
      </c>
      <c r="K33" s="5603">
        <f>SUM(K32)</f>
        <v>412500</v>
      </c>
      <c r="L33" s="4645">
        <f t="shared" ref="L33:T33" si="4">SUM(L32)</f>
        <v>192545</v>
      </c>
      <c r="M33" s="5029">
        <f t="shared" si="4"/>
        <v>0</v>
      </c>
      <c r="N33" s="3240">
        <f t="shared" si="4"/>
        <v>0</v>
      </c>
      <c r="O33" s="2225">
        <f t="shared" si="4"/>
        <v>0</v>
      </c>
      <c r="P33" s="2226">
        <f t="shared" si="4"/>
        <v>0</v>
      </c>
      <c r="Q33" s="2227">
        <f t="shared" si="4"/>
        <v>0</v>
      </c>
      <c r="R33" s="2225">
        <f t="shared" si="4"/>
        <v>0</v>
      </c>
      <c r="S33" s="2226">
        <f t="shared" si="4"/>
        <v>0</v>
      </c>
      <c r="T33" s="2227">
        <f t="shared" si="4"/>
        <v>0</v>
      </c>
      <c r="U33" s="2142">
        <f>SUM(I33:T33)</f>
        <v>2335518</v>
      </c>
    </row>
    <row r="34" spans="1:21" ht="23.25" customHeight="1">
      <c r="A34" s="7170"/>
      <c r="B34" s="7469"/>
      <c r="C34" s="7505" t="s">
        <v>1260</v>
      </c>
      <c r="D34" s="7508"/>
      <c r="E34" s="7151" t="s">
        <v>150</v>
      </c>
      <c r="F34" s="7155"/>
      <c r="G34" s="67" t="s">
        <v>494</v>
      </c>
      <c r="H34" s="2473">
        <v>0</v>
      </c>
      <c r="I34" s="4641">
        <f>I17*1</f>
        <v>500</v>
      </c>
      <c r="J34" s="4728">
        <f>J17*1</f>
        <v>500</v>
      </c>
      <c r="K34" s="5498">
        <f>K17*1</f>
        <v>531.22721749696234</v>
      </c>
      <c r="L34" s="4576">
        <f t="shared" ref="L34:T34" si="5">L17*0.1</f>
        <v>0</v>
      </c>
      <c r="M34" s="5006">
        <f>M17*1</f>
        <v>500</v>
      </c>
      <c r="N34" s="1645">
        <f t="shared" si="5"/>
        <v>0</v>
      </c>
      <c r="O34" s="1759">
        <f>O17*1</f>
        <v>500</v>
      </c>
      <c r="P34" s="1642">
        <f t="shared" si="5"/>
        <v>0</v>
      </c>
      <c r="Q34" s="1643">
        <f>Q17*1</f>
        <v>500</v>
      </c>
      <c r="R34" s="1759">
        <f t="shared" si="5"/>
        <v>0</v>
      </c>
      <c r="S34" s="1642">
        <f>S17*1</f>
        <v>500</v>
      </c>
      <c r="T34" s="1643">
        <f t="shared" si="5"/>
        <v>0</v>
      </c>
      <c r="U34" s="2085">
        <f>SUM(I34:T34)</f>
        <v>3531.2272174969621</v>
      </c>
    </row>
    <row r="35" spans="1:21" ht="23.25" customHeight="1">
      <c r="A35" s="7170"/>
      <c r="B35" s="7469"/>
      <c r="C35" s="7505"/>
      <c r="D35" s="7508"/>
      <c r="E35" s="7151"/>
      <c r="F35" s="7155"/>
      <c r="G35" s="2433" t="s">
        <v>477</v>
      </c>
      <c r="H35" s="2473">
        <v>0</v>
      </c>
      <c r="I35" s="4642">
        <f>I17*1</f>
        <v>500</v>
      </c>
      <c r="J35" s="5238">
        <f>J17*1</f>
        <v>500</v>
      </c>
      <c r="K35" s="5582">
        <f>K17*1</f>
        <v>531.22721749696234</v>
      </c>
      <c r="L35" s="4579">
        <f t="shared" ref="L35:T35" si="6">L17*0.5</f>
        <v>0</v>
      </c>
      <c r="M35" s="4655">
        <f>M17*1</f>
        <v>500</v>
      </c>
      <c r="N35" s="1744">
        <f t="shared" si="6"/>
        <v>0</v>
      </c>
      <c r="O35" s="2088">
        <f>O17*1</f>
        <v>500</v>
      </c>
      <c r="P35" s="1740">
        <f t="shared" si="6"/>
        <v>0</v>
      </c>
      <c r="Q35" s="1741">
        <f>Q17*1</f>
        <v>500</v>
      </c>
      <c r="R35" s="2088">
        <f t="shared" si="6"/>
        <v>0</v>
      </c>
      <c r="S35" s="1740">
        <f>S17*1</f>
        <v>500</v>
      </c>
      <c r="T35" s="1741">
        <f t="shared" si="6"/>
        <v>0</v>
      </c>
      <c r="U35" s="2089">
        <f t="shared" ref="U35:U37" si="7">SUM(I35:T35)</f>
        <v>3531.2272174969621</v>
      </c>
    </row>
    <row r="36" spans="1:21" ht="23.25" customHeight="1">
      <c r="A36" s="7170"/>
      <c r="B36" s="7469"/>
      <c r="C36" s="7505"/>
      <c r="D36" s="7508"/>
      <c r="E36" s="7151"/>
      <c r="F36" s="7155"/>
      <c r="G36" s="2433" t="s">
        <v>495</v>
      </c>
      <c r="H36" s="2474">
        <v>0</v>
      </c>
      <c r="I36" s="4642">
        <f t="shared" ref="I36:T36" si="8">I16*1</f>
        <v>1000</v>
      </c>
      <c r="J36" s="4655">
        <f t="shared" si="8"/>
        <v>812.0675577156743</v>
      </c>
      <c r="K36" s="5582">
        <f t="shared" si="8"/>
        <v>1000</v>
      </c>
      <c r="L36" s="4579">
        <f t="shared" si="8"/>
        <v>1000</v>
      </c>
      <c r="M36" s="4655">
        <f t="shared" si="8"/>
        <v>1000</v>
      </c>
      <c r="N36" s="1744">
        <f t="shared" si="8"/>
        <v>1000</v>
      </c>
      <c r="O36" s="2088">
        <f t="shared" si="8"/>
        <v>1000</v>
      </c>
      <c r="P36" s="1740">
        <f t="shared" si="8"/>
        <v>1000</v>
      </c>
      <c r="Q36" s="1741">
        <f t="shared" si="8"/>
        <v>1000</v>
      </c>
      <c r="R36" s="2088">
        <f t="shared" si="8"/>
        <v>1000</v>
      </c>
      <c r="S36" s="1740">
        <f t="shared" si="8"/>
        <v>1000</v>
      </c>
      <c r="T36" s="1741">
        <f t="shared" si="8"/>
        <v>1000</v>
      </c>
      <c r="U36" s="2089">
        <f t="shared" si="7"/>
        <v>11812.067557715674</v>
      </c>
    </row>
    <row r="37" spans="1:21" ht="23.25" customHeight="1" thickBot="1">
      <c r="A37" s="7170"/>
      <c r="B37" s="7469"/>
      <c r="C37" s="7505"/>
      <c r="D37" s="7508"/>
      <c r="E37" s="7461"/>
      <c r="F37" s="7481"/>
      <c r="G37" s="2433" t="s">
        <v>496</v>
      </c>
      <c r="H37" s="2475">
        <v>0</v>
      </c>
      <c r="I37" s="4642">
        <f>I17*1</f>
        <v>500</v>
      </c>
      <c r="J37" s="5238">
        <f>J17*1</f>
        <v>500</v>
      </c>
      <c r="K37" s="5582">
        <f>K17*1</f>
        <v>531.22721749696234</v>
      </c>
      <c r="L37" s="4579">
        <f t="shared" ref="L37:T37" si="9">L17*0.2</f>
        <v>0</v>
      </c>
      <c r="M37" s="4655">
        <f>M17*1</f>
        <v>500</v>
      </c>
      <c r="N37" s="1744">
        <f t="shared" si="9"/>
        <v>0</v>
      </c>
      <c r="O37" s="2088">
        <f>O17*1</f>
        <v>500</v>
      </c>
      <c r="P37" s="1740">
        <f t="shared" si="9"/>
        <v>0</v>
      </c>
      <c r="Q37" s="1741">
        <f>Q17*1</f>
        <v>500</v>
      </c>
      <c r="R37" s="2088">
        <f t="shared" si="9"/>
        <v>0</v>
      </c>
      <c r="S37" s="1740">
        <f>S17*1</f>
        <v>500</v>
      </c>
      <c r="T37" s="1741">
        <f t="shared" si="9"/>
        <v>0</v>
      </c>
      <c r="U37" s="2089">
        <f t="shared" si="7"/>
        <v>3531.2272174969621</v>
      </c>
    </row>
    <row r="38" spans="1:21" ht="23.25" customHeight="1" thickBot="1">
      <c r="A38" s="7170"/>
      <c r="B38" s="7469"/>
      <c r="C38" s="3187"/>
      <c r="D38" s="3188"/>
      <c r="E38" s="7082" t="s">
        <v>43</v>
      </c>
      <c r="F38" s="7168"/>
      <c r="G38" s="74"/>
      <c r="H38" s="2477"/>
      <c r="I38" s="3952">
        <f t="shared" ref="I38:U38" si="10">SUM(I34:I37)</f>
        <v>2500</v>
      </c>
      <c r="J38" s="5012">
        <f t="shared" si="10"/>
        <v>2312.0675577156744</v>
      </c>
      <c r="K38" s="5594">
        <f t="shared" si="10"/>
        <v>2593.6816524908872</v>
      </c>
      <c r="L38" s="4630">
        <f t="shared" si="10"/>
        <v>1000</v>
      </c>
      <c r="M38" s="5012">
        <f t="shared" si="10"/>
        <v>2500</v>
      </c>
      <c r="N38" s="2110">
        <f t="shared" si="10"/>
        <v>1000</v>
      </c>
      <c r="O38" s="1824">
        <f t="shared" si="10"/>
        <v>2500</v>
      </c>
      <c r="P38" s="1776">
        <f t="shared" si="10"/>
        <v>1000</v>
      </c>
      <c r="Q38" s="1777">
        <f t="shared" si="10"/>
        <v>2500</v>
      </c>
      <c r="R38" s="1824">
        <f t="shared" si="10"/>
        <v>1000</v>
      </c>
      <c r="S38" s="1776">
        <f t="shared" si="10"/>
        <v>2500</v>
      </c>
      <c r="T38" s="1777">
        <f t="shared" si="10"/>
        <v>1000</v>
      </c>
      <c r="U38" s="2143">
        <f t="shared" si="10"/>
        <v>22405.749210206559</v>
      </c>
    </row>
    <row r="39" spans="1:21" ht="23.25" customHeight="1" thickBot="1">
      <c r="A39" s="7170"/>
      <c r="B39" s="7469"/>
      <c r="C39" s="7445" t="str">
        <f>C65</f>
        <v>Anodizing</v>
      </c>
      <c r="D39" s="7446"/>
      <c r="E39" s="7486" t="s">
        <v>348</v>
      </c>
      <c r="F39" s="7487"/>
      <c r="G39" s="2443" t="s">
        <v>497</v>
      </c>
      <c r="H39" s="2478">
        <v>0</v>
      </c>
      <c r="I39" s="4643">
        <f t="shared" ref="I39:T39" si="11">I18</f>
        <v>116257.04893332788</v>
      </c>
      <c r="J39" s="5238">
        <f t="shared" si="11"/>
        <v>0</v>
      </c>
      <c r="K39" s="5604">
        <f t="shared" si="11"/>
        <v>151469.97318800021</v>
      </c>
      <c r="L39" s="4579">
        <f t="shared" si="11"/>
        <v>18369.932001876317</v>
      </c>
      <c r="M39" s="4655">
        <f t="shared" si="11"/>
        <v>36377.914839652527</v>
      </c>
      <c r="N39" s="1744">
        <f t="shared" si="11"/>
        <v>46812.411445163067</v>
      </c>
      <c r="O39" s="2088">
        <f t="shared" si="11"/>
        <v>99935.192221922378</v>
      </c>
      <c r="P39" s="1740">
        <f t="shared" si="11"/>
        <v>79135.151853424584</v>
      </c>
      <c r="Q39" s="1741">
        <f t="shared" si="11"/>
        <v>118105.73088895435</v>
      </c>
      <c r="R39" s="2088">
        <f t="shared" si="11"/>
        <v>118105.73088895435</v>
      </c>
      <c r="S39" s="1740">
        <f t="shared" si="11"/>
        <v>111554.83433665993</v>
      </c>
      <c r="T39" s="1741">
        <f t="shared" si="11"/>
        <v>116953.40706887511</v>
      </c>
      <c r="U39" s="2089">
        <f t="shared" ref="U39:U43" si="12">SUM(I39:T39)</f>
        <v>1013077.3276668107</v>
      </c>
    </row>
    <row r="40" spans="1:21" ht="23.25" customHeight="1" thickBot="1">
      <c r="A40" s="7170"/>
      <c r="B40" s="7469"/>
      <c r="C40" s="3553"/>
      <c r="D40" s="2747"/>
      <c r="E40" s="7082" t="s">
        <v>43</v>
      </c>
      <c r="F40" s="7168"/>
      <c r="G40" s="74"/>
      <c r="H40" s="2477"/>
      <c r="I40" s="3952">
        <f t="shared" ref="I40:U40" si="13">SUM(I39:I39)</f>
        <v>116257.04893332788</v>
      </c>
      <c r="J40" s="5012">
        <f t="shared" si="13"/>
        <v>0</v>
      </c>
      <c r="K40" s="5594">
        <f t="shared" si="13"/>
        <v>151469.97318800021</v>
      </c>
      <c r="L40" s="4630">
        <f t="shared" si="13"/>
        <v>18369.932001876317</v>
      </c>
      <c r="M40" s="5012">
        <f t="shared" si="13"/>
        <v>36377.914839652527</v>
      </c>
      <c r="N40" s="2110">
        <f t="shared" si="13"/>
        <v>46812.411445163067</v>
      </c>
      <c r="O40" s="1824">
        <f t="shared" si="13"/>
        <v>99935.192221922378</v>
      </c>
      <c r="P40" s="1776">
        <f t="shared" si="13"/>
        <v>79135.151853424584</v>
      </c>
      <c r="Q40" s="1777">
        <f t="shared" si="13"/>
        <v>118105.73088895435</v>
      </c>
      <c r="R40" s="1775">
        <f t="shared" si="13"/>
        <v>118105.73088895435</v>
      </c>
      <c r="S40" s="1776">
        <f t="shared" si="13"/>
        <v>111554.83433665993</v>
      </c>
      <c r="T40" s="2294">
        <f t="shared" si="13"/>
        <v>116953.40706887511</v>
      </c>
      <c r="U40" s="2143">
        <f t="shared" si="13"/>
        <v>1013077.3276668107</v>
      </c>
    </row>
    <row r="41" spans="1:21" ht="24.75" customHeight="1">
      <c r="A41" s="85"/>
      <c r="B41" s="19"/>
      <c r="C41" s="7445" t="s">
        <v>89</v>
      </c>
      <c r="D41" s="7456"/>
      <c r="E41" s="7445" t="s">
        <v>1681</v>
      </c>
      <c r="F41" s="7446"/>
      <c r="G41" s="2443" t="s">
        <v>1550</v>
      </c>
      <c r="H41" s="2478">
        <v>0</v>
      </c>
      <c r="I41" s="4681"/>
      <c r="J41" s="4655"/>
      <c r="K41" s="5582">
        <v>20130</v>
      </c>
      <c r="L41" s="4550">
        <f>2000*26</f>
        <v>52000</v>
      </c>
      <c r="M41" s="4655">
        <f>2000*19</f>
        <v>38000</v>
      </c>
      <c r="N41" s="1585">
        <f t="shared" ref="N41:T41" si="14">2000*26</f>
        <v>52000</v>
      </c>
      <c r="O41" s="2088">
        <f t="shared" si="14"/>
        <v>52000</v>
      </c>
      <c r="P41" s="1740">
        <f t="shared" si="14"/>
        <v>52000</v>
      </c>
      <c r="Q41" s="1741">
        <f t="shared" si="14"/>
        <v>52000</v>
      </c>
      <c r="R41" s="2088">
        <f t="shared" si="14"/>
        <v>52000</v>
      </c>
      <c r="S41" s="1740">
        <f t="shared" si="14"/>
        <v>52000</v>
      </c>
      <c r="T41" s="1741">
        <f t="shared" si="14"/>
        <v>52000</v>
      </c>
      <c r="U41" s="2089">
        <f t="shared" si="12"/>
        <v>474130</v>
      </c>
    </row>
    <row r="42" spans="1:21" ht="24.75" customHeight="1" thickBot="1">
      <c r="A42" s="85"/>
      <c r="B42" s="19"/>
      <c r="C42" s="7151"/>
      <c r="D42" s="7457"/>
      <c r="E42" s="7449"/>
      <c r="F42" s="7450"/>
      <c r="G42" s="5965" t="s">
        <v>1741</v>
      </c>
      <c r="H42" s="5966"/>
      <c r="I42" s="4684"/>
      <c r="J42" s="5839"/>
      <c r="K42" s="5867"/>
      <c r="L42" s="6049"/>
      <c r="M42" s="5839">
        <f t="shared" ref="M42:P42" si="15">M19</f>
        <v>64777.93416572077</v>
      </c>
      <c r="N42" s="5842">
        <f t="shared" si="15"/>
        <v>82821.787741203196</v>
      </c>
      <c r="O42" s="5292">
        <f t="shared" si="15"/>
        <v>82821.787741203196</v>
      </c>
      <c r="P42" s="5293">
        <f t="shared" si="15"/>
        <v>82821.787741203196</v>
      </c>
      <c r="Q42" s="5291"/>
      <c r="R42" s="5292"/>
      <c r="S42" s="5293"/>
      <c r="T42" s="5291"/>
      <c r="U42" s="2089">
        <f t="shared" si="12"/>
        <v>313243.2973893304</v>
      </c>
    </row>
    <row r="43" spans="1:21" ht="24.75" customHeight="1" thickBot="1">
      <c r="A43" s="85"/>
      <c r="B43" s="19"/>
      <c r="C43" s="7449"/>
      <c r="D43" s="7458"/>
      <c r="E43" s="7082" t="s">
        <v>43</v>
      </c>
      <c r="F43" s="7168"/>
      <c r="G43" s="2476"/>
      <c r="H43" s="5575"/>
      <c r="I43" s="3952"/>
      <c r="J43" s="5012"/>
      <c r="K43" s="5594">
        <f>K41+K42</f>
        <v>20130</v>
      </c>
      <c r="L43" s="3952">
        <f t="shared" ref="L43:T43" si="16">L41+L42</f>
        <v>52000</v>
      </c>
      <c r="M43" s="5012">
        <f t="shared" si="16"/>
        <v>102777.93416572077</v>
      </c>
      <c r="N43" s="1606">
        <f t="shared" si="16"/>
        <v>134821.78774120321</v>
      </c>
      <c r="O43" s="1824">
        <f t="shared" si="16"/>
        <v>134821.78774120321</v>
      </c>
      <c r="P43" s="1776">
        <f t="shared" si="16"/>
        <v>134821.78774120321</v>
      </c>
      <c r="Q43" s="1777">
        <f t="shared" si="16"/>
        <v>52000</v>
      </c>
      <c r="R43" s="1824">
        <f t="shared" si="16"/>
        <v>52000</v>
      </c>
      <c r="S43" s="1776">
        <f t="shared" si="16"/>
        <v>52000</v>
      </c>
      <c r="T43" s="1777">
        <f t="shared" si="16"/>
        <v>52000</v>
      </c>
      <c r="U43" s="2089">
        <f t="shared" si="12"/>
        <v>787373.29738933034</v>
      </c>
    </row>
    <row r="44" spans="1:21" ht="24.75" customHeight="1">
      <c r="A44" s="85"/>
      <c r="B44" s="19"/>
      <c r="C44" s="7445" t="s">
        <v>89</v>
      </c>
      <c r="D44" s="7456"/>
      <c r="E44" s="7445" t="s">
        <v>1738</v>
      </c>
      <c r="F44" s="7446"/>
      <c r="G44" s="2443" t="s">
        <v>1739</v>
      </c>
      <c r="H44" s="2478">
        <v>0</v>
      </c>
      <c r="I44" s="4681"/>
      <c r="J44" s="4655"/>
      <c r="K44" s="5582"/>
      <c r="L44" s="4550">
        <f>L20</f>
        <v>96456.924820982313</v>
      </c>
      <c r="M44" s="4655">
        <f t="shared" ref="M44:T44" si="17">M20</f>
        <v>64304.616547321544</v>
      </c>
      <c r="N44" s="1585">
        <f t="shared" si="17"/>
        <v>92820.651861461156</v>
      </c>
      <c r="O44" s="2088">
        <f t="shared" si="17"/>
        <v>95978.467852624264</v>
      </c>
      <c r="P44" s="1740">
        <f t="shared" si="17"/>
        <v>64304.616547321544</v>
      </c>
      <c r="Q44" s="1741">
        <f t="shared" si="17"/>
        <v>64304.616547321544</v>
      </c>
      <c r="R44" s="2088">
        <f t="shared" si="17"/>
        <v>64304.616547321544</v>
      </c>
      <c r="S44" s="1740">
        <f t="shared" si="17"/>
        <v>64304.616547321544</v>
      </c>
      <c r="T44" s="1741">
        <f t="shared" si="17"/>
        <v>64304.616547321544</v>
      </c>
      <c r="U44" s="2089">
        <f t="shared" ref="U44:U46" si="18">SUM(I44:T44)</f>
        <v>671083.74381899694</v>
      </c>
    </row>
    <row r="45" spans="1:21" ht="24.75" customHeight="1" thickBot="1">
      <c r="A45" s="85"/>
      <c r="B45" s="19"/>
      <c r="C45" s="7151"/>
      <c r="D45" s="7457"/>
      <c r="E45" s="7449"/>
      <c r="F45" s="7450"/>
      <c r="G45" s="5864" t="s">
        <v>1740</v>
      </c>
      <c r="H45" s="5865">
        <v>0</v>
      </c>
      <c r="I45" s="5866"/>
      <c r="J45" s="5839"/>
      <c r="K45" s="5867"/>
      <c r="L45" s="6049"/>
      <c r="M45" s="5839"/>
      <c r="N45" s="5842"/>
      <c r="O45" s="5292"/>
      <c r="P45" s="5293"/>
      <c r="Q45" s="5291"/>
      <c r="R45" s="5292"/>
      <c r="S45" s="5293"/>
      <c r="T45" s="5291"/>
      <c r="U45" s="5683"/>
    </row>
    <row r="46" spans="1:21" ht="24.75" customHeight="1" thickBot="1">
      <c r="A46" s="85"/>
      <c r="B46" s="19"/>
      <c r="C46" s="7449"/>
      <c r="D46" s="7458"/>
      <c r="E46" s="7082" t="s">
        <v>43</v>
      </c>
      <c r="F46" s="7168"/>
      <c r="G46" s="2476"/>
      <c r="H46" s="5575"/>
      <c r="I46" s="3952"/>
      <c r="J46" s="5012"/>
      <c r="K46" s="5594">
        <f>K44</f>
        <v>0</v>
      </c>
      <c r="L46" s="3952">
        <f t="shared" ref="L46:T46" si="19">L44</f>
        <v>96456.924820982313</v>
      </c>
      <c r="M46" s="5012">
        <f t="shared" si="19"/>
        <v>64304.616547321544</v>
      </c>
      <c r="N46" s="1606">
        <f t="shared" si="19"/>
        <v>92820.651861461156</v>
      </c>
      <c r="O46" s="1824">
        <f t="shared" si="19"/>
        <v>95978.467852624264</v>
      </c>
      <c r="P46" s="1776">
        <f t="shared" si="19"/>
        <v>64304.616547321544</v>
      </c>
      <c r="Q46" s="1777">
        <f t="shared" si="19"/>
        <v>64304.616547321544</v>
      </c>
      <c r="R46" s="1824">
        <f t="shared" si="19"/>
        <v>64304.616547321544</v>
      </c>
      <c r="S46" s="1776">
        <f t="shared" si="19"/>
        <v>64304.616547321544</v>
      </c>
      <c r="T46" s="1777">
        <f t="shared" si="19"/>
        <v>64304.616547321544</v>
      </c>
      <c r="U46" s="2089">
        <f t="shared" si="18"/>
        <v>671083.74381899694</v>
      </c>
    </row>
    <row r="47" spans="1:21" ht="23.25" customHeight="1">
      <c r="A47" s="85"/>
      <c r="B47" s="19"/>
      <c r="C47" s="7445" t="s">
        <v>1261</v>
      </c>
      <c r="D47" s="7446"/>
      <c r="E47" s="7445" t="s">
        <v>150</v>
      </c>
      <c r="F47" s="7446"/>
      <c r="G47" s="1928" t="s">
        <v>1038</v>
      </c>
      <c r="H47" s="2478">
        <v>0.01</v>
      </c>
      <c r="I47" s="4643">
        <f t="shared" ref="I47:T47" si="20">I13*(1+$H$47)</f>
        <v>224.44444444444446</v>
      </c>
      <c r="J47" s="5238">
        <f t="shared" si="20"/>
        <v>224.44444444444446</v>
      </c>
      <c r="K47" s="5604">
        <f t="shared" si="20"/>
        <v>449.45</v>
      </c>
      <c r="L47" s="4579">
        <f t="shared" si="20"/>
        <v>159.35461290774185</v>
      </c>
      <c r="M47" s="4655">
        <f t="shared" si="20"/>
        <v>224.44444444444446</v>
      </c>
      <c r="N47" s="1744">
        <f t="shared" si="20"/>
        <v>224.44444444444446</v>
      </c>
      <c r="O47" s="2088">
        <f t="shared" si="20"/>
        <v>280.55555555555549</v>
      </c>
      <c r="P47" s="1740">
        <f t="shared" si="20"/>
        <v>280.55555555555549</v>
      </c>
      <c r="Q47" s="1741">
        <f t="shared" si="20"/>
        <v>280.55555555555549</v>
      </c>
      <c r="R47" s="1808">
        <f t="shared" si="20"/>
        <v>224.44444444444446</v>
      </c>
      <c r="S47" s="1740">
        <f t="shared" si="20"/>
        <v>112.22222222222223</v>
      </c>
      <c r="T47" s="2100">
        <f t="shared" si="20"/>
        <v>112.22222222222223</v>
      </c>
      <c r="U47" s="2089">
        <f>SUM(I47:T47)</f>
        <v>2797.1379462410746</v>
      </c>
    </row>
    <row r="48" spans="1:21" ht="23.25" customHeight="1" thickBot="1">
      <c r="A48" s="85"/>
      <c r="B48" s="19"/>
      <c r="C48" s="7151"/>
      <c r="D48" s="7155"/>
      <c r="E48" s="7451" t="s">
        <v>1193</v>
      </c>
      <c r="F48" s="7452"/>
      <c r="G48" s="6271" t="s">
        <v>1849</v>
      </c>
      <c r="H48" s="5865">
        <v>0</v>
      </c>
      <c r="I48" s="1534"/>
      <c r="J48" s="4728"/>
      <c r="K48" s="6270"/>
      <c r="L48" s="4576"/>
      <c r="M48" s="5006"/>
      <c r="N48" s="1645"/>
      <c r="O48" s="1759"/>
      <c r="P48" s="1642">
        <f>P5</f>
        <v>0</v>
      </c>
      <c r="Q48" s="1643">
        <f t="shared" ref="Q48:T48" si="21">Q5</f>
        <v>0</v>
      </c>
      <c r="R48" s="1644">
        <f t="shared" si="21"/>
        <v>0</v>
      </c>
      <c r="S48" s="1642">
        <f t="shared" si="21"/>
        <v>10000</v>
      </c>
      <c r="T48" s="2084">
        <f t="shared" si="21"/>
        <v>50000</v>
      </c>
      <c r="U48" s="2089">
        <f>SUM(I48:T48)</f>
        <v>60000</v>
      </c>
    </row>
    <row r="49" spans="1:22" ht="23.25" customHeight="1" thickBot="1">
      <c r="A49" s="85"/>
      <c r="B49" s="19"/>
      <c r="C49" s="8"/>
      <c r="D49" s="1598"/>
      <c r="E49" s="7082" t="s">
        <v>43</v>
      </c>
      <c r="F49" s="7168"/>
      <c r="G49" s="74"/>
      <c r="H49" s="2477"/>
      <c r="I49" s="3952">
        <f>SUM(I47:I48)</f>
        <v>224.44444444444446</v>
      </c>
      <c r="J49" s="5012">
        <f t="shared" ref="J49:T49" si="22">SUM(J47:J48)</f>
        <v>224.44444444444446</v>
      </c>
      <c r="K49" s="5594">
        <f t="shared" si="22"/>
        <v>449.45</v>
      </c>
      <c r="L49" s="4630">
        <f t="shared" si="22"/>
        <v>159.35461290774185</v>
      </c>
      <c r="M49" s="5012">
        <f t="shared" si="22"/>
        <v>224.44444444444446</v>
      </c>
      <c r="N49" s="2110">
        <f t="shared" si="22"/>
        <v>224.44444444444446</v>
      </c>
      <c r="O49" s="1824">
        <f t="shared" si="22"/>
        <v>280.55555555555549</v>
      </c>
      <c r="P49" s="1776">
        <f t="shared" si="22"/>
        <v>280.55555555555549</v>
      </c>
      <c r="Q49" s="1777">
        <f t="shared" si="22"/>
        <v>280.55555555555549</v>
      </c>
      <c r="R49" s="1775">
        <f t="shared" si="22"/>
        <v>224.44444444444446</v>
      </c>
      <c r="S49" s="1776">
        <f t="shared" si="22"/>
        <v>10112.222222222223</v>
      </c>
      <c r="T49" s="2294">
        <f t="shared" si="22"/>
        <v>50112.222222222219</v>
      </c>
      <c r="U49" s="2143">
        <f>SUM(U47:U48)</f>
        <v>62797.137946241077</v>
      </c>
    </row>
    <row r="50" spans="1:22" ht="23.25" hidden="1" customHeight="1">
      <c r="A50" s="7086">
        <v>2</v>
      </c>
      <c r="B50" s="7468" t="s">
        <v>1262</v>
      </c>
      <c r="C50" s="7445" t="s">
        <v>1422</v>
      </c>
      <c r="D50" s="7456"/>
      <c r="E50" s="7456"/>
      <c r="F50" s="7446"/>
      <c r="G50" s="3717" t="str">
        <f>G76</f>
        <v>Glass Frame (ZF60A-T5)</v>
      </c>
      <c r="H50" s="3568">
        <v>50</v>
      </c>
      <c r="I50" s="4644">
        <f>I21</f>
        <v>0</v>
      </c>
      <c r="J50" s="5239"/>
      <c r="K50" s="5605"/>
      <c r="L50" s="4644"/>
      <c r="M50" s="5239">
        <f t="shared" ref="M50:T50" si="23">M21</f>
        <v>15</v>
      </c>
      <c r="N50" s="3985">
        <f t="shared" si="23"/>
        <v>0</v>
      </c>
      <c r="O50" s="3986">
        <f t="shared" si="23"/>
        <v>0</v>
      </c>
      <c r="P50" s="3987">
        <f t="shared" si="23"/>
        <v>77.174929840972865</v>
      </c>
      <c r="Q50" s="3988">
        <f t="shared" si="23"/>
        <v>115.7623947614593</v>
      </c>
      <c r="R50" s="3986">
        <f t="shared" si="23"/>
        <v>77.174929840972865</v>
      </c>
      <c r="S50" s="3987">
        <f t="shared" si="23"/>
        <v>77.174929840972865</v>
      </c>
      <c r="T50" s="3989">
        <f t="shared" si="23"/>
        <v>77.174929840972865</v>
      </c>
      <c r="U50" s="3572">
        <f>SUM(I50:T50)</f>
        <v>439.46211412535081</v>
      </c>
    </row>
    <row r="51" spans="1:22" ht="23.25" hidden="1" customHeight="1">
      <c r="A51" s="7087"/>
      <c r="B51" s="7469"/>
      <c r="C51" s="7477" t="s">
        <v>1423</v>
      </c>
      <c r="D51" s="7478"/>
      <c r="E51" s="7478"/>
      <c r="F51" s="7479"/>
      <c r="G51" s="4096" t="str">
        <f>G77</f>
        <v>Body Compute enclosure (AL6061-T6)</v>
      </c>
      <c r="H51" s="4094">
        <v>5</v>
      </c>
      <c r="I51" s="4560">
        <f>I21</f>
        <v>0</v>
      </c>
      <c r="J51" s="5105"/>
      <c r="K51" s="4523"/>
      <c r="L51" s="4560"/>
      <c r="M51" s="5105">
        <f t="shared" ref="M51:T51" si="24">M21</f>
        <v>15</v>
      </c>
      <c r="N51" s="3990">
        <f t="shared" si="24"/>
        <v>0</v>
      </c>
      <c r="O51" s="1813">
        <f t="shared" si="24"/>
        <v>0</v>
      </c>
      <c r="P51" s="3346">
        <f t="shared" si="24"/>
        <v>77.174929840972865</v>
      </c>
      <c r="Q51" s="1760">
        <f t="shared" si="24"/>
        <v>115.7623947614593</v>
      </c>
      <c r="R51" s="1813">
        <f t="shared" si="24"/>
        <v>77.174929840972865</v>
      </c>
      <c r="S51" s="3346">
        <f t="shared" si="24"/>
        <v>77.174929840972865</v>
      </c>
      <c r="T51" s="3991">
        <f t="shared" si="24"/>
        <v>77.174929840972865</v>
      </c>
      <c r="U51" s="2108">
        <f t="shared" ref="U51" si="25">SUM(I51:T51)</f>
        <v>439.46211412535081</v>
      </c>
    </row>
    <row r="52" spans="1:22" ht="23.25" hidden="1" customHeight="1" thickBot="1">
      <c r="A52" s="4080"/>
      <c r="B52" s="4097"/>
      <c r="C52" s="7454" t="s">
        <v>1424</v>
      </c>
      <c r="D52" s="7455"/>
      <c r="E52" s="7455"/>
      <c r="F52" s="7455"/>
      <c r="G52" s="1769" t="str">
        <f>G78</f>
        <v>Body Compute enclosure (AL6061-T6)</v>
      </c>
      <c r="H52" s="4095"/>
      <c r="I52" s="4560" t="e">
        <f>#REF!</f>
        <v>#REF!</v>
      </c>
      <c r="J52" s="5006"/>
      <c r="K52" s="2649"/>
      <c r="L52" s="4576"/>
      <c r="M52" s="5006"/>
      <c r="N52" s="1613"/>
      <c r="O52" s="1644"/>
      <c r="P52" s="1642"/>
      <c r="Q52" s="4"/>
      <c r="R52" s="1644"/>
      <c r="S52" s="1642"/>
      <c r="T52" s="2084"/>
      <c r="U52" s="2085"/>
    </row>
    <row r="53" spans="1:22" ht="23.25" hidden="1" customHeight="1" thickBot="1">
      <c r="A53" s="75"/>
      <c r="B53" s="3566"/>
      <c r="C53" s="4031"/>
      <c r="D53" s="4031"/>
      <c r="E53" s="7082" t="s">
        <v>43</v>
      </c>
      <c r="F53" s="7082"/>
      <c r="G53" s="3564"/>
      <c r="H53" s="3565"/>
      <c r="I53" s="4630">
        <f t="shared" ref="I53:U53" si="26">SUM(I50:I51)</f>
        <v>0</v>
      </c>
      <c r="J53" s="5012">
        <f t="shared" si="26"/>
        <v>0</v>
      </c>
      <c r="K53" s="5606">
        <f t="shared" si="26"/>
        <v>0</v>
      </c>
      <c r="L53" s="4630">
        <f t="shared" si="26"/>
        <v>0</v>
      </c>
      <c r="M53" s="5012">
        <f t="shared" si="26"/>
        <v>30</v>
      </c>
      <c r="N53" s="1673">
        <f t="shared" si="26"/>
        <v>0</v>
      </c>
      <c r="O53" s="1775">
        <f t="shared" si="26"/>
        <v>0</v>
      </c>
      <c r="P53" s="1776">
        <f t="shared" si="26"/>
        <v>154.34985968194573</v>
      </c>
      <c r="Q53" s="2295">
        <f t="shared" si="26"/>
        <v>231.52478952291861</v>
      </c>
      <c r="R53" s="1775">
        <f t="shared" si="26"/>
        <v>154.34985968194573</v>
      </c>
      <c r="S53" s="1776">
        <f t="shared" si="26"/>
        <v>154.34985968194573</v>
      </c>
      <c r="T53" s="2294">
        <f t="shared" si="26"/>
        <v>154.34985968194573</v>
      </c>
      <c r="U53" s="2143">
        <f t="shared" si="26"/>
        <v>878.92422825070162</v>
      </c>
    </row>
    <row r="54" spans="1:22" ht="23.25" customHeight="1" thickBot="1">
      <c r="A54" s="7165" t="s">
        <v>143</v>
      </c>
      <c r="B54" s="7166"/>
      <c r="C54" s="7166"/>
      <c r="D54" s="7166"/>
      <c r="E54" s="7166"/>
      <c r="F54" s="7166"/>
      <c r="G54" s="7166"/>
      <c r="H54" s="7507"/>
      <c r="I54" s="4645">
        <f t="shared" ref="I54:T54" si="27">+I40+I38+I49+I33+I53</f>
        <v>1077701.4933777724</v>
      </c>
      <c r="J54" s="5012">
        <f t="shared" si="27"/>
        <v>774289.51200216007</v>
      </c>
      <c r="K54" s="5607">
        <f t="shared" si="27"/>
        <v>567013.10484049108</v>
      </c>
      <c r="L54" s="4645">
        <f t="shared" si="27"/>
        <v>212074.28661478407</v>
      </c>
      <c r="M54" s="5029">
        <f t="shared" si="27"/>
        <v>39132.359284096972</v>
      </c>
      <c r="N54" s="3241">
        <f t="shared" si="27"/>
        <v>48036.855889607512</v>
      </c>
      <c r="O54" s="3239">
        <f t="shared" si="27"/>
        <v>102715.74777747794</v>
      </c>
      <c r="P54" s="1776">
        <f t="shared" si="27"/>
        <v>80570.057268662087</v>
      </c>
      <c r="Q54" s="3241">
        <f t="shared" si="27"/>
        <v>121117.81123403284</v>
      </c>
      <c r="R54" s="3239">
        <f t="shared" si="27"/>
        <v>119484.52519308073</v>
      </c>
      <c r="S54" s="2226">
        <f t="shared" si="27"/>
        <v>124321.40641856409</v>
      </c>
      <c r="T54" s="3241">
        <f t="shared" si="27"/>
        <v>168219.97915077928</v>
      </c>
      <c r="U54" s="2142">
        <f>+U40+U38+U49+U33+U53+U46+U43</f>
        <v>4893134.1802598359</v>
      </c>
    </row>
    <row r="55" spans="1:22" ht="19.5" customHeight="1">
      <c r="I55" s="1534"/>
      <c r="K55" s="1534"/>
      <c r="M55" s="1534"/>
    </row>
    <row r="56" spans="1:22" ht="19.5" customHeight="1" thickBot="1">
      <c r="A56" s="2382" t="s">
        <v>281</v>
      </c>
      <c r="B56" s="1535"/>
      <c r="C56" s="1535"/>
      <c r="D56" s="1535"/>
      <c r="E56" s="1711"/>
      <c r="F56" s="2481"/>
      <c r="G56" s="1711"/>
      <c r="H56" s="2481"/>
      <c r="I56" s="1534"/>
      <c r="K56" s="1534"/>
      <c r="M56" s="1534"/>
      <c r="N56" s="1533"/>
      <c r="O56" s="1533"/>
      <c r="P56" s="1533"/>
      <c r="Q56" s="1533"/>
      <c r="R56" s="1533"/>
      <c r="S56" s="1533"/>
      <c r="T56" s="1533"/>
      <c r="U56" s="1785" t="s">
        <v>86</v>
      </c>
    </row>
    <row r="57" spans="1:22" ht="22.5" customHeight="1" thickBot="1">
      <c r="A57" s="82" t="s">
        <v>139</v>
      </c>
      <c r="B57" s="1842" t="s">
        <v>140</v>
      </c>
      <c r="C57" s="7489" t="s">
        <v>108</v>
      </c>
      <c r="D57" s="7167"/>
      <c r="E57" s="7489" t="s">
        <v>105</v>
      </c>
      <c r="F57" s="7166"/>
      <c r="G57" s="1842" t="s">
        <v>107</v>
      </c>
      <c r="H57" s="27" t="s">
        <v>28</v>
      </c>
      <c r="I57" s="4646" t="str">
        <f t="shared" ref="I57:U57" si="28">I4</f>
        <v>Jan.26</v>
      </c>
      <c r="J57" s="5240" t="str">
        <f t="shared" si="28"/>
        <v>Feb.26</v>
      </c>
      <c r="K57" s="5608" t="str">
        <f t="shared" si="28"/>
        <v>Mar.26</v>
      </c>
      <c r="L57" s="4490" t="str">
        <f t="shared" si="28"/>
        <v>Apr.26</v>
      </c>
      <c r="M57" s="5005" t="str">
        <f t="shared" si="28"/>
        <v>May.26</v>
      </c>
      <c r="N57" s="1540" t="str">
        <f t="shared" si="28"/>
        <v>Jun.26</v>
      </c>
      <c r="O57" s="1539" t="str">
        <f t="shared" si="28"/>
        <v>Jul.26</v>
      </c>
      <c r="P57" s="74" t="str">
        <f t="shared" si="28"/>
        <v>Aug.26</v>
      </c>
      <c r="Q57" s="1540" t="str">
        <f t="shared" si="28"/>
        <v>Sep.26</v>
      </c>
      <c r="R57" s="1539" t="str">
        <f t="shared" si="28"/>
        <v>Oct.26</v>
      </c>
      <c r="S57" s="74" t="str">
        <f t="shared" si="28"/>
        <v>Nov.26</v>
      </c>
      <c r="T57" s="1540" t="str">
        <f t="shared" si="28"/>
        <v>Dec.26</v>
      </c>
      <c r="U57" s="2472" t="str">
        <f t="shared" si="28"/>
        <v>2026
Total</v>
      </c>
    </row>
    <row r="58" spans="1:22" ht="22.5" customHeight="1" thickBot="1">
      <c r="A58" s="7169">
        <v>1</v>
      </c>
      <c r="B58" s="7468" t="str">
        <f>B32</f>
        <v xml:space="preserve">Mobile/Auto </v>
      </c>
      <c r="C58" s="7473" t="s">
        <v>389</v>
      </c>
      <c r="D58" s="7474"/>
      <c r="E58" s="7471" t="s">
        <v>1192</v>
      </c>
      <c r="F58" s="7472"/>
      <c r="G58" s="3191" t="str">
        <f>G32</f>
        <v>A17/A27/A37</v>
      </c>
      <c r="H58" s="4079">
        <f>1200/'1-1.Assumption'!F29</f>
        <v>4.5454545454545456E-2</v>
      </c>
      <c r="I58" s="4647">
        <f t="shared" ref="I58:T58" si="29">I32*$H$58</f>
        <v>43578.181818181816</v>
      </c>
      <c r="J58" s="5241">
        <f t="shared" si="29"/>
        <v>35079.681818181816</v>
      </c>
      <c r="K58" s="5609">
        <f t="shared" si="29"/>
        <v>18750</v>
      </c>
      <c r="L58" s="6054">
        <f t="shared" si="29"/>
        <v>8752.045454545454</v>
      </c>
      <c r="M58" s="5264">
        <f t="shared" si="29"/>
        <v>0</v>
      </c>
      <c r="N58" s="3881">
        <f t="shared" si="29"/>
        <v>0</v>
      </c>
      <c r="O58" s="3879">
        <f t="shared" si="29"/>
        <v>0</v>
      </c>
      <c r="P58" s="3880">
        <f t="shared" si="29"/>
        <v>0</v>
      </c>
      <c r="Q58" s="3881">
        <f t="shared" si="29"/>
        <v>0</v>
      </c>
      <c r="R58" s="3879">
        <f t="shared" si="29"/>
        <v>0</v>
      </c>
      <c r="S58" s="3880">
        <f t="shared" si="29"/>
        <v>0</v>
      </c>
      <c r="T58" s="3881">
        <f t="shared" si="29"/>
        <v>0</v>
      </c>
      <c r="U58" s="2089">
        <f t="shared" ref="U58:U63" si="30">SUM(I58:T58)</f>
        <v>106159.90909090909</v>
      </c>
      <c r="V58" s="1532"/>
    </row>
    <row r="59" spans="1:22" ht="22.5" customHeight="1" thickBot="1">
      <c r="A59" s="7170"/>
      <c r="B59" s="7469"/>
      <c r="C59" s="7475"/>
      <c r="D59" s="7476"/>
      <c r="E59" s="7488" t="s">
        <v>141</v>
      </c>
      <c r="F59" s="7488"/>
      <c r="G59" s="3182"/>
      <c r="H59" s="3181"/>
      <c r="I59" s="4648">
        <f>SUM(I58)</f>
        <v>43578.181818181816</v>
      </c>
      <c r="J59" s="5242">
        <f t="shared" ref="J59:T59" si="31">SUM(J58)</f>
        <v>35079.681818181816</v>
      </c>
      <c r="K59" s="5610">
        <f t="shared" si="31"/>
        <v>18750</v>
      </c>
      <c r="L59" s="4744">
        <f t="shared" si="31"/>
        <v>8752.045454545454</v>
      </c>
      <c r="M59" s="5414">
        <f t="shared" si="31"/>
        <v>0</v>
      </c>
      <c r="N59" s="17">
        <f t="shared" si="31"/>
        <v>0</v>
      </c>
      <c r="O59" s="18">
        <f t="shared" si="31"/>
        <v>0</v>
      </c>
      <c r="P59" s="2309">
        <f t="shared" si="31"/>
        <v>0</v>
      </c>
      <c r="Q59" s="17">
        <f t="shared" si="31"/>
        <v>0</v>
      </c>
      <c r="R59" s="18">
        <f t="shared" si="31"/>
        <v>0</v>
      </c>
      <c r="S59" s="2309">
        <f t="shared" si="31"/>
        <v>0</v>
      </c>
      <c r="T59" s="17">
        <f t="shared" si="31"/>
        <v>0</v>
      </c>
      <c r="U59" s="2143">
        <f t="shared" si="30"/>
        <v>106159.90909090909</v>
      </c>
      <c r="V59" s="1532"/>
    </row>
    <row r="60" spans="1:22" ht="24.75" customHeight="1">
      <c r="A60" s="7170"/>
      <c r="B60" s="7469"/>
      <c r="C60" s="7494" t="s">
        <v>277</v>
      </c>
      <c r="D60" s="7504"/>
      <c r="E60" s="7445" t="s">
        <v>150</v>
      </c>
      <c r="F60" s="7446"/>
      <c r="G60" s="67" t="s">
        <v>494</v>
      </c>
      <c r="H60" s="2482">
        <v>3.2</v>
      </c>
      <c r="I60" s="4649">
        <f t="shared" ref="I60:T60" si="32">I34*$H$60</f>
        <v>1600</v>
      </c>
      <c r="J60" s="5014">
        <f t="shared" si="32"/>
        <v>1600</v>
      </c>
      <c r="K60" s="5507">
        <f t="shared" si="32"/>
        <v>1699.9270959902797</v>
      </c>
      <c r="L60" s="4492">
        <f t="shared" si="32"/>
        <v>0</v>
      </c>
      <c r="M60" s="5014">
        <f t="shared" si="32"/>
        <v>1600</v>
      </c>
      <c r="N60" s="3883">
        <f t="shared" si="32"/>
        <v>0</v>
      </c>
      <c r="O60" s="3803">
        <f t="shared" si="32"/>
        <v>1600</v>
      </c>
      <c r="P60" s="3802">
        <f t="shared" si="32"/>
        <v>0</v>
      </c>
      <c r="Q60" s="3804">
        <f t="shared" si="32"/>
        <v>1600</v>
      </c>
      <c r="R60" s="3803">
        <f t="shared" si="32"/>
        <v>0</v>
      </c>
      <c r="S60" s="3802">
        <f t="shared" si="32"/>
        <v>1600</v>
      </c>
      <c r="T60" s="3804">
        <f t="shared" si="32"/>
        <v>0</v>
      </c>
      <c r="U60" s="2085">
        <f t="shared" si="30"/>
        <v>11299.927095990279</v>
      </c>
      <c r="V60" s="1532"/>
    </row>
    <row r="61" spans="1:22" ht="24.75" customHeight="1">
      <c r="A61" s="7170"/>
      <c r="B61" s="7469"/>
      <c r="C61" s="7505"/>
      <c r="D61" s="7506"/>
      <c r="E61" s="7151"/>
      <c r="F61" s="7155"/>
      <c r="G61" s="2433" t="s">
        <v>477</v>
      </c>
      <c r="H61" s="2482">
        <f>78000/'1-1.Assumption'!F29</f>
        <v>2.9545454545454546</v>
      </c>
      <c r="I61" s="4650">
        <f t="shared" ref="I61:T61" si="33">I35*$H$61</f>
        <v>1477.2727272727273</v>
      </c>
      <c r="J61" s="5243">
        <f t="shared" si="33"/>
        <v>1477.2727272727273</v>
      </c>
      <c r="K61" s="5586">
        <f t="shared" si="33"/>
        <v>1569.5349607864796</v>
      </c>
      <c r="L61" s="4499">
        <f t="shared" si="33"/>
        <v>0</v>
      </c>
      <c r="M61" s="5243">
        <f t="shared" si="33"/>
        <v>1477.2727272727273</v>
      </c>
      <c r="N61" s="3869">
        <f t="shared" si="33"/>
        <v>0</v>
      </c>
      <c r="O61" s="3824">
        <f t="shared" si="33"/>
        <v>1477.2727272727273</v>
      </c>
      <c r="P61" s="3845">
        <f t="shared" si="33"/>
        <v>0</v>
      </c>
      <c r="Q61" s="3846">
        <f t="shared" si="33"/>
        <v>1477.2727272727273</v>
      </c>
      <c r="R61" s="3824">
        <f t="shared" si="33"/>
        <v>0</v>
      </c>
      <c r="S61" s="3845">
        <f t="shared" si="33"/>
        <v>1477.2727272727273</v>
      </c>
      <c r="T61" s="3846">
        <f t="shared" si="33"/>
        <v>0</v>
      </c>
      <c r="U61" s="2089">
        <f t="shared" si="30"/>
        <v>10433.171324422843</v>
      </c>
    </row>
    <row r="62" spans="1:22" ht="24.75" customHeight="1">
      <c r="A62" s="7170"/>
      <c r="B62" s="7469"/>
      <c r="C62" s="7505"/>
      <c r="D62" s="7506"/>
      <c r="E62" s="7151"/>
      <c r="F62" s="7155"/>
      <c r="G62" s="2433" t="s">
        <v>495</v>
      </c>
      <c r="H62" s="2483">
        <v>4.2</v>
      </c>
      <c r="I62" s="4650">
        <f t="shared" ref="I62:T62" si="34">I36*$H$62</f>
        <v>4200</v>
      </c>
      <c r="J62" s="5243">
        <f t="shared" si="34"/>
        <v>3410.6837424058322</v>
      </c>
      <c r="K62" s="5586">
        <f t="shared" si="34"/>
        <v>4200</v>
      </c>
      <c r="L62" s="4499">
        <f t="shared" si="34"/>
        <v>4200</v>
      </c>
      <c r="M62" s="5243">
        <f t="shared" si="34"/>
        <v>4200</v>
      </c>
      <c r="N62" s="3869">
        <f t="shared" si="34"/>
        <v>4200</v>
      </c>
      <c r="O62" s="3824">
        <f t="shared" si="34"/>
        <v>4200</v>
      </c>
      <c r="P62" s="3845">
        <f t="shared" si="34"/>
        <v>4200</v>
      </c>
      <c r="Q62" s="3846">
        <f t="shared" si="34"/>
        <v>4200</v>
      </c>
      <c r="R62" s="3824">
        <f t="shared" si="34"/>
        <v>4200</v>
      </c>
      <c r="S62" s="3845">
        <f t="shared" si="34"/>
        <v>4200</v>
      </c>
      <c r="T62" s="3846">
        <f t="shared" si="34"/>
        <v>4200</v>
      </c>
      <c r="U62" s="2089">
        <f t="shared" si="30"/>
        <v>49610.683742405832</v>
      </c>
    </row>
    <row r="63" spans="1:22" ht="24.75" customHeight="1" thickBot="1">
      <c r="A63" s="7170"/>
      <c r="B63" s="7469"/>
      <c r="C63" s="7505"/>
      <c r="D63" s="7506"/>
      <c r="E63" s="7465"/>
      <c r="F63" s="7466"/>
      <c r="G63" s="2433" t="s">
        <v>496</v>
      </c>
      <c r="H63" s="2484">
        <v>5</v>
      </c>
      <c r="I63" s="4650">
        <f t="shared" ref="I63:T63" si="35">I37*$H$63</f>
        <v>2500</v>
      </c>
      <c r="J63" s="5243">
        <f t="shared" si="35"/>
        <v>2500</v>
      </c>
      <c r="K63" s="5586">
        <f t="shared" si="35"/>
        <v>2656.1360874848115</v>
      </c>
      <c r="L63" s="4499">
        <f t="shared" si="35"/>
        <v>0</v>
      </c>
      <c r="M63" s="5243">
        <f t="shared" si="35"/>
        <v>2500</v>
      </c>
      <c r="N63" s="3869">
        <f t="shared" si="35"/>
        <v>0</v>
      </c>
      <c r="O63" s="3824">
        <f t="shared" si="35"/>
        <v>2500</v>
      </c>
      <c r="P63" s="3845">
        <f t="shared" si="35"/>
        <v>0</v>
      </c>
      <c r="Q63" s="3846">
        <f t="shared" si="35"/>
        <v>2500</v>
      </c>
      <c r="R63" s="3824">
        <f t="shared" si="35"/>
        <v>0</v>
      </c>
      <c r="S63" s="3845">
        <f t="shared" si="35"/>
        <v>2500</v>
      </c>
      <c r="T63" s="3846">
        <f t="shared" si="35"/>
        <v>0</v>
      </c>
      <c r="U63" s="2089">
        <f t="shared" si="30"/>
        <v>17656.136087484811</v>
      </c>
    </row>
    <row r="64" spans="1:22" ht="24.75" customHeight="1" thickBot="1">
      <c r="A64" s="7170"/>
      <c r="B64" s="7469"/>
      <c r="C64" s="7496"/>
      <c r="D64" s="7497"/>
      <c r="E64" s="7459" t="s">
        <v>43</v>
      </c>
      <c r="F64" s="7460"/>
      <c r="G64" s="2476"/>
      <c r="H64" s="2485"/>
      <c r="I64" s="3952">
        <f t="shared" ref="I64:T64" si="36">SUM(I60:I63)</f>
        <v>9777.2727272727279</v>
      </c>
      <c r="J64" s="5012">
        <f t="shared" si="36"/>
        <v>8987.9564696785601</v>
      </c>
      <c r="K64" s="5594">
        <f>SUM(K60:K63)</f>
        <v>10125.59814426157</v>
      </c>
      <c r="L64" s="3952">
        <f t="shared" si="36"/>
        <v>4200</v>
      </c>
      <c r="M64" s="5012">
        <f t="shared" si="36"/>
        <v>9777.2727272727279</v>
      </c>
      <c r="N64" s="1606">
        <f t="shared" si="36"/>
        <v>4200</v>
      </c>
      <c r="O64" s="1824">
        <f t="shared" si="36"/>
        <v>9777.2727272727279</v>
      </c>
      <c r="P64" s="1776">
        <f t="shared" si="36"/>
        <v>4200</v>
      </c>
      <c r="Q64" s="1777">
        <f t="shared" si="36"/>
        <v>9777.2727272727279</v>
      </c>
      <c r="R64" s="1824">
        <f t="shared" si="36"/>
        <v>4200</v>
      </c>
      <c r="S64" s="1776">
        <f t="shared" si="36"/>
        <v>9777.2727272727279</v>
      </c>
      <c r="T64" s="1777">
        <f t="shared" si="36"/>
        <v>4200</v>
      </c>
      <c r="U64" s="2143">
        <f>SUM(U60:U63)</f>
        <v>88999.918250303774</v>
      </c>
      <c r="V64" s="5" t="b">
        <f>U64=SUM(I64:T64)</f>
        <v>1</v>
      </c>
    </row>
    <row r="65" spans="1:22" ht="24.75" customHeight="1" thickBot="1">
      <c r="A65" s="7170"/>
      <c r="B65" s="7469"/>
      <c r="C65" s="7445" t="s">
        <v>555</v>
      </c>
      <c r="D65" s="7456"/>
      <c r="E65" s="7463" t="str">
        <f>E39</f>
        <v>ZF</v>
      </c>
      <c r="F65" s="7464"/>
      <c r="G65" s="2443" t="str">
        <f>G39</f>
        <v>ACP2 Housing</v>
      </c>
      <c r="H65" s="3181">
        <f>6500/'1-1.Assumption'!F29</f>
        <v>0.24621212121212122</v>
      </c>
      <c r="I65" s="4651">
        <f>I39*$H$65+7415</f>
        <v>36038.894623736036</v>
      </c>
      <c r="J65" s="5243">
        <f>J39*$H$65+6234</f>
        <v>6234</v>
      </c>
      <c r="K65" s="5586">
        <v>17698</v>
      </c>
      <c r="L65" s="4499">
        <f t="shared" ref="L65:T65" si="37">L39*$H$65</f>
        <v>4522.8999247043967</v>
      </c>
      <c r="M65" s="5243">
        <f t="shared" si="37"/>
        <v>8956.683577944752</v>
      </c>
      <c r="N65" s="3869">
        <f t="shared" si="37"/>
        <v>11525.783120968179</v>
      </c>
      <c r="O65" s="3824">
        <f t="shared" si="37"/>
        <v>24605.255660700586</v>
      </c>
      <c r="P65" s="3845">
        <f t="shared" si="37"/>
        <v>19484.033600274994</v>
      </c>
      <c r="Q65" s="3846">
        <f t="shared" si="37"/>
        <v>29079.062529477396</v>
      </c>
      <c r="R65" s="3824">
        <f t="shared" si="37"/>
        <v>29079.062529477396</v>
      </c>
      <c r="S65" s="3845">
        <f t="shared" si="37"/>
        <v>27466.152393495817</v>
      </c>
      <c r="T65" s="3846">
        <f t="shared" si="37"/>
        <v>28795.346437412434</v>
      </c>
      <c r="U65" s="2089">
        <f t="shared" ref="U65:U68" si="38">SUM(I65:T65)</f>
        <v>243485.174398192</v>
      </c>
    </row>
    <row r="66" spans="1:22" ht="24.75" customHeight="1" thickBot="1">
      <c r="A66" s="7170"/>
      <c r="B66" s="7469"/>
      <c r="C66" s="7461"/>
      <c r="D66" s="7462"/>
      <c r="E66" s="7459" t="s">
        <v>43</v>
      </c>
      <c r="F66" s="7460"/>
      <c r="G66" s="2476"/>
      <c r="H66" s="2485"/>
      <c r="I66" s="3952">
        <f t="shared" ref="I66:U66" si="39">SUM(I65:I65)</f>
        <v>36038.894623736036</v>
      </c>
      <c r="J66" s="5012">
        <f t="shared" si="39"/>
        <v>6234</v>
      </c>
      <c r="K66" s="5594">
        <f t="shared" si="39"/>
        <v>17698</v>
      </c>
      <c r="L66" s="3952">
        <f t="shared" si="39"/>
        <v>4522.8999247043967</v>
      </c>
      <c r="M66" s="5663">
        <f t="shared" si="39"/>
        <v>8956.683577944752</v>
      </c>
      <c r="N66" s="1606">
        <f t="shared" si="39"/>
        <v>11525.783120968179</v>
      </c>
      <c r="O66" s="1824">
        <f t="shared" si="39"/>
        <v>24605.255660700586</v>
      </c>
      <c r="P66" s="1776">
        <f t="shared" si="39"/>
        <v>19484.033600274994</v>
      </c>
      <c r="Q66" s="1777">
        <f t="shared" si="39"/>
        <v>29079.062529477396</v>
      </c>
      <c r="R66" s="1824">
        <f t="shared" si="39"/>
        <v>29079.062529477396</v>
      </c>
      <c r="S66" s="1776">
        <f t="shared" si="39"/>
        <v>27466.152393495817</v>
      </c>
      <c r="T66" s="1777">
        <f t="shared" si="39"/>
        <v>28795.346437412434</v>
      </c>
      <c r="U66" s="2143">
        <f t="shared" si="39"/>
        <v>243485.174398192</v>
      </c>
      <c r="V66" s="5" t="b">
        <f t="shared" ref="V66:V75" si="40">U66=SUM(I66:T66)</f>
        <v>1</v>
      </c>
    </row>
    <row r="67" spans="1:22" ht="24.75" customHeight="1">
      <c r="A67" s="7170"/>
      <c r="B67" s="7469"/>
      <c r="C67" s="7445" t="s">
        <v>89</v>
      </c>
      <c r="D67" s="7456"/>
      <c r="E67" s="7445" t="s">
        <v>1681</v>
      </c>
      <c r="F67" s="7446"/>
      <c r="G67" s="2443" t="s">
        <v>1550</v>
      </c>
      <c r="H67" s="5868">
        <f>8514/'1-1.Assumption'!F29</f>
        <v>0.32250000000000001</v>
      </c>
      <c r="I67" s="4651"/>
      <c r="J67" s="5243"/>
      <c r="K67" s="5586">
        <f>K41*$H$67</f>
        <v>6491.9250000000002</v>
      </c>
      <c r="L67" s="4499">
        <f>L41*$H$67</f>
        <v>16770</v>
      </c>
      <c r="M67" s="5243">
        <f>M41*$H$67</f>
        <v>12255</v>
      </c>
      <c r="N67" s="3869"/>
      <c r="O67" s="3824"/>
      <c r="P67" s="3845"/>
      <c r="Q67" s="3846"/>
      <c r="R67" s="3824"/>
      <c r="S67" s="3845"/>
      <c r="T67" s="3846"/>
      <c r="U67" s="2089">
        <f t="shared" si="38"/>
        <v>35516.925000000003</v>
      </c>
    </row>
    <row r="68" spans="1:22" ht="24.75" customHeight="1" thickBot="1">
      <c r="A68" s="7170"/>
      <c r="B68" s="7469"/>
      <c r="C68" s="7151"/>
      <c r="D68" s="7457"/>
      <c r="E68" s="7465"/>
      <c r="F68" s="7466"/>
      <c r="G68" s="5864" t="s">
        <v>1741</v>
      </c>
      <c r="H68" s="5869">
        <v>0.15</v>
      </c>
      <c r="I68" s="5958"/>
      <c r="J68" s="5959"/>
      <c r="K68" s="5960"/>
      <c r="L68" s="6274"/>
      <c r="M68" s="5959">
        <f>M42*$H$68</f>
        <v>9716.6901248581144</v>
      </c>
      <c r="N68" s="5961">
        <f t="shared" ref="N68:P68" si="41">N42*$H$68</f>
        <v>12423.268161180478</v>
      </c>
      <c r="O68" s="5962">
        <f t="shared" si="41"/>
        <v>12423.268161180478</v>
      </c>
      <c r="P68" s="5963">
        <f t="shared" si="41"/>
        <v>12423.268161180478</v>
      </c>
      <c r="Q68" s="5964"/>
      <c r="R68" s="5962"/>
      <c r="S68" s="5963"/>
      <c r="T68" s="5964"/>
      <c r="U68" s="2089">
        <f t="shared" si="38"/>
        <v>46986.494608399553</v>
      </c>
    </row>
    <row r="69" spans="1:22" ht="24.75" customHeight="1" thickBot="1">
      <c r="A69" s="7170"/>
      <c r="B69" s="7469"/>
      <c r="C69" s="7449"/>
      <c r="D69" s="7458"/>
      <c r="E69" s="7459" t="s">
        <v>43</v>
      </c>
      <c r="F69" s="7460"/>
      <c r="G69" s="2476"/>
      <c r="H69" s="5575"/>
      <c r="I69" s="3952">
        <f>I68+I67</f>
        <v>0</v>
      </c>
      <c r="J69" s="5012">
        <f t="shared" ref="J69:T69" si="42">J68+J67</f>
        <v>0</v>
      </c>
      <c r="K69" s="5594">
        <f t="shared" si="42"/>
        <v>6491.9250000000002</v>
      </c>
      <c r="L69" s="3952">
        <f t="shared" si="42"/>
        <v>16770</v>
      </c>
      <c r="M69" s="5012">
        <f t="shared" si="42"/>
        <v>21971.690124858113</v>
      </c>
      <c r="N69" s="1606">
        <f t="shared" si="42"/>
        <v>12423.268161180478</v>
      </c>
      <c r="O69" s="1824">
        <f t="shared" si="42"/>
        <v>12423.268161180478</v>
      </c>
      <c r="P69" s="1776">
        <f t="shared" si="42"/>
        <v>12423.268161180478</v>
      </c>
      <c r="Q69" s="1777">
        <f t="shared" si="42"/>
        <v>0</v>
      </c>
      <c r="R69" s="1824">
        <f t="shared" si="42"/>
        <v>0</v>
      </c>
      <c r="S69" s="1776">
        <f t="shared" si="42"/>
        <v>0</v>
      </c>
      <c r="T69" s="1777">
        <f t="shared" si="42"/>
        <v>0</v>
      </c>
      <c r="U69" s="2089">
        <f>U67+U68</f>
        <v>82503.419608399563</v>
      </c>
      <c r="V69" s="5" t="b">
        <f t="shared" si="40"/>
        <v>0</v>
      </c>
    </row>
    <row r="70" spans="1:22" ht="24.75" customHeight="1">
      <c r="A70" s="7170"/>
      <c r="B70" s="7469"/>
      <c r="C70" s="7445" t="s">
        <v>335</v>
      </c>
      <c r="D70" s="7456"/>
      <c r="E70" s="7445" t="s">
        <v>1738</v>
      </c>
      <c r="F70" s="7446"/>
      <c r="G70" s="2443" t="s">
        <v>1739</v>
      </c>
      <c r="H70" s="5868">
        <v>0.1</v>
      </c>
      <c r="I70" s="4651"/>
      <c r="J70" s="5243"/>
      <c r="K70" s="5586">
        <f>K44*$H$70</f>
        <v>0</v>
      </c>
      <c r="L70" s="4499">
        <f t="shared" ref="L70:T70" si="43">L44*$H$70</f>
        <v>9645.6924820982313</v>
      </c>
      <c r="M70" s="5243">
        <f t="shared" si="43"/>
        <v>6430.4616547321548</v>
      </c>
      <c r="N70" s="3869">
        <f t="shared" si="43"/>
        <v>9282.0651861461156</v>
      </c>
      <c r="O70" s="3824">
        <f t="shared" si="43"/>
        <v>9597.8467852624271</v>
      </c>
      <c r="P70" s="3845">
        <f t="shared" si="43"/>
        <v>6430.4616547321548</v>
      </c>
      <c r="Q70" s="3846">
        <f t="shared" si="43"/>
        <v>6430.4616547321548</v>
      </c>
      <c r="R70" s="3824">
        <f t="shared" si="43"/>
        <v>6430.4616547321548</v>
      </c>
      <c r="S70" s="3845">
        <f t="shared" si="43"/>
        <v>6430.4616547321548</v>
      </c>
      <c r="T70" s="3846">
        <f t="shared" si="43"/>
        <v>6430.4616547321548</v>
      </c>
      <c r="U70" s="2089">
        <f t="shared" ref="U70:U71" si="44">SUM(I70:T70)</f>
        <v>67108.374381899703</v>
      </c>
    </row>
    <row r="71" spans="1:22" ht="24.75" customHeight="1" thickBot="1">
      <c r="A71" s="7170"/>
      <c r="B71" s="7469"/>
      <c r="C71" s="7151"/>
      <c r="D71" s="7457"/>
      <c r="E71" s="7465"/>
      <c r="F71" s="7466"/>
      <c r="G71" s="5864" t="str">
        <f>G45</f>
        <v>AL5</v>
      </c>
      <c r="H71" s="5869"/>
      <c r="I71" s="5870"/>
      <c r="J71" s="5675"/>
      <c r="K71" s="5871"/>
      <c r="L71" s="6499"/>
      <c r="M71" s="5675">
        <v>13000</v>
      </c>
      <c r="N71" s="5872">
        <v>13000</v>
      </c>
      <c r="O71" s="5873">
        <v>13000</v>
      </c>
      <c r="P71" s="5874">
        <v>13000</v>
      </c>
      <c r="Q71" s="5875"/>
      <c r="R71" s="5873"/>
      <c r="S71" s="5874"/>
      <c r="T71" s="5875"/>
      <c r="U71" s="5683">
        <f t="shared" si="44"/>
        <v>52000</v>
      </c>
    </row>
    <row r="72" spans="1:22" ht="24.75" customHeight="1" thickBot="1">
      <c r="A72" s="7170"/>
      <c r="B72" s="7469"/>
      <c r="C72" s="7449"/>
      <c r="D72" s="7458"/>
      <c r="E72" s="7459" t="s">
        <v>43</v>
      </c>
      <c r="F72" s="7460"/>
      <c r="G72" s="2476"/>
      <c r="H72" s="5575"/>
      <c r="I72" s="3952"/>
      <c r="J72" s="5012"/>
      <c r="K72" s="5594">
        <f>K70</f>
        <v>0</v>
      </c>
      <c r="L72" s="3952">
        <f>L70+L71</f>
        <v>9645.6924820982313</v>
      </c>
      <c r="M72" s="5012">
        <f t="shared" ref="M72:T72" si="45">M70+M71</f>
        <v>19430.461654732157</v>
      </c>
      <c r="N72" s="1606">
        <f t="shared" si="45"/>
        <v>22282.065186146116</v>
      </c>
      <c r="O72" s="1824">
        <f t="shared" si="45"/>
        <v>22597.846785262427</v>
      </c>
      <c r="P72" s="1776">
        <f t="shared" si="45"/>
        <v>19430.461654732157</v>
      </c>
      <c r="Q72" s="1777">
        <f t="shared" si="45"/>
        <v>6430.4616547321548</v>
      </c>
      <c r="R72" s="1824">
        <f t="shared" si="45"/>
        <v>6430.4616547321548</v>
      </c>
      <c r="S72" s="1776">
        <f t="shared" si="45"/>
        <v>6430.4616547321548</v>
      </c>
      <c r="T72" s="1777">
        <f t="shared" si="45"/>
        <v>6430.4616547321548</v>
      </c>
      <c r="U72" s="2089">
        <f>U70+U71</f>
        <v>119108.3743818997</v>
      </c>
      <c r="V72" s="5" t="b">
        <f t="shared" si="40"/>
        <v>1</v>
      </c>
    </row>
    <row r="73" spans="1:22" ht="24.75" customHeight="1">
      <c r="A73" s="7170"/>
      <c r="B73" s="7469"/>
      <c r="C73" s="7445" t="str">
        <f>C47</f>
        <v>Painting</v>
      </c>
      <c r="D73" s="7456"/>
      <c r="E73" s="7463" t="str">
        <f>E47</f>
        <v>Qualcomm</v>
      </c>
      <c r="F73" s="7464"/>
      <c r="G73" s="2443" t="str">
        <f>G47</f>
        <v>Ride5</v>
      </c>
      <c r="H73" s="2486">
        <v>12.1</v>
      </c>
      <c r="I73" s="4651">
        <f t="shared" ref="I73:T73" si="46">I47*$H$73</f>
        <v>2715.7777777777778</v>
      </c>
      <c r="J73" s="5243">
        <f t="shared" si="46"/>
        <v>2715.7777777777778</v>
      </c>
      <c r="K73" s="5586">
        <f t="shared" si="46"/>
        <v>5438.3449999999993</v>
      </c>
      <c r="L73" s="4499">
        <f t="shared" si="46"/>
        <v>1928.1908161836764</v>
      </c>
      <c r="M73" s="5243">
        <f t="shared" si="46"/>
        <v>2715.7777777777778</v>
      </c>
      <c r="N73" s="3869">
        <f t="shared" si="46"/>
        <v>2715.7777777777778</v>
      </c>
      <c r="O73" s="3824">
        <f t="shared" si="46"/>
        <v>3394.7222222222213</v>
      </c>
      <c r="P73" s="3845">
        <f t="shared" si="46"/>
        <v>3394.7222222222213</v>
      </c>
      <c r="Q73" s="3846">
        <f t="shared" si="46"/>
        <v>3394.7222222222213</v>
      </c>
      <c r="R73" s="3824">
        <f t="shared" si="46"/>
        <v>2715.7777777777778</v>
      </c>
      <c r="S73" s="3845">
        <f t="shared" si="46"/>
        <v>1357.8888888888889</v>
      </c>
      <c r="T73" s="3846">
        <f t="shared" si="46"/>
        <v>1357.8888888888889</v>
      </c>
      <c r="U73" s="2089">
        <f>SUM(I73:T73)</f>
        <v>33845.369149517013</v>
      </c>
    </row>
    <row r="74" spans="1:22" ht="24.75" customHeight="1" thickBot="1">
      <c r="A74" s="7170"/>
      <c r="B74" s="7469"/>
      <c r="C74" s="7151"/>
      <c r="D74" s="7457"/>
      <c r="E74" s="7451" t="s">
        <v>1193</v>
      </c>
      <c r="F74" s="7452"/>
      <c r="G74" s="5864" t="str">
        <f>G48</f>
        <v>Galaxy Tap</v>
      </c>
      <c r="H74" s="6276">
        <f>10847/'1-1.Assumption'!F29</f>
        <v>0.41087121212121214</v>
      </c>
      <c r="I74" s="6274">
        <f t="shared" ref="I74:O74" si="47">I48*$H$74</f>
        <v>0</v>
      </c>
      <c r="J74" s="5959">
        <f t="shared" si="47"/>
        <v>0</v>
      </c>
      <c r="K74" s="5960">
        <f t="shared" si="47"/>
        <v>0</v>
      </c>
      <c r="L74" s="6500">
        <f t="shared" si="47"/>
        <v>0</v>
      </c>
      <c r="M74" s="5959">
        <f t="shared" si="47"/>
        <v>0</v>
      </c>
      <c r="N74" s="5961">
        <f t="shared" si="47"/>
        <v>0</v>
      </c>
      <c r="O74" s="5962">
        <f t="shared" si="47"/>
        <v>0</v>
      </c>
      <c r="P74" s="5963">
        <f>P48*$H$74</f>
        <v>0</v>
      </c>
      <c r="Q74" s="5964">
        <f t="shared" ref="Q74:T74" si="48">Q48*$H$74</f>
        <v>0</v>
      </c>
      <c r="R74" s="5962">
        <f t="shared" si="48"/>
        <v>0</v>
      </c>
      <c r="S74" s="5963">
        <f t="shared" si="48"/>
        <v>4108.712121212121</v>
      </c>
      <c r="T74" s="5964">
        <f t="shared" si="48"/>
        <v>20543.560606060608</v>
      </c>
      <c r="U74" s="6275">
        <f>SUM(I74:T74)</f>
        <v>24652.272727272728</v>
      </c>
    </row>
    <row r="75" spans="1:22" ht="24.75" customHeight="1" thickBot="1">
      <c r="A75" s="7171"/>
      <c r="B75" s="7470"/>
      <c r="C75" s="7461"/>
      <c r="D75" s="7462"/>
      <c r="E75" s="7459" t="s">
        <v>43</v>
      </c>
      <c r="F75" s="7460"/>
      <c r="G75" s="6272"/>
      <c r="H75" s="6273"/>
      <c r="I75" s="3952">
        <f t="shared" ref="I75:T75" si="49">SUM(I73:I74)</f>
        <v>2715.7777777777778</v>
      </c>
      <c r="J75" s="5012">
        <f t="shared" si="49"/>
        <v>2715.7777777777778</v>
      </c>
      <c r="K75" s="5594">
        <f t="shared" si="49"/>
        <v>5438.3449999999993</v>
      </c>
      <c r="L75" s="5663">
        <f t="shared" si="49"/>
        <v>1928.1908161836764</v>
      </c>
      <c r="M75" s="5012">
        <f t="shared" si="49"/>
        <v>2715.7777777777778</v>
      </c>
      <c r="N75" s="1606">
        <f t="shared" si="49"/>
        <v>2715.7777777777778</v>
      </c>
      <c r="O75" s="1824">
        <f t="shared" si="49"/>
        <v>3394.7222222222213</v>
      </c>
      <c r="P75" s="1776">
        <f t="shared" si="49"/>
        <v>3394.7222222222213</v>
      </c>
      <c r="Q75" s="1777">
        <f t="shared" si="49"/>
        <v>3394.7222222222213</v>
      </c>
      <c r="R75" s="1824">
        <f t="shared" si="49"/>
        <v>2715.7777777777778</v>
      </c>
      <c r="S75" s="1776">
        <f t="shared" si="49"/>
        <v>5466.6010101010097</v>
      </c>
      <c r="T75" s="1777">
        <f t="shared" si="49"/>
        <v>21901.449494949498</v>
      </c>
      <c r="U75" s="2143">
        <f>SUM(U73:U74)</f>
        <v>58497.641876789741</v>
      </c>
      <c r="V75" s="5" t="b">
        <f t="shared" si="40"/>
        <v>1</v>
      </c>
    </row>
    <row r="76" spans="1:22" ht="23.25" customHeight="1">
      <c r="A76" s="7086">
        <v>2</v>
      </c>
      <c r="B76" s="7468" t="s">
        <v>1262</v>
      </c>
      <c r="C76" s="7445" t="s">
        <v>1422</v>
      </c>
      <c r="D76" s="7456"/>
      <c r="E76" s="7456"/>
      <c r="F76" s="7446"/>
      <c r="G76" s="3717" t="str">
        <f>E21</f>
        <v>Glass Frame (ZF60A-T5)</v>
      </c>
      <c r="H76" s="3568">
        <v>50</v>
      </c>
      <c r="I76" s="4652">
        <f t="shared" ref="I76:T76" si="50">$H$76*I50</f>
        <v>0</v>
      </c>
      <c r="J76" s="5244">
        <f t="shared" si="50"/>
        <v>0</v>
      </c>
      <c r="K76" s="5611">
        <f t="shared" si="50"/>
        <v>0</v>
      </c>
      <c r="L76" s="4652">
        <f t="shared" si="50"/>
        <v>0</v>
      </c>
      <c r="M76" s="5037">
        <f t="shared" si="50"/>
        <v>750</v>
      </c>
      <c r="N76" s="3885">
        <f t="shared" si="50"/>
        <v>0</v>
      </c>
      <c r="O76" s="3886">
        <f t="shared" si="50"/>
        <v>0</v>
      </c>
      <c r="P76" s="3836">
        <f t="shared" si="50"/>
        <v>3858.7464920486432</v>
      </c>
      <c r="Q76" s="3887">
        <f t="shared" si="50"/>
        <v>5788.1197380729654</v>
      </c>
      <c r="R76" s="3886">
        <f t="shared" si="50"/>
        <v>3858.7464920486432</v>
      </c>
      <c r="S76" s="3836">
        <f t="shared" si="50"/>
        <v>3858.7464920486432</v>
      </c>
      <c r="T76" s="3888">
        <f t="shared" si="50"/>
        <v>3858.7464920486432</v>
      </c>
      <c r="U76" s="3572">
        <f>SUM(I76:T76)</f>
        <v>21973.105706267539</v>
      </c>
    </row>
    <row r="77" spans="1:22" ht="23.25" customHeight="1">
      <c r="A77" s="7087"/>
      <c r="B77" s="7469"/>
      <c r="C77" s="7477" t="s">
        <v>1423</v>
      </c>
      <c r="D77" s="7478"/>
      <c r="E77" s="7478"/>
      <c r="F77" s="7479"/>
      <c r="G77" s="4096" t="str">
        <f>'2. S Plan'!F96</f>
        <v>Body Compute enclosure (AL6061-T6)</v>
      </c>
      <c r="H77" s="4094">
        <f>0.138+0.318</f>
        <v>0.45600000000000002</v>
      </c>
      <c r="I77" s="4653">
        <f t="shared" ref="I77:T77" si="51">$H$77*I51</f>
        <v>0</v>
      </c>
      <c r="J77" s="4873">
        <f t="shared" si="51"/>
        <v>0</v>
      </c>
      <c r="K77" s="5612">
        <f t="shared" si="51"/>
        <v>0</v>
      </c>
      <c r="L77" s="4653">
        <f t="shared" si="51"/>
        <v>0</v>
      </c>
      <c r="M77" s="7010">
        <f t="shared" si="51"/>
        <v>6.84</v>
      </c>
      <c r="N77" s="3889">
        <f t="shared" si="51"/>
        <v>0</v>
      </c>
      <c r="O77" s="3890">
        <f t="shared" si="51"/>
        <v>0</v>
      </c>
      <c r="P77" s="3830">
        <f t="shared" si="51"/>
        <v>35.191768007483631</v>
      </c>
      <c r="Q77" s="3891">
        <f t="shared" si="51"/>
        <v>52.787652011225447</v>
      </c>
      <c r="R77" s="3890">
        <f t="shared" si="51"/>
        <v>35.191768007483631</v>
      </c>
      <c r="S77" s="3830">
        <f t="shared" si="51"/>
        <v>35.191768007483631</v>
      </c>
      <c r="T77" s="3892">
        <f t="shared" si="51"/>
        <v>35.191768007483631</v>
      </c>
      <c r="U77" s="2108">
        <f t="shared" ref="U77:U78" si="52">SUM(I77:T77)</f>
        <v>200.39472404115998</v>
      </c>
    </row>
    <row r="78" spans="1:22" ht="23.25" customHeight="1" thickBot="1">
      <c r="A78" s="4080"/>
      <c r="B78" s="7480"/>
      <c r="C78" s="7454" t="s">
        <v>1424</v>
      </c>
      <c r="D78" s="7455"/>
      <c r="E78" s="7455"/>
      <c r="F78" s="7455"/>
      <c r="G78" s="1769" t="str">
        <f>'2. S Plan'!F96</f>
        <v>Body Compute enclosure (AL6061-T6)</v>
      </c>
      <c r="H78" s="4095">
        <v>0.5</v>
      </c>
      <c r="I78" s="4653">
        <f>$H$77*I53</f>
        <v>0</v>
      </c>
      <c r="J78" s="5245">
        <f t="shared" ref="J78:T78" si="53">$H$78*J53</f>
        <v>0</v>
      </c>
      <c r="K78" s="5613">
        <f t="shared" si="53"/>
        <v>0</v>
      </c>
      <c r="L78" s="6501">
        <f t="shared" si="53"/>
        <v>0</v>
      </c>
      <c r="M78" s="5014">
        <f t="shared" si="53"/>
        <v>15</v>
      </c>
      <c r="N78" s="4093">
        <f t="shared" si="53"/>
        <v>0</v>
      </c>
      <c r="O78" s="3861">
        <f t="shared" si="53"/>
        <v>0</v>
      </c>
      <c r="P78" s="3802">
        <f t="shared" si="53"/>
        <v>77.174929840972865</v>
      </c>
      <c r="Q78" s="3858">
        <f t="shared" si="53"/>
        <v>115.7623947614593</v>
      </c>
      <c r="R78" s="3861">
        <f t="shared" si="53"/>
        <v>77.174929840972865</v>
      </c>
      <c r="S78" s="3802">
        <f t="shared" si="53"/>
        <v>77.174929840972865</v>
      </c>
      <c r="T78" s="3857">
        <f t="shared" si="53"/>
        <v>77.174929840972865</v>
      </c>
      <c r="U78" s="2108">
        <f t="shared" si="52"/>
        <v>439.46211412535081</v>
      </c>
    </row>
    <row r="79" spans="1:22" ht="23.25" customHeight="1" thickBot="1">
      <c r="A79" s="75"/>
      <c r="B79" s="3566"/>
      <c r="C79" s="3563"/>
      <c r="D79" s="3563"/>
      <c r="E79" s="7093" t="s">
        <v>43</v>
      </c>
      <c r="F79" s="7093"/>
      <c r="G79" s="3564"/>
      <c r="H79" s="3565"/>
      <c r="I79" s="4630">
        <f>SUM(I76:I78)</f>
        <v>0</v>
      </c>
      <c r="J79" s="5012">
        <f t="shared" ref="J79:T79" si="54">SUM(J76:J78)</f>
        <v>0</v>
      </c>
      <c r="K79" s="5606">
        <f t="shared" si="54"/>
        <v>0</v>
      </c>
      <c r="L79" s="4630">
        <f t="shared" si="54"/>
        <v>0</v>
      </c>
      <c r="M79" s="5012">
        <f t="shared" si="54"/>
        <v>771.84</v>
      </c>
      <c r="N79" s="1673">
        <f t="shared" si="54"/>
        <v>0</v>
      </c>
      <c r="O79" s="1775">
        <f t="shared" si="54"/>
        <v>0</v>
      </c>
      <c r="P79" s="1776">
        <f t="shared" si="54"/>
        <v>3971.1131898970993</v>
      </c>
      <c r="Q79" s="2295">
        <f t="shared" si="54"/>
        <v>5956.6697848456506</v>
      </c>
      <c r="R79" s="1775">
        <f t="shared" si="54"/>
        <v>3971.1131898970993</v>
      </c>
      <c r="S79" s="1776">
        <f t="shared" si="54"/>
        <v>3971.1131898970993</v>
      </c>
      <c r="T79" s="2294">
        <f t="shared" si="54"/>
        <v>3971.1131898970993</v>
      </c>
      <c r="U79" s="2143">
        <f>SUM(U76:U78)</f>
        <v>22612.962544434053</v>
      </c>
      <c r="V79" s="5" t="b">
        <f>U79=SUM(I79:T79)</f>
        <v>0</v>
      </c>
    </row>
    <row r="80" spans="1:22" ht="24.75" customHeight="1" thickBot="1">
      <c r="A80" s="7165" t="s">
        <v>143</v>
      </c>
      <c r="B80" s="7166"/>
      <c r="C80" s="7166"/>
      <c r="D80" s="7178"/>
      <c r="E80" s="7178"/>
      <c r="F80" s="7178"/>
      <c r="G80" s="7178"/>
      <c r="H80" s="7178"/>
      <c r="I80" s="5012">
        <f>I66+I64+I75+I59+I69+I72+I79</f>
        <v>92110.126946968361</v>
      </c>
      <c r="J80" s="5012">
        <f t="shared" ref="J80:T80" si="55">J66+J64+J75+J59+J69+J72+J79</f>
        <v>53017.416065638157</v>
      </c>
      <c r="K80" s="5505">
        <f t="shared" si="55"/>
        <v>58503.868144261571</v>
      </c>
      <c r="L80" s="5663">
        <f t="shared" si="55"/>
        <v>45818.828677531761</v>
      </c>
      <c r="M80" s="5012">
        <f t="shared" si="55"/>
        <v>63623.725862585525</v>
      </c>
      <c r="N80" s="1825">
        <f t="shared" si="55"/>
        <v>53146.894246072552</v>
      </c>
      <c r="O80" s="1824">
        <f t="shared" si="55"/>
        <v>72798.36555663844</v>
      </c>
      <c r="P80" s="1776">
        <f t="shared" si="55"/>
        <v>62903.598828306953</v>
      </c>
      <c r="Q80" s="1777">
        <f t="shared" si="55"/>
        <v>54638.188918550157</v>
      </c>
      <c r="R80" s="1778">
        <f t="shared" si="55"/>
        <v>46396.41515188443</v>
      </c>
      <c r="S80" s="1776">
        <f t="shared" si="55"/>
        <v>53111.600975498812</v>
      </c>
      <c r="T80" s="1777">
        <f t="shared" si="55"/>
        <v>65298.370776991185</v>
      </c>
      <c r="U80" s="2142">
        <f>U79+U75+U72+U69+U66+U64+U59</f>
        <v>721367.40015092783</v>
      </c>
      <c r="V80" s="5" t="b">
        <f>U80=SUM(I80:T80)</f>
        <v>1</v>
      </c>
    </row>
    <row r="81" spans="2:21" ht="17.25" customHeight="1">
      <c r="H81" s="2487"/>
      <c r="I81" s="1699">
        <v>98953.734615384616</v>
      </c>
      <c r="J81" s="1699">
        <v>72915.855384615381</v>
      </c>
      <c r="K81" s="1699">
        <v>68269.669230769228</v>
      </c>
      <c r="M81" s="1534"/>
      <c r="S81" s="1532"/>
      <c r="T81" s="1699"/>
    </row>
    <row r="82" spans="2:21" ht="15" customHeight="1">
      <c r="H82" s="2487"/>
      <c r="I82" s="1699">
        <f>+I80-I81</f>
        <v>-6843.6076684162545</v>
      </c>
      <c r="J82" s="1699">
        <f t="shared" ref="J82:K82" si="56">+J80-J81</f>
        <v>-19898.439318977224</v>
      </c>
      <c r="K82" s="1699">
        <f t="shared" si="56"/>
        <v>-9765.8010865076576</v>
      </c>
      <c r="M82" s="1534"/>
    </row>
    <row r="83" spans="2:21" ht="16.5" customHeight="1">
      <c r="H83" s="2487"/>
      <c r="I83" s="1780"/>
      <c r="J83" s="1780"/>
      <c r="K83" s="1780"/>
      <c r="L83" s="6502"/>
      <c r="M83" s="1780"/>
      <c r="N83" s="1695"/>
      <c r="O83" s="1695"/>
      <c r="P83" s="1695"/>
      <c r="Q83" s="1695"/>
      <c r="R83" s="1695"/>
      <c r="S83" s="7453" t="s">
        <v>1079</v>
      </c>
      <c r="T83" s="29" t="s">
        <v>1322</v>
      </c>
      <c r="U83" s="2821">
        <f>U80</f>
        <v>721367.40015092783</v>
      </c>
    </row>
    <row r="84" spans="2:21" ht="17.399999999999999">
      <c r="H84" s="2487"/>
      <c r="I84" s="1780"/>
      <c r="J84" s="1780"/>
      <c r="K84" s="1780"/>
      <c r="L84" s="6502"/>
      <c r="M84" s="1780"/>
      <c r="N84" s="1695"/>
      <c r="O84" s="1695"/>
      <c r="P84" s="1695"/>
      <c r="S84" s="7453"/>
      <c r="T84" s="29" t="s">
        <v>1078</v>
      </c>
      <c r="U84" s="2821">
        <v>857638.95334699983</v>
      </c>
    </row>
    <row r="85" spans="2:21" ht="17.399999999999999">
      <c r="H85" s="2487"/>
      <c r="N85" s="2436"/>
      <c r="S85" s="7467" t="s">
        <v>1076</v>
      </c>
      <c r="T85" s="7467"/>
      <c r="U85" s="4039">
        <f>(U83-U84)/U83</f>
        <v>-0.18890727965744034</v>
      </c>
    </row>
    <row r="86" spans="2:21" ht="15" customHeight="1">
      <c r="H86" s="2487"/>
      <c r="N86" s="2436"/>
      <c r="U86" s="2436"/>
    </row>
    <row r="87" spans="2:21" ht="15" customHeight="1">
      <c r="H87" s="2487"/>
      <c r="N87" s="2436"/>
      <c r="U87" s="2464"/>
    </row>
    <row r="88" spans="2:21" ht="15" customHeight="1">
      <c r="H88" s="2487"/>
      <c r="N88" s="2436"/>
    </row>
    <row r="89" spans="2:21" ht="15" customHeight="1">
      <c r="H89" s="2487"/>
      <c r="U89" s="1532"/>
    </row>
    <row r="91" spans="2:21" ht="15" customHeight="1">
      <c r="B91" s="5"/>
      <c r="C91" s="5"/>
      <c r="D91" s="5"/>
      <c r="E91" s="5"/>
      <c r="F91" s="5"/>
      <c r="H91" s="5"/>
      <c r="I91" s="5"/>
      <c r="J91" s="1536"/>
      <c r="K91" s="5"/>
      <c r="L91" s="1536"/>
      <c r="M91" s="5"/>
      <c r="N91" s="5"/>
      <c r="O91" s="5"/>
      <c r="P91" s="5"/>
      <c r="Q91" s="5"/>
      <c r="R91" s="5"/>
      <c r="T91" s="5"/>
      <c r="U91" s="1532"/>
    </row>
    <row r="92" spans="2:21" ht="15" customHeight="1">
      <c r="B92" s="5"/>
      <c r="C92" s="5"/>
      <c r="D92" s="5"/>
      <c r="E92" s="5"/>
      <c r="F92" s="5"/>
      <c r="H92" s="5"/>
      <c r="I92" s="5"/>
      <c r="J92" s="1536"/>
      <c r="K92" s="5"/>
      <c r="L92" s="1536"/>
      <c r="M92" s="5"/>
      <c r="N92" s="5"/>
      <c r="O92" s="5"/>
      <c r="P92" s="5"/>
      <c r="Q92" s="5"/>
      <c r="R92" s="5"/>
      <c r="T92" s="5"/>
      <c r="U92" s="2467"/>
    </row>
    <row r="93" spans="2:21" ht="15" customHeight="1">
      <c r="B93" s="5"/>
      <c r="C93" s="5"/>
      <c r="D93" s="5"/>
      <c r="E93" s="5"/>
      <c r="F93" s="5"/>
      <c r="H93" s="5"/>
      <c r="I93" s="5"/>
      <c r="J93" s="1536"/>
      <c r="K93" s="5"/>
      <c r="L93" s="1536"/>
      <c r="M93" s="5"/>
      <c r="N93" s="5"/>
      <c r="O93" s="5"/>
      <c r="P93" s="5"/>
      <c r="Q93" s="5"/>
      <c r="R93" s="5"/>
      <c r="T93" s="5"/>
      <c r="U93" s="2467"/>
    </row>
  </sheetData>
  <mergeCells count="81">
    <mergeCell ref="C12:C17"/>
    <mergeCell ref="C41:D43"/>
    <mergeCell ref="C44:D46"/>
    <mergeCell ref="C60:D64"/>
    <mergeCell ref="C57:D57"/>
    <mergeCell ref="A54:H54"/>
    <mergeCell ref="E53:F53"/>
    <mergeCell ref="C50:F50"/>
    <mergeCell ref="C51:F51"/>
    <mergeCell ref="C52:F52"/>
    <mergeCell ref="B32:B40"/>
    <mergeCell ref="C34:D37"/>
    <mergeCell ref="E25:F25"/>
    <mergeCell ref="A32:A40"/>
    <mergeCell ref="A50:A51"/>
    <mergeCell ref="B50:B51"/>
    <mergeCell ref="C5:C11"/>
    <mergeCell ref="A28:H28"/>
    <mergeCell ref="E43:F43"/>
    <mergeCell ref="E46:F46"/>
    <mergeCell ref="A5:A17"/>
    <mergeCell ref="B5:B17"/>
    <mergeCell ref="E31:F31"/>
    <mergeCell ref="E18:F18"/>
    <mergeCell ref="C32:D33"/>
    <mergeCell ref="E33:F33"/>
    <mergeCell ref="B21:B27"/>
    <mergeCell ref="C21:C27"/>
    <mergeCell ref="E44:F45"/>
    <mergeCell ref="A18:A20"/>
    <mergeCell ref="B18:B20"/>
    <mergeCell ref="E20:F20"/>
    <mergeCell ref="E4:F4"/>
    <mergeCell ref="E60:F63"/>
    <mergeCell ref="E34:F37"/>
    <mergeCell ref="E21:F21"/>
    <mergeCell ref="E22:F22"/>
    <mergeCell ref="E23:F23"/>
    <mergeCell ref="E32:F32"/>
    <mergeCell ref="E49:F49"/>
    <mergeCell ref="E38:F38"/>
    <mergeCell ref="E39:F39"/>
    <mergeCell ref="E40:F40"/>
    <mergeCell ref="E47:F47"/>
    <mergeCell ref="E59:F59"/>
    <mergeCell ref="E27:F27"/>
    <mergeCell ref="E24:F24"/>
    <mergeCell ref="E57:F57"/>
    <mergeCell ref="S85:T85"/>
    <mergeCell ref="A80:H80"/>
    <mergeCell ref="E75:F75"/>
    <mergeCell ref="A58:A75"/>
    <mergeCell ref="B58:B75"/>
    <mergeCell ref="E58:F58"/>
    <mergeCell ref="C58:D59"/>
    <mergeCell ref="E66:F66"/>
    <mergeCell ref="E79:F79"/>
    <mergeCell ref="A76:A77"/>
    <mergeCell ref="C76:F76"/>
    <mergeCell ref="C77:F77"/>
    <mergeCell ref="E64:F64"/>
    <mergeCell ref="E65:F65"/>
    <mergeCell ref="C65:D66"/>
    <mergeCell ref="B76:B78"/>
    <mergeCell ref="S83:S84"/>
    <mergeCell ref="C78:F78"/>
    <mergeCell ref="C67:D69"/>
    <mergeCell ref="E69:F69"/>
    <mergeCell ref="C70:D72"/>
    <mergeCell ref="E72:F72"/>
    <mergeCell ref="C73:D75"/>
    <mergeCell ref="E73:F73"/>
    <mergeCell ref="E70:F71"/>
    <mergeCell ref="E67:F68"/>
    <mergeCell ref="E74:F74"/>
    <mergeCell ref="C39:D39"/>
    <mergeCell ref="A21:A27"/>
    <mergeCell ref="E26:F26"/>
    <mergeCell ref="E41:F42"/>
    <mergeCell ref="E48:F48"/>
    <mergeCell ref="C47:D48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N85"/>
  <sheetViews>
    <sheetView showGridLines="0" zoomScale="70" zoomScaleNormal="70" workbookViewId="0">
      <pane xSplit="6" ySplit="8" topLeftCell="G42" activePane="bottomRight" state="frozen"/>
      <selection pane="topRight" activeCell="G1" sqref="G1"/>
      <selection pane="bottomLeft" activeCell="A9" sqref="A9"/>
      <selection pane="bottomRight" activeCell="L32" sqref="L32:R32"/>
    </sheetView>
  </sheetViews>
  <sheetFormatPr defaultColWidth="9" defaultRowHeight="15" customHeight="1"/>
  <cols>
    <col min="1" max="1" width="14.3984375" style="5" customWidth="1"/>
    <col min="2" max="2" width="18.69921875" style="2362" customWidth="1"/>
    <col min="3" max="3" width="7.69921875" style="3610" customWidth="1"/>
    <col min="4" max="4" width="37.8984375" style="2363" customWidth="1"/>
    <col min="5" max="5" width="52.3984375" style="2363" hidden="1" customWidth="1"/>
    <col min="6" max="6" width="11.59765625" style="4878" hidden="1" customWidth="1"/>
    <col min="7" max="10" width="13.59765625" style="1534" customWidth="1"/>
    <col min="11" max="11" width="13.59765625" style="1532" customWidth="1"/>
    <col min="12" max="12" width="13.59765625" style="1534" customWidth="1"/>
    <col min="13" max="18" width="13.59765625" style="1532" customWidth="1"/>
    <col min="19" max="19" width="17.3984375" style="5" customWidth="1"/>
    <col min="20" max="21" width="11.09765625" style="5" hidden="1" customWidth="1"/>
    <col min="22" max="23" width="16" style="5" hidden="1" customWidth="1"/>
    <col min="24" max="26" width="13" style="5" hidden="1" customWidth="1"/>
    <col min="27" max="27" width="14.59765625" style="4034" hidden="1" customWidth="1"/>
    <col min="28" max="28" width="13" style="4544" customWidth="1"/>
    <col min="29" max="29" width="15.3984375" style="4544" customWidth="1"/>
    <col min="30" max="30" width="11" style="5" customWidth="1"/>
    <col min="31" max="31" width="7.3984375" style="5" customWidth="1"/>
    <col min="32" max="32" width="12" style="5" customWidth="1"/>
    <col min="33" max="33" width="7.8984375" style="5" customWidth="1"/>
    <col min="34" max="34" width="11.69921875" style="5" customWidth="1"/>
    <col min="35" max="35" width="9" style="5" customWidth="1"/>
    <col min="36" max="36" width="12.09765625" style="5" bestFit="1" customWidth="1"/>
    <col min="37" max="16384" width="9" style="5"/>
  </cols>
  <sheetData>
    <row r="1" spans="1:38" ht="20.25" customHeight="1">
      <c r="A1" s="2361" t="s">
        <v>134</v>
      </c>
    </row>
    <row r="2" spans="1:38" ht="20.25" customHeight="1">
      <c r="A2" s="1530"/>
      <c r="G2" s="4563"/>
      <c r="I2" s="2240"/>
      <c r="S2" s="1530"/>
      <c r="T2" s="1530"/>
      <c r="U2" s="1530"/>
      <c r="V2" s="1530"/>
    </row>
    <row r="3" spans="1:38" ht="20.25" customHeight="1" thickBot="1">
      <c r="A3" s="1538" t="s">
        <v>31</v>
      </c>
      <c r="E3" s="2363" t="s">
        <v>1547</v>
      </c>
      <c r="F3" s="4879" t="s">
        <v>1547</v>
      </c>
      <c r="S3" s="1537" t="s">
        <v>86</v>
      </c>
      <c r="T3" s="1537"/>
      <c r="U3" s="1537"/>
      <c r="V3" s="1537"/>
    </row>
    <row r="4" spans="1:38" ht="20.25" customHeight="1">
      <c r="A4" s="7060" t="s">
        <v>116</v>
      </c>
      <c r="B4" s="7061"/>
      <c r="C4" s="7061"/>
      <c r="D4" s="7061"/>
      <c r="E4" s="72"/>
      <c r="F4" s="4880"/>
      <c r="G4" s="4558" t="str">
        <f>'2. S Plan'!L4</f>
        <v>Jan.26</v>
      </c>
      <c r="H4" s="5101" t="str">
        <f>'2. S Plan'!M4</f>
        <v>Feb.26</v>
      </c>
      <c r="I4" s="5576" t="str">
        <f>'2. S Plan'!N4</f>
        <v>Mar.26</v>
      </c>
      <c r="J4" s="6145" t="str">
        <f>'2. S Plan'!O4</f>
        <v>Apr.26</v>
      </c>
      <c r="K4" s="5101" t="str">
        <f>'2. S Plan'!P4</f>
        <v>May.26</v>
      </c>
      <c r="L4" s="72" t="str">
        <f>'2. S Plan'!Q4</f>
        <v>Jun.26</v>
      </c>
      <c r="M4" s="71" t="str">
        <f>'2. S Plan'!R4</f>
        <v>Jul.26</v>
      </c>
      <c r="N4" s="72" t="str">
        <f>'2. S Plan'!S4</f>
        <v>Aug.26</v>
      </c>
      <c r="O4" s="2253" t="str">
        <f>'2. S Plan'!T4</f>
        <v>Sep.26</v>
      </c>
      <c r="P4" s="71" t="str">
        <f>'2. S Plan'!U4</f>
        <v>Oct.26</v>
      </c>
      <c r="Q4" s="72" t="str">
        <f>'2. S Plan'!V4</f>
        <v>Nov.26</v>
      </c>
      <c r="R4" s="2253" t="str">
        <f>'2. S Plan'!W4</f>
        <v>Dec.26</v>
      </c>
      <c r="S4" s="6395" t="str">
        <f>'2. S Plan'!X4</f>
        <v>2026
Total</v>
      </c>
      <c r="T4" s="1531"/>
      <c r="U4" s="1531"/>
      <c r="V4" s="1922"/>
    </row>
    <row r="5" spans="1:38" ht="20.25" customHeight="1" thickBot="1">
      <c r="A5" s="7526" t="s">
        <v>17</v>
      </c>
      <c r="B5" s="7527"/>
      <c r="C5" s="7527"/>
      <c r="D5" s="7527"/>
      <c r="E5" s="4791"/>
      <c r="F5" s="4881"/>
      <c r="G5" s="4614">
        <f>'2. S Plan'!L206</f>
        <v>3649629.1786013301</v>
      </c>
      <c r="H5" s="5102">
        <f>'2. S Plan'!M206</f>
        <v>3143407.1582357911</v>
      </c>
      <c r="I5" s="5577">
        <f>'2. S Plan'!N206</f>
        <v>4097111.3807477951</v>
      </c>
      <c r="J5" s="6146">
        <f>'2. S Plan'!O206</f>
        <v>3295318.8450423609</v>
      </c>
      <c r="K5" s="5102">
        <f>'2. S Plan'!P206</f>
        <v>3701636.9408252668</v>
      </c>
      <c r="L5" s="2364">
        <f>'2. S Plan'!Q206</f>
        <v>3769217.9071706124</v>
      </c>
      <c r="M5" s="2366">
        <f>'2. S Plan'!R206</f>
        <v>4064405.2347158645</v>
      </c>
      <c r="N5" s="2367">
        <f>'2. S Plan'!S206</f>
        <v>3777949.723959133</v>
      </c>
      <c r="O5" s="2368">
        <f>'2. S Plan'!T206</f>
        <v>3320220.2391426302</v>
      </c>
      <c r="P5" s="2366">
        <f>'2. S Plan'!U206</f>
        <v>3200183.1483620182</v>
      </c>
      <c r="Q5" s="2367">
        <f>'2. S Plan'!V206</f>
        <v>3156589.4836383178</v>
      </c>
      <c r="R5" s="2368">
        <f>'2. S Plan'!W206</f>
        <v>3163538.640586664</v>
      </c>
      <c r="S5" s="6396">
        <f>'2. S Plan'!X206</f>
        <v>42339207.88102778</v>
      </c>
      <c r="T5" s="2454"/>
      <c r="U5" s="2454"/>
      <c r="V5" s="1546"/>
    </row>
    <row r="6" spans="1:38" ht="20.25" customHeight="1">
      <c r="A6" s="1988"/>
      <c r="B6" s="2369"/>
      <c r="C6" s="3611"/>
      <c r="G6" s="4804"/>
      <c r="H6" s="5103"/>
      <c r="I6" s="5614"/>
      <c r="J6" s="5103"/>
      <c r="L6" s="1532"/>
      <c r="M6" s="1533"/>
      <c r="N6" s="1533"/>
      <c r="O6" s="1533"/>
      <c r="P6" s="1533"/>
      <c r="Q6" s="1533"/>
      <c r="R6" s="1533"/>
      <c r="S6" s="1533"/>
      <c r="T6" s="1533"/>
      <c r="U6" s="1533"/>
      <c r="V6" s="4"/>
    </row>
    <row r="7" spans="1:38" ht="20.25" customHeight="1" thickBot="1">
      <c r="A7" s="2382" t="s">
        <v>32</v>
      </c>
      <c r="B7" s="2488"/>
      <c r="C7" s="3612"/>
      <c r="G7" s="4576"/>
      <c r="H7" s="2649"/>
      <c r="I7" s="5615"/>
      <c r="J7" s="2490"/>
      <c r="K7" s="2489"/>
      <c r="L7" s="2489"/>
      <c r="M7" s="2490"/>
      <c r="N7" s="2490"/>
      <c r="O7" s="2490"/>
      <c r="P7" s="2490"/>
      <c r="Q7" s="2490"/>
      <c r="R7" s="2490"/>
      <c r="S7" s="1785" t="s">
        <v>86</v>
      </c>
      <c r="T7" s="7509" t="s">
        <v>1907</v>
      </c>
      <c r="U7" s="7509"/>
      <c r="V7" s="7510" t="s">
        <v>1908</v>
      </c>
      <c r="W7" s="7510"/>
    </row>
    <row r="8" spans="1:38" s="1528" customFormat="1" ht="20.25" customHeight="1" thickBot="1">
      <c r="A8" s="1539" t="s">
        <v>116</v>
      </c>
      <c r="B8" s="2385" t="s">
        <v>115</v>
      </c>
      <c r="C8" s="74" t="s">
        <v>1011</v>
      </c>
      <c r="D8" s="2386" t="s">
        <v>30</v>
      </c>
      <c r="E8" s="2387" t="s">
        <v>1522</v>
      </c>
      <c r="F8" s="4882" t="s">
        <v>1523</v>
      </c>
      <c r="G8" s="4490" t="str">
        <f>G4</f>
        <v>Jan.26</v>
      </c>
      <c r="H8" s="5005" t="str">
        <f t="shared" ref="H8:S8" si="0">H4</f>
        <v>Feb.26</v>
      </c>
      <c r="I8" s="5494" t="str">
        <f t="shared" si="0"/>
        <v>Mar.26</v>
      </c>
      <c r="J8" s="4757" t="str">
        <f t="shared" si="0"/>
        <v>Apr.26</v>
      </c>
      <c r="K8" s="74" t="str">
        <f t="shared" si="0"/>
        <v>May.26</v>
      </c>
      <c r="L8" s="74" t="str">
        <f t="shared" si="0"/>
        <v>Jun.26</v>
      </c>
      <c r="M8" s="1539" t="str">
        <f t="shared" si="0"/>
        <v>Jul.26</v>
      </c>
      <c r="N8" s="74" t="str">
        <f t="shared" si="0"/>
        <v>Aug.26</v>
      </c>
      <c r="O8" s="1540" t="str">
        <f t="shared" si="0"/>
        <v>Sep.26</v>
      </c>
      <c r="P8" s="1539" t="str">
        <f t="shared" si="0"/>
        <v>Oct.26</v>
      </c>
      <c r="Q8" s="74" t="str">
        <f t="shared" si="0"/>
        <v>Nov.26</v>
      </c>
      <c r="R8" s="65" t="str">
        <f t="shared" si="0"/>
        <v>Dec.26</v>
      </c>
      <c r="S8" s="3590" t="str">
        <f t="shared" si="0"/>
        <v>2026
Total</v>
      </c>
      <c r="T8" s="6393" t="s">
        <v>1851</v>
      </c>
      <c r="U8" s="6394" t="s">
        <v>1852</v>
      </c>
      <c r="V8" s="6335" t="s">
        <v>1851</v>
      </c>
      <c r="W8" s="6338" t="s">
        <v>1852</v>
      </c>
      <c r="X8" s="6334" t="s">
        <v>1853</v>
      </c>
      <c r="AA8" s="4035"/>
      <c r="AB8" s="4562"/>
      <c r="AC8" s="4562"/>
    </row>
    <row r="9" spans="1:38" ht="16.5" customHeight="1">
      <c r="A9" s="7067" t="s">
        <v>191</v>
      </c>
      <c r="B9" s="1615" t="s">
        <v>10</v>
      </c>
      <c r="C9" s="3613">
        <v>1</v>
      </c>
      <c r="D9" s="1623" t="s">
        <v>149</v>
      </c>
      <c r="E9" s="1588" t="s">
        <v>1524</v>
      </c>
      <c r="F9" s="4883" t="s">
        <v>1525</v>
      </c>
      <c r="G9" s="4559">
        <v>1168999.0510574721</v>
      </c>
      <c r="H9" s="5104">
        <v>703066.53129649349</v>
      </c>
      <c r="I9" s="5581">
        <v>1269497.3896815409</v>
      </c>
      <c r="J9" s="5248">
        <v>891773.10984459938</v>
      </c>
      <c r="K9" s="5104">
        <v>1274407.5998083402</v>
      </c>
      <c r="L9" s="2049">
        <f>'5. M Plan'!K73</f>
        <v>1101735.8517919248</v>
      </c>
      <c r="M9" s="2392">
        <f>'5. M Plan'!L73</f>
        <v>1135989.7081902819</v>
      </c>
      <c r="N9" s="2390">
        <f>'5. M Plan'!M73</f>
        <v>986891.82078068471</v>
      </c>
      <c r="O9" s="2391">
        <f>'5. M Plan'!N73</f>
        <v>819152.80527212238</v>
      </c>
      <c r="P9" s="2392">
        <f>'5. M Plan'!O73</f>
        <v>744275.21555367147</v>
      </c>
      <c r="Q9" s="2390">
        <f>'5. M Plan'!P73</f>
        <v>782273.44969274628</v>
      </c>
      <c r="R9" s="3586">
        <f>'5. M Plan'!Q73</f>
        <v>775227.41351521073</v>
      </c>
      <c r="S9" s="2480">
        <f t="shared" ref="S9:S33" si="1">SUM(G9:R9)</f>
        <v>11653289.946485089</v>
      </c>
      <c r="T9" s="6366">
        <f>SUM(G9:J9)/SUM($G$5:$J$5)</f>
        <v>0.2843287574697223</v>
      </c>
      <c r="U9" s="6366">
        <f t="shared" ref="U9:U32" si="2">SUM(K9:R9)/SUM($K$5:$R$5)</f>
        <v>0.27065510684453126</v>
      </c>
      <c r="V9" s="6336">
        <f>AVERAGE(G9:J9)</f>
        <v>1008334.0204700265</v>
      </c>
      <c r="W9" s="6339">
        <f t="shared" ref="W9:W32" si="3">AVERAGE(K9:R9)</f>
        <v>952494.23307562282</v>
      </c>
      <c r="X9" s="6357">
        <f>V9-W9</f>
        <v>55839.787394403713</v>
      </c>
      <c r="Y9" s="3911" t="s">
        <v>1864</v>
      </c>
      <c r="Z9" s="4546" t="s">
        <v>1909</v>
      </c>
      <c r="AJ9" s="1568"/>
      <c r="AL9" s="1696"/>
    </row>
    <row r="10" spans="1:38" ht="16.5" customHeight="1">
      <c r="A10" s="7068"/>
      <c r="B10" s="1602" t="s">
        <v>11</v>
      </c>
      <c r="C10" s="3614">
        <v>2</v>
      </c>
      <c r="D10" s="6399" t="s">
        <v>485</v>
      </c>
      <c r="E10" s="4792" t="s">
        <v>1526</v>
      </c>
      <c r="F10" s="4884"/>
      <c r="G10" s="4560">
        <v>433923.41153846151</v>
      </c>
      <c r="H10" s="5105">
        <v>488222.35665384616</v>
      </c>
      <c r="I10" s="5616">
        <v>547646.11311538459</v>
      </c>
      <c r="J10" s="6147">
        <v>598756.38061538467</v>
      </c>
      <c r="K10" s="6941">
        <v>526490.38119230769</v>
      </c>
      <c r="L10" s="1660">
        <f>'4. L PLAN'!K86</f>
        <v>519082.6258336262</v>
      </c>
      <c r="M10" s="2468">
        <f>'4. L PLAN'!L86</f>
        <v>515936.54064743739</v>
      </c>
      <c r="N10" s="1761">
        <f>'4. L PLAN'!M86</f>
        <v>510275.4724423092</v>
      </c>
      <c r="O10" s="1762">
        <f>'4. L PLAN'!N86</f>
        <v>507187.61705769377</v>
      </c>
      <c r="P10" s="2468">
        <f>'4. L PLAN'!O86</f>
        <v>496904.52660594555</v>
      </c>
      <c r="Q10" s="1761">
        <f>'4. L PLAN'!P86</f>
        <v>497933.81173415069</v>
      </c>
      <c r="R10" s="3342">
        <f>'4. L PLAN'!Q86</f>
        <v>494845.95634953532</v>
      </c>
      <c r="S10" s="2108">
        <f t="shared" si="1"/>
        <v>6137205.1937860828</v>
      </c>
      <c r="T10" s="6367">
        <f t="shared" ref="T10:T32" si="4">SUM(G10:J10)/SUM($G$5:$J$5)</f>
        <v>0.1458216585820892</v>
      </c>
      <c r="U10" s="6367">
        <f t="shared" si="2"/>
        <v>0.14451567505182142</v>
      </c>
      <c r="V10" s="6336">
        <f t="shared" ref="V10:V12" si="5">AVERAGE(G10:J10)</f>
        <v>517137.06548076926</v>
      </c>
      <c r="W10" s="6339">
        <f t="shared" si="3"/>
        <v>508582.11648287572</v>
      </c>
      <c r="X10" s="6357">
        <f t="shared" ref="X10:X12" si="6">V10-W10</f>
        <v>8554.9489978935453</v>
      </c>
      <c r="Y10" s="3911" t="s">
        <v>1865</v>
      </c>
      <c r="Z10" s="4546" t="s">
        <v>1916</v>
      </c>
      <c r="AJ10" s="1568"/>
    </row>
    <row r="11" spans="1:38" ht="16.5" customHeight="1">
      <c r="A11" s="7068"/>
      <c r="B11" s="1588" t="s">
        <v>216</v>
      </c>
      <c r="C11" s="4942">
        <v>3</v>
      </c>
      <c r="D11" s="4943" t="s">
        <v>1169</v>
      </c>
      <c r="E11" s="4944" t="s">
        <v>1526</v>
      </c>
      <c r="F11" s="4945"/>
      <c r="G11" s="4946">
        <v>30875.726923076923</v>
      </c>
      <c r="H11" s="5106">
        <v>26018.553846153845</v>
      </c>
      <c r="I11" s="5532">
        <v>31664.898076923098</v>
      </c>
      <c r="J11" s="6148">
        <v>36421.748076923075</v>
      </c>
      <c r="K11" s="6148">
        <v>28223.530769230769</v>
      </c>
      <c r="L11" s="4948">
        <f>'4. L PLAN'!K96</f>
        <v>34913.122375200779</v>
      </c>
      <c r="M11" s="4949">
        <f>'4. L PLAN'!L96</f>
        <v>36394.616592428778</v>
      </c>
      <c r="N11" s="4947">
        <f>'4. L PLAN'!M96</f>
        <v>34312.167829746235</v>
      </c>
      <c r="O11" s="4950">
        <f>'4. L PLAN'!N96</f>
        <v>31302.952122562958</v>
      </c>
      <c r="P11" s="4949">
        <f>'4. L PLAN'!O96</f>
        <v>34730.434774246969</v>
      </c>
      <c r="Q11" s="4947">
        <f>'4. L PLAN'!P96</f>
        <v>32286.219067063692</v>
      </c>
      <c r="R11" s="4951">
        <f>'4. L PLAN'!Q96</f>
        <v>34453.071137883329</v>
      </c>
      <c r="S11" s="3982">
        <f t="shared" si="1"/>
        <v>391597.0415914405</v>
      </c>
      <c r="T11" s="6368">
        <f t="shared" si="4"/>
        <v>8.8104911016708455E-3</v>
      </c>
      <c r="U11" s="6368">
        <f t="shared" si="2"/>
        <v>9.4700065491512709E-3</v>
      </c>
      <c r="V11" s="6336">
        <f t="shared" si="5"/>
        <v>31245.231730769236</v>
      </c>
      <c r="W11" s="6339">
        <f t="shared" si="3"/>
        <v>33327.014333545441</v>
      </c>
      <c r="X11" s="6341">
        <f t="shared" si="6"/>
        <v>-2081.7826027762057</v>
      </c>
      <c r="Z11" s="4546"/>
      <c r="AJ11" s="1568"/>
      <c r="AL11" s="1532"/>
    </row>
    <row r="12" spans="1:38" ht="16.5" customHeight="1">
      <c r="A12" s="7068"/>
      <c r="B12" s="1623"/>
      <c r="C12" s="4952">
        <v>4</v>
      </c>
      <c r="D12" s="4953" t="s">
        <v>436</v>
      </c>
      <c r="E12" s="4954" t="s">
        <v>1527</v>
      </c>
      <c r="F12" s="4955">
        <v>6.4000000000000003E-3</v>
      </c>
      <c r="G12" s="4956">
        <v>9777.1291538461537</v>
      </c>
      <c r="H12" s="5107">
        <v>5936.5593846153843</v>
      </c>
      <c r="I12" s="5617">
        <v>25174.5825</v>
      </c>
      <c r="J12" s="5108">
        <v>21625.903769230768</v>
      </c>
      <c r="K12" s="5108">
        <v>23159.261615384614</v>
      </c>
      <c r="L12" s="4959">
        <f t="shared" ref="L12:R12" si="7">L5*0.64%</f>
        <v>24122.994605891919</v>
      </c>
      <c r="M12" s="4960">
        <f t="shared" si="7"/>
        <v>26012.193502181533</v>
      </c>
      <c r="N12" s="4959">
        <f t="shared" si="7"/>
        <v>24178.878233338452</v>
      </c>
      <c r="O12" s="4961">
        <f t="shared" si="7"/>
        <v>21249.409530512836</v>
      </c>
      <c r="P12" s="4959">
        <f t="shared" si="7"/>
        <v>20481.172149516919</v>
      </c>
      <c r="Q12" s="4962">
        <f t="shared" si="7"/>
        <v>20202.172695285233</v>
      </c>
      <c r="R12" s="4963">
        <f t="shared" si="7"/>
        <v>20246.647299754652</v>
      </c>
      <c r="S12" s="3593">
        <f t="shared" ref="S12:S22" si="8">SUM(G12:R12)</f>
        <v>242166.90443955845</v>
      </c>
      <c r="T12" s="6369">
        <f t="shared" si="4"/>
        <v>4.4069170747186278E-3</v>
      </c>
      <c r="U12" s="6369">
        <f t="shared" si="2"/>
        <v>6.3811316442852336E-3</v>
      </c>
      <c r="V12" s="6336">
        <f t="shared" si="5"/>
        <v>15628.543701923076</v>
      </c>
      <c r="W12" s="6339">
        <f t="shared" si="3"/>
        <v>22456.591203983269</v>
      </c>
      <c r="X12" s="6341">
        <f t="shared" si="6"/>
        <v>-6828.0475020601934</v>
      </c>
      <c r="Z12" s="4546"/>
      <c r="AJ12" s="1568"/>
      <c r="AL12" s="1532"/>
    </row>
    <row r="13" spans="1:38" ht="16.5" customHeight="1">
      <c r="A13" s="7068"/>
      <c r="B13" s="1623"/>
      <c r="C13" s="4952">
        <v>5</v>
      </c>
      <c r="D13" s="4953" t="s">
        <v>437</v>
      </c>
      <c r="E13" s="4954" t="s">
        <v>1528</v>
      </c>
      <c r="F13" s="4955">
        <v>2.0999999999999999E-3</v>
      </c>
      <c r="G13" s="4956">
        <v>9193.1379615384612</v>
      </c>
      <c r="H13" s="5107">
        <v>4507.1176538461541</v>
      </c>
      <c r="I13" s="5617">
        <v>6140.4253846153842</v>
      </c>
      <c r="J13" s="5108">
        <v>7120.4120000000003</v>
      </c>
      <c r="K13" s="5108">
        <v>8447.9301538461532</v>
      </c>
      <c r="L13" s="4959">
        <f t="shared" ref="L13:R13" si="9">L5*0.21%</f>
        <v>7915.3576050582851</v>
      </c>
      <c r="M13" s="4960">
        <f t="shared" si="9"/>
        <v>8535.2509929033149</v>
      </c>
      <c r="N13" s="4962">
        <f t="shared" si="9"/>
        <v>7933.6944203141793</v>
      </c>
      <c r="O13" s="4961">
        <f t="shared" si="9"/>
        <v>6972.4625021995234</v>
      </c>
      <c r="P13" s="4960">
        <f t="shared" si="9"/>
        <v>6720.3846115602373</v>
      </c>
      <c r="Q13" s="4962">
        <f t="shared" si="9"/>
        <v>6628.8379156404671</v>
      </c>
      <c r="R13" s="4964">
        <f t="shared" si="9"/>
        <v>6643.4311452319944</v>
      </c>
      <c r="S13" s="3593">
        <f t="shared" si="8"/>
        <v>86758.442346754164</v>
      </c>
      <c r="T13" s="6369">
        <f t="shared" si="4"/>
        <v>1.9006137641627604E-3</v>
      </c>
      <c r="U13" s="6369">
        <f t="shared" si="2"/>
        <v>2.1239574758638658E-3</v>
      </c>
      <c r="V13" s="6336">
        <f t="shared" ref="V13:V32" si="10">AVERAGE(G13:J13)</f>
        <v>6740.2732500000002</v>
      </c>
      <c r="W13" s="6339">
        <f t="shared" si="3"/>
        <v>7474.6686683442704</v>
      </c>
      <c r="X13" s="6341">
        <f t="shared" ref="X13:X32" si="11">V13-W13</f>
        <v>-734.39541834427018</v>
      </c>
      <c r="Z13" s="4546"/>
      <c r="AJ13" s="1568"/>
      <c r="AL13" s="1532"/>
    </row>
    <row r="14" spans="1:38" ht="16.5" customHeight="1">
      <c r="A14" s="7068"/>
      <c r="B14" s="1623"/>
      <c r="C14" s="4952">
        <v>6</v>
      </c>
      <c r="D14" s="4953" t="s">
        <v>438</v>
      </c>
      <c r="E14" s="4954" t="s">
        <v>1529</v>
      </c>
      <c r="F14" s="4955">
        <v>8.9999999999999998E-4</v>
      </c>
      <c r="G14" s="4956">
        <v>0</v>
      </c>
      <c r="H14" s="5107">
        <v>3165.6298076923076</v>
      </c>
      <c r="I14" s="5617">
        <v>0</v>
      </c>
      <c r="J14" s="5108">
        <v>858.98830769230767</v>
      </c>
      <c r="K14" s="5108">
        <v>522.26942307692309</v>
      </c>
      <c r="L14" s="4959">
        <f t="shared" ref="L14:R14" si="12">L5*0.09%</f>
        <v>3392.2961164535509</v>
      </c>
      <c r="M14" s="4960">
        <f t="shared" si="12"/>
        <v>3657.9647112442781</v>
      </c>
      <c r="N14" s="4962">
        <f t="shared" si="12"/>
        <v>3400.1547515632196</v>
      </c>
      <c r="O14" s="4961">
        <f t="shared" si="12"/>
        <v>2988.1982152283672</v>
      </c>
      <c r="P14" s="4960">
        <f t="shared" si="12"/>
        <v>2880.1648335258164</v>
      </c>
      <c r="Q14" s="4962">
        <f t="shared" si="12"/>
        <v>2840.9305352744859</v>
      </c>
      <c r="R14" s="4964">
        <f t="shared" si="12"/>
        <v>2847.1847765279977</v>
      </c>
      <c r="S14" s="3593">
        <f t="shared" si="8"/>
        <v>26553.781478279252</v>
      </c>
      <c r="T14" s="6369">
        <f t="shared" si="4"/>
        <v>2.8371418716588339E-4</v>
      </c>
      <c r="U14" s="6369">
        <f t="shared" si="2"/>
        <v>8.0021916476763954E-4</v>
      </c>
      <c r="V14" s="6336">
        <f t="shared" si="10"/>
        <v>1006.1545288461539</v>
      </c>
      <c r="W14" s="6339">
        <f t="shared" si="3"/>
        <v>2816.1454203618296</v>
      </c>
      <c r="X14" s="6341">
        <f t="shared" si="11"/>
        <v>-1809.9908915156757</v>
      </c>
      <c r="Z14" s="4546"/>
      <c r="AJ14" s="1568"/>
      <c r="AL14" s="1532"/>
    </row>
    <row r="15" spans="1:38" ht="16.5" customHeight="1">
      <c r="A15" s="7068"/>
      <c r="B15" s="1623"/>
      <c r="C15" s="4952">
        <f>+C14+1</f>
        <v>7</v>
      </c>
      <c r="D15" s="4953" t="s">
        <v>1506</v>
      </c>
      <c r="E15" s="4954" t="s">
        <v>1556</v>
      </c>
      <c r="F15" s="4955"/>
      <c r="G15" s="4956">
        <v>2598.860076923077</v>
      </c>
      <c r="H15" s="5107">
        <v>2598.0200769230769</v>
      </c>
      <c r="I15" s="5617">
        <v>2598.0200769230769</v>
      </c>
      <c r="J15" s="5108">
        <v>2598.0200769230769</v>
      </c>
      <c r="K15" s="5108">
        <v>2701.6465384615385</v>
      </c>
      <c r="L15" s="4959">
        <v>2598.860076923077</v>
      </c>
      <c r="M15" s="4960">
        <v>2598.860076923077</v>
      </c>
      <c r="N15" s="4962">
        <v>2598.860076923077</v>
      </c>
      <c r="O15" s="4961">
        <v>2598.860076923077</v>
      </c>
      <c r="P15" s="4960">
        <v>2598.860076923077</v>
      </c>
      <c r="Q15" s="4962">
        <v>2598.860076923077</v>
      </c>
      <c r="R15" s="4964">
        <v>2598.860076923077</v>
      </c>
      <c r="S15" s="3593">
        <f t="shared" si="8"/>
        <v>31286.587384615381</v>
      </c>
      <c r="T15" s="6369">
        <f t="shared" si="4"/>
        <v>7.3264564558442303E-4</v>
      </c>
      <c r="U15" s="6369">
        <f t="shared" si="2"/>
        <v>7.421275503184208E-4</v>
      </c>
      <c r="V15" s="6336">
        <f t="shared" si="10"/>
        <v>2598.2300769230769</v>
      </c>
      <c r="W15" s="6339">
        <f t="shared" si="3"/>
        <v>2611.7083846153841</v>
      </c>
      <c r="X15" s="6341">
        <f t="shared" si="11"/>
        <v>-13.478307692307226</v>
      </c>
      <c r="Z15" s="4546"/>
      <c r="AJ15" s="1568"/>
      <c r="AL15" s="1532"/>
    </row>
    <row r="16" spans="1:38" ht="16.5" customHeight="1">
      <c r="A16" s="7068"/>
      <c r="B16" s="1623"/>
      <c r="C16" s="4952">
        <f t="shared" ref="C16:C31" si="13">+C15+1</f>
        <v>8</v>
      </c>
      <c r="D16" s="4953" t="s">
        <v>1507</v>
      </c>
      <c r="E16" s="4954" t="s">
        <v>1546</v>
      </c>
      <c r="F16" s="4955"/>
      <c r="G16" s="4956">
        <f>39464.8317307692-G15</f>
        <v>36865.971653846122</v>
      </c>
      <c r="H16" s="5107">
        <v>36705.969769230767</v>
      </c>
      <c r="I16" s="5617">
        <v>37647.247730769232</v>
      </c>
      <c r="J16" s="5108">
        <v>39006.51192307692</v>
      </c>
      <c r="K16" s="5108">
        <v>38180.04396153846</v>
      </c>
      <c r="L16" s="4959">
        <f>+'9. C Plan'!I16</f>
        <v>31500</v>
      </c>
      <c r="M16" s="4960">
        <f>+'9. C Plan'!J16</f>
        <v>31500</v>
      </c>
      <c r="N16" s="4962">
        <f>+'9. C Plan'!K16</f>
        <v>31500</v>
      </c>
      <c r="O16" s="4961">
        <f>+'9. C Plan'!L16</f>
        <v>31500</v>
      </c>
      <c r="P16" s="4960">
        <f>+'9. C Plan'!M16</f>
        <v>31500</v>
      </c>
      <c r="Q16" s="4962">
        <f>+'9. C Plan'!N16</f>
        <v>31500</v>
      </c>
      <c r="R16" s="4964">
        <f>+'9. C Plan'!O16</f>
        <v>31500</v>
      </c>
      <c r="S16" s="3593">
        <f t="shared" si="8"/>
        <v>408905.74503846152</v>
      </c>
      <c r="T16" s="6369">
        <f t="shared" si="4"/>
        <v>1.0590113509040615E-2</v>
      </c>
      <c r="U16" s="6369">
        <f t="shared" si="2"/>
        <v>9.1881232066472231E-3</v>
      </c>
      <c r="V16" s="6336">
        <f t="shared" si="10"/>
        <v>37556.425269230764</v>
      </c>
      <c r="W16" s="6339">
        <f t="shared" si="3"/>
        <v>32335.005495192308</v>
      </c>
      <c r="X16" s="6357">
        <f t="shared" si="11"/>
        <v>5221.4197740384552</v>
      </c>
      <c r="Y16" s="3911" t="s">
        <v>1866</v>
      </c>
      <c r="Z16" s="4546" t="s">
        <v>1910</v>
      </c>
      <c r="AJ16" s="1568"/>
      <c r="AL16" s="1532"/>
    </row>
    <row r="17" spans="1:40" ht="16.5" customHeight="1">
      <c r="A17" s="7068"/>
      <c r="B17" s="1623"/>
      <c r="C17" s="4952">
        <f t="shared" si="13"/>
        <v>9</v>
      </c>
      <c r="D17" s="4953" t="s">
        <v>484</v>
      </c>
      <c r="E17" s="4954" t="s">
        <v>1530</v>
      </c>
      <c r="F17" s="4955"/>
      <c r="G17" s="4956">
        <v>98953.734615384616</v>
      </c>
      <c r="H17" s="5107">
        <v>72915.855384615381</v>
      </c>
      <c r="I17" s="5617">
        <v>68269.669230769228</v>
      </c>
      <c r="J17" s="5108">
        <v>51752.566461538459</v>
      </c>
      <c r="K17" s="5108">
        <v>63373.790807692305</v>
      </c>
      <c r="L17" s="4959">
        <f>'6. O Plan'!N80</f>
        <v>53146.894246072552</v>
      </c>
      <c r="M17" s="4965">
        <f>'6. O Plan'!O80</f>
        <v>72798.36555663844</v>
      </c>
      <c r="N17" s="4957">
        <f>'6. O Plan'!P80</f>
        <v>62903.598828306953</v>
      </c>
      <c r="O17" s="4958">
        <f>'6. O Plan'!Q80</f>
        <v>54638.188918550157</v>
      </c>
      <c r="P17" s="4965">
        <f>'6. O Plan'!R80</f>
        <v>46396.41515188443</v>
      </c>
      <c r="Q17" s="4957">
        <f>'6. O Plan'!S80</f>
        <v>53111.600975498812</v>
      </c>
      <c r="R17" s="4966">
        <f>'6. O Plan'!T80</f>
        <v>65298.370776991185</v>
      </c>
      <c r="S17" s="3593">
        <f t="shared" si="8"/>
        <v>763559.05095394258</v>
      </c>
      <c r="T17" s="6383">
        <f t="shared" si="4"/>
        <v>2.057682236982741E-2</v>
      </c>
      <c r="U17" s="6383">
        <f t="shared" si="2"/>
        <v>1.6753269838185456E-2</v>
      </c>
      <c r="V17" s="6336">
        <f t="shared" si="10"/>
        <v>72972.956423076917</v>
      </c>
      <c r="W17" s="6339">
        <f t="shared" si="3"/>
        <v>58958.40315770435</v>
      </c>
      <c r="X17" s="6357">
        <f t="shared" si="11"/>
        <v>14014.553265372568</v>
      </c>
      <c r="Y17" s="3911" t="s">
        <v>1866</v>
      </c>
      <c r="Z17" s="4546" t="s">
        <v>1906</v>
      </c>
      <c r="AJ17" s="1568"/>
      <c r="AL17" s="1532"/>
    </row>
    <row r="18" spans="1:40" ht="16.5" customHeight="1">
      <c r="A18" s="7068"/>
      <c r="B18" s="1623"/>
      <c r="C18" s="4952">
        <f t="shared" si="13"/>
        <v>10</v>
      </c>
      <c r="D18" s="4953" t="s">
        <v>444</v>
      </c>
      <c r="E18" s="4954" t="s">
        <v>1911</v>
      </c>
      <c r="F18" s="4955">
        <v>4.4999999999999998E-2</v>
      </c>
      <c r="G18" s="4956">
        <v>186565.44233125236</v>
      </c>
      <c r="H18" s="5107">
        <v>120012.68518289358</v>
      </c>
      <c r="I18" s="5617">
        <v>182136.45988950081</v>
      </c>
      <c r="J18" s="5108">
        <v>155166.33783287567</v>
      </c>
      <c r="K18" s="5108">
        <v>185278.16595073658</v>
      </c>
      <c r="L18" s="4959">
        <f t="shared" ref="L18:R18" si="14">L5*$F$18</f>
        <v>169614.80582267756</v>
      </c>
      <c r="M18" s="4965">
        <f t="shared" si="14"/>
        <v>182898.2355622139</v>
      </c>
      <c r="N18" s="4957">
        <f t="shared" si="14"/>
        <v>170007.73757816097</v>
      </c>
      <c r="O18" s="4958">
        <f t="shared" si="14"/>
        <v>149409.91076141834</v>
      </c>
      <c r="P18" s="4965">
        <f t="shared" si="14"/>
        <v>144008.24167629081</v>
      </c>
      <c r="Q18" s="4957">
        <f t="shared" si="14"/>
        <v>142046.52676372431</v>
      </c>
      <c r="R18" s="4966">
        <f t="shared" si="14"/>
        <v>142359.23882639987</v>
      </c>
      <c r="S18" s="3593">
        <f t="shared" si="8"/>
        <v>1929503.788178145</v>
      </c>
      <c r="T18" s="6369">
        <f t="shared" si="4"/>
        <v>4.5390183142292775E-2</v>
      </c>
      <c r="U18" s="6369">
        <f t="shared" si="2"/>
        <v>4.5664370088581263E-2</v>
      </c>
      <c r="V18" s="6336">
        <f t="shared" si="10"/>
        <v>160970.23130913061</v>
      </c>
      <c r="W18" s="6339">
        <f t="shared" si="3"/>
        <v>160702.85786770281</v>
      </c>
      <c r="X18" s="6341">
        <f t="shared" si="11"/>
        <v>267.37344142780057</v>
      </c>
      <c r="Y18" s="3911" t="s">
        <v>1866</v>
      </c>
      <c r="Z18" s="4546" t="s">
        <v>1912</v>
      </c>
      <c r="AJ18" s="1568"/>
      <c r="AL18" s="1532"/>
    </row>
    <row r="19" spans="1:40" ht="16.5" customHeight="1">
      <c r="A19" s="7068"/>
      <c r="B19" s="1623"/>
      <c r="C19" s="4952">
        <f t="shared" si="13"/>
        <v>11</v>
      </c>
      <c r="D19" s="4953" t="s">
        <v>439</v>
      </c>
      <c r="E19" s="4954" t="s">
        <v>1531</v>
      </c>
      <c r="F19" s="4955">
        <v>1.4E-2</v>
      </c>
      <c r="G19" s="4956">
        <v>77037.882159804154</v>
      </c>
      <c r="H19" s="5107">
        <v>58515.961471813163</v>
      </c>
      <c r="I19" s="5617">
        <v>54899.256393022362</v>
      </c>
      <c r="J19" s="5108">
        <v>57669.670761419868</v>
      </c>
      <c r="K19" s="5108">
        <v>78298.072012030287</v>
      </c>
      <c r="L19" s="4959">
        <f t="shared" ref="L19:R19" si="15">L5*1.4%</f>
        <v>52769.050700388565</v>
      </c>
      <c r="M19" s="4960">
        <f t="shared" si="15"/>
        <v>56901.673286022095</v>
      </c>
      <c r="N19" s="4962">
        <f t="shared" si="15"/>
        <v>52891.29613542786</v>
      </c>
      <c r="O19" s="4961">
        <f t="shared" si="15"/>
        <v>46483.083347996821</v>
      </c>
      <c r="P19" s="4969">
        <f t="shared" si="15"/>
        <v>44802.564077068251</v>
      </c>
      <c r="Q19" s="4970">
        <f t="shared" si="15"/>
        <v>44192.252770936444</v>
      </c>
      <c r="R19" s="4972">
        <f t="shared" si="15"/>
        <v>44289.540968213289</v>
      </c>
      <c r="S19" s="3593">
        <f t="shared" si="8"/>
        <v>668750.30408414314</v>
      </c>
      <c r="T19" s="6369">
        <f t="shared" si="4"/>
        <v>1.7491336621930958E-2</v>
      </c>
      <c r="U19" s="6369">
        <f t="shared" si="2"/>
        <v>1.4940377853907933E-2</v>
      </c>
      <c r="V19" s="6336">
        <f t="shared" si="10"/>
        <v>62030.692696514889</v>
      </c>
      <c r="W19" s="6339">
        <f t="shared" si="3"/>
        <v>52578.441662260455</v>
      </c>
      <c r="X19" s="6341">
        <f t="shared" si="11"/>
        <v>9452.2510342544338</v>
      </c>
      <c r="Y19" s="3911" t="s">
        <v>1867</v>
      </c>
      <c r="Z19" s="4546"/>
      <c r="AJ19" s="1568"/>
      <c r="AL19" s="1532"/>
    </row>
    <row r="20" spans="1:40" ht="16.5" customHeight="1">
      <c r="A20" s="7068"/>
      <c r="B20" s="1623"/>
      <c r="C20" s="4952">
        <f t="shared" si="13"/>
        <v>12</v>
      </c>
      <c r="D20" s="4953" t="s">
        <v>440</v>
      </c>
      <c r="E20" s="4954" t="s">
        <v>1532</v>
      </c>
      <c r="F20" s="4955"/>
      <c r="G20" s="4956">
        <v>3597.7884615384614</v>
      </c>
      <c r="H20" s="5107">
        <v>4279.4230769230771</v>
      </c>
      <c r="I20" s="5617">
        <v>4088.1730769230771</v>
      </c>
      <c r="J20" s="5108">
        <v>4454.3269230769229</v>
      </c>
      <c r="K20" s="5108">
        <v>4185.8413461538457</v>
      </c>
      <c r="L20" s="4959">
        <f>+K20</f>
        <v>4185.8413461538457</v>
      </c>
      <c r="M20" s="4960">
        <f t="shared" ref="M20:R20" si="16">+L20</f>
        <v>4185.8413461538457</v>
      </c>
      <c r="N20" s="4962">
        <f t="shared" si="16"/>
        <v>4185.8413461538457</v>
      </c>
      <c r="O20" s="4961">
        <f t="shared" si="16"/>
        <v>4185.8413461538457</v>
      </c>
      <c r="P20" s="4960">
        <f t="shared" si="16"/>
        <v>4185.8413461538457</v>
      </c>
      <c r="Q20" s="4962">
        <f t="shared" si="16"/>
        <v>4185.8413461538457</v>
      </c>
      <c r="R20" s="4964">
        <f t="shared" si="16"/>
        <v>4185.8413461538457</v>
      </c>
      <c r="S20" s="3593">
        <f t="shared" si="8"/>
        <v>49906.44230769229</v>
      </c>
      <c r="T20" s="6369">
        <f t="shared" si="4"/>
        <v>1.1575023962708817E-3</v>
      </c>
      <c r="U20" s="6369">
        <f t="shared" si="2"/>
        <v>1.1894238279210429E-3</v>
      </c>
      <c r="V20" s="6336">
        <f t="shared" si="10"/>
        <v>4104.9278846153848</v>
      </c>
      <c r="W20" s="6339">
        <f t="shared" si="3"/>
        <v>4185.8413461538448</v>
      </c>
      <c r="X20" s="6341">
        <f t="shared" si="11"/>
        <v>-80.913461538460069</v>
      </c>
      <c r="Z20" s="4546"/>
      <c r="AJ20" s="1568"/>
      <c r="AL20" s="1532"/>
    </row>
    <row r="21" spans="1:40" ht="16.5" customHeight="1">
      <c r="A21" s="7068"/>
      <c r="B21" s="1623"/>
      <c r="C21" s="4952">
        <f t="shared" si="13"/>
        <v>13</v>
      </c>
      <c r="D21" s="4953" t="s">
        <v>995</v>
      </c>
      <c r="E21" s="4954" t="s">
        <v>1533</v>
      </c>
      <c r="F21" s="4955">
        <v>7.0000000000000001E-3</v>
      </c>
      <c r="G21" s="4956">
        <v>37506.739500000003</v>
      </c>
      <c r="H21" s="5107">
        <v>26003.423730769231</v>
      </c>
      <c r="I21" s="5617">
        <v>35617.722615384613</v>
      </c>
      <c r="J21" s="5108">
        <v>38360.332346153846</v>
      </c>
      <c r="K21" s="5108">
        <v>34554.817307692305</v>
      </c>
      <c r="L21" s="4959">
        <f t="shared" ref="L21:R21" si="17">L5*0.7%</f>
        <v>26384.525350194283</v>
      </c>
      <c r="M21" s="4960">
        <f t="shared" si="17"/>
        <v>28450.836643011047</v>
      </c>
      <c r="N21" s="4962">
        <f t="shared" si="17"/>
        <v>26445.64806771393</v>
      </c>
      <c r="O21" s="4961">
        <f t="shared" si="17"/>
        <v>23241.54167399841</v>
      </c>
      <c r="P21" s="4960">
        <f t="shared" si="17"/>
        <v>22401.282038534126</v>
      </c>
      <c r="Q21" s="4962">
        <f t="shared" si="17"/>
        <v>22096.126385468222</v>
      </c>
      <c r="R21" s="4964">
        <f t="shared" si="17"/>
        <v>22144.770484106644</v>
      </c>
      <c r="S21" s="3593">
        <f t="shared" si="8"/>
        <v>343207.76614302665</v>
      </c>
      <c r="T21" s="6383">
        <f t="shared" si="4"/>
        <v>9.6921886626225723E-3</v>
      </c>
      <c r="U21" s="6383">
        <f t="shared" si="2"/>
        <v>7.3070056879533229E-3</v>
      </c>
      <c r="V21" s="6336">
        <f t="shared" si="10"/>
        <v>34372.054548076921</v>
      </c>
      <c r="W21" s="6339">
        <f t="shared" si="3"/>
        <v>25714.943493839874</v>
      </c>
      <c r="X21" s="6341">
        <f t="shared" si="11"/>
        <v>8657.1110542370479</v>
      </c>
      <c r="Z21" s="4546"/>
      <c r="AJ21" s="1568"/>
      <c r="AL21" s="1532"/>
    </row>
    <row r="22" spans="1:40" ht="16.5" customHeight="1">
      <c r="A22" s="7068"/>
      <c r="B22" s="1623"/>
      <c r="C22" s="4952">
        <f t="shared" si="13"/>
        <v>14</v>
      </c>
      <c r="D22" s="4953" t="s">
        <v>442</v>
      </c>
      <c r="E22" s="4954" t="s">
        <v>1534</v>
      </c>
      <c r="F22" s="4955">
        <v>7.4399999999999998E-4</v>
      </c>
      <c r="G22" s="4956">
        <v>1811.1249230769231</v>
      </c>
      <c r="H22" s="5107">
        <v>2175.5190769230771</v>
      </c>
      <c r="I22" s="5617">
        <v>2012.8434807692308</v>
      </c>
      <c r="J22" s="5108">
        <v>2208.0545000000002</v>
      </c>
      <c r="K22" s="5108">
        <v>2128.3433076923079</v>
      </c>
      <c r="L22" s="4959">
        <f t="shared" ref="L22:R22" si="18">L5*0.0744%</f>
        <v>2804.2981229349357</v>
      </c>
      <c r="M22" s="4960">
        <f t="shared" si="18"/>
        <v>3023.917494628603</v>
      </c>
      <c r="N22" s="4962">
        <f t="shared" si="18"/>
        <v>2810.794594625595</v>
      </c>
      <c r="O22" s="4961">
        <f t="shared" si="18"/>
        <v>2470.2438579221171</v>
      </c>
      <c r="P22" s="4960">
        <f t="shared" si="18"/>
        <v>2380.9362623813413</v>
      </c>
      <c r="Q22" s="4962">
        <f t="shared" si="18"/>
        <v>2348.5025758269085</v>
      </c>
      <c r="R22" s="4964">
        <f t="shared" si="18"/>
        <v>2353.672748596478</v>
      </c>
      <c r="S22" s="3593">
        <f t="shared" si="8"/>
        <v>28528.250945377513</v>
      </c>
      <c r="T22" s="6369">
        <f t="shared" si="4"/>
        <v>5.785880883461841E-4</v>
      </c>
      <c r="U22" s="6369">
        <f t="shared" si="2"/>
        <v>7.2177650333553475E-4</v>
      </c>
      <c r="V22" s="6336">
        <f t="shared" si="10"/>
        <v>2051.8854951923076</v>
      </c>
      <c r="W22" s="6339">
        <f t="shared" si="3"/>
        <v>2540.0886205760357</v>
      </c>
      <c r="X22" s="6341">
        <f t="shared" si="11"/>
        <v>-488.20312538372809</v>
      </c>
      <c r="Z22" s="4546"/>
      <c r="AJ22" s="1568"/>
      <c r="AL22" s="1532"/>
    </row>
    <row r="23" spans="1:40" ht="16.5" customHeight="1">
      <c r="A23" s="7068"/>
      <c r="B23" s="1623"/>
      <c r="C23" s="4952">
        <f t="shared" si="13"/>
        <v>15</v>
      </c>
      <c r="D23" s="4953" t="s">
        <v>433</v>
      </c>
      <c r="E23" s="4954" t="s">
        <v>1535</v>
      </c>
      <c r="F23" s="4955"/>
      <c r="G23" s="4956">
        <v>165249</v>
      </c>
      <c r="H23" s="5107">
        <v>261565.85180769232</v>
      </c>
      <c r="I23" s="5617">
        <v>233883.33126923078</v>
      </c>
      <c r="J23" s="5108">
        <v>332468.06726923079</v>
      </c>
      <c r="K23" s="5108">
        <v>279074.42246153846</v>
      </c>
      <c r="L23" s="4959">
        <f>Utilty_Data!T21</f>
        <v>328718.38340249995</v>
      </c>
      <c r="M23" s="4960">
        <f>Utilty_Data!U21</f>
        <v>328718.38340249995</v>
      </c>
      <c r="N23" s="4962">
        <f>Utilty_Data!V21</f>
        <v>328718.38340249995</v>
      </c>
      <c r="O23" s="4961">
        <f>Utilty_Data!W21</f>
        <v>306803.82450899994</v>
      </c>
      <c r="P23" s="4960">
        <f>Utilty_Data!X21</f>
        <v>286131.49246500002</v>
      </c>
      <c r="Q23" s="4962">
        <f>Utilty_Data!Y21</f>
        <v>286131.49246500002</v>
      </c>
      <c r="R23" s="4964">
        <f>Utilty_Data!Z21</f>
        <v>286131.49246500002</v>
      </c>
      <c r="S23" s="3593">
        <f t="shared" si="1"/>
        <v>3423594.1249191924</v>
      </c>
      <c r="T23" s="6383">
        <f t="shared" si="4"/>
        <v>7.0012942187092267E-2</v>
      </c>
      <c r="U23" s="6383">
        <f t="shared" si="2"/>
        <v>8.6326994593240017E-2</v>
      </c>
      <c r="V23" s="6336">
        <f t="shared" si="10"/>
        <v>248291.56258653849</v>
      </c>
      <c r="W23" s="6339">
        <f t="shared" si="3"/>
        <v>303803.4843216298</v>
      </c>
      <c r="X23" s="6341">
        <f t="shared" si="11"/>
        <v>-55511.92173509131</v>
      </c>
      <c r="Z23" s="4546"/>
      <c r="AJ23" s="1568"/>
      <c r="AL23" s="1532"/>
    </row>
    <row r="24" spans="1:40" ht="16.5" customHeight="1">
      <c r="A24" s="7068"/>
      <c r="B24" s="1623"/>
      <c r="C24" s="4952">
        <f t="shared" si="13"/>
        <v>16</v>
      </c>
      <c r="D24" s="4953" t="s">
        <v>434</v>
      </c>
      <c r="E24" s="4954" t="s">
        <v>1536</v>
      </c>
      <c r="F24" s="4955">
        <v>7.3899999999999997E-4</v>
      </c>
      <c r="G24" s="4956">
        <v>2014.1001923076924</v>
      </c>
      <c r="H24" s="5107">
        <v>1722.0364615384615</v>
      </c>
      <c r="I24" s="5617">
        <v>1220.705923076923</v>
      </c>
      <c r="J24" s="5108">
        <v>2420.7851923076923</v>
      </c>
      <c r="K24" s="5108">
        <v>1808.1081153846153</v>
      </c>
      <c r="L24" s="4959">
        <f t="shared" ref="L24:R24" si="19">L5*0.0739%</f>
        <v>2785.4520333990822</v>
      </c>
      <c r="M24" s="4960">
        <f t="shared" si="19"/>
        <v>3003.5954684550238</v>
      </c>
      <c r="N24" s="4962">
        <f t="shared" si="19"/>
        <v>2791.9048460057993</v>
      </c>
      <c r="O24" s="4961">
        <f t="shared" si="19"/>
        <v>2453.6427567264036</v>
      </c>
      <c r="P24" s="4960">
        <f t="shared" si="19"/>
        <v>2364.9353466395314</v>
      </c>
      <c r="Q24" s="4962">
        <f t="shared" si="19"/>
        <v>2332.7196284087167</v>
      </c>
      <c r="R24" s="4964">
        <f t="shared" si="19"/>
        <v>2337.8550553935447</v>
      </c>
      <c r="S24" s="3593">
        <f t="shared" si="1"/>
        <v>27255.841019643489</v>
      </c>
      <c r="T24" s="6369">
        <f t="shared" si="4"/>
        <v>5.2008354724600379E-4</v>
      </c>
      <c r="U24" s="6369">
        <f t="shared" si="2"/>
        <v>7.0605938392354517E-4</v>
      </c>
      <c r="V24" s="6336">
        <f t="shared" si="10"/>
        <v>1844.4069423076924</v>
      </c>
      <c r="W24" s="6339">
        <f t="shared" si="3"/>
        <v>2484.7766563015898</v>
      </c>
      <c r="X24" s="6341">
        <f t="shared" si="11"/>
        <v>-640.36971399389745</v>
      </c>
      <c r="Z24" s="4546"/>
      <c r="AJ24" s="1568"/>
      <c r="AL24" s="1532"/>
    </row>
    <row r="25" spans="1:40" ht="16.5" customHeight="1">
      <c r="A25" s="7068"/>
      <c r="B25" s="1623"/>
      <c r="C25" s="4952">
        <f t="shared" si="13"/>
        <v>17</v>
      </c>
      <c r="D25" s="4953" t="s">
        <v>435</v>
      </c>
      <c r="E25" s="4954" t="s">
        <v>1529</v>
      </c>
      <c r="F25" s="4955">
        <v>5.5999999999999995E-4</v>
      </c>
      <c r="G25" s="4956">
        <v>1433.0995</v>
      </c>
      <c r="H25" s="5107">
        <v>1079.4899230769231</v>
      </c>
      <c r="I25" s="5617">
        <v>1615.8566538461539</v>
      </c>
      <c r="J25" s="5108">
        <v>1882.0412307692309</v>
      </c>
      <c r="K25" s="5108">
        <v>2120.6528076923078</v>
      </c>
      <c r="L25" s="4959">
        <f t="shared" ref="L25:R25" si="20">L5*0.056%</f>
        <v>2110.7620280155434</v>
      </c>
      <c r="M25" s="4960">
        <f t="shared" si="20"/>
        <v>2276.0669314408842</v>
      </c>
      <c r="N25" s="4962">
        <f t="shared" si="20"/>
        <v>2115.6518454171146</v>
      </c>
      <c r="O25" s="4961">
        <f t="shared" si="20"/>
        <v>1859.3233339198732</v>
      </c>
      <c r="P25" s="4960">
        <f t="shared" si="20"/>
        <v>1792.1025630827303</v>
      </c>
      <c r="Q25" s="4962">
        <f t="shared" si="20"/>
        <v>1767.6901108374582</v>
      </c>
      <c r="R25" s="4964">
        <f t="shared" si="20"/>
        <v>1771.581638728532</v>
      </c>
      <c r="S25" s="3593">
        <f t="shared" si="1"/>
        <v>21824.318566826751</v>
      </c>
      <c r="T25" s="6369">
        <f t="shared" si="4"/>
        <v>4.2370741076133575E-4</v>
      </c>
      <c r="U25" s="6369">
        <f t="shared" si="2"/>
        <v>5.6169555158905153E-4</v>
      </c>
      <c r="V25" s="6336">
        <f t="shared" si="10"/>
        <v>1502.6218269230772</v>
      </c>
      <c r="W25" s="6339">
        <f t="shared" si="3"/>
        <v>1976.7289073918055</v>
      </c>
      <c r="X25" s="6341">
        <f t="shared" si="11"/>
        <v>-474.10708046872833</v>
      </c>
      <c r="Z25" s="4546"/>
      <c r="AJ25" s="1568"/>
      <c r="AL25" s="1532"/>
    </row>
    <row r="26" spans="1:40" ht="16.5" customHeight="1">
      <c r="A26" s="7068"/>
      <c r="B26" s="1623"/>
      <c r="C26" s="4952">
        <f t="shared" si="13"/>
        <v>18</v>
      </c>
      <c r="D26" s="4953" t="s">
        <v>809</v>
      </c>
      <c r="E26" s="4954" t="s">
        <v>1537</v>
      </c>
      <c r="F26" s="4955"/>
      <c r="G26" s="4956">
        <v>194564.23213692306</v>
      </c>
      <c r="H26" s="5108">
        <v>197097.27504076922</v>
      </c>
      <c r="I26" s="5617">
        <v>196701.98752538464</v>
      </c>
      <c r="J26" s="5108">
        <v>192632.49611115383</v>
      </c>
      <c r="K26" s="5108">
        <v>197343.98003730772</v>
      </c>
      <c r="L26" s="4959">
        <f>'8. I Plan'!M92+'8. I Plan'!M93+'8. I Plan'!M94</f>
        <v>215829.74681249892</v>
      </c>
      <c r="M26" s="4965">
        <f>'8. I Plan'!N92+'8. I Plan'!N93+'8. I Plan'!N94</f>
        <v>227603.35556857119</v>
      </c>
      <c r="N26" s="4957">
        <f>'8. I Plan'!O92+'8. I Plan'!O93+'8. I Plan'!O94</f>
        <v>237909.95733421878</v>
      </c>
      <c r="O26" s="4958">
        <f>'8. I Plan'!P92+'8. I Plan'!P93+'8. I Plan'!P94</f>
        <v>246856.35805702099</v>
      </c>
      <c r="P26" s="4965">
        <f>'8. I Plan'!Q92+'8. I Plan'!Q93+'8. I Plan'!Q94</f>
        <v>250050.59048192942</v>
      </c>
      <c r="Q26" s="4957">
        <f>'8. I Plan'!R92+'8. I Plan'!R93+'8. I Plan'!R94</f>
        <v>259800.33286432625</v>
      </c>
      <c r="R26" s="4966">
        <f>'8. I Plan'!S92+'8. I Plan'!S93+'8. I Plan'!S94</f>
        <v>261433.95637464197</v>
      </c>
      <c r="S26" s="3593">
        <f t="shared" si="1"/>
        <v>2677824.268344746</v>
      </c>
      <c r="T26" s="6383">
        <f t="shared" si="4"/>
        <v>5.5056066528810968E-2</v>
      </c>
      <c r="U26" s="6383">
        <f t="shared" si="2"/>
        <v>6.7373932866634692E-2</v>
      </c>
      <c r="V26" s="6336">
        <f t="shared" si="10"/>
        <v>195248.99770355769</v>
      </c>
      <c r="W26" s="6339">
        <f t="shared" si="3"/>
        <v>237103.53469131439</v>
      </c>
      <c r="X26" s="6341">
        <f t="shared" si="11"/>
        <v>-41854.536987756699</v>
      </c>
      <c r="Z26" s="4546" t="s">
        <v>1913</v>
      </c>
      <c r="AJ26" s="1568"/>
      <c r="AL26" s="1532"/>
    </row>
    <row r="27" spans="1:40" ht="16.5" customHeight="1">
      <c r="A27" s="7068"/>
      <c r="B27" s="1623"/>
      <c r="C27" s="4952">
        <f t="shared" si="13"/>
        <v>19</v>
      </c>
      <c r="D27" s="4953" t="s">
        <v>443</v>
      </c>
      <c r="E27" s="4954" t="s">
        <v>1537</v>
      </c>
      <c r="F27" s="4955"/>
      <c r="G27" s="4956">
        <v>125050.62396153845</v>
      </c>
      <c r="H27" s="5108">
        <v>124800.87246153846</v>
      </c>
      <c r="I27" s="5617">
        <v>127080.79465384615</v>
      </c>
      <c r="J27" s="5108">
        <v>130447.53711538462</v>
      </c>
      <c r="K27" s="5108">
        <v>129723.55342307693</v>
      </c>
      <c r="L27" s="4959">
        <f>'8. I Plan'!M96+'8. I Plan'!M95</f>
        <v>127367.7874162017</v>
      </c>
      <c r="M27" s="4965">
        <f>'8. I Plan'!N96+'8. I Plan'!N95</f>
        <v>112877.26795045557</v>
      </c>
      <c r="N27" s="4957">
        <f>'8. I Plan'!O96+'8. I Plan'!O95</f>
        <v>111429.49839383166</v>
      </c>
      <c r="O27" s="4958">
        <f>'8. I Plan'!P96+'8. I Plan'!P95</f>
        <v>109740.02189810516</v>
      </c>
      <c r="P27" s="4965">
        <f>'8. I Plan'!Q96+'8. I Plan'!Q95</f>
        <v>109740.02189810516</v>
      </c>
      <c r="Q27" s="4957">
        <f>'8. I Plan'!R96+'8. I Plan'!R95</f>
        <v>108066.00886362712</v>
      </c>
      <c r="R27" s="4966">
        <f>'8. I Plan'!S96+'8. I Plan'!S95</f>
        <v>107385.59913948183</v>
      </c>
      <c r="S27" s="3593">
        <f t="shared" si="1"/>
        <v>1423709.5871751925</v>
      </c>
      <c r="T27" s="6383">
        <f t="shared" si="4"/>
        <v>3.5767581274276837E-2</v>
      </c>
      <c r="U27" s="6383">
        <f t="shared" si="2"/>
        <v>3.2547353071827698E-2</v>
      </c>
      <c r="V27" s="6336">
        <f t="shared" si="10"/>
        <v>126844.9570480769</v>
      </c>
      <c r="W27" s="6339">
        <f t="shared" si="3"/>
        <v>114541.21987286063</v>
      </c>
      <c r="X27" s="6357">
        <f t="shared" si="11"/>
        <v>12303.737175216273</v>
      </c>
      <c r="Y27" s="3911" t="s">
        <v>1866</v>
      </c>
      <c r="Z27" s="4546"/>
      <c r="AJ27" s="1568"/>
      <c r="AL27" s="1532"/>
    </row>
    <row r="28" spans="1:40" ht="16.5" customHeight="1">
      <c r="A28" s="7068"/>
      <c r="B28" s="1623"/>
      <c r="C28" s="4952">
        <f t="shared" si="13"/>
        <v>20</v>
      </c>
      <c r="D28" s="4953" t="s">
        <v>488</v>
      </c>
      <c r="E28" s="4954" t="s">
        <v>1537</v>
      </c>
      <c r="F28" s="4955"/>
      <c r="G28" s="4956">
        <v>66169.141807692315</v>
      </c>
      <c r="H28" s="5108">
        <v>67646.06815384615</v>
      </c>
      <c r="I28" s="5617">
        <v>68804.584153846154</v>
      </c>
      <c r="J28" s="5108">
        <v>69983.352269230774</v>
      </c>
      <c r="K28" s="5108">
        <v>81138.721461538458</v>
      </c>
      <c r="L28" s="4959">
        <f>'8. I Plan'!M97</f>
        <v>58415.773367332215</v>
      </c>
      <c r="M28" s="4965">
        <f>'8. I Plan'!N97</f>
        <v>49142.145568753178</v>
      </c>
      <c r="N28" s="4957">
        <f>'8. I Plan'!O97</f>
        <v>41609.402832695494</v>
      </c>
      <c r="O28" s="4958">
        <f>'8. I Plan'!P97</f>
        <v>38925.17609842198</v>
      </c>
      <c r="P28" s="4965">
        <f>'8. I Plan'!Q97</f>
        <v>38925.17609842198</v>
      </c>
      <c r="Q28" s="4957">
        <f>'8. I Plan'!R97</f>
        <v>38147.932508678394</v>
      </c>
      <c r="R28" s="4966">
        <f>'8. I Plan'!S97</f>
        <v>35847.640505686941</v>
      </c>
      <c r="S28" s="3593">
        <f t="shared" si="1"/>
        <v>654755.11482614418</v>
      </c>
      <c r="T28" s="6383">
        <f t="shared" si="4"/>
        <v>1.92170729937646E-2</v>
      </c>
      <c r="U28" s="6383">
        <f t="shared" si="2"/>
        <v>1.3573754341195308E-2</v>
      </c>
      <c r="V28" s="6336">
        <f t="shared" si="10"/>
        <v>68150.786596153848</v>
      </c>
      <c r="W28" s="6339">
        <f t="shared" si="3"/>
        <v>47768.996055191077</v>
      </c>
      <c r="X28" s="6357">
        <f t="shared" si="11"/>
        <v>20381.790540962771</v>
      </c>
      <c r="Y28" s="3911" t="s">
        <v>1866</v>
      </c>
      <c r="Z28" s="4546" t="s">
        <v>1914</v>
      </c>
      <c r="AJ28" s="1568"/>
      <c r="AL28" s="1532"/>
    </row>
    <row r="29" spans="1:40" ht="16.5" customHeight="1">
      <c r="A29" s="7068"/>
      <c r="B29" s="1623"/>
      <c r="C29" s="4952">
        <f t="shared" si="13"/>
        <v>21</v>
      </c>
      <c r="D29" s="4953" t="s">
        <v>441</v>
      </c>
      <c r="E29" s="4954" t="s">
        <v>1532</v>
      </c>
      <c r="F29" s="4955"/>
      <c r="G29" s="4956">
        <v>3099.5597307692306</v>
      </c>
      <c r="H29" s="5107">
        <v>2900.371269230769</v>
      </c>
      <c r="I29" s="5617">
        <v>2682.8147307692307</v>
      </c>
      <c r="J29" s="5108">
        <v>2992.4230769230771</v>
      </c>
      <c r="K29" s="5108">
        <v>2682.8147307692307</v>
      </c>
      <c r="L29" s="4959">
        <f>+K29</f>
        <v>2682.8147307692307</v>
      </c>
      <c r="M29" s="4960">
        <f t="shared" ref="M29" si="21">+L29</f>
        <v>2682.8147307692307</v>
      </c>
      <c r="N29" s="4962">
        <f t="shared" ref="N29" si="22">+M29</f>
        <v>2682.8147307692307</v>
      </c>
      <c r="O29" s="4961">
        <f t="shared" ref="O29" si="23">+N29</f>
        <v>2682.8147307692307</v>
      </c>
      <c r="P29" s="4960">
        <f t="shared" ref="P29" si="24">+O29</f>
        <v>2682.8147307692307</v>
      </c>
      <c r="Q29" s="4962">
        <f t="shared" ref="Q29" si="25">+P29</f>
        <v>2682.8147307692307</v>
      </c>
      <c r="R29" s="4964">
        <f t="shared" ref="R29" si="26">+Q29</f>
        <v>2682.8147307692307</v>
      </c>
      <c r="S29" s="3593">
        <f t="shared" si="1"/>
        <v>33137.686653846155</v>
      </c>
      <c r="T29" s="6369">
        <f t="shared" si="4"/>
        <v>8.2303734996291606E-4</v>
      </c>
      <c r="U29" s="6369">
        <f t="shared" si="2"/>
        <v>7.6233270752283774E-4</v>
      </c>
      <c r="V29" s="6336">
        <f t="shared" si="10"/>
        <v>2918.7922019230773</v>
      </c>
      <c r="W29" s="6339">
        <f t="shared" si="3"/>
        <v>2682.8147307692307</v>
      </c>
      <c r="X29" s="6341">
        <f t="shared" si="11"/>
        <v>235.97747115384664</v>
      </c>
      <c r="Z29" s="4546"/>
      <c r="AJ29" s="1568"/>
      <c r="AL29" s="1532"/>
    </row>
    <row r="30" spans="1:40" ht="16.5" customHeight="1">
      <c r="A30" s="7068"/>
      <c r="B30" s="1623"/>
      <c r="C30" s="4952">
        <f t="shared" si="13"/>
        <v>22</v>
      </c>
      <c r="D30" s="4953" t="s">
        <v>1505</v>
      </c>
      <c r="E30" s="4954" t="s">
        <v>1532</v>
      </c>
      <c r="F30" s="4955"/>
      <c r="G30" s="4956">
        <v>3673.9295000000002</v>
      </c>
      <c r="H30" s="5107">
        <v>1429.8446538461537</v>
      </c>
      <c r="I30" s="5617">
        <v>6763.475692307692</v>
      </c>
      <c r="J30" s="5108">
        <v>5937.7376153846153</v>
      </c>
      <c r="K30" s="5108">
        <v>2308.0048461538463</v>
      </c>
      <c r="L30" s="4963">
        <f>K30</f>
        <v>2308.0048461538463</v>
      </c>
      <c r="M30" s="4960">
        <f t="shared" ref="M30:R30" si="27">L30</f>
        <v>2308.0048461538463</v>
      </c>
      <c r="N30" s="4962">
        <f t="shared" si="27"/>
        <v>2308.0048461538463</v>
      </c>
      <c r="O30" s="4961">
        <f t="shared" si="27"/>
        <v>2308.0048461538463</v>
      </c>
      <c r="P30" s="4960">
        <f t="shared" si="27"/>
        <v>2308.0048461538463</v>
      </c>
      <c r="Q30" s="4962">
        <f t="shared" si="27"/>
        <v>2308.0048461538463</v>
      </c>
      <c r="R30" s="4964">
        <f t="shared" si="27"/>
        <v>2308.0048461538463</v>
      </c>
      <c r="S30" s="3593">
        <f t="shared" si="1"/>
        <v>36269.026230769232</v>
      </c>
      <c r="T30" s="6369">
        <f t="shared" si="4"/>
        <v>1.255156986407983E-3</v>
      </c>
      <c r="U30" s="6369">
        <f t="shared" si="2"/>
        <v>6.5582895574746176E-4</v>
      </c>
      <c r="V30" s="6336">
        <f t="shared" si="10"/>
        <v>4451.2468653846154</v>
      </c>
      <c r="W30" s="6339">
        <f t="shared" si="3"/>
        <v>2308.0048461538463</v>
      </c>
      <c r="X30" s="6341">
        <f t="shared" si="11"/>
        <v>2143.2420192307691</v>
      </c>
      <c r="Z30" s="4546"/>
      <c r="AJ30" s="1568"/>
      <c r="AL30" s="1532"/>
    </row>
    <row r="31" spans="1:40" ht="16.5" customHeight="1">
      <c r="A31" s="7068"/>
      <c r="B31" s="1623"/>
      <c r="C31" s="4952">
        <f t="shared" si="13"/>
        <v>23</v>
      </c>
      <c r="D31" s="4953" t="s">
        <v>1508</v>
      </c>
      <c r="E31" s="4954" t="s">
        <v>1564</v>
      </c>
      <c r="F31" s="4955">
        <v>1.2999999999999999E-2</v>
      </c>
      <c r="G31" s="4967">
        <v>23083</v>
      </c>
      <c r="H31" s="5109">
        <v>20733.981846153845</v>
      </c>
      <c r="I31" s="5618">
        <f>19562.1170384615+7467.58</f>
        <v>27029.697038461498</v>
      </c>
      <c r="J31" s="6149">
        <v>24714.680857320098</v>
      </c>
      <c r="K31" s="6149">
        <v>25280.444786617489</v>
      </c>
      <c r="L31" s="4968">
        <f t="shared" ref="L31:R31" si="28">L5*1%</f>
        <v>37692.179071706123</v>
      </c>
      <c r="M31" s="4969">
        <f t="shared" si="28"/>
        <v>40644.052347158649</v>
      </c>
      <c r="N31" s="4970">
        <f t="shared" si="28"/>
        <v>37779.497239591328</v>
      </c>
      <c r="O31" s="4971">
        <f t="shared" si="28"/>
        <v>33202.202391426305</v>
      </c>
      <c r="P31" s="4969">
        <f t="shared" si="28"/>
        <v>32001.831483620183</v>
      </c>
      <c r="Q31" s="4970">
        <f t="shared" si="28"/>
        <v>31565.894836383177</v>
      </c>
      <c r="R31" s="4972">
        <f t="shared" si="28"/>
        <v>31635.38640586664</v>
      </c>
      <c r="S31" s="3593">
        <f t="shared" si="1"/>
        <v>365362.84830430534</v>
      </c>
      <c r="T31" s="6369">
        <f t="shared" si="4"/>
        <v>6.7365679739924333E-3</v>
      </c>
      <c r="U31" s="6369">
        <f t="shared" si="2"/>
        <v>9.5831486661431785E-3</v>
      </c>
      <c r="V31" s="6336">
        <f t="shared" si="10"/>
        <v>23890.339935483858</v>
      </c>
      <c r="W31" s="6339">
        <f t="shared" si="3"/>
        <v>33725.186070296237</v>
      </c>
      <c r="X31" s="6341">
        <f t="shared" si="11"/>
        <v>-9834.8461348123783</v>
      </c>
      <c r="Z31" s="4546"/>
      <c r="AJ31" s="1568"/>
      <c r="AL31" s="1532"/>
    </row>
    <row r="32" spans="1:40" s="2509" customFormat="1" ht="16.5" customHeight="1">
      <c r="A32" s="7068"/>
      <c r="B32" s="4535"/>
      <c r="C32" s="4973">
        <v>24</v>
      </c>
      <c r="D32" s="4974" t="s">
        <v>1207</v>
      </c>
      <c r="E32" s="4975" t="s">
        <v>1560</v>
      </c>
      <c r="F32" s="6398">
        <f>1129226-SUM(G32:J32)</f>
        <v>717022.33143453009</v>
      </c>
      <c r="G32" s="6490">
        <v>204746.19188154209</v>
      </c>
      <c r="H32" s="6491">
        <v>95089</v>
      </c>
      <c r="I32" s="6492">
        <v>112368.47668392782</v>
      </c>
      <c r="J32" s="6493">
        <v>0</v>
      </c>
      <c r="K32" s="6491">
        <v>33626.628631223241</v>
      </c>
      <c r="L32" s="6494">
        <v>33626.628631223241</v>
      </c>
      <c r="M32" s="4977">
        <v>33626.628631223241</v>
      </c>
      <c r="N32" s="4978">
        <v>33626.628631223241</v>
      </c>
      <c r="O32" s="4976">
        <v>33626.628631223241</v>
      </c>
      <c r="P32" s="4977">
        <v>33626.628631223241</v>
      </c>
      <c r="Q32" s="4978">
        <v>33626.628631223241</v>
      </c>
      <c r="R32" s="4979">
        <v>33626.628631223241</v>
      </c>
      <c r="S32" s="3341">
        <f t="shared" si="1"/>
        <v>681216.69761525572</v>
      </c>
      <c r="T32" s="6370">
        <f t="shared" si="4"/>
        <v>2.9058167861144079E-2</v>
      </c>
      <c r="U32" s="6370">
        <f t="shared" si="2"/>
        <v>9.5551431693366596E-3</v>
      </c>
      <c r="V32" s="6336">
        <f t="shared" si="10"/>
        <v>103050.91714136748</v>
      </c>
      <c r="W32" s="6339">
        <f t="shared" si="3"/>
        <v>33626.628631223233</v>
      </c>
      <c r="X32" s="6341">
        <f t="shared" si="11"/>
        <v>69424.288510144252</v>
      </c>
      <c r="Y32" s="3305" t="s">
        <v>1868</v>
      </c>
      <c r="Z32" s="4534" t="s">
        <v>1915</v>
      </c>
      <c r="AA32" s="6358"/>
      <c r="AB32" s="6001"/>
      <c r="AC32" s="6001"/>
      <c r="AD32" s="3305"/>
      <c r="AE32" s="5"/>
      <c r="AF32" s="5"/>
      <c r="AG32" s="5"/>
      <c r="AH32" s="5"/>
      <c r="AI32" s="5"/>
      <c r="AJ32" s="1568"/>
      <c r="AK32" s="5"/>
      <c r="AL32" s="1532"/>
      <c r="AM32" s="5"/>
      <c r="AN32" s="5"/>
    </row>
    <row r="33" spans="1:40" ht="16.5" customHeight="1" thickBot="1">
      <c r="A33" s="7068"/>
      <c r="B33" s="1623"/>
      <c r="C33" s="3615"/>
      <c r="D33" s="4536" t="s">
        <v>193</v>
      </c>
      <c r="E33" s="4801"/>
      <c r="F33" s="4885"/>
      <c r="G33" s="4564">
        <f t="shared" ref="G33:R33" si="29">SUM(G11:G31)</f>
        <v>1079120.224589518</v>
      </c>
      <c r="H33" s="5110">
        <f t="shared" si="29"/>
        <v>1041810.5100800913</v>
      </c>
      <c r="I33" s="5619">
        <f t="shared" si="29"/>
        <v>1116032.5460963694</v>
      </c>
      <c r="J33" s="6495">
        <f t="shared" si="29"/>
        <v>1180721.9937166157</v>
      </c>
      <c r="K33" s="2495">
        <f>SUM(K11:K31)</f>
        <v>1190534.4158636152</v>
      </c>
      <c r="L33" s="2495">
        <f t="shared" si="29"/>
        <v>1191258.950076526</v>
      </c>
      <c r="M33" s="2496">
        <f t="shared" si="29"/>
        <v>1226213.4425786063</v>
      </c>
      <c r="N33" s="2497">
        <f t="shared" si="29"/>
        <v>1190513.7873334575</v>
      </c>
      <c r="O33" s="2498">
        <f t="shared" si="29"/>
        <v>1121872.06097501</v>
      </c>
      <c r="P33" s="2496">
        <f t="shared" si="29"/>
        <v>1089083.2669118079</v>
      </c>
      <c r="Q33" s="2497">
        <f t="shared" si="29"/>
        <v>1096840.7619619796</v>
      </c>
      <c r="R33" s="3587">
        <f t="shared" si="29"/>
        <v>1110454.9607485048</v>
      </c>
      <c r="S33" s="2142">
        <f t="shared" si="1"/>
        <v>13634456.920932103</v>
      </c>
      <c r="T33" s="6371">
        <f t="shared" ref="T33:T35" si="30">SUM(G33:J33)/SUM($G$5:$J$5)</f>
        <v>0.31142333281594931</v>
      </c>
      <c r="U33" s="6371">
        <f t="shared" ref="U33:U35" si="31">SUM(K33:R33)/SUM($K$5:$R$5)</f>
        <v>0.32737288952874199</v>
      </c>
      <c r="V33" s="6336"/>
      <c r="W33" s="6339"/>
      <c r="X33" s="6341"/>
      <c r="Y33" s="3305" t="s">
        <v>1869</v>
      </c>
      <c r="Z33" s="4534"/>
      <c r="AA33" s="6358"/>
      <c r="AB33" s="6001"/>
      <c r="AC33" s="6001"/>
      <c r="AD33" s="3305"/>
      <c r="AJ33" s="1568"/>
      <c r="AL33" s="1532"/>
    </row>
    <row r="34" spans="1:40" ht="16.5" customHeight="1" thickBot="1">
      <c r="A34" s="7528"/>
      <c r="B34" s="7090" t="s">
        <v>1187</v>
      </c>
      <c r="C34" s="7090"/>
      <c r="D34" s="7090"/>
      <c r="E34" s="2385"/>
      <c r="F34" s="4886"/>
      <c r="G34" s="3952">
        <f t="shared" ref="G34:S34" si="32">G9+G10+G33</f>
        <v>2682042.6871854514</v>
      </c>
      <c r="H34" s="5012">
        <f t="shared" si="32"/>
        <v>2233099.398030431</v>
      </c>
      <c r="I34" s="5505">
        <f t="shared" si="32"/>
        <v>2933176.0488932952</v>
      </c>
      <c r="J34" s="5663">
        <f t="shared" si="32"/>
        <v>2671251.4841765999</v>
      </c>
      <c r="K34" s="1605">
        <f>K9+K10+K33</f>
        <v>2991432.3968642633</v>
      </c>
      <c r="L34" s="1605">
        <f t="shared" si="32"/>
        <v>2812077.4277020767</v>
      </c>
      <c r="M34" s="1824">
        <f t="shared" si="32"/>
        <v>2878139.6914163255</v>
      </c>
      <c r="N34" s="1776">
        <f t="shared" si="32"/>
        <v>2687681.0805564513</v>
      </c>
      <c r="O34" s="1777">
        <f t="shared" si="32"/>
        <v>2448212.4833048261</v>
      </c>
      <c r="P34" s="1824">
        <f t="shared" si="32"/>
        <v>2330263.0090714251</v>
      </c>
      <c r="Q34" s="1776">
        <f t="shared" si="32"/>
        <v>2377048.0233888766</v>
      </c>
      <c r="R34" s="1825">
        <f t="shared" si="32"/>
        <v>2380528.3306132508</v>
      </c>
      <c r="S34" s="1674">
        <f t="shared" si="32"/>
        <v>31424952.061203275</v>
      </c>
      <c r="T34" s="6372">
        <f t="shared" si="30"/>
        <v>0.74157374886776073</v>
      </c>
      <c r="U34" s="6372">
        <f t="shared" si="31"/>
        <v>0.74254367142509459</v>
      </c>
      <c r="V34" s="1674"/>
      <c r="W34" s="1674"/>
      <c r="X34" s="1674"/>
      <c r="Z34" s="4546"/>
      <c r="AJ34" s="1568"/>
      <c r="AL34" s="1532"/>
    </row>
    <row r="35" spans="1:40" ht="16.5" customHeight="1" thickBot="1">
      <c r="A35" s="7518" t="s">
        <v>486</v>
      </c>
      <c r="B35" s="7519"/>
      <c r="C35" s="7519"/>
      <c r="D35" s="7519"/>
      <c r="E35" s="74"/>
      <c r="F35" s="4886"/>
      <c r="G35" s="6359">
        <f>'10. IS'!B5</f>
        <v>2633553.6079282579</v>
      </c>
      <c r="H35" s="6360">
        <f>'10. IS'!C5</f>
        <v>2581808</v>
      </c>
      <c r="I35" s="6361">
        <f>'10. IS'!D5</f>
        <v>3130898.2669767821</v>
      </c>
      <c r="J35" s="6171">
        <f>'10. IS'!E5</f>
        <v>2825043.3157365769</v>
      </c>
      <c r="K35" s="6362">
        <f>'10. IS'!F5</f>
        <v>2932170.7536199708</v>
      </c>
      <c r="L35" s="6362">
        <f>'10. IS'!G5</f>
        <v>2812077.4277020767</v>
      </c>
      <c r="M35" s="2817">
        <f>'10. IS'!H5</f>
        <v>2878139.6914163255</v>
      </c>
      <c r="N35" s="2815">
        <f>'10. IS'!I5</f>
        <v>2687681.0805564513</v>
      </c>
      <c r="O35" s="2816">
        <f>'10. IS'!J5</f>
        <v>2448212.4833048261</v>
      </c>
      <c r="P35" s="2817">
        <f>'10. IS'!K5</f>
        <v>2330263.0090714251</v>
      </c>
      <c r="Q35" s="2815">
        <f>'10. IS'!L5</f>
        <v>2377048.0233888766</v>
      </c>
      <c r="R35" s="2818">
        <f>'10. IS'!M5</f>
        <v>2380528.3306132508</v>
      </c>
      <c r="S35" s="6363">
        <f>+SUM(G35:R35)</f>
        <v>32017423.990314823</v>
      </c>
      <c r="T35" s="6373">
        <f t="shared" si="30"/>
        <v>0.7875175018968561</v>
      </c>
      <c r="U35" s="6373">
        <f t="shared" si="31"/>
        <v>0.74043874183246672</v>
      </c>
      <c r="V35" s="6363">
        <f t="shared" ref="V35" si="33">AVERAGE(G35:J35)</f>
        <v>2792825.7976604039</v>
      </c>
      <c r="W35" s="6363">
        <f t="shared" ref="W35" si="34">AVERAGE(K35:R35)</f>
        <v>2605765.0999591504</v>
      </c>
      <c r="X35" s="6363">
        <f>V35-W35</f>
        <v>187060.69770125346</v>
      </c>
      <c r="Y35" s="3911" t="s">
        <v>1870</v>
      </c>
      <c r="Z35" s="4546"/>
      <c r="AJ35" s="1568"/>
      <c r="AL35" s="1532"/>
    </row>
    <row r="36" spans="1:40" ht="16.5" customHeight="1" thickBot="1">
      <c r="A36" s="7516" t="s">
        <v>239</v>
      </c>
      <c r="B36" s="7517"/>
      <c r="C36" s="7517"/>
      <c r="D36" s="7517"/>
      <c r="E36" s="4793"/>
      <c r="F36" s="4887"/>
      <c r="G36" s="3952">
        <f t="shared" ref="G36:K36" si="35">+G34-G35</f>
        <v>48489.079257193487</v>
      </c>
      <c r="H36" s="5012">
        <f t="shared" si="35"/>
        <v>-348708.60196956899</v>
      </c>
      <c r="I36" s="5505">
        <f t="shared" si="35"/>
        <v>-197722.21808348689</v>
      </c>
      <c r="J36" s="5663">
        <f t="shared" si="35"/>
        <v>-153791.83155997703</v>
      </c>
      <c r="K36" s="1608">
        <f t="shared" si="35"/>
        <v>59261.643244292587</v>
      </c>
      <c r="L36" s="3247">
        <f t="shared" ref="L36:R36" si="36">+L34-L35</f>
        <v>0</v>
      </c>
      <c r="M36" s="3248">
        <f t="shared" si="36"/>
        <v>0</v>
      </c>
      <c r="N36" s="3245">
        <f t="shared" si="36"/>
        <v>0</v>
      </c>
      <c r="O36" s="3246">
        <f t="shared" si="36"/>
        <v>0</v>
      </c>
      <c r="P36" s="3248">
        <f t="shared" si="36"/>
        <v>0</v>
      </c>
      <c r="Q36" s="3245">
        <f t="shared" si="36"/>
        <v>0</v>
      </c>
      <c r="R36" s="3588">
        <f t="shared" si="36"/>
        <v>0</v>
      </c>
      <c r="S36" s="3591"/>
      <c r="T36" s="3591"/>
      <c r="U36" s="3591"/>
      <c r="V36" s="3591"/>
      <c r="W36" s="3591"/>
      <c r="X36" s="3591">
        <f>X35/V35</f>
        <v>6.6979006659834375E-2</v>
      </c>
      <c r="Y36" s="3911" t="s">
        <v>1871</v>
      </c>
      <c r="Z36" s="4546"/>
      <c r="AJ36" s="1568"/>
      <c r="AL36" s="1532"/>
    </row>
    <row r="37" spans="1:40" ht="16.5" customHeight="1" thickBot="1">
      <c r="A37" s="7081" t="s">
        <v>1188</v>
      </c>
      <c r="B37" s="7082"/>
      <c r="C37" s="7082"/>
      <c r="D37" s="7082"/>
      <c r="E37" s="74"/>
      <c r="F37" s="4886"/>
      <c r="G37" s="4805">
        <f t="shared" ref="G37:R37" si="37">G34/G5</f>
        <v>0.73488087581909001</v>
      </c>
      <c r="H37" s="5111">
        <f t="shared" si="37"/>
        <v>0.71040730189204571</v>
      </c>
      <c r="I37" s="5620">
        <f t="shared" si="37"/>
        <v>0.71591318280391458</v>
      </c>
      <c r="J37" s="6150">
        <f t="shared" si="37"/>
        <v>0.81062003702475149</v>
      </c>
      <c r="K37" s="2499">
        <f t="shared" si="37"/>
        <v>0.80813770898810355</v>
      </c>
      <c r="L37" s="2499">
        <f t="shared" si="37"/>
        <v>0.74606390422595137</v>
      </c>
      <c r="M37" s="2500">
        <f t="shared" si="37"/>
        <v>0.70813305396638959</v>
      </c>
      <c r="N37" s="2501">
        <f t="shared" si="37"/>
        <v>0.71141261184912596</v>
      </c>
      <c r="O37" s="2502">
        <f t="shared" si="37"/>
        <v>0.73736448397080434</v>
      </c>
      <c r="P37" s="2500">
        <f t="shared" si="37"/>
        <v>0.72816551460942069</v>
      </c>
      <c r="Q37" s="2501">
        <f t="shared" si="37"/>
        <v>0.75304312952632235</v>
      </c>
      <c r="R37" s="3589">
        <f t="shared" si="37"/>
        <v>0.75248909561976851</v>
      </c>
      <c r="S37" s="3592"/>
      <c r="T37" s="3592"/>
      <c r="U37" s="3592"/>
      <c r="V37" s="3592"/>
      <c r="W37" s="3592"/>
      <c r="X37" s="3592"/>
      <c r="Y37" s="3911" t="s">
        <v>1872</v>
      </c>
      <c r="Z37" s="4546"/>
      <c r="AJ37" s="1568"/>
      <c r="AL37" s="1532"/>
    </row>
    <row r="38" spans="1:40" ht="16.5" customHeight="1" thickBot="1">
      <c r="A38" s="7081" t="s">
        <v>1189</v>
      </c>
      <c r="B38" s="7082"/>
      <c r="C38" s="7082"/>
      <c r="D38" s="7082"/>
      <c r="E38" s="74"/>
      <c r="F38" s="4886"/>
      <c r="G38" s="4805">
        <f t="shared" ref="G38:R38" si="38">G35/G5</f>
        <v>0.72159484677770214</v>
      </c>
      <c r="H38" s="5111">
        <f t="shared" si="38"/>
        <v>0.82134062500799809</v>
      </c>
      <c r="I38" s="5620">
        <f t="shared" si="38"/>
        <v>0.76417211445331468</v>
      </c>
      <c r="J38" s="6150">
        <f t="shared" si="38"/>
        <v>0.85728982492444106</v>
      </c>
      <c r="K38" s="2499">
        <f t="shared" si="38"/>
        <v>0.79212813155205164</v>
      </c>
      <c r="L38" s="2499">
        <f t="shared" si="38"/>
        <v>0.74606390422595137</v>
      </c>
      <c r="M38" s="2500">
        <f t="shared" si="38"/>
        <v>0.70813305396638959</v>
      </c>
      <c r="N38" s="2501">
        <f t="shared" si="38"/>
        <v>0.71141261184912596</v>
      </c>
      <c r="O38" s="2502">
        <f t="shared" si="38"/>
        <v>0.73736448397080434</v>
      </c>
      <c r="P38" s="2500">
        <f t="shared" si="38"/>
        <v>0.72816551460942069</v>
      </c>
      <c r="Q38" s="2501">
        <f t="shared" si="38"/>
        <v>0.75304312952632235</v>
      </c>
      <c r="R38" s="3589">
        <f t="shared" si="38"/>
        <v>0.75248909561976851</v>
      </c>
      <c r="S38" s="3592"/>
      <c r="T38" s="3592"/>
      <c r="U38" s="3592"/>
      <c r="V38" s="3592"/>
      <c r="W38" s="3592"/>
      <c r="X38" s="3592"/>
      <c r="Z38" s="4546"/>
      <c r="AJ38" s="1568"/>
      <c r="AL38" s="1532"/>
    </row>
    <row r="39" spans="1:40" ht="20.25" hidden="1" customHeight="1">
      <c r="A39" s="3244"/>
      <c r="B39" s="3244"/>
      <c r="C39" s="3616"/>
      <c r="D39" s="3249" t="s">
        <v>1205</v>
      </c>
      <c r="E39" s="3249"/>
      <c r="F39" s="4888"/>
      <c r="G39" s="3250">
        <f t="shared" ref="G39:R39" si="39">+G5-G35-G68-G76-G78</f>
        <v>501480.85638223024</v>
      </c>
      <c r="H39" s="3250">
        <f t="shared" si="39"/>
        <v>94665.42587043329</v>
      </c>
      <c r="I39" s="3250">
        <f t="shared" si="39"/>
        <v>154532.50976436981</v>
      </c>
      <c r="J39" s="3250">
        <f t="shared" si="39"/>
        <v>10522.266214933334</v>
      </c>
      <c r="K39" s="3373">
        <f t="shared" si="39"/>
        <v>303624.19956003793</v>
      </c>
      <c r="L39" s="3250">
        <f t="shared" si="39"/>
        <v>464103.85926359321</v>
      </c>
      <c r="M39" s="3250">
        <f t="shared" si="39"/>
        <v>708524.63359223097</v>
      </c>
      <c r="N39" s="3250">
        <f t="shared" si="39"/>
        <v>641717.25702440366</v>
      </c>
      <c r="O39" s="3250">
        <f t="shared" si="39"/>
        <v>437435.66143998748</v>
      </c>
      <c r="P39" s="3250">
        <f t="shared" si="39"/>
        <v>460285.00464380725</v>
      </c>
      <c r="Q39" s="3250">
        <f t="shared" si="39"/>
        <v>372894.82761232089</v>
      </c>
      <c r="R39" s="3250">
        <f t="shared" si="39"/>
        <v>365577.21774448</v>
      </c>
      <c r="S39" s="3250">
        <f>+S5-S35-S68-S76</f>
        <v>5087355.7776297443</v>
      </c>
      <c r="T39" s="3250"/>
      <c r="U39" s="3250"/>
      <c r="V39" s="1637"/>
      <c r="W39" s="1568"/>
      <c r="Z39" s="4546"/>
      <c r="AJ39" s="1568"/>
      <c r="AL39" s="1532"/>
    </row>
    <row r="40" spans="1:40" ht="20.25" hidden="1" customHeight="1">
      <c r="A40" s="3244"/>
      <c r="B40" s="3244"/>
      <c r="C40" s="3616"/>
      <c r="D40" s="3249" t="s">
        <v>1203</v>
      </c>
      <c r="E40" s="3249"/>
      <c r="F40" s="4888"/>
      <c r="G40" s="3251">
        <f t="shared" ref="G40:S40" si="40">+G39/G5</f>
        <v>0.13740597519401021</v>
      </c>
      <c r="H40" s="3251">
        <f t="shared" si="40"/>
        <v>3.0115546954332002E-2</v>
      </c>
      <c r="I40" s="3251">
        <f t="shared" si="40"/>
        <v>3.7717429526205583E-2</v>
      </c>
      <c r="J40" s="3251">
        <f t="shared" si="40"/>
        <v>3.1930950265293893E-3</v>
      </c>
      <c r="K40" s="3374">
        <f t="shared" si="40"/>
        <v>8.2024305574480788E-2</v>
      </c>
      <c r="L40" s="3251">
        <f t="shared" si="40"/>
        <v>0.12313001548164026</v>
      </c>
      <c r="M40" s="3251">
        <f t="shared" si="40"/>
        <v>0.17432430889036651</v>
      </c>
      <c r="N40" s="3251">
        <f t="shared" si="40"/>
        <v>0.16985860159936456</v>
      </c>
      <c r="O40" s="3251">
        <f t="shared" si="40"/>
        <v>0.13174898950466765</v>
      </c>
      <c r="P40" s="3251">
        <f t="shared" si="40"/>
        <v>0.14383083195703955</v>
      </c>
      <c r="Q40" s="3251">
        <f t="shared" si="40"/>
        <v>0.11813218967659946</v>
      </c>
      <c r="R40" s="3251">
        <f t="shared" si="40"/>
        <v>0.11555958667749522</v>
      </c>
      <c r="S40" s="3251">
        <f t="shared" si="40"/>
        <v>0.12015708446707599</v>
      </c>
      <c r="T40" s="3251"/>
      <c r="U40" s="3251"/>
      <c r="V40" s="1637"/>
      <c r="W40" s="1568"/>
      <c r="Z40" s="4546"/>
      <c r="AJ40" s="1568"/>
      <c r="AL40" s="1532"/>
    </row>
    <row r="41" spans="1:40" ht="20.25" hidden="1" customHeight="1">
      <c r="A41" s="3244"/>
      <c r="B41" s="3244"/>
      <c r="C41" s="3616"/>
      <c r="D41" s="3249" t="s">
        <v>1204</v>
      </c>
      <c r="E41" s="3249"/>
      <c r="F41" s="4888"/>
      <c r="G41" s="3251">
        <f t="shared" ref="G41:S41" si="41">(G39-G32)/G5</f>
        <v>8.130542857354281E-2</v>
      </c>
      <c r="H41" s="3251">
        <f t="shared" si="41"/>
        <v>-1.3475000477012258E-4</v>
      </c>
      <c r="I41" s="3251">
        <f t="shared" si="41"/>
        <v>1.029116105521796E-2</v>
      </c>
      <c r="J41" s="3251">
        <f t="shared" si="41"/>
        <v>3.1930950265293893E-3</v>
      </c>
      <c r="K41" s="3374">
        <f>(K39-K32)/K5</f>
        <v>7.2940046591554633E-2</v>
      </c>
      <c r="L41" s="3251">
        <f t="shared" si="41"/>
        <v>0.11420863458528735</v>
      </c>
      <c r="M41" s="3251">
        <f t="shared" si="41"/>
        <v>0.16605086500637495</v>
      </c>
      <c r="N41" s="3251">
        <f t="shared" si="41"/>
        <v>0.16095784031660615</v>
      </c>
      <c r="O41" s="3251">
        <f t="shared" si="41"/>
        <v>0.12162115875573319</v>
      </c>
      <c r="P41" s="3251">
        <f t="shared" si="41"/>
        <v>0.13332311190719345</v>
      </c>
      <c r="Q41" s="3251">
        <f t="shared" si="41"/>
        <v>0.10747935413826876</v>
      </c>
      <c r="R41" s="3251">
        <f t="shared" si="41"/>
        <v>0.10493015158863304</v>
      </c>
      <c r="S41" s="3251">
        <f t="shared" si="41"/>
        <v>0.10406758417388536</v>
      </c>
      <c r="T41" s="3251"/>
      <c r="U41" s="3251"/>
      <c r="V41" s="1637"/>
      <c r="W41" s="1568"/>
      <c r="Z41" s="4546"/>
      <c r="AJ41" s="1568"/>
      <c r="AL41" s="1532"/>
    </row>
    <row r="42" spans="1:40" s="1618" customFormat="1" ht="20.25" customHeight="1">
      <c r="A42" s="1922"/>
      <c r="B42" s="1922"/>
      <c r="C42" s="2183"/>
      <c r="D42" s="1922"/>
      <c r="E42" s="1922"/>
      <c r="F42" s="4889"/>
      <c r="G42" s="4565"/>
      <c r="H42" s="4565"/>
      <c r="I42" s="4565"/>
      <c r="J42" s="3277"/>
      <c r="K42" s="3375"/>
      <c r="L42" s="3277"/>
      <c r="M42" s="3277"/>
      <c r="N42" s="3277"/>
      <c r="O42" s="3277"/>
      <c r="P42" s="3277"/>
      <c r="Q42" s="3277"/>
      <c r="R42" s="3277"/>
      <c r="S42" s="3277"/>
      <c r="T42" s="3277"/>
      <c r="U42" s="3277"/>
      <c r="V42" s="1637"/>
      <c r="W42" s="1568"/>
      <c r="X42" s="5"/>
      <c r="Y42" s="5"/>
      <c r="Z42" s="4546"/>
      <c r="AA42" s="4034"/>
      <c r="AB42" s="4544"/>
      <c r="AC42" s="4544"/>
      <c r="AD42" s="5"/>
      <c r="AE42" s="5"/>
      <c r="AF42" s="5"/>
      <c r="AG42" s="5"/>
      <c r="AH42" s="5"/>
      <c r="AI42" s="5"/>
      <c r="AJ42" s="1568"/>
      <c r="AK42" s="5"/>
      <c r="AL42" s="1532"/>
      <c r="AM42" s="5"/>
      <c r="AN42" s="5"/>
    </row>
    <row r="43" spans="1:40" ht="20.25" customHeight="1" thickBot="1">
      <c r="A43" s="2382" t="s">
        <v>26</v>
      </c>
      <c r="B43" s="2488"/>
      <c r="C43" s="3612"/>
      <c r="D43" s="2431"/>
      <c r="E43" s="2431"/>
      <c r="F43" s="4890"/>
      <c r="G43" s="4566"/>
      <c r="H43" s="4566"/>
      <c r="I43" s="4566"/>
      <c r="J43" s="4566"/>
      <c r="K43" s="1696"/>
      <c r="L43" s="1696"/>
      <c r="M43" s="2370"/>
      <c r="N43" s="2370"/>
      <c r="O43" s="6397"/>
      <c r="P43" s="6397"/>
      <c r="Q43" s="2370"/>
      <c r="R43" s="2370"/>
      <c r="S43" s="1785" t="s">
        <v>86</v>
      </c>
      <c r="T43" s="1785"/>
      <c r="U43" s="1785"/>
      <c r="V43" s="1637"/>
      <c r="W43" s="1568"/>
      <c r="Z43" s="4546"/>
      <c r="AJ43" s="1568"/>
      <c r="AL43" s="1532"/>
    </row>
    <row r="44" spans="1:40" s="1528" customFormat="1" ht="19.5" customHeight="1" thickBot="1">
      <c r="A44" s="34" t="s">
        <v>116</v>
      </c>
      <c r="B44" s="2437" t="s">
        <v>115</v>
      </c>
      <c r="C44" s="74" t="s">
        <v>1011</v>
      </c>
      <c r="D44" s="4802" t="s">
        <v>30</v>
      </c>
      <c r="E44" s="2387" t="s">
        <v>1522</v>
      </c>
      <c r="F44" s="4891" t="s">
        <v>1523</v>
      </c>
      <c r="G44" s="4558" t="str">
        <f t="shared" ref="G44:S44" si="42">G8</f>
        <v>Jan.26</v>
      </c>
      <c r="H44" s="5101" t="str">
        <f t="shared" si="42"/>
        <v>Feb.26</v>
      </c>
      <c r="I44" s="5576" t="str">
        <f t="shared" si="42"/>
        <v>Mar.26</v>
      </c>
      <c r="J44" s="4558" t="str">
        <f t="shared" si="42"/>
        <v>Apr.26</v>
      </c>
      <c r="K44" s="74" t="str">
        <f t="shared" si="42"/>
        <v>May.26</v>
      </c>
      <c r="L44" s="2253" t="str">
        <f t="shared" si="42"/>
        <v>Jun.26</v>
      </c>
      <c r="M44" s="3580" t="str">
        <f t="shared" si="42"/>
        <v>Jul.26</v>
      </c>
      <c r="N44" s="72" t="str">
        <f t="shared" si="42"/>
        <v>Aug.26</v>
      </c>
      <c r="O44" s="57" t="str">
        <f t="shared" si="42"/>
        <v>Sep.26</v>
      </c>
      <c r="P44" s="71" t="str">
        <f t="shared" si="42"/>
        <v>Oct.26</v>
      </c>
      <c r="Q44" s="72" t="str">
        <f t="shared" si="42"/>
        <v>Nov.26</v>
      </c>
      <c r="R44" s="2253" t="str">
        <f t="shared" si="42"/>
        <v>Dec.26</v>
      </c>
      <c r="S44" s="3630" t="str">
        <f t="shared" si="42"/>
        <v>2026
Total</v>
      </c>
      <c r="T44" s="3630"/>
      <c r="U44" s="3630"/>
      <c r="V44" s="6335" t="s">
        <v>1851</v>
      </c>
      <c r="W44" s="6338" t="s">
        <v>1852</v>
      </c>
      <c r="X44" s="6334" t="s">
        <v>1853</v>
      </c>
      <c r="Y44" s="5"/>
      <c r="Z44" s="4546"/>
      <c r="AA44" s="4034"/>
      <c r="AB44" s="4544"/>
      <c r="AC44" s="4544"/>
      <c r="AD44" s="5"/>
      <c r="AE44" s="5"/>
      <c r="AF44" s="5"/>
      <c r="AG44" s="5"/>
      <c r="AH44" s="5"/>
      <c r="AI44" s="5"/>
      <c r="AJ44" s="1568"/>
      <c r="AK44" s="5"/>
      <c r="AL44" s="1532"/>
      <c r="AM44" s="5"/>
      <c r="AN44" s="5"/>
    </row>
    <row r="45" spans="1:40" s="2509" customFormat="1" ht="19.5" customHeight="1">
      <c r="A45" s="7511" t="s">
        <v>445</v>
      </c>
      <c r="B45" s="3696" t="s">
        <v>373</v>
      </c>
      <c r="C45" s="3617">
        <v>25</v>
      </c>
      <c r="D45" s="4789" t="s">
        <v>485</v>
      </c>
      <c r="E45" s="4794" t="s">
        <v>1526</v>
      </c>
      <c r="F45" s="4892"/>
      <c r="G45" s="4806">
        <v>161782.1601923077</v>
      </c>
      <c r="H45" s="5098">
        <v>160210.96069230768</v>
      </c>
      <c r="I45" s="5621">
        <v>158689.07826923075</v>
      </c>
      <c r="J45" s="4806">
        <v>156571.69</v>
      </c>
      <c r="K45" s="5098">
        <v>153292.59111538462</v>
      </c>
      <c r="L45" s="2506">
        <f>'4. L PLAN'!K89</f>
        <v>141315.26226136365</v>
      </c>
      <c r="M45" s="3621">
        <f>'4. L PLAN'!L89</f>
        <v>134884.48843030306</v>
      </c>
      <c r="N45" s="2507">
        <f>'4. L PLAN'!M89</f>
        <v>134884.48843030306</v>
      </c>
      <c r="O45" s="2507">
        <f>'4. L PLAN'!N89</f>
        <v>134884.48843030306</v>
      </c>
      <c r="P45" s="3626">
        <f>'4. L PLAN'!O89</f>
        <v>131007.43604393941</v>
      </c>
      <c r="Q45" s="2507">
        <f>'4. L PLAN'!P89</f>
        <v>131007.43604393941</v>
      </c>
      <c r="R45" s="2506">
        <f>'4. L PLAN'!Q89</f>
        <v>131007.43604393941</v>
      </c>
      <c r="S45" s="3631">
        <f t="shared" ref="S45:S67" si="43">SUM(G45:R45)</f>
        <v>1729537.5159533215</v>
      </c>
      <c r="T45" s="6374">
        <f t="shared" ref="T45:T68" si="44">SUM(G45:J45)/SUM($G$5:$J$5)</f>
        <v>4.4923012319717522E-2</v>
      </c>
      <c r="U45" s="6374">
        <f t="shared" ref="U45:U68" si="45">SUM(K45:R45)/SUM($K$5:$R$5)</f>
        <v>3.8797103889193912E-2</v>
      </c>
      <c r="V45" s="6336">
        <f>AVERAGE(G45:J45)</f>
        <v>159313.47228846152</v>
      </c>
      <c r="W45" s="6339">
        <f>AVERAGE(K45:R45)</f>
        <v>136535.45334993445</v>
      </c>
      <c r="X45" s="6354">
        <f>V45-W45</f>
        <v>22778.018938527064</v>
      </c>
      <c r="Y45" s="3911" t="s">
        <v>1854</v>
      </c>
      <c r="Z45" s="4546" t="s">
        <v>1862</v>
      </c>
      <c r="AA45" s="6355"/>
      <c r="AB45" s="6356"/>
      <c r="AC45" s="4544"/>
      <c r="AD45" s="5"/>
      <c r="AE45" s="5"/>
      <c r="AF45" s="5"/>
      <c r="AG45" s="5"/>
      <c r="AH45" s="5"/>
      <c r="AI45" s="5"/>
      <c r="AJ45" s="1568"/>
      <c r="AK45" s="5"/>
      <c r="AL45" s="1532"/>
      <c r="AM45" s="5"/>
      <c r="AN45" s="5"/>
    </row>
    <row r="46" spans="1:40" s="2509" customFormat="1" ht="19.5" customHeight="1">
      <c r="A46" s="7512"/>
      <c r="B46" s="2510"/>
      <c r="C46" s="4912">
        <v>26</v>
      </c>
      <c r="D46" s="4790" t="s">
        <v>1841</v>
      </c>
      <c r="E46" s="6385" t="s">
        <v>1526</v>
      </c>
      <c r="F46" s="4893"/>
      <c r="G46" s="4807">
        <v>3157.6838461538459</v>
      </c>
      <c r="H46" s="5099">
        <v>2652.95</v>
      </c>
      <c r="I46" s="5622">
        <v>4255.6788461538463</v>
      </c>
      <c r="J46" s="4807">
        <v>6711.9351538461542</v>
      </c>
      <c r="K46" s="5099">
        <v>4209.6923076923076</v>
      </c>
      <c r="L46" s="2514">
        <f>'4. L PLAN'!K94+'4. L PLAN'!K95</f>
        <v>8891.5272727272732</v>
      </c>
      <c r="M46" s="3622">
        <f>'4. L PLAN'!L94+'4. L PLAN'!L95</f>
        <v>8928.4090909090901</v>
      </c>
      <c r="N46" s="2515">
        <f>'4. L PLAN'!M94+'4. L PLAN'!M95</f>
        <v>8597.7272727272739</v>
      </c>
      <c r="O46" s="2515">
        <f>'4. L PLAN'!N94+'4. L PLAN'!N95</f>
        <v>7936.363636363636</v>
      </c>
      <c r="P46" s="3627">
        <f>'4. L PLAN'!O94+'4. L PLAN'!O95</f>
        <v>8567.8363636363629</v>
      </c>
      <c r="Q46" s="2515">
        <f>'4. L PLAN'!P94+'4. L PLAN'!P95</f>
        <v>7933.181818181818</v>
      </c>
      <c r="R46" s="2514">
        <f>'4. L PLAN'!Q94+'4. L PLAN'!Q95</f>
        <v>8567.8363636363629</v>
      </c>
      <c r="S46" s="3632">
        <f t="shared" si="43"/>
        <v>80410.821972027974</v>
      </c>
      <c r="T46" s="6384">
        <f t="shared" si="44"/>
        <v>1.1827773004208023E-3</v>
      </c>
      <c r="U46" s="6384">
        <f t="shared" si="45"/>
        <v>2.2601818140697925E-3</v>
      </c>
      <c r="V46" s="6336">
        <f t="shared" ref="V46:V68" si="46">AVERAGE(G46:J46)</f>
        <v>4194.5619615384621</v>
      </c>
      <c r="W46" s="6339">
        <f t="shared" ref="W46:W68" si="47">AVERAGE(K46:R46)</f>
        <v>7954.0717657342657</v>
      </c>
      <c r="X46" s="6341">
        <f t="shared" ref="X46:X67" si="48">V46-W46</f>
        <v>-3759.5098041958036</v>
      </c>
      <c r="Y46" s="1569"/>
      <c r="Z46" s="4546" t="s">
        <v>1863</v>
      </c>
      <c r="AA46" s="6355"/>
      <c r="AB46" s="6356"/>
      <c r="AC46" s="4544"/>
      <c r="AD46" s="5"/>
      <c r="AE46" s="5"/>
      <c r="AF46" s="5"/>
      <c r="AG46" s="5"/>
      <c r="AH46" s="5"/>
      <c r="AI46" s="5"/>
      <c r="AJ46" s="1568"/>
      <c r="AK46" s="5"/>
      <c r="AL46" s="1532"/>
      <c r="AM46" s="5"/>
      <c r="AN46" s="5"/>
    </row>
    <row r="47" spans="1:40" s="2509" customFormat="1" ht="19.5" customHeight="1">
      <c r="A47" s="7512"/>
      <c r="B47" s="2510"/>
      <c r="C47" s="3618">
        <v>27</v>
      </c>
      <c r="D47" s="4790" t="s">
        <v>374</v>
      </c>
      <c r="E47" s="4795" t="s">
        <v>1538</v>
      </c>
      <c r="F47" s="4893">
        <v>2E-3</v>
      </c>
      <c r="G47" s="4807">
        <v>3053.3860384615386</v>
      </c>
      <c r="H47" s="5099">
        <v>10733.593115384616</v>
      </c>
      <c r="I47" s="5622">
        <v>-3304.3546923076924</v>
      </c>
      <c r="J47" s="4807">
        <v>760.47230769230771</v>
      </c>
      <c r="K47" s="5099">
        <v>3022.3149615384614</v>
      </c>
      <c r="L47" s="2514">
        <f>L5*0.2%+10000</f>
        <v>17538.435814341225</v>
      </c>
      <c r="M47" s="3622">
        <f>M5*0.2%</f>
        <v>8128.810469431729</v>
      </c>
      <c r="N47" s="2515">
        <f>N5*0.2%</f>
        <v>7555.8994479182666</v>
      </c>
      <c r="O47" s="2515">
        <f>O5*0.2%+10000</f>
        <v>16640.440478285262</v>
      </c>
      <c r="P47" s="3627">
        <f>P5*0.2%</f>
        <v>6400.3662967240361</v>
      </c>
      <c r="Q47" s="2515">
        <f>Q5*0.2%</f>
        <v>6313.1789672766354</v>
      </c>
      <c r="R47" s="2514">
        <f>R5*0.2%+10000</f>
        <v>16327.077281173328</v>
      </c>
      <c r="S47" s="3632">
        <f t="shared" si="43"/>
        <v>93169.620485919717</v>
      </c>
      <c r="T47" s="6375">
        <f t="shared" si="44"/>
        <v>7.9257856762015774E-4</v>
      </c>
      <c r="U47" s="6375">
        <f t="shared" si="45"/>
        <v>2.9099693284154755E-3</v>
      </c>
      <c r="V47" s="6336">
        <f t="shared" si="46"/>
        <v>2810.7741923076924</v>
      </c>
      <c r="W47" s="6339">
        <f t="shared" si="47"/>
        <v>10240.815464586118</v>
      </c>
      <c r="X47" s="6341">
        <f t="shared" si="48"/>
        <v>-7430.0412722784258</v>
      </c>
      <c r="Y47" s="1569"/>
      <c r="Z47" s="4546"/>
      <c r="AA47" s="6355"/>
      <c r="AB47" s="6356"/>
      <c r="AC47" s="4544"/>
      <c r="AD47" s="5"/>
      <c r="AE47" s="5"/>
      <c r="AF47" s="5"/>
      <c r="AG47" s="5"/>
      <c r="AH47" s="5"/>
      <c r="AI47" s="5"/>
      <c r="AJ47" s="1568"/>
      <c r="AK47" s="5"/>
      <c r="AL47" s="1532"/>
      <c r="AM47" s="5"/>
      <c r="AN47" s="5"/>
    </row>
    <row r="48" spans="1:40" s="2509" customFormat="1" ht="19.5" customHeight="1">
      <c r="A48" s="7512"/>
      <c r="B48" s="2510"/>
      <c r="C48" s="4912">
        <v>28</v>
      </c>
      <c r="D48" s="4790" t="s">
        <v>375</v>
      </c>
      <c r="E48" s="6385" t="s">
        <v>1563</v>
      </c>
      <c r="F48" s="4893">
        <v>2.35E-2</v>
      </c>
      <c r="G48" s="4807">
        <v>60455.256269230769</v>
      </c>
      <c r="H48" s="5099">
        <v>35460.457423076921</v>
      </c>
      <c r="I48" s="5622">
        <v>44272.214192307692</v>
      </c>
      <c r="J48" s="6151">
        <v>68193.467346153848</v>
      </c>
      <c r="K48" s="5099">
        <v>58530.287769230767</v>
      </c>
      <c r="L48" s="2514">
        <f>('2. S Plan'!Q293*$F$48)</f>
        <v>85668.022461366534</v>
      </c>
      <c r="M48" s="3622">
        <f>('2. S Plan'!R293*$F$48)</f>
        <v>93179.863908679967</v>
      </c>
      <c r="N48" s="2515">
        <f>('2. S Plan'!S293*$F$48)</f>
        <v>85799.582905896779</v>
      </c>
      <c r="O48" s="2514">
        <f>('2. S Plan'!T293*$F$48)</f>
        <v>77019.642512708961</v>
      </c>
      <c r="P48" s="3622">
        <f>('2. S Plan'!U293*$F$48)</f>
        <v>72020.638129364568</v>
      </c>
      <c r="Q48" s="2515">
        <f>('2. S Plan'!V293*$F$48)</f>
        <v>72251.100436929046</v>
      </c>
      <c r="R48" s="2514">
        <f>('2. S Plan'!W293*$F$48)</f>
        <v>72787.703125215179</v>
      </c>
      <c r="S48" s="3632">
        <f t="shared" si="43"/>
        <v>825638.23648016108</v>
      </c>
      <c r="T48" s="6375">
        <f t="shared" si="44"/>
        <v>1.4689780862038501E-2</v>
      </c>
      <c r="U48" s="6375">
        <f t="shared" si="45"/>
        <v>2.1924504962541863E-2</v>
      </c>
      <c r="V48" s="6336">
        <f t="shared" si="46"/>
        <v>52095.348807692309</v>
      </c>
      <c r="W48" s="6339">
        <f t="shared" si="47"/>
        <v>77157.105156173973</v>
      </c>
      <c r="X48" s="6341">
        <f t="shared" si="48"/>
        <v>-25061.756348481664</v>
      </c>
      <c r="Y48" s="3911" t="s">
        <v>1857</v>
      </c>
      <c r="Z48" s="4546"/>
      <c r="AA48" s="6355"/>
      <c r="AB48" s="6356"/>
      <c r="AC48" s="4544"/>
      <c r="AD48" s="5"/>
      <c r="AE48" s="5"/>
      <c r="AF48" s="5"/>
      <c r="AG48" s="5"/>
      <c r="AH48" s="5"/>
      <c r="AI48" s="5"/>
      <c r="AJ48" s="1568"/>
      <c r="AK48" s="5"/>
      <c r="AL48" s="1532"/>
      <c r="AM48" s="5"/>
      <c r="AN48" s="5"/>
    </row>
    <row r="49" spans="1:40" s="2509" customFormat="1" ht="19.5" customHeight="1">
      <c r="A49" s="7512"/>
      <c r="B49" s="2510"/>
      <c r="C49" s="3618">
        <v>29</v>
      </c>
      <c r="D49" s="4790" t="s">
        <v>382</v>
      </c>
      <c r="E49" s="4795" t="s">
        <v>1539</v>
      </c>
      <c r="F49" s="4893"/>
      <c r="G49" s="4807">
        <v>532.16882192307696</v>
      </c>
      <c r="H49" s="5099">
        <v>495.43769230769232</v>
      </c>
      <c r="I49" s="5622">
        <v>599.85523076923073</v>
      </c>
      <c r="J49" s="4807">
        <v>537.18323076923082</v>
      </c>
      <c r="K49" s="5099">
        <v>511.86476923076924</v>
      </c>
      <c r="L49" s="2514">
        <f t="shared" ref="L49" si="49">+K49</f>
        <v>511.86476923076924</v>
      </c>
      <c r="M49" s="3622">
        <f t="shared" ref="M49" si="50">+L49</f>
        <v>511.86476923076924</v>
      </c>
      <c r="N49" s="2515">
        <f t="shared" ref="N49" si="51">+M49</f>
        <v>511.86476923076924</v>
      </c>
      <c r="O49" s="2515">
        <f t="shared" ref="O49" si="52">+N49</f>
        <v>511.86476923076924</v>
      </c>
      <c r="P49" s="3627">
        <f t="shared" ref="P49" si="53">+O49</f>
        <v>511.86476923076924</v>
      </c>
      <c r="Q49" s="2515">
        <f t="shared" ref="Q49" si="54">+P49</f>
        <v>511.86476923076924</v>
      </c>
      <c r="R49" s="2514">
        <f t="shared" ref="R49" si="55">+Q49</f>
        <v>511.86476923076924</v>
      </c>
      <c r="S49" s="3632">
        <f t="shared" si="43"/>
        <v>6259.5631296153852</v>
      </c>
      <c r="T49" s="6375">
        <f t="shared" si="44"/>
        <v>1.5259596617513854E-4</v>
      </c>
      <c r="U49" s="6375">
        <f t="shared" si="45"/>
        <v>1.45448454169387E-4</v>
      </c>
      <c r="V49" s="6336">
        <f t="shared" si="46"/>
        <v>541.16124394230769</v>
      </c>
      <c r="W49" s="6339">
        <f t="shared" si="47"/>
        <v>511.86476923076918</v>
      </c>
      <c r="X49" s="6341">
        <f t="shared" si="48"/>
        <v>29.296474711538508</v>
      </c>
      <c r="Y49" s="1569" t="s">
        <v>1861</v>
      </c>
      <c r="Z49" s="4546"/>
      <c r="AA49" s="6355"/>
      <c r="AB49" s="6356"/>
      <c r="AC49" s="4544"/>
      <c r="AD49" s="5"/>
      <c r="AE49" s="5"/>
      <c r="AF49" s="5"/>
      <c r="AG49" s="5"/>
      <c r="AH49" s="5"/>
      <c r="AI49" s="5"/>
      <c r="AJ49" s="1568"/>
      <c r="AK49" s="5"/>
      <c r="AL49" s="1532"/>
      <c r="AM49" s="5"/>
      <c r="AN49" s="5"/>
    </row>
    <row r="50" spans="1:40" s="2509" customFormat="1" ht="19.5" customHeight="1">
      <c r="A50" s="7512"/>
      <c r="B50" s="2510"/>
      <c r="C50" s="4912">
        <v>30</v>
      </c>
      <c r="D50" s="4790" t="s">
        <v>462</v>
      </c>
      <c r="E50" s="4795" t="s">
        <v>1532</v>
      </c>
      <c r="F50" s="4893"/>
      <c r="G50" s="4807">
        <v>5199.2401923076923</v>
      </c>
      <c r="H50" s="5099">
        <v>2290.5982692307693</v>
      </c>
      <c r="I50" s="5622">
        <v>7404.2136538461536</v>
      </c>
      <c r="J50" s="4807">
        <v>4758.0755384615386</v>
      </c>
      <c r="K50" s="5099">
        <v>2740.7013461538463</v>
      </c>
      <c r="L50" s="2514">
        <f t="shared" ref="L50:L51" si="56">+K50</f>
        <v>2740.7013461538463</v>
      </c>
      <c r="M50" s="3622">
        <f t="shared" ref="M50:M51" si="57">+L50</f>
        <v>2740.7013461538463</v>
      </c>
      <c r="N50" s="2515">
        <f t="shared" ref="N50:N51" si="58">+M50</f>
        <v>2740.7013461538463</v>
      </c>
      <c r="O50" s="2515">
        <f t="shared" ref="O50:O51" si="59">+N50</f>
        <v>2740.7013461538463</v>
      </c>
      <c r="P50" s="3627">
        <f t="shared" ref="P50:P51" si="60">+O50</f>
        <v>2740.7013461538463</v>
      </c>
      <c r="Q50" s="2515">
        <f t="shared" ref="Q50:Q51" si="61">+P50</f>
        <v>2740.7013461538463</v>
      </c>
      <c r="R50" s="2514">
        <f t="shared" ref="R50:R51" si="62">+Q50</f>
        <v>2740.7013461538463</v>
      </c>
      <c r="S50" s="3632">
        <f t="shared" si="43"/>
        <v>41577.738423076909</v>
      </c>
      <c r="T50" s="6375">
        <f t="shared" si="44"/>
        <v>1.3853705528178554E-3</v>
      </c>
      <c r="U50" s="6375">
        <f t="shared" si="45"/>
        <v>7.787814245100277E-4</v>
      </c>
      <c r="V50" s="6336">
        <f t="shared" si="46"/>
        <v>4913.0319134615384</v>
      </c>
      <c r="W50" s="6339">
        <f t="shared" si="47"/>
        <v>2740.7013461538463</v>
      </c>
      <c r="X50" s="6341">
        <f t="shared" si="48"/>
        <v>2172.330567307692</v>
      </c>
      <c r="Y50" s="1569"/>
      <c r="Z50" s="4546"/>
      <c r="AA50" s="6355"/>
      <c r="AB50" s="6356"/>
      <c r="AC50" s="4544"/>
      <c r="AD50" s="5"/>
      <c r="AE50" s="5"/>
      <c r="AF50" s="5"/>
      <c r="AG50" s="5"/>
      <c r="AH50" s="5"/>
      <c r="AI50" s="5"/>
      <c r="AJ50" s="1568"/>
      <c r="AK50" s="5"/>
      <c r="AL50" s="1532"/>
      <c r="AM50" s="5"/>
      <c r="AN50" s="5"/>
    </row>
    <row r="51" spans="1:40" s="2509" customFormat="1" ht="19.5" customHeight="1">
      <c r="A51" s="7512"/>
      <c r="B51" s="2510"/>
      <c r="C51" s="3618">
        <v>31</v>
      </c>
      <c r="D51" s="4790" t="s">
        <v>377</v>
      </c>
      <c r="E51" s="4795" t="s">
        <v>1540</v>
      </c>
      <c r="F51" s="4893"/>
      <c r="G51" s="4807">
        <v>8472.6816923076931</v>
      </c>
      <c r="H51" s="5099">
        <v>10220.301961538462</v>
      </c>
      <c r="I51" s="5622">
        <v>10273.897538461539</v>
      </c>
      <c r="J51" s="4807">
        <v>11249.821192307692</v>
      </c>
      <c r="K51" s="5099">
        <v>9556.5349230769225</v>
      </c>
      <c r="L51" s="2514">
        <f t="shared" si="56"/>
        <v>9556.5349230769225</v>
      </c>
      <c r="M51" s="3622">
        <f t="shared" si="57"/>
        <v>9556.5349230769225</v>
      </c>
      <c r="N51" s="2515">
        <f t="shared" si="58"/>
        <v>9556.5349230769225</v>
      </c>
      <c r="O51" s="2515">
        <f t="shared" si="59"/>
        <v>9556.5349230769225</v>
      </c>
      <c r="P51" s="3627">
        <f t="shared" si="60"/>
        <v>9556.5349230769225</v>
      </c>
      <c r="Q51" s="2515">
        <f t="shared" si="61"/>
        <v>9556.5349230769225</v>
      </c>
      <c r="R51" s="2514">
        <f t="shared" si="62"/>
        <v>9556.5349230769225</v>
      </c>
      <c r="S51" s="3632">
        <f t="shared" si="43"/>
        <v>116668.98176923076</v>
      </c>
      <c r="T51" s="6375">
        <f t="shared" si="44"/>
        <v>2.8350637751013031E-3</v>
      </c>
      <c r="U51" s="6375">
        <f t="shared" si="45"/>
        <v>2.7155282319315864E-3</v>
      </c>
      <c r="V51" s="6336">
        <f t="shared" si="46"/>
        <v>10054.175596153847</v>
      </c>
      <c r="W51" s="6339">
        <f t="shared" si="47"/>
        <v>9556.5349230769225</v>
      </c>
      <c r="X51" s="6341">
        <f t="shared" si="48"/>
        <v>497.64067307692494</v>
      </c>
      <c r="Y51" s="1569"/>
      <c r="Z51" s="4546"/>
      <c r="AA51" s="6355"/>
      <c r="AB51" s="6356"/>
      <c r="AC51" s="4544"/>
      <c r="AD51" s="5"/>
      <c r="AE51" s="5"/>
      <c r="AF51" s="5"/>
      <c r="AG51" s="5"/>
      <c r="AH51" s="5"/>
      <c r="AI51" s="5"/>
      <c r="AJ51" s="1568"/>
      <c r="AK51" s="5"/>
      <c r="AL51" s="1532"/>
      <c r="AM51" s="5"/>
      <c r="AN51" s="5"/>
    </row>
    <row r="52" spans="1:40" s="2509" customFormat="1" ht="19.5" customHeight="1">
      <c r="A52" s="7512"/>
      <c r="B52" s="2510"/>
      <c r="C52" s="4912">
        <v>32</v>
      </c>
      <c r="D52" s="4790" t="s">
        <v>1509</v>
      </c>
      <c r="E52" s="4795" t="s">
        <v>1557</v>
      </c>
      <c r="F52" s="4893"/>
      <c r="G52" s="4807">
        <v>4902.4552307692311</v>
      </c>
      <c r="H52" s="5099">
        <v>4071.9849230769232</v>
      </c>
      <c r="I52" s="5622">
        <v>4346.3260769230765</v>
      </c>
      <c r="J52" s="4807">
        <v>4928.641846153846</v>
      </c>
      <c r="K52" s="5099">
        <v>5195.4029615384616</v>
      </c>
      <c r="L52" s="2514">
        <v>5000</v>
      </c>
      <c r="M52" s="3622">
        <v>5000</v>
      </c>
      <c r="N52" s="2515">
        <v>5000</v>
      </c>
      <c r="O52" s="2515">
        <v>5000</v>
      </c>
      <c r="P52" s="3627">
        <v>5000</v>
      </c>
      <c r="Q52" s="2515">
        <v>5000</v>
      </c>
      <c r="R52" s="2514">
        <v>5000</v>
      </c>
      <c r="S52" s="3632">
        <f t="shared" si="43"/>
        <v>58444.811038461536</v>
      </c>
      <c r="T52" s="6375">
        <f t="shared" si="44"/>
        <v>1.286486277793821E-3</v>
      </c>
      <c r="U52" s="6375">
        <f t="shared" si="45"/>
        <v>1.4277108859868603E-3</v>
      </c>
      <c r="V52" s="6336">
        <f t="shared" si="46"/>
        <v>4562.3520192307687</v>
      </c>
      <c r="W52" s="6339">
        <f t="shared" si="47"/>
        <v>5024.425370192308</v>
      </c>
      <c r="X52" s="6341">
        <f t="shared" si="48"/>
        <v>-462.07335096153929</v>
      </c>
      <c r="Y52" s="1569"/>
      <c r="Z52" s="4546"/>
      <c r="AA52" s="6355"/>
      <c r="AB52" s="6356"/>
      <c r="AC52" s="4544"/>
      <c r="AD52" s="5"/>
      <c r="AE52" s="5"/>
      <c r="AF52" s="5"/>
      <c r="AG52" s="5"/>
      <c r="AH52" s="5"/>
      <c r="AI52" s="5"/>
      <c r="AJ52" s="1568"/>
      <c r="AK52" s="5"/>
      <c r="AL52" s="1532"/>
      <c r="AM52" s="5"/>
      <c r="AN52" s="5"/>
    </row>
    <row r="53" spans="1:40" s="2509" customFormat="1" ht="19.5" customHeight="1">
      <c r="A53" s="7512"/>
      <c r="B53" s="2510"/>
      <c r="C53" s="6345">
        <v>33</v>
      </c>
      <c r="D53" s="6346" t="s">
        <v>516</v>
      </c>
      <c r="E53" s="6365" t="s">
        <v>1568</v>
      </c>
      <c r="F53" s="6347" t="s">
        <v>1561</v>
      </c>
      <c r="G53" s="6348">
        <v>43561.063323076924</v>
      </c>
      <c r="H53" s="6349">
        <v>40420.792338461542</v>
      </c>
      <c r="I53" s="6350">
        <v>41677.70440269231</v>
      </c>
      <c r="J53" s="6348">
        <v>56755.040535384622</v>
      </c>
      <c r="K53" s="6349">
        <v>34065.123049999995</v>
      </c>
      <c r="L53" s="6350">
        <f>'2. S Plan'!Q321*2%+'2. S Plan'!Q322*2.2%</f>
        <v>25199.241602960989</v>
      </c>
      <c r="M53" s="6351">
        <f>'2. S Plan'!R321*2%+'2. S Plan'!R322*2.2%</f>
        <v>22969.795931800698</v>
      </c>
      <c r="N53" s="6349">
        <f>'2. S Plan'!S321*2%+'2. S Plan'!S322*2.2%</f>
        <v>16797.96385584971</v>
      </c>
      <c r="O53" s="6349">
        <f>'2. S Plan'!T321*2%+'2. S Plan'!T322*2.2%</f>
        <v>16703.492198080425</v>
      </c>
      <c r="P53" s="6348">
        <f>'2. S Plan'!U321*2%+'2. S Plan'!U322*2.2%</f>
        <v>15626.357115009176</v>
      </c>
      <c r="Q53" s="6349">
        <f>'2. S Plan'!V321*2%+'2. S Plan'!V322*2.2%</f>
        <v>14435.255115009177</v>
      </c>
      <c r="R53" s="6350">
        <f>'2. S Plan'!W321*2%+'2. S Plan'!W322*2.2%</f>
        <v>14578.175475009177</v>
      </c>
      <c r="S53" s="6343">
        <f t="shared" si="43"/>
        <v>342790.00494333473</v>
      </c>
      <c r="T53" s="6376">
        <f t="shared" si="44"/>
        <v>1.2859259848400119E-2</v>
      </c>
      <c r="U53" s="6376">
        <f t="shared" si="45"/>
        <v>5.6964153548893486E-3</v>
      </c>
      <c r="V53" s="6344">
        <f t="shared" si="46"/>
        <v>45603.65014990385</v>
      </c>
      <c r="W53" s="6352">
        <f t="shared" si="47"/>
        <v>20046.925542964917</v>
      </c>
      <c r="X53" s="6354">
        <f t="shared" si="48"/>
        <v>25556.724606938933</v>
      </c>
      <c r="Y53" s="3911" t="s">
        <v>1855</v>
      </c>
      <c r="Z53" s="4546"/>
      <c r="AA53" s="6355"/>
      <c r="AB53" s="6356"/>
      <c r="AC53" s="4544"/>
      <c r="AD53" s="5"/>
      <c r="AE53" s="5"/>
      <c r="AF53" s="5"/>
      <c r="AG53" s="5"/>
      <c r="AH53" s="5"/>
      <c r="AI53" s="5"/>
      <c r="AJ53" s="1568"/>
      <c r="AK53" s="5"/>
      <c r="AL53" s="1532"/>
      <c r="AM53" s="5"/>
      <c r="AN53" s="5"/>
    </row>
    <row r="54" spans="1:40" s="2509" customFormat="1" ht="19.5" customHeight="1">
      <c r="A54" s="7512"/>
      <c r="B54" s="2510"/>
      <c r="C54" s="6353">
        <v>34</v>
      </c>
      <c r="D54" s="6346" t="s">
        <v>378</v>
      </c>
      <c r="E54" s="6365" t="s">
        <v>1562</v>
      </c>
      <c r="F54" s="6347" t="s">
        <v>1561</v>
      </c>
      <c r="G54" s="6348">
        <v>54131.264899999995</v>
      </c>
      <c r="H54" s="6349">
        <v>65976.920053846159</v>
      </c>
      <c r="I54" s="6350">
        <v>66618.488766538459</v>
      </c>
      <c r="J54" s="6348">
        <v>48253.841636923076</v>
      </c>
      <c r="K54" s="6349">
        <v>50854.048573076929</v>
      </c>
      <c r="L54" s="6350">
        <f>'2. S Plan'!Q321*4.6%+'2. S Plan'!Q322*1.2%</f>
        <v>40141.695408128631</v>
      </c>
      <c r="M54" s="6351">
        <f>'2. S Plan'!R321*4.6%+'2. S Plan'!R322*1.2%</f>
        <v>35569.313331300684</v>
      </c>
      <c r="N54" s="6349">
        <f>'2. S Plan'!S321*4.6%+'2. S Plan'!S322*1.2%</f>
        <v>24092.678097210963</v>
      </c>
      <c r="O54" s="6349">
        <f>'2. S Plan'!T321*4.6%+'2. S Plan'!T322*1.2%</f>
        <v>15903.721284341598</v>
      </c>
      <c r="P54" s="6348">
        <f>'2. S Plan'!U321*4.6%+'2. S Plan'!U322*1.2%</f>
        <v>14098.606793277733</v>
      </c>
      <c r="Q54" s="6349">
        <f>'2. S Plan'!V321*4.6%+'2. S Plan'!V322*1.2%</f>
        <v>13448.914793277732</v>
      </c>
      <c r="R54" s="6350">
        <f>'2. S Plan'!W321*4.6%+'2. S Plan'!W322*1.2%</f>
        <v>13526.871353277733</v>
      </c>
      <c r="S54" s="6343">
        <f t="shared" si="43"/>
        <v>442616.36499119957</v>
      </c>
      <c r="T54" s="6376">
        <f t="shared" si="44"/>
        <v>1.6564877462429208E-2</v>
      </c>
      <c r="U54" s="6376">
        <f t="shared" si="45"/>
        <v>7.3750713017380377E-3</v>
      </c>
      <c r="V54" s="6344">
        <f t="shared" si="46"/>
        <v>58745.128839326921</v>
      </c>
      <c r="W54" s="6352">
        <f t="shared" si="47"/>
        <v>25954.481204236501</v>
      </c>
      <c r="X54" s="6354">
        <f t="shared" si="48"/>
        <v>32790.647635090419</v>
      </c>
      <c r="Y54" s="3911" t="s">
        <v>1856</v>
      </c>
      <c r="Z54" s="4546" t="s">
        <v>1917</v>
      </c>
      <c r="AA54" s="6355"/>
      <c r="AB54" s="6356"/>
      <c r="AC54" s="4544"/>
      <c r="AD54" s="5"/>
      <c r="AE54" s="5"/>
      <c r="AF54" s="5"/>
      <c r="AG54" s="5"/>
      <c r="AH54" s="5"/>
      <c r="AI54" s="5"/>
      <c r="AJ54" s="1568"/>
      <c r="AK54" s="5"/>
      <c r="AL54" s="1532"/>
      <c r="AM54" s="5"/>
      <c r="AN54" s="5"/>
    </row>
    <row r="55" spans="1:40" s="2509" customFormat="1" ht="19.5" customHeight="1">
      <c r="A55" s="7512"/>
      <c r="B55" s="2510"/>
      <c r="C55" s="3618">
        <v>35</v>
      </c>
      <c r="D55" s="4790" t="s">
        <v>376</v>
      </c>
      <c r="E55" s="4795" t="s">
        <v>1541</v>
      </c>
      <c r="F55" s="4893"/>
      <c r="G55" s="4807">
        <v>2273.3630384615385</v>
      </c>
      <c r="H55" s="5099">
        <v>3631.2689230769229</v>
      </c>
      <c r="I55" s="5622">
        <v>3247.2722307692306</v>
      </c>
      <c r="J55" s="4807">
        <v>4612.3829615384611</v>
      </c>
      <c r="K55" s="5099">
        <v>3871.7249615384617</v>
      </c>
      <c r="L55" s="2514">
        <f>Utilty_Data!T24</f>
        <v>4329.6240974999992</v>
      </c>
      <c r="M55" s="3622">
        <f>Utilty_Data!U24</f>
        <v>4329.6240974999992</v>
      </c>
      <c r="N55" s="2515">
        <f>Utilty_Data!V24</f>
        <v>4329.6240974999992</v>
      </c>
      <c r="O55" s="2515">
        <f>Utilty_Data!W24</f>
        <v>4040.9824909999988</v>
      </c>
      <c r="P55" s="3627">
        <f>Utilty_Data!X24</f>
        <v>3768.7025349999999</v>
      </c>
      <c r="Q55" s="2515">
        <f>Utilty_Data!Y24</f>
        <v>3768.7025349999999</v>
      </c>
      <c r="R55" s="2514">
        <f>Utilty_Data!Z24</f>
        <v>3768.7025349999999</v>
      </c>
      <c r="S55" s="3632">
        <f>SUM(G55:R55)</f>
        <v>45971.974503884609</v>
      </c>
      <c r="T55" s="6375">
        <f t="shared" si="44"/>
        <v>9.7030909015775684E-4</v>
      </c>
      <c r="U55" s="6375">
        <f t="shared" si="45"/>
        <v>1.1439931547921273E-3</v>
      </c>
      <c r="V55" s="6336">
        <f t="shared" si="46"/>
        <v>3441.0717884615387</v>
      </c>
      <c r="W55" s="6339">
        <f t="shared" si="47"/>
        <v>4025.9609187548076</v>
      </c>
      <c r="X55" s="6341">
        <f t="shared" si="48"/>
        <v>-584.88913029326886</v>
      </c>
      <c r="Y55" s="1569" t="s">
        <v>1858</v>
      </c>
      <c r="Z55" s="4546"/>
      <c r="AA55" s="6355"/>
      <c r="AB55" s="6356"/>
      <c r="AC55" s="4544"/>
      <c r="AD55" s="5"/>
      <c r="AE55" s="5"/>
      <c r="AF55" s="5"/>
      <c r="AG55" s="5"/>
      <c r="AH55" s="5"/>
      <c r="AI55" s="5"/>
      <c r="AJ55" s="1568"/>
      <c r="AK55" s="5"/>
      <c r="AL55" s="1532"/>
      <c r="AM55" s="5"/>
      <c r="AN55" s="5"/>
    </row>
    <row r="56" spans="1:40" s="2509" customFormat="1" ht="19.2" customHeight="1">
      <c r="A56" s="7512"/>
      <c r="B56" s="2510"/>
      <c r="C56" s="4912">
        <v>36</v>
      </c>
      <c r="D56" s="4790" t="s">
        <v>461</v>
      </c>
      <c r="E56" s="4795" t="s">
        <v>1542</v>
      </c>
      <c r="F56" s="4893"/>
      <c r="G56" s="4807">
        <v>10398.846153846154</v>
      </c>
      <c r="H56" s="5099">
        <v>0</v>
      </c>
      <c r="I56" s="5622">
        <v>10140</v>
      </c>
      <c r="J56" s="4807">
        <v>10318.788461538461</v>
      </c>
      <c r="K56" s="5099">
        <v>182.25</v>
      </c>
      <c r="L56" s="2511">
        <f>'9. C Plan'!I10</f>
        <v>0</v>
      </c>
      <c r="M56" s="3623">
        <f>'9. C Plan'!J10</f>
        <v>0</v>
      </c>
      <c r="N56" s="2517">
        <f>'9. C Plan'!K10</f>
        <v>0</v>
      </c>
      <c r="O56" s="2517">
        <f>'9. C Plan'!L10</f>
        <v>0</v>
      </c>
      <c r="P56" s="3628">
        <f>'9. C Plan'!M10</f>
        <v>0</v>
      </c>
      <c r="Q56" s="2517">
        <f>'9. C Plan'!N10</f>
        <v>0</v>
      </c>
      <c r="R56" s="2511">
        <f>'9. C Plan'!O10</f>
        <v>0</v>
      </c>
      <c r="S56" s="3632">
        <f>SUM(G56:R56)</f>
        <v>31039.884615384617</v>
      </c>
      <c r="T56" s="6375">
        <f t="shared" si="44"/>
        <v>2.1752992387773467E-3</v>
      </c>
      <c r="U56" s="6375">
        <f t="shared" si="45"/>
        <v>6.473384760443417E-6</v>
      </c>
      <c r="V56" s="6336">
        <f t="shared" si="46"/>
        <v>7714.4086538461543</v>
      </c>
      <c r="W56" s="6339">
        <f t="shared" si="47"/>
        <v>22.78125</v>
      </c>
      <c r="X56" s="6341">
        <f t="shared" si="48"/>
        <v>7691.6274038461543</v>
      </c>
      <c r="Y56" s="1569" t="s">
        <v>1859</v>
      </c>
      <c r="Z56" s="4546"/>
      <c r="AA56" s="6355"/>
      <c r="AB56" s="6356"/>
      <c r="AC56" s="4544"/>
      <c r="AD56" s="5"/>
      <c r="AE56" s="5"/>
      <c r="AF56" s="5"/>
      <c r="AG56" s="5"/>
      <c r="AH56" s="5"/>
      <c r="AI56" s="5"/>
      <c r="AJ56" s="1568"/>
      <c r="AK56" s="5"/>
      <c r="AL56" s="1532"/>
      <c r="AM56" s="5"/>
      <c r="AN56" s="5"/>
    </row>
    <row r="57" spans="1:40" s="2509" customFormat="1" ht="19.2" customHeight="1">
      <c r="A57" s="7512"/>
      <c r="B57" s="2510"/>
      <c r="C57" s="3618">
        <v>37</v>
      </c>
      <c r="D57" s="4790" t="s">
        <v>379</v>
      </c>
      <c r="E57" s="4795" t="s">
        <v>1543</v>
      </c>
      <c r="F57" s="4893">
        <v>3.0000000000000001E-3</v>
      </c>
      <c r="G57" s="4807">
        <v>19279.561951148888</v>
      </c>
      <c r="H57" s="5099">
        <v>7902.6143406957481</v>
      </c>
      <c r="I57" s="5622">
        <v>15927.601514335416</v>
      </c>
      <c r="J57" s="4807">
        <v>5361.5594956511068</v>
      </c>
      <c r="K57" s="5099">
        <v>10387.781654536313</v>
      </c>
      <c r="L57" s="2514">
        <f t="shared" ref="L57:R57" si="63">L5*0.3%</f>
        <v>11307.653721511837</v>
      </c>
      <c r="M57" s="3622">
        <f t="shared" si="63"/>
        <v>12193.215704147593</v>
      </c>
      <c r="N57" s="2515">
        <f t="shared" si="63"/>
        <v>11333.849171877398</v>
      </c>
      <c r="O57" s="2515">
        <f t="shared" si="63"/>
        <v>9960.6607174278906</v>
      </c>
      <c r="P57" s="3627">
        <f t="shared" si="63"/>
        <v>9600.5494450860551</v>
      </c>
      <c r="Q57" s="2515">
        <f t="shared" si="63"/>
        <v>9469.7684509149531</v>
      </c>
      <c r="R57" s="2514">
        <f t="shared" si="63"/>
        <v>9490.6159217599925</v>
      </c>
      <c r="S57" s="3632">
        <f t="shared" si="43"/>
        <v>132215.4320890932</v>
      </c>
      <c r="T57" s="6375">
        <f t="shared" si="44"/>
        <v>3.4169716651782671E-3</v>
      </c>
      <c r="U57" s="6375">
        <f t="shared" si="45"/>
        <v>2.9745281041042033E-3</v>
      </c>
      <c r="V57" s="6336">
        <f t="shared" si="46"/>
        <v>12117.834325457789</v>
      </c>
      <c r="W57" s="6339">
        <f t="shared" si="47"/>
        <v>10468.011848407754</v>
      </c>
      <c r="X57" s="6341">
        <f t="shared" si="48"/>
        <v>1649.8224770500346</v>
      </c>
      <c r="Y57" s="1569" t="s">
        <v>1860</v>
      </c>
      <c r="Z57" s="4546"/>
      <c r="AA57" s="6355"/>
      <c r="AB57" s="6356"/>
      <c r="AC57" s="4544"/>
      <c r="AD57" s="5"/>
      <c r="AE57" s="5"/>
      <c r="AF57" s="5"/>
      <c r="AG57" s="5"/>
      <c r="AH57" s="5"/>
      <c r="AI57" s="5"/>
      <c r="AJ57" s="1568"/>
      <c r="AK57" s="5"/>
      <c r="AL57" s="1532"/>
      <c r="AM57" s="5"/>
      <c r="AN57" s="5"/>
    </row>
    <row r="58" spans="1:40" s="2509" customFormat="1" ht="19.5" customHeight="1">
      <c r="A58" s="7512"/>
      <c r="B58" s="2510"/>
      <c r="C58" s="4912">
        <v>38</v>
      </c>
      <c r="D58" s="4790" t="s">
        <v>8</v>
      </c>
      <c r="E58" s="4795" t="s">
        <v>1537</v>
      </c>
      <c r="F58" s="4893"/>
      <c r="G58" s="4807">
        <v>11236.376424999999</v>
      </c>
      <c r="H58" s="5099">
        <v>12289.489978076921</v>
      </c>
      <c r="I58" s="5622">
        <v>13057.118536153845</v>
      </c>
      <c r="J58" s="4807">
        <v>13057.118536153845</v>
      </c>
      <c r="K58" s="5099">
        <v>13099.059775</v>
      </c>
      <c r="L58" s="2514">
        <f>'8. I Plan'!M99</f>
        <v>13057.118536153845</v>
      </c>
      <c r="M58" s="3622">
        <f>'8. I Plan'!N99</f>
        <v>13057.118536153845</v>
      </c>
      <c r="N58" s="2515">
        <f>'8. I Plan'!O99</f>
        <v>13057.118536153845</v>
      </c>
      <c r="O58" s="2515">
        <f>'8. I Plan'!P99</f>
        <v>13057.118536153845</v>
      </c>
      <c r="P58" s="3627">
        <f>'8. I Plan'!Q99</f>
        <v>13057.118536153845</v>
      </c>
      <c r="Q58" s="2515">
        <f>'8. I Plan'!R99</f>
        <v>13057.118536153845</v>
      </c>
      <c r="R58" s="2514">
        <f>'8. I Plan'!S99</f>
        <v>13057.118536153845</v>
      </c>
      <c r="S58" s="3632">
        <f t="shared" si="43"/>
        <v>154138.99300346148</v>
      </c>
      <c r="T58" s="6375">
        <f t="shared" si="44"/>
        <v>3.4993634686761275E-3</v>
      </c>
      <c r="U58" s="6375">
        <f t="shared" si="45"/>
        <v>3.711723012094997E-3</v>
      </c>
      <c r="V58" s="6336">
        <f t="shared" si="46"/>
        <v>12410.025868846153</v>
      </c>
      <c r="W58" s="6339">
        <f t="shared" si="47"/>
        <v>13062.361191009612</v>
      </c>
      <c r="X58" s="6341">
        <f t="shared" si="48"/>
        <v>-652.33532216345884</v>
      </c>
      <c r="Y58" s="5"/>
      <c r="Z58" s="4546"/>
      <c r="AA58" s="4034"/>
      <c r="AB58" s="4544"/>
      <c r="AC58" s="4544"/>
      <c r="AD58" s="5"/>
      <c r="AE58" s="5"/>
      <c r="AF58" s="5"/>
      <c r="AG58" s="5"/>
      <c r="AH58" s="5"/>
      <c r="AI58" s="5"/>
      <c r="AJ58" s="1568"/>
      <c r="AK58" s="5"/>
      <c r="AL58" s="1532"/>
      <c r="AM58" s="5"/>
      <c r="AN58" s="5"/>
    </row>
    <row r="59" spans="1:40" s="2509" customFormat="1" ht="19.5" customHeight="1">
      <c r="A59" s="7512"/>
      <c r="B59" s="2510"/>
      <c r="C59" s="3618">
        <v>39</v>
      </c>
      <c r="D59" s="4790" t="s">
        <v>9</v>
      </c>
      <c r="E59" s="4795" t="s">
        <v>1537</v>
      </c>
      <c r="F59" s="4893"/>
      <c r="G59" s="4807">
        <v>2439.7204615384617</v>
      </c>
      <c r="H59" s="5099">
        <v>3502.1585</v>
      </c>
      <c r="I59" s="5622">
        <v>1641.7536153846154</v>
      </c>
      <c r="J59" s="4807">
        <v>2601.3631153846154</v>
      </c>
      <c r="K59" s="5099">
        <v>2786.3223076923077</v>
      </c>
      <c r="L59" s="2514">
        <f>'8. I Plan'!M100</f>
        <v>2601.3631153846154</v>
      </c>
      <c r="M59" s="3622">
        <f>'8. I Plan'!N100</f>
        <v>2601.3631153846154</v>
      </c>
      <c r="N59" s="2515">
        <f>'8. I Plan'!O100</f>
        <v>2601.3631153846154</v>
      </c>
      <c r="O59" s="2515">
        <f>'8. I Plan'!P100</f>
        <v>2601.3631153846154</v>
      </c>
      <c r="P59" s="3627">
        <f>'8. I Plan'!Q100</f>
        <v>2601.3631153846154</v>
      </c>
      <c r="Q59" s="2515">
        <f>'8. I Plan'!R100</f>
        <v>2601.3631153846154</v>
      </c>
      <c r="R59" s="2514">
        <f>'8. I Plan'!S100</f>
        <v>2601.3631153846154</v>
      </c>
      <c r="S59" s="3632">
        <f t="shared" si="43"/>
        <v>31180.859807692304</v>
      </c>
      <c r="T59" s="6375">
        <f t="shared" si="44"/>
        <v>7.1798806527385308E-4</v>
      </c>
      <c r="U59" s="6375">
        <f t="shared" si="45"/>
        <v>7.457575132887328E-4</v>
      </c>
      <c r="V59" s="6336">
        <f t="shared" si="46"/>
        <v>2546.2489230769233</v>
      </c>
      <c r="W59" s="6339">
        <f t="shared" si="47"/>
        <v>2624.4830144230764</v>
      </c>
      <c r="X59" s="6341">
        <f t="shared" si="48"/>
        <v>-78.234091346153036</v>
      </c>
      <c r="Y59" s="5"/>
      <c r="Z59" s="4546"/>
      <c r="AA59" s="4034"/>
      <c r="AB59" s="4544"/>
      <c r="AC59" s="4544"/>
      <c r="AD59" s="5"/>
      <c r="AE59" s="5"/>
      <c r="AF59" s="5"/>
      <c r="AG59" s="5"/>
      <c r="AH59" s="5"/>
      <c r="AI59" s="5"/>
      <c r="AJ59" s="1568"/>
      <c r="AK59" s="5"/>
      <c r="AL59" s="1532"/>
      <c r="AM59" s="5"/>
      <c r="AN59" s="5"/>
    </row>
    <row r="60" spans="1:40" s="2509" customFormat="1" ht="19.5" customHeight="1">
      <c r="A60" s="7512"/>
      <c r="B60" s="2510"/>
      <c r="C60" s="3618">
        <v>40</v>
      </c>
      <c r="D60" s="4790" t="s">
        <v>317</v>
      </c>
      <c r="E60" s="4795" t="s">
        <v>1569</v>
      </c>
      <c r="F60" s="6386">
        <v>2000</v>
      </c>
      <c r="G60" s="4807">
        <v>2110.4423076923076</v>
      </c>
      <c r="H60" s="5099">
        <v>2512.1307692307691</v>
      </c>
      <c r="I60" s="5622">
        <v>2067.2771923076925</v>
      </c>
      <c r="J60" s="4807">
        <v>1350.5107692307693</v>
      </c>
      <c r="K60" s="5099">
        <v>472.6</v>
      </c>
      <c r="L60" s="2514">
        <f t="shared" ref="L60:R60" si="64">$F$60</f>
        <v>2000</v>
      </c>
      <c r="M60" s="3622">
        <f t="shared" si="64"/>
        <v>2000</v>
      </c>
      <c r="N60" s="2515">
        <f t="shared" si="64"/>
        <v>2000</v>
      </c>
      <c r="O60" s="2515">
        <f t="shared" si="64"/>
        <v>2000</v>
      </c>
      <c r="P60" s="3627">
        <f t="shared" si="64"/>
        <v>2000</v>
      </c>
      <c r="Q60" s="2515">
        <f t="shared" si="64"/>
        <v>2000</v>
      </c>
      <c r="R60" s="2514">
        <f t="shared" si="64"/>
        <v>2000</v>
      </c>
      <c r="S60" s="3632">
        <f t="shared" si="43"/>
        <v>22512.961038461537</v>
      </c>
      <c r="T60" s="6375">
        <f t="shared" si="44"/>
        <v>5.6680272044378854E-4</v>
      </c>
      <c r="U60" s="6375">
        <f t="shared" si="45"/>
        <v>5.1405601253219971E-4</v>
      </c>
      <c r="V60" s="6336">
        <f t="shared" si="46"/>
        <v>2010.0902596153846</v>
      </c>
      <c r="W60" s="6339">
        <f t="shared" si="47"/>
        <v>1809.075</v>
      </c>
      <c r="X60" s="6341">
        <f t="shared" si="48"/>
        <v>201.01525961538459</v>
      </c>
      <c r="Y60" s="5"/>
      <c r="Z60" s="4546"/>
      <c r="AA60" s="4034"/>
      <c r="AB60" s="4544"/>
      <c r="AC60" s="4544"/>
      <c r="AD60" s="5"/>
      <c r="AE60" s="5"/>
      <c r="AF60" s="5"/>
      <c r="AG60" s="5"/>
      <c r="AH60" s="5"/>
      <c r="AI60" s="5"/>
      <c r="AJ60" s="1568"/>
      <c r="AK60" s="5"/>
      <c r="AL60" s="1532"/>
      <c r="AM60" s="5"/>
      <c r="AN60" s="5"/>
    </row>
    <row r="61" spans="1:40" s="2509" customFormat="1" ht="19.5" customHeight="1">
      <c r="A61" s="7512"/>
      <c r="B61" s="2510"/>
      <c r="C61" s="4912">
        <v>41</v>
      </c>
      <c r="D61" s="4790" t="s">
        <v>380</v>
      </c>
      <c r="E61" s="4795" t="s">
        <v>1570</v>
      </c>
      <c r="F61" s="6386">
        <v>550</v>
      </c>
      <c r="G61" s="4807">
        <v>546.98111538461535</v>
      </c>
      <c r="H61" s="5099">
        <v>511.83023076923075</v>
      </c>
      <c r="I61" s="5622">
        <v>473.43788461538463</v>
      </c>
      <c r="J61" s="4807">
        <v>473.43788461538463</v>
      </c>
      <c r="K61" s="5099">
        <v>473.43788461538463</v>
      </c>
      <c r="L61" s="2514">
        <f t="shared" ref="L61:R61" si="65">$F$61</f>
        <v>550</v>
      </c>
      <c r="M61" s="3622">
        <f t="shared" si="65"/>
        <v>550</v>
      </c>
      <c r="N61" s="2515">
        <f t="shared" si="65"/>
        <v>550</v>
      </c>
      <c r="O61" s="2515">
        <f t="shared" si="65"/>
        <v>550</v>
      </c>
      <c r="P61" s="3627">
        <f t="shared" si="65"/>
        <v>550</v>
      </c>
      <c r="Q61" s="2515">
        <f t="shared" si="65"/>
        <v>550</v>
      </c>
      <c r="R61" s="2514">
        <f t="shared" si="65"/>
        <v>550</v>
      </c>
      <c r="S61" s="3632">
        <f t="shared" si="43"/>
        <v>6329.125</v>
      </c>
      <c r="T61" s="6375">
        <f t="shared" si="44"/>
        <v>1.4139028184443047E-4</v>
      </c>
      <c r="U61" s="6375">
        <f t="shared" si="45"/>
        <v>1.5356530543206013E-4</v>
      </c>
      <c r="V61" s="6336">
        <f t="shared" si="46"/>
        <v>501.42177884615376</v>
      </c>
      <c r="W61" s="6339">
        <f t="shared" si="47"/>
        <v>540.42973557692312</v>
      </c>
      <c r="X61" s="6341">
        <f t="shared" si="48"/>
        <v>-39.007956730769365</v>
      </c>
      <c r="Y61" s="5"/>
      <c r="Z61" s="4546"/>
      <c r="AA61" s="4034"/>
      <c r="AB61" s="4544"/>
      <c r="AC61" s="4544"/>
      <c r="AD61" s="5"/>
      <c r="AE61" s="5"/>
      <c r="AF61" s="5"/>
      <c r="AG61" s="5"/>
      <c r="AH61" s="5"/>
      <c r="AI61" s="5"/>
      <c r="AJ61" s="1568"/>
      <c r="AK61" s="5"/>
      <c r="AL61" s="1532"/>
      <c r="AM61" s="5"/>
      <c r="AN61" s="5"/>
    </row>
    <row r="62" spans="1:40" s="2509" customFormat="1" ht="19.5" customHeight="1">
      <c r="A62" s="7512"/>
      <c r="B62" s="2510"/>
      <c r="C62" s="3618">
        <v>42</v>
      </c>
      <c r="D62" s="4790" t="s">
        <v>381</v>
      </c>
      <c r="E62" s="4795" t="s">
        <v>1571</v>
      </c>
      <c r="F62" s="6386">
        <v>650</v>
      </c>
      <c r="G62" s="4807">
        <v>634.90384615384619</v>
      </c>
      <c r="H62" s="5099">
        <v>755.19230769230774</v>
      </c>
      <c r="I62" s="5622">
        <v>721.44230769230774</v>
      </c>
      <c r="J62" s="4807">
        <v>786.05769230769226</v>
      </c>
      <c r="K62" s="5099">
        <v>738.67788461538464</v>
      </c>
      <c r="L62" s="2514">
        <f t="shared" ref="L62:R62" si="66">$F$62</f>
        <v>650</v>
      </c>
      <c r="M62" s="3622">
        <f t="shared" si="66"/>
        <v>650</v>
      </c>
      <c r="N62" s="2515">
        <f t="shared" si="66"/>
        <v>650</v>
      </c>
      <c r="O62" s="2515">
        <f t="shared" si="66"/>
        <v>650</v>
      </c>
      <c r="P62" s="3627">
        <f t="shared" si="66"/>
        <v>650</v>
      </c>
      <c r="Q62" s="2515">
        <f t="shared" si="66"/>
        <v>650</v>
      </c>
      <c r="R62" s="2514">
        <f t="shared" si="66"/>
        <v>650</v>
      </c>
      <c r="S62" s="3632">
        <f t="shared" si="43"/>
        <v>8186.274038461539</v>
      </c>
      <c r="T62" s="6375">
        <f t="shared" si="44"/>
        <v>2.0426512875368498E-4</v>
      </c>
      <c r="U62" s="6375">
        <f t="shared" si="45"/>
        <v>1.8784991397071803E-4</v>
      </c>
      <c r="V62" s="6336">
        <f t="shared" si="46"/>
        <v>724.39903846153845</v>
      </c>
      <c r="W62" s="6339">
        <f t="shared" si="47"/>
        <v>661.08473557692309</v>
      </c>
      <c r="X62" s="6341">
        <f t="shared" si="48"/>
        <v>63.314302884615358</v>
      </c>
      <c r="Y62" s="5"/>
      <c r="Z62" s="4546"/>
      <c r="AA62" s="4034"/>
      <c r="AB62" s="4544"/>
      <c r="AC62" s="4544"/>
      <c r="AD62" s="5"/>
      <c r="AE62" s="5"/>
      <c r="AF62" s="5"/>
      <c r="AG62" s="5"/>
      <c r="AH62" s="5"/>
      <c r="AI62" s="5"/>
      <c r="AJ62" s="1568"/>
      <c r="AK62" s="5"/>
      <c r="AL62" s="1532"/>
      <c r="AM62" s="5"/>
      <c r="AN62" s="5"/>
    </row>
    <row r="63" spans="1:40" s="2509" customFormat="1" ht="19.5" customHeight="1">
      <c r="A63" s="7512"/>
      <c r="B63" s="2510"/>
      <c r="C63" s="4912">
        <v>43</v>
      </c>
      <c r="D63" s="4790" t="s">
        <v>812</v>
      </c>
      <c r="E63" s="4795" t="s">
        <v>1544</v>
      </c>
      <c r="F63" s="4893"/>
      <c r="G63" s="4807">
        <v>0</v>
      </c>
      <c r="H63" s="5099">
        <v>0</v>
      </c>
      <c r="I63" s="5622">
        <v>0</v>
      </c>
      <c r="J63" s="4807">
        <v>0</v>
      </c>
      <c r="K63" s="5099">
        <v>0</v>
      </c>
      <c r="L63" s="2514">
        <f>'4. L PLAN'!K40*1.02</f>
        <v>814.84230503710376</v>
      </c>
      <c r="M63" s="3622">
        <f>'4. L PLAN'!L40*1.02</f>
        <v>805.66230503710381</v>
      </c>
      <c r="N63" s="2515">
        <f>'4. L PLAN'!M40*1.02</f>
        <v>794.44230503710378</v>
      </c>
      <c r="O63" s="2515">
        <f>'4. L PLAN'!N40*1.02</f>
        <v>788.32230503710377</v>
      </c>
      <c r="P63" s="3627">
        <f>'4. L PLAN'!O40*1.02</f>
        <v>767.9223050371038</v>
      </c>
      <c r="Q63" s="2515">
        <f>'4. L PLAN'!P40*1.02</f>
        <v>769.96230503710376</v>
      </c>
      <c r="R63" s="2514">
        <f>'4. L PLAN'!Q40*1.02</f>
        <v>763.84230503710376</v>
      </c>
      <c r="S63" s="3632">
        <f t="shared" si="43"/>
        <v>5504.9961352597265</v>
      </c>
      <c r="T63" s="6375">
        <f t="shared" si="44"/>
        <v>0</v>
      </c>
      <c r="U63" s="6375">
        <f t="shared" si="45"/>
        <v>1.9553337771352659E-4</v>
      </c>
      <c r="V63" s="6336">
        <f t="shared" si="46"/>
        <v>0</v>
      </c>
      <c r="W63" s="6339">
        <f t="shared" si="47"/>
        <v>688.12451690746582</v>
      </c>
      <c r="X63" s="6341">
        <f t="shared" si="48"/>
        <v>-688.12451690746582</v>
      </c>
      <c r="Y63" s="5"/>
      <c r="Z63" s="4546"/>
      <c r="AA63" s="4034"/>
      <c r="AB63" s="4544"/>
      <c r="AC63" s="4544"/>
      <c r="AD63" s="5"/>
      <c r="AE63" s="5"/>
      <c r="AF63" s="5"/>
      <c r="AG63" s="5"/>
      <c r="AH63" s="5"/>
      <c r="AI63" s="5"/>
      <c r="AJ63" s="1568"/>
      <c r="AK63" s="5"/>
      <c r="AL63" s="1532"/>
      <c r="AM63" s="5"/>
      <c r="AN63" s="5"/>
    </row>
    <row r="64" spans="1:40" s="2509" customFormat="1" ht="19.5" customHeight="1">
      <c r="A64" s="7512"/>
      <c r="B64" s="2510"/>
      <c r="C64" s="3618">
        <v>44</v>
      </c>
      <c r="D64" s="4790" t="s">
        <v>1351</v>
      </c>
      <c r="E64" s="4795" t="s">
        <v>1545</v>
      </c>
      <c r="F64" s="4893"/>
      <c r="G64" s="4807">
        <v>2339.1541538461538</v>
      </c>
      <c r="H64" s="5099">
        <v>2339.1541538461538</v>
      </c>
      <c r="I64" s="5622">
        <v>2339.1541538461538</v>
      </c>
      <c r="J64" s="4807">
        <v>2663.064423076923</v>
      </c>
      <c r="K64" s="5099">
        <v>2663.064423076923</v>
      </c>
      <c r="L64" s="2514">
        <f t="shared" ref="L64:R64" si="67">K64</f>
        <v>2663.064423076923</v>
      </c>
      <c r="M64" s="3622">
        <f t="shared" si="67"/>
        <v>2663.064423076923</v>
      </c>
      <c r="N64" s="2515">
        <f t="shared" si="67"/>
        <v>2663.064423076923</v>
      </c>
      <c r="O64" s="2515">
        <f t="shared" si="67"/>
        <v>2663.064423076923</v>
      </c>
      <c r="P64" s="3627">
        <f t="shared" si="67"/>
        <v>2663.064423076923</v>
      </c>
      <c r="Q64" s="2515">
        <f t="shared" si="67"/>
        <v>2663.064423076923</v>
      </c>
      <c r="R64" s="2514">
        <f t="shared" si="67"/>
        <v>2663.064423076923</v>
      </c>
      <c r="S64" s="3632">
        <f t="shared" si="43"/>
        <v>30985.042269230777</v>
      </c>
      <c r="T64" s="6375">
        <f t="shared" si="44"/>
        <v>6.824256954733862E-4</v>
      </c>
      <c r="U64" s="6375">
        <f t="shared" si="45"/>
        <v>7.567205773355367E-4</v>
      </c>
      <c r="V64" s="6336">
        <f t="shared" si="46"/>
        <v>2420.1317211538462</v>
      </c>
      <c r="W64" s="6339">
        <f t="shared" si="47"/>
        <v>2663.064423076923</v>
      </c>
      <c r="X64" s="6341">
        <f t="shared" si="48"/>
        <v>-242.93270192307682</v>
      </c>
      <c r="Y64" s="5"/>
      <c r="Z64" s="4546"/>
      <c r="AA64" s="4034"/>
      <c r="AB64" s="4544"/>
      <c r="AC64" s="4544"/>
      <c r="AD64" s="5"/>
      <c r="AE64" s="5"/>
      <c r="AF64" s="5"/>
      <c r="AG64" s="5"/>
      <c r="AH64" s="5"/>
      <c r="AI64" s="5"/>
      <c r="AJ64" s="1568"/>
      <c r="AK64" s="5"/>
      <c r="AL64" s="1532"/>
      <c r="AM64" s="5"/>
      <c r="AN64" s="5"/>
    </row>
    <row r="65" spans="1:40" s="2509" customFormat="1" ht="19.5" customHeight="1">
      <c r="A65" s="7512"/>
      <c r="B65" s="2510"/>
      <c r="C65" s="4912">
        <v>45</v>
      </c>
      <c r="D65" s="4790" t="s">
        <v>316</v>
      </c>
      <c r="E65" s="4795" t="s">
        <v>1572</v>
      </c>
      <c r="F65" s="4893"/>
      <c r="G65" s="4807">
        <v>1708.1549538461541</v>
      </c>
      <c r="H65" s="5099">
        <v>1848.9886711538459</v>
      </c>
      <c r="I65" s="5622">
        <v>1927.2266919230769</v>
      </c>
      <c r="J65" s="4807">
        <v>1962.3210807692305</v>
      </c>
      <c r="K65" s="5099">
        <v>1730.8711538461539</v>
      </c>
      <c r="L65" s="2514">
        <v>1693.1816173242348</v>
      </c>
      <c r="M65" s="3622">
        <v>1693.1816173242348</v>
      </c>
      <c r="N65" s="2515">
        <v>1693.1816173242348</v>
      </c>
      <c r="O65" s="2515">
        <v>1693.1816173242348</v>
      </c>
      <c r="P65" s="3627">
        <v>1693.1816173242348</v>
      </c>
      <c r="Q65" s="2515">
        <v>1693.1816173242348</v>
      </c>
      <c r="R65" s="2514">
        <v>1693.1816173242348</v>
      </c>
      <c r="S65" s="3632">
        <f t="shared" si="43"/>
        <v>21029.8338728081</v>
      </c>
      <c r="T65" s="6375">
        <f t="shared" si="44"/>
        <v>5.2495216599439875E-4</v>
      </c>
      <c r="U65" s="6375">
        <f t="shared" si="45"/>
        <v>4.8246314127487681E-4</v>
      </c>
      <c r="V65" s="6336">
        <f t="shared" si="46"/>
        <v>1861.6728494230767</v>
      </c>
      <c r="W65" s="6339">
        <f t="shared" si="47"/>
        <v>1697.8928093894749</v>
      </c>
      <c r="X65" s="6341">
        <f t="shared" si="48"/>
        <v>163.78004003360184</v>
      </c>
      <c r="Y65" s="5"/>
      <c r="Z65" s="4546"/>
      <c r="AA65" s="4034"/>
      <c r="AB65" s="4544"/>
      <c r="AC65" s="4544"/>
      <c r="AD65" s="5"/>
      <c r="AE65" s="5"/>
      <c r="AF65" s="5"/>
      <c r="AG65" s="5"/>
      <c r="AH65" s="5"/>
      <c r="AI65" s="5"/>
      <c r="AJ65" s="1568"/>
      <c r="AK65" s="5"/>
      <c r="AL65" s="1532"/>
      <c r="AM65" s="5"/>
      <c r="AN65" s="5"/>
    </row>
    <row r="66" spans="1:40" s="2509" customFormat="1" ht="19.5" customHeight="1">
      <c r="A66" s="7512"/>
      <c r="B66" s="2510"/>
      <c r="C66" s="3618">
        <v>46</v>
      </c>
      <c r="D66" s="4790" t="s">
        <v>1170</v>
      </c>
      <c r="E66" s="4940" t="s">
        <v>1574</v>
      </c>
      <c r="F66" s="4893">
        <v>2.7000000000000001E-3</v>
      </c>
      <c r="G66" s="4807">
        <v>8950.1866957532238</v>
      </c>
      <c r="H66" s="5099">
        <v>6321.8935000000001</v>
      </c>
      <c r="I66" s="5622">
        <v>12540.870538461539</v>
      </c>
      <c r="J66" s="4807">
        <v>8091.4282115384613</v>
      </c>
      <c r="K66" s="5099">
        <v>8410.5655769230762</v>
      </c>
      <c r="L66" s="2514">
        <f t="shared" ref="L66:R66" si="68">L5*0.27%</f>
        <v>10176.888349360654</v>
      </c>
      <c r="M66" s="3622">
        <f t="shared" si="68"/>
        <v>10973.894133732834</v>
      </c>
      <c r="N66" s="2515">
        <f t="shared" si="68"/>
        <v>10200.464254689659</v>
      </c>
      <c r="O66" s="2515">
        <f t="shared" si="68"/>
        <v>8964.5946456851016</v>
      </c>
      <c r="P66" s="3627">
        <f t="shared" si="68"/>
        <v>8640.4945005774498</v>
      </c>
      <c r="Q66" s="2515">
        <f t="shared" si="68"/>
        <v>8522.7916058234587</v>
      </c>
      <c r="R66" s="2514">
        <f t="shared" si="68"/>
        <v>8541.5543295839925</v>
      </c>
      <c r="S66" s="3632">
        <f t="shared" si="43"/>
        <v>110335.62634212946</v>
      </c>
      <c r="T66" s="6375">
        <f t="shared" si="44"/>
        <v>2.5310678917213852E-3</v>
      </c>
      <c r="U66" s="6375">
        <f t="shared" si="45"/>
        <v>2.6437426754265876E-3</v>
      </c>
      <c r="V66" s="6336">
        <f t="shared" si="46"/>
        <v>8976.0947364383064</v>
      </c>
      <c r="W66" s="6339">
        <f t="shared" si="47"/>
        <v>9303.9059245470271</v>
      </c>
      <c r="X66" s="6341">
        <f t="shared" si="48"/>
        <v>-327.81118810872067</v>
      </c>
      <c r="Y66" s="5"/>
      <c r="Z66" s="4546"/>
      <c r="AA66" s="4034"/>
      <c r="AB66" s="4544"/>
      <c r="AC66" s="4544"/>
      <c r="AD66" s="5"/>
      <c r="AE66" s="5"/>
      <c r="AF66" s="5"/>
      <c r="AG66" s="5"/>
      <c r="AH66" s="5"/>
      <c r="AI66" s="5"/>
      <c r="AJ66" s="1568"/>
      <c r="AK66" s="5"/>
      <c r="AL66" s="1532"/>
      <c r="AM66" s="5"/>
      <c r="AN66" s="5"/>
    </row>
    <row r="67" spans="1:40" s="2509" customFormat="1" ht="19.5" customHeight="1" thickBot="1">
      <c r="A67" s="7513"/>
      <c r="B67" s="2520"/>
      <c r="C67" s="4913">
        <v>47</v>
      </c>
      <c r="D67" s="4941" t="s">
        <v>517</v>
      </c>
      <c r="E67" s="4796" t="s">
        <v>1573</v>
      </c>
      <c r="F67" s="4894">
        <v>4.7999999999999996E-3</v>
      </c>
      <c r="G67" s="4808">
        <f>11632.2594811538+30.69</f>
        <v>11662.949481153801</v>
      </c>
      <c r="H67" s="5100">
        <v>19232.238489277421</v>
      </c>
      <c r="I67" s="5623">
        <f>16580.4026346154+1153.85</f>
        <v>17734.252634615397</v>
      </c>
      <c r="J67" s="4808">
        <v>20544.425861738062</v>
      </c>
      <c r="K67" s="5100">
        <v>17993.518442644774</v>
      </c>
      <c r="L67" s="2521">
        <f t="shared" ref="L67:R67" si="69">L5*0.48%</f>
        <v>18092.245954418937</v>
      </c>
      <c r="M67" s="3624">
        <f t="shared" si="69"/>
        <v>19509.145126636147</v>
      </c>
      <c r="N67" s="2522">
        <f t="shared" si="69"/>
        <v>18134.158675003837</v>
      </c>
      <c r="O67" s="2522">
        <f t="shared" si="69"/>
        <v>15937.057147884623</v>
      </c>
      <c r="P67" s="3629">
        <f t="shared" si="69"/>
        <v>15360.879112137685</v>
      </c>
      <c r="Q67" s="2522">
        <f t="shared" si="69"/>
        <v>15151.629521463925</v>
      </c>
      <c r="R67" s="2521">
        <f t="shared" si="69"/>
        <v>15184.985474815985</v>
      </c>
      <c r="S67" s="3633">
        <f t="shared" si="43"/>
        <v>204537.48592179059</v>
      </c>
      <c r="T67" s="6377">
        <f t="shared" si="44"/>
        <v>4.8763899418739348E-3</v>
      </c>
      <c r="U67" s="6377">
        <f t="shared" si="45"/>
        <v>4.8080153157667891E-3</v>
      </c>
      <c r="V67" s="6336">
        <f t="shared" si="46"/>
        <v>17293.466616696169</v>
      </c>
      <c r="W67" s="6339">
        <f t="shared" si="47"/>
        <v>16920.452431875739</v>
      </c>
      <c r="X67" s="6341">
        <f t="shared" si="48"/>
        <v>373.01418482042936</v>
      </c>
      <c r="Y67" s="5"/>
      <c r="Z67" s="4546"/>
      <c r="AA67" s="4034"/>
      <c r="AB67" s="4544"/>
      <c r="AC67" s="4544"/>
      <c r="AD67" s="5"/>
      <c r="AE67" s="5"/>
      <c r="AF67" s="5"/>
      <c r="AG67" s="5"/>
      <c r="AH67" s="5"/>
      <c r="AI67" s="5"/>
      <c r="AJ67" s="1568"/>
      <c r="AK67" s="5"/>
      <c r="AL67" s="1532"/>
      <c r="AM67" s="5"/>
      <c r="AN67" s="5"/>
    </row>
    <row r="68" spans="1:40" ht="19.5" customHeight="1" thickBot="1">
      <c r="A68" s="2524"/>
      <c r="B68" s="7090" t="s">
        <v>15</v>
      </c>
      <c r="C68" s="7090"/>
      <c r="D68" s="7090"/>
      <c r="E68" s="2385"/>
      <c r="F68" s="4895"/>
      <c r="G68" s="4676">
        <f t="shared" ref="G68:S68" si="70">SUM(G45:G67)</f>
        <v>418828.00109036366</v>
      </c>
      <c r="H68" s="5112">
        <f t="shared" si="70"/>
        <v>393380.95633305016</v>
      </c>
      <c r="I68" s="5624">
        <f t="shared" si="70"/>
        <v>416650.50958472013</v>
      </c>
      <c r="J68" s="5434">
        <f t="shared" si="70"/>
        <v>430542.6272812353</v>
      </c>
      <c r="K68" s="2525">
        <f t="shared" si="70"/>
        <v>384788.43584141188</v>
      </c>
      <c r="L68" s="2526">
        <f t="shared" si="70"/>
        <v>404499.26797911798</v>
      </c>
      <c r="M68" s="3625">
        <f t="shared" si="70"/>
        <v>392496.05125988001</v>
      </c>
      <c r="N68" s="2528">
        <f t="shared" si="70"/>
        <v>363544.70724441513</v>
      </c>
      <c r="O68" s="2530">
        <f t="shared" si="70"/>
        <v>349803.59457751882</v>
      </c>
      <c r="P68" s="2527">
        <f t="shared" si="70"/>
        <v>326883.6173701908</v>
      </c>
      <c r="Q68" s="2528">
        <f t="shared" si="70"/>
        <v>324095.75032325444</v>
      </c>
      <c r="R68" s="2529">
        <f t="shared" si="70"/>
        <v>335568.62893884938</v>
      </c>
      <c r="S68" s="2294">
        <f t="shared" si="70"/>
        <v>4541082.147824008</v>
      </c>
      <c r="T68" s="6378">
        <f t="shared" si="44"/>
        <v>0.1169790282866828</v>
      </c>
      <c r="U68" s="6378">
        <f t="shared" si="45"/>
        <v>0.10235513713593909</v>
      </c>
      <c r="V68" s="6337">
        <f t="shared" si="46"/>
        <v>414850.5235723423</v>
      </c>
      <c r="W68" s="6340">
        <f t="shared" si="47"/>
        <v>360210.00669182983</v>
      </c>
      <c r="X68" s="6342">
        <f>V68-W68</f>
        <v>54640.51688051247</v>
      </c>
      <c r="Z68" s="4546"/>
      <c r="AJ68" s="1568"/>
      <c r="AL68" s="1532"/>
    </row>
    <row r="69" spans="1:40" ht="19.5" customHeight="1" thickBot="1">
      <c r="A69" s="7514" t="s">
        <v>192</v>
      </c>
      <c r="B69" s="7515"/>
      <c r="C69" s="7515"/>
      <c r="D69" s="7515"/>
      <c r="E69" s="4797"/>
      <c r="F69" s="4896"/>
      <c r="G69" s="4996">
        <f t="shared" ref="G69:R69" si="71">G68/G5</f>
        <v>0.11475905649430217</v>
      </c>
      <c r="H69" s="5113">
        <f t="shared" si="71"/>
        <v>0.1251447669775721</v>
      </c>
      <c r="I69" s="5625">
        <f t="shared" si="71"/>
        <v>0.10169372293429671</v>
      </c>
      <c r="J69" s="4996">
        <f t="shared" si="71"/>
        <v>0.13065279796186177</v>
      </c>
      <c r="K69" s="4991">
        <f t="shared" si="71"/>
        <v>0.10395088497134586</v>
      </c>
      <c r="L69" s="4991">
        <f t="shared" si="71"/>
        <v>0.10731649852601861</v>
      </c>
      <c r="M69" s="4992">
        <f t="shared" si="71"/>
        <v>9.6569123547868549E-2</v>
      </c>
      <c r="N69" s="4993">
        <f t="shared" si="71"/>
        <v>9.6228042670571987E-2</v>
      </c>
      <c r="O69" s="4994">
        <f t="shared" si="71"/>
        <v>0.10535553950717663</v>
      </c>
      <c r="P69" s="4992">
        <f t="shared" si="71"/>
        <v>0.10214528425896591</v>
      </c>
      <c r="Q69" s="4993">
        <f t="shared" si="71"/>
        <v>0.10267275868564901</v>
      </c>
      <c r="R69" s="4995">
        <f t="shared" si="71"/>
        <v>0.10607382019415439</v>
      </c>
      <c r="S69" s="3634">
        <f>AVERAGE(H69:R69)</f>
        <v>0.10707302183958922</v>
      </c>
      <c r="T69" s="3634"/>
      <c r="U69" s="3634"/>
      <c r="V69" s="1637"/>
      <c r="W69" s="1568"/>
      <c r="Z69" s="4546"/>
      <c r="AJ69" s="1568"/>
      <c r="AL69" s="1532"/>
    </row>
    <row r="70" spans="1:40" ht="15.6">
      <c r="A70" s="2531"/>
      <c r="G70" s="4567"/>
      <c r="H70" s="4567"/>
      <c r="I70" s="5626"/>
      <c r="J70" s="2532"/>
      <c r="K70" s="3377"/>
      <c r="L70" s="2532"/>
      <c r="M70" s="2533"/>
      <c r="N70" s="2533"/>
      <c r="O70" s="2533"/>
      <c r="P70" s="2533"/>
      <c r="Q70" s="2533"/>
      <c r="R70" s="2533"/>
      <c r="S70" s="1533" t="b">
        <f>ROUND(S68,0)=ROUND(SUM(G68:R68),0)</f>
        <v>1</v>
      </c>
      <c r="T70" s="1533"/>
      <c r="U70" s="1533"/>
      <c r="V70" s="1637"/>
      <c r="W70" s="1568"/>
      <c r="Z70" s="4546"/>
      <c r="AJ70" s="1568"/>
      <c r="AL70" s="1532"/>
    </row>
    <row r="71" spans="1:40" ht="19.5" customHeight="1" thickBot="1">
      <c r="A71" s="1538" t="s">
        <v>535</v>
      </c>
      <c r="G71" s="4568"/>
      <c r="M71" s="1533"/>
      <c r="N71" s="1533"/>
      <c r="O71" s="1533"/>
      <c r="P71" s="1533"/>
      <c r="Q71" s="1533"/>
      <c r="R71" s="1533"/>
      <c r="S71" s="1785" t="s">
        <v>86</v>
      </c>
      <c r="T71" s="1785"/>
      <c r="U71" s="1785"/>
      <c r="V71" s="1637"/>
      <c r="W71" s="1568"/>
      <c r="Z71" s="4546"/>
      <c r="AJ71" s="1568"/>
      <c r="AL71" s="1532"/>
    </row>
    <row r="72" spans="1:40" s="1528" customFormat="1" ht="19.5" customHeight="1" thickBot="1">
      <c r="A72" s="1539" t="s">
        <v>116</v>
      </c>
      <c r="B72" s="2385" t="s">
        <v>115</v>
      </c>
      <c r="C72" s="74" t="s">
        <v>1011</v>
      </c>
      <c r="D72" s="2386" t="s">
        <v>30</v>
      </c>
      <c r="E72" s="2387"/>
      <c r="F72" s="4891"/>
      <c r="G72" s="4490" t="str">
        <f t="shared" ref="G72:S72" si="72">G44</f>
        <v>Jan.26</v>
      </c>
      <c r="H72" s="5005" t="str">
        <f t="shared" si="72"/>
        <v>Feb.26</v>
      </c>
      <c r="I72" s="5494" t="str">
        <f t="shared" si="72"/>
        <v>Mar.26</v>
      </c>
      <c r="J72" s="4490" t="str">
        <f t="shared" si="72"/>
        <v>Apr.26</v>
      </c>
      <c r="K72" s="5005" t="str">
        <f t="shared" si="72"/>
        <v>May.26</v>
      </c>
      <c r="L72" s="74" t="str">
        <f t="shared" si="72"/>
        <v>Jun.26</v>
      </c>
      <c r="M72" s="1539" t="str">
        <f t="shared" si="72"/>
        <v>Jul.26</v>
      </c>
      <c r="N72" s="74" t="str">
        <f t="shared" si="72"/>
        <v>Aug.26</v>
      </c>
      <c r="O72" s="1540" t="str">
        <f t="shared" si="72"/>
        <v>Sep.26</v>
      </c>
      <c r="P72" s="1539" t="str">
        <f t="shared" si="72"/>
        <v>Oct.26</v>
      </c>
      <c r="Q72" s="74" t="str">
        <f t="shared" si="72"/>
        <v>Nov.26</v>
      </c>
      <c r="R72" s="1540" t="str">
        <f t="shared" si="72"/>
        <v>Dec.26</v>
      </c>
      <c r="S72" s="2534" t="str">
        <f t="shared" si="72"/>
        <v>2026
Total</v>
      </c>
      <c r="T72" s="2534"/>
      <c r="U72" s="2534"/>
      <c r="V72" s="1637"/>
      <c r="W72" s="1568"/>
      <c r="X72" s="5"/>
      <c r="Y72" s="5"/>
      <c r="Z72" s="4546"/>
      <c r="AA72" s="4034"/>
      <c r="AB72" s="4544"/>
      <c r="AC72" s="4544"/>
      <c r="AD72" s="5"/>
      <c r="AE72" s="5"/>
      <c r="AF72" s="5"/>
      <c r="AG72" s="5"/>
      <c r="AH72" s="5"/>
      <c r="AI72" s="5"/>
      <c r="AJ72" s="1568"/>
      <c r="AK72" s="5"/>
      <c r="AL72" s="1532"/>
      <c r="AM72" s="5"/>
      <c r="AN72" s="5"/>
    </row>
    <row r="73" spans="1:40" ht="19.5" customHeight="1">
      <c r="A73" s="7520" t="s">
        <v>536</v>
      </c>
      <c r="B73" s="7521"/>
      <c r="C73" s="3618">
        <v>49</v>
      </c>
      <c r="D73" s="2535" t="s">
        <v>1039</v>
      </c>
      <c r="E73" s="4798"/>
      <c r="F73" s="4897"/>
      <c r="G73" s="4569">
        <v>42124</v>
      </c>
      <c r="H73" s="5053">
        <v>48199.069318301415</v>
      </c>
      <c r="I73" s="5627">
        <v>39104.011396288937</v>
      </c>
      <c r="J73" s="6152">
        <v>45080.469877387688</v>
      </c>
      <c r="K73" s="5053">
        <v>46747.927909255661</v>
      </c>
      <c r="L73" s="2537">
        <f>+K73</f>
        <v>46747.927909255661</v>
      </c>
      <c r="M73" s="2536">
        <f t="shared" ref="M73" si="73">+L73</f>
        <v>46747.927909255661</v>
      </c>
      <c r="N73" s="2537">
        <f t="shared" ref="N73" si="74">+M73</f>
        <v>46747.927909255661</v>
      </c>
      <c r="O73" s="2538">
        <f t="shared" ref="O73" si="75">+N73</f>
        <v>46747.927909255661</v>
      </c>
      <c r="P73" s="2536">
        <f t="shared" ref="P73" si="76">+O73</f>
        <v>46747.927909255661</v>
      </c>
      <c r="Q73" s="2537">
        <f t="shared" ref="Q73" si="77">+P73</f>
        <v>46747.927909255661</v>
      </c>
      <c r="R73" s="2538">
        <f t="shared" ref="R73" si="78">+Q73</f>
        <v>46747.927909255661</v>
      </c>
      <c r="S73" s="2516">
        <f>SUM(G73:R73)</f>
        <v>548490.97386602336</v>
      </c>
      <c r="T73" s="6379">
        <f t="shared" ref="T73:T76" si="79">SUM(G73:J73)/SUM($G$5:$J$5)</f>
        <v>1.2301854847110341E-2</v>
      </c>
      <c r="U73" s="6379">
        <f t="shared" ref="U73:U76" si="80">SUM(K73:R73)/SUM($K$5:$R$5)</f>
        <v>1.3283613678357557E-2</v>
      </c>
      <c r="V73" s="1637"/>
      <c r="W73" s="1568"/>
      <c r="Z73" s="4546"/>
      <c r="AJ73" s="1568"/>
      <c r="AL73" s="1532"/>
    </row>
    <row r="74" spans="1:40" ht="19.5" customHeight="1">
      <c r="A74" s="7522"/>
      <c r="B74" s="7523"/>
      <c r="C74" s="3618">
        <v>50</v>
      </c>
      <c r="D74" s="1616" t="s">
        <v>1310</v>
      </c>
      <c r="E74" s="77"/>
      <c r="F74" s="4898"/>
      <c r="G74" s="4551">
        <v>383.29615384615386</v>
      </c>
      <c r="H74" s="5006">
        <v>383.29615384615386</v>
      </c>
      <c r="I74" s="5498">
        <v>383.29615384615386</v>
      </c>
      <c r="J74" s="5073">
        <v>383.29615384615386</v>
      </c>
      <c r="K74" s="5006">
        <v>383.29615384615386</v>
      </c>
      <c r="L74" s="1554">
        <v>383.29615384615386</v>
      </c>
      <c r="M74" s="1553">
        <v>383.29615384615386</v>
      </c>
      <c r="N74" s="1554">
        <v>383.29615384615386</v>
      </c>
      <c r="O74" s="1555">
        <v>383.29615384615386</v>
      </c>
      <c r="P74" s="1553">
        <v>383.29615384615386</v>
      </c>
      <c r="Q74" s="1554">
        <v>383.29615384615386</v>
      </c>
      <c r="R74" s="1555">
        <v>383.29615384615386</v>
      </c>
      <c r="S74" s="2539">
        <f>SUM(G74:R74)</f>
        <v>4599.5538461538472</v>
      </c>
      <c r="T74" s="6380">
        <f t="shared" si="79"/>
        <v>1.080813668423082E-4</v>
      </c>
      <c r="U74" s="6380">
        <f t="shared" si="80"/>
        <v>1.0891515966175113E-4</v>
      </c>
      <c r="V74" s="1637"/>
      <c r="W74" s="1568"/>
      <c r="Z74" s="4546"/>
      <c r="AJ74" s="1568"/>
      <c r="AL74" s="1532"/>
    </row>
    <row r="75" spans="1:40" ht="19.5" customHeight="1" thickBot="1">
      <c r="A75" s="7524"/>
      <c r="B75" s="7525"/>
      <c r="C75" s="3618">
        <v>51</v>
      </c>
      <c r="D75" s="4803" t="s">
        <v>1040</v>
      </c>
      <c r="E75" s="4799"/>
      <c r="F75" s="4899"/>
      <c r="G75" s="4570">
        <f>+'12. FA Loan'!L51+'12. FA Loan'!L25</f>
        <v>34943.417046632254</v>
      </c>
      <c r="H75" s="5114">
        <f>+'12. FA Loan'!M51</f>
        <v>14473.634527852431</v>
      </c>
      <c r="I75" s="5628">
        <f>+'12. FA Loan'!N51</f>
        <v>13401.786871787968</v>
      </c>
      <c r="J75" s="6153">
        <f>+'12. FA Loan'!O51</f>
        <v>13222.233968766157</v>
      </c>
      <c r="K75" s="5114">
        <v>13408.681065744344</v>
      </c>
      <c r="L75" s="3161">
        <f>+'12. FA Loan'!Q51</f>
        <v>11406.128162722533</v>
      </c>
      <c r="M75" s="3163">
        <f>+'12. FA Loan'!R51</f>
        <v>8113.6343843262366</v>
      </c>
      <c r="N75" s="3161">
        <f>+'12. FA Loan'!S51</f>
        <v>7875.455070761137</v>
      </c>
      <c r="O75" s="3162">
        <f>+'12. FA Loan'!T51</f>
        <v>7637.2757571960356</v>
      </c>
      <c r="P75" s="3163">
        <f>+'12. FA Loan'!U51</f>
        <v>5620.2932134932407</v>
      </c>
      <c r="Q75" s="3161">
        <f>+'12. FA Loan'!V51</f>
        <v>5419.6582507640323</v>
      </c>
      <c r="R75" s="3162">
        <f>+'12. FA Loan'!W51</f>
        <v>4733.2392269819456</v>
      </c>
      <c r="S75" s="2523">
        <f>SUM(G75:R75)</f>
        <v>140255.4375470283</v>
      </c>
      <c r="T75" s="6381">
        <f t="shared" si="79"/>
        <v>5.3604914635218964E-3</v>
      </c>
      <c r="U75" s="6381">
        <f t="shared" si="80"/>
        <v>2.2808465988859807E-3</v>
      </c>
      <c r="V75" s="1637"/>
      <c r="W75" s="1568"/>
      <c r="Z75" s="4546"/>
      <c r="AJ75" s="1568"/>
      <c r="AL75" s="1532"/>
    </row>
    <row r="76" spans="1:40" ht="19.5" customHeight="1" thickBot="1">
      <c r="A76" s="2540"/>
      <c r="B76" s="7090" t="s">
        <v>15</v>
      </c>
      <c r="C76" s="7090"/>
      <c r="D76" s="7090"/>
      <c r="E76" s="2385"/>
      <c r="F76" s="4895"/>
      <c r="G76" s="3952">
        <f t="shared" ref="G76:K76" si="81">SUM(G73:G75)</f>
        <v>77450.713200478407</v>
      </c>
      <c r="H76" s="5012">
        <f t="shared" si="81"/>
        <v>63056</v>
      </c>
      <c r="I76" s="5505">
        <f t="shared" si="81"/>
        <v>52889.094421923059</v>
      </c>
      <c r="J76" s="5663">
        <f t="shared" si="81"/>
        <v>58686</v>
      </c>
      <c r="K76" s="5012">
        <f t="shared" si="81"/>
        <v>60539.905128846156</v>
      </c>
      <c r="L76" s="1605">
        <f t="shared" ref="L76:S76" si="82">SUM(L73:L75)</f>
        <v>58537.352225824347</v>
      </c>
      <c r="M76" s="1604">
        <f t="shared" si="82"/>
        <v>55244.858447428051</v>
      </c>
      <c r="N76" s="1605">
        <f t="shared" si="82"/>
        <v>55006.679133862948</v>
      </c>
      <c r="O76" s="1606">
        <f t="shared" si="82"/>
        <v>54768.499820297846</v>
      </c>
      <c r="P76" s="1604">
        <f t="shared" si="82"/>
        <v>52751.517276595056</v>
      </c>
      <c r="Q76" s="1605">
        <f t="shared" si="82"/>
        <v>52550.882313865848</v>
      </c>
      <c r="R76" s="1606">
        <f t="shared" si="82"/>
        <v>51864.463290083761</v>
      </c>
      <c r="S76" s="1777">
        <f t="shared" si="82"/>
        <v>693345.96525920555</v>
      </c>
      <c r="T76" s="6382">
        <f t="shared" si="79"/>
        <v>1.7770427677474544E-2</v>
      </c>
      <c r="U76" s="6382">
        <f t="shared" si="80"/>
        <v>1.5673375436905286E-2</v>
      </c>
      <c r="V76" s="1637"/>
      <c r="W76" s="1568"/>
      <c r="Z76" s="4546"/>
      <c r="AJ76" s="1568"/>
      <c r="AL76" s="1532"/>
    </row>
    <row r="77" spans="1:40" s="1618" customFormat="1" ht="19.5" customHeight="1" thickBot="1">
      <c r="A77" s="3252"/>
      <c r="B77" s="3253"/>
      <c r="C77" s="3619"/>
      <c r="D77" s="3253"/>
      <c r="E77" s="3253"/>
      <c r="F77" s="4900"/>
      <c r="G77" s="4571"/>
      <c r="H77" s="4571"/>
      <c r="I77" s="4571"/>
      <c r="J77" s="4571"/>
      <c r="K77" s="4571"/>
      <c r="L77" s="2136"/>
      <c r="M77" s="2136"/>
      <c r="N77" s="2136"/>
      <c r="O77" s="2136"/>
      <c r="P77" s="2136"/>
      <c r="Q77" s="2136"/>
      <c r="R77" s="2136"/>
      <c r="S77" s="2231"/>
      <c r="T77" s="2231"/>
      <c r="U77" s="2231"/>
      <c r="V77" s="1637"/>
      <c r="W77" s="1568"/>
      <c r="X77" s="5"/>
      <c r="Y77" s="5"/>
      <c r="Z77" s="4546"/>
      <c r="AA77" s="4034"/>
      <c r="AB77" s="4544"/>
      <c r="AC77" s="4544"/>
      <c r="AD77" s="5"/>
      <c r="AE77" s="5"/>
      <c r="AF77" s="5"/>
      <c r="AG77" s="5"/>
      <c r="AH77" s="5"/>
      <c r="AI77" s="5"/>
      <c r="AJ77" s="1568"/>
      <c r="AK77" s="5"/>
      <c r="AL77" s="1532"/>
      <c r="AM77" s="5"/>
      <c r="AN77" s="5"/>
    </row>
    <row r="78" spans="1:40" ht="19.5" customHeight="1" thickBot="1">
      <c r="A78" s="3254" t="s">
        <v>1206</v>
      </c>
      <c r="B78" s="3255"/>
      <c r="C78" s="3620">
        <v>52</v>
      </c>
      <c r="D78" s="3256"/>
      <c r="E78" s="4800"/>
      <c r="F78" s="4901"/>
      <c r="G78" s="4572">
        <v>18316</v>
      </c>
      <c r="H78" s="5115">
        <v>10496.7760323077</v>
      </c>
      <c r="I78" s="5602">
        <f>+'10. IS'!D13</f>
        <v>342141</v>
      </c>
      <c r="J78" s="6154">
        <f>+'10. IS'!E13</f>
        <v>-29475.3641903846</v>
      </c>
      <c r="K78" s="5115">
        <v>20513.646675000004</v>
      </c>
      <c r="L78" s="2131">
        <f>+'10. IS'!G13</f>
        <v>30000</v>
      </c>
      <c r="M78" s="2130">
        <f>+'10. IS'!H13</f>
        <v>30000</v>
      </c>
      <c r="N78" s="2131">
        <f>+'10. IS'!I13</f>
        <v>30000</v>
      </c>
      <c r="O78" s="2132">
        <f>+'10. IS'!J13</f>
        <v>30000</v>
      </c>
      <c r="P78" s="2130">
        <f>+'10. IS'!K13</f>
        <v>30000</v>
      </c>
      <c r="Q78" s="2131">
        <f>+'10. IS'!L13</f>
        <v>30000</v>
      </c>
      <c r="R78" s="2132">
        <f>+'10. IS'!M13</f>
        <v>30000</v>
      </c>
      <c r="S78" s="1777">
        <f>SUM(G78:R78)</f>
        <v>571992.05851692311</v>
      </c>
      <c r="T78" s="6382">
        <f t="shared" ref="T78" si="83">SUM(G78:J78)/SUM($G$5:$J$5)</f>
        <v>2.4072413151469744E-2</v>
      </c>
      <c r="U78" s="6382">
        <f t="shared" ref="U78" si="84">SUM(K78:R78)/SUM($K$5:$R$5)</f>
        <v>8.1876736760503888E-3</v>
      </c>
      <c r="V78" s="1637"/>
      <c r="W78" s="1568"/>
      <c r="Z78" s="4546"/>
      <c r="AJ78" s="1568"/>
      <c r="AL78" s="1532"/>
    </row>
    <row r="79" spans="1:40" ht="19.5" customHeight="1">
      <c r="S79" s="1532"/>
      <c r="T79" s="1532"/>
      <c r="U79" s="1532"/>
      <c r="V79" s="1637"/>
      <c r="W79" s="1568"/>
      <c r="Z79" s="4546"/>
      <c r="AJ79" s="1568"/>
      <c r="AL79" s="1532"/>
    </row>
    <row r="80" spans="1:40" ht="19.5" customHeight="1">
      <c r="H80" s="5116"/>
      <c r="V80" s="1637"/>
      <c r="W80" s="1568"/>
      <c r="Z80" s="4546"/>
      <c r="AJ80" s="1568"/>
      <c r="AL80" s="1532"/>
    </row>
    <row r="81" spans="7:38" ht="22.5" customHeight="1">
      <c r="H81" s="4568"/>
      <c r="K81" s="1534"/>
      <c r="M81" s="1534"/>
      <c r="N81" s="1534"/>
      <c r="O81" s="1534"/>
      <c r="P81" s="1534"/>
      <c r="Q81" s="1534"/>
      <c r="R81" s="1534"/>
      <c r="V81" s="1637"/>
      <c r="W81" s="1568"/>
      <c r="Z81" s="4546"/>
      <c r="AJ81" s="1568"/>
      <c r="AL81" s="1532"/>
    </row>
    <row r="82" spans="7:38" ht="22.5" customHeight="1"/>
    <row r="83" spans="7:38" ht="19.5" hidden="1" customHeight="1" thickBot="1"/>
    <row r="84" spans="7:38" ht="19.5" hidden="1" customHeight="1" thickBot="1">
      <c r="G84" s="4573">
        <v>205669.05957633618</v>
      </c>
      <c r="H84" s="5117">
        <v>80627.969585757761</v>
      </c>
      <c r="I84" s="5117">
        <v>441086.70904567197</v>
      </c>
      <c r="J84" s="5117"/>
      <c r="K84" s="3291"/>
      <c r="L84" s="3291">
        <v>194654.0329276447</v>
      </c>
      <c r="M84" s="3291">
        <v>145122.06692099571</v>
      </c>
      <c r="N84" s="3291">
        <v>404612.56677754188</v>
      </c>
      <c r="O84" s="3291">
        <v>511868.07994597987</v>
      </c>
      <c r="P84" s="3291">
        <v>583211.07402593945</v>
      </c>
      <c r="Q84" s="3291">
        <v>495589.94074417255</v>
      </c>
      <c r="R84" s="3292">
        <v>359572.27562872501</v>
      </c>
    </row>
    <row r="85" spans="7:38" ht="19.5" hidden="1" customHeight="1"/>
  </sheetData>
  <mergeCells count="15">
    <mergeCell ref="A4:D4"/>
    <mergeCell ref="B68:D68"/>
    <mergeCell ref="A5:D5"/>
    <mergeCell ref="B34:D34"/>
    <mergeCell ref="A37:D37"/>
    <mergeCell ref="A9:A34"/>
    <mergeCell ref="T7:U7"/>
    <mergeCell ref="V7:W7"/>
    <mergeCell ref="B76:D76"/>
    <mergeCell ref="A45:A67"/>
    <mergeCell ref="A69:D69"/>
    <mergeCell ref="A36:D36"/>
    <mergeCell ref="A35:D35"/>
    <mergeCell ref="A73:B75"/>
    <mergeCell ref="A38:D38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Z111"/>
  <sheetViews>
    <sheetView showGridLines="0" topLeftCell="A4" zoomScale="70" zoomScaleNormal="70" workbookViewId="0">
      <pane xSplit="7" ySplit="1" topLeftCell="H20" activePane="bottomRight" state="frozen"/>
      <selection activeCell="C4" sqref="C4"/>
      <selection pane="topRight" activeCell="H4" sqref="H4"/>
      <selection pane="bottomLeft" activeCell="C5" sqref="C5"/>
      <selection pane="bottomRight" activeCell="H42" sqref="H42"/>
    </sheetView>
  </sheetViews>
  <sheetFormatPr defaultColWidth="9" defaultRowHeight="15.6"/>
  <cols>
    <col min="1" max="1" width="17.8984375" style="1528" hidden="1" customWidth="1"/>
    <col min="2" max="2" width="12.59765625" style="1528" hidden="1" customWidth="1"/>
    <col min="3" max="3" width="14.69921875" style="1528" customWidth="1"/>
    <col min="4" max="4" width="53.8984375" style="5" customWidth="1"/>
    <col min="5" max="5" width="12.09765625" style="5" customWidth="1"/>
    <col min="6" max="6" width="6.69921875" style="5" customWidth="1"/>
    <col min="7" max="7" width="13.8984375" style="5" customWidth="1"/>
    <col min="8" max="8" width="11.3984375" style="5" customWidth="1"/>
    <col min="9" max="11" width="11.3984375" style="1536" customWidth="1"/>
    <col min="12" max="12" width="11.3984375" style="6427" customWidth="1"/>
    <col min="13" max="19" width="11.3984375" style="5" customWidth="1"/>
    <col min="20" max="20" width="17.09765625" style="5" customWidth="1"/>
    <col min="21" max="21" width="31.59765625" style="5" hidden="1" customWidth="1"/>
    <col min="22" max="22" width="44.09765625" style="5" hidden="1" customWidth="1"/>
    <col min="23" max="23" width="19.3984375" style="5" hidden="1" customWidth="1"/>
    <col min="24" max="24" width="12.59765625" style="5" customWidth="1"/>
    <col min="25" max="25" width="11.09765625" style="5" bestFit="1" customWidth="1"/>
    <col min="26" max="26" width="13.09765625" style="5" customWidth="1"/>
    <col min="27" max="27" width="9" style="5"/>
    <col min="28" max="28" width="11.59765625" style="5" bestFit="1" customWidth="1"/>
    <col min="29" max="16384" width="9" style="5"/>
  </cols>
  <sheetData>
    <row r="1" spans="1:26" ht="28.2" hidden="1" customHeight="1">
      <c r="A1" s="1529" t="s">
        <v>202</v>
      </c>
      <c r="B1" s="1529"/>
      <c r="C1" s="1529"/>
      <c r="D1" s="1530"/>
      <c r="E1" s="1530"/>
      <c r="F1" s="1530"/>
      <c r="G1" s="1530"/>
      <c r="H1" s="1532"/>
      <c r="I1" s="1534"/>
      <c r="J1" s="1534"/>
      <c r="K1" s="1534"/>
      <c r="M1" s="1532"/>
      <c r="N1" s="1532"/>
      <c r="O1" s="1532"/>
      <c r="P1" s="1532"/>
      <c r="Q1" s="1532"/>
      <c r="R1" s="1532"/>
      <c r="S1" s="1532"/>
      <c r="T1" s="1532"/>
      <c r="U1" s="1532"/>
    </row>
    <row r="2" spans="1:26" ht="20.25" hidden="1" customHeight="1">
      <c r="P2" s="5">
        <f>1.2*25</f>
        <v>30</v>
      </c>
      <c r="Q2" s="5">
        <v>5</v>
      </c>
      <c r="R2" s="5">
        <f>P2*Q2</f>
        <v>150</v>
      </c>
      <c r="S2" s="5">
        <f>R2*12</f>
        <v>1800</v>
      </c>
    </row>
    <row r="3" spans="1:26" ht="19.5" hidden="1" customHeight="1" thickBot="1">
      <c r="A3" s="1538" t="s">
        <v>1743</v>
      </c>
      <c r="B3" s="1538"/>
      <c r="C3" s="1538"/>
      <c r="T3" s="1537" t="s">
        <v>1744</v>
      </c>
      <c r="U3" s="1537"/>
    </row>
    <row r="4" spans="1:26" ht="30.75" customHeight="1" thickBot="1">
      <c r="A4" s="7081" t="s">
        <v>1745</v>
      </c>
      <c r="B4" s="7168"/>
      <c r="C4" s="80" t="s">
        <v>1746</v>
      </c>
      <c r="D4" s="74" t="s">
        <v>1747</v>
      </c>
      <c r="E4" s="74" t="s">
        <v>124</v>
      </c>
      <c r="F4" s="64" t="s">
        <v>1748</v>
      </c>
      <c r="G4" s="3368" t="s">
        <v>1749</v>
      </c>
      <c r="H4" s="4757" t="s">
        <v>1292</v>
      </c>
      <c r="I4" s="5005" t="s">
        <v>1293</v>
      </c>
      <c r="J4" s="5553" t="s">
        <v>1294</v>
      </c>
      <c r="K4" s="4574" t="s">
        <v>1295</v>
      </c>
      <c r="L4" s="6428" t="s">
        <v>1296</v>
      </c>
      <c r="M4" s="1843" t="s">
        <v>1297</v>
      </c>
      <c r="N4" s="1841" t="s">
        <v>1298</v>
      </c>
      <c r="O4" s="27" t="s">
        <v>1299</v>
      </c>
      <c r="P4" s="1843" t="s">
        <v>1300</v>
      </c>
      <c r="Q4" s="1841" t="s">
        <v>1301</v>
      </c>
      <c r="R4" s="1842" t="s">
        <v>1302</v>
      </c>
      <c r="S4" s="1843" t="s">
        <v>1303</v>
      </c>
      <c r="T4" s="1841" t="s">
        <v>1304</v>
      </c>
      <c r="U4" s="82" t="s">
        <v>1687</v>
      </c>
      <c r="V4" s="1541" t="s">
        <v>1688</v>
      </c>
      <c r="W4" s="1541" t="s">
        <v>1690</v>
      </c>
    </row>
    <row r="5" spans="1:26" ht="20.25" customHeight="1">
      <c r="A5" s="4040"/>
      <c r="B5" s="4018" t="s">
        <v>1750</v>
      </c>
      <c r="C5" s="4026">
        <v>1</v>
      </c>
      <c r="D5" s="4027" t="s">
        <v>1503</v>
      </c>
      <c r="E5" s="4028">
        <v>47374</v>
      </c>
      <c r="F5" s="4029">
        <v>1</v>
      </c>
      <c r="G5" s="4030">
        <f t="shared" ref="G5" si="0">E5*F5</f>
        <v>47374</v>
      </c>
      <c r="H5" s="4855"/>
      <c r="I5" s="5087"/>
      <c r="J5" s="5087"/>
      <c r="K5" s="6546">
        <v>10057.692307692309</v>
      </c>
      <c r="L5" s="6547">
        <v>10057.692307692309</v>
      </c>
      <c r="M5" s="4858"/>
      <c r="N5" s="6548"/>
      <c r="O5" s="4856"/>
      <c r="P5" s="4857"/>
      <c r="Q5" s="4856"/>
      <c r="R5" s="4856"/>
      <c r="S5" s="4857"/>
      <c r="T5" s="5986">
        <f t="shared" ref="T5:T21" si="1">SUM(H5:S5)</f>
        <v>20115.384615384617</v>
      </c>
      <c r="U5" s="5355"/>
      <c r="V5" s="2541"/>
      <c r="W5" s="2541"/>
      <c r="Z5" s="4004"/>
    </row>
    <row r="6" spans="1:26" ht="20.25" customHeight="1" thickBot="1">
      <c r="A6" s="4040"/>
      <c r="B6" s="4018"/>
      <c r="C6" s="4026">
        <v>2</v>
      </c>
      <c r="D6" s="4027" t="s">
        <v>1751</v>
      </c>
      <c r="E6" s="4028">
        <v>50000</v>
      </c>
      <c r="F6" s="4029">
        <v>1</v>
      </c>
      <c r="G6" s="4030">
        <f>F6*E6</f>
        <v>50000</v>
      </c>
      <c r="H6" s="6549"/>
      <c r="I6" s="4855">
        <v>34819.631384615386</v>
      </c>
      <c r="J6" s="5556"/>
      <c r="K6" s="6549"/>
      <c r="L6" s="6547"/>
      <c r="M6" s="4857"/>
      <c r="N6" s="4858"/>
      <c r="O6" s="4856"/>
      <c r="P6" s="4857"/>
      <c r="Q6" s="4858"/>
      <c r="R6" s="4856"/>
      <c r="S6" s="4857"/>
      <c r="T6" s="5986">
        <f t="shared" si="1"/>
        <v>34819.631384615386</v>
      </c>
      <c r="U6" s="5355"/>
      <c r="V6" s="2541"/>
      <c r="W6" s="2541"/>
      <c r="Z6" s="4004"/>
    </row>
    <row r="7" spans="1:26" s="1530" customFormat="1" ht="20.25" customHeight="1" thickBot="1">
      <c r="A7" s="5298"/>
      <c r="B7" s="4986"/>
      <c r="C7" s="7529" t="s">
        <v>1752</v>
      </c>
      <c r="D7" s="7529"/>
      <c r="E7" s="7529"/>
      <c r="F7" s="7529"/>
      <c r="G7" s="7530"/>
      <c r="H7" s="6002">
        <f t="shared" ref="H7:S7" si="2">SUM(H5:H6)</f>
        <v>0</v>
      </c>
      <c r="I7" s="6003">
        <f t="shared" si="2"/>
        <v>34819.631384615386</v>
      </c>
      <c r="J7" s="6004">
        <f t="shared" si="2"/>
        <v>0</v>
      </c>
      <c r="K7" s="6010">
        <f t="shared" si="2"/>
        <v>10057.692307692309</v>
      </c>
      <c r="L7" s="6429">
        <f t="shared" si="2"/>
        <v>10057.692307692309</v>
      </c>
      <c r="M7" s="6007">
        <f t="shared" si="2"/>
        <v>0</v>
      </c>
      <c r="N7" s="6005">
        <f t="shared" si="2"/>
        <v>0</v>
      </c>
      <c r="O7" s="6006">
        <f t="shared" si="2"/>
        <v>0</v>
      </c>
      <c r="P7" s="6008">
        <f t="shared" si="2"/>
        <v>0</v>
      </c>
      <c r="Q7" s="6005">
        <f t="shared" si="2"/>
        <v>0</v>
      </c>
      <c r="R7" s="6009">
        <f t="shared" si="2"/>
        <v>0</v>
      </c>
      <c r="S7" s="6008">
        <f t="shared" si="2"/>
        <v>0</v>
      </c>
      <c r="T7" s="5682">
        <f t="shared" si="1"/>
        <v>54935.016000000003</v>
      </c>
      <c r="U7" s="5471"/>
      <c r="V7" s="5354"/>
      <c r="W7" s="5354"/>
      <c r="Z7" s="4990"/>
    </row>
    <row r="8" spans="1:26" ht="20.25" customHeight="1">
      <c r="A8" s="4019"/>
      <c r="B8" s="4020" t="s">
        <v>1753</v>
      </c>
      <c r="C8" s="6568">
        <v>1</v>
      </c>
      <c r="D8" s="6569" t="s">
        <v>1754</v>
      </c>
      <c r="E8" s="6570">
        <v>59500</v>
      </c>
      <c r="F8" s="6571">
        <v>4</v>
      </c>
      <c r="G8" s="6572">
        <f>E8*F8</f>
        <v>238000</v>
      </c>
      <c r="H8" s="6573"/>
      <c r="I8" s="6574"/>
      <c r="J8" s="6573"/>
      <c r="K8" s="6575"/>
      <c r="L8" s="6576"/>
      <c r="M8" s="6577"/>
      <c r="N8" s="6578">
        <f>G8*0.3</f>
        <v>71400</v>
      </c>
      <c r="O8" s="6579"/>
      <c r="P8" s="6580">
        <f>G8*0.7</f>
        <v>166600</v>
      </c>
      <c r="Q8" s="6578"/>
      <c r="R8" s="6580"/>
      <c r="S8" s="6580"/>
      <c r="T8" s="5986">
        <f t="shared" si="1"/>
        <v>238000</v>
      </c>
      <c r="U8" s="5355"/>
      <c r="V8" s="2541"/>
      <c r="W8" s="2541"/>
      <c r="X8" s="1532"/>
      <c r="Z8" s="4004"/>
    </row>
    <row r="9" spans="1:26" ht="20.25" customHeight="1">
      <c r="A9" s="4019"/>
      <c r="B9" s="4020"/>
      <c r="C9" s="6581">
        <v>2</v>
      </c>
      <c r="D9" s="6542" t="s">
        <v>1755</v>
      </c>
      <c r="E9" s="4846">
        <v>205521</v>
      </c>
      <c r="F9" s="4847">
        <v>2</v>
      </c>
      <c r="G9" s="5493">
        <f t="shared" ref="G9:G15" si="3">E9*F9</f>
        <v>411042</v>
      </c>
      <c r="H9" s="4849"/>
      <c r="I9" s="6582"/>
      <c r="J9" s="4849"/>
      <c r="K9" s="6583"/>
      <c r="L9" s="6584">
        <f>13052680*169/26000</f>
        <v>84842.42</v>
      </c>
      <c r="M9" s="4851"/>
      <c r="N9" s="6585"/>
      <c r="O9" s="4852">
        <f>G9*0.8</f>
        <v>328833.60000000003</v>
      </c>
      <c r="P9" s="4850"/>
      <c r="Q9" s="6585"/>
      <c r="R9" s="4850"/>
      <c r="S9" s="4850"/>
      <c r="T9" s="5986">
        <f t="shared" si="1"/>
        <v>413676.02</v>
      </c>
      <c r="U9" s="5355"/>
      <c r="V9" s="2541"/>
      <c r="W9" s="2541"/>
      <c r="Z9" s="4004"/>
    </row>
    <row r="10" spans="1:26" ht="20.25" customHeight="1">
      <c r="A10" s="4019"/>
      <c r="B10" s="4020"/>
      <c r="C10" s="4026">
        <v>3</v>
      </c>
      <c r="D10" s="6542" t="s">
        <v>1756</v>
      </c>
      <c r="E10" s="5491">
        <v>125000</v>
      </c>
      <c r="F10" s="5492">
        <v>1</v>
      </c>
      <c r="G10" s="5493">
        <f t="shared" si="3"/>
        <v>125000</v>
      </c>
      <c r="H10" s="5994"/>
      <c r="I10" s="6586"/>
      <c r="J10" s="5978"/>
      <c r="K10" s="6583"/>
      <c r="L10" s="6587"/>
      <c r="M10" s="4831">
        <f>G10*0.2</f>
        <v>25000</v>
      </c>
      <c r="N10" s="6588"/>
      <c r="O10" s="5980">
        <f>G10*0.8</f>
        <v>100000</v>
      </c>
      <c r="P10" s="5982"/>
      <c r="Q10" s="6588"/>
      <c r="R10" s="5982"/>
      <c r="S10" s="4831"/>
      <c r="T10" s="6567">
        <f t="shared" si="1"/>
        <v>125000</v>
      </c>
      <c r="U10" s="5355"/>
      <c r="V10" s="2541"/>
      <c r="W10" s="2541"/>
      <c r="Z10" s="4004"/>
    </row>
    <row r="11" spans="1:26" ht="20.25" customHeight="1">
      <c r="A11" s="4019"/>
      <c r="B11" s="4020"/>
      <c r="C11" s="4026">
        <v>4</v>
      </c>
      <c r="D11" s="6542" t="s">
        <v>1757</v>
      </c>
      <c r="E11" s="5491">
        <v>108000</v>
      </c>
      <c r="F11" s="5492">
        <v>4</v>
      </c>
      <c r="G11" s="5493">
        <f t="shared" si="3"/>
        <v>432000</v>
      </c>
      <c r="H11" s="5994"/>
      <c r="I11" s="6586"/>
      <c r="J11" s="5978"/>
      <c r="K11" s="6583"/>
      <c r="L11" s="6587"/>
      <c r="M11" s="4831">
        <f>G11*0.3</f>
        <v>129600</v>
      </c>
      <c r="N11" s="6588"/>
      <c r="O11" s="5980"/>
      <c r="P11" s="5982">
        <f>G11*0.7</f>
        <v>302400</v>
      </c>
      <c r="Q11" s="6588"/>
      <c r="R11" s="5982"/>
      <c r="S11" s="4831"/>
      <c r="T11" s="6567">
        <f t="shared" si="1"/>
        <v>432000</v>
      </c>
      <c r="U11" s="5355"/>
      <c r="V11" s="2541"/>
      <c r="W11" s="2541"/>
      <c r="Z11" s="4004"/>
    </row>
    <row r="12" spans="1:26" ht="20.25" customHeight="1">
      <c r="A12" s="4019"/>
      <c r="B12" s="4020"/>
      <c r="C12" s="4026">
        <v>5</v>
      </c>
      <c r="D12" s="6542" t="s">
        <v>1758</v>
      </c>
      <c r="E12" s="5491">
        <v>511059</v>
      </c>
      <c r="F12" s="5492">
        <v>1</v>
      </c>
      <c r="G12" s="5493">
        <f t="shared" si="3"/>
        <v>511059</v>
      </c>
      <c r="H12" s="5994"/>
      <c r="I12" s="6586"/>
      <c r="J12" s="5978"/>
      <c r="K12" s="6583"/>
      <c r="L12" s="6587"/>
      <c r="M12" s="4831">
        <f>G12*0.3</f>
        <v>153317.69999999998</v>
      </c>
      <c r="N12" s="6588"/>
      <c r="O12" s="5980">
        <f>G12*0.6</f>
        <v>306635.39999999997</v>
      </c>
      <c r="P12" s="5982"/>
      <c r="Q12" s="6588">
        <f>G12*0.1</f>
        <v>51105.9</v>
      </c>
      <c r="R12" s="5982"/>
      <c r="S12" s="4831"/>
      <c r="T12" s="6567">
        <f t="shared" si="1"/>
        <v>511059</v>
      </c>
      <c r="U12" s="5355"/>
      <c r="V12" s="2541"/>
      <c r="W12" s="2541"/>
      <c r="Z12" s="4004"/>
    </row>
    <row r="13" spans="1:26" ht="20.25" customHeight="1">
      <c r="A13" s="4019"/>
      <c r="B13" s="4020"/>
      <c r="C13" s="4026">
        <v>6</v>
      </c>
      <c r="D13" s="6542" t="s">
        <v>1759</v>
      </c>
      <c r="E13" s="5491">
        <v>40000</v>
      </c>
      <c r="F13" s="5492">
        <v>1</v>
      </c>
      <c r="G13" s="5493">
        <f t="shared" si="3"/>
        <v>40000</v>
      </c>
      <c r="H13" s="5994"/>
      <c r="I13" s="6586"/>
      <c r="J13" s="5978"/>
      <c r="K13" s="6583"/>
      <c r="L13" s="6587"/>
      <c r="M13" s="4831"/>
      <c r="N13" s="6588">
        <f>+G13*30%</f>
        <v>12000</v>
      </c>
      <c r="O13" s="5980"/>
      <c r="P13" s="5982">
        <f>+G13*70%</f>
        <v>28000</v>
      </c>
      <c r="Q13" s="6588"/>
      <c r="R13" s="5982"/>
      <c r="S13" s="4831"/>
      <c r="T13" s="6567">
        <f t="shared" ref="T13" si="4">SUM(H13:S13)</f>
        <v>40000</v>
      </c>
      <c r="U13" s="5355"/>
      <c r="V13" s="2541"/>
      <c r="W13" s="2541"/>
      <c r="Z13" s="4004"/>
    </row>
    <row r="14" spans="1:26" ht="20.25" customHeight="1">
      <c r="A14" s="4019"/>
      <c r="B14" s="4020"/>
      <c r="C14" s="4026">
        <v>7</v>
      </c>
      <c r="D14" s="6542" t="s">
        <v>1760</v>
      </c>
      <c r="E14" s="5491">
        <v>20000</v>
      </c>
      <c r="F14" s="5492">
        <v>1</v>
      </c>
      <c r="G14" s="5493">
        <f t="shared" si="3"/>
        <v>20000</v>
      </c>
      <c r="H14" s="5994"/>
      <c r="I14" s="6586"/>
      <c r="J14" s="5978"/>
      <c r="K14" s="6583"/>
      <c r="L14" s="6587"/>
      <c r="M14" s="4831">
        <f>G14*0.3</f>
        <v>6000</v>
      </c>
      <c r="N14" s="6588">
        <f>G14*0.7</f>
        <v>14000</v>
      </c>
      <c r="O14" s="5980"/>
      <c r="P14" s="5982"/>
      <c r="Q14" s="6588"/>
      <c r="R14" s="5982"/>
      <c r="S14" s="4831"/>
      <c r="T14" s="6567">
        <f t="shared" si="1"/>
        <v>20000</v>
      </c>
      <c r="U14" s="5355"/>
      <c r="V14" s="2541"/>
      <c r="W14" s="2541"/>
      <c r="Z14" s="4004"/>
    </row>
    <row r="15" spans="1:26" ht="20.25" customHeight="1">
      <c r="A15" s="4019"/>
      <c r="B15" s="4020"/>
      <c r="C15" s="4021">
        <v>8</v>
      </c>
      <c r="D15" s="4115" t="s">
        <v>1761</v>
      </c>
      <c r="E15" s="4087">
        <v>50000</v>
      </c>
      <c r="F15" s="4088">
        <v>1</v>
      </c>
      <c r="G15" s="4089">
        <f t="shared" si="3"/>
        <v>50000</v>
      </c>
      <c r="H15" s="4829"/>
      <c r="I15" s="5068"/>
      <c r="J15" s="4829"/>
      <c r="K15" s="6589"/>
      <c r="L15" s="6431"/>
      <c r="M15" s="4836">
        <f>G15*0.3</f>
        <v>15000</v>
      </c>
      <c r="N15" s="4833">
        <f>G15*0.6</f>
        <v>30000</v>
      </c>
      <c r="O15" s="4834">
        <f>G15*0.1</f>
        <v>5000</v>
      </c>
      <c r="P15" s="4834"/>
      <c r="Q15" s="6590"/>
      <c r="R15" s="4834"/>
      <c r="S15" s="4834"/>
      <c r="T15" s="5988">
        <f t="shared" si="1"/>
        <v>50000</v>
      </c>
      <c r="U15" s="5355"/>
      <c r="V15" s="2541"/>
      <c r="W15" s="2541"/>
      <c r="Y15" s="2454"/>
      <c r="Z15" s="4004"/>
    </row>
    <row r="16" spans="1:26" ht="20.25" customHeight="1">
      <c r="A16" s="4019"/>
      <c r="B16" s="4813" t="s">
        <v>1762</v>
      </c>
      <c r="C16" s="6528">
        <v>1</v>
      </c>
      <c r="D16" s="6529" t="s">
        <v>1919</v>
      </c>
      <c r="E16" s="6530">
        <f>+G16/F16</f>
        <v>8195.8579881656806</v>
      </c>
      <c r="F16" s="6531">
        <v>26</v>
      </c>
      <c r="G16" s="6532">
        <v>213092.30769230769</v>
      </c>
      <c r="H16" s="6533"/>
      <c r="I16" s="6534"/>
      <c r="J16" s="6535"/>
      <c r="K16" s="6536"/>
      <c r="L16" s="6938">
        <f>$F$16*$E$16*20%</f>
        <v>42618.461538461539</v>
      </c>
      <c r="M16" s="6939">
        <f>$F$16*$E$16*20%</f>
        <v>42618.461538461539</v>
      </c>
      <c r="N16" s="6537">
        <f>$F$16*$E$16*20%</f>
        <v>42618.461538461539</v>
      </c>
      <c r="O16" s="6538">
        <f>$F$16*$E$16*20%</f>
        <v>42618.461538461539</v>
      </c>
      <c r="P16" s="6539">
        <f>$F$16*$E$16*20%</f>
        <v>42618.461538461539</v>
      </c>
      <c r="Q16" s="6537"/>
      <c r="R16" s="6539"/>
      <c r="S16" s="6540"/>
      <c r="T16" s="6541">
        <f t="shared" si="1"/>
        <v>213092.30769230769</v>
      </c>
      <c r="U16" s="2541" t="s">
        <v>1680</v>
      </c>
      <c r="V16" s="2541" t="s">
        <v>1827</v>
      </c>
      <c r="W16" s="2541"/>
      <c r="Z16" s="4004"/>
    </row>
    <row r="17" spans="1:26" ht="20.25" customHeight="1">
      <c r="A17" s="4019"/>
      <c r="B17" s="4077"/>
      <c r="C17" s="4026">
        <v>2</v>
      </c>
      <c r="D17" s="6542" t="s">
        <v>1920</v>
      </c>
      <c r="E17" s="5491">
        <v>8000</v>
      </c>
      <c r="F17" s="5492">
        <v>2</v>
      </c>
      <c r="G17" s="5493">
        <f t="shared" ref="G17" si="5">E17*F17</f>
        <v>16000</v>
      </c>
      <c r="H17" s="6543"/>
      <c r="I17" s="5978"/>
      <c r="J17" s="5979"/>
      <c r="K17" s="6544"/>
      <c r="L17" s="6433"/>
      <c r="M17" s="6545"/>
      <c r="N17" s="5981"/>
      <c r="O17" s="4838"/>
      <c r="P17" s="5982"/>
      <c r="Q17" s="5981">
        <f>G17</f>
        <v>16000</v>
      </c>
      <c r="R17" s="5982"/>
      <c r="S17" s="4831"/>
      <c r="T17" s="5983">
        <f t="shared" ref="T17" si="6">SUM(H17:S17)</f>
        <v>16000</v>
      </c>
      <c r="U17" s="2541"/>
      <c r="V17" s="2541"/>
      <c r="W17" s="2541"/>
      <c r="Z17" s="4004"/>
    </row>
    <row r="18" spans="1:26" ht="20.25" customHeight="1">
      <c r="A18" s="4019"/>
      <c r="B18" s="4077"/>
      <c r="C18" s="4026">
        <v>3</v>
      </c>
      <c r="D18" s="4168" t="s">
        <v>1763</v>
      </c>
      <c r="E18" s="4070">
        <v>2684.8</v>
      </c>
      <c r="F18" s="4071">
        <v>5</v>
      </c>
      <c r="G18" s="4072">
        <f>E18*F18</f>
        <v>13424</v>
      </c>
      <c r="H18" s="4829">
        <f>+G18*50%</f>
        <v>6712</v>
      </c>
      <c r="I18" s="5085"/>
      <c r="J18" s="5554">
        <f>+G18*20%</f>
        <v>2684.8</v>
      </c>
      <c r="K18" s="4829"/>
      <c r="L18" s="6430"/>
      <c r="M18" s="4836">
        <f>+G18*30%</f>
        <v>4027.2</v>
      </c>
      <c r="N18" s="4837"/>
      <c r="O18" s="4838"/>
      <c r="P18" s="4831"/>
      <c r="Q18" s="4832"/>
      <c r="R18" s="4830"/>
      <c r="S18" s="4836"/>
      <c r="T18" s="5983">
        <f t="shared" si="1"/>
        <v>13424</v>
      </c>
      <c r="U18" s="2541" t="s">
        <v>1692</v>
      </c>
      <c r="V18" s="2541" t="s">
        <v>1691</v>
      </c>
      <c r="W18" s="2541"/>
      <c r="Z18" s="4004"/>
    </row>
    <row r="19" spans="1:26" ht="20.25" customHeight="1">
      <c r="A19" s="4019"/>
      <c r="B19" s="4077"/>
      <c r="C19" s="4021">
        <v>4</v>
      </c>
      <c r="D19" s="4809" t="s">
        <v>1764</v>
      </c>
      <c r="E19" s="4810">
        <v>136000</v>
      </c>
      <c r="F19" s="4811">
        <v>4</v>
      </c>
      <c r="G19" s="4812">
        <f>E19*F19</f>
        <v>544000</v>
      </c>
      <c r="H19" s="4839"/>
      <c r="I19" s="4829">
        <f>84346.1538461538+82384.62</f>
        <v>166730.77384615381</v>
      </c>
      <c r="J19" s="5067"/>
      <c r="K19" s="4839"/>
      <c r="L19" s="6431">
        <v>387905</v>
      </c>
      <c r="M19" s="4836"/>
      <c r="N19" s="4837"/>
      <c r="O19" s="4838"/>
      <c r="P19" s="4831"/>
      <c r="Q19" s="4832"/>
      <c r="R19" s="4830"/>
      <c r="S19" s="4836"/>
      <c r="T19" s="5988">
        <f t="shared" si="1"/>
        <v>554635.77384615387</v>
      </c>
      <c r="U19" s="2541" t="s">
        <v>1694</v>
      </c>
      <c r="V19" s="2541" t="s">
        <v>1693</v>
      </c>
      <c r="W19" s="2541"/>
      <c r="Z19" s="4004"/>
    </row>
    <row r="20" spans="1:26" ht="20.25" customHeight="1">
      <c r="A20" s="4019"/>
      <c r="B20" s="4023"/>
      <c r="C20" s="4389">
        <v>5</v>
      </c>
      <c r="D20" s="4390" t="s">
        <v>1765</v>
      </c>
      <c r="E20" s="4391">
        <v>35000</v>
      </c>
      <c r="F20" s="4392">
        <v>4</v>
      </c>
      <c r="G20" s="4393">
        <f t="shared" ref="G20:G21" si="7">E20*F20</f>
        <v>140000</v>
      </c>
      <c r="H20" s="7013"/>
      <c r="I20" s="7014"/>
      <c r="J20" s="7015">
        <v>38400</v>
      </c>
      <c r="K20" s="7013"/>
      <c r="L20" s="7016">
        <v>21000</v>
      </c>
      <c r="M20" s="7017">
        <f>E20*2*0.3</f>
        <v>21000</v>
      </c>
      <c r="N20" s="7018">
        <f>E20*2*0.7</f>
        <v>49000</v>
      </c>
      <c r="O20" s="7019">
        <f>E20*2*0.7</f>
        <v>49000</v>
      </c>
      <c r="P20" s="7020"/>
      <c r="Q20" s="7021"/>
      <c r="R20" s="7019"/>
      <c r="S20" s="7017"/>
      <c r="T20" s="7022">
        <f t="shared" si="1"/>
        <v>178400</v>
      </c>
      <c r="U20" s="4075" t="s">
        <v>1696</v>
      </c>
      <c r="V20" s="2541" t="s">
        <v>1695</v>
      </c>
      <c r="W20" s="2541"/>
      <c r="Z20" s="4004"/>
    </row>
    <row r="21" spans="1:26" ht="20.25" customHeight="1">
      <c r="A21" s="4019"/>
      <c r="B21" s="4020"/>
      <c r="C21" s="5476">
        <v>6</v>
      </c>
      <c r="D21" s="7023" t="s">
        <v>1932</v>
      </c>
      <c r="E21" s="7024">
        <v>290000</v>
      </c>
      <c r="F21" s="7025">
        <v>3</v>
      </c>
      <c r="G21" s="4393">
        <f t="shared" si="7"/>
        <v>870000</v>
      </c>
      <c r="H21" s="7026"/>
      <c r="I21" s="7027"/>
      <c r="J21" s="7028"/>
      <c r="K21" s="7026"/>
      <c r="L21" s="7027"/>
      <c r="M21" s="7029"/>
      <c r="N21" s="7030">
        <f>G21*0.3</f>
        <v>261000</v>
      </c>
      <c r="O21" s="7031"/>
      <c r="P21" s="7032"/>
      <c r="Q21" s="7030"/>
      <c r="R21" s="7031">
        <f>G21*0.7</f>
        <v>609000</v>
      </c>
      <c r="S21" s="7029"/>
      <c r="T21" s="7022">
        <f t="shared" si="1"/>
        <v>870000</v>
      </c>
      <c r="U21" s="4075"/>
      <c r="V21" s="2541"/>
      <c r="W21" s="2541"/>
      <c r="Z21" s="4004"/>
    </row>
    <row r="22" spans="1:26" ht="20.25" customHeight="1">
      <c r="A22" s="4019"/>
      <c r="B22" s="4020"/>
      <c r="C22" s="6962">
        <v>1</v>
      </c>
      <c r="D22" s="6550" t="s">
        <v>1918</v>
      </c>
      <c r="E22" s="6551">
        <f>42500/'1-1.Assumption'!F28</f>
        <v>6159.420289855072</v>
      </c>
      <c r="F22" s="6552">
        <v>2</v>
      </c>
      <c r="G22" s="6553">
        <f t="shared" ref="G22" si="8">E22*F22</f>
        <v>12318.840579710144</v>
      </c>
      <c r="H22" s="6554"/>
      <c r="I22" s="6555"/>
      <c r="J22" s="6556"/>
      <c r="K22" s="6557"/>
      <c r="L22" s="6558"/>
      <c r="M22" s="6559">
        <f>G22</f>
        <v>12318.840579710144</v>
      </c>
      <c r="N22" s="6560"/>
      <c r="O22" s="6561"/>
      <c r="P22" s="6562"/>
      <c r="Q22" s="6560"/>
      <c r="R22" s="6562"/>
      <c r="S22" s="6563"/>
      <c r="T22" s="6564">
        <f t="shared" ref="T22" si="9">SUM(H22:S22)</f>
        <v>12318.840579710144</v>
      </c>
      <c r="U22" s="4075"/>
      <c r="V22" s="2541"/>
      <c r="W22" s="2541"/>
      <c r="Z22" s="4004"/>
    </row>
    <row r="23" spans="1:26" ht="20.25" customHeight="1">
      <c r="A23" s="4019"/>
      <c r="B23" s="4022" t="s">
        <v>1766</v>
      </c>
      <c r="C23" s="4021">
        <v>2</v>
      </c>
      <c r="D23" s="4086" t="s">
        <v>1767</v>
      </c>
      <c r="E23" s="4087">
        <v>37962</v>
      </c>
      <c r="F23" s="4088">
        <v>1</v>
      </c>
      <c r="G23" s="4089">
        <f>E23*F23</f>
        <v>37962</v>
      </c>
      <c r="H23" s="5686"/>
      <c r="I23" s="5068"/>
      <c r="J23" s="6565"/>
      <c r="K23" s="6566"/>
      <c r="L23" s="6430"/>
      <c r="M23" s="4832"/>
      <c r="N23" s="4833">
        <f>G23*0.5</f>
        <v>18981</v>
      </c>
      <c r="O23" s="4830">
        <f>G23*0.3</f>
        <v>11388.6</v>
      </c>
      <c r="P23" s="4832">
        <f>G23*0.2</f>
        <v>7592.4000000000005</v>
      </c>
      <c r="Q23" s="4833"/>
      <c r="R23" s="4834"/>
      <c r="S23" s="4835"/>
      <c r="T23" s="6567">
        <f>SUM(H23:S23)</f>
        <v>37962</v>
      </c>
      <c r="U23" s="2541"/>
      <c r="V23" s="2541"/>
      <c r="W23" s="2541"/>
      <c r="Z23" s="4004"/>
    </row>
    <row r="24" spans="1:26" ht="20.25" customHeight="1">
      <c r="A24" s="4019"/>
      <c r="B24" s="4077"/>
      <c r="C24" s="5976">
        <v>3</v>
      </c>
      <c r="D24" s="5977" t="s">
        <v>1768</v>
      </c>
      <c r="E24" s="4070">
        <v>49300</v>
      </c>
      <c r="F24" s="4071">
        <v>3</v>
      </c>
      <c r="G24" s="4072">
        <f t="shared" ref="G24:G40" si="10">E24*F24</f>
        <v>147900</v>
      </c>
      <c r="H24" s="5978"/>
      <c r="I24" s="5979"/>
      <c r="J24" s="5554">
        <f>G24*0.3</f>
        <v>44370</v>
      </c>
      <c r="K24" s="5978">
        <f>G24*0.6</f>
        <v>88740</v>
      </c>
      <c r="L24" s="6586">
        <f>G24*0.1</f>
        <v>14790</v>
      </c>
      <c r="M24" s="5980"/>
      <c r="N24" s="5981"/>
      <c r="O24" s="4838"/>
      <c r="P24" s="5980"/>
      <c r="Q24" s="5981"/>
      <c r="R24" s="5982"/>
      <c r="S24" s="4831"/>
      <c r="T24" s="5983">
        <f t="shared" ref="T24:T40" si="11">SUM(H24:S24)</f>
        <v>147900</v>
      </c>
      <c r="U24" s="4075" t="s">
        <v>1698</v>
      </c>
      <c r="V24" s="2541" t="s">
        <v>1697</v>
      </c>
      <c r="W24" s="2541"/>
      <c r="Z24" s="4004"/>
    </row>
    <row r="25" spans="1:26" ht="20.25" customHeight="1">
      <c r="A25" s="4019"/>
      <c r="B25" s="4020"/>
      <c r="C25" s="4021">
        <v>4</v>
      </c>
      <c r="D25" s="5984" t="s">
        <v>1769</v>
      </c>
      <c r="E25" s="4070">
        <v>15000</v>
      </c>
      <c r="F25" s="4071">
        <v>2</v>
      </c>
      <c r="G25" s="4072">
        <f>E25*F25</f>
        <v>30000</v>
      </c>
      <c r="H25" s="4855"/>
      <c r="I25" s="5985"/>
      <c r="J25" s="5556"/>
      <c r="K25" s="6156"/>
      <c r="L25" s="6156"/>
      <c r="M25" s="6422">
        <f>G25*0.3</f>
        <v>9000</v>
      </c>
      <c r="N25" s="4860">
        <f>G25*0.6</f>
        <v>18000</v>
      </c>
      <c r="O25" s="4859">
        <f>G25*0.1</f>
        <v>3000</v>
      </c>
      <c r="P25" s="4858"/>
      <c r="Q25" s="4860"/>
      <c r="R25" s="4856"/>
      <c r="S25" s="4857"/>
      <c r="T25" s="5986">
        <f>SUM(H25:S25)</f>
        <v>30000</v>
      </c>
      <c r="U25" s="4075"/>
      <c r="V25" s="2541"/>
      <c r="W25" s="2541"/>
      <c r="Z25" s="4004"/>
    </row>
    <row r="26" spans="1:26" ht="20.25" customHeight="1">
      <c r="A26" s="4019"/>
      <c r="B26" s="4020"/>
      <c r="C26" s="4021">
        <v>5</v>
      </c>
      <c r="D26" s="5984" t="s">
        <v>1770</v>
      </c>
      <c r="E26" s="4070">
        <v>46153.919999999998</v>
      </c>
      <c r="F26" s="4071">
        <v>1</v>
      </c>
      <c r="G26" s="4072">
        <f>E26*F26</f>
        <v>46153.919999999998</v>
      </c>
      <c r="H26" s="4855"/>
      <c r="I26" s="5985"/>
      <c r="J26" s="5556"/>
      <c r="K26" s="6156">
        <v>23076.959999999999</v>
      </c>
      <c r="L26" s="6156"/>
      <c r="M26" s="6422">
        <f>+G26*20%</f>
        <v>9230.7839999999997</v>
      </c>
      <c r="N26" s="4860">
        <f>+G26*30%</f>
        <v>13846.175999999999</v>
      </c>
      <c r="O26" s="4859"/>
      <c r="P26" s="4858"/>
      <c r="Q26" s="4860"/>
      <c r="R26" s="4856"/>
      <c r="S26" s="4857"/>
      <c r="T26" s="5986">
        <f>SUM(H26:S26)</f>
        <v>46153.919999999998</v>
      </c>
      <c r="U26" s="4075" t="s">
        <v>1707</v>
      </c>
      <c r="V26" s="2541" t="s">
        <v>1699</v>
      </c>
      <c r="W26" s="2541"/>
      <c r="Z26" s="4004"/>
    </row>
    <row r="27" spans="1:26" ht="20.25" customHeight="1">
      <c r="A27" s="4019"/>
      <c r="B27" s="4077"/>
      <c r="C27" s="4021">
        <v>6</v>
      </c>
      <c r="D27" s="5984" t="s">
        <v>1771</v>
      </c>
      <c r="E27" s="4070">
        <v>20000</v>
      </c>
      <c r="F27" s="4071">
        <v>2</v>
      </c>
      <c r="G27" s="4072">
        <f>E27*F27</f>
        <v>40000</v>
      </c>
      <c r="H27" s="4855"/>
      <c r="I27" s="5985"/>
      <c r="J27" s="5556"/>
      <c r="K27" s="6156"/>
      <c r="L27" s="6156"/>
      <c r="M27" s="6422">
        <f>G27*0.3</f>
        <v>12000</v>
      </c>
      <c r="N27" s="4860">
        <f>G27*0.6</f>
        <v>24000</v>
      </c>
      <c r="O27" s="4859">
        <f>G27*0.1</f>
        <v>4000</v>
      </c>
      <c r="P27" s="4858"/>
      <c r="Q27" s="4860"/>
      <c r="R27" s="4856"/>
      <c r="S27" s="4857"/>
      <c r="T27" s="5986">
        <f>SUM(H27:S27)</f>
        <v>40000</v>
      </c>
      <c r="U27" s="2541"/>
      <c r="V27" s="2541"/>
      <c r="W27" s="2541"/>
      <c r="Z27" s="4004"/>
    </row>
    <row r="28" spans="1:26" ht="20.25" customHeight="1">
      <c r="A28" s="4019"/>
      <c r="B28" s="4077"/>
      <c r="C28" s="3967">
        <v>7</v>
      </c>
      <c r="D28" s="4861" t="s">
        <v>1772</v>
      </c>
      <c r="E28" s="3962">
        <v>15000</v>
      </c>
      <c r="F28" s="3963">
        <v>3</v>
      </c>
      <c r="G28" s="3978">
        <f t="shared" si="10"/>
        <v>45000</v>
      </c>
      <c r="H28" s="6963"/>
      <c r="I28" s="6964"/>
      <c r="J28" s="6965"/>
      <c r="K28" s="6966"/>
      <c r="L28" s="6966"/>
      <c r="M28" s="6967">
        <f>$G$26*0.2</f>
        <v>9230.7839999999997</v>
      </c>
      <c r="N28" s="6968">
        <f t="shared" ref="N28:Q28" si="12">$G$26*0.2</f>
        <v>9230.7839999999997</v>
      </c>
      <c r="O28" s="6969">
        <f>$G$26*0.2</f>
        <v>9230.7839999999997</v>
      </c>
      <c r="P28" s="6970">
        <f t="shared" si="12"/>
        <v>9230.7839999999997</v>
      </c>
      <c r="Q28" s="6968">
        <f t="shared" si="12"/>
        <v>9230.7839999999997</v>
      </c>
      <c r="R28" s="6971"/>
      <c r="S28" s="6972"/>
      <c r="T28" s="3593">
        <f t="shared" si="11"/>
        <v>46153.919999999998</v>
      </c>
      <c r="U28" s="2541"/>
      <c r="V28" s="2541"/>
      <c r="W28" s="2541"/>
      <c r="Z28" s="4004"/>
    </row>
    <row r="29" spans="1:26" ht="20.25" customHeight="1">
      <c r="A29" s="4019"/>
      <c r="B29" s="4077"/>
      <c r="C29" s="3967">
        <v>8</v>
      </c>
      <c r="D29" s="4861" t="s">
        <v>1773</v>
      </c>
      <c r="E29" s="3962">
        <v>50000</v>
      </c>
      <c r="F29" s="3963">
        <v>1</v>
      </c>
      <c r="G29" s="3978">
        <f t="shared" si="10"/>
        <v>50000</v>
      </c>
      <c r="H29" s="6963"/>
      <c r="I29" s="6964"/>
      <c r="J29" s="6965"/>
      <c r="K29" s="6966"/>
      <c r="L29" s="6966"/>
      <c r="M29" s="6967">
        <f>G29*0.3</f>
        <v>15000</v>
      </c>
      <c r="N29" s="6968">
        <f>G29*0.7</f>
        <v>35000</v>
      </c>
      <c r="O29" s="6969"/>
      <c r="P29" s="6970"/>
      <c r="Q29" s="6968"/>
      <c r="R29" s="6971"/>
      <c r="S29" s="6972"/>
      <c r="T29" s="3593">
        <f t="shared" si="11"/>
        <v>50000</v>
      </c>
      <c r="U29" s="2541"/>
      <c r="V29" s="2541"/>
      <c r="W29" s="2541"/>
      <c r="Z29" s="4004"/>
    </row>
    <row r="30" spans="1:26" ht="20.25" customHeight="1">
      <c r="A30" s="4019"/>
      <c r="B30" s="4077"/>
      <c r="C30" s="3967">
        <v>9</v>
      </c>
      <c r="D30" s="3974" t="s">
        <v>1774</v>
      </c>
      <c r="E30" s="3971">
        <v>15000</v>
      </c>
      <c r="F30" s="3972">
        <v>1</v>
      </c>
      <c r="G30" s="3979">
        <f>E30*F30</f>
        <v>15000</v>
      </c>
      <c r="H30" s="6973"/>
      <c r="I30" s="6966"/>
      <c r="J30" s="6974"/>
      <c r="K30" s="6975"/>
      <c r="L30" s="6976"/>
      <c r="M30" s="6977">
        <f>G30*0.5</f>
        <v>7500</v>
      </c>
      <c r="N30" s="6970">
        <f>G30*0.3</f>
        <v>4500</v>
      </c>
      <c r="O30" s="6969">
        <f>G30*0.2</f>
        <v>3000</v>
      </c>
      <c r="P30" s="6970"/>
      <c r="Q30" s="6968"/>
      <c r="R30" s="6971"/>
      <c r="S30" s="6972"/>
      <c r="T30" s="3981">
        <f>SUM(H30:S30)</f>
        <v>15000</v>
      </c>
      <c r="U30" s="2541"/>
      <c r="V30" s="2541"/>
      <c r="W30" s="2541"/>
      <c r="Z30" s="4004"/>
    </row>
    <row r="31" spans="1:26" ht="20.25" customHeight="1">
      <c r="A31" s="4019"/>
      <c r="B31" s="4077"/>
      <c r="C31" s="4021">
        <v>10</v>
      </c>
      <c r="D31" s="4845" t="s">
        <v>1775</v>
      </c>
      <c r="E31" s="4846">
        <v>450</v>
      </c>
      <c r="F31" s="4847">
        <v>198</v>
      </c>
      <c r="G31" s="4848">
        <f t="shared" si="10"/>
        <v>89100</v>
      </c>
      <c r="H31" s="4849"/>
      <c r="I31" s="4862"/>
      <c r="J31" s="5290"/>
      <c r="K31" s="4855"/>
      <c r="L31" s="6156"/>
      <c r="M31" s="4858">
        <f t="shared" ref="M31:O31" si="13">+$G$31*0.25</f>
        <v>22275</v>
      </c>
      <c r="N31" s="4860">
        <f t="shared" si="13"/>
        <v>22275</v>
      </c>
      <c r="O31" s="4859">
        <f t="shared" si="13"/>
        <v>22275</v>
      </c>
      <c r="P31" s="4859">
        <f>+$G$31*25%</f>
        <v>22275</v>
      </c>
      <c r="Q31" s="4854"/>
      <c r="R31" s="4850"/>
      <c r="S31" s="4851"/>
      <c r="T31" s="5987">
        <f t="shared" si="11"/>
        <v>89100</v>
      </c>
      <c r="U31" s="2541" t="s">
        <v>1706</v>
      </c>
      <c r="V31" s="2541"/>
      <c r="W31" s="2541"/>
      <c r="Z31" s="4004"/>
    </row>
    <row r="32" spans="1:26" ht="20.25" customHeight="1">
      <c r="A32" s="4019"/>
      <c r="B32" s="4077"/>
      <c r="C32" s="4021">
        <v>11</v>
      </c>
      <c r="D32" s="4814" t="s">
        <v>1776</v>
      </c>
      <c r="E32" s="4070">
        <v>46500</v>
      </c>
      <c r="F32" s="4071">
        <v>3</v>
      </c>
      <c r="G32" s="4072">
        <f t="shared" si="10"/>
        <v>139500</v>
      </c>
      <c r="H32" s="4855">
        <v>41130</v>
      </c>
      <c r="I32" s="5087"/>
      <c r="J32" s="5556"/>
      <c r="K32" s="4855"/>
      <c r="L32" s="6156"/>
      <c r="M32" s="4858"/>
      <c r="N32" s="4860"/>
      <c r="O32" s="4859"/>
      <c r="P32" s="4858"/>
      <c r="Q32" s="4860"/>
      <c r="R32" s="4856"/>
      <c r="S32" s="4857"/>
      <c r="T32" s="5983">
        <f t="shared" ref="T32:T38" si="14">SUM(H32:S32)</f>
        <v>41130</v>
      </c>
      <c r="U32" s="2541" t="s">
        <v>1704</v>
      </c>
      <c r="V32" s="2541" t="s">
        <v>1700</v>
      </c>
      <c r="W32" s="2541"/>
      <c r="Z32" s="4004"/>
    </row>
    <row r="33" spans="1:26" ht="20.25" customHeight="1">
      <c r="A33" s="4019"/>
      <c r="B33" s="4077"/>
      <c r="C33" s="4021">
        <v>12</v>
      </c>
      <c r="D33" s="4844" t="s">
        <v>1777</v>
      </c>
      <c r="E33" s="4815">
        <f>18706/2</f>
        <v>9353</v>
      </c>
      <c r="F33" s="4816">
        <v>1</v>
      </c>
      <c r="G33" s="4817">
        <f t="shared" si="10"/>
        <v>9353</v>
      </c>
      <c r="H33" s="4849"/>
      <c r="I33" s="4862">
        <v>10392.268523076924</v>
      </c>
      <c r="J33" s="5290">
        <v>5196.126923076923</v>
      </c>
      <c r="K33" s="4849">
        <f>81059580/26000</f>
        <v>3117.6761538461537</v>
      </c>
      <c r="L33" s="6582"/>
      <c r="M33" s="4852"/>
      <c r="N33" s="4854"/>
      <c r="O33" s="4853"/>
      <c r="P33" s="4852"/>
      <c r="Q33" s="4854"/>
      <c r="R33" s="4850"/>
      <c r="S33" s="4851"/>
      <c r="T33" s="5987">
        <f t="shared" si="14"/>
        <v>18706.071599999999</v>
      </c>
      <c r="U33" s="2541" t="s">
        <v>1705</v>
      </c>
      <c r="V33" s="2541" t="s">
        <v>1701</v>
      </c>
      <c r="W33" s="4075"/>
      <c r="Z33" s="4004"/>
    </row>
    <row r="34" spans="1:26" ht="20.25" customHeight="1">
      <c r="A34" s="4019"/>
      <c r="B34" s="4077"/>
      <c r="C34" s="4389">
        <v>13</v>
      </c>
      <c r="D34" s="6978" t="s">
        <v>1778</v>
      </c>
      <c r="E34" s="6979">
        <v>17275</v>
      </c>
      <c r="F34" s="6980">
        <v>9</v>
      </c>
      <c r="G34" s="6981">
        <f t="shared" si="10"/>
        <v>155475</v>
      </c>
      <c r="H34" s="7033"/>
      <c r="I34" s="7034">
        <f>+E34*2*40%</f>
        <v>13820</v>
      </c>
      <c r="J34" s="7035">
        <f>+E34*2*60%</f>
        <v>20730</v>
      </c>
      <c r="K34" s="7033"/>
      <c r="L34" s="7036"/>
      <c r="M34" s="6958">
        <f>E34*5*0.3</f>
        <v>25912.5</v>
      </c>
      <c r="N34" s="6959">
        <f>E34*5*0.7</f>
        <v>60462.499999999993</v>
      </c>
      <c r="O34" s="7037"/>
      <c r="P34" s="6958"/>
      <c r="Q34" s="6959"/>
      <c r="R34" s="7038"/>
      <c r="S34" s="7039"/>
      <c r="T34" s="7040">
        <f t="shared" si="14"/>
        <v>120925</v>
      </c>
      <c r="U34" s="2541"/>
      <c r="V34" s="2541"/>
      <c r="W34" s="4075"/>
      <c r="Z34" s="4004"/>
    </row>
    <row r="35" spans="1:26" ht="20.25" customHeight="1">
      <c r="A35" s="4019"/>
      <c r="B35" s="4077"/>
      <c r="C35" s="4021">
        <v>14</v>
      </c>
      <c r="D35" s="4844" t="s">
        <v>1504</v>
      </c>
      <c r="E35" s="4815">
        <v>31700</v>
      </c>
      <c r="F35" s="4816">
        <v>2</v>
      </c>
      <c r="G35" s="4817">
        <f t="shared" si="10"/>
        <v>63400</v>
      </c>
      <c r="H35" s="4849">
        <v>15850</v>
      </c>
      <c r="I35" s="4862">
        <v>6340</v>
      </c>
      <c r="J35" s="5290"/>
      <c r="K35" s="5678"/>
      <c r="L35" s="6435"/>
      <c r="M35" s="4852"/>
      <c r="N35" s="4854"/>
      <c r="O35" s="4853"/>
      <c r="P35" s="4852"/>
      <c r="Q35" s="4854"/>
      <c r="R35" s="4850"/>
      <c r="S35" s="4851"/>
      <c r="T35" s="5987">
        <f t="shared" si="14"/>
        <v>22190</v>
      </c>
      <c r="U35" s="2541"/>
      <c r="V35" s="2541"/>
      <c r="W35" s="4075"/>
      <c r="Z35" s="4004"/>
    </row>
    <row r="36" spans="1:26" ht="20.25" customHeight="1">
      <c r="A36" s="4019"/>
      <c r="B36" s="4077"/>
      <c r="C36" s="4021">
        <v>15</v>
      </c>
      <c r="D36" s="4086" t="s">
        <v>1779</v>
      </c>
      <c r="E36" s="4087">
        <v>18000</v>
      </c>
      <c r="F36" s="4088">
        <v>2</v>
      </c>
      <c r="G36" s="4089">
        <f t="shared" si="10"/>
        <v>36000</v>
      </c>
      <c r="H36" s="4829">
        <v>7200</v>
      </c>
      <c r="I36" s="5068"/>
      <c r="J36" s="5067"/>
      <c r="K36" s="4829"/>
      <c r="L36" s="6430"/>
      <c r="M36" s="4832"/>
      <c r="N36" s="4833"/>
      <c r="O36" s="4830"/>
      <c r="P36" s="4832"/>
      <c r="Q36" s="4833"/>
      <c r="R36" s="4834"/>
      <c r="S36" s="4835"/>
      <c r="T36" s="5988">
        <f t="shared" si="14"/>
        <v>7200</v>
      </c>
      <c r="U36" s="2541"/>
      <c r="V36" s="2541"/>
      <c r="W36" s="2541"/>
      <c r="Z36" s="4004"/>
    </row>
    <row r="37" spans="1:26" ht="20.25" customHeight="1">
      <c r="A37" s="4019"/>
      <c r="B37" s="4077"/>
      <c r="C37" s="4021">
        <v>16</v>
      </c>
      <c r="D37" s="4086" t="s">
        <v>1780</v>
      </c>
      <c r="E37" s="4087">
        <v>18600</v>
      </c>
      <c r="F37" s="4088">
        <v>1</v>
      </c>
      <c r="G37" s="4089">
        <f t="shared" si="10"/>
        <v>18600</v>
      </c>
      <c r="H37" s="4819"/>
      <c r="I37" s="5068"/>
      <c r="J37" s="5067">
        <v>16740</v>
      </c>
      <c r="K37" s="5686">
        <f>+G37*10%</f>
        <v>1860</v>
      </c>
      <c r="L37" s="6430"/>
      <c r="M37" s="4821"/>
      <c r="N37" s="4822"/>
      <c r="O37" s="4820"/>
      <c r="P37" s="4821"/>
      <c r="Q37" s="4822"/>
      <c r="R37" s="4823"/>
      <c r="S37" s="4824"/>
      <c r="T37" s="5989">
        <f t="shared" si="14"/>
        <v>18600</v>
      </c>
      <c r="U37" s="2541" t="s">
        <v>1704</v>
      </c>
      <c r="V37" s="2541" t="s">
        <v>1702</v>
      </c>
      <c r="W37" s="2541"/>
      <c r="Z37" s="4004"/>
    </row>
    <row r="38" spans="1:26" ht="20.25" customHeight="1">
      <c r="A38" s="4019"/>
      <c r="B38" s="4020"/>
      <c r="C38" s="4021">
        <v>17</v>
      </c>
      <c r="D38" s="4814" t="s">
        <v>1781</v>
      </c>
      <c r="E38" s="4070">
        <v>19818</v>
      </c>
      <c r="F38" s="4071">
        <v>1</v>
      </c>
      <c r="G38" s="4072">
        <f t="shared" si="10"/>
        <v>19818</v>
      </c>
      <c r="H38" s="4821"/>
      <c r="I38" s="5068">
        <v>9905</v>
      </c>
      <c r="J38" s="5067">
        <f>+E38*50%</f>
        <v>9909</v>
      </c>
      <c r="K38" s="5686"/>
      <c r="L38" s="6430"/>
      <c r="M38" s="4821"/>
      <c r="N38" s="4825"/>
      <c r="O38" s="4826"/>
      <c r="P38" s="4821"/>
      <c r="Q38" s="4825"/>
      <c r="R38" s="4827"/>
      <c r="S38" s="4828"/>
      <c r="T38" s="5990">
        <f t="shared" si="14"/>
        <v>19814</v>
      </c>
      <c r="U38" s="2541" t="s">
        <v>1704</v>
      </c>
      <c r="V38" s="2541" t="s">
        <v>1703</v>
      </c>
      <c r="W38" s="2541"/>
      <c r="Z38" s="4004"/>
    </row>
    <row r="39" spans="1:26" ht="20.25" customHeight="1">
      <c r="A39" s="4019"/>
      <c r="B39" s="4023"/>
      <c r="C39" s="4021">
        <v>18</v>
      </c>
      <c r="D39" s="4169" t="s">
        <v>1782</v>
      </c>
      <c r="E39" s="4170">
        <v>81400</v>
      </c>
      <c r="F39" s="4171">
        <v>6</v>
      </c>
      <c r="G39" s="4172">
        <f t="shared" si="10"/>
        <v>488400</v>
      </c>
      <c r="H39" s="4980">
        <v>30000</v>
      </c>
      <c r="I39" s="5069">
        <v>40000</v>
      </c>
      <c r="J39" s="5555"/>
      <c r="K39" s="5086"/>
      <c r="L39" s="6426"/>
      <c r="M39" s="4840"/>
      <c r="N39" s="4981"/>
      <c r="O39" s="4842"/>
      <c r="P39" s="4840"/>
      <c r="Q39" s="4981"/>
      <c r="R39" s="4843"/>
      <c r="S39" s="4841"/>
      <c r="T39" s="5991">
        <f t="shared" si="11"/>
        <v>70000</v>
      </c>
      <c r="U39" s="5355"/>
      <c r="V39" s="2541"/>
      <c r="W39" s="2541"/>
      <c r="Z39" s="4004"/>
    </row>
    <row r="40" spans="1:26" ht="20.25" customHeight="1">
      <c r="A40" s="4019"/>
      <c r="B40" s="4020" t="s">
        <v>1783</v>
      </c>
      <c r="C40" s="3975">
        <v>1</v>
      </c>
      <c r="D40" s="4818" t="s">
        <v>1784</v>
      </c>
      <c r="E40" s="3971">
        <v>50000</v>
      </c>
      <c r="F40" s="3972">
        <v>1</v>
      </c>
      <c r="G40" s="3979">
        <f t="shared" si="10"/>
        <v>50000</v>
      </c>
      <c r="H40" s="4504"/>
      <c r="I40" s="4542"/>
      <c r="J40" s="5289"/>
      <c r="K40" s="4504"/>
      <c r="L40" s="6434"/>
      <c r="M40" s="3955"/>
      <c r="N40" s="3965">
        <f>G40*0.3</f>
        <v>15000</v>
      </c>
      <c r="O40" s="3957">
        <f>G40*0.3</f>
        <v>15000</v>
      </c>
      <c r="P40" s="3955">
        <f>G40*0.3</f>
        <v>15000</v>
      </c>
      <c r="Q40" s="3965">
        <f>G40*0.1</f>
        <v>5000</v>
      </c>
      <c r="R40" s="3956"/>
      <c r="S40" s="3966"/>
      <c r="T40" s="3593">
        <f t="shared" si="11"/>
        <v>50000</v>
      </c>
      <c r="U40" s="2085"/>
      <c r="V40" s="2541"/>
      <c r="W40" s="2541"/>
      <c r="Z40" s="4004"/>
    </row>
    <row r="41" spans="1:26" ht="20.25" customHeight="1">
      <c r="A41" s="4019"/>
      <c r="B41" s="4076"/>
      <c r="C41" s="5992">
        <v>2</v>
      </c>
      <c r="D41" s="5993" t="s">
        <v>1785</v>
      </c>
      <c r="E41" s="4070">
        <v>19055.384615384617</v>
      </c>
      <c r="F41" s="4071">
        <v>1</v>
      </c>
      <c r="G41" s="4072">
        <f>E41*F41</f>
        <v>19055.384615384617</v>
      </c>
      <c r="H41" s="5994"/>
      <c r="I41" s="5979"/>
      <c r="J41" s="5554"/>
      <c r="K41" s="5978">
        <v>13338.76923076923</v>
      </c>
      <c r="L41" s="6436"/>
      <c r="M41" s="5980">
        <v>5716.6153846153802</v>
      </c>
      <c r="N41" s="5981"/>
      <c r="O41" s="4838"/>
      <c r="P41" s="5982"/>
      <c r="Q41" s="5981"/>
      <c r="R41" s="5982"/>
      <c r="S41" s="5982"/>
      <c r="T41" s="5983">
        <f t="shared" ref="T41:T42" si="15">SUM(H41:S41)</f>
        <v>19055.38461538461</v>
      </c>
      <c r="U41" s="2085"/>
      <c r="V41" s="2541"/>
      <c r="W41" s="2541"/>
      <c r="Z41" s="4004"/>
    </row>
    <row r="42" spans="1:26" ht="20.25" customHeight="1">
      <c r="A42" s="4019"/>
      <c r="B42" s="4076"/>
      <c r="C42" s="4117">
        <v>3</v>
      </c>
      <c r="D42" s="3961" t="s">
        <v>1786</v>
      </c>
      <c r="E42" s="3962">
        <v>10000</v>
      </c>
      <c r="F42" s="3963">
        <v>1</v>
      </c>
      <c r="G42" s="3978">
        <f t="shared" ref="G42" si="16">E42*F42</f>
        <v>10000</v>
      </c>
      <c r="H42" s="4761"/>
      <c r="I42" s="4542"/>
      <c r="J42" s="5289"/>
      <c r="K42" s="4504"/>
      <c r="L42" s="6434"/>
      <c r="M42" s="3955">
        <v>10000</v>
      </c>
      <c r="N42" s="3965"/>
      <c r="O42" s="3957"/>
      <c r="P42" s="3956"/>
      <c r="Q42" s="3965"/>
      <c r="R42" s="3956"/>
      <c r="S42" s="3956"/>
      <c r="T42" s="3593">
        <f t="shared" si="15"/>
        <v>10000</v>
      </c>
      <c r="U42" s="2085"/>
      <c r="V42" s="2541"/>
      <c r="W42" s="2541"/>
      <c r="Z42" s="4004"/>
    </row>
    <row r="43" spans="1:26" ht="20.25" customHeight="1">
      <c r="A43" s="4019"/>
      <c r="B43" s="4076"/>
      <c r="C43" s="5995">
        <v>4</v>
      </c>
      <c r="D43" s="5996" t="s">
        <v>1787</v>
      </c>
      <c r="E43" s="4810">
        <v>12500</v>
      </c>
      <c r="F43" s="4811">
        <v>1</v>
      </c>
      <c r="G43" s="4812">
        <f>E43*F43</f>
        <v>12500</v>
      </c>
      <c r="H43" s="5686"/>
      <c r="I43" s="5085"/>
      <c r="J43" s="5067">
        <f>G43*0.5</f>
        <v>6250</v>
      </c>
      <c r="K43" s="4829"/>
      <c r="L43" s="6430"/>
      <c r="M43" s="4832">
        <f>G43*0.3</f>
        <v>3750</v>
      </c>
      <c r="N43" s="4833">
        <f>G43*0.2</f>
        <v>2500</v>
      </c>
      <c r="O43" s="4830"/>
      <c r="P43" s="4834"/>
      <c r="Q43" s="4833"/>
      <c r="R43" s="4834"/>
      <c r="S43" s="4834"/>
      <c r="T43" s="5988">
        <f>SUM(H43:S43)</f>
        <v>12500</v>
      </c>
      <c r="U43" s="2085"/>
      <c r="V43" s="2541"/>
      <c r="W43" s="2541"/>
      <c r="Z43" s="4004"/>
    </row>
    <row r="44" spans="1:26" ht="20.25" customHeight="1">
      <c r="A44" s="4019"/>
      <c r="B44" s="4863"/>
      <c r="C44" s="6994">
        <v>5</v>
      </c>
      <c r="D44" s="6995" t="s">
        <v>1788</v>
      </c>
      <c r="E44" s="6996">
        <v>22080</v>
      </c>
      <c r="F44" s="6997">
        <v>1</v>
      </c>
      <c r="G44" s="6998">
        <f>E44*F44</f>
        <v>22080</v>
      </c>
      <c r="H44" s="6999">
        <v>11040</v>
      </c>
      <c r="I44" s="7000"/>
      <c r="J44" s="7001">
        <v>11040</v>
      </c>
      <c r="K44" s="7002"/>
      <c r="L44" s="7003"/>
      <c r="M44" s="7004"/>
      <c r="N44" s="7005"/>
      <c r="O44" s="7006"/>
      <c r="P44" s="7007"/>
      <c r="Q44" s="7005"/>
      <c r="R44" s="7007"/>
      <c r="S44" s="7007"/>
      <c r="T44" s="7008">
        <f>SUM(H44:S44)</f>
        <v>22080</v>
      </c>
      <c r="U44" s="2085"/>
      <c r="V44" s="2541"/>
      <c r="W44" s="2541"/>
      <c r="Z44" s="4004"/>
    </row>
    <row r="45" spans="1:26" ht="20.25" customHeight="1">
      <c r="A45" s="4024"/>
      <c r="B45" s="7041"/>
      <c r="C45" s="7042">
        <v>6</v>
      </c>
      <c r="D45" s="7043" t="s">
        <v>1933</v>
      </c>
      <c r="E45" s="7044">
        <v>60000</v>
      </c>
      <c r="F45" s="7045">
        <v>1</v>
      </c>
      <c r="G45" s="7046">
        <f t="shared" ref="G45:G46" si="17">E45*F45</f>
        <v>60000</v>
      </c>
      <c r="H45" s="5489"/>
      <c r="I45" s="5001"/>
      <c r="J45" s="5565"/>
      <c r="K45" s="4759"/>
      <c r="L45" s="5490"/>
      <c r="M45" s="4462">
        <f>G45*0.3</f>
        <v>18000</v>
      </c>
      <c r="N45" s="4464">
        <f>G45*0.7</f>
        <v>42000</v>
      </c>
      <c r="O45" s="4465"/>
      <c r="P45" s="4463"/>
      <c r="Q45" s="4464"/>
      <c r="R45" s="4463"/>
      <c r="S45" s="4463"/>
      <c r="T45" s="7047">
        <f t="shared" ref="T45:T46" si="18">SUM(H45:S45)</f>
        <v>60000</v>
      </c>
      <c r="U45" s="2085"/>
      <c r="V45" s="2541"/>
      <c r="W45" s="2541"/>
      <c r="Z45" s="4004"/>
    </row>
    <row r="46" spans="1:26" ht="20.25" customHeight="1" thickBot="1">
      <c r="A46" s="4024"/>
      <c r="B46" s="7041"/>
      <c r="C46" s="7048">
        <v>7</v>
      </c>
      <c r="D46" s="7049" t="s">
        <v>1934</v>
      </c>
      <c r="E46" s="7050">
        <f>1800000000/26000</f>
        <v>69230.769230769234</v>
      </c>
      <c r="F46" s="7051">
        <v>1</v>
      </c>
      <c r="G46" s="7046">
        <f t="shared" si="17"/>
        <v>69230.769230769234</v>
      </c>
      <c r="H46" s="7052"/>
      <c r="I46" s="7053"/>
      <c r="J46" s="7054"/>
      <c r="K46" s="5356"/>
      <c r="L46" s="5481"/>
      <c r="M46" s="7055"/>
      <c r="N46" s="5358">
        <f>G46*0.5</f>
        <v>34615.384615384617</v>
      </c>
      <c r="O46" s="7056">
        <f>G46*0.5</f>
        <v>34615.384615384617</v>
      </c>
      <c r="P46" s="5359"/>
      <c r="Q46" s="5358"/>
      <c r="R46" s="5359"/>
      <c r="S46" s="5359"/>
      <c r="T46" s="7047">
        <f t="shared" si="18"/>
        <v>69230.769230769234</v>
      </c>
      <c r="U46" s="2085"/>
      <c r="V46" s="2541"/>
      <c r="W46" s="2541"/>
      <c r="Z46" s="4004"/>
    </row>
    <row r="47" spans="1:26" s="1530" customFormat="1" ht="20.25" customHeight="1" thickBot="1">
      <c r="A47" s="5298"/>
      <c r="B47" s="7529" t="s">
        <v>1752</v>
      </c>
      <c r="C47" s="7539"/>
      <c r="D47" s="7540"/>
      <c r="E47" s="6982"/>
      <c r="F47" s="6993"/>
      <c r="G47" s="7009"/>
      <c r="H47" s="6983">
        <f>SUM(H8:H46)</f>
        <v>111932</v>
      </c>
      <c r="I47" s="6984">
        <f t="shared" ref="I47:S47" si="19">SUM(I8:I46)</f>
        <v>247188.04236923074</v>
      </c>
      <c r="J47" s="6985">
        <f t="shared" si="19"/>
        <v>155319.92692307691</v>
      </c>
      <c r="K47" s="6983">
        <f t="shared" si="19"/>
        <v>130133.40538461538</v>
      </c>
      <c r="L47" s="6986">
        <f t="shared" si="19"/>
        <v>551155.88153846154</v>
      </c>
      <c r="M47" s="6987">
        <f t="shared" si="19"/>
        <v>556497.88550278707</v>
      </c>
      <c r="N47" s="6988">
        <f t="shared" si="19"/>
        <v>780429.30615384609</v>
      </c>
      <c r="O47" s="6989">
        <f t="shared" si="19"/>
        <v>934597.23015384609</v>
      </c>
      <c r="P47" s="6990">
        <f t="shared" si="19"/>
        <v>593716.64553846151</v>
      </c>
      <c r="Q47" s="6988">
        <f t="shared" si="19"/>
        <v>81336.683999999994</v>
      </c>
      <c r="R47" s="6991">
        <f t="shared" si="19"/>
        <v>609000</v>
      </c>
      <c r="S47" s="6990">
        <f t="shared" si="19"/>
        <v>0</v>
      </c>
      <c r="T47" s="6992">
        <f>SUM(H47:S47)</f>
        <v>4751307.0075643249</v>
      </c>
      <c r="U47" s="5680"/>
      <c r="V47" s="4540"/>
      <c r="W47" s="4540"/>
      <c r="Z47" s="4990"/>
    </row>
    <row r="48" spans="1:26" ht="20.25" customHeight="1">
      <c r="A48" s="4024"/>
      <c r="B48" s="4025"/>
      <c r="C48" s="4982">
        <v>1</v>
      </c>
      <c r="D48" s="4115" t="s">
        <v>1790</v>
      </c>
      <c r="E48" s="5491">
        <v>45000</v>
      </c>
      <c r="F48" s="5492">
        <v>1</v>
      </c>
      <c r="G48" s="5493">
        <f>E48*F48</f>
        <v>45000</v>
      </c>
      <c r="H48" s="5978"/>
      <c r="I48" s="5979"/>
      <c r="J48" s="5554"/>
      <c r="K48" s="5978"/>
      <c r="L48" s="6436"/>
      <c r="M48" s="5980">
        <f>G48*0.3</f>
        <v>13500</v>
      </c>
      <c r="N48" s="5981"/>
      <c r="O48" s="4838">
        <f>G48*0.3</f>
        <v>13500</v>
      </c>
      <c r="P48" s="5982">
        <f>G48*0.3</f>
        <v>13500</v>
      </c>
      <c r="Q48" s="5981">
        <f>G48*0.1</f>
        <v>4500</v>
      </c>
      <c r="R48" s="5982"/>
      <c r="S48" s="5982"/>
      <c r="T48" s="6940">
        <f t="shared" ref="T48:T61" si="20">SUM(H48:S48)</f>
        <v>45000</v>
      </c>
      <c r="U48" s="5681" t="s">
        <v>1680</v>
      </c>
      <c r="V48" s="4167" t="s">
        <v>1689</v>
      </c>
      <c r="W48" s="4167">
        <f>648000000/26000</f>
        <v>24923.076923076922</v>
      </c>
      <c r="Z48" s="4004"/>
    </row>
    <row r="49" spans="1:26" ht="31.2">
      <c r="A49" s="4024"/>
      <c r="B49" s="4025"/>
      <c r="C49" s="4982">
        <v>2</v>
      </c>
      <c r="D49" s="4115" t="s">
        <v>1791</v>
      </c>
      <c r="E49" s="5491">
        <v>402923.07692307694</v>
      </c>
      <c r="F49" s="5492">
        <v>1</v>
      </c>
      <c r="G49" s="5493">
        <f>F49*E49</f>
        <v>402923.07692307694</v>
      </c>
      <c r="H49" s="5978"/>
      <c r="I49" s="5979"/>
      <c r="J49" s="5554"/>
      <c r="K49" s="5978"/>
      <c r="L49" s="6433">
        <f>G49*0.15</f>
        <v>60438.461538461539</v>
      </c>
      <c r="M49" s="5980">
        <f>G49*0.1</f>
        <v>40292.307692307695</v>
      </c>
      <c r="N49" s="5981">
        <f>G49*0.1</f>
        <v>40292.307692307695</v>
      </c>
      <c r="O49" s="4838">
        <f>G49*0.1</f>
        <v>40292.307692307695</v>
      </c>
      <c r="P49" s="5982">
        <f>G49*0.1</f>
        <v>40292.307692307695</v>
      </c>
      <c r="Q49" s="5981">
        <f>G49*0.15</f>
        <v>60438.461538461539</v>
      </c>
      <c r="R49" s="5982">
        <f>G49*0.15</f>
        <v>60438.461538461539</v>
      </c>
      <c r="S49" s="5982">
        <f>G49*0.15</f>
        <v>60438.461538461539</v>
      </c>
      <c r="T49" s="6940">
        <f t="shared" si="20"/>
        <v>402923.07692307699</v>
      </c>
      <c r="U49" s="5681" t="s">
        <v>1680</v>
      </c>
      <c r="V49" s="4167" t="s">
        <v>1842</v>
      </c>
      <c r="W49" s="4167"/>
      <c r="Z49" s="4004"/>
    </row>
    <row r="50" spans="1:26" ht="20.25" customHeight="1">
      <c r="A50" s="4024"/>
      <c r="B50" s="4025"/>
      <c r="C50" s="4982">
        <v>3</v>
      </c>
      <c r="D50" s="4115" t="s">
        <v>1792</v>
      </c>
      <c r="E50" s="5491">
        <v>120461.53846153845</v>
      </c>
      <c r="F50" s="5492">
        <v>1</v>
      </c>
      <c r="G50" s="5493">
        <f t="shared" ref="G50" si="21">F50*E50</f>
        <v>120461.53846153845</v>
      </c>
      <c r="H50" s="5978"/>
      <c r="I50" s="6586"/>
      <c r="J50" s="5554"/>
      <c r="K50" s="5978"/>
      <c r="L50" s="6433">
        <f>G50*0.1</f>
        <v>12046.153846153846</v>
      </c>
      <c r="M50" s="5980"/>
      <c r="N50" s="5981"/>
      <c r="O50" s="4838"/>
      <c r="P50" s="4831">
        <f>G50*0.7</f>
        <v>84323.076923076907</v>
      </c>
      <c r="Q50" s="5980">
        <f>G50*0.2</f>
        <v>24092.307692307691</v>
      </c>
      <c r="R50" s="5982"/>
      <c r="S50" s="5982"/>
      <c r="T50" s="6940">
        <f t="shared" si="20"/>
        <v>120461.53846153844</v>
      </c>
      <c r="U50" s="5681" t="s">
        <v>1680</v>
      </c>
      <c r="V50" s="4167" t="s">
        <v>1843</v>
      </c>
      <c r="W50" s="4167"/>
      <c r="Z50" s="4004"/>
    </row>
    <row r="51" spans="1:26" ht="20.25" customHeight="1">
      <c r="A51" s="4024"/>
      <c r="B51" s="4025"/>
      <c r="C51" s="4116">
        <v>4</v>
      </c>
      <c r="D51" s="3973" t="s">
        <v>1793</v>
      </c>
      <c r="E51" s="3971">
        <v>250000</v>
      </c>
      <c r="F51" s="3972">
        <v>1</v>
      </c>
      <c r="G51" s="3979">
        <f>E51*F51</f>
        <v>250000</v>
      </c>
      <c r="H51" s="4504"/>
      <c r="I51" s="4542"/>
      <c r="J51" s="5289"/>
      <c r="K51" s="4504"/>
      <c r="L51" s="6434"/>
      <c r="M51" s="3955"/>
      <c r="N51" s="3965">
        <v>20000</v>
      </c>
      <c r="O51" s="3957">
        <f t="shared" ref="O51:S51" si="22">N51</f>
        <v>20000</v>
      </c>
      <c r="P51" s="3956">
        <f t="shared" si="22"/>
        <v>20000</v>
      </c>
      <c r="Q51" s="3965">
        <f t="shared" si="22"/>
        <v>20000</v>
      </c>
      <c r="R51" s="3956">
        <f t="shared" si="22"/>
        <v>20000</v>
      </c>
      <c r="S51" s="3956">
        <f t="shared" si="22"/>
        <v>20000</v>
      </c>
      <c r="T51" s="4003">
        <f t="shared" si="20"/>
        <v>120000</v>
      </c>
      <c r="U51" s="5681" t="s">
        <v>1680</v>
      </c>
      <c r="V51" s="4167"/>
      <c r="W51" s="4167"/>
      <c r="Z51" s="4004"/>
    </row>
    <row r="52" spans="1:26" ht="20.25" customHeight="1">
      <c r="A52" s="4024"/>
      <c r="B52" s="4025"/>
      <c r="C52" s="4982">
        <v>5</v>
      </c>
      <c r="D52" s="4115" t="s">
        <v>1794</v>
      </c>
      <c r="E52" s="5491">
        <v>58153.846153846156</v>
      </c>
      <c r="F52" s="5492">
        <v>1</v>
      </c>
      <c r="G52" s="5493">
        <f t="shared" ref="G52" si="23">E52*F52</f>
        <v>58153.846153846156</v>
      </c>
      <c r="H52" s="4758"/>
      <c r="I52" s="4504"/>
      <c r="J52" s="5289"/>
      <c r="K52" s="4504">
        <f>+G52*30%</f>
        <v>17446.153846153848</v>
      </c>
      <c r="L52" s="6437"/>
      <c r="M52" s="6473">
        <f>+G52*30%</f>
        <v>17446.153846153848</v>
      </c>
      <c r="N52" s="6423">
        <f>+G52*40%</f>
        <v>23261.538461538465</v>
      </c>
      <c r="O52" s="3957"/>
      <c r="P52" s="3966"/>
      <c r="Q52" s="3955"/>
      <c r="R52" s="3956"/>
      <c r="S52" s="3956"/>
      <c r="T52" s="4003">
        <f t="shared" si="20"/>
        <v>58153.846153846156</v>
      </c>
      <c r="U52" s="5681" t="s">
        <v>1680</v>
      </c>
      <c r="V52" s="4167" t="s">
        <v>1686</v>
      </c>
      <c r="W52" s="4167">
        <f>1512000000/26000</f>
        <v>58153.846153846156</v>
      </c>
      <c r="Z52" s="4004"/>
    </row>
    <row r="53" spans="1:26" ht="20.25" customHeight="1">
      <c r="A53" s="4024"/>
      <c r="B53" s="4025"/>
      <c r="C53" s="4982">
        <v>6</v>
      </c>
      <c r="D53" s="4027" t="s">
        <v>1795</v>
      </c>
      <c r="E53" s="4028">
        <v>36950</v>
      </c>
      <c r="F53" s="4029">
        <v>2</v>
      </c>
      <c r="G53" s="4030">
        <f>(E53*F53)</f>
        <v>73900</v>
      </c>
      <c r="H53" s="4517"/>
      <c r="I53" s="4601">
        <f>E53*2*0.9</f>
        <v>66510</v>
      </c>
      <c r="J53" s="5528">
        <f>E53*2*0.1</f>
        <v>7390</v>
      </c>
      <c r="K53" s="6157"/>
      <c r="L53" s="6438"/>
      <c r="M53" s="3641"/>
      <c r="N53" s="2101"/>
      <c r="O53" s="4074"/>
      <c r="P53" s="4001"/>
      <c r="Q53" s="4074"/>
      <c r="R53" s="4002">
        <f>G53*0.5</f>
        <v>36950</v>
      </c>
      <c r="S53" s="4001">
        <f>G53*0.5</f>
        <v>36950</v>
      </c>
      <c r="T53" s="4003">
        <f t="shared" si="20"/>
        <v>147800</v>
      </c>
      <c r="U53" s="5681"/>
      <c r="V53" s="4167"/>
      <c r="W53" s="4167"/>
      <c r="Z53" s="4004"/>
    </row>
    <row r="54" spans="1:26" ht="20.25" customHeight="1">
      <c r="A54" s="4024"/>
      <c r="B54" s="4025"/>
      <c r="C54" s="4982">
        <v>7</v>
      </c>
      <c r="D54" s="4027" t="s">
        <v>1796</v>
      </c>
      <c r="E54" s="4028">
        <f>(54000+9220.29)/2</f>
        <v>31610.145</v>
      </c>
      <c r="F54" s="4029">
        <v>2</v>
      </c>
      <c r="G54" s="4030">
        <f>(E54*F54)</f>
        <v>63220.29</v>
      </c>
      <c r="H54" s="4601"/>
      <c r="I54" s="4481">
        <f>+E54*F54*90%</f>
        <v>56898.260999999999</v>
      </c>
      <c r="J54" s="5528">
        <f>+E54*F54*10%</f>
        <v>6322.0290000000005</v>
      </c>
      <c r="K54" s="6157"/>
      <c r="L54" s="6438"/>
      <c r="M54" s="3954"/>
      <c r="N54" s="4005"/>
      <c r="O54" s="4002"/>
      <c r="P54" s="4001"/>
      <c r="Q54" s="4002"/>
      <c r="R54" s="4002"/>
      <c r="S54" s="4001"/>
      <c r="T54" s="4003">
        <f t="shared" si="20"/>
        <v>63220.29</v>
      </c>
      <c r="U54" s="5681"/>
      <c r="V54" s="4167"/>
      <c r="W54" s="4167"/>
      <c r="Z54" s="4004"/>
    </row>
    <row r="55" spans="1:26" ht="20.25" customHeight="1">
      <c r="A55" s="4024"/>
      <c r="B55" s="4025"/>
      <c r="C55" s="4982">
        <v>8</v>
      </c>
      <c r="D55" s="4027" t="s">
        <v>1797</v>
      </c>
      <c r="E55" s="4028">
        <f>2484000000/26000</f>
        <v>95538.461538461532</v>
      </c>
      <c r="F55" s="4029">
        <v>1</v>
      </c>
      <c r="G55" s="4030">
        <f>E55*F55</f>
        <v>95538.461538461532</v>
      </c>
      <c r="H55" s="4505">
        <f>+G55*25%</f>
        <v>23884.615384615383</v>
      </c>
      <c r="I55" s="4600">
        <f>+G55*25%</f>
        <v>23884.615384615383</v>
      </c>
      <c r="J55" s="5071">
        <f>+G55*50%</f>
        <v>47769.230769230766</v>
      </c>
      <c r="K55" s="6157"/>
      <c r="L55" s="6438"/>
      <c r="M55" s="3954"/>
      <c r="N55" s="4005"/>
      <c r="O55" s="4002"/>
      <c r="P55" s="4001"/>
      <c r="Q55" s="4002"/>
      <c r="R55" s="4002"/>
      <c r="S55" s="4001"/>
      <c r="T55" s="4003">
        <f t="shared" si="20"/>
        <v>95538.461538461532</v>
      </c>
      <c r="U55" s="5681" t="s">
        <v>1680</v>
      </c>
      <c r="V55" s="4167" t="s">
        <v>1684</v>
      </c>
      <c r="W55" s="4167"/>
      <c r="Z55" s="4004"/>
    </row>
    <row r="56" spans="1:26" ht="20.25" customHeight="1">
      <c r="A56" s="4024"/>
      <c r="B56" s="4025"/>
      <c r="C56" s="4982">
        <v>9</v>
      </c>
      <c r="D56" s="4027" t="s">
        <v>1443</v>
      </c>
      <c r="E56" s="4028">
        <v>20000</v>
      </c>
      <c r="F56" s="4029">
        <v>8</v>
      </c>
      <c r="G56" s="4030">
        <f>E56*F56</f>
        <v>160000</v>
      </c>
      <c r="H56" s="4505"/>
      <c r="I56" s="4541">
        <v>49876.923076923078</v>
      </c>
      <c r="J56" s="5071">
        <v>27694.25</v>
      </c>
      <c r="K56" s="6157"/>
      <c r="L56" s="6424">
        <v>37313.442307692305</v>
      </c>
      <c r="M56" s="3954"/>
      <c r="N56" s="4005"/>
      <c r="O56" s="4002"/>
      <c r="P56" s="4001"/>
      <c r="Q56" s="4002"/>
      <c r="R56" s="4002"/>
      <c r="S56" s="4001"/>
      <c r="T56" s="4003">
        <f t="shared" si="20"/>
        <v>114884.61538461538</v>
      </c>
      <c r="U56" s="5681" t="s">
        <v>1680</v>
      </c>
      <c r="V56" s="4167" t="s">
        <v>1685</v>
      </c>
      <c r="W56" s="4167"/>
      <c r="Z56" s="4004"/>
    </row>
    <row r="57" spans="1:26" ht="20.25" customHeight="1">
      <c r="A57" s="4024"/>
      <c r="B57" s="4025"/>
      <c r="C57" s="4982">
        <v>10</v>
      </c>
      <c r="D57" s="4027" t="s">
        <v>1798</v>
      </c>
      <c r="E57" s="4028">
        <v>96369.230769230795</v>
      </c>
      <c r="F57" s="4029">
        <v>1</v>
      </c>
      <c r="G57" s="4030">
        <f>E57*F57</f>
        <v>96369.230769230795</v>
      </c>
      <c r="H57" s="4505">
        <v>19273.84615384616</v>
      </c>
      <c r="I57" s="4541">
        <v>19273.84615384616</v>
      </c>
      <c r="J57" s="5071"/>
      <c r="K57" s="4541">
        <v>38547.58</v>
      </c>
      <c r="L57" s="6438"/>
      <c r="M57" s="3954"/>
      <c r="N57" s="4005"/>
      <c r="O57" s="4002"/>
      <c r="P57" s="4001"/>
      <c r="Q57" s="4002"/>
      <c r="R57" s="4002"/>
      <c r="S57" s="4001"/>
      <c r="T57" s="4003">
        <f t="shared" si="20"/>
        <v>77095.272307692328</v>
      </c>
      <c r="U57" s="5681" t="s">
        <v>1680</v>
      </c>
      <c r="V57" s="4167" t="s">
        <v>1444</v>
      </c>
      <c r="W57" s="4167"/>
      <c r="Z57" s="4004"/>
    </row>
    <row r="58" spans="1:26" ht="20.25" customHeight="1">
      <c r="A58" s="4024"/>
      <c r="B58" s="4025"/>
      <c r="C58" s="4982">
        <v>11</v>
      </c>
      <c r="D58" s="4027" t="s">
        <v>1799</v>
      </c>
      <c r="E58" s="4028">
        <v>87230.769230769234</v>
      </c>
      <c r="F58" s="4029">
        <v>1</v>
      </c>
      <c r="G58" s="4030">
        <f>E58*F58</f>
        <v>87230.769230769234</v>
      </c>
      <c r="H58" s="4505">
        <v>21807.692307692309</v>
      </c>
      <c r="I58" s="4541"/>
      <c r="J58" s="5071">
        <v>47976.923076923085</v>
      </c>
      <c r="K58" s="6157"/>
      <c r="L58" s="6438"/>
      <c r="M58" s="3954"/>
      <c r="N58" s="4005"/>
      <c r="O58" s="4002"/>
      <c r="P58" s="4001"/>
      <c r="Q58" s="4002"/>
      <c r="R58" s="4002"/>
      <c r="S58" s="4001"/>
      <c r="T58" s="4003">
        <f t="shared" si="20"/>
        <v>69784.61538461539</v>
      </c>
      <c r="U58" s="5681" t="s">
        <v>1680</v>
      </c>
      <c r="V58" s="4167" t="s">
        <v>1442</v>
      </c>
      <c r="W58" s="4167"/>
      <c r="Z58" s="4004"/>
    </row>
    <row r="59" spans="1:26" ht="20.25" customHeight="1">
      <c r="A59" s="4024"/>
      <c r="B59" s="4025"/>
      <c r="C59" s="4982">
        <v>12</v>
      </c>
      <c r="D59" s="4027" t="s">
        <v>1800</v>
      </c>
      <c r="E59" s="4028">
        <v>250000</v>
      </c>
      <c r="F59" s="4029">
        <v>1</v>
      </c>
      <c r="G59" s="4030">
        <f t="shared" ref="G59:G61" si="24">E59*F59</f>
        <v>250000</v>
      </c>
      <c r="H59" s="4762"/>
      <c r="I59" s="5090"/>
      <c r="J59" s="5557"/>
      <c r="K59" s="6158"/>
      <c r="L59" s="6434"/>
      <c r="M59" s="3970"/>
      <c r="N59" s="3964">
        <v>50000</v>
      </c>
      <c r="O59" s="3969"/>
      <c r="P59" s="3957">
        <v>50000</v>
      </c>
      <c r="Q59" s="3983">
        <v>50000</v>
      </c>
      <c r="R59" s="3957">
        <v>50000</v>
      </c>
      <c r="S59" s="3957">
        <v>50000</v>
      </c>
      <c r="T59" s="4003">
        <f t="shared" si="20"/>
        <v>250000</v>
      </c>
      <c r="U59" s="5681" t="s">
        <v>1680</v>
      </c>
      <c r="V59" s="4167" t="s">
        <v>1441</v>
      </c>
      <c r="W59" s="4167"/>
      <c r="Z59" s="4004"/>
    </row>
    <row r="60" spans="1:26" ht="20.25" customHeight="1">
      <c r="A60" s="4024"/>
      <c r="B60" s="4025"/>
      <c r="C60" s="4982">
        <v>13</v>
      </c>
      <c r="D60" s="4115" t="s">
        <v>1801</v>
      </c>
      <c r="E60" s="4087">
        <f>1090000000/26000+1090000000/26000*8%</f>
        <v>45276.923076923078</v>
      </c>
      <c r="F60" s="4088">
        <v>1</v>
      </c>
      <c r="G60" s="4089">
        <f>E60*F60</f>
        <v>45276.923076923078</v>
      </c>
      <c r="H60" s="4456">
        <f>+G60*30%</f>
        <v>13583.076923076924</v>
      </c>
      <c r="I60" s="5088"/>
      <c r="J60" s="5289">
        <f>+G60*60%</f>
        <v>27166.153846153848</v>
      </c>
      <c r="K60" s="4456">
        <f>+G60*10%</f>
        <v>4527.6923076923076</v>
      </c>
      <c r="L60" s="6432"/>
      <c r="M60" s="3958"/>
      <c r="N60" s="3968"/>
      <c r="O60" s="3960"/>
      <c r="P60" s="3959"/>
      <c r="Q60" s="3968"/>
      <c r="R60" s="3959"/>
      <c r="S60" s="3959"/>
      <c r="T60" s="4003">
        <f t="shared" si="20"/>
        <v>45276.923076923078</v>
      </c>
      <c r="U60" s="5681"/>
      <c r="V60" s="2541"/>
      <c r="W60" s="2541"/>
      <c r="Z60" s="4004"/>
    </row>
    <row r="61" spans="1:26" ht="20.25" customHeight="1">
      <c r="A61" s="4024"/>
      <c r="B61" s="4025"/>
      <c r="C61" s="4982">
        <v>14</v>
      </c>
      <c r="D61" s="4115" t="s">
        <v>1802</v>
      </c>
      <c r="E61" s="4087">
        <v>15000</v>
      </c>
      <c r="F61" s="4088">
        <v>1</v>
      </c>
      <c r="G61" s="4089">
        <f t="shared" si="24"/>
        <v>15000</v>
      </c>
      <c r="H61" s="4456"/>
      <c r="I61" s="5088"/>
      <c r="J61" s="5289"/>
      <c r="K61" s="4456"/>
      <c r="L61" s="6432"/>
      <c r="M61" s="3958"/>
      <c r="N61" s="3968">
        <v>15000</v>
      </c>
      <c r="O61" s="3960"/>
      <c r="P61" s="3959"/>
      <c r="Q61" s="3968"/>
      <c r="R61" s="3959"/>
      <c r="S61" s="3959"/>
      <c r="T61" s="4003">
        <f t="shared" si="20"/>
        <v>15000</v>
      </c>
      <c r="U61" s="5681"/>
      <c r="V61" s="2541"/>
      <c r="W61" s="2541"/>
      <c r="Z61" s="4004"/>
    </row>
    <row r="62" spans="1:26" ht="25.2" customHeight="1" thickBot="1">
      <c r="A62" s="4024"/>
      <c r="B62" s="4025"/>
      <c r="C62" s="4982">
        <v>15</v>
      </c>
      <c r="D62" s="4115" t="s">
        <v>1803</v>
      </c>
      <c r="E62" s="4983">
        <v>240000</v>
      </c>
      <c r="F62" s="4984">
        <v>1</v>
      </c>
      <c r="G62" s="4985">
        <f>(E62*F62)+71000</f>
        <v>311000</v>
      </c>
      <c r="H62" s="4506">
        <v>50000</v>
      </c>
      <c r="I62" s="5070">
        <v>20000</v>
      </c>
      <c r="J62" s="5558"/>
      <c r="K62" s="5679">
        <f>22553.8461538462+17446</f>
        <v>39999.8461538462</v>
      </c>
      <c r="L62" s="6425">
        <f>19781.5384615385</f>
        <v>19781.538461538501</v>
      </c>
      <c r="M62" s="4484">
        <v>50000</v>
      </c>
      <c r="N62" s="4483">
        <v>60000</v>
      </c>
      <c r="O62" s="4482">
        <f t="shared" ref="O62:S62" si="25">N62</f>
        <v>60000</v>
      </c>
      <c r="P62" s="4485">
        <f t="shared" si="25"/>
        <v>60000</v>
      </c>
      <c r="Q62" s="4486">
        <f t="shared" si="25"/>
        <v>60000</v>
      </c>
      <c r="R62" s="4487">
        <f t="shared" si="25"/>
        <v>60000</v>
      </c>
      <c r="S62" s="4485">
        <f t="shared" si="25"/>
        <v>60000</v>
      </c>
      <c r="T62" s="4003">
        <f t="shared" ref="T62" si="26">SUM(H62:S62)</f>
        <v>539781.38461538474</v>
      </c>
      <c r="U62" s="5681"/>
      <c r="V62" s="2541"/>
      <c r="W62" s="2541"/>
      <c r="Z62" s="4004"/>
    </row>
    <row r="63" spans="1:26" s="1530" customFormat="1" ht="20.25" customHeight="1" thickBot="1">
      <c r="A63" s="5298"/>
      <c r="B63" s="4986"/>
      <c r="C63" s="4986"/>
      <c r="D63" s="6000" t="s">
        <v>344</v>
      </c>
      <c r="E63" s="4987"/>
      <c r="F63" s="5999"/>
      <c r="G63" s="4988">
        <f>SUM(G5:G62)</f>
        <v>7481912.358272017</v>
      </c>
      <c r="H63" s="6011">
        <f t="shared" ref="H63:T63" si="27">SUM(H48:H62)</f>
        <v>128549.23076923078</v>
      </c>
      <c r="I63" s="6003">
        <f t="shared" si="27"/>
        <v>236443.64561538459</v>
      </c>
      <c r="J63" s="6004">
        <f t="shared" si="27"/>
        <v>164318.5866923077</v>
      </c>
      <c r="K63" s="6159">
        <f t="shared" si="27"/>
        <v>100521.27230769236</v>
      </c>
      <c r="L63" s="6429">
        <f t="shared" si="27"/>
        <v>129579.59615384619</v>
      </c>
      <c r="M63" s="6009">
        <f t="shared" si="27"/>
        <v>121238.46153846155</v>
      </c>
      <c r="N63" s="6012">
        <f t="shared" si="27"/>
        <v>208553.84615384616</v>
      </c>
      <c r="O63" s="6009">
        <f t="shared" si="27"/>
        <v>133792.30769230769</v>
      </c>
      <c r="P63" s="6008">
        <f t="shared" si="27"/>
        <v>268115.38461538462</v>
      </c>
      <c r="Q63" s="6012">
        <f t="shared" si="27"/>
        <v>219030.76923076925</v>
      </c>
      <c r="R63" s="6009">
        <f t="shared" si="27"/>
        <v>227388.46153846153</v>
      </c>
      <c r="S63" s="6008">
        <f t="shared" si="27"/>
        <v>227388.46153846153</v>
      </c>
      <c r="T63" s="5682">
        <f t="shared" si="27"/>
        <v>2164920.0238461541</v>
      </c>
      <c r="U63" s="5682"/>
      <c r="V63" s="5682"/>
      <c r="W63" s="5682"/>
      <c r="Z63" s="4990"/>
    </row>
    <row r="64" spans="1:26" s="1530" customFormat="1" ht="27.6" customHeight="1" thickBot="1">
      <c r="A64" s="7541" t="s">
        <v>1804</v>
      </c>
      <c r="B64" s="7542"/>
      <c r="C64" s="7542"/>
      <c r="D64" s="7542"/>
      <c r="E64" s="7542"/>
      <c r="F64" s="7542"/>
      <c r="G64" s="7543"/>
      <c r="H64" s="4763">
        <f t="shared" ref="H64:S64" si="28">H63+H47+H7</f>
        <v>240481.23076923078</v>
      </c>
      <c r="I64" s="5091">
        <f t="shared" si="28"/>
        <v>518451.31936923071</v>
      </c>
      <c r="J64" s="5559">
        <f t="shared" si="28"/>
        <v>319638.51361538458</v>
      </c>
      <c r="K64" s="6160">
        <f t="shared" si="28"/>
        <v>240712.37000000005</v>
      </c>
      <c r="L64" s="6439">
        <f t="shared" si="28"/>
        <v>690793.16999999993</v>
      </c>
      <c r="M64" s="3653">
        <f t="shared" si="28"/>
        <v>677736.34704124858</v>
      </c>
      <c r="N64" s="3984">
        <f t="shared" si="28"/>
        <v>988983.15230769222</v>
      </c>
      <c r="O64" s="3651">
        <f t="shared" si="28"/>
        <v>1068389.5378461538</v>
      </c>
      <c r="P64" s="3652">
        <f t="shared" si="28"/>
        <v>861832.03015384614</v>
      </c>
      <c r="Q64" s="3984">
        <f t="shared" si="28"/>
        <v>300367.45323076926</v>
      </c>
      <c r="R64" s="3652">
        <f t="shared" si="28"/>
        <v>836388.4615384615</v>
      </c>
      <c r="S64" s="3653">
        <f t="shared" si="28"/>
        <v>227388.46153846153</v>
      </c>
      <c r="T64" s="4488">
        <f>T47+T63+T7</f>
        <v>6971162.0474104788</v>
      </c>
      <c r="U64" s="4488"/>
      <c r="V64" s="4488"/>
      <c r="W64" s="4488"/>
      <c r="Z64" s="4990"/>
    </row>
    <row r="65" spans="1:26" ht="29.25" customHeight="1">
      <c r="A65" s="1922"/>
      <c r="B65" s="1922"/>
      <c r="C65" s="1922"/>
      <c r="D65" s="1922"/>
      <c r="E65" s="2267"/>
      <c r="F65" s="1922"/>
      <c r="G65" s="1922"/>
      <c r="H65" s="2233"/>
      <c r="I65" s="2233"/>
      <c r="J65" s="2233"/>
      <c r="K65" s="2233"/>
      <c r="L65" s="6440"/>
      <c r="M65" s="1546"/>
      <c r="N65" s="1546"/>
      <c r="O65" s="1546"/>
      <c r="P65" s="1546"/>
      <c r="Q65" s="1546"/>
      <c r="R65" s="1546"/>
      <c r="S65" s="1546"/>
      <c r="T65" s="1546" t="b">
        <f>SUM(H64:S64)=T64</f>
        <v>1</v>
      </c>
      <c r="U65" s="1546"/>
      <c r="V65" s="1546"/>
      <c r="W65" s="1546"/>
    </row>
    <row r="66" spans="1:26" ht="29.25" customHeight="1">
      <c r="A66" s="1538" t="s">
        <v>1805</v>
      </c>
      <c r="B66" s="1538"/>
      <c r="C66" s="1538"/>
      <c r="T66" s="1537" t="s">
        <v>1744</v>
      </c>
      <c r="U66" s="1537"/>
    </row>
    <row r="67" spans="1:26" ht="29.25" hidden="1" customHeight="1" thickBot="1">
      <c r="A67" s="7081" t="s">
        <v>1745</v>
      </c>
      <c r="B67" s="7168"/>
      <c r="C67" s="80" t="s">
        <v>1746</v>
      </c>
      <c r="D67" s="74" t="s">
        <v>1747</v>
      </c>
      <c r="E67" s="74" t="s">
        <v>124</v>
      </c>
      <c r="F67" s="64" t="s">
        <v>1748</v>
      </c>
      <c r="G67" s="3368" t="s">
        <v>1749</v>
      </c>
      <c r="H67" s="4757" t="s">
        <v>1292</v>
      </c>
      <c r="I67" s="5005" t="s">
        <v>1293</v>
      </c>
      <c r="J67" s="5553" t="s">
        <v>1294</v>
      </c>
      <c r="K67" s="4574" t="s">
        <v>1295</v>
      </c>
      <c r="L67" s="6428" t="s">
        <v>1296</v>
      </c>
      <c r="M67" s="1843" t="s">
        <v>1297</v>
      </c>
      <c r="N67" s="1841" t="s">
        <v>1298</v>
      </c>
      <c r="O67" s="27" t="s">
        <v>1299</v>
      </c>
      <c r="P67" s="1843" t="s">
        <v>1300</v>
      </c>
      <c r="Q67" s="1841" t="s">
        <v>1301</v>
      </c>
      <c r="R67" s="1842" t="s">
        <v>1302</v>
      </c>
      <c r="S67" s="1843" t="s">
        <v>1303</v>
      </c>
      <c r="T67" s="1841" t="s">
        <v>1304</v>
      </c>
      <c r="U67" s="82"/>
      <c r="V67" s="1541" t="s">
        <v>102</v>
      </c>
      <c r="W67" s="1541"/>
    </row>
    <row r="68" spans="1:26" ht="29.25" hidden="1" customHeight="1">
      <c r="A68" s="5440"/>
      <c r="B68" s="5297" t="s">
        <v>1806</v>
      </c>
      <c r="C68" s="5441">
        <v>1</v>
      </c>
      <c r="D68" s="5442" t="s">
        <v>1807</v>
      </c>
      <c r="E68" s="5443">
        <v>50000</v>
      </c>
      <c r="F68" s="5444">
        <v>1</v>
      </c>
      <c r="G68" s="5445">
        <f t="shared" ref="G68" si="29">E68*F68</f>
        <v>50000</v>
      </c>
      <c r="H68" s="5446"/>
      <c r="I68" s="5447"/>
      <c r="J68" s="5560"/>
      <c r="K68" s="5446"/>
      <c r="L68" s="6441"/>
      <c r="M68" s="5451"/>
      <c r="N68" s="5449"/>
      <c r="O68" s="5450"/>
      <c r="P68" s="5452"/>
      <c r="Q68" s="5453"/>
      <c r="R68" s="5452"/>
      <c r="S68" s="5448"/>
      <c r="T68" s="5454">
        <f>G68</f>
        <v>50000</v>
      </c>
      <c r="U68" s="5454"/>
      <c r="V68" s="5455"/>
      <c r="W68" s="5455"/>
      <c r="Z68" s="4004"/>
    </row>
    <row r="69" spans="1:26" ht="29.25" hidden="1" customHeight="1">
      <c r="A69" s="4024"/>
      <c r="B69" s="4025"/>
      <c r="C69" s="4389">
        <v>2</v>
      </c>
      <c r="D69" s="5456" t="s">
        <v>1808</v>
      </c>
      <c r="E69" s="4458">
        <v>200000</v>
      </c>
      <c r="F69" s="4459">
        <v>1</v>
      </c>
      <c r="G69" s="4460">
        <f>E69*F69</f>
        <v>200000</v>
      </c>
      <c r="H69" s="5457"/>
      <c r="I69" s="5320"/>
      <c r="J69" s="5561"/>
      <c r="K69" s="4770"/>
      <c r="L69" s="6442"/>
      <c r="M69" s="5322"/>
      <c r="N69" s="5458"/>
      <c r="O69" s="5459"/>
      <c r="P69" s="5460"/>
      <c r="Q69" s="5323"/>
      <c r="R69" s="5321"/>
      <c r="S69" s="5321"/>
      <c r="T69" s="3981">
        <f t="shared" ref="T69:T80" si="30">G69</f>
        <v>200000</v>
      </c>
      <c r="U69" s="4118"/>
      <c r="V69" s="5461"/>
      <c r="W69" s="5461"/>
      <c r="Z69" s="4004"/>
    </row>
    <row r="70" spans="1:26" ht="29.25" hidden="1" customHeight="1">
      <c r="A70" s="4024"/>
      <c r="B70" s="4025"/>
      <c r="C70" s="4389">
        <v>3</v>
      </c>
      <c r="D70" s="4989" t="s">
        <v>1809</v>
      </c>
      <c r="E70" s="4391">
        <v>800000</v>
      </c>
      <c r="F70" s="4392">
        <v>1</v>
      </c>
      <c r="G70" s="4393">
        <f t="shared" ref="G70" si="31">E70*F70</f>
        <v>800000</v>
      </c>
      <c r="H70" s="5319"/>
      <c r="I70" s="5320"/>
      <c r="J70" s="5561"/>
      <c r="K70" s="4770"/>
      <c r="L70" s="6442"/>
      <c r="M70" s="5322"/>
      <c r="N70" s="5323"/>
      <c r="O70" s="5324"/>
      <c r="P70" s="5321"/>
      <c r="Q70" s="5323"/>
      <c r="R70" s="5321"/>
      <c r="S70" s="5321"/>
      <c r="T70" s="4118">
        <f t="shared" si="30"/>
        <v>800000</v>
      </c>
      <c r="U70" s="5355"/>
      <c r="V70" s="2541"/>
      <c r="W70" s="2541"/>
      <c r="Z70" s="4004"/>
    </row>
    <row r="71" spans="1:26" ht="29.25" hidden="1" customHeight="1">
      <c r="A71" s="6013"/>
      <c r="B71" s="4022" t="s">
        <v>1810</v>
      </c>
      <c r="C71" s="5462">
        <v>1</v>
      </c>
      <c r="D71" s="5463" t="s">
        <v>1811</v>
      </c>
      <c r="E71" s="5464">
        <v>700000</v>
      </c>
      <c r="F71" s="5465">
        <v>1</v>
      </c>
      <c r="G71" s="5466">
        <f>E71*F71</f>
        <v>700000</v>
      </c>
      <c r="H71" s="6014"/>
      <c r="I71" s="5467"/>
      <c r="J71" s="5562"/>
      <c r="K71" s="6161"/>
      <c r="L71" s="6443"/>
      <c r="M71" s="5468"/>
      <c r="N71" s="6016"/>
      <c r="O71" s="5469"/>
      <c r="P71" s="5469"/>
      <c r="Q71" s="6015"/>
      <c r="R71" s="5469"/>
      <c r="S71" s="5470"/>
      <c r="T71" s="5471">
        <f t="shared" si="30"/>
        <v>700000</v>
      </c>
      <c r="U71" s="5471"/>
      <c r="V71" s="5472"/>
      <c r="W71" s="5472"/>
      <c r="Z71" s="4004"/>
    </row>
    <row r="72" spans="1:26" ht="29.25" hidden="1" customHeight="1">
      <c r="A72" s="5473"/>
      <c r="B72" s="5475"/>
      <c r="C72" s="5476">
        <v>2</v>
      </c>
      <c r="D72" s="5477" t="s">
        <v>1812</v>
      </c>
      <c r="E72" s="5478">
        <v>150000</v>
      </c>
      <c r="F72" s="5479">
        <v>1</v>
      </c>
      <c r="G72" s="5480">
        <f>E72*F72</f>
        <v>150000</v>
      </c>
      <c r="H72" s="5356"/>
      <c r="I72" s="5481"/>
      <c r="J72" s="5356"/>
      <c r="K72" s="6155"/>
      <c r="L72" s="6444"/>
      <c r="M72" s="5483"/>
      <c r="N72" s="5358"/>
      <c r="O72" s="5359"/>
      <c r="P72" s="5359"/>
      <c r="Q72" s="5482"/>
      <c r="R72" s="5359"/>
      <c r="S72" s="5357"/>
      <c r="T72" s="5484">
        <f t="shared" si="30"/>
        <v>150000</v>
      </c>
      <c r="U72" s="5484"/>
      <c r="V72" s="5474"/>
      <c r="W72" s="5474"/>
      <c r="Z72" s="4004"/>
    </row>
    <row r="73" spans="1:26" ht="29.25" hidden="1" customHeight="1">
      <c r="A73" s="5351"/>
      <c r="B73" s="5336" t="s">
        <v>1762</v>
      </c>
      <c r="C73" s="5337">
        <v>1</v>
      </c>
      <c r="D73" s="5338" t="s">
        <v>1813</v>
      </c>
      <c r="E73" s="5339">
        <v>70000</v>
      </c>
      <c r="F73" s="5340">
        <v>1</v>
      </c>
      <c r="G73" s="5341">
        <f>E73*F73</f>
        <v>70000</v>
      </c>
      <c r="H73" s="5342"/>
      <c r="I73" s="5343"/>
      <c r="J73" s="5563"/>
      <c r="K73" s="5342"/>
      <c r="L73" s="6445"/>
      <c r="M73" s="5347"/>
      <c r="N73" s="5345"/>
      <c r="O73" s="5348"/>
      <c r="P73" s="5344"/>
      <c r="Q73" s="5345"/>
      <c r="R73" s="5346"/>
      <c r="S73" s="5347"/>
      <c r="T73" s="5349">
        <f t="shared" si="30"/>
        <v>70000</v>
      </c>
      <c r="U73" s="5349"/>
      <c r="V73" s="5350"/>
      <c r="W73" s="5350"/>
      <c r="Z73" s="4004"/>
    </row>
    <row r="74" spans="1:26" ht="29.25" hidden="1" customHeight="1">
      <c r="A74" s="4024"/>
      <c r="B74" s="4025" t="s">
        <v>1766</v>
      </c>
      <c r="C74" s="5352">
        <v>1</v>
      </c>
      <c r="D74" s="5325" t="s">
        <v>1814</v>
      </c>
      <c r="E74" s="5326">
        <v>200000</v>
      </c>
      <c r="F74" s="5327">
        <v>1</v>
      </c>
      <c r="G74" s="5328">
        <f>E74*F74</f>
        <v>200000</v>
      </c>
      <c r="H74" s="5329"/>
      <c r="I74" s="5330"/>
      <c r="J74" s="5564"/>
      <c r="K74" s="6162"/>
      <c r="L74" s="6446"/>
      <c r="M74" s="5332"/>
      <c r="N74" s="5334"/>
      <c r="O74" s="5333"/>
      <c r="P74" s="5332"/>
      <c r="Q74" s="5334"/>
      <c r="R74" s="5335"/>
      <c r="S74" s="5331"/>
      <c r="T74" s="5355">
        <f t="shared" si="30"/>
        <v>200000</v>
      </c>
      <c r="U74" s="5355"/>
      <c r="V74" s="2541"/>
      <c r="W74" s="2541"/>
      <c r="Z74" s="4004"/>
    </row>
    <row r="75" spans="1:26" ht="19.5" hidden="1" customHeight="1">
      <c r="A75" s="4019"/>
      <c r="B75" s="4077"/>
      <c r="C75" s="4389">
        <v>2</v>
      </c>
      <c r="D75" s="5485" t="s">
        <v>1815</v>
      </c>
      <c r="E75" s="5486">
        <v>48000</v>
      </c>
      <c r="F75" s="5487">
        <v>1</v>
      </c>
      <c r="G75" s="5488">
        <f>E75*F75</f>
        <v>48000</v>
      </c>
      <c r="H75" s="5489"/>
      <c r="I75" s="5490"/>
      <c r="J75" s="5565"/>
      <c r="K75" s="4759"/>
      <c r="L75" s="6447"/>
      <c r="M75" s="4462"/>
      <c r="N75" s="4464"/>
      <c r="O75" s="4465"/>
      <c r="P75" s="4462"/>
      <c r="Q75" s="4464"/>
      <c r="R75" s="4463"/>
      <c r="S75" s="4466"/>
      <c r="T75" s="5355">
        <f t="shared" si="30"/>
        <v>48000</v>
      </c>
      <c r="U75" s="5355"/>
      <c r="V75" s="2541"/>
      <c r="W75" s="2541"/>
      <c r="Z75" s="4004"/>
    </row>
    <row r="76" spans="1:26" ht="29.25" hidden="1" customHeight="1">
      <c r="A76" s="5313"/>
      <c r="B76" s="5314" t="s">
        <v>1368</v>
      </c>
      <c r="C76" s="4471">
        <v>1</v>
      </c>
      <c r="D76" s="4472" t="s">
        <v>1816</v>
      </c>
      <c r="E76" s="4473">
        <v>100000</v>
      </c>
      <c r="F76" s="4474">
        <v>1</v>
      </c>
      <c r="G76" s="4475">
        <f t="shared" ref="G76:G79" si="32">E76*F76</f>
        <v>100000</v>
      </c>
      <c r="H76" s="5316"/>
      <c r="I76" s="5089"/>
      <c r="J76" s="5566"/>
      <c r="K76" s="5316"/>
      <c r="L76" s="6448"/>
      <c r="M76" s="5353"/>
      <c r="N76" s="4477"/>
      <c r="O76" s="4478"/>
      <c r="P76" s="4479"/>
      <c r="Q76" s="4477"/>
      <c r="R76" s="4479"/>
      <c r="S76" s="4479"/>
      <c r="T76" s="3982">
        <f t="shared" si="30"/>
        <v>100000</v>
      </c>
      <c r="U76" s="5683"/>
      <c r="V76" s="5354"/>
      <c r="W76" s="5354"/>
      <c r="Z76" s="4004"/>
    </row>
    <row r="77" spans="1:26" ht="29.25" hidden="1" customHeight="1">
      <c r="A77" s="4024"/>
      <c r="B77" s="4025"/>
      <c r="C77" s="4457">
        <v>2</v>
      </c>
      <c r="D77" s="4480" t="s">
        <v>1817</v>
      </c>
      <c r="E77" s="4458">
        <v>100000</v>
      </c>
      <c r="F77" s="4459">
        <v>1</v>
      </c>
      <c r="G77" s="4460">
        <f t="shared" si="32"/>
        <v>100000</v>
      </c>
      <c r="H77" s="4759"/>
      <c r="I77" s="5001"/>
      <c r="J77" s="5565"/>
      <c r="K77" s="4759"/>
      <c r="L77" s="6447"/>
      <c r="M77" s="4462"/>
      <c r="N77" s="4464"/>
      <c r="O77" s="4465"/>
      <c r="P77" s="4463"/>
      <c r="Q77" s="4464"/>
      <c r="R77" s="4463"/>
      <c r="S77" s="4463"/>
      <c r="T77" s="3593">
        <f t="shared" si="30"/>
        <v>100000</v>
      </c>
      <c r="U77" s="2085"/>
      <c r="V77" s="4167"/>
      <c r="W77" s="4167"/>
      <c r="Z77" s="4004"/>
    </row>
    <row r="78" spans="1:26" ht="29.25" hidden="1" customHeight="1">
      <c r="A78" s="4024"/>
      <c r="B78" s="4025"/>
      <c r="C78" s="4389">
        <v>3</v>
      </c>
      <c r="D78" s="4390" t="s">
        <v>1818</v>
      </c>
      <c r="E78" s="4391">
        <v>100000</v>
      </c>
      <c r="F78" s="4392">
        <v>1</v>
      </c>
      <c r="G78" s="4393">
        <f t="shared" si="32"/>
        <v>100000</v>
      </c>
      <c r="H78" s="4760"/>
      <c r="I78" s="5084"/>
      <c r="J78" s="5567"/>
      <c r="K78" s="4760"/>
      <c r="L78" s="6449"/>
      <c r="M78" s="4467"/>
      <c r="N78" s="4469"/>
      <c r="O78" s="4470"/>
      <c r="P78" s="4468"/>
      <c r="Q78" s="4469"/>
      <c r="R78" s="4468"/>
      <c r="S78" s="4468"/>
      <c r="T78" s="2094">
        <f t="shared" si="30"/>
        <v>100000</v>
      </c>
      <c r="U78" s="2085"/>
      <c r="V78" s="4167"/>
      <c r="W78" s="4167"/>
      <c r="Z78" s="4004"/>
    </row>
    <row r="79" spans="1:26" ht="29.25" hidden="1" customHeight="1">
      <c r="A79" s="5313"/>
      <c r="B79" s="5314" t="s">
        <v>1789</v>
      </c>
      <c r="C79" s="5315">
        <v>1</v>
      </c>
      <c r="D79" s="4472" t="s">
        <v>1819</v>
      </c>
      <c r="E79" s="4473">
        <v>200000</v>
      </c>
      <c r="F79" s="4474">
        <v>1</v>
      </c>
      <c r="G79" s="4475">
        <f t="shared" si="32"/>
        <v>200000</v>
      </c>
      <c r="H79" s="5316"/>
      <c r="I79" s="5089"/>
      <c r="J79" s="5089"/>
      <c r="K79" s="6163"/>
      <c r="L79" s="6450"/>
      <c r="M79" s="5317"/>
      <c r="N79" s="4477"/>
      <c r="O79" s="4478"/>
      <c r="P79" s="4479"/>
      <c r="Q79" s="4477"/>
      <c r="R79" s="4479"/>
      <c r="S79" s="4476"/>
      <c r="T79" s="5318">
        <f t="shared" si="30"/>
        <v>200000</v>
      </c>
      <c r="U79" s="5684"/>
      <c r="V79" s="5472"/>
      <c r="W79" s="5472"/>
      <c r="Z79" s="4004"/>
    </row>
    <row r="80" spans="1:26" ht="29.25" hidden="1" customHeight="1" thickBot="1">
      <c r="A80" s="5298"/>
      <c r="B80" s="5299"/>
      <c r="C80" s="5300">
        <v>2</v>
      </c>
      <c r="D80" s="5301" t="s">
        <v>1820</v>
      </c>
      <c r="E80" s="5302">
        <v>150000</v>
      </c>
      <c r="F80" s="5303">
        <v>1</v>
      </c>
      <c r="G80" s="5304">
        <f>E80*F80</f>
        <v>150000</v>
      </c>
      <c r="H80" s="5305"/>
      <c r="I80" s="5306"/>
      <c r="J80" s="5568"/>
      <c r="K80" s="6164"/>
      <c r="L80" s="6451"/>
      <c r="M80" s="5309"/>
      <c r="N80" s="5308"/>
      <c r="O80" s="5310"/>
      <c r="P80" s="5311"/>
      <c r="Q80" s="5310"/>
      <c r="R80" s="5307"/>
      <c r="S80" s="5310"/>
      <c r="T80" s="5312">
        <f t="shared" si="30"/>
        <v>150000</v>
      </c>
      <c r="U80" s="5685"/>
      <c r="V80" s="4540"/>
      <c r="W80" s="4540"/>
      <c r="Z80" s="4004"/>
    </row>
    <row r="81" spans="1:26" s="1530" customFormat="1" ht="29.25" hidden="1" customHeight="1" thickBot="1">
      <c r="A81" s="5298"/>
      <c r="B81" s="4986"/>
      <c r="C81" s="4986"/>
      <c r="D81" s="6000" t="s">
        <v>344</v>
      </c>
      <c r="E81" s="4987"/>
      <c r="F81" s="5999"/>
      <c r="G81" s="4988">
        <f>SUM(G68:G80)</f>
        <v>2868000</v>
      </c>
      <c r="H81" s="5360"/>
      <c r="I81" s="5361"/>
      <c r="J81" s="5569"/>
      <c r="K81" s="6165"/>
      <c r="L81" s="6452"/>
      <c r="M81" s="5362"/>
      <c r="N81" s="5363"/>
      <c r="O81" s="5362"/>
      <c r="P81" s="5364"/>
      <c r="Q81" s="5363"/>
      <c r="R81" s="5362"/>
      <c r="S81" s="5364"/>
      <c r="T81" s="4488">
        <f>SUM(T68:T80)</f>
        <v>2868000</v>
      </c>
      <c r="U81" s="4488"/>
      <c r="V81" s="5365"/>
      <c r="W81" s="5365"/>
      <c r="Z81" s="4990"/>
    </row>
    <row r="82" spans="1:26" ht="29.25" hidden="1" customHeight="1">
      <c r="A82" s="5"/>
      <c r="B82" s="1538"/>
      <c r="C82" s="1538"/>
      <c r="D82" s="1568"/>
      <c r="E82" s="1537"/>
      <c r="F82" s="1537"/>
      <c r="G82" s="1537"/>
      <c r="H82" s="4764"/>
      <c r="I82" s="5092"/>
      <c r="J82" s="5092"/>
      <c r="K82" s="5092"/>
      <c r="L82" s="6453"/>
      <c r="M82" s="1537"/>
      <c r="N82" s="1537"/>
      <c r="O82" s="1537"/>
      <c r="P82" s="1537"/>
      <c r="Q82" s="1537"/>
    </row>
    <row r="83" spans="1:26" ht="20.25" customHeight="1" thickBot="1">
      <c r="A83" s="1538" t="s">
        <v>1821</v>
      </c>
      <c r="B83" s="1538"/>
      <c r="C83" s="1538"/>
      <c r="D83" s="1568"/>
      <c r="E83" s="1537"/>
      <c r="F83" s="1537"/>
      <c r="G83" s="1537"/>
      <c r="H83" s="4764"/>
      <c r="I83" s="5092"/>
      <c r="J83" s="5092"/>
      <c r="K83" s="5092"/>
      <c r="L83" s="6453"/>
      <c r="M83" s="1537"/>
      <c r="N83" s="1537"/>
      <c r="O83" s="1537"/>
      <c r="P83" s="1537"/>
      <c r="Q83" s="1537"/>
      <c r="V83" s="1537" t="s">
        <v>1744</v>
      </c>
      <c r="W83" s="1537"/>
    </row>
    <row r="84" spans="1:26" ht="20.25" customHeight="1" thickBot="1">
      <c r="A84" s="7081" t="s">
        <v>1822</v>
      </c>
      <c r="B84" s="7082"/>
      <c r="C84" s="7082"/>
      <c r="D84" s="7168"/>
      <c r="E84" s="74" t="s">
        <v>124</v>
      </c>
      <c r="F84" s="80"/>
      <c r="G84" s="80"/>
      <c r="H84" s="4490" t="s">
        <v>1292</v>
      </c>
      <c r="I84" s="5005" t="s">
        <v>1293</v>
      </c>
      <c r="J84" s="5494" t="s">
        <v>1294</v>
      </c>
      <c r="K84" s="4490" t="s">
        <v>1295</v>
      </c>
      <c r="L84" s="6428" t="s">
        <v>1296</v>
      </c>
      <c r="M84" s="1540" t="s">
        <v>1297</v>
      </c>
      <c r="N84" s="1539" t="s">
        <v>1298</v>
      </c>
      <c r="O84" s="65" t="s">
        <v>1299</v>
      </c>
      <c r="P84" s="1540" t="s">
        <v>1300</v>
      </c>
      <c r="Q84" s="1539" t="s">
        <v>1301</v>
      </c>
      <c r="R84" s="74" t="s">
        <v>1302</v>
      </c>
      <c r="S84" s="1540" t="s">
        <v>1303</v>
      </c>
      <c r="T84" s="1541" t="s">
        <v>1304</v>
      </c>
      <c r="U84" s="1541"/>
      <c r="V84" s="1541" t="s">
        <v>102</v>
      </c>
      <c r="W84" s="1541"/>
    </row>
    <row r="85" spans="1:26" ht="20.25" customHeight="1">
      <c r="A85" s="7533" t="s">
        <v>513</v>
      </c>
      <c r="B85" s="7534"/>
      <c r="C85" s="7534"/>
      <c r="D85" s="7535"/>
      <c r="E85" s="1928"/>
      <c r="F85" s="5997"/>
      <c r="G85" s="5997"/>
      <c r="H85" s="4765"/>
      <c r="I85" s="5093"/>
      <c r="J85" s="2547"/>
      <c r="K85" s="5093"/>
      <c r="L85" s="6454"/>
      <c r="M85" s="2543"/>
      <c r="N85" s="2545"/>
      <c r="O85" s="2546">
        <f>O19</f>
        <v>0</v>
      </c>
      <c r="P85" s="2544">
        <f>P19</f>
        <v>0</v>
      </c>
      <c r="Q85" s="2543">
        <f>Q19</f>
        <v>0</v>
      </c>
      <c r="R85" s="2543">
        <f>R19</f>
        <v>0</v>
      </c>
      <c r="S85" s="2547">
        <f>S19</f>
        <v>0</v>
      </c>
      <c r="T85" s="3154">
        <f>SUM(H85:S85)</f>
        <v>0</v>
      </c>
      <c r="U85" s="3154"/>
      <c r="V85" s="2548"/>
      <c r="W85" s="2548"/>
    </row>
    <row r="86" spans="1:26" s="1618" customFormat="1" ht="20.25" customHeight="1" thickBot="1">
      <c r="A86" s="7536" t="s">
        <v>1823</v>
      </c>
      <c r="B86" s="7537"/>
      <c r="C86" s="7537"/>
      <c r="D86" s="7538"/>
      <c r="E86" s="6017"/>
      <c r="F86" s="6018"/>
      <c r="G86" s="6018"/>
      <c r="H86" s="6019">
        <f t="shared" ref="H86:S86" si="33">+H64-H85</f>
        <v>240481.23076923078</v>
      </c>
      <c r="I86" s="6020">
        <f t="shared" si="33"/>
        <v>518451.31936923071</v>
      </c>
      <c r="J86" s="6021">
        <f t="shared" si="33"/>
        <v>319638.51361538458</v>
      </c>
      <c r="K86" s="6166">
        <f t="shared" si="33"/>
        <v>240712.37000000005</v>
      </c>
      <c r="L86" s="6455">
        <f>+L64-L85</f>
        <v>690793.16999999993</v>
      </c>
      <c r="M86" s="6024">
        <f t="shared" si="33"/>
        <v>677736.34704124858</v>
      </c>
      <c r="N86" s="6022">
        <f t="shared" si="33"/>
        <v>988983.15230769222</v>
      </c>
      <c r="O86" s="6025">
        <f t="shared" si="33"/>
        <v>1068389.5378461538</v>
      </c>
      <c r="P86" s="6024">
        <f t="shared" si="33"/>
        <v>861832.03015384614</v>
      </c>
      <c r="Q86" s="6022">
        <f t="shared" si="33"/>
        <v>300367.45323076926</v>
      </c>
      <c r="R86" s="6023">
        <f t="shared" si="33"/>
        <v>836388.4615384615</v>
      </c>
      <c r="S86" s="6024">
        <f t="shared" si="33"/>
        <v>227388.46153846153</v>
      </c>
      <c r="T86" s="6026">
        <f>SUM(H86:S86)</f>
        <v>6971162.0474104788</v>
      </c>
      <c r="U86" s="6026"/>
      <c r="V86" s="6027"/>
      <c r="W86" s="6027"/>
    </row>
    <row r="87" spans="1:26" ht="20.25" customHeight="1" thickBot="1">
      <c r="A87" s="7390" t="s">
        <v>1824</v>
      </c>
      <c r="B87" s="7409"/>
      <c r="C87" s="7409"/>
      <c r="D87" s="7391"/>
      <c r="E87" s="2479"/>
      <c r="F87" s="4073"/>
      <c r="G87" s="3976"/>
      <c r="H87" s="4766">
        <f>SUM(H85:H86)</f>
        <v>240481.23076923078</v>
      </c>
      <c r="I87" s="5094">
        <f>SUM(I85:I86)</f>
        <v>518451.31936923071</v>
      </c>
      <c r="J87" s="5570">
        <f t="shared" ref="J87:S87" si="34">SUM(J85:J86)-J85</f>
        <v>319638.51361538458</v>
      </c>
      <c r="K87" s="6160">
        <f t="shared" si="34"/>
        <v>240712.37000000005</v>
      </c>
      <c r="L87" s="6439">
        <f>L86+L85</f>
        <v>690793.16999999993</v>
      </c>
      <c r="M87" s="3653">
        <f t="shared" si="34"/>
        <v>677736.34704124858</v>
      </c>
      <c r="N87" s="3984">
        <f t="shared" si="34"/>
        <v>988983.15230769222</v>
      </c>
      <c r="O87" s="3651">
        <f t="shared" si="34"/>
        <v>1068389.5378461538</v>
      </c>
      <c r="P87" s="3652">
        <f t="shared" si="34"/>
        <v>861832.03015384614</v>
      </c>
      <c r="Q87" s="2551">
        <f t="shared" si="34"/>
        <v>300367.45323076926</v>
      </c>
      <c r="R87" s="2552">
        <f t="shared" si="34"/>
        <v>836388.4615384615</v>
      </c>
      <c r="S87" s="2553">
        <f t="shared" si="34"/>
        <v>227388.46153846153</v>
      </c>
      <c r="T87" s="1674">
        <f>SUM(T85:T86)</f>
        <v>6971162.0474104788</v>
      </c>
      <c r="U87" s="1674"/>
      <c r="V87" s="1678"/>
      <c r="W87" s="1678"/>
    </row>
    <row r="88" spans="1:26" ht="20.25" customHeight="1">
      <c r="A88" s="2554"/>
      <c r="B88" s="2554"/>
      <c r="C88" s="2554"/>
      <c r="D88" s="2554"/>
      <c r="H88" s="4767"/>
      <c r="I88" s="4767"/>
      <c r="J88" s="4767"/>
      <c r="K88" s="4767"/>
      <c r="L88" s="6456"/>
      <c r="M88" s="2555"/>
      <c r="N88" s="2555"/>
      <c r="O88" s="2555"/>
      <c r="P88" s="2555"/>
      <c r="Q88" s="2555"/>
      <c r="R88" s="2555"/>
      <c r="S88" s="2555"/>
      <c r="T88" s="2454" t="b">
        <f>SUM(H87:S87)=T87</f>
        <v>1</v>
      </c>
      <c r="U88" s="2454"/>
    </row>
    <row r="89" spans="1:26" ht="20.25" customHeight="1">
      <c r="A89" s="1538" t="s">
        <v>1825</v>
      </c>
      <c r="B89" s="1538"/>
      <c r="C89" s="1538"/>
      <c r="D89" s="1530"/>
      <c r="E89" s="1530"/>
      <c r="F89" s="1530"/>
      <c r="G89" s="1530"/>
      <c r="H89" s="4768"/>
      <c r="I89" s="4666"/>
      <c r="J89" s="5571"/>
      <c r="K89" s="4768"/>
      <c r="L89" s="6456"/>
      <c r="M89" s="1530"/>
      <c r="N89" s="1530"/>
      <c r="O89" s="1530"/>
      <c r="P89" s="1530"/>
      <c r="Q89" s="1530"/>
      <c r="R89" s="2556"/>
      <c r="S89" s="1530"/>
      <c r="T89" s="1530"/>
      <c r="U89" s="1530"/>
      <c r="V89" s="1537" t="s">
        <v>1826</v>
      </c>
      <c r="W89" s="1537"/>
    </row>
    <row r="90" spans="1:26" ht="29.4" hidden="1" customHeight="1" thickBot="1">
      <c r="A90" s="7081" t="s">
        <v>1822</v>
      </c>
      <c r="B90" s="7082"/>
      <c r="C90" s="7082"/>
      <c r="D90" s="7168"/>
      <c r="E90" s="72" t="s">
        <v>124</v>
      </c>
      <c r="F90" s="5998"/>
      <c r="G90" s="3359"/>
      <c r="H90" s="4490" t="s">
        <v>1292</v>
      </c>
      <c r="I90" s="5005" t="s">
        <v>1293</v>
      </c>
      <c r="J90" s="5494" t="s">
        <v>1294</v>
      </c>
      <c r="K90" s="4490" t="s">
        <v>1295</v>
      </c>
      <c r="L90" s="6428" t="s">
        <v>1296</v>
      </c>
      <c r="M90" s="1540" t="s">
        <v>1297</v>
      </c>
      <c r="N90" s="1539" t="s">
        <v>1298</v>
      </c>
      <c r="O90" s="74" t="s">
        <v>1299</v>
      </c>
      <c r="P90" s="1540" t="s">
        <v>1300</v>
      </c>
      <c r="Q90" s="1539" t="s">
        <v>1301</v>
      </c>
      <c r="R90" s="74" t="s">
        <v>1302</v>
      </c>
      <c r="S90" s="1540" t="s">
        <v>1303</v>
      </c>
      <c r="T90" s="1541" t="s">
        <v>1304</v>
      </c>
      <c r="U90" s="1541"/>
      <c r="V90" s="1541" t="s">
        <v>102</v>
      </c>
      <c r="W90" s="1541"/>
    </row>
    <row r="91" spans="1:26" ht="20.25" hidden="1" customHeight="1">
      <c r="A91" s="2557" t="s">
        <v>142</v>
      </c>
      <c r="B91" s="3953"/>
      <c r="C91" s="2557" t="s">
        <v>142</v>
      </c>
      <c r="D91" s="6400" t="s">
        <v>142</v>
      </c>
      <c r="E91" s="6401"/>
      <c r="F91" s="6402"/>
      <c r="G91" s="6403"/>
      <c r="H91" s="6404">
        <f>SUM(H92:H97)</f>
        <v>385783.99790615373</v>
      </c>
      <c r="I91" s="6405">
        <f t="shared" ref="I91" si="35">SUM(I92:I97)</f>
        <v>389544.2156561538</v>
      </c>
      <c r="J91" s="6406">
        <f>SUM(J92:J97)</f>
        <v>392587.36633307696</v>
      </c>
      <c r="K91" s="6404">
        <f t="shared" ref="K91:S91" si="36">SUM(K92:K97)</f>
        <v>427288.86728348164</v>
      </c>
      <c r="L91" s="6457">
        <f t="shared" si="36"/>
        <v>442431.73670963553</v>
      </c>
      <c r="M91" s="6408">
        <f t="shared" si="36"/>
        <v>401613.3075960328</v>
      </c>
      <c r="N91" s="6409">
        <f t="shared" si="36"/>
        <v>389622.76908777998</v>
      </c>
      <c r="O91" s="6407">
        <f t="shared" si="36"/>
        <v>390948.85856074595</v>
      </c>
      <c r="P91" s="6408">
        <f t="shared" si="36"/>
        <v>395521.55605354812</v>
      </c>
      <c r="Q91" s="6409">
        <f t="shared" si="36"/>
        <v>398715.78847845655</v>
      </c>
      <c r="R91" s="6407">
        <f t="shared" si="36"/>
        <v>406014.27423663181</v>
      </c>
      <c r="S91" s="6408">
        <f t="shared" si="36"/>
        <v>404667.19601981074</v>
      </c>
      <c r="T91" s="6410">
        <f>SUM(T92:T97)</f>
        <v>4824739.9339215066</v>
      </c>
      <c r="U91" s="3153"/>
      <c r="V91" s="2254"/>
      <c r="W91" s="2254"/>
    </row>
    <row r="92" spans="1:26" ht="20.25" hidden="1" customHeight="1">
      <c r="A92" s="7544" t="s">
        <v>1873</v>
      </c>
      <c r="B92" s="7545"/>
      <c r="C92" s="7545"/>
      <c r="D92" s="7546"/>
      <c r="E92" s="6464"/>
      <c r="F92" s="6465"/>
      <c r="G92" s="6466"/>
      <c r="H92" s="6467"/>
      <c r="I92" s="6468"/>
      <c r="J92" s="6469"/>
      <c r="K92" s="6467"/>
      <c r="L92" s="6468"/>
      <c r="M92" s="7012">
        <f>SUM(H87:L87)/7/12+SUM(M64)/7/12</f>
        <v>31997.773223751126</v>
      </c>
      <c r="N92" s="6471">
        <f t="shared" ref="N92:S92" si="37">M92+SUM(N64)/7/12</f>
        <v>43771.38217979508</v>
      </c>
      <c r="O92" s="6472">
        <f t="shared" si="37"/>
        <v>56490.30524939215</v>
      </c>
      <c r="P92" s="6470">
        <f t="shared" si="37"/>
        <v>66750.210370271263</v>
      </c>
      <c r="Q92" s="6471">
        <f t="shared" si="37"/>
        <v>70326.013384923281</v>
      </c>
      <c r="R92" s="6472">
        <f t="shared" si="37"/>
        <v>80283.018879428768</v>
      </c>
      <c r="S92" s="6470">
        <f t="shared" si="37"/>
        <v>82990.024373934255</v>
      </c>
      <c r="T92" s="1557">
        <f t="shared" ref="T92:T100" si="38">SUM(H92:S92)</f>
        <v>432608.72766149591</v>
      </c>
      <c r="U92" s="1557"/>
      <c r="V92" s="2560"/>
      <c r="W92" s="2560"/>
      <c r="Y92" s="6387" t="s">
        <v>1905</v>
      </c>
    </row>
    <row r="93" spans="1:26" ht="20.25" hidden="1" customHeight="1">
      <c r="A93" s="7531" t="s">
        <v>522</v>
      </c>
      <c r="B93" s="7532"/>
      <c r="C93" s="7532"/>
      <c r="D93" s="7448"/>
      <c r="E93" s="2558"/>
      <c r="F93" s="2559"/>
      <c r="G93" s="3977"/>
      <c r="H93" s="4621">
        <v>34225.481787712444</v>
      </c>
      <c r="I93" s="5096">
        <f>+H93</f>
        <v>34225.481787712444</v>
      </c>
      <c r="J93" s="5573">
        <f t="shared" ref="J93:S93" si="39">+I93</f>
        <v>34225.481787712444</v>
      </c>
      <c r="K93" s="4621">
        <f t="shared" si="39"/>
        <v>34225.481787712444</v>
      </c>
      <c r="L93" s="6458">
        <f t="shared" si="39"/>
        <v>34225.481787712444</v>
      </c>
      <c r="M93" s="2405">
        <f t="shared" si="39"/>
        <v>34225.481787712444</v>
      </c>
      <c r="N93" s="2404">
        <f t="shared" si="39"/>
        <v>34225.481787712444</v>
      </c>
      <c r="O93" s="2406">
        <f t="shared" si="39"/>
        <v>34225.481787712444</v>
      </c>
      <c r="P93" s="2405">
        <f t="shared" si="39"/>
        <v>34225.481787712444</v>
      </c>
      <c r="Q93" s="2404">
        <f t="shared" si="39"/>
        <v>34225.481787712444</v>
      </c>
      <c r="R93" s="2406">
        <f t="shared" si="39"/>
        <v>34225.481787712444</v>
      </c>
      <c r="S93" s="2405">
        <f t="shared" si="39"/>
        <v>34225.481787712444</v>
      </c>
      <c r="T93" s="1557">
        <f t="shared" si="38"/>
        <v>410705.78145254921</v>
      </c>
      <c r="U93" s="1557"/>
      <c r="V93" s="2560"/>
      <c r="W93" s="2560"/>
    </row>
    <row r="94" spans="1:26" ht="20.25" hidden="1" customHeight="1">
      <c r="A94" s="7531" t="s">
        <v>8</v>
      </c>
      <c r="B94" s="7532"/>
      <c r="C94" s="7532"/>
      <c r="D94" s="7448"/>
      <c r="E94" s="1935"/>
      <c r="F94" s="2561"/>
      <c r="G94" s="3567"/>
      <c r="H94" s="4621">
        <v>160338.75034921058</v>
      </c>
      <c r="I94" s="5096">
        <v>162871.79325305676</v>
      </c>
      <c r="J94" s="5573">
        <v>162476.50573767221</v>
      </c>
      <c r="K94" s="4621">
        <v>192632.49611115383</v>
      </c>
      <c r="L94" s="6458">
        <v>197343.98003730772</v>
      </c>
      <c r="M94" s="2405">
        <v>149606.49180103536</v>
      </c>
      <c r="N94" s="2404">
        <v>149606.49160106367</v>
      </c>
      <c r="O94" s="2406">
        <v>147194.17029711418</v>
      </c>
      <c r="P94" s="2405">
        <v>145880.66589903727</v>
      </c>
      <c r="Q94" s="2404">
        <v>145499.09530929368</v>
      </c>
      <c r="R94" s="2406">
        <v>145291.83219718505</v>
      </c>
      <c r="S94" s="2405">
        <v>144218.45021299529</v>
      </c>
      <c r="T94" s="1557">
        <f t="shared" si="38"/>
        <v>1902960.7228061254</v>
      </c>
      <c r="U94" s="1557"/>
      <c r="V94" s="1654"/>
      <c r="W94" s="1654"/>
    </row>
    <row r="95" spans="1:26" ht="20.25" hidden="1" customHeight="1">
      <c r="A95" s="7544" t="s">
        <v>1874</v>
      </c>
      <c r="B95" s="7545"/>
      <c r="C95" s="7545"/>
      <c r="D95" s="7546"/>
      <c r="E95" s="6464"/>
      <c r="F95" s="6465"/>
      <c r="G95" s="6466"/>
      <c r="H95" s="6467"/>
      <c r="I95" s="6468"/>
      <c r="J95" s="6469"/>
      <c r="K95" s="6467"/>
      <c r="L95" s="6468"/>
      <c r="M95" s="6470">
        <v>70000</v>
      </c>
      <c r="N95" s="6471">
        <v>70000</v>
      </c>
      <c r="O95" s="6472">
        <f t="shared" ref="O95" si="40">N95+SUM(O67)/5/12</f>
        <v>70000</v>
      </c>
      <c r="P95" s="6470">
        <f t="shared" ref="P95" si="41">O95+SUM(P67)/5/12</f>
        <v>70000</v>
      </c>
      <c r="Q95" s="6471">
        <f t="shared" ref="Q95" si="42">P95+SUM(Q67)/5/12</f>
        <v>70000</v>
      </c>
      <c r="R95" s="6472">
        <f t="shared" ref="R95" si="43">Q95+SUM(R67)/5/12</f>
        <v>70000</v>
      </c>
      <c r="S95" s="6470">
        <f t="shared" ref="S95" si="44">R95+SUM(S67)/5/12</f>
        <v>70000</v>
      </c>
      <c r="T95" s="1557">
        <f t="shared" ref="T95" si="45">SUM(H95:S95)</f>
        <v>490000</v>
      </c>
      <c r="U95" s="1557"/>
      <c r="V95" s="2560"/>
      <c r="W95" s="2560"/>
    </row>
    <row r="96" spans="1:26" ht="20.25" hidden="1" customHeight="1">
      <c r="A96" s="7531" t="s">
        <v>9</v>
      </c>
      <c r="B96" s="7532"/>
      <c r="C96" s="7532"/>
      <c r="D96" s="7448"/>
      <c r="E96" s="1935"/>
      <c r="F96" s="2561"/>
      <c r="G96" s="3567"/>
      <c r="H96" s="4561">
        <v>125050.62396153845</v>
      </c>
      <c r="I96" s="5097">
        <v>124800.87246153846</v>
      </c>
      <c r="J96" s="5574">
        <v>127080.79465384615</v>
      </c>
      <c r="K96" s="4561">
        <v>130447.53711538462</v>
      </c>
      <c r="L96" s="6459">
        <v>129723.55342307693</v>
      </c>
      <c r="M96" s="2494">
        <v>57367.787416201689</v>
      </c>
      <c r="N96" s="2492">
        <v>42877.267950455578</v>
      </c>
      <c r="O96" s="2493">
        <v>41429.498393831651</v>
      </c>
      <c r="P96" s="2494">
        <v>39740.021898105151</v>
      </c>
      <c r="Q96" s="2492">
        <v>39740.021898105151</v>
      </c>
      <c r="R96" s="2493">
        <v>38066.008863627125</v>
      </c>
      <c r="S96" s="2494">
        <v>37385.599139481827</v>
      </c>
      <c r="T96" s="1557">
        <f t="shared" si="38"/>
        <v>933709.58717519254</v>
      </c>
      <c r="U96" s="1557"/>
      <c r="V96" s="2549"/>
      <c r="W96" s="2549"/>
    </row>
    <row r="97" spans="1:23" ht="20.25" hidden="1" customHeight="1">
      <c r="A97" s="7531" t="s">
        <v>487</v>
      </c>
      <c r="B97" s="7532"/>
      <c r="C97" s="7532"/>
      <c r="D97" s="7448"/>
      <c r="E97" s="1935"/>
      <c r="F97" s="2561"/>
      <c r="G97" s="3567"/>
      <c r="H97" s="4621">
        <v>66169.141807692315</v>
      </c>
      <c r="I97" s="5096">
        <v>67646.06815384615</v>
      </c>
      <c r="J97" s="5573">
        <v>68804.584153846154</v>
      </c>
      <c r="K97" s="4621">
        <v>69983.352269230774</v>
      </c>
      <c r="L97" s="6458">
        <v>81138.721461538458</v>
      </c>
      <c r="M97" s="2405">
        <v>58415.773367332215</v>
      </c>
      <c r="N97" s="2404">
        <v>49142.145568753178</v>
      </c>
      <c r="O97" s="2406">
        <v>41609.402832695494</v>
      </c>
      <c r="P97" s="2405">
        <v>38925.17609842198</v>
      </c>
      <c r="Q97" s="2404">
        <v>38925.17609842198</v>
      </c>
      <c r="R97" s="2406">
        <v>38147.932508678394</v>
      </c>
      <c r="S97" s="2405">
        <v>35847.640505686941</v>
      </c>
      <c r="T97" s="1557">
        <f t="shared" si="38"/>
        <v>654755.11482614418</v>
      </c>
      <c r="U97" s="1557"/>
      <c r="V97" s="2549"/>
      <c r="W97" s="2549"/>
    </row>
    <row r="98" spans="1:23" s="1530" customFormat="1" ht="20.25" hidden="1" customHeight="1">
      <c r="A98" s="2562" t="s">
        <v>95</v>
      </c>
      <c r="B98" s="6028"/>
      <c r="C98" s="2562" t="s">
        <v>95</v>
      </c>
      <c r="D98" s="6411" t="s">
        <v>95</v>
      </c>
      <c r="E98" s="6412"/>
      <c r="F98" s="6413"/>
      <c r="G98" s="6414"/>
      <c r="H98" s="6415">
        <f>SUM(H99:H100)</f>
        <v>13676.09688653846</v>
      </c>
      <c r="I98" s="6416">
        <f t="shared" ref="I98:S98" si="46">SUM(I99:I100)</f>
        <v>15791.648478076921</v>
      </c>
      <c r="J98" s="6417">
        <f t="shared" si="46"/>
        <v>14698.87215153846</v>
      </c>
      <c r="K98" s="6415">
        <f t="shared" si="46"/>
        <v>15658.481651538459</v>
      </c>
      <c r="L98" s="6460">
        <f t="shared" si="46"/>
        <v>15658.481651538459</v>
      </c>
      <c r="M98" s="6419">
        <f t="shared" si="46"/>
        <v>15658.481651538459</v>
      </c>
      <c r="N98" s="6420">
        <f t="shared" si="46"/>
        <v>15658.481651538459</v>
      </c>
      <c r="O98" s="6418">
        <f t="shared" si="46"/>
        <v>15658.481651538459</v>
      </c>
      <c r="P98" s="6419">
        <f t="shared" si="46"/>
        <v>15658.481651538459</v>
      </c>
      <c r="Q98" s="6420">
        <f t="shared" si="46"/>
        <v>15658.481651538459</v>
      </c>
      <c r="R98" s="6418">
        <f t="shared" si="46"/>
        <v>15658.481651538459</v>
      </c>
      <c r="S98" s="6419">
        <f t="shared" si="46"/>
        <v>15658.481651538459</v>
      </c>
      <c r="T98" s="6421">
        <f t="shared" si="38"/>
        <v>185092.95237999997</v>
      </c>
      <c r="U98" s="1557"/>
      <c r="V98" s="6029"/>
      <c r="W98" s="6029"/>
    </row>
    <row r="99" spans="1:23" ht="20.25" hidden="1" customHeight="1">
      <c r="A99" s="7531" t="s">
        <v>8</v>
      </c>
      <c r="B99" s="7532"/>
      <c r="C99" s="7532"/>
      <c r="D99" s="7448"/>
      <c r="E99" s="1935"/>
      <c r="F99" s="2561"/>
      <c r="G99" s="3567"/>
      <c r="H99" s="4621">
        <v>11236.376424999999</v>
      </c>
      <c r="I99" s="5096">
        <v>12289.489978076921</v>
      </c>
      <c r="J99" s="5573">
        <v>13057.118536153845</v>
      </c>
      <c r="K99" s="4621">
        <v>13057.118536153845</v>
      </c>
      <c r="L99" s="6458">
        <f t="shared" ref="L99:S100" si="47">+K99</f>
        <v>13057.118536153845</v>
      </c>
      <c r="M99" s="2405">
        <f t="shared" si="47"/>
        <v>13057.118536153845</v>
      </c>
      <c r="N99" s="2404">
        <f t="shared" si="47"/>
        <v>13057.118536153845</v>
      </c>
      <c r="O99" s="2406">
        <f t="shared" si="47"/>
        <v>13057.118536153845</v>
      </c>
      <c r="P99" s="2405">
        <f t="shared" si="47"/>
        <v>13057.118536153845</v>
      </c>
      <c r="Q99" s="2404">
        <f t="shared" si="47"/>
        <v>13057.118536153845</v>
      </c>
      <c r="R99" s="2406">
        <f t="shared" si="47"/>
        <v>13057.118536153845</v>
      </c>
      <c r="S99" s="2405">
        <f t="shared" si="47"/>
        <v>13057.118536153845</v>
      </c>
      <c r="T99" s="1557">
        <f t="shared" si="38"/>
        <v>154097.05176461532</v>
      </c>
      <c r="U99" s="1557"/>
      <c r="V99" s="2549"/>
      <c r="W99" s="2549"/>
    </row>
    <row r="100" spans="1:23" ht="20.25" hidden="1" customHeight="1" thickBot="1">
      <c r="A100" s="5629" t="s">
        <v>9</v>
      </c>
      <c r="B100" s="6030"/>
      <c r="C100" s="5629" t="s">
        <v>9</v>
      </c>
      <c r="D100" s="5629"/>
      <c r="E100" s="6031"/>
      <c r="F100" s="6032"/>
      <c r="G100" s="6033"/>
      <c r="H100" s="6034">
        <v>2439.7204615384617</v>
      </c>
      <c r="I100" s="6035">
        <v>3502.1585</v>
      </c>
      <c r="J100" s="6036">
        <v>1641.7536153846154</v>
      </c>
      <c r="K100" s="4621">
        <v>2601.3631153846154</v>
      </c>
      <c r="L100" s="6461">
        <f t="shared" si="47"/>
        <v>2601.3631153846154</v>
      </c>
      <c r="M100" s="6038">
        <f t="shared" si="47"/>
        <v>2601.3631153846154</v>
      </c>
      <c r="N100" s="6039">
        <f t="shared" si="47"/>
        <v>2601.3631153846154</v>
      </c>
      <c r="O100" s="6037">
        <f t="shared" si="47"/>
        <v>2601.3631153846154</v>
      </c>
      <c r="P100" s="6038">
        <f t="shared" si="47"/>
        <v>2601.3631153846154</v>
      </c>
      <c r="Q100" s="6039">
        <f t="shared" si="47"/>
        <v>2601.3631153846154</v>
      </c>
      <c r="R100" s="6037">
        <f t="shared" si="47"/>
        <v>2601.3631153846154</v>
      </c>
      <c r="S100" s="6038">
        <f t="shared" si="47"/>
        <v>2601.3631153846154</v>
      </c>
      <c r="T100" s="6040">
        <f t="shared" si="38"/>
        <v>30995.900615384609</v>
      </c>
      <c r="U100" s="1557"/>
      <c r="V100" s="2549"/>
      <c r="W100" s="2549"/>
    </row>
    <row r="101" spans="1:23" ht="20.25" hidden="1" customHeight="1" thickBot="1">
      <c r="A101" s="7081" t="s">
        <v>1824</v>
      </c>
      <c r="B101" s="7082"/>
      <c r="C101" s="7082"/>
      <c r="D101" s="7168"/>
      <c r="E101" s="2479"/>
      <c r="F101" s="2550"/>
      <c r="G101" s="3976"/>
      <c r="H101" s="4766">
        <f>+H91+H98</f>
        <v>399460.09479269217</v>
      </c>
      <c r="I101" s="5094">
        <f t="shared" ref="I101:S101" si="48">+I91+I98</f>
        <v>405335.86413423071</v>
      </c>
      <c r="J101" s="5570">
        <f t="shared" si="48"/>
        <v>407286.2384846154</v>
      </c>
      <c r="K101" s="4766">
        <f t="shared" si="48"/>
        <v>442947.3489350201</v>
      </c>
      <c r="L101" s="6462">
        <f t="shared" si="48"/>
        <v>458090.21836117399</v>
      </c>
      <c r="M101" s="2553">
        <f t="shared" si="48"/>
        <v>417271.78924757126</v>
      </c>
      <c r="N101" s="2551">
        <f t="shared" si="48"/>
        <v>405281.25073931844</v>
      </c>
      <c r="O101" s="2552">
        <f t="shared" si="48"/>
        <v>406607.34021228441</v>
      </c>
      <c r="P101" s="2553">
        <f t="shared" si="48"/>
        <v>411180.03770508658</v>
      </c>
      <c r="Q101" s="2551">
        <f t="shared" si="48"/>
        <v>414374.27012999501</v>
      </c>
      <c r="R101" s="2552">
        <f t="shared" si="48"/>
        <v>421672.75588817027</v>
      </c>
      <c r="S101" s="2553">
        <f t="shared" si="48"/>
        <v>420325.6776713492</v>
      </c>
      <c r="T101" s="1674">
        <f>+T91+T98</f>
        <v>5009832.8863015063</v>
      </c>
      <c r="U101" s="6040"/>
      <c r="V101" s="6027"/>
      <c r="W101" s="6027"/>
    </row>
    <row r="102" spans="1:23" ht="18.75" hidden="1" customHeight="1">
      <c r="A102" s="5"/>
      <c r="B102" s="5"/>
      <c r="C102" s="5"/>
      <c r="H102" s="1532"/>
      <c r="I102" s="1532"/>
      <c r="J102" s="1532"/>
      <c r="K102" s="1534"/>
      <c r="L102" s="6463"/>
      <c r="M102" s="1532"/>
      <c r="N102" s="1532"/>
      <c r="O102" s="1532"/>
      <c r="P102" s="1532"/>
      <c r="Q102" s="1532"/>
      <c r="R102" s="1532"/>
      <c r="S102" s="1532"/>
      <c r="T102" s="2555" t="b">
        <f>ROUND(SUM(H101:S101),0)=ROUND(T101,0)</f>
        <v>1</v>
      </c>
      <c r="U102" s="1530"/>
    </row>
    <row r="103" spans="1:23" hidden="1">
      <c r="A103" s="5"/>
      <c r="B103" s="5"/>
      <c r="C103" s="5"/>
      <c r="H103" s="1696"/>
      <c r="I103" s="4566"/>
      <c r="J103" s="4566"/>
      <c r="K103" s="4566"/>
      <c r="M103" s="1696"/>
      <c r="N103" s="2564"/>
      <c r="O103" s="2564"/>
      <c r="P103" s="2564"/>
      <c r="Q103" s="2564"/>
      <c r="R103" s="2564"/>
      <c r="S103" s="2564"/>
      <c r="T103" s="1610"/>
      <c r="U103" s="1610"/>
    </row>
    <row r="104" spans="1:23">
      <c r="A104" s="2565" t="s">
        <v>93</v>
      </c>
      <c r="B104" s="2565"/>
      <c r="C104" s="2565"/>
      <c r="H104" s="1696"/>
      <c r="I104" s="4566"/>
      <c r="J104" s="4566"/>
      <c r="K104" s="4566"/>
      <c r="M104" s="1696"/>
      <c r="N104" s="1696"/>
      <c r="O104" s="1696"/>
      <c r="P104" s="1696"/>
      <c r="Q104" s="1696"/>
      <c r="R104" s="1696"/>
      <c r="S104" s="1696"/>
      <c r="T104" s="1610"/>
      <c r="U104" s="1610"/>
    </row>
    <row r="105" spans="1:23">
      <c r="A105" s="1611" t="s">
        <v>8</v>
      </c>
      <c r="B105" s="1611"/>
      <c r="C105" s="1611"/>
      <c r="H105" s="1696"/>
      <c r="I105" s="4566"/>
      <c r="J105" s="4566"/>
      <c r="K105" s="4566"/>
      <c r="M105" s="1696"/>
      <c r="N105" s="1610"/>
      <c r="O105" s="1699"/>
      <c r="P105" s="1610"/>
      <c r="Q105" s="1610"/>
      <c r="R105" s="1610"/>
      <c r="S105" s="1610"/>
      <c r="T105" s="1610"/>
      <c r="U105" s="1610"/>
    </row>
    <row r="106" spans="1:23">
      <c r="A106" s="1611" t="s">
        <v>9</v>
      </c>
      <c r="B106" s="1611"/>
      <c r="C106" s="1611"/>
      <c r="H106" s="4036"/>
      <c r="I106" s="4566"/>
      <c r="J106" s="4566"/>
      <c r="K106" s="4566"/>
      <c r="M106" s="4036"/>
      <c r="N106" s="1569"/>
      <c r="O106" s="1569"/>
      <c r="P106" s="1569"/>
      <c r="Q106" s="1569"/>
      <c r="R106" s="1569"/>
      <c r="S106" s="1569"/>
      <c r="T106" s="1610"/>
      <c r="U106" s="1610"/>
    </row>
    <row r="107" spans="1:23">
      <c r="A107" s="1611" t="s">
        <v>95</v>
      </c>
      <c r="B107" s="1611"/>
      <c r="C107" s="1611"/>
      <c r="H107" s="4036"/>
      <c r="I107" s="4566"/>
      <c r="J107" s="4566"/>
      <c r="K107" s="4566"/>
      <c r="M107" s="4036"/>
      <c r="N107" s="1569"/>
      <c r="O107" s="1569"/>
      <c r="P107" s="1569"/>
      <c r="Q107" s="1569"/>
      <c r="R107" s="1569"/>
      <c r="S107" s="1569"/>
      <c r="T107" s="1610"/>
      <c r="U107" s="1610"/>
    </row>
    <row r="108" spans="1:23">
      <c r="H108" s="1696"/>
      <c r="I108" s="4566"/>
      <c r="J108" s="4566"/>
      <c r="K108" s="4566"/>
      <c r="M108" s="1696"/>
      <c r="N108" s="1536"/>
      <c r="O108" s="1536"/>
      <c r="P108" s="1536"/>
      <c r="Q108" s="1536"/>
      <c r="R108" s="1536"/>
      <c r="S108" s="1536"/>
      <c r="T108" s="1610"/>
      <c r="U108" s="1610"/>
    </row>
    <row r="109" spans="1:23">
      <c r="A109" s="5"/>
      <c r="B109" s="5"/>
      <c r="C109" s="5"/>
      <c r="H109" s="1696"/>
      <c r="I109" s="4566"/>
      <c r="J109" s="4566"/>
      <c r="K109" s="4566"/>
      <c r="M109" s="1696"/>
      <c r="N109" s="1696"/>
      <c r="O109" s="1696"/>
      <c r="P109" s="1696"/>
      <c r="Q109" s="1696"/>
      <c r="R109" s="1696"/>
      <c r="S109" s="1696"/>
    </row>
    <row r="110" spans="1:23">
      <c r="A110" s="5"/>
      <c r="B110" s="5"/>
      <c r="C110" s="5"/>
      <c r="H110" s="1696"/>
      <c r="I110" s="4566"/>
      <c r="J110" s="4566"/>
      <c r="K110" s="4566"/>
      <c r="M110" s="1696"/>
    </row>
    <row r="111" spans="1:23">
      <c r="A111" s="5"/>
      <c r="B111" s="5"/>
      <c r="C111" s="5"/>
      <c r="H111" s="1696"/>
      <c r="I111" s="4566"/>
      <c r="J111" s="4566"/>
      <c r="K111" s="4566"/>
      <c r="M111" s="1696"/>
    </row>
  </sheetData>
  <mergeCells count="18">
    <mergeCell ref="A101:D101"/>
    <mergeCell ref="A87:D87"/>
    <mergeCell ref="A92:D92"/>
    <mergeCell ref="A93:D93"/>
    <mergeCell ref="A94:D94"/>
    <mergeCell ref="A90:D90"/>
    <mergeCell ref="A99:D99"/>
    <mergeCell ref="A67:B67"/>
    <mergeCell ref="C7:G7"/>
    <mergeCell ref="A4:B4"/>
    <mergeCell ref="A96:D96"/>
    <mergeCell ref="A97:D97"/>
    <mergeCell ref="A85:D85"/>
    <mergeCell ref="A86:D86"/>
    <mergeCell ref="A84:D84"/>
    <mergeCell ref="B47:D47"/>
    <mergeCell ref="A64:G64"/>
    <mergeCell ref="A95:D95"/>
  </mergeCells>
  <phoneticPr fontId="9" type="noConversion"/>
  <hyperlinks>
    <hyperlink ref="Y92" location="'상각 기준'!A1" display="공작기계 , CNC 기계등 주요 투자 설비의 감가상각 기간이 7년임 , 계획에 기존 5년으로 반영된 부분을 7년으로 수정함." xr:uid="{11D09BF8-BEFB-48E1-9E68-8A6CAC462FAA}"/>
  </hyperlinks>
  <pageMargins left="0.23622047244094491" right="0.23622047244094491" top="0.74803149606299213" bottom="0.74803149606299213" header="0.31496062992125984" footer="0.31496062992125984"/>
  <pageSetup paperSize="9" scale="50" orientation="landscape" r:id="rId1"/>
  <customProperties>
    <customPr name="BudgetSheetCodeName" r:id="rId2"/>
  </customProperties>
  <drawing r:id="rId3"/>
  <legacyDrawing r:id="rId4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/>
  </sheetViews>
  <sheetFormatPr defaultRowHeight="17.399999999999999"/>
  <sheetData/>
  <phoneticPr fontId="10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P27"/>
  <sheetViews>
    <sheetView showGridLines="0" zoomScale="85" zoomScaleNormal="85" workbookViewId="0">
      <selection activeCell="I14" sqref="I14:I15"/>
    </sheetView>
  </sheetViews>
  <sheetFormatPr defaultColWidth="9" defaultRowHeight="15" customHeight="1"/>
  <cols>
    <col min="1" max="1" width="3.09765625" style="5" customWidth="1"/>
    <col min="2" max="3" width="17.69921875" style="5" customWidth="1"/>
    <col min="4" max="4" width="13.09765625" style="2362" customWidth="1"/>
    <col min="5" max="5" width="13.09765625" style="3378" customWidth="1"/>
    <col min="6" max="7" width="13.09765625" style="1532" customWidth="1"/>
    <col min="8" max="8" width="13.09765625" style="1534" customWidth="1"/>
    <col min="9" max="15" width="13.09765625" style="1532" customWidth="1"/>
    <col min="16" max="16" width="19.09765625" style="1532" customWidth="1"/>
    <col min="17" max="16384" width="9" style="5"/>
  </cols>
  <sheetData>
    <row r="1" spans="2:16" ht="20.25" customHeight="1">
      <c r="B1" s="2361" t="s">
        <v>294</v>
      </c>
      <c r="C1" s="2361"/>
    </row>
    <row r="2" spans="2:16" ht="20.25" customHeight="1">
      <c r="F2" s="2436"/>
      <c r="G2" s="2370"/>
      <c r="H2" s="2370"/>
      <c r="I2" s="2370"/>
      <c r="J2" s="2370"/>
      <c r="K2" s="2370"/>
      <c r="L2" s="2370"/>
      <c r="M2" s="2370"/>
      <c r="N2" s="2370"/>
      <c r="O2" s="2370"/>
      <c r="P2" s="2370"/>
    </row>
    <row r="3" spans="2:16" ht="20.25" customHeight="1" thickBot="1">
      <c r="B3" s="2382" t="s">
        <v>303</v>
      </c>
      <c r="C3" s="2382"/>
      <c r="D3" s="3379"/>
      <c r="E3" s="3380"/>
      <c r="F3" s="2436"/>
      <c r="G3" s="2370"/>
      <c r="H3" s="2370"/>
      <c r="I3" s="2370"/>
      <c r="J3" s="2370"/>
      <c r="K3" s="2370"/>
      <c r="L3" s="2370"/>
      <c r="M3" s="2370"/>
      <c r="N3" s="2370"/>
      <c r="O3" s="2370"/>
      <c r="P3" s="1785" t="s">
        <v>86</v>
      </c>
    </row>
    <row r="4" spans="2:16" s="1528" customFormat="1" ht="20.25" customHeight="1" thickBot="1">
      <c r="B4" s="2810" t="s">
        <v>30</v>
      </c>
      <c r="C4" s="3278"/>
      <c r="D4" s="4744" t="str">
        <f>'2. S Plan'!L4</f>
        <v>Jan.26</v>
      </c>
      <c r="E4" s="5414" t="str">
        <f>'2. S Plan'!M4</f>
        <v>Feb.26</v>
      </c>
      <c r="F4" s="17" t="str">
        <f>'2. S Plan'!N4</f>
        <v>Mar.26</v>
      </c>
      <c r="G4" s="18" t="str">
        <f>'2. S Plan'!O4</f>
        <v>Apr.26</v>
      </c>
      <c r="H4" s="2309" t="str">
        <f>'2. S Plan'!P4</f>
        <v>May.26</v>
      </c>
      <c r="I4" s="17" t="str">
        <f>'2. S Plan'!Q4</f>
        <v>Jun.26</v>
      </c>
      <c r="J4" s="18" t="str">
        <f>'2. S Plan'!R4</f>
        <v>Jul.26</v>
      </c>
      <c r="K4" s="2309" t="str">
        <f>'2. S Plan'!S4</f>
        <v>Aug.26</v>
      </c>
      <c r="L4" s="17" t="str">
        <f>'2. S Plan'!T4</f>
        <v>Sep.26</v>
      </c>
      <c r="M4" s="18" t="str">
        <f>'2. S Plan'!U4</f>
        <v>Oct.26</v>
      </c>
      <c r="N4" s="2309" t="str">
        <f>'2. S Plan'!V4</f>
        <v>Nov.26</v>
      </c>
      <c r="O4" s="17" t="str">
        <f>'2. S Plan'!W4</f>
        <v>Dec.26</v>
      </c>
      <c r="P4" s="2567" t="str">
        <f>'2. S Plan'!X4</f>
        <v>2026
Total</v>
      </c>
    </row>
    <row r="5" spans="2:16" ht="21" customHeight="1">
      <c r="B5" s="3299" t="s">
        <v>296</v>
      </c>
      <c r="C5" s="3300"/>
      <c r="D5" s="5429"/>
      <c r="E5" s="5430"/>
      <c r="F5" s="3376"/>
      <c r="G5" s="3318"/>
      <c r="H5" s="2505"/>
      <c r="I5" s="2507"/>
      <c r="J5" s="2504"/>
      <c r="K5" s="2505"/>
      <c r="L5" s="2506"/>
      <c r="M5" s="2504"/>
      <c r="N5" s="2505"/>
      <c r="O5" s="2506"/>
      <c r="P5" s="2508">
        <f t="shared" ref="P5:P10" si="0">SUM(D5:O5)</f>
        <v>0</v>
      </c>
    </row>
    <row r="6" spans="2:16" ht="21" customHeight="1">
      <c r="B6" s="3301" t="s">
        <v>297</v>
      </c>
      <c r="C6" s="3302"/>
      <c r="D6" s="5431"/>
      <c r="E6" s="5432"/>
      <c r="F6" s="2511"/>
      <c r="G6" s="2518"/>
      <c r="H6" s="2513"/>
      <c r="I6" s="2515"/>
      <c r="J6" s="2512"/>
      <c r="K6" s="2513"/>
      <c r="L6" s="2514"/>
      <c r="M6" s="2512"/>
      <c r="N6" s="2513"/>
      <c r="O6" s="2514"/>
      <c r="P6" s="2516">
        <f t="shared" si="0"/>
        <v>0</v>
      </c>
    </row>
    <row r="7" spans="2:16" ht="21" customHeight="1" thickBot="1">
      <c r="B7" s="3301" t="s">
        <v>298</v>
      </c>
      <c r="C7" s="3302"/>
      <c r="D7" s="5433">
        <v>10000</v>
      </c>
      <c r="E7" s="5432"/>
      <c r="F7" s="3386">
        <v>10000</v>
      </c>
      <c r="G7" s="2518">
        <v>10000</v>
      </c>
      <c r="H7" s="2513"/>
      <c r="I7" s="2515"/>
      <c r="J7" s="2512"/>
      <c r="K7" s="2513"/>
      <c r="L7" s="2514"/>
      <c r="M7" s="2512"/>
      <c r="N7" s="2513"/>
      <c r="O7" s="2514"/>
      <c r="P7" s="2516">
        <f t="shared" si="0"/>
        <v>30000</v>
      </c>
    </row>
    <row r="8" spans="2:16" ht="20.25" customHeight="1" thickBot="1">
      <c r="B8" s="7390" t="s">
        <v>122</v>
      </c>
      <c r="C8" s="7410"/>
      <c r="D8" s="5434">
        <f t="shared" ref="D8:O8" si="1">SUM(D5:D7)</f>
        <v>10000</v>
      </c>
      <c r="E8" s="5112">
        <f t="shared" si="1"/>
        <v>0</v>
      </c>
      <c r="F8" s="2526">
        <f t="shared" si="1"/>
        <v>10000</v>
      </c>
      <c r="G8" s="2527">
        <f t="shared" si="1"/>
        <v>10000</v>
      </c>
      <c r="H8" s="2528">
        <f t="shared" si="1"/>
        <v>0</v>
      </c>
      <c r="I8" s="2529">
        <f t="shared" si="1"/>
        <v>0</v>
      </c>
      <c r="J8" s="2527">
        <f t="shared" si="1"/>
        <v>0</v>
      </c>
      <c r="K8" s="2528">
        <f t="shared" si="1"/>
        <v>0</v>
      </c>
      <c r="L8" s="2529">
        <f t="shared" si="1"/>
        <v>0</v>
      </c>
      <c r="M8" s="2527">
        <f t="shared" si="1"/>
        <v>0</v>
      </c>
      <c r="N8" s="2528">
        <f t="shared" si="1"/>
        <v>0</v>
      </c>
      <c r="O8" s="2529">
        <f t="shared" si="1"/>
        <v>0</v>
      </c>
      <c r="P8" s="1777">
        <f t="shared" si="0"/>
        <v>30000</v>
      </c>
    </row>
    <row r="9" spans="2:16" ht="20.25" customHeight="1" thickBot="1">
      <c r="B9" s="7390" t="s">
        <v>1210</v>
      </c>
      <c r="C9" s="7410"/>
      <c r="D9" s="5434">
        <f t="shared" ref="D9:O9" si="2">SUM(D5:D7)*0.1</f>
        <v>1000</v>
      </c>
      <c r="E9" s="5112">
        <f t="shared" si="2"/>
        <v>0</v>
      </c>
      <c r="F9" s="2526">
        <f t="shared" si="2"/>
        <v>1000</v>
      </c>
      <c r="G9" s="2527">
        <f t="shared" si="2"/>
        <v>1000</v>
      </c>
      <c r="H9" s="2528">
        <f t="shared" si="2"/>
        <v>0</v>
      </c>
      <c r="I9" s="2529">
        <f t="shared" si="2"/>
        <v>0</v>
      </c>
      <c r="J9" s="2527">
        <f t="shared" si="2"/>
        <v>0</v>
      </c>
      <c r="K9" s="2528">
        <f t="shared" si="2"/>
        <v>0</v>
      </c>
      <c r="L9" s="2529">
        <f t="shared" si="2"/>
        <v>0</v>
      </c>
      <c r="M9" s="2527">
        <f t="shared" si="2"/>
        <v>0</v>
      </c>
      <c r="N9" s="2528">
        <f t="shared" si="2"/>
        <v>0</v>
      </c>
      <c r="O9" s="2529">
        <f t="shared" si="2"/>
        <v>0</v>
      </c>
      <c r="P9" s="1777">
        <f t="shared" si="0"/>
        <v>3000</v>
      </c>
    </row>
    <row r="10" spans="2:16" ht="20.25" customHeight="1" thickBot="1">
      <c r="B10" s="7390" t="s">
        <v>383</v>
      </c>
      <c r="C10" s="7410"/>
      <c r="D10" s="5434">
        <f>D8+D9</f>
        <v>11000</v>
      </c>
      <c r="E10" s="5112">
        <f>E8+E9</f>
        <v>0</v>
      </c>
      <c r="F10" s="2526">
        <f>F8+F9</f>
        <v>11000</v>
      </c>
      <c r="G10" s="2527">
        <f>G8+G9</f>
        <v>11000</v>
      </c>
      <c r="H10" s="2528">
        <f t="shared" ref="H10:O10" si="3">H8+H9</f>
        <v>0</v>
      </c>
      <c r="I10" s="2529">
        <f t="shared" si="3"/>
        <v>0</v>
      </c>
      <c r="J10" s="2527">
        <f t="shared" si="3"/>
        <v>0</v>
      </c>
      <c r="K10" s="2528">
        <f t="shared" si="3"/>
        <v>0</v>
      </c>
      <c r="L10" s="2529">
        <f t="shared" si="3"/>
        <v>0</v>
      </c>
      <c r="M10" s="2527">
        <f t="shared" si="3"/>
        <v>0</v>
      </c>
      <c r="N10" s="2528">
        <f t="shared" si="3"/>
        <v>0</v>
      </c>
      <c r="O10" s="2529">
        <f t="shared" si="3"/>
        <v>0</v>
      </c>
      <c r="P10" s="1777">
        <f t="shared" si="0"/>
        <v>33000</v>
      </c>
    </row>
    <row r="11" spans="2:16" ht="20.25" customHeight="1">
      <c r="B11" s="2568"/>
      <c r="C11" s="2267"/>
      <c r="D11" s="5435"/>
      <c r="E11" s="5435"/>
      <c r="F11" s="3381"/>
      <c r="G11" s="2569"/>
      <c r="H11" s="2569"/>
      <c r="I11" s="2569"/>
      <c r="J11" s="2569"/>
      <c r="K11" s="2569"/>
      <c r="L11" s="2569"/>
      <c r="M11" s="2569"/>
      <c r="N11" s="2569"/>
      <c r="O11" s="2569"/>
      <c r="P11" s="1637"/>
    </row>
    <row r="12" spans="2:16" ht="20.25" customHeight="1" thickBot="1">
      <c r="B12" s="1638" t="s">
        <v>299</v>
      </c>
      <c r="C12" s="2570"/>
      <c r="D12" s="5436"/>
      <c r="E12" s="5436"/>
      <c r="G12" s="1533"/>
      <c r="H12" s="1533"/>
      <c r="I12" s="1533"/>
      <c r="J12" s="1533"/>
      <c r="K12" s="1533"/>
      <c r="L12" s="1533"/>
      <c r="M12" s="1533"/>
      <c r="N12" s="1533"/>
      <c r="O12" s="1533"/>
      <c r="P12" s="2571" t="s">
        <v>86</v>
      </c>
    </row>
    <row r="13" spans="2:16" s="1528" customFormat="1" ht="20.25" customHeight="1" thickBot="1">
      <c r="B13" s="1775" t="s">
        <v>300</v>
      </c>
      <c r="C13" s="2572" t="s">
        <v>301</v>
      </c>
      <c r="D13" s="4744" t="str">
        <f t="shared" ref="D13:P13" si="4">D4</f>
        <v>Jan.26</v>
      </c>
      <c r="E13" s="5414" t="str">
        <f t="shared" si="4"/>
        <v>Feb.26</v>
      </c>
      <c r="F13" s="2310" t="str">
        <f t="shared" si="4"/>
        <v>Mar.26</v>
      </c>
      <c r="G13" s="18" t="str">
        <f t="shared" si="4"/>
        <v>Apr.26</v>
      </c>
      <c r="H13" s="2309" t="str">
        <f t="shared" si="4"/>
        <v>May.26</v>
      </c>
      <c r="I13" s="17" t="str">
        <f t="shared" si="4"/>
        <v>Jun.26</v>
      </c>
      <c r="J13" s="18" t="str">
        <f t="shared" si="4"/>
        <v>Jul.26</v>
      </c>
      <c r="K13" s="2309" t="str">
        <f t="shared" si="4"/>
        <v>Aug.26</v>
      </c>
      <c r="L13" s="17" t="str">
        <f t="shared" si="4"/>
        <v>Sep.26</v>
      </c>
      <c r="M13" s="18" t="str">
        <f t="shared" si="4"/>
        <v>Oct.26</v>
      </c>
      <c r="N13" s="2309" t="str">
        <f t="shared" si="4"/>
        <v>Nov.26</v>
      </c>
      <c r="O13" s="17" t="str">
        <f t="shared" si="4"/>
        <v>Dec.26</v>
      </c>
      <c r="P13" s="2573" t="str">
        <f t="shared" si="4"/>
        <v>2026
Total</v>
      </c>
    </row>
    <row r="14" spans="2:16" ht="21" customHeight="1">
      <c r="B14" s="3279" t="s">
        <v>101</v>
      </c>
      <c r="C14" s="2574" t="s">
        <v>296</v>
      </c>
      <c r="D14" s="5431">
        <v>26000</v>
      </c>
      <c r="E14" s="5432">
        <v>26000</v>
      </c>
      <c r="F14" s="2517">
        <v>26000</v>
      </c>
      <c r="G14" s="2512">
        <v>26000</v>
      </c>
      <c r="H14" s="2513">
        <v>26000</v>
      </c>
      <c r="I14" s="2514">
        <v>26000</v>
      </c>
      <c r="J14" s="2512">
        <v>26000</v>
      </c>
      <c r="K14" s="2513">
        <v>26000</v>
      </c>
      <c r="L14" s="2514">
        <v>26000</v>
      </c>
      <c r="M14" s="2512">
        <v>26000</v>
      </c>
      <c r="N14" s="2513">
        <v>26000</v>
      </c>
      <c r="O14" s="2514">
        <v>26000</v>
      </c>
      <c r="P14" s="2508">
        <f>SUM(D14:O14)</f>
        <v>312000</v>
      </c>
    </row>
    <row r="15" spans="2:16" ht="21" customHeight="1" thickBot="1">
      <c r="B15" s="3280" t="s">
        <v>302</v>
      </c>
      <c r="C15" s="2575" t="s">
        <v>296</v>
      </c>
      <c r="D15" s="5431">
        <v>5500</v>
      </c>
      <c r="E15" s="5432">
        <v>5500</v>
      </c>
      <c r="F15" s="2517">
        <v>5500</v>
      </c>
      <c r="G15" s="2512">
        <v>5500</v>
      </c>
      <c r="H15" s="2513">
        <v>5500</v>
      </c>
      <c r="I15" s="2514">
        <v>5500</v>
      </c>
      <c r="J15" s="3697">
        <v>5500</v>
      </c>
      <c r="K15" s="2513">
        <v>5500</v>
      </c>
      <c r="L15" s="2514">
        <v>5500</v>
      </c>
      <c r="M15" s="2512">
        <v>5500</v>
      </c>
      <c r="N15" s="2513">
        <v>5500</v>
      </c>
      <c r="O15" s="2514">
        <v>5500</v>
      </c>
      <c r="P15" s="2523">
        <f>SUM(D15:O15)</f>
        <v>66000</v>
      </c>
    </row>
    <row r="16" spans="2:16" ht="20.25" customHeight="1" thickBot="1">
      <c r="B16" s="7390" t="s">
        <v>15</v>
      </c>
      <c r="C16" s="7410"/>
      <c r="D16" s="5434">
        <f>SUM(D14:D15)</f>
        <v>31500</v>
      </c>
      <c r="E16" s="5112">
        <f t="shared" ref="E16:O16" si="5">SUM(E14:E15)</f>
        <v>31500</v>
      </c>
      <c r="F16" s="2526">
        <f t="shared" si="5"/>
        <v>31500</v>
      </c>
      <c r="G16" s="2576">
        <f t="shared" si="5"/>
        <v>31500</v>
      </c>
      <c r="H16" s="2525">
        <f t="shared" si="5"/>
        <v>31500</v>
      </c>
      <c r="I16" s="2526">
        <f t="shared" si="5"/>
        <v>31500</v>
      </c>
      <c r="J16" s="2527">
        <f t="shared" si="5"/>
        <v>31500</v>
      </c>
      <c r="K16" s="2528">
        <f t="shared" si="5"/>
        <v>31500</v>
      </c>
      <c r="L16" s="2529">
        <f t="shared" si="5"/>
        <v>31500</v>
      </c>
      <c r="M16" s="2527">
        <f t="shared" si="5"/>
        <v>31500</v>
      </c>
      <c r="N16" s="2528">
        <f t="shared" si="5"/>
        <v>31500</v>
      </c>
      <c r="O16" s="2529">
        <f t="shared" si="5"/>
        <v>31500</v>
      </c>
      <c r="P16" s="1777">
        <f>SUM(P14:P15)</f>
        <v>378000</v>
      </c>
    </row>
    <row r="17" spans="2:16" ht="16.2" thickBot="1">
      <c r="D17" s="5437"/>
      <c r="E17" s="2363"/>
      <c r="H17" s="1532"/>
      <c r="N17" s="5"/>
      <c r="O17" s="1569"/>
      <c r="P17" s="5"/>
    </row>
    <row r="18" spans="2:16" s="1528" customFormat="1" ht="20.25" customHeight="1" thickBot="1">
      <c r="B18" s="2810" t="s">
        <v>30</v>
      </c>
      <c r="C18" s="2566"/>
      <c r="D18" s="4744" t="str">
        <f t="shared" ref="D18:P18" si="6">D4</f>
        <v>Jan.26</v>
      </c>
      <c r="E18" s="5414" t="str">
        <f t="shared" si="6"/>
        <v>Feb.26</v>
      </c>
      <c r="F18" s="2310" t="str">
        <f t="shared" si="6"/>
        <v>Mar.26</v>
      </c>
      <c r="G18" s="18" t="str">
        <f t="shared" si="6"/>
        <v>Apr.26</v>
      </c>
      <c r="H18" s="2309" t="str">
        <f t="shared" si="6"/>
        <v>May.26</v>
      </c>
      <c r="I18" s="17" t="str">
        <f t="shared" si="6"/>
        <v>Jun.26</v>
      </c>
      <c r="J18" s="18" t="str">
        <f t="shared" si="6"/>
        <v>Jul.26</v>
      </c>
      <c r="K18" s="2309" t="str">
        <f t="shared" si="6"/>
        <v>Aug.26</v>
      </c>
      <c r="L18" s="17" t="str">
        <f t="shared" si="6"/>
        <v>Sep.26</v>
      </c>
      <c r="M18" s="18" t="str">
        <f t="shared" si="6"/>
        <v>Oct.26</v>
      </c>
      <c r="N18" s="2309" t="str">
        <f t="shared" si="6"/>
        <v>Nov.26</v>
      </c>
      <c r="O18" s="17" t="str">
        <f t="shared" si="6"/>
        <v>Dec.26</v>
      </c>
      <c r="P18" s="2573" t="str">
        <f t="shared" si="6"/>
        <v>2026
Total</v>
      </c>
    </row>
    <row r="19" spans="2:16" ht="20.25" customHeight="1" thickBot="1">
      <c r="B19" s="7390" t="s">
        <v>305</v>
      </c>
      <c r="C19" s="7410"/>
      <c r="D19" s="5438">
        <f t="shared" ref="D19:O19" si="7">SUM(D8,D16)</f>
        <v>41500</v>
      </c>
      <c r="E19" s="5439">
        <f t="shared" si="7"/>
        <v>31500</v>
      </c>
      <c r="F19" s="3383">
        <f t="shared" si="7"/>
        <v>41500</v>
      </c>
      <c r="G19" s="2577">
        <f t="shared" si="7"/>
        <v>41500</v>
      </c>
      <c r="H19" s="2578">
        <f t="shared" si="7"/>
        <v>31500</v>
      </c>
      <c r="I19" s="2579">
        <f t="shared" si="7"/>
        <v>31500</v>
      </c>
      <c r="J19" s="2577">
        <f t="shared" si="7"/>
        <v>31500</v>
      </c>
      <c r="K19" s="2578">
        <f t="shared" si="7"/>
        <v>31500</v>
      </c>
      <c r="L19" s="2579">
        <f t="shared" si="7"/>
        <v>31500</v>
      </c>
      <c r="M19" s="2577">
        <f t="shared" si="7"/>
        <v>31500</v>
      </c>
      <c r="N19" s="2578">
        <f t="shared" si="7"/>
        <v>31500</v>
      </c>
      <c r="O19" s="2579">
        <f t="shared" si="7"/>
        <v>31500</v>
      </c>
      <c r="P19" s="2572">
        <f>SUM(D19:O19)</f>
        <v>408000</v>
      </c>
    </row>
    <row r="20" spans="2:16" ht="20.25" customHeight="1" thickBot="1">
      <c r="P20" s="2809">
        <f>'2. S Plan'!X206</f>
        <v>42339207.88102778</v>
      </c>
    </row>
    <row r="21" spans="2:16" ht="18" customHeight="1">
      <c r="P21" s="2811">
        <f>P19/P20</f>
        <v>9.6364580354566572E-3</v>
      </c>
    </row>
    <row r="22" spans="2:16" ht="15" customHeight="1">
      <c r="D22" s="3382"/>
    </row>
    <row r="23" spans="2:16" ht="15" customHeight="1">
      <c r="D23" s="3382"/>
      <c r="O23" s="1532" t="s">
        <v>498</v>
      </c>
      <c r="P23" s="2580" t="s">
        <v>499</v>
      </c>
    </row>
    <row r="24" spans="2:16" ht="15" customHeight="1">
      <c r="D24" s="3382"/>
      <c r="O24" s="1732" t="s">
        <v>312</v>
      </c>
      <c r="P24" s="2581">
        <v>1.29</v>
      </c>
    </row>
    <row r="25" spans="2:16" ht="15" customHeight="1">
      <c r="D25" s="3382"/>
      <c r="O25" s="1732" t="s">
        <v>313</v>
      </c>
      <c r="P25" s="2581">
        <v>1400</v>
      </c>
    </row>
    <row r="26" spans="2:16" ht="15" customHeight="1">
      <c r="D26" s="3382"/>
      <c r="E26" s="3384"/>
      <c r="O26" s="1732" t="s">
        <v>314</v>
      </c>
      <c r="P26" s="2581">
        <v>7.1</v>
      </c>
    </row>
    <row r="27" spans="2:16" ht="15" customHeight="1">
      <c r="O27" s="1732" t="s">
        <v>315</v>
      </c>
      <c r="P27" s="2581">
        <v>26400</v>
      </c>
    </row>
  </sheetData>
  <mergeCells count="5">
    <mergeCell ref="B8:C8"/>
    <mergeCell ref="B16:C16"/>
    <mergeCell ref="B19:C19"/>
    <mergeCell ref="B9:C9"/>
    <mergeCell ref="B10:C10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AP38"/>
  <sheetViews>
    <sheetView showGridLines="0" topLeftCell="A9" zoomScaleNormal="100" workbookViewId="0">
      <selection activeCell="F21" sqref="F21"/>
    </sheetView>
  </sheetViews>
  <sheetFormatPr defaultColWidth="9" defaultRowHeight="15" customHeight="1" outlineLevelRow="1"/>
  <cols>
    <col min="1" max="1" width="50.3984375" style="5" customWidth="1"/>
    <col min="2" max="7" width="13" style="1536" customWidth="1"/>
    <col min="8" max="13" width="13" style="5" customWidth="1"/>
    <col min="14" max="14" width="16.69921875" style="5" customWidth="1"/>
    <col min="15" max="15" width="2.09765625" style="5" customWidth="1"/>
    <col min="16" max="17" width="11.8984375" style="5" hidden="1" customWidth="1"/>
    <col min="18" max="18" width="34.09765625" style="5" bestFit="1" customWidth="1"/>
    <col min="19" max="16384" width="9" style="5"/>
  </cols>
  <sheetData>
    <row r="1" spans="1:18" ht="15" customHeight="1">
      <c r="A1" s="1538" t="s">
        <v>543</v>
      </c>
      <c r="B1" s="1534"/>
      <c r="C1" s="1534"/>
      <c r="D1" s="1534"/>
      <c r="E1" s="1534"/>
      <c r="F1" s="1534"/>
      <c r="G1" s="1532"/>
      <c r="H1" s="1532"/>
      <c r="I1" s="1532"/>
      <c r="J1" s="1532"/>
      <c r="K1" s="1532"/>
      <c r="L1" s="1532"/>
      <c r="M1" s="1532"/>
      <c r="N1" s="1537" t="s">
        <v>86</v>
      </c>
    </row>
    <row r="2" spans="1:18" ht="15" customHeight="1" thickBot="1">
      <c r="A2" s="1538"/>
      <c r="B2" s="1534"/>
      <c r="C2" s="1534"/>
      <c r="D2" s="1534"/>
      <c r="E2" s="1534"/>
      <c r="F2" s="1534"/>
      <c r="G2" s="1532"/>
      <c r="H2" s="1532"/>
      <c r="I2" s="1532"/>
      <c r="J2" s="1532"/>
      <c r="K2" s="1532"/>
      <c r="L2" s="1532"/>
      <c r="M2" s="1532"/>
      <c r="N2" s="1537"/>
    </row>
    <row r="3" spans="1:18" s="1530" customFormat="1" ht="21.75" customHeight="1" thickBot="1">
      <c r="A3" s="34" t="s">
        <v>108</v>
      </c>
      <c r="B3" s="4574" t="str">
        <f>'2. S Plan'!L4</f>
        <v>Jan.26</v>
      </c>
      <c r="C3" s="5005" t="str">
        <f>'2. S Plan'!M4</f>
        <v>Feb.26</v>
      </c>
      <c r="D3" s="5630" t="str">
        <f>'2. S Plan'!N4</f>
        <v>Mar.26</v>
      </c>
      <c r="E3" s="6125" t="str">
        <f>'2. S Plan'!O4</f>
        <v>Apr.26</v>
      </c>
      <c r="F3" s="5240" t="str">
        <f>'2. S Plan'!P4</f>
        <v>May.26</v>
      </c>
      <c r="G3" s="1540" t="str">
        <f>'2. S Plan'!Q4</f>
        <v>Jun.26</v>
      </c>
      <c r="H3" s="79" t="str">
        <f>'2. S Plan'!R4</f>
        <v>Jul.26</v>
      </c>
      <c r="I3" s="74" t="str">
        <f>'2. S Plan'!S4</f>
        <v>Aug.26</v>
      </c>
      <c r="J3" s="1540" t="str">
        <f>'2. S Plan'!T4</f>
        <v>Sep.26</v>
      </c>
      <c r="K3" s="1539" t="str">
        <f>'2. S Plan'!U4</f>
        <v>Oct.26</v>
      </c>
      <c r="L3" s="74" t="str">
        <f>'2. S Plan'!V4</f>
        <v>Nov.26</v>
      </c>
      <c r="M3" s="1540" t="str">
        <f>'2. S Plan'!W4</f>
        <v>Dec.26</v>
      </c>
      <c r="N3" s="2254" t="str">
        <f>'2. S Plan'!X4</f>
        <v>2026
Total</v>
      </c>
      <c r="P3" s="3139" t="s">
        <v>1176</v>
      </c>
      <c r="Q3" s="2828" t="s">
        <v>1076</v>
      </c>
    </row>
    <row r="4" spans="1:18" ht="16.5" customHeight="1">
      <c r="A4" s="1671" t="s">
        <v>0</v>
      </c>
      <c r="B4" s="4575">
        <f>'2. S Plan'!L206</f>
        <v>3649629.1786013301</v>
      </c>
      <c r="C4" s="5027">
        <f>'2. S Plan'!M206</f>
        <v>3143407.1582357911</v>
      </c>
      <c r="D4" s="5631">
        <f>'2. S Plan'!N206</f>
        <v>4097111.3807477951</v>
      </c>
      <c r="E4" s="6126">
        <f>'2. S Plan'!O206</f>
        <v>3295318.8450423609</v>
      </c>
      <c r="F4" s="6942">
        <f>'2. S Plan'!P206</f>
        <v>3701636.9408252668</v>
      </c>
      <c r="G4" s="2582">
        <f>'2. S Plan'!Q206</f>
        <v>3769217.9071706124</v>
      </c>
      <c r="H4" s="2583">
        <f>'2. S Plan'!R206</f>
        <v>4064405.2347158645</v>
      </c>
      <c r="I4" s="2584">
        <f>'2. S Plan'!S206</f>
        <v>3777949.723959133</v>
      </c>
      <c r="J4" s="2585">
        <f>'2. S Plan'!T206</f>
        <v>3320220.2391426302</v>
      </c>
      <c r="K4" s="2586">
        <f>'2. S Plan'!U206</f>
        <v>3200183.1483620182</v>
      </c>
      <c r="L4" s="2584">
        <f>'2. S Plan'!V206</f>
        <v>3156589.4836383178</v>
      </c>
      <c r="M4" s="2585">
        <f>'2. S Plan'!W206</f>
        <v>3163538.640586664</v>
      </c>
      <c r="N4" s="3155">
        <f>SUM(B4:M4)</f>
        <v>42339207.88102778</v>
      </c>
      <c r="P4" s="3125">
        <v>43977858.618706666</v>
      </c>
      <c r="Q4" s="3141" t="e">
        <f>(#REF!-P4)/#REF!</f>
        <v>#REF!</v>
      </c>
      <c r="R4" s="1618"/>
    </row>
    <row r="5" spans="1:18" ht="16.5" customHeight="1">
      <c r="A5" s="2587" t="s">
        <v>537</v>
      </c>
      <c r="B5" s="4576">
        <f>2838299.7998098-B6</f>
        <v>2633553.6079282579</v>
      </c>
      <c r="C5" s="5006">
        <f>2676897-C6</f>
        <v>2581808</v>
      </c>
      <c r="D5" s="5632">
        <f>3243266.74366071-D6</f>
        <v>3130898.2669767821</v>
      </c>
      <c r="E5" s="2649">
        <v>2825043.3157365769</v>
      </c>
      <c r="F5" s="5664">
        <v>2932170.7536199708</v>
      </c>
      <c r="G5" s="2588">
        <f>+'7. E Plan'!L34</f>
        <v>2812077.4277020767</v>
      </c>
      <c r="H5" s="3132">
        <f>+'7. E Plan'!M34</f>
        <v>2878139.6914163255</v>
      </c>
      <c r="I5" s="3307">
        <f>+'7. E Plan'!N34</f>
        <v>2687681.0805564513</v>
      </c>
      <c r="J5" s="2588">
        <f>+'7. E Plan'!O34</f>
        <v>2448212.4833048261</v>
      </c>
      <c r="K5" s="3308">
        <f>+'7. E Plan'!P34</f>
        <v>2330263.0090714251</v>
      </c>
      <c r="L5" s="3307">
        <f>+'7. E Plan'!Q34</f>
        <v>2377048.0233888766</v>
      </c>
      <c r="M5" s="2588">
        <f>+'7. E Plan'!R34</f>
        <v>2380528.3306132508</v>
      </c>
      <c r="N5" s="3156">
        <f>SUM(B5:M5)</f>
        <v>32017423.990314823</v>
      </c>
      <c r="O5" s="2589"/>
      <c r="P5" s="3126">
        <v>26197488.31034378</v>
      </c>
      <c r="Q5" s="3142" t="e">
        <f>(#REF!-P5)/#REF!</f>
        <v>#REF!</v>
      </c>
      <c r="R5" s="1618"/>
    </row>
    <row r="6" spans="1:18" ht="16.5" customHeight="1">
      <c r="A6" s="2587" t="s">
        <v>1202</v>
      </c>
      <c r="B6" s="4577">
        <f>+'7. E Plan'!G32</f>
        <v>204746.19188154209</v>
      </c>
      <c r="C6" s="5083">
        <f>+'7. E Plan'!H32</f>
        <v>95089</v>
      </c>
      <c r="D6" s="5633">
        <f>+'7. E Plan'!I32</f>
        <v>112368.47668392782</v>
      </c>
      <c r="E6" s="6127">
        <f>+'7. E Plan'!J32</f>
        <v>0</v>
      </c>
      <c r="F6" s="6943">
        <f>+'7. E Plan'!K32</f>
        <v>33626.628631223241</v>
      </c>
      <c r="G6" s="4537">
        <f>+'7. E Plan'!L32</f>
        <v>33626.628631223241</v>
      </c>
      <c r="H6" s="3373">
        <f>+'7. E Plan'!M32</f>
        <v>33626.628631223241</v>
      </c>
      <c r="I6" s="4538">
        <f>+'7. E Plan'!N32</f>
        <v>33626.628631223241</v>
      </c>
      <c r="J6" s="4537">
        <f>+'7. E Plan'!O32</f>
        <v>33626.628631223241</v>
      </c>
      <c r="K6" s="4539">
        <f>+'7. E Plan'!P32</f>
        <v>33626.628631223241</v>
      </c>
      <c r="L6" s="4538">
        <f>+'7. E Plan'!Q32</f>
        <v>33626.628631223241</v>
      </c>
      <c r="M6" s="4537">
        <f>+'7. E Plan'!R32</f>
        <v>33626.628631223241</v>
      </c>
      <c r="N6" s="3156">
        <f>SUM(B6:M6)</f>
        <v>681216.69761525572</v>
      </c>
      <c r="O6" s="2589"/>
      <c r="P6" s="3126"/>
      <c r="Q6" s="3142"/>
      <c r="R6" s="3304"/>
    </row>
    <row r="7" spans="1:18" ht="16.5" customHeight="1">
      <c r="A7" s="2590"/>
      <c r="B7" s="4578">
        <f>(B5+B6)/B4</f>
        <v>0.77769539339816962</v>
      </c>
      <c r="C7" s="5121">
        <f>(C5+C6)/C4</f>
        <v>0.85159092196710029</v>
      </c>
      <c r="D7" s="5634">
        <f t="shared" ref="D7:N7" si="0">(D5+D6)/D4</f>
        <v>0.79159838292430229</v>
      </c>
      <c r="E7" s="6128">
        <f t="shared" si="0"/>
        <v>0.85728982492444106</v>
      </c>
      <c r="F7" s="6944">
        <f t="shared" si="0"/>
        <v>0.80121239053497784</v>
      </c>
      <c r="G7" s="2592">
        <f t="shared" si="0"/>
        <v>0.75498528512230434</v>
      </c>
      <c r="H7" s="3309">
        <f t="shared" si="0"/>
        <v>0.71640649785038113</v>
      </c>
      <c r="I7" s="2591">
        <f t="shared" si="0"/>
        <v>0.72031337313188448</v>
      </c>
      <c r="J7" s="2592">
        <f t="shared" si="0"/>
        <v>0.74749231471973887</v>
      </c>
      <c r="K7" s="3310">
        <f t="shared" si="0"/>
        <v>0.73867323465926693</v>
      </c>
      <c r="L7" s="2591">
        <f t="shared" si="0"/>
        <v>0.76369596506465309</v>
      </c>
      <c r="M7" s="2592">
        <f t="shared" si="0"/>
        <v>0.76311853070863078</v>
      </c>
      <c r="N7" s="3157">
        <f t="shared" si="0"/>
        <v>0.7723016637394946</v>
      </c>
      <c r="O7" s="2589"/>
      <c r="P7" s="3127">
        <v>0.59569722431187844</v>
      </c>
      <c r="Q7" s="3143" t="e">
        <f>(#REF!-P7)/#REF!</f>
        <v>#REF!</v>
      </c>
      <c r="R7" s="1618"/>
    </row>
    <row r="8" spans="1:18" ht="16.5" customHeight="1">
      <c r="A8" s="2201" t="s">
        <v>1</v>
      </c>
      <c r="B8" s="4579">
        <f>B4-B5-B6</f>
        <v>811329.37879153015</v>
      </c>
      <c r="C8" s="4655">
        <f>C4-C5-C6</f>
        <v>466510.15823579114</v>
      </c>
      <c r="D8" s="5635">
        <f t="shared" ref="D8:N8" si="1">D4-D5-D6</f>
        <v>853844.63708708517</v>
      </c>
      <c r="E8" s="4681">
        <f>E4-E5-E6</f>
        <v>470275.52930578403</v>
      </c>
      <c r="F8" s="6945">
        <f t="shared" si="1"/>
        <v>735839.55857407278</v>
      </c>
      <c r="G8" s="1585">
        <f t="shared" si="1"/>
        <v>923513.85083731241</v>
      </c>
      <c r="H8" s="1743">
        <f t="shared" si="1"/>
        <v>1152638.9146683158</v>
      </c>
      <c r="I8" s="1586">
        <f t="shared" si="1"/>
        <v>1056642.0147714585</v>
      </c>
      <c r="J8" s="1585">
        <f t="shared" si="1"/>
        <v>838381.12720658095</v>
      </c>
      <c r="K8" s="1742">
        <f t="shared" si="1"/>
        <v>836293.51065936987</v>
      </c>
      <c r="L8" s="1586">
        <f t="shared" si="1"/>
        <v>745914.83161821798</v>
      </c>
      <c r="M8" s="1585">
        <f t="shared" si="1"/>
        <v>749383.6813421899</v>
      </c>
      <c r="N8" s="1557">
        <f t="shared" si="1"/>
        <v>9640567.1930977013</v>
      </c>
      <c r="P8" s="3125">
        <v>17780370.308362886</v>
      </c>
      <c r="Q8" s="3141" t="e">
        <f>(#REF!-P8)/#REF!</f>
        <v>#REF!</v>
      </c>
      <c r="R8" s="1618"/>
    </row>
    <row r="9" spans="1:18" ht="16.5" customHeight="1">
      <c r="A9" s="2587" t="s">
        <v>445</v>
      </c>
      <c r="B9" s="4576">
        <f>'7. E Plan'!G68</f>
        <v>418828.00109036366</v>
      </c>
      <c r="C9" s="5006">
        <f>'7. E Plan'!H68</f>
        <v>393380.95633305016</v>
      </c>
      <c r="D9" s="5632">
        <f>'7. E Plan'!I68</f>
        <v>416650.50958472013</v>
      </c>
      <c r="E9" s="2649">
        <f>'7. E Plan'!J68</f>
        <v>430542.6272812353</v>
      </c>
      <c r="F9" s="5664">
        <f>'7. E Plan'!K68</f>
        <v>384788.43584141188</v>
      </c>
      <c r="G9" s="1555">
        <f>'7. E Plan'!L68</f>
        <v>404499.26797911798</v>
      </c>
      <c r="H9" s="1613">
        <f>'7. E Plan'!M68</f>
        <v>392496.05125988001</v>
      </c>
      <c r="I9" s="1556">
        <f>'7. E Plan'!N68</f>
        <v>363544.70724441513</v>
      </c>
      <c r="J9" s="1555">
        <f>'7. E Plan'!O68</f>
        <v>349803.59457751882</v>
      </c>
      <c r="K9" s="1722">
        <f>'7. E Plan'!P68</f>
        <v>326883.6173701908</v>
      </c>
      <c r="L9" s="1556">
        <f>'7. E Plan'!Q68</f>
        <v>324095.75032325444</v>
      </c>
      <c r="M9" s="1555">
        <f>'7. E Plan'!R68</f>
        <v>335568.62893884938</v>
      </c>
      <c r="N9" s="1557">
        <f>SUM(B9:M9)</f>
        <v>4541082.1478240071</v>
      </c>
      <c r="P9" s="3126">
        <v>6436500.9932711581</v>
      </c>
      <c r="Q9" s="3142" t="e">
        <f>(#REF!-P9)/#REF!</f>
        <v>#REF!</v>
      </c>
      <c r="R9" s="1618"/>
    </row>
    <row r="10" spans="1:18" ht="16.5" customHeight="1">
      <c r="A10" s="2590"/>
      <c r="B10" s="4578">
        <f t="shared" ref="B10:M10" si="2">B9/B4</f>
        <v>0.11475905649430217</v>
      </c>
      <c r="C10" s="5121">
        <f t="shared" si="2"/>
        <v>0.1251447669775721</v>
      </c>
      <c r="D10" s="5634">
        <f t="shared" si="2"/>
        <v>0.10169372293429671</v>
      </c>
      <c r="E10" s="6128">
        <f t="shared" si="2"/>
        <v>0.13065279796186177</v>
      </c>
      <c r="F10" s="6944">
        <f t="shared" si="2"/>
        <v>0.10395088497134586</v>
      </c>
      <c r="G10" s="2592">
        <f t="shared" si="2"/>
        <v>0.10731649852601861</v>
      </c>
      <c r="H10" s="3309">
        <f t="shared" si="2"/>
        <v>9.6569123547868549E-2</v>
      </c>
      <c r="I10" s="2591">
        <f t="shared" si="2"/>
        <v>9.6228042670571987E-2</v>
      </c>
      <c r="J10" s="2592">
        <f t="shared" si="2"/>
        <v>0.10535553950717663</v>
      </c>
      <c r="K10" s="3310">
        <f t="shared" si="2"/>
        <v>0.10214528425896591</v>
      </c>
      <c r="L10" s="2591">
        <f t="shared" si="2"/>
        <v>0.10267275868564901</v>
      </c>
      <c r="M10" s="2592">
        <f t="shared" si="2"/>
        <v>0.10607382019415439</v>
      </c>
      <c r="N10" s="3157">
        <f>N9/N4</f>
        <v>0.10725477341438096</v>
      </c>
      <c r="P10" s="3127">
        <v>0.14635776264316089</v>
      </c>
      <c r="Q10" s="3143" t="e">
        <f>(#REF!-P10)/#REF!</f>
        <v>#REF!</v>
      </c>
      <c r="R10" s="1618"/>
    </row>
    <row r="11" spans="1:18" ht="16.5" customHeight="1">
      <c r="A11" s="2201" t="s">
        <v>3</v>
      </c>
      <c r="B11" s="4580">
        <f>B8-B9</f>
        <v>392501.37770116649</v>
      </c>
      <c r="C11" s="5122">
        <f>C8-C9</f>
        <v>73129.201902740984</v>
      </c>
      <c r="D11" s="5636">
        <f t="shared" ref="D11:N11" si="3">D8-D9</f>
        <v>437194.12750236504</v>
      </c>
      <c r="E11" s="6129">
        <f>E8-E9</f>
        <v>39732.902024548734</v>
      </c>
      <c r="F11" s="6946">
        <f t="shared" si="3"/>
        <v>351051.12273266091</v>
      </c>
      <c r="G11" s="2594">
        <f t="shared" si="3"/>
        <v>519014.58285819442</v>
      </c>
      <c r="H11" s="2605">
        <f t="shared" si="3"/>
        <v>760142.86340843583</v>
      </c>
      <c r="I11" s="2593">
        <f t="shared" si="3"/>
        <v>693097.30752704339</v>
      </c>
      <c r="J11" s="2594">
        <f t="shared" si="3"/>
        <v>488577.53262906213</v>
      </c>
      <c r="K11" s="2604">
        <f t="shared" si="3"/>
        <v>509409.89328917908</v>
      </c>
      <c r="L11" s="2593">
        <f t="shared" si="3"/>
        <v>421819.08129496354</v>
      </c>
      <c r="M11" s="2594">
        <f t="shared" si="3"/>
        <v>413815.05240334052</v>
      </c>
      <c r="N11" s="3158">
        <f t="shared" si="3"/>
        <v>5099485.0452736942</v>
      </c>
      <c r="P11" s="3125">
        <v>11343869.315091729</v>
      </c>
      <c r="Q11" s="3141" t="e">
        <f>(#REF!-P11)/#REF!</f>
        <v>#REF!</v>
      </c>
      <c r="R11" s="1618"/>
    </row>
    <row r="12" spans="1:18" ht="16.5" customHeight="1">
      <c r="A12" s="2205" t="s">
        <v>236</v>
      </c>
      <c r="B12" s="4581">
        <f>'7. E Plan'!G76</f>
        <v>77450.713200478407</v>
      </c>
      <c r="C12" s="5123">
        <f>'7. E Plan'!H76</f>
        <v>63056</v>
      </c>
      <c r="D12" s="5637">
        <f>'7. E Plan'!I76</f>
        <v>52889.094421923059</v>
      </c>
      <c r="E12" s="6130">
        <f>'7. E Plan'!J76</f>
        <v>58686</v>
      </c>
      <c r="F12" s="6592">
        <f>'7. E Plan'!K76</f>
        <v>60539.905128846156</v>
      </c>
      <c r="G12" s="2597">
        <f>'7. E Plan'!L76</f>
        <v>58537.352225824347</v>
      </c>
      <c r="H12" s="3311">
        <f>'7. E Plan'!M76</f>
        <v>55244.858447428051</v>
      </c>
      <c r="I12" s="2596">
        <f>'7. E Plan'!N76</f>
        <v>55006.679133862948</v>
      </c>
      <c r="J12" s="2597">
        <f>'7. E Plan'!O76</f>
        <v>54768.499820297846</v>
      </c>
      <c r="K12" s="3312">
        <f>'7. E Plan'!P76</f>
        <v>52751.517276595056</v>
      </c>
      <c r="L12" s="2596">
        <f>'7. E Plan'!Q76</f>
        <v>52550.882313865848</v>
      </c>
      <c r="M12" s="2597">
        <f>'7. E Plan'!R76</f>
        <v>51864.463290083761</v>
      </c>
      <c r="N12" s="3159">
        <f>SUM(B12:M12)</f>
        <v>693345.96525920555</v>
      </c>
      <c r="P12" s="3128">
        <v>863641.74307735672</v>
      </c>
      <c r="Q12" s="3143" t="e">
        <f>(#REF!-P12)/#REF!</f>
        <v>#REF!</v>
      </c>
      <c r="R12" s="1618"/>
    </row>
    <row r="13" spans="1:18" ht="26.25" customHeight="1">
      <c r="A13" s="2598" t="s">
        <v>1708</v>
      </c>
      <c r="B13" s="4582">
        <f>+'7. E Plan'!G78</f>
        <v>18316</v>
      </c>
      <c r="C13" s="5124">
        <f>+'7. E Plan'!H78</f>
        <v>10496.7760323077</v>
      </c>
      <c r="D13" s="5638">
        <v>342141</v>
      </c>
      <c r="E13" s="6131">
        <v>-29475.3641903846</v>
      </c>
      <c r="F13" s="6947">
        <v>-20513.646675</v>
      </c>
      <c r="G13" s="2602">
        <v>30000</v>
      </c>
      <c r="H13" s="2600">
        <v>30000</v>
      </c>
      <c r="I13" s="2601">
        <v>30000</v>
      </c>
      <c r="J13" s="2602">
        <v>30000</v>
      </c>
      <c r="K13" s="2599">
        <v>30000</v>
      </c>
      <c r="L13" s="2601">
        <v>30000</v>
      </c>
      <c r="M13" s="2602">
        <v>30000</v>
      </c>
      <c r="N13" s="2603">
        <f>SUM(B13:M13)</f>
        <v>530964.76516692317</v>
      </c>
      <c r="P13" s="2826">
        <v>331815</v>
      </c>
      <c r="Q13" s="3144" t="e">
        <f>(#REF!-P13)/#REF!</f>
        <v>#REF!</v>
      </c>
      <c r="R13" s="1618"/>
    </row>
    <row r="14" spans="1:18" ht="16.5" customHeight="1">
      <c r="A14" s="2201" t="s">
        <v>4</v>
      </c>
      <c r="B14" s="4580">
        <f>B11-B12-B13</f>
        <v>296734.66450068809</v>
      </c>
      <c r="C14" s="5122">
        <f>C11-C12-C13</f>
        <v>-423.57412956671578</v>
      </c>
      <c r="D14" s="5636">
        <f t="shared" ref="D14:N14" si="4">D11-D12-D13</f>
        <v>42164.033080441994</v>
      </c>
      <c r="E14" s="6129">
        <f>E11-E12-E13</f>
        <v>10522.266214933334</v>
      </c>
      <c r="F14" s="6946">
        <f t="shared" si="4"/>
        <v>311024.86427881476</v>
      </c>
      <c r="G14" s="2594">
        <f t="shared" si="4"/>
        <v>430477.23063237011</v>
      </c>
      <c r="H14" s="2605">
        <f t="shared" si="4"/>
        <v>674898.00496100774</v>
      </c>
      <c r="I14" s="2593">
        <f t="shared" si="4"/>
        <v>608090.62839318044</v>
      </c>
      <c r="J14" s="2594">
        <f t="shared" si="4"/>
        <v>403809.03280876426</v>
      </c>
      <c r="K14" s="2604">
        <f t="shared" si="4"/>
        <v>426658.37601258402</v>
      </c>
      <c r="L14" s="2593">
        <f t="shared" si="4"/>
        <v>339268.19898109767</v>
      </c>
      <c r="M14" s="2594">
        <f t="shared" si="4"/>
        <v>331950.58911325678</v>
      </c>
      <c r="N14" s="3159">
        <f t="shared" si="4"/>
        <v>3875174.3148475653</v>
      </c>
      <c r="P14" s="3125">
        <v>10148412.572014373</v>
      </c>
      <c r="Q14" s="3141" t="e">
        <f>(#REF!-P14)/#REF!</f>
        <v>#REF!</v>
      </c>
      <c r="R14" s="1618"/>
    </row>
    <row r="15" spans="1:18" ht="16.5" hidden="1" customHeight="1">
      <c r="A15" s="2205" t="s">
        <v>1683</v>
      </c>
      <c r="B15" s="4581">
        <v>20122</v>
      </c>
      <c r="C15" s="5123">
        <v>9892.8426253846155</v>
      </c>
      <c r="D15" s="5637">
        <v>8792</v>
      </c>
      <c r="E15" s="6130">
        <v>13566</v>
      </c>
      <c r="F15" s="6592">
        <v>21117</v>
      </c>
      <c r="G15" s="2597"/>
      <c r="H15" s="3311"/>
      <c r="I15" s="2596"/>
      <c r="J15" s="2597"/>
      <c r="K15" s="3312"/>
      <c r="L15" s="2596"/>
      <c r="M15" s="2597"/>
      <c r="N15" s="3159">
        <f>SUM(B15:M15)</f>
        <v>73489.842625384612</v>
      </c>
      <c r="P15" s="3126"/>
      <c r="Q15" s="3142"/>
      <c r="R15" s="1618"/>
    </row>
    <row r="16" spans="1:18" ht="16.5" customHeight="1">
      <c r="A16" s="2205" t="s">
        <v>1682</v>
      </c>
      <c r="B16" s="4581">
        <f>+B14+B15</f>
        <v>316856.66450068809</v>
      </c>
      <c r="C16" s="5123">
        <f>+C14+C15</f>
        <v>9469.2684958178997</v>
      </c>
      <c r="D16" s="5637">
        <f>+D14+D15</f>
        <v>50956.033080441994</v>
      </c>
      <c r="E16" s="6130">
        <f t="shared" ref="E16:M16" si="5">+E14+E15</f>
        <v>24088.266214933334</v>
      </c>
      <c r="F16" s="6592">
        <f t="shared" si="5"/>
        <v>332141.86427881476</v>
      </c>
      <c r="G16" s="2597">
        <f t="shared" si="5"/>
        <v>430477.23063237011</v>
      </c>
      <c r="H16" s="3311">
        <f t="shared" si="5"/>
        <v>674898.00496100774</v>
      </c>
      <c r="I16" s="2596">
        <f t="shared" si="5"/>
        <v>608090.62839318044</v>
      </c>
      <c r="J16" s="2597">
        <f t="shared" si="5"/>
        <v>403809.03280876426</v>
      </c>
      <c r="K16" s="3312">
        <f t="shared" si="5"/>
        <v>426658.37601258402</v>
      </c>
      <c r="L16" s="2596">
        <f t="shared" si="5"/>
        <v>339268.19898109767</v>
      </c>
      <c r="M16" s="2597">
        <f t="shared" si="5"/>
        <v>331950.58911325678</v>
      </c>
      <c r="N16" s="3159">
        <f>SUM(B16:M16)</f>
        <v>3948664.1574729569</v>
      </c>
      <c r="P16" s="3126"/>
      <c r="Q16" s="3142"/>
      <c r="R16" s="1618"/>
    </row>
    <row r="17" spans="1:42" ht="16.5" customHeight="1">
      <c r="A17" s="3306" t="s">
        <v>5</v>
      </c>
      <c r="B17" s="4583">
        <f>B31</f>
        <v>0</v>
      </c>
      <c r="C17" s="5125">
        <f>C31</f>
        <v>0</v>
      </c>
      <c r="D17" s="5639">
        <f t="shared" ref="D17:M17" si="6">D31</f>
        <v>0</v>
      </c>
      <c r="E17" s="6132">
        <f t="shared" si="6"/>
        <v>0</v>
      </c>
      <c r="F17" s="6948">
        <f t="shared" si="6"/>
        <v>0</v>
      </c>
      <c r="G17" s="3581">
        <f t="shared" si="6"/>
        <v>44468.826455997842</v>
      </c>
      <c r="H17" s="3582">
        <f t="shared" si="6"/>
        <v>134979.60099220157</v>
      </c>
      <c r="I17" s="3583">
        <f t="shared" si="6"/>
        <v>121618.12567863609</v>
      </c>
      <c r="J17" s="3581">
        <f t="shared" si="6"/>
        <v>80761.806561752863</v>
      </c>
      <c r="K17" s="3584">
        <f t="shared" si="6"/>
        <v>85331.67520251681</v>
      </c>
      <c r="L17" s="3583">
        <f t="shared" si="6"/>
        <v>67853.639796219533</v>
      </c>
      <c r="M17" s="3581">
        <f t="shared" si="6"/>
        <v>66390.117822651358</v>
      </c>
      <c r="N17" s="3585">
        <f>SUM(B17:M17)</f>
        <v>601403.79250997608</v>
      </c>
      <c r="P17" s="3128">
        <v>1524105.3709425544</v>
      </c>
      <c r="Q17" s="3143" t="e">
        <f>(#REF!-P17)/#REF!</f>
        <v>#REF!</v>
      </c>
      <c r="R17" s="3305"/>
    </row>
    <row r="18" spans="1:42" ht="16.5" customHeight="1">
      <c r="A18" s="2106" t="s">
        <v>6</v>
      </c>
      <c r="B18" s="4584">
        <f>B14-B17</f>
        <v>296734.66450068809</v>
      </c>
      <c r="C18" s="5126">
        <f>C14-C17</f>
        <v>-423.57412956671578</v>
      </c>
      <c r="D18" s="5640">
        <f t="shared" ref="D18:N18" si="7">D14-D17</f>
        <v>42164.033080441994</v>
      </c>
      <c r="E18" s="6133">
        <f t="shared" si="7"/>
        <v>10522.266214933334</v>
      </c>
      <c r="F18" s="6949">
        <f t="shared" si="7"/>
        <v>311024.86427881476</v>
      </c>
      <c r="G18" s="3316">
        <f t="shared" si="7"/>
        <v>386008.40417637228</v>
      </c>
      <c r="H18" s="3314">
        <f t="shared" si="7"/>
        <v>539918.40396880615</v>
      </c>
      <c r="I18" s="3315">
        <f t="shared" si="7"/>
        <v>486472.50271454436</v>
      </c>
      <c r="J18" s="3316">
        <f t="shared" si="7"/>
        <v>323047.22624701139</v>
      </c>
      <c r="K18" s="3313">
        <f t="shared" si="7"/>
        <v>341326.70081006724</v>
      </c>
      <c r="L18" s="3315">
        <f t="shared" si="7"/>
        <v>271414.55918487813</v>
      </c>
      <c r="M18" s="3316">
        <f t="shared" si="7"/>
        <v>265560.47129060543</v>
      </c>
      <c r="N18" s="3317">
        <f t="shared" si="7"/>
        <v>3273770.5223375894</v>
      </c>
      <c r="P18" s="2826">
        <v>8624307.2010718174</v>
      </c>
      <c r="Q18" s="3144" t="e">
        <f>(#REF!-P18)/#REF!</f>
        <v>#REF!</v>
      </c>
      <c r="R18" s="6001"/>
    </row>
    <row r="19" spans="1:42" ht="16.5" customHeight="1" thickBot="1">
      <c r="A19" s="2246" t="s">
        <v>7</v>
      </c>
      <c r="B19" s="4585">
        <f>B18+B22+B12+B17</f>
        <v>773645.47249385878</v>
      </c>
      <c r="C19" s="5127">
        <f t="shared" ref="C19:N19" si="8">C18+C22+C12+C17</f>
        <v>467968.29000466404</v>
      </c>
      <c r="D19" s="5641">
        <f t="shared" si="8"/>
        <v>502339.36598698044</v>
      </c>
      <c r="E19" s="6134">
        <f t="shared" si="8"/>
        <v>477930.13336224109</v>
      </c>
      <c r="F19" s="6950">
        <f t="shared" si="8"/>
        <v>795656.40641227632</v>
      </c>
      <c r="G19" s="2610">
        <f t="shared" si="8"/>
        <v>906286.37210576585</v>
      </c>
      <c r="H19" s="2608">
        <f t="shared" si="8"/>
        <v>1135424.1141477542</v>
      </c>
      <c r="I19" s="2609">
        <f t="shared" si="8"/>
        <v>1069704.6477393277</v>
      </c>
      <c r="J19" s="2610">
        <f t="shared" si="8"/>
        <v>869757.57033414859</v>
      </c>
      <c r="K19" s="2607">
        <f t="shared" si="8"/>
        <v>893784.16341917426</v>
      </c>
      <c r="L19" s="2609">
        <f t="shared" si="8"/>
        <v>813491.8371831337</v>
      </c>
      <c r="M19" s="2610">
        <f t="shared" si="8"/>
        <v>804140.73007468996</v>
      </c>
      <c r="N19" s="3160">
        <f t="shared" si="8"/>
        <v>9510129.1032640077</v>
      </c>
      <c r="P19" s="2827">
        <v>12450761.656542312</v>
      </c>
      <c r="Q19" s="3145" t="e">
        <f>(#REF!-P19)/#REF!</f>
        <v>#REF!</v>
      </c>
      <c r="R19" s="1618"/>
    </row>
    <row r="20" spans="1:42" ht="16.5" customHeight="1">
      <c r="A20" s="2611" t="s">
        <v>12</v>
      </c>
      <c r="B20" s="4586">
        <f>+'7. E Plan'!G26+'7. E Plan'!G58</f>
        <v>205800.60856192306</v>
      </c>
      <c r="C20" s="5128">
        <f>+'7. E Plan'!H26+'7. E Plan'!H58</f>
        <v>209386.76501884614</v>
      </c>
      <c r="D20" s="5642">
        <f>+'7. E Plan'!I26+'7. E Plan'!I58</f>
        <v>209759.10606153848</v>
      </c>
      <c r="E20" s="6135">
        <f>+'7. E Plan'!J26+'7. E Plan'!J58</f>
        <v>205689.61464730767</v>
      </c>
      <c r="F20" s="5128">
        <f>+'7. E Plan'!K26+'7. E Plan'!K58</f>
        <v>210443.03981230772</v>
      </c>
      <c r="G20" s="2613">
        <f>+'7. E Plan'!L26+'7. E Plan'!L58</f>
        <v>228886.86534865276</v>
      </c>
      <c r="H20" s="2614">
        <f>+'7. E Plan'!M26+'7. E Plan'!M58</f>
        <v>240660.47410472503</v>
      </c>
      <c r="I20" s="2612">
        <f>+'7. E Plan'!N26+'7. E Plan'!N58</f>
        <v>250967.07587037262</v>
      </c>
      <c r="J20" s="2615">
        <f>+'7. E Plan'!O26+'7. E Plan'!O58</f>
        <v>259913.47659317483</v>
      </c>
      <c r="K20" s="2616">
        <f>+'7. E Plan'!P26+'7. E Plan'!P58</f>
        <v>263107.70901808329</v>
      </c>
      <c r="L20" s="2617">
        <f>+'7. E Plan'!Q26+'7. E Plan'!Q58</f>
        <v>272857.45140048012</v>
      </c>
      <c r="M20" s="2615">
        <f>+'7. E Plan'!R26+'7. E Plan'!R58</f>
        <v>274491.07491079584</v>
      </c>
      <c r="N20" s="2618">
        <f>SUM(B20:M20)</f>
        <v>2831963.2613482075</v>
      </c>
      <c r="P20" s="2519"/>
      <c r="Q20" s="2465"/>
      <c r="AP20" s="5" t="s">
        <v>538</v>
      </c>
    </row>
    <row r="21" spans="1:42" ht="16.5" customHeight="1">
      <c r="A21" s="2619" t="s">
        <v>9</v>
      </c>
      <c r="B21" s="4587">
        <f>+'7. E Plan'!G27+'7. E Plan'!G28+'7. E Plan'!G59</f>
        <v>193659.48623076925</v>
      </c>
      <c r="C21" s="5129">
        <f>+'7. E Plan'!H27+'7. E Plan'!H28+'7. E Plan'!H59</f>
        <v>195949.0991153846</v>
      </c>
      <c r="D21" s="5643">
        <f>+'7. E Plan'!I27+'7. E Plan'!I28+'7. E Plan'!I59</f>
        <v>197527.13242307692</v>
      </c>
      <c r="E21" s="6136">
        <f>+'7. E Plan'!J27+'7. E Plan'!J28+'7. E Plan'!J59</f>
        <v>203032.25250000003</v>
      </c>
      <c r="F21" s="5129">
        <f>+'7. E Plan'!K27+'7. E Plan'!K28+'7. E Plan'!K59</f>
        <v>213648.5971923077</v>
      </c>
      <c r="G21" s="2622">
        <f>+'7. E Plan'!L27+'7. E Plan'!L28+'7. E Plan'!L59</f>
        <v>188384.92389891853</v>
      </c>
      <c r="H21" s="2623">
        <f>+'7. E Plan'!M27+'7. E Plan'!M28+'7. E Plan'!M59</f>
        <v>164620.77663459338</v>
      </c>
      <c r="I21" s="2621">
        <f>+'7. E Plan'!N27+'7. E Plan'!N28+'7. E Plan'!N59</f>
        <v>155640.26434191177</v>
      </c>
      <c r="J21" s="2622">
        <f>+'7. E Plan'!O27+'7. E Plan'!O28+'7. E Plan'!O59</f>
        <v>151266.56111191175</v>
      </c>
      <c r="K21" s="2620">
        <f>+'7. E Plan'!P27+'7. E Plan'!P28+'7. E Plan'!P59</f>
        <v>151266.56111191175</v>
      </c>
      <c r="L21" s="2621">
        <f>+'7. E Plan'!Q27+'7. E Plan'!Q28+'7. E Plan'!Q59</f>
        <v>148815.30448769013</v>
      </c>
      <c r="M21" s="2622">
        <f>+'7. E Plan'!R27+'7. E Plan'!R28+'7. E Plan'!R59</f>
        <v>145834.60276055339</v>
      </c>
      <c r="N21" s="2606">
        <f>SUM(B21:M21)</f>
        <v>2109645.561809029</v>
      </c>
      <c r="P21" s="2519"/>
      <c r="Q21" s="2465"/>
    </row>
    <row r="22" spans="1:42" ht="16.5" customHeight="1" thickBot="1">
      <c r="A22" s="2624" t="s">
        <v>13</v>
      </c>
      <c r="B22" s="4588">
        <f>SUM(B20:B21)</f>
        <v>399460.09479269234</v>
      </c>
      <c r="C22" s="5130">
        <f t="shared" ref="C22:M22" si="9">SUM(C20:C21)</f>
        <v>405335.86413423077</v>
      </c>
      <c r="D22" s="5644">
        <f t="shared" si="9"/>
        <v>407286.2384846154</v>
      </c>
      <c r="E22" s="6137">
        <f t="shared" si="9"/>
        <v>408721.86714730773</v>
      </c>
      <c r="F22" s="5130">
        <f t="shared" si="9"/>
        <v>424091.63700461539</v>
      </c>
      <c r="G22" s="2627">
        <f t="shared" si="9"/>
        <v>417271.78924757126</v>
      </c>
      <c r="H22" s="2628">
        <f t="shared" si="9"/>
        <v>405281.25073931844</v>
      </c>
      <c r="I22" s="2626">
        <f t="shared" si="9"/>
        <v>406607.34021228435</v>
      </c>
      <c r="J22" s="2627">
        <f t="shared" si="9"/>
        <v>411180.03770508658</v>
      </c>
      <c r="K22" s="2625">
        <f t="shared" si="9"/>
        <v>414374.27012999507</v>
      </c>
      <c r="L22" s="2626">
        <f t="shared" si="9"/>
        <v>421672.75588817021</v>
      </c>
      <c r="M22" s="2627">
        <f t="shared" si="9"/>
        <v>420325.67767134926</v>
      </c>
      <c r="N22" s="2629">
        <f>SUM(N20:N21)</f>
        <v>4941608.823157236</v>
      </c>
      <c r="P22" s="2519"/>
      <c r="Q22" s="2465"/>
    </row>
    <row r="23" spans="1:42" ht="16.5" customHeight="1" thickBot="1">
      <c r="A23" s="1613"/>
      <c r="B23" s="4589"/>
      <c r="C23" s="4589"/>
      <c r="D23" s="4589"/>
      <c r="E23" s="4589"/>
      <c r="F23" s="4589"/>
      <c r="G23" s="2630"/>
      <c r="H23" s="2425"/>
      <c r="I23" s="2425"/>
      <c r="J23" s="2425"/>
      <c r="K23" s="2425"/>
      <c r="L23" s="2425"/>
      <c r="M23" s="2425"/>
      <c r="N23" s="2542"/>
      <c r="P23" s="2519"/>
      <c r="Q23" s="2465"/>
    </row>
    <row r="24" spans="1:42" ht="16.5" customHeight="1">
      <c r="A24" s="1671" t="s">
        <v>1</v>
      </c>
      <c r="B24" s="4590">
        <f>B8/B4</f>
        <v>0.22230460660183041</v>
      </c>
      <c r="C24" s="5131">
        <f>C8/C4</f>
        <v>0.14840907803289974</v>
      </c>
      <c r="D24" s="5645">
        <f t="shared" ref="D24:N24" si="10">D8/D4</f>
        <v>0.20840161707569771</v>
      </c>
      <c r="E24" s="6138">
        <f t="shared" si="10"/>
        <v>0.14271017507555894</v>
      </c>
      <c r="F24" s="5131">
        <f t="shared" si="10"/>
        <v>0.19878760946502225</v>
      </c>
      <c r="G24" s="2633">
        <f t="shared" si="10"/>
        <v>0.24501471487769569</v>
      </c>
      <c r="H24" s="2634">
        <f t="shared" si="10"/>
        <v>0.28359350214961887</v>
      </c>
      <c r="I24" s="2632">
        <f t="shared" si="10"/>
        <v>0.27968662686811563</v>
      </c>
      <c r="J24" s="2633">
        <f t="shared" si="10"/>
        <v>0.25250768528026124</v>
      </c>
      <c r="K24" s="2631">
        <f t="shared" si="10"/>
        <v>0.26132676534073318</v>
      </c>
      <c r="L24" s="2632">
        <f t="shared" si="10"/>
        <v>0.23630403493534699</v>
      </c>
      <c r="M24" s="2633">
        <f t="shared" si="10"/>
        <v>0.23688146929136927</v>
      </c>
      <c r="N24" s="2635">
        <f t="shared" si="10"/>
        <v>0.22769833626050534</v>
      </c>
      <c r="P24" s="2829">
        <v>0.40430277568812162</v>
      </c>
      <c r="Q24" s="3146" t="e">
        <f>#REF!-P24</f>
        <v>#REF!</v>
      </c>
    </row>
    <row r="25" spans="1:42" ht="16.5" customHeight="1">
      <c r="A25" s="2205" t="s">
        <v>25</v>
      </c>
      <c r="B25" s="4591">
        <f>B11/B4</f>
        <v>0.10754555010752824</v>
      </c>
      <c r="C25" s="5132">
        <f>C11/C4</f>
        <v>2.3264311055327648E-2</v>
      </c>
      <c r="D25" s="5646">
        <f t="shared" ref="D25:N25" si="11">D11/D4</f>
        <v>0.10670789414140101</v>
      </c>
      <c r="E25" s="2240">
        <f t="shared" si="11"/>
        <v>1.2057377113697164E-2</v>
      </c>
      <c r="F25" s="5132">
        <f t="shared" si="11"/>
        <v>9.4836724493676389E-2</v>
      </c>
      <c r="G25" s="2638">
        <f t="shared" si="11"/>
        <v>0.13769821635167706</v>
      </c>
      <c r="H25" s="2436">
        <f t="shared" si="11"/>
        <v>0.18702437860175034</v>
      </c>
      <c r="I25" s="2637">
        <f t="shared" si="11"/>
        <v>0.18345858419754366</v>
      </c>
      <c r="J25" s="2638">
        <f t="shared" si="11"/>
        <v>0.14715214577308461</v>
      </c>
      <c r="K25" s="2636">
        <f t="shared" si="11"/>
        <v>0.1591814810817673</v>
      </c>
      <c r="L25" s="2637">
        <f t="shared" si="11"/>
        <v>0.13363127624969798</v>
      </c>
      <c r="M25" s="2638">
        <f t="shared" si="11"/>
        <v>0.13080764909721487</v>
      </c>
      <c r="N25" s="2639">
        <f t="shared" si="11"/>
        <v>0.12044356284612438</v>
      </c>
      <c r="P25" s="2830">
        <v>0.2579450130449607</v>
      </c>
      <c r="Q25" s="3147" t="e">
        <f>#REF!-P25</f>
        <v>#REF!</v>
      </c>
    </row>
    <row r="26" spans="1:42" ht="16.5" customHeight="1" thickBot="1">
      <c r="A26" s="3635" t="s">
        <v>542</v>
      </c>
      <c r="B26" s="4592">
        <f>B18/B4</f>
        <v>8.1305428573542796E-2</v>
      </c>
      <c r="C26" s="5133">
        <f>C18/C4</f>
        <v>-1.3475000477012431E-4</v>
      </c>
      <c r="D26" s="5677">
        <f t="shared" ref="D26:N26" si="12">D18/D4</f>
        <v>1.029116105521796E-2</v>
      </c>
      <c r="E26" s="6262">
        <f t="shared" si="12"/>
        <v>3.1930950265293893E-3</v>
      </c>
      <c r="F26" s="5133">
        <f t="shared" si="12"/>
        <v>8.4023600707170618E-2</v>
      </c>
      <c r="G26" s="6264">
        <f t="shared" si="12"/>
        <v>0.10241074240945967</v>
      </c>
      <c r="H26" s="6265">
        <f t="shared" si="12"/>
        <v>0.13284069200509996</v>
      </c>
      <c r="I26" s="6263">
        <f t="shared" si="12"/>
        <v>0.12876627225328494</v>
      </c>
      <c r="J26" s="6264">
        <f t="shared" si="12"/>
        <v>9.7296927004586545E-2</v>
      </c>
      <c r="K26" s="6266">
        <f t="shared" si="12"/>
        <v>0.10665848952575477</v>
      </c>
      <c r="L26" s="6263">
        <f t="shared" si="12"/>
        <v>8.5983483310615005E-2</v>
      </c>
      <c r="M26" s="6264">
        <f t="shared" si="12"/>
        <v>8.3944121270906447E-2</v>
      </c>
      <c r="N26" s="3636">
        <f t="shared" si="12"/>
        <v>7.732243200054216E-2</v>
      </c>
      <c r="P26" s="2831">
        <v>0.19610566480386415</v>
      </c>
      <c r="Q26" s="3148" t="e">
        <f>#REF!-P26</f>
        <v>#REF!</v>
      </c>
    </row>
    <row r="27" spans="1:42" ht="15" customHeight="1" thickBot="1">
      <c r="C27" s="2240"/>
      <c r="F27" s="2240"/>
      <c r="G27" s="2240"/>
      <c r="H27" s="2595"/>
      <c r="I27" s="2595"/>
    </row>
    <row r="28" spans="1:42" ht="35.25" customHeight="1" outlineLevel="1" thickBot="1">
      <c r="A28" s="82" t="s">
        <v>1020</v>
      </c>
      <c r="B28" s="4490" t="str">
        <f>B3</f>
        <v>Jan.26</v>
      </c>
      <c r="C28" s="5005" t="str">
        <f t="shared" ref="C28:N28" si="13">C3</f>
        <v>Feb.26</v>
      </c>
      <c r="D28" s="5494" t="str">
        <f>D3</f>
        <v>Mar.26</v>
      </c>
      <c r="E28" s="6139" t="str">
        <f t="shared" si="13"/>
        <v>Apr.26</v>
      </c>
      <c r="F28" s="5240" t="str">
        <f t="shared" si="13"/>
        <v>May.26</v>
      </c>
      <c r="G28" s="65" t="str">
        <f t="shared" si="13"/>
        <v>Jun.26</v>
      </c>
      <c r="H28" s="1539" t="str">
        <f t="shared" si="13"/>
        <v>Jul.26</v>
      </c>
      <c r="I28" s="74" t="str">
        <f t="shared" si="13"/>
        <v>Aug.26</v>
      </c>
      <c r="J28" s="1540" t="str">
        <f t="shared" si="13"/>
        <v>Sep.26</v>
      </c>
      <c r="K28" s="79" t="str">
        <f t="shared" si="13"/>
        <v>Oct.26</v>
      </c>
      <c r="L28" s="74" t="str">
        <f t="shared" si="13"/>
        <v>Nov.26</v>
      </c>
      <c r="M28" s="65" t="str">
        <f t="shared" si="13"/>
        <v>Dec.26</v>
      </c>
      <c r="N28" s="1541" t="str">
        <f t="shared" si="13"/>
        <v>2026
Total</v>
      </c>
    </row>
    <row r="29" spans="1:42" ht="15" customHeight="1" outlineLevel="1">
      <c r="A29" s="2640" t="s">
        <v>1021</v>
      </c>
      <c r="B29" s="4593">
        <v>0.2</v>
      </c>
      <c r="C29" s="5134">
        <v>0.2</v>
      </c>
      <c r="D29" s="5647">
        <v>0.2</v>
      </c>
      <c r="E29" s="6140">
        <v>0.2</v>
      </c>
      <c r="F29" s="5134">
        <v>0.2</v>
      </c>
      <c r="G29" s="2645">
        <v>0.2</v>
      </c>
      <c r="H29" s="2641">
        <v>0.2</v>
      </c>
      <c r="I29" s="2642">
        <v>0.2</v>
      </c>
      <c r="J29" s="2643">
        <v>0.2</v>
      </c>
      <c r="K29" s="2644">
        <v>0.2</v>
      </c>
      <c r="L29" s="2642">
        <v>0.2</v>
      </c>
      <c r="M29" s="2645">
        <v>0.2</v>
      </c>
      <c r="N29" s="2646">
        <v>0.2</v>
      </c>
    </row>
    <row r="30" spans="1:42" ht="20.25" customHeight="1" outlineLevel="1" thickBot="1">
      <c r="A30" s="3283" t="s">
        <v>1022</v>
      </c>
      <c r="B30" s="4594">
        <f>B16</f>
        <v>316856.66450068809</v>
      </c>
      <c r="C30" s="5135">
        <f t="shared" ref="C30:M30" si="14">C16</f>
        <v>9469.2684958178997</v>
      </c>
      <c r="D30" s="5648">
        <f t="shared" si="14"/>
        <v>50956.033080441994</v>
      </c>
      <c r="E30" s="6141">
        <f t="shared" si="14"/>
        <v>24088.266214933334</v>
      </c>
      <c r="F30" s="5135">
        <f t="shared" si="14"/>
        <v>332141.86427881476</v>
      </c>
      <c r="G30" s="3287">
        <f t="shared" si="14"/>
        <v>430477.23063237011</v>
      </c>
      <c r="H30" s="3288">
        <f t="shared" si="14"/>
        <v>674898.00496100774</v>
      </c>
      <c r="I30" s="3286">
        <f t="shared" si="14"/>
        <v>608090.62839318044</v>
      </c>
      <c r="J30" s="3284">
        <f t="shared" si="14"/>
        <v>403809.03280876426</v>
      </c>
      <c r="K30" s="3285">
        <f t="shared" si="14"/>
        <v>426658.37601258402</v>
      </c>
      <c r="L30" s="3286">
        <f t="shared" si="14"/>
        <v>339268.19898109767</v>
      </c>
      <c r="M30" s="3287">
        <f t="shared" si="14"/>
        <v>331950.58911325678</v>
      </c>
      <c r="N30" s="3289">
        <f>SUM(B30:M30)</f>
        <v>3948664.1574729569</v>
      </c>
    </row>
    <row r="31" spans="1:42" ht="15.75" customHeight="1" outlineLevel="1">
      <c r="A31" s="3290" t="s">
        <v>1211</v>
      </c>
      <c r="B31" s="4595">
        <f t="shared" ref="B31" si="15">IF(B32&lt;0,0,IF(B30&gt;B32,B32,B30))*B29</f>
        <v>0</v>
      </c>
      <c r="C31" s="5136">
        <f t="shared" ref="C31:M31" si="16">IF(C32&lt;0,0,IF(C30&gt;C32,C32,C30))*C29</f>
        <v>0</v>
      </c>
      <c r="D31" s="5649">
        <f t="shared" si="16"/>
        <v>0</v>
      </c>
      <c r="E31" s="6142">
        <f t="shared" si="16"/>
        <v>0</v>
      </c>
      <c r="F31" s="5136">
        <f>IF(F32&lt;0,0,IF(F30&gt;F32,F32,F30))*F29</f>
        <v>0</v>
      </c>
      <c r="G31" s="4006">
        <f t="shared" si="16"/>
        <v>44468.826455997842</v>
      </c>
      <c r="H31" s="4007">
        <f t="shared" si="16"/>
        <v>134979.60099220157</v>
      </c>
      <c r="I31" s="4008">
        <f t="shared" si="16"/>
        <v>121618.12567863609</v>
      </c>
      <c r="J31" s="4009">
        <f t="shared" si="16"/>
        <v>80761.806561752863</v>
      </c>
      <c r="K31" s="4010">
        <f t="shared" si="16"/>
        <v>85331.67520251681</v>
      </c>
      <c r="L31" s="4008">
        <f t="shared" si="16"/>
        <v>67853.639796219533</v>
      </c>
      <c r="M31" s="4006">
        <f t="shared" si="16"/>
        <v>66390.117822651358</v>
      </c>
      <c r="N31" s="4011">
        <f>SUM(B31:M31)</f>
        <v>601403.79250997608</v>
      </c>
    </row>
    <row r="32" spans="1:42" ht="14.25" customHeight="1" outlineLevel="1" thickBot="1">
      <c r="A32" s="3264">
        <v>-941645.19492307701</v>
      </c>
      <c r="B32" s="4596">
        <f>A32+B30</f>
        <v>-624788.53042238893</v>
      </c>
      <c r="C32" s="5137">
        <f t="shared" ref="C32" si="17">B32+C30</f>
        <v>-615319.26192657102</v>
      </c>
      <c r="D32" s="5650">
        <f t="shared" ref="D32" si="18">C32+D30</f>
        <v>-564363.22884612903</v>
      </c>
      <c r="E32" s="6143">
        <f t="shared" ref="E32" si="19">D32+E30</f>
        <v>-540274.96263119567</v>
      </c>
      <c r="F32" s="5137">
        <f t="shared" ref="F32" si="20">E32+F30</f>
        <v>-208133.09835238091</v>
      </c>
      <c r="G32" s="4012">
        <f t="shared" ref="G32" si="21">F32+G30</f>
        <v>222344.13227998919</v>
      </c>
      <c r="H32" s="4013">
        <f t="shared" ref="H32" si="22">G32+H30</f>
        <v>897242.13724099693</v>
      </c>
      <c r="I32" s="4014">
        <f t="shared" ref="I32" si="23">H32+I30</f>
        <v>1505332.7656341773</v>
      </c>
      <c r="J32" s="4015">
        <f t="shared" ref="J32" si="24">I32+J30</f>
        <v>1909141.7984429416</v>
      </c>
      <c r="K32" s="4016">
        <f t="shared" ref="K32" si="25">J32+K30</f>
        <v>2335800.1744555258</v>
      </c>
      <c r="L32" s="4014">
        <f t="shared" ref="L32" si="26">K32+L30</f>
        <v>2675068.3734366233</v>
      </c>
      <c r="M32" s="4012">
        <f t="shared" ref="M32" si="27">L32+M30</f>
        <v>3007018.9625498801</v>
      </c>
      <c r="N32" s="4017">
        <v>3476848.2672356348</v>
      </c>
    </row>
    <row r="33" spans="1:18" ht="14.25" customHeight="1" outlineLevel="1">
      <c r="A33" s="3281"/>
      <c r="B33" s="4597"/>
      <c r="C33" s="4597"/>
      <c r="D33" s="4597"/>
      <c r="E33" s="4597"/>
      <c r="F33" s="4597"/>
      <c r="G33" s="3282"/>
      <c r="H33" s="3282"/>
      <c r="I33" s="3282"/>
      <c r="J33" s="3282"/>
      <c r="K33" s="3282"/>
      <c r="L33" s="3282"/>
      <c r="M33" s="3282"/>
      <c r="N33" s="3282"/>
      <c r="R33" s="5" t="s">
        <v>245</v>
      </c>
    </row>
    <row r="34" spans="1:18" ht="15" customHeight="1" thickBot="1">
      <c r="A34" s="1568"/>
    </row>
    <row r="35" spans="1:18" ht="15" customHeight="1" thickBot="1">
      <c r="A35" s="3268" t="s">
        <v>1208</v>
      </c>
      <c r="B35" s="4598">
        <f>(B18+B6)/B4</f>
        <v>0.13740597519401021</v>
      </c>
      <c r="C35" s="5138">
        <f t="shared" ref="C35:N35" si="28">(C18+C6)/C4</f>
        <v>3.0115546954332002E-2</v>
      </c>
      <c r="D35" s="5651">
        <f t="shared" si="28"/>
        <v>3.7717429526205583E-2</v>
      </c>
      <c r="E35" s="6144">
        <f>(E18+E6)/E4</f>
        <v>3.1930950265293893E-3</v>
      </c>
      <c r="F35" s="5138">
        <f t="shared" si="28"/>
        <v>9.3107859690096773E-2</v>
      </c>
      <c r="G35" s="3293">
        <f t="shared" si="28"/>
        <v>0.11133212330581259</v>
      </c>
      <c r="H35" s="3294">
        <f t="shared" si="28"/>
        <v>0.1411141358890915</v>
      </c>
      <c r="I35" s="3295">
        <f t="shared" si="28"/>
        <v>0.13766703353604332</v>
      </c>
      <c r="J35" s="3293">
        <f t="shared" si="28"/>
        <v>0.10742475775352101</v>
      </c>
      <c r="K35" s="3296">
        <f t="shared" si="28"/>
        <v>0.11716620957560088</v>
      </c>
      <c r="L35" s="3295">
        <f t="shared" si="28"/>
        <v>9.6636318848945704E-2</v>
      </c>
      <c r="M35" s="3293">
        <f t="shared" si="28"/>
        <v>9.4573556359768621E-2</v>
      </c>
      <c r="N35" s="3267">
        <f t="shared" si="28"/>
        <v>9.3411932293732791E-2</v>
      </c>
    </row>
    <row r="36" spans="1:18" ht="15" customHeight="1" thickBot="1">
      <c r="A36" s="3268" t="s">
        <v>1212</v>
      </c>
      <c r="B36" s="4598">
        <f>+(B18)/B4</f>
        <v>8.1305428573542796E-2</v>
      </c>
      <c r="C36" s="5138">
        <f t="shared" ref="C36:D36" si="29">+(C18)/C4</f>
        <v>-1.3475000477012431E-4</v>
      </c>
      <c r="D36" s="5651">
        <f t="shared" si="29"/>
        <v>1.029116105521796E-2</v>
      </c>
      <c r="E36" s="6144">
        <f>+(E18)/E4</f>
        <v>3.1930950265293893E-3</v>
      </c>
      <c r="F36" s="5138">
        <f t="shared" ref="F36:M36" si="30">+(F18)/F4</f>
        <v>8.4023600707170618E-2</v>
      </c>
      <c r="G36" s="3293">
        <f t="shared" si="30"/>
        <v>0.10241074240945967</v>
      </c>
      <c r="H36" s="3294">
        <f t="shared" si="30"/>
        <v>0.13284069200509996</v>
      </c>
      <c r="I36" s="3295">
        <f t="shared" si="30"/>
        <v>0.12876627225328494</v>
      </c>
      <c r="J36" s="3293">
        <f t="shared" si="30"/>
        <v>9.7296927004586545E-2</v>
      </c>
      <c r="K36" s="3296">
        <f t="shared" si="30"/>
        <v>0.10665848952575477</v>
      </c>
      <c r="L36" s="3295">
        <f t="shared" si="30"/>
        <v>8.5983483310615005E-2</v>
      </c>
      <c r="M36" s="3293">
        <f t="shared" si="30"/>
        <v>8.3944121270906447E-2</v>
      </c>
      <c r="N36" s="3267"/>
    </row>
    <row r="37" spans="1:18" ht="15" customHeight="1">
      <c r="B37" s="4599"/>
      <c r="C37" s="4599"/>
      <c r="D37" s="4599"/>
      <c r="E37" s="3272"/>
      <c r="F37" s="3272"/>
      <c r="G37" s="3272"/>
      <c r="H37" s="2461"/>
      <c r="I37" s="2461"/>
      <c r="J37" s="2461"/>
      <c r="K37" s="2461"/>
      <c r="L37" s="2461"/>
      <c r="M37" s="2461"/>
    </row>
    <row r="38" spans="1:18" ht="15" customHeight="1">
      <c r="B38" s="4568"/>
      <c r="C38" s="4568"/>
      <c r="D38" s="4568"/>
    </row>
  </sheetData>
  <phoneticPr fontId="10" type="noConversion"/>
  <conditionalFormatting sqref="A24:N26">
    <cfRule type="cellIs" dxfId="36" priority="12" operator="lessThan">
      <formula>0</formula>
    </cfRule>
  </conditionalFormatting>
  <conditionalFormatting sqref="P3">
    <cfRule type="cellIs" dxfId="35" priority="8" operator="lessThan">
      <formula>0</formula>
    </cfRule>
  </conditionalFormatting>
  <conditionalFormatting sqref="P24:Q26">
    <cfRule type="cellIs" dxfId="34" priority="5" operator="lessThan">
      <formula>0</formula>
    </cfRule>
  </conditionalFormatting>
  <conditionalFormatting sqref="Q3:Q19">
    <cfRule type="cellIs" dxfId="33" priority="1" operator="lessThan">
      <formula>0</formula>
    </cfRule>
  </conditionalFormatting>
  <pageMargins left="0.25" right="0.25" top="0.75" bottom="0.75" header="0.3" footer="0.3"/>
  <pageSetup paperSize="9" scale="77" orientation="landscape" r:id="rId1"/>
  <customProperties>
    <customPr name="BudgetSheetCodeName" r:id="rId2"/>
  </customProperties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87"/>
  <sheetViews>
    <sheetView zoomScale="70" zoomScaleNormal="70" workbookViewId="0">
      <selection activeCell="O51" sqref="O51"/>
    </sheetView>
  </sheetViews>
  <sheetFormatPr defaultColWidth="9.09765625" defaultRowHeight="15.6"/>
  <cols>
    <col min="1" max="1" width="18.3984375" style="2651" customWidth="1"/>
    <col min="2" max="2" width="56.09765625" style="2648" customWidth="1"/>
    <col min="3" max="8" width="15.09765625" style="2649" customWidth="1"/>
    <col min="9" max="14" width="15.09765625" style="1613" customWidth="1"/>
    <col min="15" max="15" width="14.69921875" style="1613" customWidth="1"/>
    <col min="16" max="16" width="12.3984375" style="2650" customWidth="1"/>
    <col min="17" max="17" width="13" style="2651" customWidth="1"/>
    <col min="18" max="18" width="11.59765625" style="2651" bestFit="1" customWidth="1"/>
    <col min="19" max="19" width="13" style="2651" bestFit="1" customWidth="1"/>
    <col min="20" max="20" width="13.8984375" style="2651" bestFit="1" customWidth="1"/>
    <col min="21" max="21" width="18" style="2651" customWidth="1"/>
    <col min="22" max="22" width="11.59765625" style="2651" bestFit="1" customWidth="1"/>
    <col min="23" max="16384" width="9.09765625" style="2651"/>
  </cols>
  <sheetData>
    <row r="1" spans="1:16" ht="19.2">
      <c r="A1" s="2647" t="s">
        <v>1071</v>
      </c>
      <c r="B1" s="2650"/>
    </row>
    <row r="2" spans="1:16" ht="16.2" thickBot="1">
      <c r="O2" s="1785" t="s">
        <v>86</v>
      </c>
    </row>
    <row r="3" spans="1:16" s="2660" customFormat="1" ht="18.75" customHeight="1" thickBot="1">
      <c r="A3" s="2310" t="s">
        <v>126</v>
      </c>
      <c r="B3" s="17" t="s">
        <v>127</v>
      </c>
      <c r="C3" s="5688" t="s">
        <v>1292</v>
      </c>
      <c r="D3" s="5689" t="s">
        <v>1293</v>
      </c>
      <c r="E3" s="5690" t="s">
        <v>1294</v>
      </c>
      <c r="F3" s="5688" t="s">
        <v>1295</v>
      </c>
      <c r="G3" s="5689" t="s">
        <v>1296</v>
      </c>
      <c r="H3" s="5691" t="s">
        <v>1297</v>
      </c>
      <c r="I3" s="5692" t="s">
        <v>1298</v>
      </c>
      <c r="J3" s="5693" t="s">
        <v>1299</v>
      </c>
      <c r="K3" s="5694" t="s">
        <v>1300</v>
      </c>
      <c r="L3" s="5695" t="s">
        <v>1301</v>
      </c>
      <c r="M3" s="5693" t="s">
        <v>1302</v>
      </c>
      <c r="N3" s="5696" t="s">
        <v>1303</v>
      </c>
      <c r="O3" s="5697" t="s">
        <v>94</v>
      </c>
      <c r="P3" s="2659"/>
    </row>
    <row r="4" spans="1:16" s="2660" customFormat="1" ht="18.75" customHeight="1">
      <c r="A4" s="2680"/>
      <c r="B4" s="2681" t="s">
        <v>0</v>
      </c>
      <c r="C4" s="4508">
        <f>'7. E Plan'!G5</f>
        <v>3649629.1786013301</v>
      </c>
      <c r="D4" s="5041">
        <f>'7. E Plan'!H5</f>
        <v>3143407.1582357911</v>
      </c>
      <c r="E4" s="5536">
        <f>'7. E Plan'!I5</f>
        <v>4097111.3807477951</v>
      </c>
      <c r="F4" s="4508">
        <f>'7. E Plan'!J5</f>
        <v>3295318.8450423609</v>
      </c>
      <c r="G4" s="5041">
        <f>'7. E Plan'!K5</f>
        <v>3701636.9408252668</v>
      </c>
      <c r="H4" s="2665">
        <f>'7. E Plan'!L5</f>
        <v>3769217.9071706124</v>
      </c>
      <c r="I4" s="2682">
        <f>'7. E Plan'!M5</f>
        <v>4064405.2347158645</v>
      </c>
      <c r="J4" s="2666">
        <f>'7. E Plan'!N5</f>
        <v>3777949.723959133</v>
      </c>
      <c r="K4" s="2667">
        <f>'7. E Plan'!O5</f>
        <v>3320220.2391426302</v>
      </c>
      <c r="L4" s="2668">
        <f>'7. E Plan'!P5</f>
        <v>3200183.1483620182</v>
      </c>
      <c r="M4" s="2666">
        <f>'7. E Plan'!Q5</f>
        <v>3156589.4836383178</v>
      </c>
      <c r="N4" s="2669">
        <f>'7. E Plan'!R5</f>
        <v>3163538.640586664</v>
      </c>
      <c r="O4" s="2670">
        <f>SUM(C4:N4)</f>
        <v>42339207.88102778</v>
      </c>
      <c r="P4" s="2659"/>
    </row>
    <row r="5" spans="1:16" s="2660" customFormat="1" ht="18.75" customHeight="1">
      <c r="A5" s="2663"/>
      <c r="B5" s="2664" t="s">
        <v>180</v>
      </c>
      <c r="C5" s="4508">
        <f>C16</f>
        <v>3063846.6231943821</v>
      </c>
      <c r="D5" s="5041">
        <f t="shared" ref="D5:N5" si="0">D16</f>
        <v>2021187.0013827705</v>
      </c>
      <c r="E5" s="5536">
        <f t="shared" si="0"/>
        <v>3095553.9984836956</v>
      </c>
      <c r="F5" s="4687">
        <f t="shared" si="0"/>
        <v>1915186.9899740866</v>
      </c>
      <c r="G5" s="5007">
        <f t="shared" si="0"/>
        <v>3115360.9249283979</v>
      </c>
      <c r="H5" s="1802">
        <f t="shared" si="0"/>
        <v>2610207.083614585</v>
      </c>
      <c r="I5" s="1801">
        <f t="shared" si="0"/>
        <v>2133897.2080932194</v>
      </c>
      <c r="J5" s="2666">
        <f t="shared" si="0"/>
        <v>1828451.6557727959</v>
      </c>
      <c r="K5" s="2667">
        <f t="shared" si="0"/>
        <v>2117193.4844224155</v>
      </c>
      <c r="L5" s="2668">
        <f t="shared" si="0"/>
        <v>2513158.2658866839</v>
      </c>
      <c r="M5" s="2666">
        <f t="shared" si="0"/>
        <v>3189666.8274783595</v>
      </c>
      <c r="N5" s="2669">
        <f t="shared" si="0"/>
        <v>3010401.8019243535</v>
      </c>
      <c r="O5" s="2670">
        <f>+C5</f>
        <v>3063846.6231943821</v>
      </c>
      <c r="P5" s="2659"/>
    </row>
    <row r="6" spans="1:16" s="2660" customFormat="1" ht="18.75" customHeight="1">
      <c r="A6" s="2671" t="s">
        <v>173</v>
      </c>
      <c r="B6" s="2672" t="s">
        <v>174</v>
      </c>
      <c r="C6" s="4509">
        <f>C17+C18+C19+C20</f>
        <v>3854428.0772307692</v>
      </c>
      <c r="D6" s="5042">
        <f t="shared" ref="D6:N6" si="1">D17+D18+D19+D20</f>
        <v>4391692.487115385</v>
      </c>
      <c r="E6" s="5537">
        <f t="shared" si="1"/>
        <v>2825576.9502692302</v>
      </c>
      <c r="F6" s="4509">
        <f t="shared" si="1"/>
        <v>4492546.4511538465</v>
      </c>
      <c r="G6" s="5042">
        <f t="shared" si="1"/>
        <v>3835083.3867873307</v>
      </c>
      <c r="H6" s="2673">
        <f t="shared" si="1"/>
        <v>3880506.2506923079</v>
      </c>
      <c r="I6" s="2674">
        <f t="shared" si="1"/>
        <v>4162748.9115330148</v>
      </c>
      <c r="J6" s="2675">
        <f t="shared" si="1"/>
        <v>4290652.9017872941</v>
      </c>
      <c r="K6" s="2676">
        <f t="shared" si="1"/>
        <v>4140559.8410294494</v>
      </c>
      <c r="L6" s="2677">
        <f t="shared" si="1"/>
        <v>3740925.9725090382</v>
      </c>
      <c r="M6" s="2675">
        <f t="shared" si="1"/>
        <v>3232500.0405098726</v>
      </c>
      <c r="N6" s="2678">
        <f t="shared" si="1"/>
        <v>3519173.2826631847</v>
      </c>
      <c r="O6" s="2679">
        <f t="shared" ref="O6:O11" si="2">SUM(C6:N6)</f>
        <v>46366394.553280726</v>
      </c>
      <c r="P6" s="2659"/>
    </row>
    <row r="7" spans="1:16" s="2660" customFormat="1" ht="18.75" customHeight="1">
      <c r="A7" s="2680"/>
      <c r="B7" s="2681" t="s">
        <v>175</v>
      </c>
      <c r="C7" s="4508">
        <f>+C21+C22+C23+C24</f>
        <v>2961244.1984615382</v>
      </c>
      <c r="D7" s="5041">
        <f t="shared" ref="D7:N7" si="3">+D21+D22+D23+D24</f>
        <v>2326246.6949230772</v>
      </c>
      <c r="E7" s="5536">
        <f t="shared" si="3"/>
        <v>3852937.5</v>
      </c>
      <c r="F7" s="4508">
        <f t="shared" si="3"/>
        <v>801522</v>
      </c>
      <c r="G7" s="5041">
        <f t="shared" si="3"/>
        <v>3166996.88</v>
      </c>
      <c r="H7" s="2665">
        <f t="shared" si="3"/>
        <v>3707627.5818332564</v>
      </c>
      <c r="I7" s="2682">
        <f t="shared" si="3"/>
        <v>3396607.4874066692</v>
      </c>
      <c r="J7" s="2666">
        <f t="shared" si="3"/>
        <v>2812565.8904660083</v>
      </c>
      <c r="K7" s="2667">
        <f t="shared" si="3"/>
        <v>3170581.3651145231</v>
      </c>
      <c r="L7" s="2668">
        <f t="shared" si="3"/>
        <v>2569105.0130927078</v>
      </c>
      <c r="M7" s="2666">
        <f t="shared" si="3"/>
        <v>2408052.9174105134</v>
      </c>
      <c r="N7" s="2669">
        <f t="shared" si="3"/>
        <v>2581176.9343779339</v>
      </c>
      <c r="O7" s="2670">
        <f t="shared" si="2"/>
        <v>33754664.463086225</v>
      </c>
      <c r="P7" s="2659"/>
    </row>
    <row r="8" spans="1:16" s="2693" customFormat="1" ht="18.75" customHeight="1">
      <c r="A8" s="2683"/>
      <c r="B8" s="2684" t="s">
        <v>158</v>
      </c>
      <c r="C8" s="4510">
        <f>SUM(C6:C7)</f>
        <v>6815672.2756923074</v>
      </c>
      <c r="D8" s="5043">
        <f t="shared" ref="D8:N8" si="4">SUM(D6:D7)</f>
        <v>6717939.1820384618</v>
      </c>
      <c r="E8" s="5538">
        <f t="shared" si="4"/>
        <v>6678514.4502692297</v>
      </c>
      <c r="F8" s="4510">
        <f t="shared" si="4"/>
        <v>5294068.4511538465</v>
      </c>
      <c r="G8" s="5043">
        <f t="shared" si="4"/>
        <v>7002080.2667873306</v>
      </c>
      <c r="H8" s="2685">
        <f t="shared" si="4"/>
        <v>7588133.8325255644</v>
      </c>
      <c r="I8" s="2686">
        <f t="shared" si="4"/>
        <v>7559356.398939684</v>
      </c>
      <c r="J8" s="2687">
        <f t="shared" si="4"/>
        <v>7103218.7922533024</v>
      </c>
      <c r="K8" s="2688">
        <f t="shared" si="4"/>
        <v>7311141.2061439725</v>
      </c>
      <c r="L8" s="2689">
        <f t="shared" si="4"/>
        <v>6310030.9856017455</v>
      </c>
      <c r="M8" s="2687">
        <f t="shared" si="4"/>
        <v>5640552.9579203855</v>
      </c>
      <c r="N8" s="2690">
        <f t="shared" si="4"/>
        <v>6100350.2170411181</v>
      </c>
      <c r="O8" s="2691">
        <f t="shared" si="2"/>
        <v>80121059.016366959</v>
      </c>
      <c r="P8" s="2692"/>
    </row>
    <row r="9" spans="1:16" s="2660" customFormat="1" ht="18.75" customHeight="1">
      <c r="A9" s="2694" t="s">
        <v>176</v>
      </c>
      <c r="B9" s="2695" t="s">
        <v>178</v>
      </c>
      <c r="C9" s="4509">
        <f t="shared" ref="C9:N9" si="5">SUM(C26:C39)+C43+C45</f>
        <v>4194408.4307692293</v>
      </c>
      <c r="D9" s="5042">
        <f t="shared" si="5"/>
        <v>3175969.0366730769</v>
      </c>
      <c r="E9" s="5537">
        <f t="shared" si="5"/>
        <v>4130792.6493076943</v>
      </c>
      <c r="F9" s="4509">
        <f t="shared" si="5"/>
        <v>3132783.1860769228</v>
      </c>
      <c r="G9" s="5042">
        <f t="shared" si="5"/>
        <v>4083206.0279230769</v>
      </c>
      <c r="H9" s="2673">
        <f t="shared" si="5"/>
        <v>4055363.9288745038</v>
      </c>
      <c r="I9" s="2674">
        <f t="shared" si="5"/>
        <v>4332295.6397143612</v>
      </c>
      <c r="J9" s="2675">
        <f t="shared" si="5"/>
        <v>3840955.4283121619</v>
      </c>
      <c r="K9" s="2676">
        <f t="shared" si="5"/>
        <v>3672413.3952683695</v>
      </c>
      <c r="L9" s="2677">
        <f t="shared" si="5"/>
        <v>2869472.4663234772</v>
      </c>
      <c r="M9" s="2675">
        <f t="shared" si="5"/>
        <v>3179441.3789489744</v>
      </c>
      <c r="N9" s="2678">
        <f t="shared" si="5"/>
        <v>2958565.3959163949</v>
      </c>
      <c r="O9" s="2679">
        <f t="shared" si="2"/>
        <v>43625666.964108236</v>
      </c>
      <c r="P9" s="2659"/>
    </row>
    <row r="10" spans="1:16" s="2660" customFormat="1" ht="18.75" customHeight="1">
      <c r="A10" s="2680"/>
      <c r="B10" s="2696" t="s">
        <v>177</v>
      </c>
      <c r="C10" s="4508">
        <f>SUM(C40:C42)</f>
        <v>3563923.4667346897</v>
      </c>
      <c r="D10" s="5041">
        <f t="shared" ref="D10:N10" si="6">SUM(D40:D42)</f>
        <v>2367603.1482644607</v>
      </c>
      <c r="E10" s="5536">
        <f t="shared" si="6"/>
        <v>3628088.8094711443</v>
      </c>
      <c r="F10" s="4508">
        <f t="shared" si="6"/>
        <v>855723.40012261225</v>
      </c>
      <c r="G10" s="5041">
        <f t="shared" si="6"/>
        <v>3292889.6201780671</v>
      </c>
      <c r="H10" s="2665">
        <f t="shared" si="6"/>
        <v>3907079.7791724261</v>
      </c>
      <c r="I10" s="2682">
        <f>SUM(I40:I42)</f>
        <v>3432506.3115457459</v>
      </c>
      <c r="J10" s="2666">
        <f t="shared" si="6"/>
        <v>2861521.5352915199</v>
      </c>
      <c r="K10" s="2667">
        <f t="shared" si="6"/>
        <v>3142763.029411335</v>
      </c>
      <c r="L10" s="2668">
        <f t="shared" si="6"/>
        <v>2649049.9576865928</v>
      </c>
      <c r="M10" s="2666">
        <f t="shared" si="6"/>
        <v>2490376.6045254166</v>
      </c>
      <c r="N10" s="2669">
        <f t="shared" si="6"/>
        <v>2531485.293440904</v>
      </c>
      <c r="O10" s="2670">
        <f t="shared" si="2"/>
        <v>34723010.955844909</v>
      </c>
      <c r="P10" s="2659"/>
    </row>
    <row r="11" spans="1:16" s="2693" customFormat="1" ht="18.75" customHeight="1" thickBot="1">
      <c r="A11" s="2683"/>
      <c r="B11" s="2697" t="s">
        <v>158</v>
      </c>
      <c r="C11" s="4511">
        <f>SUM(C9:C10)</f>
        <v>7758331.897503919</v>
      </c>
      <c r="D11" s="5044">
        <f t="shared" ref="D11:N11" si="7">SUM(D9:D10)</f>
        <v>5543572.1849375376</v>
      </c>
      <c r="E11" s="5539">
        <f t="shared" si="7"/>
        <v>7758881.4587788386</v>
      </c>
      <c r="F11" s="4511">
        <f t="shared" si="7"/>
        <v>3988506.5861995351</v>
      </c>
      <c r="G11" s="5044">
        <f t="shared" si="7"/>
        <v>7376095.6481011435</v>
      </c>
      <c r="H11" s="2698">
        <f t="shared" si="7"/>
        <v>7962443.7080469299</v>
      </c>
      <c r="I11" s="2699">
        <f t="shared" si="7"/>
        <v>7764801.9512601066</v>
      </c>
      <c r="J11" s="2700">
        <f t="shared" si="7"/>
        <v>6702476.9636036819</v>
      </c>
      <c r="K11" s="2701">
        <f t="shared" si="7"/>
        <v>6815176.424679704</v>
      </c>
      <c r="L11" s="2702">
        <f t="shared" si="7"/>
        <v>5518522.42401007</v>
      </c>
      <c r="M11" s="2700">
        <f t="shared" si="7"/>
        <v>5669817.9834743906</v>
      </c>
      <c r="N11" s="2703">
        <f t="shared" si="7"/>
        <v>5490050.6893572994</v>
      </c>
      <c r="O11" s="2704">
        <f t="shared" si="2"/>
        <v>78348677.919953153</v>
      </c>
      <c r="P11" s="2692"/>
    </row>
    <row r="12" spans="1:16" s="2662" customFormat="1" ht="18.75" customHeight="1" thickBot="1">
      <c r="A12" s="2705"/>
      <c r="B12" s="2706" t="s">
        <v>179</v>
      </c>
      <c r="C12" s="4512">
        <f>+C5+C8-C11</f>
        <v>2121187.0013827709</v>
      </c>
      <c r="D12" s="5045">
        <f t="shared" ref="D12:N12" si="8">+D5+D8-D11</f>
        <v>3195553.9984836942</v>
      </c>
      <c r="E12" s="5505">
        <f t="shared" si="8"/>
        <v>2015186.9899740862</v>
      </c>
      <c r="F12" s="3952">
        <f t="shared" si="8"/>
        <v>3220748.8549283985</v>
      </c>
      <c r="G12" s="5012">
        <f t="shared" si="8"/>
        <v>2741345.543614585</v>
      </c>
      <c r="H12" s="1777">
        <f t="shared" si="8"/>
        <v>2235897.2080932204</v>
      </c>
      <c r="I12" s="2709">
        <f>+I5+I8-I11</f>
        <v>1928451.6557727959</v>
      </c>
      <c r="J12" s="2710">
        <f t="shared" si="8"/>
        <v>2229193.4844224164</v>
      </c>
      <c r="K12" s="2708">
        <f t="shared" si="8"/>
        <v>2613158.265886683</v>
      </c>
      <c r="L12" s="2707">
        <f t="shared" si="8"/>
        <v>3304666.8274783585</v>
      </c>
      <c r="M12" s="2710">
        <f t="shared" si="8"/>
        <v>3160401.8019243535</v>
      </c>
      <c r="N12" s="2711">
        <f t="shared" si="8"/>
        <v>3620701.3296081722</v>
      </c>
      <c r="O12" s="2712">
        <f>+O5+O8-O11</f>
        <v>4836227.7196081877</v>
      </c>
      <c r="P12" s="2661"/>
    </row>
    <row r="13" spans="1:16" s="2718" customFormat="1" ht="6" customHeight="1">
      <c r="A13" s="2713"/>
      <c r="B13" s="2714"/>
      <c r="C13" s="2716"/>
      <c r="D13" s="2716"/>
      <c r="E13" s="2716"/>
      <c r="F13" s="2716"/>
      <c r="G13" s="2716"/>
      <c r="H13" s="2715"/>
      <c r="I13" s="2715"/>
      <c r="J13" s="2716"/>
      <c r="K13" s="2716"/>
      <c r="L13" s="2716"/>
      <c r="M13" s="2716"/>
      <c r="N13" s="2716"/>
      <c r="O13" s="2715"/>
      <c r="P13" s="2717"/>
    </row>
    <row r="14" spans="1:16" ht="18.75" customHeight="1" thickBot="1">
      <c r="A14" s="2647" t="s">
        <v>181</v>
      </c>
      <c r="B14" s="2651"/>
      <c r="H14" s="4"/>
      <c r="I14" s="4"/>
      <c r="J14" s="1837"/>
      <c r="K14" s="1837"/>
      <c r="L14" s="1837"/>
      <c r="M14" s="1837"/>
      <c r="N14" s="1837"/>
      <c r="O14" s="1785" t="s">
        <v>86</v>
      </c>
      <c r="P14" s="2719"/>
    </row>
    <row r="15" spans="1:16" s="2721" customFormat="1" ht="21" customHeight="1" thickBot="1">
      <c r="A15" s="2310" t="s">
        <v>116</v>
      </c>
      <c r="B15" s="17" t="s">
        <v>115</v>
      </c>
      <c r="C15" s="4507" t="s">
        <v>1292</v>
      </c>
      <c r="D15" s="5040" t="s">
        <v>1293</v>
      </c>
      <c r="E15" s="5535" t="s">
        <v>1294</v>
      </c>
      <c r="F15" s="4507" t="s">
        <v>1295</v>
      </c>
      <c r="G15" s="5040" t="s">
        <v>1296</v>
      </c>
      <c r="H15" s="2652" t="s">
        <v>1297</v>
      </c>
      <c r="I15" s="2653" t="s">
        <v>1298</v>
      </c>
      <c r="J15" s="2654" t="s">
        <v>1299</v>
      </c>
      <c r="K15" s="2655" t="s">
        <v>1300</v>
      </c>
      <c r="L15" s="2656" t="s">
        <v>1301</v>
      </c>
      <c r="M15" s="2654" t="s">
        <v>1302</v>
      </c>
      <c r="N15" s="2657" t="s">
        <v>1303</v>
      </c>
      <c r="O15" s="2658" t="s">
        <v>94</v>
      </c>
      <c r="P15" s="2720"/>
    </row>
    <row r="16" spans="1:16" ht="21" customHeight="1" thickBot="1">
      <c r="A16" s="1677" t="s">
        <v>151</v>
      </c>
      <c r="B16" s="1676"/>
      <c r="C16" s="4513">
        <v>3063846.6231943821</v>
      </c>
      <c r="D16" s="5046">
        <f>+C49</f>
        <v>2021187.0013827705</v>
      </c>
      <c r="E16" s="5540">
        <f t="shared" ref="E16:N16" si="9">+D49</f>
        <v>3095553.9984836956</v>
      </c>
      <c r="F16" s="4756">
        <f t="shared" si="9"/>
        <v>1915186.9899740866</v>
      </c>
      <c r="G16" s="5032">
        <f t="shared" si="9"/>
        <v>3115360.9249283979</v>
      </c>
      <c r="H16" s="2722">
        <f t="shared" si="9"/>
        <v>2610207.083614585</v>
      </c>
      <c r="I16" s="2723">
        <f t="shared" si="9"/>
        <v>2133897.2080932194</v>
      </c>
      <c r="J16" s="2724">
        <f t="shared" si="9"/>
        <v>1828451.6557727959</v>
      </c>
      <c r="K16" s="2725">
        <f t="shared" si="9"/>
        <v>2117193.4844224155</v>
      </c>
      <c r="L16" s="2726">
        <f t="shared" si="9"/>
        <v>2513158.2658866839</v>
      </c>
      <c r="M16" s="2724">
        <f t="shared" si="9"/>
        <v>3189666.8274783595</v>
      </c>
      <c r="N16" s="2725">
        <f t="shared" si="9"/>
        <v>3010401.8019243535</v>
      </c>
      <c r="O16" s="2727">
        <f>C16</f>
        <v>3063846.6231943821</v>
      </c>
      <c r="P16" s="2426"/>
    </row>
    <row r="17" spans="1:20" ht="21" customHeight="1">
      <c r="A17" s="2393" t="s">
        <v>152</v>
      </c>
      <c r="B17" s="2728" t="s">
        <v>153</v>
      </c>
      <c r="C17" s="4514">
        <f>'2. S Plan'!L291+'2. S Plan'!L292-C20-C18-C23</f>
        <v>3581586.127230769</v>
      </c>
      <c r="D17" s="5047">
        <f>'2. S Plan'!M291+'2. S Plan'!M292-D20-D18-D23</f>
        <v>3758430.0471153851</v>
      </c>
      <c r="E17" s="5541">
        <f>'2. S Plan'!N291+'2. S Plan'!N292-E20-E18-E23</f>
        <v>2508729.8138461532</v>
      </c>
      <c r="F17" s="4514">
        <f>'2. S Plan'!O291+'2. S Plan'!O292-F20-F18-F23</f>
        <v>4363850.4511538465</v>
      </c>
      <c r="G17" s="6520">
        <f>'2. S Plan'!P291+'2. S Plan'!P292-G20-G18-G23</f>
        <v>3404999.3867873307</v>
      </c>
      <c r="H17" s="2730">
        <f>'2. S Plan'!Q291+'2. S Plan'!Q292-H20-H18-H23</f>
        <v>3666711.2506923079</v>
      </c>
      <c r="I17" s="2729">
        <f>'2. S Plan'!R291+'2. S Plan'!R292-I20-I18-I23</f>
        <v>3732748.9115330148</v>
      </c>
      <c r="J17" s="2731">
        <f>'2. S Plan'!S291+'2. S Plan'!S292-J20-J18-J23</f>
        <v>4010652.9017872941</v>
      </c>
      <c r="K17" s="2730">
        <f>'2. S Plan'!T291+'2. S Plan'!T292-K20-K18-K23</f>
        <v>3860559.8410294494</v>
      </c>
      <c r="L17" s="2729">
        <f>'2. S Plan'!U291+'2. S Plan'!U292-L20-L18-L23</f>
        <v>3480925.9725090382</v>
      </c>
      <c r="M17" s="2731">
        <f>'2. S Plan'!V291+'2. S Plan'!V292-M20-M18-M23</f>
        <v>2952500.0405098726</v>
      </c>
      <c r="N17" s="2731">
        <f>'2. S Plan'!W291+'2. S Plan'!W292-N20-N18-N23</f>
        <v>3139173.2826631847</v>
      </c>
      <c r="O17" s="2732">
        <f t="shared" ref="O17:O24" si="10">SUM(C17:N17)</f>
        <v>42460868.026857652</v>
      </c>
      <c r="P17" s="2733"/>
      <c r="Q17" s="4398"/>
    </row>
    <row r="18" spans="1:20" ht="21" customHeight="1">
      <c r="A18" s="2091"/>
      <c r="B18" s="2728" t="s">
        <v>154</v>
      </c>
      <c r="C18" s="4515">
        <f>'2. S Plan'!L290</f>
        <v>250509.95</v>
      </c>
      <c r="D18" s="5048">
        <f>'2. S Plan'!M290</f>
        <v>452208.44</v>
      </c>
      <c r="E18" s="5528">
        <f>'2. S Plan'!N290</f>
        <v>200654.67</v>
      </c>
      <c r="F18" s="4517">
        <f>'2. S Plan'!O290</f>
        <v>0</v>
      </c>
      <c r="G18" s="4521">
        <f>'2. S Plan'!P290</f>
        <v>251442</v>
      </c>
      <c r="H18" s="2103">
        <f>'2. S Plan'!Q290</f>
        <v>100000</v>
      </c>
      <c r="I18" s="2101">
        <f>'2. S Plan'!R290</f>
        <v>300000</v>
      </c>
      <c r="J18" s="2735">
        <f>'2. S Plan'!S290</f>
        <v>150000</v>
      </c>
      <c r="K18" s="2736">
        <f>'2. S Plan'!T290</f>
        <v>150000</v>
      </c>
      <c r="L18" s="2737">
        <f>'2. S Plan'!U290</f>
        <v>150000</v>
      </c>
      <c r="M18" s="2735">
        <f>'2. S Plan'!V290</f>
        <v>150000</v>
      </c>
      <c r="N18" s="2736">
        <f>'2. S Plan'!W290</f>
        <v>250000</v>
      </c>
      <c r="O18" s="2732">
        <f t="shared" si="10"/>
        <v>2404815.06</v>
      </c>
      <c r="P18" s="2733"/>
      <c r="Q18" s="4398"/>
    </row>
    <row r="19" spans="1:20" ht="21" hidden="1" customHeight="1">
      <c r="A19" s="2091"/>
      <c r="B19" s="2734" t="s">
        <v>285</v>
      </c>
      <c r="C19" s="4514"/>
      <c r="D19" s="5049"/>
      <c r="E19" s="5542"/>
      <c r="F19" s="4517"/>
      <c r="G19" s="4521"/>
      <c r="H19" s="2103"/>
      <c r="I19" s="2101"/>
      <c r="J19" s="2735"/>
      <c r="K19" s="2736"/>
      <c r="L19" s="2737"/>
      <c r="M19" s="1657"/>
      <c r="N19" s="2739"/>
      <c r="O19" s="2732">
        <f t="shared" si="10"/>
        <v>0</v>
      </c>
      <c r="P19" s="2426"/>
      <c r="Q19" s="4398"/>
    </row>
    <row r="20" spans="1:20" ht="21" customHeight="1">
      <c r="A20" s="2091"/>
      <c r="B20" s="2734" t="s">
        <v>228</v>
      </c>
      <c r="C20" s="4514">
        <f>'2. S Plan'!L288</f>
        <v>22332</v>
      </c>
      <c r="D20" s="5049">
        <f>'2. S Plan'!M288</f>
        <v>181054</v>
      </c>
      <c r="E20" s="5528">
        <f>'2. S Plan'!N288</f>
        <v>116192.46642307693</v>
      </c>
      <c r="F20" s="4517">
        <f>'2. S Plan'!O288</f>
        <v>128696</v>
      </c>
      <c r="G20" s="4521">
        <f>'2. S Plan'!P288</f>
        <v>178642</v>
      </c>
      <c r="H20" s="2103">
        <f>'2. S Plan'!Q288</f>
        <v>113795</v>
      </c>
      <c r="I20" s="2101">
        <f>'2. S Plan'!R288</f>
        <v>130000</v>
      </c>
      <c r="J20" s="2735">
        <f>'2. S Plan'!S288</f>
        <v>130000</v>
      </c>
      <c r="K20" s="2736">
        <f>'2. S Plan'!T288</f>
        <v>130000</v>
      </c>
      <c r="L20" s="2740">
        <f>'2. S Plan'!U288</f>
        <v>110000</v>
      </c>
      <c r="M20" s="2735">
        <f>'2. S Plan'!V288</f>
        <v>130000</v>
      </c>
      <c r="N20" s="2736">
        <f>'2. S Plan'!W288</f>
        <v>130000</v>
      </c>
      <c r="O20" s="2732">
        <f t="shared" si="10"/>
        <v>1500711.466423077</v>
      </c>
      <c r="P20" s="2426"/>
      <c r="Q20" s="4398"/>
    </row>
    <row r="21" spans="1:20" ht="21" customHeight="1">
      <c r="A21" s="2091"/>
      <c r="B21" s="2734" t="s">
        <v>155</v>
      </c>
      <c r="C21" s="4516">
        <f>2815567+29349.05</f>
        <v>2844916.05</v>
      </c>
      <c r="D21" s="5050">
        <v>2277808.6949230772</v>
      </c>
      <c r="E21" s="5542">
        <v>3533730</v>
      </c>
      <c r="F21" s="4516">
        <v>761184</v>
      </c>
      <c r="G21" s="5050">
        <v>3138388.88</v>
      </c>
      <c r="H21" s="2738">
        <f t="shared" ref="H21:N21" si="11">+H40</f>
        <v>3377627.5818332564</v>
      </c>
      <c r="I21" s="2742">
        <f t="shared" si="11"/>
        <v>3343312.4874066692</v>
      </c>
      <c r="J21" s="1657">
        <f t="shared" si="11"/>
        <v>2772565.8904660083</v>
      </c>
      <c r="K21" s="2739">
        <f t="shared" si="11"/>
        <v>2810581.3651145231</v>
      </c>
      <c r="L21" s="2743">
        <f t="shared" si="11"/>
        <v>2569105.0130927078</v>
      </c>
      <c r="M21" s="1657">
        <f t="shared" si="11"/>
        <v>2343052.9174105134</v>
      </c>
      <c r="N21" s="2739">
        <f t="shared" si="11"/>
        <v>2231176.9343779339</v>
      </c>
      <c r="O21" s="2732">
        <f t="shared" si="10"/>
        <v>32003449.814624686</v>
      </c>
      <c r="P21" s="2426"/>
      <c r="Q21" s="4398"/>
    </row>
    <row r="22" spans="1:20" ht="21" hidden="1" customHeight="1">
      <c r="A22" s="2091"/>
      <c r="B22" s="2734" t="s">
        <v>156</v>
      </c>
      <c r="C22" s="4516">
        <f>'8. I Plan'!H85</f>
        <v>0</v>
      </c>
      <c r="D22" s="5049">
        <f>'8. I Plan'!I85</f>
        <v>0</v>
      </c>
      <c r="E22" s="5542">
        <f>'8. I Plan'!J85</f>
        <v>0</v>
      </c>
      <c r="F22" s="4516">
        <f>'8. I Plan'!K85</f>
        <v>0</v>
      </c>
      <c r="G22" s="5050">
        <f>'8. I Plan'!L85</f>
        <v>0</v>
      </c>
      <c r="H22" s="2738">
        <f>'8. I Plan'!M85</f>
        <v>0</v>
      </c>
      <c r="I22" s="2742">
        <f>'8. I Plan'!N85</f>
        <v>0</v>
      </c>
      <c r="J22" s="1657">
        <f>'8. I Plan'!O85</f>
        <v>0</v>
      </c>
      <c r="K22" s="2739">
        <f>'8. I Plan'!P85</f>
        <v>0</v>
      </c>
      <c r="L22" s="1656">
        <f>'8. I Plan'!Q85</f>
        <v>0</v>
      </c>
      <c r="M22" s="2744">
        <f>'8. I Plan'!R85</f>
        <v>0</v>
      </c>
      <c r="N22" s="2739">
        <f>'8. I Plan'!S85</f>
        <v>0</v>
      </c>
      <c r="O22" s="2732">
        <f t="shared" si="10"/>
        <v>0</v>
      </c>
      <c r="P22" s="2426"/>
      <c r="Q22" s="4398"/>
    </row>
    <row r="23" spans="1:20" ht="21" customHeight="1">
      <c r="A23" s="2091"/>
      <c r="B23" s="2734" t="s">
        <v>502</v>
      </c>
      <c r="C23" s="4514">
        <f>'2. S Plan'!L287+'2. S Plan'!L289+'2. S Plan'!L292</f>
        <v>116328.14846153845</v>
      </c>
      <c r="D23" s="5049">
        <f>'2. S Plan'!M287+'2. S Plan'!M289+'2. S Plan'!M292</f>
        <v>48438</v>
      </c>
      <c r="E23" s="5528">
        <f>'2. S Plan'!N287+'2. S Plan'!N289+'2. S Plan'!N292</f>
        <v>319207.5</v>
      </c>
      <c r="F23" s="4517">
        <f>'2. S Plan'!O287+'2. S Plan'!O289+'2. S Plan'!O292</f>
        <v>40338</v>
      </c>
      <c r="G23" s="4521">
        <f>'2. S Plan'!P287+'2. S Plan'!P289+'2. S Plan'!P292</f>
        <v>28608</v>
      </c>
      <c r="H23" s="2103">
        <f>'2. S Plan'!Q287+'2. S Plan'!Q289+'2. S Plan'!Q292</f>
        <v>330000</v>
      </c>
      <c r="I23" s="2101">
        <f>'2. S Plan'!R287+'2. S Plan'!R289+'2. S Plan'!R292</f>
        <v>53295</v>
      </c>
      <c r="J23" s="2735">
        <f>'2. S Plan'!S287+'2. S Plan'!S289+'2. S Plan'!S292</f>
        <v>40000</v>
      </c>
      <c r="K23" s="2736">
        <f>'2. S Plan'!T287+'2. S Plan'!T289+'2. S Plan'!T292</f>
        <v>360000</v>
      </c>
      <c r="L23" s="2740">
        <f>'2. S Plan'!U287+'2. S Plan'!U289+'2. S Plan'!U292</f>
        <v>0</v>
      </c>
      <c r="M23" s="2735">
        <f>'2. S Plan'!V287+'2. S Plan'!V289+'2. S Plan'!V292</f>
        <v>65000</v>
      </c>
      <c r="N23" s="2736">
        <f>'2. S Plan'!W287+'2. S Plan'!W289+'2. S Plan'!W292</f>
        <v>350000</v>
      </c>
      <c r="O23" s="2732">
        <f t="shared" si="10"/>
        <v>1751214.6484615384</v>
      </c>
      <c r="P23" s="2426"/>
      <c r="Q23" s="4398"/>
    </row>
    <row r="24" spans="1:20" ht="21" hidden="1" customHeight="1">
      <c r="A24" s="1598"/>
      <c r="B24" s="3242" t="s">
        <v>1201</v>
      </c>
      <c r="C24" s="4518"/>
      <c r="D24" s="5051"/>
      <c r="E24" s="5529"/>
      <c r="F24" s="4518"/>
      <c r="G24" s="6516"/>
      <c r="H24" s="3263"/>
      <c r="I24" s="3265"/>
      <c r="J24" s="1593"/>
      <c r="K24" s="1594"/>
      <c r="L24" s="1592"/>
      <c r="M24" s="3266"/>
      <c r="N24" s="3266"/>
      <c r="O24" s="3243">
        <f t="shared" si="10"/>
        <v>0</v>
      </c>
      <c r="P24" s="2426"/>
      <c r="Q24" s="4398"/>
    </row>
    <row r="25" spans="1:20" ht="21" customHeight="1" thickBot="1">
      <c r="A25" s="2747"/>
      <c r="B25" s="2748" t="s">
        <v>158</v>
      </c>
      <c r="C25" s="4519">
        <f t="shared" ref="C25:O25" si="12">SUM(C17:C24)</f>
        <v>6815672.2756923074</v>
      </c>
      <c r="D25" s="5052">
        <f t="shared" si="12"/>
        <v>6717939.1820384618</v>
      </c>
      <c r="E25" s="5543">
        <f t="shared" si="12"/>
        <v>6678514.4502692297</v>
      </c>
      <c r="F25" s="4519">
        <f t="shared" si="12"/>
        <v>5294068.4511538465</v>
      </c>
      <c r="G25" s="5058">
        <f t="shared" si="12"/>
        <v>7002080.2667873306</v>
      </c>
      <c r="H25" s="2750">
        <f t="shared" si="12"/>
        <v>7588133.8325255644</v>
      </c>
      <c r="I25" s="2751">
        <f t="shared" si="12"/>
        <v>7559356.398939684</v>
      </c>
      <c r="J25" s="2752">
        <f t="shared" si="12"/>
        <v>7103218.7922533024</v>
      </c>
      <c r="K25" s="2163">
        <f t="shared" si="12"/>
        <v>7311141.2061439725</v>
      </c>
      <c r="L25" s="2162">
        <f t="shared" si="12"/>
        <v>6310030.9856017455</v>
      </c>
      <c r="M25" s="2753">
        <f>SUM(M17:M24)</f>
        <v>5640552.9579203855</v>
      </c>
      <c r="N25" s="2754">
        <f t="shared" si="12"/>
        <v>6100350.2170411181</v>
      </c>
      <c r="O25" s="2755">
        <f t="shared" si="12"/>
        <v>80121059.016366959</v>
      </c>
      <c r="P25" s="2426"/>
      <c r="Q25" s="4398"/>
    </row>
    <row r="26" spans="1:20" ht="21" customHeight="1">
      <c r="A26" s="2758" t="s">
        <v>159</v>
      </c>
      <c r="B26" s="6304" t="s">
        <v>1281</v>
      </c>
      <c r="C26" s="6305">
        <v>1536940.6787692299</v>
      </c>
      <c r="D26" s="6306">
        <v>933137.57282692299</v>
      </c>
      <c r="E26" s="6307">
        <v>1636549.0311923099</v>
      </c>
      <c r="F26" s="6308">
        <v>549705.41949999996</v>
      </c>
      <c r="G26" s="6306">
        <v>744492.49815384613</v>
      </c>
      <c r="H26" s="6310">
        <f>'7. E Plan'!J9</f>
        <v>891773.10984459938</v>
      </c>
      <c r="I26" s="6311">
        <f>'7. E Plan'!K9</f>
        <v>1274407.5998083402</v>
      </c>
      <c r="J26" s="6309">
        <f>'7. E Plan'!L9</f>
        <v>1101735.8517919248</v>
      </c>
      <c r="K26" s="6312">
        <f>'7. E Plan'!M9</f>
        <v>1135989.7081902819</v>
      </c>
      <c r="L26" s="6311">
        <f>'7. E Plan'!N9</f>
        <v>986891.82078068471</v>
      </c>
      <c r="M26" s="6309">
        <f>'7. E Plan'!O9</f>
        <v>819152.80527212238</v>
      </c>
      <c r="N26" s="6310">
        <f>'7. E Plan'!P9</f>
        <v>744275.21555367147</v>
      </c>
      <c r="O26" s="6313">
        <f t="shared" ref="O26:O46" si="13">SUM(C26:N26)</f>
        <v>12355051.311683934</v>
      </c>
      <c r="P26" s="2426"/>
      <c r="Q26" s="4398"/>
      <c r="R26" s="4398"/>
      <c r="S26" s="3135"/>
      <c r="T26" s="3136"/>
    </row>
    <row r="27" spans="1:20" ht="18" customHeight="1">
      <c r="A27" s="2758"/>
      <c r="B27" s="6314" t="s">
        <v>346</v>
      </c>
      <c r="C27" s="6315">
        <v>10000</v>
      </c>
      <c r="D27" s="6316">
        <v>0</v>
      </c>
      <c r="E27" s="6317">
        <v>10000</v>
      </c>
      <c r="F27" s="6318">
        <v>10000</v>
      </c>
      <c r="G27" s="6316">
        <v>0</v>
      </c>
      <c r="H27" s="6319">
        <f>+'9. C Plan'!I8</f>
        <v>0</v>
      </c>
      <c r="I27" s="5458">
        <f>+'9. C Plan'!J8</f>
        <v>0</v>
      </c>
      <c r="J27" s="5459">
        <f>+'9. C Plan'!K8</f>
        <v>0</v>
      </c>
      <c r="K27" s="6320">
        <f>+'9. C Plan'!L8</f>
        <v>0</v>
      </c>
      <c r="L27" s="5458">
        <f>+'9. C Plan'!M8</f>
        <v>0</v>
      </c>
      <c r="M27" s="5459">
        <f>+'9. C Plan'!N8</f>
        <v>0</v>
      </c>
      <c r="N27" s="5460">
        <f>+'9. C Plan'!O8</f>
        <v>0</v>
      </c>
      <c r="O27" s="6321">
        <f t="shared" si="13"/>
        <v>30000</v>
      </c>
      <c r="P27" s="2426"/>
      <c r="Q27" s="4398"/>
      <c r="S27" s="3135"/>
      <c r="T27" s="3136"/>
    </row>
    <row r="28" spans="1:20" ht="21" customHeight="1">
      <c r="A28" s="2758"/>
      <c r="B28" s="6314" t="s">
        <v>1282</v>
      </c>
      <c r="C28" s="6315">
        <v>118528.11215384616</v>
      </c>
      <c r="D28" s="6316">
        <f>177941.167692308-56898</f>
        <v>121043.16769230799</v>
      </c>
      <c r="E28" s="6317">
        <v>111108.81723076923</v>
      </c>
      <c r="F28" s="6318">
        <v>21228.750769230766</v>
      </c>
      <c r="G28" s="6316">
        <v>18205.758307692311</v>
      </c>
      <c r="H28" s="6319">
        <f>'7. E Plan'!J54+'7. E Plan'!J12</f>
        <v>69879.745406153845</v>
      </c>
      <c r="I28" s="5458">
        <f>'7. E Plan'!K54+'7. E Plan'!K12</f>
        <v>74013.310188461546</v>
      </c>
      <c r="J28" s="5459">
        <f>'7. E Plan'!L54+'7. E Plan'!L12</f>
        <v>64264.690014020554</v>
      </c>
      <c r="K28" s="6320">
        <f>'7. E Plan'!M54+'7. E Plan'!M12</f>
        <v>61581.506833482214</v>
      </c>
      <c r="L28" s="5458">
        <f>'7. E Plan'!N54+'7. E Plan'!N12</f>
        <v>48271.556330549414</v>
      </c>
      <c r="M28" s="5459">
        <f>'7. E Plan'!O54+'7. E Plan'!O12</f>
        <v>37153.130814854434</v>
      </c>
      <c r="N28" s="5460">
        <f>'7. E Plan'!P54+'7. E Plan'!P12</f>
        <v>34579.778942794655</v>
      </c>
      <c r="O28" s="6321">
        <f t="shared" si="13"/>
        <v>779858.32468416297</v>
      </c>
      <c r="P28" s="2426"/>
      <c r="Q28" s="4398"/>
      <c r="S28" s="3135"/>
      <c r="T28" s="3136"/>
    </row>
    <row r="29" spans="1:20" ht="21" customHeight="1">
      <c r="A29" s="2758"/>
      <c r="B29" s="6314" t="s">
        <v>1283</v>
      </c>
      <c r="C29" s="6315">
        <v>289254.84592307685</v>
      </c>
      <c r="D29" s="6316">
        <v>320472.41753846145</v>
      </c>
      <c r="E29" s="6317">
        <v>409059.21946153848</v>
      </c>
      <c r="F29" s="6318">
        <v>197827.08696153844</v>
      </c>
      <c r="G29" s="6316">
        <f>274553.199230769+1923</f>
        <v>276476.19923076901</v>
      </c>
      <c r="H29" s="6319">
        <f>'7. E Plan'!J18+'7. E Plan'!J19</f>
        <v>212836.00859429553</v>
      </c>
      <c r="I29" s="5458">
        <f>'7. E Plan'!K18+'7. E Plan'!K19</f>
        <v>263576.2379627669</v>
      </c>
      <c r="J29" s="5459">
        <f>'7. E Plan'!L18+'7. E Plan'!L19</f>
        <v>222383.85652306612</v>
      </c>
      <c r="K29" s="6320">
        <f>'7. E Plan'!M18+'7. E Plan'!M19</f>
        <v>239799.90884823599</v>
      </c>
      <c r="L29" s="5458">
        <f>'7. E Plan'!N18+'7. E Plan'!N19</f>
        <v>222899.03371358884</v>
      </c>
      <c r="M29" s="5459">
        <f>'7. E Plan'!O18+'7. E Plan'!O19</f>
        <v>195892.99410941516</v>
      </c>
      <c r="N29" s="5460">
        <f>'7. E Plan'!P18+'7. E Plan'!P19</f>
        <v>188810.80575335905</v>
      </c>
      <c r="O29" s="6321">
        <f t="shared" si="13"/>
        <v>3039288.6146201119</v>
      </c>
      <c r="P29" s="2426"/>
      <c r="Q29" s="4398"/>
      <c r="S29" s="3135"/>
      <c r="T29" s="3136"/>
    </row>
    <row r="30" spans="1:20" ht="21" customHeight="1">
      <c r="A30" s="2758"/>
      <c r="B30" s="6314" t="s">
        <v>1284</v>
      </c>
      <c r="C30" s="6315">
        <v>65975.500692307687</v>
      </c>
      <c r="D30" s="6316">
        <v>36932.083307692308</v>
      </c>
      <c r="E30" s="6317">
        <v>48325.148653846154</v>
      </c>
      <c r="F30" s="6318">
        <v>4787.6400000000003</v>
      </c>
      <c r="G30" s="6316">
        <v>45450.539692307691</v>
      </c>
      <c r="H30" s="6319">
        <f>'7. E Plan'!J17</f>
        <v>51752.566461538459</v>
      </c>
      <c r="I30" s="5458">
        <f>'7. E Plan'!K17</f>
        <v>63373.790807692305</v>
      </c>
      <c r="J30" s="5459">
        <f>'7. E Plan'!L17</f>
        <v>53146.894246072552</v>
      </c>
      <c r="K30" s="6320">
        <f>'7. E Plan'!M17</f>
        <v>72798.36555663844</v>
      </c>
      <c r="L30" s="5458">
        <f>'7. E Plan'!N17</f>
        <v>62903.598828306953</v>
      </c>
      <c r="M30" s="5459">
        <f>'7. E Plan'!O17</f>
        <v>54638.188918550157</v>
      </c>
      <c r="N30" s="5460">
        <f>'7. E Plan'!P17</f>
        <v>46396.41515188443</v>
      </c>
      <c r="O30" s="6321">
        <f t="shared" si="13"/>
        <v>606480.73231683718</v>
      </c>
      <c r="P30" s="2426"/>
      <c r="Q30" s="4398"/>
      <c r="S30" s="3135"/>
      <c r="T30" s="3136"/>
    </row>
    <row r="31" spans="1:20" ht="21" customHeight="1">
      <c r="A31" s="2758"/>
      <c r="B31" s="6314" t="s">
        <v>1285</v>
      </c>
      <c r="C31" s="6315">
        <v>88921.36884615384</v>
      </c>
      <c r="D31" s="6316">
        <v>58066.2</v>
      </c>
      <c r="E31" s="6317">
        <v>111447.40011538459</v>
      </c>
      <c r="F31" s="6318">
        <v>28084.09361538462</v>
      </c>
      <c r="G31" s="6316">
        <v>62759.919346153867</v>
      </c>
      <c r="H31" s="6319">
        <f>'7. E Plan'!J13+'7. E Plan'!J48+'7. E Plan'!J53</f>
        <v>132068.91988153846</v>
      </c>
      <c r="I31" s="5458">
        <f>'7. E Plan'!K13+'7. E Plan'!K48+'7. E Plan'!K53</f>
        <v>101043.34097307692</v>
      </c>
      <c r="J31" s="5459">
        <f>'7. E Plan'!L13+'7. E Plan'!L48+'7. E Plan'!L53</f>
        <v>118782.6216693858</v>
      </c>
      <c r="K31" s="6320">
        <f>'7. E Plan'!M13+'7. E Plan'!M48+'7. E Plan'!M53</f>
        <v>124684.91083338397</v>
      </c>
      <c r="L31" s="5458">
        <f>'7. E Plan'!N13+'7. E Plan'!N48+'7. E Plan'!N53</f>
        <v>110531.24118206066</v>
      </c>
      <c r="M31" s="5459">
        <f>'7. E Plan'!O13+'7. E Plan'!O48+'7. E Plan'!O53</f>
        <v>100695.5972129889</v>
      </c>
      <c r="N31" s="5460">
        <f>'7. E Plan'!P13+'7. E Plan'!P48+'7. E Plan'!P53</f>
        <v>94367.379855933978</v>
      </c>
      <c r="O31" s="6321">
        <f t="shared" si="13"/>
        <v>1131452.9935314457</v>
      </c>
      <c r="P31" s="2426"/>
      <c r="Q31" s="4398"/>
      <c r="S31" s="3135"/>
      <c r="T31" s="3136"/>
    </row>
    <row r="32" spans="1:20" ht="21" customHeight="1">
      <c r="A32" s="2758"/>
      <c r="B32" s="6322" t="s">
        <v>336</v>
      </c>
      <c r="C32" s="6323">
        <v>261772.49538461541</v>
      </c>
      <c r="D32" s="6324">
        <f>490546.182153846+56898</f>
        <v>547444.18215384602</v>
      </c>
      <c r="E32" s="6325">
        <v>346644.76846153848</v>
      </c>
      <c r="F32" s="6326">
        <v>256721.39230769232</v>
      </c>
      <c r="G32" s="6324">
        <v>690795.8623076923</v>
      </c>
      <c r="H32" s="6328">
        <f>'8. I Plan'!M87</f>
        <v>677736.34704124858</v>
      </c>
      <c r="I32" s="6329">
        <f>'8. I Plan'!N87</f>
        <v>988983.15230769222</v>
      </c>
      <c r="J32" s="6327">
        <f>'8. I Plan'!O87</f>
        <v>1068389.5378461538</v>
      </c>
      <c r="K32" s="6330">
        <f>'8. I Plan'!P87</f>
        <v>861832.03015384614</v>
      </c>
      <c r="L32" s="6329">
        <f>'8. I Plan'!Q87</f>
        <v>300367.45323076926</v>
      </c>
      <c r="M32" s="6327">
        <f>'8. I Plan'!R87</f>
        <v>836388.4615384615</v>
      </c>
      <c r="N32" s="6331">
        <f>'8. I Plan'!S87</f>
        <v>227388.46153846153</v>
      </c>
      <c r="O32" s="6332">
        <f t="shared" si="13"/>
        <v>7064464.1442720182</v>
      </c>
      <c r="P32" s="2426"/>
      <c r="Q32" s="4398"/>
      <c r="S32" s="3135"/>
      <c r="T32" s="3136"/>
    </row>
    <row r="33" spans="1:21" ht="21" customHeight="1">
      <c r="A33" s="2758"/>
      <c r="B33" s="6301" t="s">
        <v>503</v>
      </c>
      <c r="C33" s="4520">
        <v>799710.7586538461</v>
      </c>
      <c r="D33" s="5054">
        <v>793654.30996153853</v>
      </c>
      <c r="E33" s="5524">
        <v>794063.24461538461</v>
      </c>
      <c r="F33" s="6302">
        <v>718619.62203846162</v>
      </c>
      <c r="G33" s="5054">
        <v>646547.71080769238</v>
      </c>
      <c r="H33" s="1756">
        <f>'7. E Plan'!L10+'7. E Plan'!L45-'4. L PLAN'!K76</f>
        <v>644095.63809498982</v>
      </c>
      <c r="I33" s="2096">
        <f>'7. E Plan'!M10+'7. E Plan'!M45-'4. L PLAN'!L76</f>
        <v>634518.77907774039</v>
      </c>
      <c r="J33" s="1755">
        <f>'7. E Plan'!N10+'7. E Plan'!N45-'4. L PLAN'!M76</f>
        <v>628857.7108726122</v>
      </c>
      <c r="K33" s="6303">
        <f>'7. E Plan'!O10+'7. E Plan'!O45-'4. L PLAN'!N76</f>
        <v>625769.85548799683</v>
      </c>
      <c r="L33" s="2096">
        <f>'7. E Plan'!P10+'7. E Plan'!P45-'4. L PLAN'!O76</f>
        <v>611609.71264988498</v>
      </c>
      <c r="M33" s="1755">
        <f>'7. E Plan'!Q10+'7. E Plan'!Q45-'4. L PLAN'!P76</f>
        <v>612638.99777809007</v>
      </c>
      <c r="N33" s="1756">
        <f>'7. E Plan'!R10+'7. E Plan'!R45-'4. L PLAN'!Q76</f>
        <v>609551.1423934747</v>
      </c>
      <c r="O33" s="2732">
        <f t="shared" si="13"/>
        <v>8119637.4824317107</v>
      </c>
      <c r="P33" s="2426"/>
      <c r="Q33" s="4398"/>
      <c r="S33" s="3135"/>
      <c r="T33" s="3136"/>
    </row>
    <row r="34" spans="1:21" ht="21" customHeight="1">
      <c r="A34" s="2758"/>
      <c r="B34" s="2757" t="s">
        <v>1286</v>
      </c>
      <c r="C34" s="4481">
        <v>360992.74546153843</v>
      </c>
      <c r="D34" s="4521">
        <v>293425.9846153846</v>
      </c>
      <c r="E34" s="5528">
        <v>335711.0767307693</v>
      </c>
      <c r="F34" s="6060">
        <v>375581.75530769234</v>
      </c>
      <c r="G34" s="4521">
        <v>347343.98119230766</v>
      </c>
      <c r="H34" s="1756">
        <f>'7. E Plan'!L21+'7. E Plan'!L23+'7. E Plan'!L24+'7. E Plan'!L25+'7. E Plan'!L55+'7. E Plan'!L63</f>
        <v>365143.58921664598</v>
      </c>
      <c r="I34" s="2101">
        <f>'7. E Plan'!M21+'7. E Plan'!M23+'7. E Plan'!M24+'7. E Plan'!M25+'7. E Plan'!M55+'7. E Plan'!M63</f>
        <v>367584.16884794406</v>
      </c>
      <c r="J34" s="2102">
        <f>'7. E Plan'!N21+'7. E Plan'!N23+'7. E Plan'!N24+'7. E Plan'!N25+'7. E Plan'!N55+'7. E Plan'!N63</f>
        <v>365195.65456417389</v>
      </c>
      <c r="K34" s="2104">
        <f>'7. E Plan'!O21+'7. E Plan'!O23+'7. E Plan'!O24+'7. E Plan'!O25+'7. E Plan'!O55+'7. E Plan'!O63</f>
        <v>339187.63706968172</v>
      </c>
      <c r="L34" s="2101">
        <f>'7. E Plan'!P21+'7. E Plan'!P23+'7. E Plan'!P24+'7. E Plan'!P25+'7. E Plan'!P55+'7. E Plan'!P63</f>
        <v>317226.43725329346</v>
      </c>
      <c r="M34" s="2102">
        <f>'7. E Plan'!Q21+'7. E Plan'!Q23+'7. E Plan'!Q24+'7. E Plan'!Q25+'7. E Plan'!Q55+'7. E Plan'!Q63</f>
        <v>316866.69342975155</v>
      </c>
      <c r="N34" s="2103">
        <f>'7. E Plan'!R21+'7. E Plan'!R23+'7. E Plan'!R24+'7. E Plan'!R25+'7. E Plan'!R55+'7. E Plan'!R63</f>
        <v>316918.24448326579</v>
      </c>
      <c r="O34" s="2732">
        <f t="shared" si="13"/>
        <v>4101177.9681724487</v>
      </c>
      <c r="P34" s="2426"/>
      <c r="Q34" s="4398"/>
      <c r="S34" s="3135"/>
      <c r="T34" s="3136"/>
    </row>
    <row r="35" spans="1:21" ht="21" customHeight="1">
      <c r="A35" s="2758"/>
      <c r="B35" s="2757" t="s">
        <v>1287</v>
      </c>
      <c r="C35" s="4481">
        <v>22951.151269230766</v>
      </c>
      <c r="D35" s="4521"/>
      <c r="E35" s="5528">
        <v>50502.363730769233</v>
      </c>
      <c r="F35" s="6060">
        <v>769.23076923076928</v>
      </c>
      <c r="G35" s="4521">
        <v>10166.454423076924</v>
      </c>
      <c r="H35" s="1756">
        <f>'7. E Plan'!L51+'7. E Plan'!L52</f>
        <v>14556.534923076922</v>
      </c>
      <c r="I35" s="2101">
        <f>'7. E Plan'!M51+'7. E Plan'!M52+'9. C Plan'!P16</f>
        <v>392556.53492307692</v>
      </c>
      <c r="J35" s="2102">
        <f>'7. E Plan'!N51+'7. E Plan'!N52</f>
        <v>14556.534923076922</v>
      </c>
      <c r="K35" s="2104">
        <f>'7. E Plan'!O51+'7. E Plan'!O52</f>
        <v>14556.534923076922</v>
      </c>
      <c r="L35" s="2101">
        <f>'7. E Plan'!P51+'7. E Plan'!P52</f>
        <v>14556.534923076922</v>
      </c>
      <c r="M35" s="2102">
        <f>'7. E Plan'!Q51+'7. E Plan'!Q52</f>
        <v>14556.534923076922</v>
      </c>
      <c r="N35" s="2103">
        <f>'7. E Plan'!R51+'7. E Plan'!R52</f>
        <v>14556.534923076922</v>
      </c>
      <c r="O35" s="2732">
        <f t="shared" si="13"/>
        <v>564284.94465384632</v>
      </c>
      <c r="P35" s="2426"/>
      <c r="Q35" s="4398"/>
      <c r="S35" s="3135"/>
      <c r="T35" s="3136"/>
    </row>
    <row r="36" spans="1:21" ht="21" customHeight="1">
      <c r="A36" s="2758"/>
      <c r="B36" s="2757" t="s">
        <v>1417</v>
      </c>
      <c r="C36" s="4520">
        <v>39630.641538461539</v>
      </c>
      <c r="D36" s="4521"/>
      <c r="E36" s="5528">
        <v>85860.664615384609</v>
      </c>
      <c r="F36" s="6060">
        <v>0</v>
      </c>
      <c r="G36" s="4521">
        <v>34936.587692307694</v>
      </c>
      <c r="H36" s="1756">
        <f>+'7. E Plan'!L11+'7. E Plan'!L46</f>
        <v>43804.649647928054</v>
      </c>
      <c r="I36" s="2096">
        <f>+'7. E Plan'!M11+'7. E Plan'!M46</f>
        <v>45323.025683337866</v>
      </c>
      <c r="J36" s="1755">
        <f>+'7. E Plan'!N11+'7. E Plan'!N46</f>
        <v>42909.895102473507</v>
      </c>
      <c r="K36" s="1756">
        <f>+'7. E Plan'!O11+'7. E Plan'!O46</f>
        <v>39239.31575892659</v>
      </c>
      <c r="L36" s="2096">
        <f>+'7. E Plan'!P11+'7. E Plan'!P46</f>
        <v>43298.271137883334</v>
      </c>
      <c r="M36" s="1755">
        <f>+'7. E Plan'!Q11+'7. E Plan'!Q46</f>
        <v>40219.400885245508</v>
      </c>
      <c r="N36" s="1756">
        <f>+'7. E Plan'!R11+'7. E Plan'!R46</f>
        <v>43020.907501519694</v>
      </c>
      <c r="O36" s="2732">
        <f t="shared" si="13"/>
        <v>458243.35956346843</v>
      </c>
      <c r="P36" s="2426"/>
      <c r="Q36" s="4398"/>
      <c r="S36" s="3135"/>
      <c r="T36" s="3136"/>
    </row>
    <row r="37" spans="1:21" ht="21" customHeight="1">
      <c r="A37" s="2758"/>
      <c r="B37" s="2757" t="s">
        <v>1214</v>
      </c>
      <c r="C37" s="4481">
        <v>23266.895615384612</v>
      </c>
      <c r="D37" s="4521">
        <v>28468.971807692309</v>
      </c>
      <c r="E37" s="5528">
        <v>67588.59930769229</v>
      </c>
      <c r="F37" s="6060">
        <v>91850.342999999993</v>
      </c>
      <c r="G37" s="4521">
        <v>53777.02342307692</v>
      </c>
      <c r="H37" s="1756">
        <v>56021.433520354454</v>
      </c>
      <c r="I37" s="2101">
        <v>56021.433520354454</v>
      </c>
      <c r="J37" s="2102">
        <v>56021.433520354454</v>
      </c>
      <c r="K37" s="2104">
        <v>56021.433520354454</v>
      </c>
      <c r="L37" s="2101">
        <v>56021.433520354454</v>
      </c>
      <c r="M37" s="2102">
        <v>56021.433520354454</v>
      </c>
      <c r="N37" s="2103">
        <v>56021.433520354454</v>
      </c>
      <c r="O37" s="2732">
        <f t="shared" si="13"/>
        <v>657101.86779632722</v>
      </c>
      <c r="P37" s="2426"/>
      <c r="Q37" s="4398"/>
      <c r="S37" s="3135"/>
      <c r="T37" s="3136"/>
    </row>
    <row r="38" spans="1:21" ht="17.25" hidden="1" customHeight="1">
      <c r="A38" s="2758"/>
      <c r="B38" s="2757" t="s">
        <v>1742</v>
      </c>
      <c r="C38" s="4521">
        <v>0</v>
      </c>
      <c r="D38" s="4521"/>
      <c r="E38" s="5528">
        <v>0</v>
      </c>
      <c r="F38" s="6060">
        <v>0</v>
      </c>
      <c r="G38" s="4521">
        <v>0</v>
      </c>
      <c r="H38" s="1756"/>
      <c r="I38" s="2101"/>
      <c r="J38" s="2102"/>
      <c r="K38" s="2102"/>
      <c r="L38" s="2101"/>
      <c r="M38" s="2102"/>
      <c r="N38" s="2103"/>
      <c r="O38" s="2732">
        <f t="shared" si="13"/>
        <v>0</v>
      </c>
      <c r="P38" s="2426"/>
      <c r="Q38" s="4398"/>
      <c r="S38" s="3135"/>
      <c r="T38" s="3136"/>
    </row>
    <row r="39" spans="1:21" ht="21" customHeight="1">
      <c r="A39" s="2758"/>
      <c r="B39" s="2757" t="s">
        <v>1288</v>
      </c>
      <c r="C39" s="4521">
        <v>76463.236461538458</v>
      </c>
      <c r="D39" s="4521">
        <v>43324.146769230771</v>
      </c>
      <c r="E39" s="5528">
        <v>123932.31519230769</v>
      </c>
      <c r="F39" s="6060">
        <f>12966.5822307693+2121</f>
        <v>15087.5822307693</v>
      </c>
      <c r="G39" s="4521">
        <f>64631.1466923077+4615</f>
        <v>69246.146692307695</v>
      </c>
      <c r="H39" s="1756">
        <f>'7. E Plan'!J14+'7. E Plan'!J20+'7. E Plan'!J22+'7. E Plan'!J29+'7. E Plan'!J31+'7. E Plan'!J47+'7. E Plan'!J49+'7. E Plan'!J50+'7. E Plan'!J60+'7. E Plan'!J61+'7. E Plan'!J62+'7. E Plan'!J65+'7. E Plan'!J66+'7. E Plan'!J67</f>
        <v>74492.386242135108</v>
      </c>
      <c r="I39" s="2101">
        <f>'7. E Plan'!K14+'7. E Plan'!K20+'7. E Plan'!K22+'7. E Plan'!K29+'7. E Plan'!K31+'7. E Plan'!K47+'7. E Plan'!K49+'7. E Plan'!K50+'7. E Plan'!K60+'7. E Plan'!K61+'7. E Plan'!K62+'7. E Plan'!K65+'7. E Plan'!K66+'7. E Plan'!K67</f>
        <v>70894.265613877651</v>
      </c>
      <c r="J39" s="2102">
        <f>'7. E Plan'!L14+'7. E Plan'!L20+'7. E Plan'!L22+'7. E Plan'!L29+'7. E Plan'!L31+'7. E Plan'!L47+'7. E Plan'!L49+'7. E Plan'!L50+'7. E Plan'!L60+'7. E Plan'!L61+'7. E Plan'!L62+'7. E Plan'!L65+'7. E Plan'!L66+'7. E Plan'!L67</f>
        <v>104710.74723884735</v>
      </c>
      <c r="K39" s="2102">
        <f>'7. E Plan'!M14+'7. E Plan'!M20+'7. E Plan'!M22+'7. E Plan'!M29+'7. E Plan'!M31+'7. E Plan'!M47+'7. E Plan'!M49+'7. E Plan'!M50+'7. E Plan'!M60+'7. E Plan'!M61+'7. E Plan'!M62+'7. E Plan'!M65+'7. E Plan'!M66+'7. E Plan'!M67</f>
        <v>100952.18809246417</v>
      </c>
      <c r="L39" s="2101">
        <f>'7. E Plan'!N14+'7. E Plan'!N20+'7. E Plan'!N22+'7. E Plan'!N29+'7. E Plan'!N31+'7. E Plan'!N47+'7. E Plan'!N49+'7. E Plan'!N50+'7. E Plan'!N60+'7. E Plan'!N61+'7. E Plan'!N62+'7. E Plan'!N65+'7. E Plan'!N66+'7. E Plan'!N67</f>
        <v>94895.372773023846</v>
      </c>
      <c r="M39" s="2102">
        <f>'7. E Plan'!O14+'7. E Plan'!O20+'7. E Plan'!O22+'7. E Plan'!O29+'7. E Plan'!O31+'7. E Plan'!O47+'7. E Plan'!O49+'7. E Plan'!O50+'7. E Plan'!O60+'7. E Plan'!O61+'7. E Plan'!O62+'7. E Plan'!O65+'7. E Plan'!O66+'7. E Plan'!O67</f>
        <v>95217.140546063718</v>
      </c>
      <c r="N39" s="2103">
        <f>'7. E Plan'!P14+'7. E Plan'!P20+'7. E Plan'!P22+'7. E Plan'!P29+'7. E Plan'!P31+'7. E Plan'!P47+'7. E Plan'!P49+'7. E Plan'!P50+'7. E Plan'!P60+'7. E Plan'!P61+'7. E Plan'!P62+'7. E Plan'!P65+'7. E Plan'!P66+'7. E Plan'!P67</f>
        <v>82679.076298598433</v>
      </c>
      <c r="O39" s="2732">
        <f t="shared" si="13"/>
        <v>951894.60415116395</v>
      </c>
      <c r="P39" s="2426"/>
      <c r="Q39" s="4398"/>
      <c r="S39" s="3135"/>
      <c r="T39" s="3136"/>
      <c r="U39" s="4398"/>
    </row>
    <row r="40" spans="1:21" ht="21" customHeight="1">
      <c r="A40" s="2758"/>
      <c r="B40" s="2757" t="s">
        <v>155</v>
      </c>
      <c r="C40" s="4481">
        <v>2865389</v>
      </c>
      <c r="D40" s="4481">
        <v>2249692</v>
      </c>
      <c r="E40" s="4481">
        <v>3515712</v>
      </c>
      <c r="F40" s="6060">
        <v>738738.87</v>
      </c>
      <c r="G40" s="4521">
        <v>3172862</v>
      </c>
      <c r="H40" s="2103">
        <f t="shared" ref="H40:N40" si="14">SUM(H26:H31)+SUM(H33:H39)+H43</f>
        <v>3377627.5818332564</v>
      </c>
      <c r="I40" s="2101">
        <f t="shared" si="14"/>
        <v>3343312.4874066692</v>
      </c>
      <c r="J40" s="2102">
        <f t="shared" si="14"/>
        <v>2772565.8904660083</v>
      </c>
      <c r="K40" s="2104">
        <f t="shared" si="14"/>
        <v>2810581.3651145231</v>
      </c>
      <c r="L40" s="2101">
        <f t="shared" si="14"/>
        <v>2569105.0130927078</v>
      </c>
      <c r="M40" s="2102">
        <f t="shared" si="14"/>
        <v>2343052.9174105134</v>
      </c>
      <c r="N40" s="2103">
        <f t="shared" si="14"/>
        <v>2231176.9343779339</v>
      </c>
      <c r="O40" s="2732">
        <f>SUM(C40:N40)</f>
        <v>31989816.05970161</v>
      </c>
      <c r="P40" s="2426"/>
      <c r="Q40" s="4398"/>
      <c r="S40" s="3135"/>
      <c r="T40" s="3136"/>
    </row>
    <row r="41" spans="1:21" ht="21" customHeight="1">
      <c r="A41" s="2758"/>
      <c r="B41" s="2757" t="s">
        <v>1289</v>
      </c>
      <c r="C41" s="4543">
        <f>'12. FA Loan'!L26</f>
        <v>621083.75353421131</v>
      </c>
      <c r="D41" s="4543">
        <v>60052.715049221035</v>
      </c>
      <c r="E41" s="4543">
        <f>'12. FA Loan'!N26</f>
        <v>59487.715049221035</v>
      </c>
      <c r="F41" s="6060">
        <v>58360</v>
      </c>
      <c r="G41" s="5050">
        <f>'12. FA Loan'!P26</f>
        <v>59487.715049221035</v>
      </c>
      <c r="H41" s="2738">
        <f>'12. FA Loan'!Q26+'12. FA Loan'!K14+'12. FA Loan'!K15+'12. FA Loan'!K16+'12. FA Loan'!K17+'12. FA Loan'!K18+'12. FA Loan'!K19</f>
        <v>470914.84511334554</v>
      </c>
      <c r="I41" s="2741">
        <f>'12. FA Loan'!R26</f>
        <v>33948.965691648918</v>
      </c>
      <c r="J41" s="3640">
        <f>'12. FA Loan'!S26</f>
        <v>33948.965691648918</v>
      </c>
      <c r="K41" s="4461">
        <f>'12. FA Loan'!T26</f>
        <v>277413.16447651369</v>
      </c>
      <c r="L41" s="2741">
        <f>'12. FA Loan'!U26</f>
        <v>27193.427317289941</v>
      </c>
      <c r="M41" s="3640">
        <f>'12. FA Loan'!V26</f>
        <v>94772.804801037608</v>
      </c>
      <c r="N41" s="2103">
        <f>'12. FA Loan'!W26</f>
        <v>248443.89577288658</v>
      </c>
      <c r="O41" s="2732">
        <f t="shared" si="13"/>
        <v>2045107.9675462455</v>
      </c>
      <c r="P41" s="2426"/>
      <c r="Q41" s="4398"/>
      <c r="R41" s="4398"/>
      <c r="S41" s="3135"/>
      <c r="T41" s="3136"/>
      <c r="U41" s="4398"/>
    </row>
    <row r="42" spans="1:21" ht="21" customHeight="1">
      <c r="A42" s="2758"/>
      <c r="B42" s="2757" t="s">
        <v>1290</v>
      </c>
      <c r="C42" s="4481">
        <f>'7. E Plan'!G76</f>
        <v>77450.713200478407</v>
      </c>
      <c r="D42" s="5055">
        <v>57858.433215239391</v>
      </c>
      <c r="E42" s="5055">
        <f>'7. E Plan'!I76</f>
        <v>52889.094421923059</v>
      </c>
      <c r="F42" s="6060">
        <v>58624.530122612312</v>
      </c>
      <c r="G42" s="4521">
        <f>'7. E Plan'!K76</f>
        <v>60539.905128846156</v>
      </c>
      <c r="H42" s="2103">
        <f>'7. E Plan'!L76</f>
        <v>58537.352225824347</v>
      </c>
      <c r="I42" s="2101">
        <f>'7. E Plan'!M76</f>
        <v>55244.858447428051</v>
      </c>
      <c r="J42" s="2102">
        <f>'7. E Plan'!N76</f>
        <v>55006.679133862948</v>
      </c>
      <c r="K42" s="2104">
        <f>'7. E Plan'!O76</f>
        <v>54768.499820297846</v>
      </c>
      <c r="L42" s="2101">
        <f>'7. E Plan'!P76</f>
        <v>52751.517276595056</v>
      </c>
      <c r="M42" s="2102">
        <f>'7. E Plan'!Q76</f>
        <v>52550.882313865848</v>
      </c>
      <c r="N42" s="2103">
        <f>'7. E Plan'!R76</f>
        <v>51864.463290083761</v>
      </c>
      <c r="O42" s="2759">
        <f t="shared" si="13"/>
        <v>688086.92859705724</v>
      </c>
      <c r="P42" s="2426"/>
      <c r="Q42" s="4398"/>
      <c r="S42" s="3135"/>
      <c r="T42" s="3136"/>
      <c r="U42" s="4398"/>
    </row>
    <row r="43" spans="1:21" ht="21" customHeight="1">
      <c r="A43" s="2758"/>
      <c r="B43" s="2734" t="s">
        <v>1130</v>
      </c>
      <c r="C43" s="4522"/>
      <c r="D43" s="5056"/>
      <c r="E43" s="5533"/>
      <c r="F43" s="4750">
        <v>862520.26957692299</v>
      </c>
      <c r="G43" s="5056">
        <v>1083007.3466538461</v>
      </c>
      <c r="H43" s="1750">
        <v>821203</v>
      </c>
      <c r="I43" s="2745"/>
      <c r="J43" s="2760"/>
      <c r="K43" s="2761"/>
      <c r="L43" s="2745"/>
      <c r="M43" s="2760"/>
      <c r="N43" s="2746"/>
      <c r="O43" s="2759">
        <f t="shared" si="13"/>
        <v>2766730.6162307691</v>
      </c>
      <c r="P43" s="2426"/>
      <c r="Q43" s="4398"/>
      <c r="S43" s="3135"/>
      <c r="T43" s="3136"/>
      <c r="U43" s="3136"/>
    </row>
    <row r="44" spans="1:21" ht="21" customHeight="1">
      <c r="A44" s="2758"/>
      <c r="B44" s="4103" t="s">
        <v>1418</v>
      </c>
      <c r="C44" s="4522"/>
      <c r="D44" s="5056"/>
      <c r="E44" s="4522"/>
      <c r="F44" s="4750">
        <v>5387.93</v>
      </c>
      <c r="G44" s="5056">
        <f>30000+1138.46</f>
        <v>31138.46</v>
      </c>
      <c r="H44" s="1750">
        <v>2000</v>
      </c>
      <c r="I44" s="1748"/>
      <c r="J44" s="1749">
        <v>12000</v>
      </c>
      <c r="K44" s="4104"/>
      <c r="L44" s="4105">
        <v>15000</v>
      </c>
      <c r="M44" s="1749">
        <v>50000</v>
      </c>
      <c r="N44" s="2125">
        <v>40000</v>
      </c>
      <c r="O44" s="2759">
        <f t="shared" si="13"/>
        <v>155526.39000000001</v>
      </c>
      <c r="P44" s="2426"/>
      <c r="Q44" s="4398"/>
      <c r="S44" s="3135"/>
      <c r="T44" s="3136"/>
      <c r="U44" s="3136"/>
    </row>
    <row r="45" spans="1:21" ht="21" customHeight="1">
      <c r="A45" s="2758"/>
      <c r="B45" s="2762" t="s">
        <v>237</v>
      </c>
      <c r="C45" s="4522">
        <v>500000</v>
      </c>
      <c r="D45" s="5056"/>
      <c r="E45" s="5056"/>
      <c r="F45" s="4750"/>
      <c r="G45" s="5056"/>
      <c r="H45" s="1750"/>
      <c r="I45" s="2125"/>
      <c r="J45" s="1749"/>
      <c r="K45" s="3654"/>
      <c r="L45" s="1749"/>
      <c r="M45" s="3655"/>
      <c r="N45" s="3655">
        <v>500000</v>
      </c>
      <c r="O45" s="2759">
        <f t="shared" si="13"/>
        <v>1000000</v>
      </c>
      <c r="P45" s="2426"/>
      <c r="Q45" s="4398"/>
      <c r="S45" s="3135"/>
      <c r="T45" s="3136"/>
      <c r="U45" s="3136"/>
    </row>
    <row r="46" spans="1:21" ht="21" customHeight="1">
      <c r="A46" s="2758"/>
      <c r="B46" s="3647" t="s">
        <v>1291</v>
      </c>
      <c r="C46" s="4523">
        <v>100000</v>
      </c>
      <c r="D46" s="5057">
        <v>100000</v>
      </c>
      <c r="E46" s="5057">
        <v>100000</v>
      </c>
      <c r="F46" s="6061">
        <v>100000</v>
      </c>
      <c r="G46" s="5105">
        <v>100000</v>
      </c>
      <c r="H46" s="1762">
        <v>100000</v>
      </c>
      <c r="I46" s="1760">
        <v>100000</v>
      </c>
      <c r="J46" s="3346">
        <v>100000</v>
      </c>
      <c r="K46" s="3657">
        <v>100000</v>
      </c>
      <c r="L46" s="3343">
        <v>100000</v>
      </c>
      <c r="M46" s="3658">
        <v>100000</v>
      </c>
      <c r="N46" s="3659">
        <v>100000</v>
      </c>
      <c r="O46" s="3656">
        <f t="shared" si="13"/>
        <v>1200000</v>
      </c>
      <c r="P46" s="2426"/>
      <c r="Q46" s="4398"/>
      <c r="S46" s="3135"/>
      <c r="T46" s="3136"/>
      <c r="U46" s="3136"/>
    </row>
    <row r="47" spans="1:21" ht="21" customHeight="1" thickBot="1">
      <c r="A47" s="2756"/>
      <c r="B47" s="2748" t="s">
        <v>158</v>
      </c>
      <c r="C47" s="4524">
        <f>SUM(C26:C46)</f>
        <v>7858331.897503919</v>
      </c>
      <c r="D47" s="5058">
        <f t="shared" ref="D47:N47" si="15">SUM(D26:D46)</f>
        <v>5643572.1849375367</v>
      </c>
      <c r="E47" s="5543">
        <f t="shared" si="15"/>
        <v>7858881.4587788386</v>
      </c>
      <c r="F47" s="4519">
        <f t="shared" si="15"/>
        <v>4093894.5161995352</v>
      </c>
      <c r="G47" s="5058">
        <f t="shared" si="15"/>
        <v>7507234.1081011435</v>
      </c>
      <c r="H47" s="2750">
        <f t="shared" si="15"/>
        <v>8064443.7080469299</v>
      </c>
      <c r="I47" s="2749">
        <f t="shared" si="15"/>
        <v>7864801.9512601076</v>
      </c>
      <c r="J47" s="2752">
        <f t="shared" si="15"/>
        <v>6814476.9636036828</v>
      </c>
      <c r="K47" s="2754">
        <f t="shared" si="15"/>
        <v>6915176.424679704</v>
      </c>
      <c r="L47" s="2763">
        <f t="shared" si="15"/>
        <v>5633522.42401007</v>
      </c>
      <c r="M47" s="2752">
        <f t="shared" si="15"/>
        <v>5819817.9834743915</v>
      </c>
      <c r="N47" s="2752">
        <f t="shared" si="15"/>
        <v>5630050.6893572994</v>
      </c>
      <c r="O47" s="2755">
        <f>SUM(O26:O46)</f>
        <v>79704204.309953168</v>
      </c>
      <c r="P47" s="3178"/>
      <c r="Q47" s="3178"/>
      <c r="S47" s="3135"/>
      <c r="T47" s="3178"/>
    </row>
    <row r="48" spans="1:21" ht="22.5" customHeight="1" thickBot="1">
      <c r="A48" s="2764" t="s">
        <v>1306</v>
      </c>
      <c r="B48" s="2765"/>
      <c r="C48" s="4525">
        <f>C25-C47</f>
        <v>-1042659.6218116116</v>
      </c>
      <c r="D48" s="5027">
        <f t="shared" ref="D48:O48" si="16">D25-D47</f>
        <v>1074366.9971009251</v>
      </c>
      <c r="E48" s="5544">
        <f t="shared" si="16"/>
        <v>-1180367.0085096089</v>
      </c>
      <c r="F48" s="4525">
        <f t="shared" si="16"/>
        <v>1200173.9349543112</v>
      </c>
      <c r="G48" s="5027">
        <f t="shared" si="16"/>
        <v>-505153.84131381288</v>
      </c>
      <c r="H48" s="2766">
        <f t="shared" si="16"/>
        <v>-476309.87552136555</v>
      </c>
      <c r="I48" s="3645">
        <f t="shared" si="16"/>
        <v>-305445.55232042354</v>
      </c>
      <c r="J48" s="1682">
        <f t="shared" si="16"/>
        <v>288741.82864961959</v>
      </c>
      <c r="K48" s="1683">
        <f t="shared" si="16"/>
        <v>395964.78146426845</v>
      </c>
      <c r="L48" s="2081">
        <f t="shared" si="16"/>
        <v>676508.56159167551</v>
      </c>
      <c r="M48" s="1682">
        <f t="shared" si="16"/>
        <v>-179265.02555400599</v>
      </c>
      <c r="N48" s="1683">
        <f t="shared" si="16"/>
        <v>470299.52768381871</v>
      </c>
      <c r="O48" s="4032">
        <f t="shared" si="16"/>
        <v>416854.70641379058</v>
      </c>
      <c r="P48" s="2426"/>
      <c r="Q48" s="4398"/>
      <c r="R48" s="4534"/>
      <c r="S48" s="3135"/>
      <c r="T48" s="3136"/>
    </row>
    <row r="49" spans="1:20" ht="21" customHeight="1" thickBot="1">
      <c r="A49" s="7081" t="s">
        <v>1307</v>
      </c>
      <c r="B49" s="7083"/>
      <c r="C49" s="3952">
        <f>+C16+C48</f>
        <v>2021187.0013827705</v>
      </c>
      <c r="D49" s="5059">
        <f t="shared" ref="D49:N49" si="17">D48+D16</f>
        <v>3095553.9984836956</v>
      </c>
      <c r="E49" s="5505">
        <f t="shared" si="17"/>
        <v>1915186.9899740866</v>
      </c>
      <c r="F49" s="3952">
        <f t="shared" si="17"/>
        <v>3115360.9249283979</v>
      </c>
      <c r="G49" s="5059">
        <f>G48+G16</f>
        <v>2610207.083614585</v>
      </c>
      <c r="H49" s="1606">
        <f t="shared" si="17"/>
        <v>2133897.2080932194</v>
      </c>
      <c r="I49" s="1605">
        <f t="shared" si="17"/>
        <v>1828451.6557727959</v>
      </c>
      <c r="J49" s="1605">
        <f t="shared" si="17"/>
        <v>2117193.4844224155</v>
      </c>
      <c r="K49" s="1606">
        <f t="shared" si="17"/>
        <v>2513158.2658866839</v>
      </c>
      <c r="L49" s="1604">
        <f t="shared" si="17"/>
        <v>3189666.8274783595</v>
      </c>
      <c r="M49" s="1605">
        <f t="shared" si="17"/>
        <v>3010401.8019243535</v>
      </c>
      <c r="N49" s="1606">
        <f t="shared" si="17"/>
        <v>3480701.3296081722</v>
      </c>
      <c r="O49" s="4033">
        <f>+O16+O48</f>
        <v>3480701.3296081726</v>
      </c>
      <c r="P49" s="2426"/>
      <c r="Q49" s="4398"/>
      <c r="T49" s="3136"/>
    </row>
    <row r="50" spans="1:20" ht="21" customHeight="1" thickBot="1">
      <c r="A50" s="7081" t="s">
        <v>1308</v>
      </c>
      <c r="B50" s="7083"/>
      <c r="C50" s="3952">
        <f>C46</f>
        <v>100000</v>
      </c>
      <c r="D50" s="5059">
        <f>C50+D46</f>
        <v>200000</v>
      </c>
      <c r="E50" s="5505">
        <f t="shared" ref="E50:N50" si="18">D50+E46</f>
        <v>300000</v>
      </c>
      <c r="F50" s="3952">
        <f t="shared" si="18"/>
        <v>400000</v>
      </c>
      <c r="G50" s="5012">
        <f t="shared" si="18"/>
        <v>500000</v>
      </c>
      <c r="H50" s="1777">
        <f t="shared" si="18"/>
        <v>600000</v>
      </c>
      <c r="I50" s="2295">
        <f t="shared" si="18"/>
        <v>700000</v>
      </c>
      <c r="J50" s="1605">
        <f t="shared" si="18"/>
        <v>800000</v>
      </c>
      <c r="K50" s="1606">
        <f t="shared" si="18"/>
        <v>900000</v>
      </c>
      <c r="L50" s="1604">
        <f t="shared" si="18"/>
        <v>1000000</v>
      </c>
      <c r="M50" s="1605">
        <f t="shared" si="18"/>
        <v>1100000</v>
      </c>
      <c r="N50" s="1606">
        <f t="shared" si="18"/>
        <v>1200000</v>
      </c>
      <c r="O50" s="4033">
        <f>N50</f>
        <v>1200000</v>
      </c>
      <c r="P50" s="2426"/>
      <c r="Q50" s="4398"/>
      <c r="T50" s="3136"/>
    </row>
    <row r="51" spans="1:20" ht="21" customHeight="1" thickBot="1">
      <c r="A51" s="7081" t="s">
        <v>1309</v>
      </c>
      <c r="B51" s="7083"/>
      <c r="C51" s="3952">
        <f>C50+C49</f>
        <v>2121187.0013827705</v>
      </c>
      <c r="D51" s="5059">
        <f>D50+D49</f>
        <v>3295553.9984836956</v>
      </c>
      <c r="E51" s="5505">
        <f t="shared" ref="E51:N51" si="19">E50+E49</f>
        <v>2215186.9899740866</v>
      </c>
      <c r="F51" s="3952">
        <f t="shared" si="19"/>
        <v>3515360.9249283979</v>
      </c>
      <c r="G51" s="5012">
        <f t="shared" si="19"/>
        <v>3110207.083614585</v>
      </c>
      <c r="H51" s="1777">
        <f t="shared" si="19"/>
        <v>2733897.2080932194</v>
      </c>
      <c r="I51" s="2295">
        <f t="shared" si="19"/>
        <v>2528451.6557727959</v>
      </c>
      <c r="J51" s="1605">
        <f t="shared" si="19"/>
        <v>2917193.4844224155</v>
      </c>
      <c r="K51" s="1606">
        <f t="shared" si="19"/>
        <v>3413158.2658866839</v>
      </c>
      <c r="L51" s="1604">
        <f t="shared" si="19"/>
        <v>4189666.8274783595</v>
      </c>
      <c r="M51" s="1605">
        <f t="shared" si="19"/>
        <v>4110401.8019243535</v>
      </c>
      <c r="N51" s="1606">
        <f t="shared" si="19"/>
        <v>4680701.3296081722</v>
      </c>
      <c r="O51" s="4033">
        <f>O49+O50</f>
        <v>4680701.3296081722</v>
      </c>
      <c r="P51" s="2426"/>
      <c r="Q51" s="4398"/>
      <c r="T51" s="3136"/>
    </row>
    <row r="52" spans="1:20" s="3325" customFormat="1" ht="16.350000000000001" customHeight="1">
      <c r="A52" s="3297"/>
      <c r="B52" s="3323"/>
      <c r="C52" s="6333">
        <f>SUM(C26:C32)</f>
        <v>2371393.0017692298</v>
      </c>
      <c r="D52" s="6333">
        <f t="shared" ref="D52:N52" si="20">SUM(D26:D32)</f>
        <v>2017095.6235192306</v>
      </c>
      <c r="E52" s="6333">
        <f t="shared" si="20"/>
        <v>2673134.3851153869</v>
      </c>
      <c r="F52" s="6333">
        <f t="shared" si="20"/>
        <v>1068354.383153846</v>
      </c>
      <c r="G52" s="6333">
        <f>SUM(G26:G32)</f>
        <v>1838180.7770384615</v>
      </c>
      <c r="H52" s="6333">
        <f t="shared" si="20"/>
        <v>2036046.6972293742</v>
      </c>
      <c r="I52" s="6333">
        <f t="shared" si="20"/>
        <v>2765397.4320480302</v>
      </c>
      <c r="J52" s="6333">
        <f t="shared" si="20"/>
        <v>2628703.4520906238</v>
      </c>
      <c r="K52" s="6333">
        <f t="shared" si="20"/>
        <v>2496686.4304158688</v>
      </c>
      <c r="L52" s="6333">
        <f t="shared" si="20"/>
        <v>1731864.7040659599</v>
      </c>
      <c r="M52" s="6333">
        <f t="shared" si="20"/>
        <v>2043921.1778663925</v>
      </c>
      <c r="N52" s="6333">
        <f t="shared" si="20"/>
        <v>1335818.0567961051</v>
      </c>
      <c r="O52" s="1837"/>
      <c r="P52" s="3324"/>
    </row>
    <row r="53" spans="1:20" s="3325" customFormat="1" ht="16.350000000000001" customHeight="1" thickBot="1">
      <c r="A53" s="3326" t="s">
        <v>1182</v>
      </c>
      <c r="B53" s="3323"/>
      <c r="C53" s="4526"/>
      <c r="D53" s="4526"/>
      <c r="E53" s="5545"/>
      <c r="F53" s="6062"/>
      <c r="G53" s="6062"/>
      <c r="H53" s="3643"/>
      <c r="I53" s="3642"/>
      <c r="J53" s="3322"/>
      <c r="K53" s="3322"/>
      <c r="L53" s="1837"/>
      <c r="M53" s="1837"/>
      <c r="N53" s="1837"/>
      <c r="O53" s="1837"/>
      <c r="P53" s="3324"/>
    </row>
    <row r="54" spans="1:20" ht="20.100000000000001" customHeight="1" thickBot="1">
      <c r="A54" s="7549" t="s">
        <v>794</v>
      </c>
      <c r="B54" s="7550"/>
      <c r="C54" s="4527" t="s">
        <v>930</v>
      </c>
      <c r="D54" s="5060" t="s">
        <v>1134</v>
      </c>
      <c r="E54" s="5546" t="s">
        <v>558</v>
      </c>
      <c r="F54" s="4527" t="s">
        <v>508</v>
      </c>
      <c r="G54" s="5060" t="s">
        <v>509</v>
      </c>
      <c r="H54" s="3682" t="s">
        <v>559</v>
      </c>
      <c r="I54" s="3677" t="s">
        <v>611</v>
      </c>
      <c r="J54" s="3172" t="s">
        <v>510</v>
      </c>
      <c r="K54" s="3173" t="s">
        <v>511</v>
      </c>
      <c r="L54" s="3686" t="s">
        <v>409</v>
      </c>
      <c r="M54" s="3172" t="s">
        <v>410</v>
      </c>
      <c r="N54" s="3682" t="s">
        <v>411</v>
      </c>
      <c r="O54" s="3166" t="s">
        <v>30</v>
      </c>
    </row>
    <row r="55" spans="1:20" ht="20.100000000000001" customHeight="1">
      <c r="A55" s="7551" t="s">
        <v>1135</v>
      </c>
      <c r="B55" s="7552"/>
      <c r="C55" s="4528">
        <f t="shared" ref="C55:N55" si="21">C17+C18+C20+C23</f>
        <v>3970756.2256923076</v>
      </c>
      <c r="D55" s="5061">
        <f t="shared" si="21"/>
        <v>4440130.487115385</v>
      </c>
      <c r="E55" s="5547">
        <f t="shared" si="21"/>
        <v>3144784.4502692302</v>
      </c>
      <c r="F55" s="6953">
        <f t="shared" si="21"/>
        <v>4532884.4511538465</v>
      </c>
      <c r="G55" s="5061">
        <f t="shared" si="21"/>
        <v>3863691.3867873307</v>
      </c>
      <c r="H55" s="3683">
        <f t="shared" si="21"/>
        <v>4210506.2506923079</v>
      </c>
      <c r="I55" s="3678">
        <f t="shared" si="21"/>
        <v>4216043.9115330148</v>
      </c>
      <c r="J55" s="3169">
        <f t="shared" si="21"/>
        <v>4330652.9017872941</v>
      </c>
      <c r="K55" s="3170">
        <f t="shared" si="21"/>
        <v>4500559.8410294494</v>
      </c>
      <c r="L55" s="3687">
        <f t="shared" si="21"/>
        <v>3740925.9725090382</v>
      </c>
      <c r="M55" s="3169">
        <f t="shared" si="21"/>
        <v>3297500.0405098726</v>
      </c>
      <c r="N55" s="3683">
        <f t="shared" si="21"/>
        <v>3869173.2826631847</v>
      </c>
      <c r="O55" s="3171"/>
    </row>
    <row r="56" spans="1:20" ht="20.100000000000001" customHeight="1">
      <c r="A56" s="7553" t="s">
        <v>1136</v>
      </c>
      <c r="B56" s="7554"/>
      <c r="C56" s="4529">
        <f>C26+C28+C29+C30+C31+C43+C35+C36+C39</f>
        <v>2238665.5356538454</v>
      </c>
      <c r="D56" s="5062">
        <f t="shared" ref="D56:N56" si="22">D26+D28+D29+D30+D31+D43+D35+D36+D39</f>
        <v>1512975.5881346154</v>
      </c>
      <c r="E56" s="5548">
        <f t="shared" si="22"/>
        <v>2576784.9601923102</v>
      </c>
      <c r="F56" s="6954">
        <f>F26+F28+F29+F30+F31+F35+F36+F39</f>
        <v>817489.8038461539</v>
      </c>
      <c r="G56" s="6521">
        <f>G26+G28+G29+G30+G31+G35+G36+G39</f>
        <v>1261734.1035384615</v>
      </c>
      <c r="H56" s="3684">
        <f t="shared" si="22"/>
        <v>2312366.9210012658</v>
      </c>
      <c r="I56" s="3679">
        <f t="shared" si="22"/>
        <v>2285188.1059606303</v>
      </c>
      <c r="J56" s="3130">
        <f t="shared" si="22"/>
        <v>1722491.0915088675</v>
      </c>
      <c r="K56" s="3165">
        <f t="shared" si="22"/>
        <v>1789602.4390364902</v>
      </c>
      <c r="L56" s="3688">
        <f t="shared" si="22"/>
        <v>1584247.4296691746</v>
      </c>
      <c r="M56" s="3649">
        <f t="shared" si="22"/>
        <v>1357525.7926823171</v>
      </c>
      <c r="N56" s="3684">
        <f t="shared" si="22"/>
        <v>1248686.1139808386</v>
      </c>
      <c r="O56" s="3167"/>
    </row>
    <row r="57" spans="1:20" ht="20.100000000000001" customHeight="1">
      <c r="A57" s="7553" t="s">
        <v>1137</v>
      </c>
      <c r="B57" s="7554"/>
      <c r="C57" s="4530">
        <f>'7. E Plan'!G9+'7. E Plan'!G11+'7. E Plan'!G12+'7. E Plan'!G13+'7. E Plan'!G14+'7. E Plan'!G16+'7. E Plan'!G17+'7. E Plan'!G18+'7. E Plan'!G19+'7. E Plan'!G20+'7. E Plan'!G21+'7. E Plan'!G22+'7. E Plan'!G46+'7. E Plan'!G47+'7. E Plan'!G48+'7. E Plan'!G49+'7. E Plan'!G50+'7. E Plan'!G51+'7. E Plan'!G52+'7. E Plan'!G53+'7. E Plan'!G54+'7. E Plan'!G57+'7. E Plan'!G60+'7. E Plan'!G61+'7. E Plan'!G62+'7. E Plan'!G63+'7. E Plan'!G64+'7. E Plan'!G65+'7. E Plan'!G66+'7. E Plan'!G67</f>
        <v>1891881.2635600455</v>
      </c>
      <c r="D57" s="5063">
        <f>'7. E Plan'!H9+'7. E Plan'!H11+'7. E Plan'!H12+'7. E Plan'!H13+'7. E Plan'!H14+'7. E Plan'!H16+'7. E Plan'!H17+'7. E Plan'!H18+'7. E Plan'!H19+'7. E Plan'!H20+'7. E Plan'!H21+'7. E Plan'!H22+'7. E Plan'!H46+'7. E Plan'!H47+'7. E Plan'!H48+'7. E Plan'!H49+'7. E Plan'!H50+'7. E Plan'!H51+'7. E Plan'!H52+'7. E Plan'!H53+'7. E Plan'!H54+'7. E Plan'!H57+'7. E Plan'!H60+'7. E Plan'!H61+'7. E Plan'!H62+'7. E Plan'!H63+'7. E Plan'!H64+'7. E Plan'!H65+'7. E Plan'!H66+'7. E Plan'!H67+415936.89</f>
        <v>1692987.1979215578</v>
      </c>
      <c r="E57" s="5549">
        <f>'7. E Plan'!I9+'7. E Plan'!I11+'7. E Plan'!I12+'7. E Plan'!I13+'7. E Plan'!I14+'7. E Plan'!I16+'7. E Plan'!I17+'7. E Plan'!I18+'7. E Plan'!I19+'7. E Plan'!I20+'7. E Plan'!I21+'7. E Plan'!I22+'7. E Plan'!I46+'7. E Plan'!I47+'7. E Plan'!I48+'7. E Plan'!I49+'7. E Plan'!I50+'7. E Plan'!I51+'7. E Plan'!I52+'7. E Plan'!I53+'7. E Plan'!I54+'7. E Plan'!I57+'7. E Plan'!I60+'7. E Plan'!I61+'7. E Plan'!I62+'7. E Plan'!I63+'7. E Plan'!I64+'7. E Plan'!I65+'7. E Plan'!I66+'7. E Plan'!I67</f>
        <v>1947023.9549933993</v>
      </c>
      <c r="F57" s="6955">
        <f>'7. E Plan'!J9+'7. E Plan'!J11+'7. E Plan'!J12+'7. E Plan'!J13+'7. E Plan'!J14+'7. E Plan'!J16+'7. E Plan'!J17+'7. E Plan'!J18+'7. E Plan'!J19+'7. E Plan'!J20+'7. E Plan'!J21+'7. E Plan'!J22+'7. E Plan'!J46+'7. E Plan'!J47+'7. E Plan'!J48+'7. E Plan'!J49+'7. E Plan'!J50+'7. E Plan'!J51+'7. E Plan'!J52+'7. E Plan'!J53+'7. E Plan'!J54+'7. E Plan'!J57+'7. E Plan'!J60+'7. E Plan'!J61+'7. E Plan'!J62+'7. E Plan'!J63+'7. E Plan'!J64+'7. E Plan'!J65+'7. E Plan'!J66+'7. E Plan'!J67</f>
        <v>1549799.2469532073</v>
      </c>
      <c r="G57" s="6522">
        <f>'7. E Plan'!K9+'7. E Plan'!K11+'7. E Plan'!K12+'7. E Plan'!K13+'7. E Plan'!K14+'7. E Plan'!K16+'7. E Plan'!K17+'7. E Plan'!K18+'7. E Plan'!K19+'7. E Plan'!K20+'7. E Plan'!K21+'7. E Plan'!K22+'7. E Plan'!K46+'7. E Plan'!K47+'7. E Plan'!K48+'7. E Plan'!K49+'7. E Plan'!K50+'7. E Plan'!K51+'7. E Plan'!K52+'7. E Plan'!K53+'7. E Plan'!K54+'7. E Plan'!K57+'7. E Plan'!K60+'7. E Plan'!K61+'7. E Plan'!K62+'7. E Plan'!K63+'7. E Plan'!K64+'7. E Plan'!K65+'7. E Plan'!K66+'7. E Plan'!K67-145314</f>
        <v>1807002.1541452107</v>
      </c>
      <c r="H57" s="3685">
        <f>'7. E Plan'!L9+'7. E Plan'!L11+'7. E Plan'!L12+'7. E Plan'!L13+'7. E Plan'!L14+'7. E Plan'!L16+'7. E Plan'!L17+'7. E Plan'!L18+'7. E Plan'!L19+'7. E Plan'!L20+'7. E Plan'!L21+'7. E Plan'!L22+'7. E Plan'!L46+'7. E Plan'!L47+'7. E Plan'!L48+'7. E Plan'!L49+'7. E Plan'!L50+'7. E Plan'!L51+'7. E Plan'!L52+'7. E Plan'!L53+'7. E Plan'!L54+'7. E Plan'!L57+'7. E Plan'!L60+'7. E Plan'!L61+'7. E Plan'!L62+'7. E Plan'!L63+'7. E Plan'!L64+'7. E Plan'!L65+'7. E Plan'!L66+'7. E Plan'!L67</f>
        <v>1755680.9380516671</v>
      </c>
      <c r="I57" s="3680">
        <f>'7. E Plan'!M9+'7. E Plan'!M11+'7. E Plan'!M12+'7. E Plan'!M13+'7. E Plan'!M14+'7. E Plan'!M16+'7. E Plan'!M17+'7. E Plan'!M18+'7. E Plan'!M19+'7. E Plan'!M20+'7. E Plan'!M21+'7. E Plan'!M22+'7. E Plan'!M46+'7. E Plan'!M47+'7. E Plan'!M48+'7. E Plan'!M49+'7. E Plan'!M50+'7. E Plan'!M51+'7. E Plan'!M52+'7. E Plan'!M53+'7. E Plan'!M54+'7. E Plan'!M57+'7. E Plan'!M60+'7. E Plan'!M61+'7. E Plan'!M62+'7. E Plan'!M63+'7. E Plan'!M64+'7. E Plan'!M65+'7. E Plan'!M66+'7. E Plan'!M67</f>
        <v>1827972.0609582462</v>
      </c>
      <c r="J57" s="3129">
        <f>'7. E Plan'!N9+'7. E Plan'!N11+'7. E Plan'!N12+'7. E Plan'!N13+'7. E Plan'!N14+'7. E Plan'!N16+'7. E Plan'!N17+'7. E Plan'!N18+'7. E Plan'!N19+'7. E Plan'!N20+'7. E Plan'!N21+'7. E Plan'!N22+'7. E Plan'!N46+'7. E Plan'!N47+'7. E Plan'!N48+'7. E Plan'!N49+'7. E Plan'!N50+'7. E Plan'!N51+'7. E Plan'!N52+'7. E Plan'!N53+'7. E Plan'!N54+'7. E Plan'!N57+'7. E Plan'!N60+'7. E Plan'!N61+'7. E Plan'!N62+'7. E Plan'!N63+'7. E Plan'!N64+'7. E Plan'!N65+'7. E Plan'!N66+'7. E Plan'!N67</f>
        <v>1616133.7456311097</v>
      </c>
      <c r="K57" s="3164">
        <f>'7. E Plan'!O9+'7. E Plan'!O11+'7. E Plan'!O12+'7. E Plan'!O13+'7. E Plan'!O14+'7. E Plan'!O16+'7. E Plan'!O17+'7. E Plan'!O18+'7. E Plan'!O19+'7. E Plan'!O20+'7. E Plan'!O21+'7. E Plan'!O22+'7. E Plan'!O46+'7. E Plan'!O47+'7. E Plan'!O48+'7. E Plan'!O49+'7. E Plan'!O50+'7. E Plan'!O51+'7. E Plan'!O52+'7. E Plan'!O53+'7. E Plan'!O54+'7. E Plan'!O57+'7. E Plan'!O60+'7. E Plan'!O61+'7. E Plan'!O62+'7. E Plan'!O63+'7. E Plan'!O64+'7. E Plan'!O65+'7. E Plan'!O66+'7. E Plan'!O67</f>
        <v>1388814.2795533428</v>
      </c>
      <c r="L57" s="3689">
        <f>'7. E Plan'!P9+'7. E Plan'!P11+'7. E Plan'!P12+'7. E Plan'!P13+'7. E Plan'!P14+'7. E Plan'!P16+'7. E Plan'!P17+'7. E Plan'!P18+'7. E Plan'!P19+'7. E Plan'!P20+'7. E Plan'!P21+'7. E Plan'!P22+'7. E Plan'!P46+'7. E Plan'!P47+'7. E Plan'!P48+'7. E Plan'!P49+'7. E Plan'!P50+'7. E Plan'!P51+'7. E Plan'!P52+'7. E Plan'!P53+'7. E Plan'!P54+'7. E Plan'!P57+'7. E Plan'!P60+'7. E Plan'!P61+'7. E Plan'!P62+'7. E Plan'!P63+'7. E Plan'!P64+'7. E Plan'!P65+'7. E Plan'!P66+'7. E Plan'!P67</f>
        <v>1281211.6496145467</v>
      </c>
      <c r="M57" s="3650">
        <f>'7. E Plan'!Q9+'7. E Plan'!Q11+'7. E Plan'!Q12+'7. E Plan'!Q13+'7. E Plan'!Q14+'7. E Plan'!Q16+'7. E Plan'!Q17+'7. E Plan'!Q18+'7. E Plan'!Q19+'7. E Plan'!Q20+'7. E Plan'!Q21+'7. E Plan'!Q22+'7. E Plan'!Q46+'7. E Plan'!Q47+'7. E Plan'!Q48+'7. E Plan'!Q49+'7. E Plan'!Q50+'7. E Plan'!Q51+'7. E Plan'!Q52+'7. E Plan'!Q53+'7. E Plan'!Q54+'7. E Plan'!Q57+'7. E Plan'!Q60+'7. E Plan'!Q61+'7. E Plan'!Q62+'7. E Plan'!Q63+'7. E Plan'!Q64+'7. E Plan'!Q65+'7. E Plan'!Q66+'7. E Plan'!Q67</f>
        <v>1317373.5908163949</v>
      </c>
      <c r="N57" s="3685">
        <f>'7. E Plan'!R9+'7. E Plan'!R11+'7. E Plan'!R12+'7. E Plan'!R13+'7. E Plan'!R14+'7. E Plan'!R16+'7. E Plan'!R17+'7. E Plan'!R18+'7. E Plan'!R19+'7. E Plan'!R20+'7. E Plan'!R21+'7. E Plan'!R22+'7. E Plan'!R46+'7. E Plan'!R47+'7. E Plan'!R48+'7. E Plan'!R49+'7. E Plan'!R50+'7. E Plan'!R51+'7. E Plan'!R52+'7. E Plan'!R53+'7. E Plan'!R54+'7. E Plan'!R57+'7. E Plan'!R60+'7. E Plan'!R61+'7. E Plan'!R62+'7. E Plan'!R63+'7. E Plan'!R64+'7. E Plan'!R65+'7. E Plan'!R66+'7. E Plan'!R67</f>
        <v>1336683.1917334413</v>
      </c>
      <c r="O57" s="3167"/>
    </row>
    <row r="58" spans="1:20" ht="20.100000000000001" customHeight="1" thickBot="1">
      <c r="A58" s="7553" t="s">
        <v>1138</v>
      </c>
      <c r="B58" s="7554"/>
      <c r="C58" s="4530">
        <f>C56-C57</f>
        <v>346784.2720937999</v>
      </c>
      <c r="D58" s="5063">
        <f t="shared" ref="D58:N58" si="23">D56-D57</f>
        <v>-180011.60978694237</v>
      </c>
      <c r="E58" s="5549">
        <f t="shared" si="23"/>
        <v>629761.00519891083</v>
      </c>
      <c r="F58" s="6956">
        <f>+F43</f>
        <v>862520.26957692299</v>
      </c>
      <c r="G58" s="6957">
        <f>+G43</f>
        <v>1083007.3466538461</v>
      </c>
      <c r="H58" s="3685">
        <f t="shared" si="23"/>
        <v>556685.98294959869</v>
      </c>
      <c r="I58" s="3680">
        <f t="shared" si="23"/>
        <v>457216.04500238411</v>
      </c>
      <c r="J58" s="3129">
        <f t="shared" si="23"/>
        <v>106357.34587775776</v>
      </c>
      <c r="K58" s="3164">
        <f t="shared" si="23"/>
        <v>400788.15948314732</v>
      </c>
      <c r="L58" s="3689">
        <f t="shared" si="23"/>
        <v>303035.78005462792</v>
      </c>
      <c r="M58" s="3650">
        <f t="shared" si="23"/>
        <v>40152.201865922194</v>
      </c>
      <c r="N58" s="3685">
        <f t="shared" si="23"/>
        <v>-87997.077752602752</v>
      </c>
      <c r="O58" s="3167"/>
    </row>
    <row r="59" spans="1:20" ht="20.100000000000001" customHeight="1" thickBot="1">
      <c r="A59" s="7555" t="s">
        <v>1139</v>
      </c>
      <c r="B59" s="7556"/>
      <c r="C59" s="4531">
        <f>B60-C56+C57</f>
        <v>9317919.9802161977</v>
      </c>
      <c r="D59" s="5064">
        <f t="shared" ref="D59:N59" si="24">C59-D56+D57</f>
        <v>9497931.5900031403</v>
      </c>
      <c r="E59" s="5550">
        <f t="shared" si="24"/>
        <v>8868170.5848042294</v>
      </c>
      <c r="F59" s="4635">
        <f t="shared" si="24"/>
        <v>9600480.0279112831</v>
      </c>
      <c r="G59" s="5064">
        <f t="shared" si="24"/>
        <v>10145748.078518033</v>
      </c>
      <c r="H59" s="1702">
        <f t="shared" si="24"/>
        <v>9589062.0955684334</v>
      </c>
      <c r="I59" s="3681">
        <f t="shared" si="24"/>
        <v>9131846.0505660493</v>
      </c>
      <c r="J59" s="3168">
        <f t="shared" si="24"/>
        <v>9025488.704688292</v>
      </c>
      <c r="K59" s="1791">
        <f t="shared" si="24"/>
        <v>8624700.5452051442</v>
      </c>
      <c r="L59" s="3371">
        <f t="shared" si="24"/>
        <v>8321664.7651505163</v>
      </c>
      <c r="M59" s="3168">
        <f t="shared" si="24"/>
        <v>8281512.5632845946</v>
      </c>
      <c r="N59" s="1702">
        <f t="shared" si="24"/>
        <v>8369509.6410371969</v>
      </c>
      <c r="O59" s="3166"/>
    </row>
    <row r="60" spans="1:20" ht="20.100000000000001" customHeight="1" thickBot="1">
      <c r="A60" s="1922" t="s">
        <v>1370</v>
      </c>
      <c r="B60" s="3648">
        <v>9664704.2523099985</v>
      </c>
      <c r="C60" s="4526"/>
      <c r="D60" s="4526"/>
      <c r="E60" s="4526"/>
      <c r="F60" s="4526"/>
      <c r="G60" s="4526"/>
      <c r="H60" s="3131"/>
      <c r="I60" s="3131"/>
      <c r="J60" s="3131"/>
      <c r="K60" s="3131"/>
    </row>
    <row r="61" spans="1:20" ht="20.100000000000001" customHeight="1">
      <c r="A61" s="7557" t="s">
        <v>1140</v>
      </c>
      <c r="B61" s="7558"/>
      <c r="C61" s="4532">
        <f t="shared" ref="C61:N61" si="25">C57/C55</f>
        <v>0.47645364158062686</v>
      </c>
      <c r="D61" s="5065">
        <f t="shared" si="25"/>
        <v>0.38129221716216705</v>
      </c>
      <c r="E61" s="5551">
        <f t="shared" si="25"/>
        <v>0.6191279516237469</v>
      </c>
      <c r="F61" s="6063">
        <f t="shared" si="25"/>
        <v>0.34190133537569123</v>
      </c>
      <c r="G61" s="5065">
        <f t="shared" si="25"/>
        <v>0.46768801471168681</v>
      </c>
      <c r="H61" s="3692">
        <f t="shared" si="25"/>
        <v>0.41697620987096057</v>
      </c>
      <c r="I61" s="3690">
        <f t="shared" si="25"/>
        <v>0.4335751949731399</v>
      </c>
      <c r="J61" s="3174">
        <f t="shared" si="25"/>
        <v>0.37318477889653051</v>
      </c>
      <c r="K61" s="3176">
        <f t="shared" si="25"/>
        <v>0.30858700441935866</v>
      </c>
      <c r="L61" s="3694">
        <f t="shared" si="25"/>
        <v>0.34248516517829897</v>
      </c>
      <c r="M61" s="3174">
        <f t="shared" si="25"/>
        <v>0.39950677016904518</v>
      </c>
      <c r="N61" s="3692">
        <f t="shared" si="25"/>
        <v>0.34546997357879794</v>
      </c>
      <c r="O61" s="7547" t="s">
        <v>1183</v>
      </c>
    </row>
    <row r="62" spans="1:20" ht="20.100000000000001" customHeight="1" thickBot="1">
      <c r="A62" s="7559" t="s">
        <v>1177</v>
      </c>
      <c r="B62" s="7560"/>
      <c r="C62" s="4533">
        <f t="shared" ref="C62:N62" si="26">C59/C4</f>
        <v>2.5531141724889324</v>
      </c>
      <c r="D62" s="5066">
        <f t="shared" si="26"/>
        <v>3.0215403579260691</v>
      </c>
      <c r="E62" s="5552">
        <f t="shared" si="26"/>
        <v>2.1644934102781535</v>
      </c>
      <c r="F62" s="6064">
        <f t="shared" si="26"/>
        <v>2.9133690787933055</v>
      </c>
      <c r="G62" s="5066">
        <f t="shared" si="26"/>
        <v>2.7408814642572903</v>
      </c>
      <c r="H62" s="3693">
        <f t="shared" si="26"/>
        <v>2.5440455637563613</v>
      </c>
      <c r="I62" s="3691">
        <f t="shared" si="26"/>
        <v>2.246785328531455</v>
      </c>
      <c r="J62" s="3175">
        <f t="shared" si="26"/>
        <v>2.388991215910083</v>
      </c>
      <c r="K62" s="3177">
        <f t="shared" si="26"/>
        <v>2.5976290498826287</v>
      </c>
      <c r="L62" s="3695">
        <f t="shared" si="26"/>
        <v>2.6003714098081785</v>
      </c>
      <c r="M62" s="3175">
        <f t="shared" si="26"/>
        <v>2.6235633762991686</v>
      </c>
      <c r="N62" s="3693">
        <f t="shared" si="26"/>
        <v>2.6456163783367317</v>
      </c>
      <c r="O62" s="7548"/>
    </row>
    <row r="63" spans="1:20" ht="20.100000000000001" customHeight="1">
      <c r="H63" s="1613"/>
    </row>
    <row r="64" spans="1:20" ht="20.100000000000001" hidden="1" customHeight="1">
      <c r="B64" s="2648" t="s">
        <v>1141</v>
      </c>
      <c r="C64" s="2649" t="s">
        <v>1142</v>
      </c>
      <c r="H64" s="1613"/>
    </row>
    <row r="65" spans="2:11" ht="20.100000000000001" hidden="1" customHeight="1">
      <c r="C65" s="2649" t="s">
        <v>1143</v>
      </c>
      <c r="H65" s="1613"/>
      <c r="J65" s="3132" t="s">
        <v>1144</v>
      </c>
      <c r="K65" s="1613">
        <f>O4/12*2.5</f>
        <v>8820668.308547454</v>
      </c>
    </row>
    <row r="66" spans="2:11" ht="20.100000000000001" hidden="1" customHeight="1">
      <c r="C66" s="2649" t="s">
        <v>1145</v>
      </c>
      <c r="H66" s="1613"/>
    </row>
    <row r="67" spans="2:11" ht="20.100000000000001" hidden="1" customHeight="1">
      <c r="C67" s="2649" t="s">
        <v>1146</v>
      </c>
      <c r="H67" s="1613"/>
    </row>
    <row r="68" spans="2:11" ht="20.100000000000001" hidden="1" customHeight="1">
      <c r="C68" s="2649" t="s">
        <v>1147</v>
      </c>
      <c r="H68" s="1613"/>
    </row>
    <row r="69" spans="2:11" ht="20.100000000000001" hidden="1" customHeight="1">
      <c r="H69" s="1613"/>
    </row>
    <row r="70" spans="2:11" ht="20.100000000000001" hidden="1" customHeight="1">
      <c r="B70" s="2648" t="s">
        <v>1148</v>
      </c>
      <c r="C70" s="2649" t="s">
        <v>1149</v>
      </c>
      <c r="H70" s="1613"/>
    </row>
    <row r="71" spans="2:11" ht="20.100000000000001" hidden="1" customHeight="1">
      <c r="B71" s="2648" t="s">
        <v>1150</v>
      </c>
      <c r="C71" s="2649" t="s">
        <v>1151</v>
      </c>
      <c r="H71" s="1613"/>
    </row>
    <row r="72" spans="2:11" ht="20.100000000000001" hidden="1" customHeight="1">
      <c r="B72" s="3133" t="s">
        <v>1152</v>
      </c>
      <c r="C72" s="2649" t="s">
        <v>1153</v>
      </c>
      <c r="H72" s="1613"/>
    </row>
    <row r="73" spans="2:11" ht="20.100000000000001" hidden="1" customHeight="1">
      <c r="B73" s="3133" t="s">
        <v>1154</v>
      </c>
      <c r="C73" s="2649" t="s">
        <v>1155</v>
      </c>
      <c r="H73" s="1613"/>
    </row>
    <row r="74" spans="2:11" ht="20.100000000000001" hidden="1" customHeight="1">
      <c r="H74" s="1613"/>
    </row>
    <row r="75" spans="2:11" ht="13.5" hidden="1" customHeight="1">
      <c r="B75" s="2648" t="s">
        <v>1156</v>
      </c>
      <c r="C75" s="2649" t="s">
        <v>1157</v>
      </c>
    </row>
    <row r="76" spans="2:11" ht="13.5" hidden="1" customHeight="1">
      <c r="C76" s="2649" t="s">
        <v>1158</v>
      </c>
    </row>
    <row r="77" spans="2:11" ht="13.5" hidden="1" customHeight="1">
      <c r="C77" s="2649" t="s">
        <v>1159</v>
      </c>
    </row>
    <row r="78" spans="2:11" ht="13.5" hidden="1" customHeight="1">
      <c r="C78" s="2649" t="s">
        <v>1160</v>
      </c>
    </row>
    <row r="79" spans="2:11" ht="13.5" hidden="1" customHeight="1"/>
    <row r="80" spans="2:11" ht="13.5" hidden="1" customHeight="1">
      <c r="B80" s="2648" t="s">
        <v>1161</v>
      </c>
      <c r="C80" s="2649" t="s">
        <v>1162</v>
      </c>
    </row>
    <row r="81" spans="2:3" ht="13.5" hidden="1" customHeight="1">
      <c r="C81" s="2649" t="s">
        <v>1163</v>
      </c>
    </row>
    <row r="82" spans="2:3" ht="13.5" hidden="1" customHeight="1"/>
    <row r="83" spans="2:3" ht="13.5" hidden="1" customHeight="1"/>
    <row r="84" spans="2:3" ht="13.5" hidden="1" customHeight="1"/>
    <row r="85" spans="2:3" ht="13.5" hidden="1" customHeight="1">
      <c r="B85" s="2648" t="s">
        <v>1164</v>
      </c>
      <c r="C85" s="2649" t="s">
        <v>1165</v>
      </c>
    </row>
    <row r="86" spans="2:3" ht="13.5" hidden="1" customHeight="1">
      <c r="C86" s="2649" t="s">
        <v>1166</v>
      </c>
    </row>
    <row r="87" spans="2:3" ht="13.5" hidden="1" customHeight="1"/>
  </sheetData>
  <mergeCells count="12">
    <mergeCell ref="A49:B49"/>
    <mergeCell ref="A50:B50"/>
    <mergeCell ref="A51:B51"/>
    <mergeCell ref="O61:O62"/>
    <mergeCell ref="A54:B54"/>
    <mergeCell ref="A55:B55"/>
    <mergeCell ref="A56:B56"/>
    <mergeCell ref="A57:B57"/>
    <mergeCell ref="A58:B58"/>
    <mergeCell ref="A59:B59"/>
    <mergeCell ref="A61:B61"/>
    <mergeCell ref="A62:B62"/>
  </mergeCells>
  <phoneticPr fontId="10" type="noConversion"/>
  <conditionalFormatting sqref="A3:B3 G43:N44 O43:O46 E45:N45 C46:N46 O52 L53:O53">
    <cfRule type="cellIs" dxfId="32" priority="107" operator="lessThan">
      <formula>0</formula>
    </cfRule>
  </conditionalFormatting>
  <conditionalFormatting sqref="A15:B17">
    <cfRule type="cellIs" dxfId="31" priority="130" operator="lessThan">
      <formula>0</formula>
    </cfRule>
  </conditionalFormatting>
  <conditionalFormatting sqref="B18:B24">
    <cfRule type="cellIs" dxfId="30" priority="4" operator="lessThan">
      <formula>0</formula>
    </cfRule>
  </conditionalFormatting>
  <conditionalFormatting sqref="B43:B44">
    <cfRule type="cellIs" dxfId="29" priority="72" operator="lessThan">
      <formula>0</formula>
    </cfRule>
  </conditionalFormatting>
  <conditionalFormatting sqref="C26:D45">
    <cfRule type="cellIs" dxfId="28" priority="5" operator="lessThan">
      <formula>0</formula>
    </cfRule>
  </conditionalFormatting>
  <conditionalFormatting sqref="C49:N49">
    <cfRule type="cellIs" dxfId="27" priority="69" operator="lessThan">
      <formula>600000</formula>
    </cfRule>
  </conditionalFormatting>
  <conditionalFormatting sqref="C51:N51">
    <cfRule type="cellIs" dxfId="26" priority="68" operator="lessThan">
      <formula>600000</formula>
    </cfRule>
  </conditionalFormatting>
  <conditionalFormatting sqref="C16:O25">
    <cfRule type="cellIs" dxfId="25" priority="3" operator="lessThan">
      <formula>0</formula>
    </cfRule>
  </conditionalFormatting>
  <conditionalFormatting sqref="C47:O48">
    <cfRule type="cellIs" dxfId="24" priority="70" operator="lessThan">
      <formula>0</formula>
    </cfRule>
  </conditionalFormatting>
  <conditionalFormatting sqref="C63:O78 D79:O79 C80:O1048576">
    <cfRule type="cellIs" dxfId="23" priority="74" operator="lessThan">
      <formula>0</formula>
    </cfRule>
  </conditionalFormatting>
  <conditionalFormatting sqref="E26:F44">
    <cfRule type="cellIs" dxfId="22" priority="1" operator="lessThan">
      <formula>0</formula>
    </cfRule>
  </conditionalFormatting>
  <conditionalFormatting sqref="E12:H12">
    <cfRule type="cellIs" dxfId="21" priority="111" operator="lessThan">
      <formula>0</formula>
    </cfRule>
  </conditionalFormatting>
  <conditionalFormatting sqref="F5:I5">
    <cfRule type="cellIs" dxfId="20" priority="109" operator="lessThan">
      <formula>0</formula>
    </cfRule>
  </conditionalFormatting>
  <conditionalFormatting sqref="G26:O42">
    <cfRule type="cellIs" dxfId="19" priority="7" operator="lessThan">
      <formula>0</formula>
    </cfRule>
  </conditionalFormatting>
  <conditionalFormatting sqref="L60:O60 O61">
    <cfRule type="cellIs" dxfId="18" priority="75" operator="lessThan">
      <formula>0</formula>
    </cfRule>
  </conditionalFormatting>
  <pageMargins left="0.7" right="0.7" top="0.75" bottom="0.75" header="0.3" footer="0.3"/>
  <pageSetup paperSize="9" orientation="portrait" horizontalDpi="300" verticalDpi="300" r:id="rId1"/>
  <customProperties>
    <customPr name="BudgetSheetCodeName" r:id="rId2"/>
  </customProperties>
  <ignoredErrors>
    <ignoredError sqref="O5:O12" formula="1"/>
  </ignoredErrors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O58"/>
  <sheetViews>
    <sheetView topLeftCell="A17" zoomScale="70" zoomScaleNormal="70" workbookViewId="0">
      <selection activeCell="P36" sqref="P36"/>
    </sheetView>
  </sheetViews>
  <sheetFormatPr defaultColWidth="9.09765625" defaultRowHeight="17.399999999999999"/>
  <cols>
    <col min="1" max="1" width="12.69921875" style="1507" customWidth="1"/>
    <col min="2" max="2" width="42.8984375" style="2767" bestFit="1" customWidth="1"/>
    <col min="3" max="3" width="13.3984375" style="2767" bestFit="1" customWidth="1"/>
    <col min="4" max="4" width="5" style="2768" bestFit="1" customWidth="1"/>
    <col min="5" max="5" width="11.09765625" style="1492" bestFit="1" customWidth="1"/>
    <col min="6" max="6" width="8.09765625" style="1507" bestFit="1" customWidth="1"/>
    <col min="7" max="7" width="7.69921875" style="1507" bestFit="1" customWidth="1"/>
    <col min="8" max="8" width="7.69921875" style="1507" customWidth="1"/>
    <col min="9" max="9" width="11.09765625" style="1492" customWidth="1"/>
    <col min="10" max="10" width="10" style="1507" customWidth="1"/>
    <col min="11" max="11" width="11.09765625" style="1492" customWidth="1"/>
    <col min="12" max="12" width="12.8984375" style="1492" customWidth="1"/>
    <col min="13" max="16" width="12.8984375" style="5072" customWidth="1"/>
    <col min="17" max="23" width="12.8984375" style="1492" customWidth="1"/>
    <col min="24" max="24" width="11.09765625" style="1492" customWidth="1"/>
    <col min="25" max="25" width="13.59765625" style="1492" hidden="1" customWidth="1"/>
    <col min="26" max="26" width="13.3984375" style="1492" hidden="1" customWidth="1"/>
    <col min="27" max="27" width="22.8984375" style="1492" hidden="1" customWidth="1"/>
    <col min="28" max="28" width="11.09765625" style="2941" hidden="1" customWidth="1"/>
    <col min="29" max="29" width="15.69921875" style="1507" hidden="1" customWidth="1"/>
    <col min="30" max="30" width="10.3984375" style="1507" hidden="1" customWidth="1"/>
    <col min="31" max="31" width="9.09765625" style="1492" hidden="1" customWidth="1"/>
    <col min="32" max="32" width="11" style="1492" hidden="1" customWidth="1"/>
    <col min="33" max="35" width="9.09765625" style="1492" hidden="1" customWidth="1"/>
    <col min="36" max="36" width="11.59765625" style="1492" hidden="1" customWidth="1"/>
    <col min="37" max="37" width="9.09765625" style="1492" hidden="1" customWidth="1"/>
    <col min="38" max="38" width="17.69921875" style="1492" hidden="1" customWidth="1"/>
    <col min="39" max="39" width="15.09765625" style="1492" bestFit="1" customWidth="1"/>
    <col min="40" max="16384" width="9.09765625" style="1492"/>
  </cols>
  <sheetData>
    <row r="1" spans="1:39" ht="19.2">
      <c r="A1" s="2647" t="s">
        <v>1828</v>
      </c>
    </row>
    <row r="3" spans="1:39" ht="18" thickBot="1">
      <c r="A3" s="2769" t="s">
        <v>1829</v>
      </c>
      <c r="E3" s="2770"/>
      <c r="F3" s="2771"/>
      <c r="G3" s="2771"/>
      <c r="H3" s="2771"/>
      <c r="I3" s="2770"/>
      <c r="J3" s="2771"/>
      <c r="K3" s="1492" t="s">
        <v>1830</v>
      </c>
      <c r="L3" s="2770"/>
      <c r="M3" s="2770"/>
      <c r="N3" s="2770"/>
      <c r="O3" s="2770"/>
      <c r="P3" s="2770"/>
      <c r="Q3" s="2770"/>
      <c r="R3" s="2770"/>
      <c r="S3" s="2770"/>
      <c r="T3" s="2770"/>
      <c r="U3" s="2770"/>
      <c r="V3" s="2770"/>
      <c r="W3" s="2770"/>
      <c r="X3" s="1785" t="s">
        <v>1831</v>
      </c>
      <c r="Y3" s="1896"/>
    </row>
    <row r="4" spans="1:39" s="1618" customFormat="1" ht="45.75" customHeight="1" thickBot="1">
      <c r="A4" s="7390" t="s">
        <v>1832</v>
      </c>
      <c r="B4" s="7391"/>
      <c r="C4" s="74" t="s">
        <v>523</v>
      </c>
      <c r="D4" s="65" t="s">
        <v>515</v>
      </c>
      <c r="E4" s="1700" t="s">
        <v>524</v>
      </c>
      <c r="F4" s="4219" t="s">
        <v>525</v>
      </c>
      <c r="G4" s="4221" t="s">
        <v>1393</v>
      </c>
      <c r="H4" s="1995" t="s">
        <v>1392</v>
      </c>
      <c r="I4" s="1700" t="s">
        <v>1372</v>
      </c>
      <c r="J4" s="1680" t="s">
        <v>1833</v>
      </c>
      <c r="K4" s="1680" t="s">
        <v>1332</v>
      </c>
      <c r="L4" s="4757" t="s">
        <v>1292</v>
      </c>
      <c r="M4" s="5005" t="s">
        <v>1293</v>
      </c>
      <c r="N4" s="5494" t="s">
        <v>1294</v>
      </c>
      <c r="O4" s="4490" t="s">
        <v>1295</v>
      </c>
      <c r="P4" s="5005" t="s">
        <v>1296</v>
      </c>
      <c r="Q4" s="1540" t="s">
        <v>1297</v>
      </c>
      <c r="R4" s="1539" t="s">
        <v>1298</v>
      </c>
      <c r="S4" s="74" t="s">
        <v>1299</v>
      </c>
      <c r="T4" s="1540" t="s">
        <v>1300</v>
      </c>
      <c r="U4" s="1539" t="s">
        <v>1301</v>
      </c>
      <c r="V4" s="74" t="s">
        <v>1302</v>
      </c>
      <c r="W4" s="1540" t="s">
        <v>1303</v>
      </c>
      <c r="X4" s="1541" t="s">
        <v>1304</v>
      </c>
      <c r="Y4" s="4190" t="s">
        <v>1445</v>
      </c>
      <c r="Z4" s="1492" t="s">
        <v>1394</v>
      </c>
      <c r="AB4" s="2425"/>
      <c r="AC4" s="6065" t="s">
        <v>1436</v>
      </c>
      <c r="AD4" s="6066" t="s">
        <v>1453</v>
      </c>
      <c r="AE4" s="6067" t="s">
        <v>1486</v>
      </c>
      <c r="AF4" s="6066" t="s">
        <v>1487</v>
      </c>
      <c r="AG4" s="6068" t="s">
        <v>1488</v>
      </c>
    </row>
    <row r="5" spans="1:39" s="1618" customFormat="1" ht="19.5" customHeight="1">
      <c r="A5" s="7563"/>
      <c r="B5" s="54" t="s">
        <v>1834</v>
      </c>
      <c r="C5" s="1764" t="s">
        <v>526</v>
      </c>
      <c r="D5" s="60">
        <v>5</v>
      </c>
      <c r="E5" s="60">
        <v>383327.0307692308</v>
      </c>
      <c r="F5" s="6045">
        <v>48</v>
      </c>
      <c r="G5" s="2773">
        <v>8.1000000000000003E-2</v>
      </c>
      <c r="H5" s="4041">
        <v>8.1000000000000003E-2</v>
      </c>
      <c r="I5" s="60">
        <v>53002.092000000019</v>
      </c>
      <c r="J5" s="2279">
        <v>8305.42</v>
      </c>
      <c r="K5" s="3179">
        <f>ROUND((I5-X5),0)</f>
        <v>0</v>
      </c>
      <c r="L5" s="4551">
        <v>8305.42</v>
      </c>
      <c r="M5" s="5073">
        <v>8305.42</v>
      </c>
      <c r="N5" s="5498">
        <v>8305.42</v>
      </c>
      <c r="O5" s="4551">
        <v>8305.42</v>
      </c>
      <c r="P5" s="5073">
        <v>8305.42</v>
      </c>
      <c r="Q5" s="1555">
        <f>8305.42+3170</f>
        <v>11475.42</v>
      </c>
      <c r="R5" s="4114"/>
      <c r="S5" s="4136"/>
      <c r="T5" s="4113"/>
      <c r="U5" s="4114"/>
      <c r="V5" s="4136"/>
      <c r="W5" s="4113"/>
      <c r="X5" s="1654">
        <f t="shared" ref="X5:X10" si="0">SUM(L5:W5)</f>
        <v>53002.52</v>
      </c>
      <c r="Y5" s="1613"/>
      <c r="AB5" s="2425"/>
      <c r="AC5" s="2182"/>
      <c r="AD5" s="2182"/>
    </row>
    <row r="6" spans="1:39" s="1618" customFormat="1" ht="19.5" customHeight="1">
      <c r="A6" s="7563"/>
      <c r="B6" s="54" t="s">
        <v>527</v>
      </c>
      <c r="C6" s="1764" t="s">
        <v>528</v>
      </c>
      <c r="D6" s="60">
        <v>1</v>
      </c>
      <c r="E6" s="60">
        <v>80769.230769230766</v>
      </c>
      <c r="F6" s="6045">
        <v>48</v>
      </c>
      <c r="G6" s="2773">
        <v>8.1000000000000003E-2</v>
      </c>
      <c r="H6" s="4041">
        <v>8.1000000000000003E-2</v>
      </c>
      <c r="I6" s="60">
        <v>21000</v>
      </c>
      <c r="J6" s="2279">
        <v>1750</v>
      </c>
      <c r="K6" s="3179">
        <f t="shared" ref="K6:K7" si="1">ROUND((I6-X6),0)</f>
        <v>0</v>
      </c>
      <c r="L6" s="4551">
        <v>1750</v>
      </c>
      <c r="M6" s="5073">
        <v>1750</v>
      </c>
      <c r="N6" s="5498">
        <v>1750</v>
      </c>
      <c r="O6" s="4551">
        <v>1750</v>
      </c>
      <c r="P6" s="5073">
        <v>1750</v>
      </c>
      <c r="Q6" s="1555">
        <v>1750</v>
      </c>
      <c r="R6" s="1553">
        <v>1750</v>
      </c>
      <c r="S6" s="1599">
        <v>1750</v>
      </c>
      <c r="T6" s="1555">
        <v>1750</v>
      </c>
      <c r="U6" s="1553">
        <v>1750</v>
      </c>
      <c r="V6" s="1599">
        <v>1750</v>
      </c>
      <c r="W6" s="1555">
        <v>1750</v>
      </c>
      <c r="X6" s="1654">
        <f t="shared" si="0"/>
        <v>21000</v>
      </c>
      <c r="Y6" s="1613"/>
      <c r="AB6" s="2425"/>
      <c r="AC6" s="2182"/>
      <c r="AD6" s="2182"/>
    </row>
    <row r="7" spans="1:39" s="1618" customFormat="1" ht="19.5" customHeight="1">
      <c r="A7" s="7563"/>
      <c r="B7" s="54" t="s">
        <v>514</v>
      </c>
      <c r="C7" s="1764" t="s">
        <v>529</v>
      </c>
      <c r="D7" s="60">
        <v>40</v>
      </c>
      <c r="E7" s="60">
        <v>242307.69230769231</v>
      </c>
      <c r="F7" s="6045">
        <v>48</v>
      </c>
      <c r="G7" s="2773">
        <v>8.1000000000000003E-2</v>
      </c>
      <c r="H7" s="4041">
        <v>8.1000000000000003E-2</v>
      </c>
      <c r="I7" s="60">
        <v>63000</v>
      </c>
      <c r="J7" s="2279">
        <f>+I7/12</f>
        <v>5250</v>
      </c>
      <c r="K7" s="3179">
        <f t="shared" si="1"/>
        <v>0</v>
      </c>
      <c r="L7" s="4551">
        <v>5250</v>
      </c>
      <c r="M7" s="5073">
        <v>5250</v>
      </c>
      <c r="N7" s="5498">
        <v>5250</v>
      </c>
      <c r="O7" s="4551">
        <v>5250</v>
      </c>
      <c r="P7" s="5006">
        <v>5250</v>
      </c>
      <c r="Q7" s="1555">
        <v>5250</v>
      </c>
      <c r="R7" s="1553">
        <v>5250</v>
      </c>
      <c r="S7" s="1554">
        <v>5250</v>
      </c>
      <c r="T7" s="1555">
        <v>5250</v>
      </c>
      <c r="U7" s="1553">
        <v>5250</v>
      </c>
      <c r="V7" s="1554">
        <v>5250</v>
      </c>
      <c r="W7" s="1555">
        <v>5250</v>
      </c>
      <c r="X7" s="1654">
        <f t="shared" si="0"/>
        <v>63000</v>
      </c>
      <c r="Y7" s="1613"/>
      <c r="AB7" s="2425"/>
      <c r="AC7" s="2182"/>
      <c r="AD7" s="2182"/>
    </row>
    <row r="8" spans="1:39" s="1618" customFormat="1" ht="19.5" customHeight="1">
      <c r="A8" s="7563"/>
      <c r="B8" s="54" t="s">
        <v>530</v>
      </c>
      <c r="C8" s="1764" t="s">
        <v>531</v>
      </c>
      <c r="D8" s="60">
        <v>1</v>
      </c>
      <c r="E8" s="60">
        <v>32560.595192307694</v>
      </c>
      <c r="F8" s="6045">
        <v>48</v>
      </c>
      <c r="G8" s="2773">
        <v>8.1000000000000003E-2</v>
      </c>
      <c r="H8" s="4041">
        <v>8.1000000000000003E-2</v>
      </c>
      <c r="I8" s="60">
        <v>11994.378999999994</v>
      </c>
      <c r="J8" s="2279">
        <v>705.44000000000017</v>
      </c>
      <c r="K8" s="1647">
        <f t="shared" ref="K8:K10" si="2">I8-X8</f>
        <v>0</v>
      </c>
      <c r="L8" s="4551">
        <v>705.44</v>
      </c>
      <c r="M8" s="5073">
        <v>705.44</v>
      </c>
      <c r="N8" s="5498">
        <v>705.44</v>
      </c>
      <c r="O8" s="4551">
        <v>705.44</v>
      </c>
      <c r="P8" s="5073">
        <v>705.44</v>
      </c>
      <c r="Q8" s="1555">
        <v>705.44</v>
      </c>
      <c r="R8" s="1553">
        <v>705.44</v>
      </c>
      <c r="S8" s="1599">
        <v>705.44</v>
      </c>
      <c r="T8" s="1555">
        <v>705.44</v>
      </c>
      <c r="U8" s="1553">
        <v>705.44</v>
      </c>
      <c r="V8" s="1599">
        <v>705.44</v>
      </c>
      <c r="W8" s="5975">
        <v>4234.5389999999916</v>
      </c>
      <c r="X8" s="1654">
        <f t="shared" si="0"/>
        <v>11994.378999999994</v>
      </c>
      <c r="Y8" s="1613"/>
      <c r="AB8" s="2425"/>
      <c r="AC8" s="2182"/>
      <c r="AD8" s="2182"/>
    </row>
    <row r="9" spans="1:39" s="1618" customFormat="1" ht="19.5" customHeight="1">
      <c r="A9" s="7563"/>
      <c r="B9" s="54" t="s">
        <v>1381</v>
      </c>
      <c r="C9" s="1764" t="s">
        <v>1383</v>
      </c>
      <c r="D9" s="60">
        <v>2</v>
      </c>
      <c r="E9" s="60">
        <v>172544.37869822484</v>
      </c>
      <c r="F9" s="6045">
        <v>48</v>
      </c>
      <c r="G9" s="2773">
        <v>7.8E-2</v>
      </c>
      <c r="H9" s="4041">
        <v>7.8E-2</v>
      </c>
      <c r="I9" s="4037">
        <f>+E9-J9</f>
        <v>168949.70414201182</v>
      </c>
      <c r="J9" s="1938">
        <f>+E9/F9</f>
        <v>3594.6745562130177</v>
      </c>
      <c r="K9" s="1647">
        <f t="shared" si="2"/>
        <v>0</v>
      </c>
      <c r="L9" s="4551">
        <f>+J9</f>
        <v>3594.6745562130177</v>
      </c>
      <c r="M9" s="5073">
        <f>+L9</f>
        <v>3594.6745562130177</v>
      </c>
      <c r="N9" s="5498">
        <f t="shared" ref="N9:V10" si="3">+M9</f>
        <v>3594.6745562130177</v>
      </c>
      <c r="O9" s="4551">
        <f t="shared" si="3"/>
        <v>3594.6745562130177</v>
      </c>
      <c r="P9" s="5073">
        <f t="shared" si="3"/>
        <v>3594.6745562130177</v>
      </c>
      <c r="Q9" s="1555">
        <f t="shared" si="3"/>
        <v>3594.6745562130177</v>
      </c>
      <c r="R9" s="1553">
        <f t="shared" si="3"/>
        <v>3594.6745562130177</v>
      </c>
      <c r="S9" s="1599">
        <f t="shared" si="3"/>
        <v>3594.6745562130177</v>
      </c>
      <c r="T9" s="1555">
        <f t="shared" si="3"/>
        <v>3594.6745562130177</v>
      </c>
      <c r="U9" s="1553">
        <f t="shared" si="3"/>
        <v>3594.6745562130177</v>
      </c>
      <c r="V9" s="1599">
        <f t="shared" si="3"/>
        <v>3594.6745562130177</v>
      </c>
      <c r="W9" s="5975">
        <v>129408.28402366863</v>
      </c>
      <c r="X9" s="1654">
        <f t="shared" si="0"/>
        <v>168949.70414201182</v>
      </c>
      <c r="Y9" s="1613"/>
      <c r="Z9" s="1618">
        <v>21507195038.25</v>
      </c>
      <c r="AA9" s="1618">
        <f>+Z9/26000</f>
        <v>827199.80916346156</v>
      </c>
      <c r="AB9" s="2425"/>
      <c r="AC9" s="2182"/>
      <c r="AD9" s="2182"/>
    </row>
    <row r="10" spans="1:39" s="1618" customFormat="1" ht="19.5" customHeight="1">
      <c r="A10" s="7563"/>
      <c r="B10" s="54" t="s">
        <v>1382</v>
      </c>
      <c r="C10" s="1764" t="s">
        <v>1383</v>
      </c>
      <c r="D10" s="60">
        <v>1</v>
      </c>
      <c r="E10" s="60">
        <v>120872.50961538461</v>
      </c>
      <c r="F10" s="6045">
        <v>48</v>
      </c>
      <c r="G10" s="2773">
        <v>7.8E-2</v>
      </c>
      <c r="H10" s="4041">
        <v>7.8E-2</v>
      </c>
      <c r="I10" s="4037">
        <f>+E10-J10</f>
        <v>118354.33233173077</v>
      </c>
      <c r="J10" s="1938">
        <f>+E10/F10</f>
        <v>2518.1772836538462</v>
      </c>
      <c r="K10" s="1647">
        <f t="shared" si="2"/>
        <v>0</v>
      </c>
      <c r="L10" s="4551">
        <f>+J10</f>
        <v>2518.1772836538462</v>
      </c>
      <c r="M10" s="5073">
        <f>+L10</f>
        <v>2518.1772836538462</v>
      </c>
      <c r="N10" s="5498">
        <f>+M10-565</f>
        <v>1953.1772836538462</v>
      </c>
      <c r="O10" s="4551">
        <f t="shared" si="3"/>
        <v>1953.1772836538462</v>
      </c>
      <c r="P10" s="5073">
        <f t="shared" si="3"/>
        <v>1953.1772836538462</v>
      </c>
      <c r="Q10" s="1555">
        <f t="shared" si="3"/>
        <v>1953.1772836538462</v>
      </c>
      <c r="R10" s="1553">
        <f t="shared" si="3"/>
        <v>1953.1772836538462</v>
      </c>
      <c r="S10" s="1599">
        <f t="shared" si="3"/>
        <v>1953.1772836538462</v>
      </c>
      <c r="T10" s="1555">
        <f t="shared" si="3"/>
        <v>1953.1772836538462</v>
      </c>
      <c r="U10" s="1553">
        <f t="shared" si="3"/>
        <v>1953.1772836538462</v>
      </c>
      <c r="V10" s="1599">
        <f t="shared" si="3"/>
        <v>1953.1772836538462</v>
      </c>
      <c r="W10" s="5975">
        <v>95739.382211538454</v>
      </c>
      <c r="X10" s="1654">
        <f t="shared" si="0"/>
        <v>118354.33233173077</v>
      </c>
      <c r="Y10" s="1613"/>
      <c r="AB10" s="2425"/>
      <c r="AC10" s="2182"/>
      <c r="AD10" s="2182"/>
      <c r="AK10" s="1618" t="s">
        <v>1440</v>
      </c>
    </row>
    <row r="11" spans="1:39" s="2249" customFormat="1" ht="19.5" customHeight="1">
      <c r="A11" s="7564"/>
      <c r="B11" s="6069" t="s">
        <v>1835</v>
      </c>
      <c r="C11" s="6070"/>
      <c r="D11" s="6071"/>
      <c r="E11" s="6071">
        <f>SUM(E5:E10)</f>
        <v>1032381.4373520709</v>
      </c>
      <c r="F11" s="6072"/>
      <c r="G11" s="6073"/>
      <c r="H11" s="6074"/>
      <c r="I11" s="6071">
        <f t="shared" ref="I11:K11" si="4">SUM(I5:I10)</f>
        <v>436300.50747374259</v>
      </c>
      <c r="J11" s="6075">
        <f t="shared" si="4"/>
        <v>22123.711839866864</v>
      </c>
      <c r="K11" s="6076">
        <f t="shared" si="4"/>
        <v>0</v>
      </c>
      <c r="L11" s="6077">
        <f>SUM(L5:L10)</f>
        <v>22123.711839866864</v>
      </c>
      <c r="M11" s="6078">
        <f t="shared" ref="M11:X11" si="5">SUM(M5:M10)</f>
        <v>22123.711839866864</v>
      </c>
      <c r="N11" s="6079">
        <f>SUM(N5:N10)</f>
        <v>21558.711839866864</v>
      </c>
      <c r="O11" s="6078">
        <f t="shared" si="5"/>
        <v>21558.711839866864</v>
      </c>
      <c r="P11" s="6115">
        <f t="shared" si="5"/>
        <v>21558.711839866864</v>
      </c>
      <c r="Q11" s="6076">
        <f t="shared" si="5"/>
        <v>24728.711839866861</v>
      </c>
      <c r="R11" s="6081">
        <f t="shared" si="5"/>
        <v>13253.291839866864</v>
      </c>
      <c r="S11" s="6080">
        <f t="shared" si="5"/>
        <v>13253.291839866864</v>
      </c>
      <c r="T11" s="6076">
        <f t="shared" si="5"/>
        <v>13253.291839866864</v>
      </c>
      <c r="U11" s="6081">
        <f t="shared" si="5"/>
        <v>13253.291839866864</v>
      </c>
      <c r="V11" s="6080">
        <f t="shared" si="5"/>
        <v>13253.291839866864</v>
      </c>
      <c r="W11" s="6076">
        <f t="shared" si="5"/>
        <v>236382.2052352071</v>
      </c>
      <c r="X11" s="6082">
        <f t="shared" si="5"/>
        <v>436300.93547374255</v>
      </c>
      <c r="Y11" s="2267"/>
      <c r="AB11" s="6083" t="s">
        <v>1437</v>
      </c>
      <c r="AC11" s="6084" t="s">
        <v>1438</v>
      </c>
      <c r="AD11" s="6084" t="s">
        <v>1452</v>
      </c>
      <c r="AE11" s="6085" t="s">
        <v>1297</v>
      </c>
      <c r="AF11" s="6085" t="s">
        <v>1298</v>
      </c>
      <c r="AG11" s="6085" t="s">
        <v>1299</v>
      </c>
      <c r="AH11" s="6085" t="s">
        <v>1300</v>
      </c>
      <c r="AI11" s="6085" t="s">
        <v>1301</v>
      </c>
      <c r="AJ11" s="6085" t="s">
        <v>1302</v>
      </c>
      <c r="AK11" s="6085" t="s">
        <v>1303</v>
      </c>
    </row>
    <row r="12" spans="1:39" s="1618" customFormat="1" ht="19.5" customHeight="1">
      <c r="A12" s="6086" t="s">
        <v>532</v>
      </c>
      <c r="B12" s="6087" t="s">
        <v>518</v>
      </c>
      <c r="C12" s="6088" t="s">
        <v>520</v>
      </c>
      <c r="D12" s="6089">
        <v>5</v>
      </c>
      <c r="E12" s="6089">
        <v>109976.91141346154</v>
      </c>
      <c r="F12" s="6090">
        <v>48</v>
      </c>
      <c r="G12" s="6091">
        <v>8.6400000000000005E-2</v>
      </c>
      <c r="H12" s="6092">
        <v>9.0700000000000003E-2</v>
      </c>
      <c r="I12" s="6089">
        <f>1727553983.27239/26000</f>
        <v>66444.383972014999</v>
      </c>
      <c r="J12" s="6093">
        <f>+E12/F12</f>
        <v>2291.1856544471152</v>
      </c>
      <c r="K12" s="6094">
        <f t="shared" ref="K12:K23" si="6">I12-X12</f>
        <v>0.27004533230501693</v>
      </c>
      <c r="L12" s="6049">
        <f>+J12</f>
        <v>2291.1856544471152</v>
      </c>
      <c r="M12" s="5074">
        <f t="shared" ref="M12:W23" si="7">+L12</f>
        <v>2291.1856544471152</v>
      </c>
      <c r="N12" s="5497">
        <f t="shared" si="7"/>
        <v>2291.1856544471152</v>
      </c>
      <c r="O12" s="6049">
        <f t="shared" si="7"/>
        <v>2291.1856544471152</v>
      </c>
      <c r="P12" s="5839">
        <f t="shared" si="7"/>
        <v>2291.1856544471152</v>
      </c>
      <c r="Q12" s="6095">
        <f>+P12+52697</f>
        <v>54988.185654447116</v>
      </c>
      <c r="R12" s="6096"/>
      <c r="S12" s="6097"/>
      <c r="T12" s="6098"/>
      <c r="U12" s="6099"/>
      <c r="V12" s="6097"/>
      <c r="W12" s="6098"/>
      <c r="X12" s="6100">
        <f t="shared" ref="X12:X23" si="8">SUM(L12:W12)</f>
        <v>66444.113926682694</v>
      </c>
      <c r="Y12" s="4173" t="s">
        <v>1446</v>
      </c>
      <c r="Z12" s="4120" t="s">
        <v>1384</v>
      </c>
      <c r="AA12" s="4178" t="s">
        <v>1431</v>
      </c>
      <c r="AB12" s="4121">
        <v>18</v>
      </c>
      <c r="AC12" s="4122">
        <f t="shared" ref="AC12:AC23" si="9">+F12-AB12</f>
        <v>30</v>
      </c>
      <c r="AD12" s="4122"/>
      <c r="AE12" s="4123">
        <f>+AB12+6</f>
        <v>24</v>
      </c>
      <c r="AF12" s="4124">
        <f>+AE12+1</f>
        <v>25</v>
      </c>
      <c r="AG12" s="4124">
        <f t="shared" ref="AG12:AK12" si="10">+AF12+1</f>
        <v>26</v>
      </c>
      <c r="AH12" s="4124">
        <f t="shared" si="10"/>
        <v>27</v>
      </c>
      <c r="AI12" s="4124">
        <f t="shared" si="10"/>
        <v>28</v>
      </c>
      <c r="AJ12" s="4124">
        <f t="shared" si="10"/>
        <v>29</v>
      </c>
      <c r="AK12" s="4124">
        <f t="shared" si="10"/>
        <v>30</v>
      </c>
      <c r="AL12" s="2425"/>
      <c r="AM12" s="1613"/>
    </row>
    <row r="13" spans="1:39" s="1618" customFormat="1" ht="19.5" customHeight="1">
      <c r="A13" s="2205"/>
      <c r="B13" s="2026" t="s">
        <v>519</v>
      </c>
      <c r="C13" s="6044" t="s">
        <v>520</v>
      </c>
      <c r="D13" s="6043">
        <v>51</v>
      </c>
      <c r="E13" s="6043">
        <v>717222.89775</v>
      </c>
      <c r="F13" s="4207">
        <v>48</v>
      </c>
      <c r="G13" s="4210">
        <v>8.6400000000000005E-2</v>
      </c>
      <c r="H13" s="4150">
        <v>9.0700000000000003E-2</v>
      </c>
      <c r="I13" s="6043">
        <f>11266376350.9776/26000</f>
        <v>433322.16734529228</v>
      </c>
      <c r="J13" s="4151">
        <f t="shared" ref="J13:J22" si="11">+E13/F13</f>
        <v>14942.143703125001</v>
      </c>
      <c r="K13" s="3598">
        <f t="shared" si="6"/>
        <v>0.30512654228368774</v>
      </c>
      <c r="L13" s="4515">
        <f>+J13</f>
        <v>14942.143703125001</v>
      </c>
      <c r="M13" s="5075">
        <f t="shared" si="7"/>
        <v>14942.143703125001</v>
      </c>
      <c r="N13" s="5524">
        <f t="shared" si="7"/>
        <v>14942.143703125001</v>
      </c>
      <c r="O13" s="4515">
        <f t="shared" si="7"/>
        <v>14942.143703125001</v>
      </c>
      <c r="P13" s="5054">
        <f t="shared" si="7"/>
        <v>14942.143703125001</v>
      </c>
      <c r="Q13" s="4205">
        <f>+P13+343669</f>
        <v>358611.14370312501</v>
      </c>
      <c r="R13" s="4202"/>
      <c r="S13" s="4194"/>
      <c r="T13" s="4195"/>
      <c r="U13" s="4193"/>
      <c r="V13" s="4194"/>
      <c r="W13" s="4195"/>
      <c r="X13" s="4153">
        <f t="shared" si="8"/>
        <v>433321.86221875</v>
      </c>
      <c r="Y13" s="4179" t="s">
        <v>1446</v>
      </c>
      <c r="Z13" s="4180" t="s">
        <v>1384</v>
      </c>
      <c r="AA13" s="4181" t="s">
        <v>1431</v>
      </c>
      <c r="AB13" s="4125">
        <v>18</v>
      </c>
      <c r="AC13" s="4126">
        <f t="shared" si="9"/>
        <v>30</v>
      </c>
      <c r="AD13" s="4126"/>
      <c r="AE13" s="4127">
        <f t="shared" ref="AE13:AE23" si="12">+AB13+6</f>
        <v>24</v>
      </c>
      <c r="AF13" s="4128">
        <f t="shared" ref="AF13:AK23" si="13">+AE13+1</f>
        <v>25</v>
      </c>
      <c r="AG13" s="4128">
        <f t="shared" si="13"/>
        <v>26</v>
      </c>
      <c r="AH13" s="4128">
        <f t="shared" si="13"/>
        <v>27</v>
      </c>
      <c r="AI13" s="4128">
        <f t="shared" si="13"/>
        <v>28</v>
      </c>
      <c r="AJ13" s="4128">
        <f t="shared" si="13"/>
        <v>29</v>
      </c>
      <c r="AK13" s="4128">
        <f t="shared" si="13"/>
        <v>30</v>
      </c>
      <c r="AL13" s="2425"/>
    </row>
    <row r="14" spans="1:39" s="1618" customFormat="1" ht="19.5" customHeight="1">
      <c r="A14" s="2205"/>
      <c r="B14" s="4216" t="s">
        <v>518</v>
      </c>
      <c r="C14" s="3575" t="s">
        <v>521</v>
      </c>
      <c r="D14" s="6042">
        <v>2</v>
      </c>
      <c r="E14" s="6042">
        <v>52487.199430961533</v>
      </c>
      <c r="F14" s="4220">
        <v>60</v>
      </c>
      <c r="G14" s="4222">
        <v>9.0399999999999994E-2</v>
      </c>
      <c r="H14" s="4217">
        <v>9.3299999999999994E-2</v>
      </c>
      <c r="I14" s="6042">
        <v>35271.398017606167</v>
      </c>
      <c r="J14" s="4218">
        <f>+E14/F14</f>
        <v>874.78665718269224</v>
      </c>
      <c r="K14" s="4103">
        <f t="shared" si="6"/>
        <v>0.13294742927973857</v>
      </c>
      <c r="L14" s="4769">
        <f>820.265070176888+34451</f>
        <v>35271.265070176887</v>
      </c>
      <c r="M14" s="5076"/>
      <c r="N14" s="5525"/>
      <c r="O14" s="6101"/>
      <c r="P14" s="6513"/>
      <c r="Q14" s="4198"/>
      <c r="R14" s="4196"/>
      <c r="S14" s="4197"/>
      <c r="T14" s="4198"/>
      <c r="U14" s="4196"/>
      <c r="V14" s="4197"/>
      <c r="W14" s="4198"/>
      <c r="X14" s="1654">
        <f t="shared" si="8"/>
        <v>35271.265070176887</v>
      </c>
      <c r="Y14" s="4174" t="s">
        <v>1447</v>
      </c>
      <c r="Z14" s="4176" t="s">
        <v>1385</v>
      </c>
      <c r="AA14" s="4177" t="s">
        <v>1432</v>
      </c>
      <c r="AB14" s="4125">
        <v>17</v>
      </c>
      <c r="AC14" s="4126">
        <f t="shared" si="9"/>
        <v>43</v>
      </c>
      <c r="AD14" s="4126">
        <f>+K14*2%</f>
        <v>2.6589485855947714E-3</v>
      </c>
      <c r="AE14" s="4127">
        <f t="shared" si="12"/>
        <v>23</v>
      </c>
      <c r="AF14" s="4159">
        <f t="shared" si="13"/>
        <v>24</v>
      </c>
      <c r="AG14" s="4128">
        <f t="shared" si="13"/>
        <v>25</v>
      </c>
      <c r="AH14" s="4128">
        <f t="shared" si="13"/>
        <v>26</v>
      </c>
      <c r="AI14" s="4128">
        <f t="shared" si="13"/>
        <v>27</v>
      </c>
      <c r="AJ14" s="4128">
        <f t="shared" si="13"/>
        <v>28</v>
      </c>
      <c r="AK14" s="4128">
        <f t="shared" si="13"/>
        <v>29</v>
      </c>
      <c r="AL14" s="2425"/>
    </row>
    <row r="15" spans="1:39" s="1618" customFormat="1" ht="19.5" customHeight="1">
      <c r="A15" s="2205"/>
      <c r="B15" s="2026" t="s">
        <v>519</v>
      </c>
      <c r="C15" s="6044" t="s">
        <v>975</v>
      </c>
      <c r="D15" s="6043">
        <v>25</v>
      </c>
      <c r="E15" s="6043">
        <v>576744.41894711542</v>
      </c>
      <c r="F15" s="4207">
        <v>60</v>
      </c>
      <c r="G15" s="4210">
        <v>9.0399999999999994E-2</v>
      </c>
      <c r="H15" s="4150">
        <v>9.3299999999999994E-2</v>
      </c>
      <c r="I15" s="6043">
        <v>405190.7347835477</v>
      </c>
      <c r="J15" s="4151">
        <f>+E15/F15</f>
        <v>9612.4069824519229</v>
      </c>
      <c r="K15" s="3598">
        <f t="shared" si="6"/>
        <v>4.6566128730773926E-10</v>
      </c>
      <c r="L15" s="4769">
        <f>9666.92858366927+395523.806199878</f>
        <v>405190.73478354723</v>
      </c>
      <c r="M15" s="5076"/>
      <c r="N15" s="5525"/>
      <c r="O15" s="6101"/>
      <c r="P15" s="6513"/>
      <c r="Q15" s="4198"/>
      <c r="R15" s="4196"/>
      <c r="S15" s="4197"/>
      <c r="T15" s="4198"/>
      <c r="U15" s="4196"/>
      <c r="V15" s="4197"/>
      <c r="W15" s="4198"/>
      <c r="X15" s="1654">
        <f t="shared" si="8"/>
        <v>405190.73478354723</v>
      </c>
      <c r="Y15" s="4184" t="s">
        <v>1447</v>
      </c>
      <c r="Z15" s="4185" t="s">
        <v>1385</v>
      </c>
      <c r="AA15" s="4186" t="s">
        <v>1432</v>
      </c>
      <c r="AB15" s="4125">
        <v>17</v>
      </c>
      <c r="AC15" s="4126">
        <f t="shared" si="9"/>
        <v>43</v>
      </c>
      <c r="AD15" s="4126">
        <f t="shared" ref="AD15:AD18" si="14">+K15*2%</f>
        <v>9.3132257461547854E-12</v>
      </c>
      <c r="AE15" s="4127">
        <f t="shared" si="12"/>
        <v>23</v>
      </c>
      <c r="AF15" s="4159">
        <f t="shared" si="13"/>
        <v>24</v>
      </c>
      <c r="AG15" s="4128">
        <f t="shared" si="13"/>
        <v>25</v>
      </c>
      <c r="AH15" s="4128">
        <f t="shared" si="13"/>
        <v>26</v>
      </c>
      <c r="AI15" s="4128">
        <f t="shared" si="13"/>
        <v>27</v>
      </c>
      <c r="AJ15" s="4128">
        <f t="shared" si="13"/>
        <v>28</v>
      </c>
      <c r="AK15" s="4128">
        <f t="shared" si="13"/>
        <v>29</v>
      </c>
      <c r="AL15" s="2425"/>
    </row>
    <row r="16" spans="1:39" s="1618" customFormat="1" ht="19.5" customHeight="1">
      <c r="A16" s="2205"/>
      <c r="B16" s="4216" t="s">
        <v>974</v>
      </c>
      <c r="C16" s="3575" t="s">
        <v>975</v>
      </c>
      <c r="D16" s="6042">
        <v>2</v>
      </c>
      <c r="E16" s="6042">
        <v>61135.464544615381</v>
      </c>
      <c r="F16" s="4220">
        <v>48</v>
      </c>
      <c r="G16" s="4222">
        <v>8.7800000000000003E-2</v>
      </c>
      <c r="H16" s="4217">
        <v>9.0700000000000003E-2</v>
      </c>
      <c r="I16" s="6042">
        <v>37903.988017661548</v>
      </c>
      <c r="J16" s="4218">
        <f t="shared" si="11"/>
        <v>1273.6555113461538</v>
      </c>
      <c r="K16" s="4103">
        <f t="shared" si="6"/>
        <v>0</v>
      </c>
      <c r="L16" s="4770">
        <f>1184.49962555192+36719.4883921096</f>
        <v>37903.988017661519</v>
      </c>
      <c r="M16" s="5077"/>
      <c r="N16" s="5526"/>
      <c r="O16" s="6102"/>
      <c r="P16" s="6514"/>
      <c r="Q16" s="4201"/>
      <c r="R16" s="4199"/>
      <c r="S16" s="4200"/>
      <c r="T16" s="4201"/>
      <c r="U16" s="4199"/>
      <c r="V16" s="4200"/>
      <c r="W16" s="4201"/>
      <c r="X16" s="4156">
        <f t="shared" si="8"/>
        <v>37903.988017661519</v>
      </c>
      <c r="Y16" s="4175" t="s">
        <v>1447</v>
      </c>
      <c r="Z16" s="4182" t="s">
        <v>1386</v>
      </c>
      <c r="AA16" s="4183" t="s">
        <v>1433</v>
      </c>
      <c r="AB16" s="4125">
        <v>17</v>
      </c>
      <c r="AC16" s="4126">
        <f t="shared" si="9"/>
        <v>31</v>
      </c>
      <c r="AD16" s="4126">
        <f t="shared" si="14"/>
        <v>0</v>
      </c>
      <c r="AE16" s="4127">
        <f t="shared" si="12"/>
        <v>23</v>
      </c>
      <c r="AF16" s="4159">
        <f t="shared" si="13"/>
        <v>24</v>
      </c>
      <c r="AG16" s="4128">
        <f t="shared" si="13"/>
        <v>25</v>
      </c>
      <c r="AH16" s="4128">
        <f t="shared" si="13"/>
        <v>26</v>
      </c>
      <c r="AI16" s="4128">
        <f t="shared" si="13"/>
        <v>27</v>
      </c>
      <c r="AJ16" s="4128">
        <f t="shared" si="13"/>
        <v>28</v>
      </c>
      <c r="AK16" s="4128">
        <f t="shared" si="13"/>
        <v>29</v>
      </c>
      <c r="AL16" s="2425"/>
    </row>
    <row r="17" spans="1:41" s="1618" customFormat="1" ht="19.5" customHeight="1">
      <c r="A17" s="2205"/>
      <c r="B17" s="54" t="s">
        <v>976</v>
      </c>
      <c r="C17" s="1764" t="s">
        <v>975</v>
      </c>
      <c r="D17" s="60">
        <v>5</v>
      </c>
      <c r="E17" s="60">
        <v>73207.187307692308</v>
      </c>
      <c r="F17" s="6045">
        <v>48</v>
      </c>
      <c r="G17" s="2773">
        <v>8.7800000000000003E-2</v>
      </c>
      <c r="H17" s="4041">
        <v>9.0700000000000003E-2</v>
      </c>
      <c r="I17" s="60">
        <v>45658.516130769211</v>
      </c>
      <c r="J17" s="2279">
        <f t="shared" si="11"/>
        <v>1525.1497355769231</v>
      </c>
      <c r="K17" s="1647">
        <f t="shared" si="6"/>
        <v>0</v>
      </c>
      <c r="L17" s="4769">
        <f>1426.82862908654+44231.6875016827</f>
        <v>45658.516130769247</v>
      </c>
      <c r="M17" s="5076"/>
      <c r="N17" s="5525"/>
      <c r="O17" s="6101"/>
      <c r="P17" s="6513"/>
      <c r="Q17" s="4198"/>
      <c r="R17" s="4196"/>
      <c r="S17" s="4197"/>
      <c r="T17" s="4198"/>
      <c r="U17" s="4196"/>
      <c r="V17" s="4197"/>
      <c r="W17" s="4198"/>
      <c r="X17" s="1654">
        <f t="shared" si="8"/>
        <v>45658.516130769247</v>
      </c>
      <c r="Y17" s="4175" t="s">
        <v>1447</v>
      </c>
      <c r="Z17" s="4129" t="s">
        <v>1386</v>
      </c>
      <c r="AA17" s="4130" t="s">
        <v>1433</v>
      </c>
      <c r="AB17" s="4125">
        <v>17</v>
      </c>
      <c r="AC17" s="4126">
        <f t="shared" si="9"/>
        <v>31</v>
      </c>
      <c r="AD17" s="4126">
        <f t="shared" si="14"/>
        <v>0</v>
      </c>
      <c r="AE17" s="4127">
        <f t="shared" si="12"/>
        <v>23</v>
      </c>
      <c r="AF17" s="4159">
        <f t="shared" si="13"/>
        <v>24</v>
      </c>
      <c r="AG17" s="4128">
        <f t="shared" si="13"/>
        <v>25</v>
      </c>
      <c r="AH17" s="4128">
        <f t="shared" si="13"/>
        <v>26</v>
      </c>
      <c r="AI17" s="4128">
        <f t="shared" si="13"/>
        <v>27</v>
      </c>
      <c r="AJ17" s="4128">
        <f t="shared" si="13"/>
        <v>28</v>
      </c>
      <c r="AK17" s="4128">
        <f t="shared" si="13"/>
        <v>29</v>
      </c>
      <c r="AL17" s="2425"/>
    </row>
    <row r="18" spans="1:41" s="1618" customFormat="1" ht="19.5" customHeight="1">
      <c r="A18" s="2205"/>
      <c r="B18" s="2026" t="s">
        <v>977</v>
      </c>
      <c r="C18" s="6044" t="s">
        <v>975</v>
      </c>
      <c r="D18" s="6043">
        <v>1</v>
      </c>
      <c r="E18" s="6043">
        <v>27692.307692307691</v>
      </c>
      <c r="F18" s="4207">
        <v>48</v>
      </c>
      <c r="G18" s="4210">
        <v>8.7800000000000003E-2</v>
      </c>
      <c r="H18" s="4150">
        <v>9.0700000000000003E-2</v>
      </c>
      <c r="I18" s="6043">
        <v>21085.074011569232</v>
      </c>
      <c r="J18" s="4151">
        <f t="shared" si="11"/>
        <v>576.92307692307691</v>
      </c>
      <c r="K18" s="3598">
        <f t="shared" si="6"/>
        <v>0</v>
      </c>
      <c r="L18" s="4771">
        <f>764.400053053846+20320.6739585154</f>
        <v>21085.074011569246</v>
      </c>
      <c r="M18" s="5078"/>
      <c r="N18" s="5527"/>
      <c r="O18" s="6103"/>
      <c r="P18" s="6515"/>
      <c r="Q18" s="4195"/>
      <c r="R18" s="4193"/>
      <c r="S18" s="4194"/>
      <c r="T18" s="4195"/>
      <c r="U18" s="4196"/>
      <c r="V18" s="4197"/>
      <c r="W18" s="4198"/>
      <c r="X18" s="1654">
        <f t="shared" si="8"/>
        <v>21085.074011569246</v>
      </c>
      <c r="Y18" s="4187" t="s">
        <v>1447</v>
      </c>
      <c r="Z18" s="4188" t="s">
        <v>1386</v>
      </c>
      <c r="AA18" s="4189" t="s">
        <v>1433</v>
      </c>
      <c r="AB18" s="4125">
        <v>17</v>
      </c>
      <c r="AC18" s="4126">
        <f t="shared" si="9"/>
        <v>31</v>
      </c>
      <c r="AD18" s="4203">
        <f t="shared" si="14"/>
        <v>0</v>
      </c>
      <c r="AE18" s="4131">
        <f t="shared" si="12"/>
        <v>23</v>
      </c>
      <c r="AF18" s="4160">
        <f t="shared" si="13"/>
        <v>24</v>
      </c>
      <c r="AG18" s="4133">
        <f t="shared" si="13"/>
        <v>25</v>
      </c>
      <c r="AH18" s="4133">
        <f t="shared" si="13"/>
        <v>26</v>
      </c>
      <c r="AI18" s="4133">
        <f t="shared" si="13"/>
        <v>27</v>
      </c>
      <c r="AJ18" s="4133">
        <f t="shared" si="13"/>
        <v>28</v>
      </c>
      <c r="AK18" s="4133">
        <f t="shared" si="13"/>
        <v>29</v>
      </c>
      <c r="AL18" s="2425"/>
    </row>
    <row r="19" spans="1:41" s="1618" customFormat="1" ht="19.5" customHeight="1">
      <c r="A19" s="2205"/>
      <c r="B19" s="2026" t="s">
        <v>806</v>
      </c>
      <c r="C19" s="6044" t="s">
        <v>807</v>
      </c>
      <c r="D19" s="6043">
        <v>1</v>
      </c>
      <c r="E19" s="6043">
        <f>4354311864/26000</f>
        <v>167473.53323076924</v>
      </c>
      <c r="F19" s="4207">
        <v>60</v>
      </c>
      <c r="G19" s="4210">
        <v>8.8400000000000006E-2</v>
      </c>
      <c r="H19" s="4154">
        <v>9.1300000000000006E-2</v>
      </c>
      <c r="I19" s="4155">
        <f>3193162034/26000</f>
        <v>122813.92438461538</v>
      </c>
      <c r="J19" s="4151">
        <f t="shared" si="11"/>
        <v>2791.2255538461541</v>
      </c>
      <c r="K19" s="3598">
        <f t="shared" si="6"/>
        <v>-1.3846150250174105E-4</v>
      </c>
      <c r="L19" s="4515">
        <f t="shared" ref="L19:L22" si="15">+J19</f>
        <v>2791.2255538461541</v>
      </c>
      <c r="M19" s="5075">
        <f t="shared" si="7"/>
        <v>2791.2255538461541</v>
      </c>
      <c r="N19" s="5524">
        <f t="shared" si="7"/>
        <v>2791.2255538461541</v>
      </c>
      <c r="O19" s="4515">
        <f t="shared" si="7"/>
        <v>2791.2255538461541</v>
      </c>
      <c r="P19" s="5054">
        <f t="shared" si="7"/>
        <v>2791.2255538461541</v>
      </c>
      <c r="Q19" s="1579">
        <f t="shared" si="7"/>
        <v>2791.2255538461541</v>
      </c>
      <c r="R19" s="4152">
        <f t="shared" si="7"/>
        <v>2791.2255538461541</v>
      </c>
      <c r="S19" s="1578">
        <f t="shared" si="7"/>
        <v>2791.2255538461541</v>
      </c>
      <c r="T19" s="4157">
        <f>+S19+97692.8945384615</f>
        <v>100484.12009230765</v>
      </c>
      <c r="U19" s="4193"/>
      <c r="V19" s="4194"/>
      <c r="W19" s="4195"/>
      <c r="X19" s="4153">
        <f t="shared" si="8"/>
        <v>122813.92452307689</v>
      </c>
      <c r="Y19" s="6104" t="s">
        <v>1448</v>
      </c>
      <c r="Z19" s="6105" t="s">
        <v>1387</v>
      </c>
      <c r="AA19" s="6106" t="s">
        <v>806</v>
      </c>
      <c r="AB19" s="4125">
        <v>15</v>
      </c>
      <c r="AC19" s="4126">
        <f t="shared" si="9"/>
        <v>45</v>
      </c>
      <c r="AD19" s="4203"/>
      <c r="AE19" s="4131">
        <f t="shared" si="12"/>
        <v>21</v>
      </c>
      <c r="AF19" s="4132">
        <f t="shared" si="13"/>
        <v>22</v>
      </c>
      <c r="AG19" s="4132">
        <f t="shared" si="13"/>
        <v>23</v>
      </c>
      <c r="AH19" s="4132">
        <f t="shared" si="13"/>
        <v>24</v>
      </c>
      <c r="AI19" s="4133">
        <f t="shared" si="13"/>
        <v>25</v>
      </c>
      <c r="AJ19" s="4133">
        <f t="shared" si="13"/>
        <v>26</v>
      </c>
      <c r="AK19" s="4133">
        <f t="shared" si="13"/>
        <v>27</v>
      </c>
      <c r="AL19" s="4398"/>
      <c r="AM19" s="4398"/>
      <c r="AO19" s="1613"/>
    </row>
    <row r="20" spans="1:41" s="1618" customFormat="1" ht="19.5" customHeight="1">
      <c r="A20" s="2205"/>
      <c r="B20" s="2026" t="s">
        <v>978</v>
      </c>
      <c r="C20" s="6044" t="s">
        <v>979</v>
      </c>
      <c r="D20" s="6043">
        <v>8</v>
      </c>
      <c r="E20" s="6043">
        <f>6184328000/26000</f>
        <v>237858.76923076922</v>
      </c>
      <c r="F20" s="4207">
        <v>60</v>
      </c>
      <c r="G20" s="4210">
        <v>9.1600000000000001E-2</v>
      </c>
      <c r="H20" s="4154">
        <v>9.1300000000000006E-2</v>
      </c>
      <c r="I20" s="4155">
        <f>4535173865/26000</f>
        <v>174429.76403846155</v>
      </c>
      <c r="J20" s="4151">
        <f>+E20/F20</f>
        <v>3964.3128205128205</v>
      </c>
      <c r="K20" s="3598">
        <f>I20-X20</f>
        <v>-1.1538484250195324E-4</v>
      </c>
      <c r="L20" s="4515">
        <f t="shared" si="15"/>
        <v>3964.3128205128205</v>
      </c>
      <c r="M20" s="5075">
        <f>+L20</f>
        <v>3964.3128205128205</v>
      </c>
      <c r="N20" s="5524">
        <f>+M20</f>
        <v>3964.3128205128205</v>
      </c>
      <c r="O20" s="4515">
        <f>+N20</f>
        <v>3964.3128205128205</v>
      </c>
      <c r="P20" s="5054">
        <f>+O20</f>
        <v>3964.3128205128205</v>
      </c>
      <c r="Q20" s="1579">
        <f>+P20</f>
        <v>3964.3128205128205</v>
      </c>
      <c r="R20" s="4152">
        <f t="shared" si="7"/>
        <v>3964.3128205128205</v>
      </c>
      <c r="S20" s="1578">
        <f t="shared" si="7"/>
        <v>3964.3128205128205</v>
      </c>
      <c r="T20" s="4157">
        <f>+S20+138750.948769231</f>
        <v>142715.26158974384</v>
      </c>
      <c r="U20" s="4193"/>
      <c r="V20" s="4194"/>
      <c r="W20" s="4195"/>
      <c r="X20" s="1654">
        <f>SUM(L20:W20)</f>
        <v>174429.76415384639</v>
      </c>
      <c r="Y20" s="6104" t="s">
        <v>1448</v>
      </c>
      <c r="Z20" s="6107" t="s">
        <v>1388</v>
      </c>
      <c r="AA20" s="6108" t="s">
        <v>978</v>
      </c>
      <c r="AB20" s="4125">
        <v>15</v>
      </c>
      <c r="AC20" s="4126">
        <f t="shared" si="9"/>
        <v>45</v>
      </c>
      <c r="AD20" s="4203"/>
      <c r="AE20" s="4131">
        <f t="shared" si="12"/>
        <v>21</v>
      </c>
      <c r="AF20" s="4132">
        <f t="shared" si="13"/>
        <v>22</v>
      </c>
      <c r="AG20" s="4132">
        <f t="shared" si="13"/>
        <v>23</v>
      </c>
      <c r="AH20" s="4132">
        <f t="shared" si="13"/>
        <v>24</v>
      </c>
      <c r="AI20" s="4133">
        <f t="shared" si="13"/>
        <v>25</v>
      </c>
      <c r="AJ20" s="4133">
        <f t="shared" si="13"/>
        <v>26</v>
      </c>
      <c r="AK20" s="4133">
        <f t="shared" si="13"/>
        <v>27</v>
      </c>
      <c r="AL20" s="4398"/>
      <c r="AM20" s="4398"/>
      <c r="AO20" s="1613"/>
    </row>
    <row r="21" spans="1:41" s="1618" customFormat="1" ht="19.5" customHeight="1">
      <c r="A21" s="2205"/>
      <c r="B21" s="4141" t="s">
        <v>1132</v>
      </c>
      <c r="C21" s="4142" t="s">
        <v>1133</v>
      </c>
      <c r="D21" s="4143">
        <v>4</v>
      </c>
      <c r="E21" s="4143">
        <f>2930374106/26000</f>
        <v>112706.69638461538</v>
      </c>
      <c r="F21" s="4208">
        <v>60</v>
      </c>
      <c r="G21" s="4211">
        <v>8.9099999999999999E-2</v>
      </c>
      <c r="H21" s="4144">
        <v>8.8800000000000004E-2</v>
      </c>
      <c r="I21" s="4145">
        <f>2246620152/26000</f>
        <v>86408.467384615389</v>
      </c>
      <c r="J21" s="4146">
        <f t="shared" si="11"/>
        <v>1878.4449397435897</v>
      </c>
      <c r="K21" s="3598">
        <f t="shared" si="6"/>
        <v>-1.8333329353481531E-4</v>
      </c>
      <c r="L21" s="4517">
        <f t="shared" si="15"/>
        <v>1878.4449397435897</v>
      </c>
      <c r="M21" s="5048">
        <f t="shared" si="7"/>
        <v>1878.4449397435897</v>
      </c>
      <c r="N21" s="5528">
        <f t="shared" si="7"/>
        <v>1878.4449397435897</v>
      </c>
      <c r="O21" s="4517">
        <f t="shared" si="7"/>
        <v>1878.4449397435897</v>
      </c>
      <c r="P21" s="4521">
        <f t="shared" si="7"/>
        <v>1878.4449397435897</v>
      </c>
      <c r="Q21" s="2736">
        <f t="shared" si="7"/>
        <v>1878.4449397435897</v>
      </c>
      <c r="R21" s="2737">
        <f t="shared" si="7"/>
        <v>1878.4449397435897</v>
      </c>
      <c r="S21" s="2735">
        <f t="shared" si="7"/>
        <v>1878.4449397435897</v>
      </c>
      <c r="T21" s="2736">
        <f t="shared" si="7"/>
        <v>1878.4449397435897</v>
      </c>
      <c r="U21" s="2737">
        <f t="shared" si="7"/>
        <v>1878.4449397435897</v>
      </c>
      <c r="V21" s="4206">
        <f>+U21+65745.5732307692</f>
        <v>67624.018170512791</v>
      </c>
      <c r="W21" s="4192"/>
      <c r="X21" s="1654">
        <f t="shared" si="8"/>
        <v>86408.467567948683</v>
      </c>
      <c r="Y21" s="6104" t="s">
        <v>1451</v>
      </c>
      <c r="Z21" s="6107" t="s">
        <v>1389</v>
      </c>
      <c r="AA21" s="6108" t="s">
        <v>1132</v>
      </c>
      <c r="AB21" s="4125">
        <v>13</v>
      </c>
      <c r="AC21" s="4126">
        <f t="shared" si="9"/>
        <v>47</v>
      </c>
      <c r="AD21" s="4203"/>
      <c r="AE21" s="4131">
        <f t="shared" si="12"/>
        <v>19</v>
      </c>
      <c r="AF21" s="4132">
        <f t="shared" si="13"/>
        <v>20</v>
      </c>
      <c r="AG21" s="4132">
        <f t="shared" si="13"/>
        <v>21</v>
      </c>
      <c r="AH21" s="4132">
        <f t="shared" si="13"/>
        <v>22</v>
      </c>
      <c r="AI21" s="4132">
        <f t="shared" si="13"/>
        <v>23</v>
      </c>
      <c r="AJ21" s="4132">
        <f t="shared" si="13"/>
        <v>24</v>
      </c>
      <c r="AK21" s="4133">
        <f t="shared" si="13"/>
        <v>25</v>
      </c>
      <c r="AL21" s="4398"/>
      <c r="AM21" s="4398"/>
      <c r="AO21" s="1613"/>
    </row>
    <row r="22" spans="1:41" s="1618" customFormat="1" ht="19.5" customHeight="1">
      <c r="A22" s="2205"/>
      <c r="B22" s="4141" t="s">
        <v>1168</v>
      </c>
      <c r="C22" s="4142" t="s">
        <v>1167</v>
      </c>
      <c r="D22" s="4143">
        <v>4</v>
      </c>
      <c r="E22" s="4143">
        <f>10742167483.3/26000</f>
        <v>413160.28781923075</v>
      </c>
      <c r="F22" s="4208">
        <v>60</v>
      </c>
      <c r="G22" s="4211">
        <v>8.6099999999999996E-2</v>
      </c>
      <c r="H22" s="4147">
        <v>8.5800000000000001E-2</v>
      </c>
      <c r="I22" s="4148">
        <f>8593733988.3/26000</f>
        <v>330528.23031923076</v>
      </c>
      <c r="J22" s="4146">
        <f t="shared" si="11"/>
        <v>6886.0047969871794</v>
      </c>
      <c r="K22" s="2734">
        <f t="shared" si="6"/>
        <v>247896.17275538458</v>
      </c>
      <c r="L22" s="4517">
        <f t="shared" si="15"/>
        <v>6886.0047969871794</v>
      </c>
      <c r="M22" s="5048">
        <f t="shared" si="7"/>
        <v>6886.0047969871794</v>
      </c>
      <c r="N22" s="5528">
        <f t="shared" si="7"/>
        <v>6886.0047969871794</v>
      </c>
      <c r="O22" s="4517">
        <f t="shared" si="7"/>
        <v>6886.0047969871794</v>
      </c>
      <c r="P22" s="4521">
        <f t="shared" si="7"/>
        <v>6886.0047969871794</v>
      </c>
      <c r="Q22" s="2736">
        <f t="shared" si="7"/>
        <v>6886.0047969871794</v>
      </c>
      <c r="R22" s="2737">
        <f t="shared" si="7"/>
        <v>6886.0047969871794</v>
      </c>
      <c r="S22" s="2735">
        <f t="shared" si="7"/>
        <v>6886.0047969871794</v>
      </c>
      <c r="T22" s="2736">
        <f t="shared" si="7"/>
        <v>6886.0047969871794</v>
      </c>
      <c r="U22" s="2737">
        <f t="shared" si="7"/>
        <v>6886.0047969871794</v>
      </c>
      <c r="V22" s="2735">
        <f t="shared" si="7"/>
        <v>6886.0047969871794</v>
      </c>
      <c r="W22" s="2736">
        <f t="shared" si="7"/>
        <v>6886.0047969871794</v>
      </c>
      <c r="X22" s="1654">
        <f t="shared" si="8"/>
        <v>82632.05756384616</v>
      </c>
      <c r="Y22" s="6109" t="s">
        <v>1449</v>
      </c>
      <c r="Z22" s="6107" t="s">
        <v>1390</v>
      </c>
      <c r="AA22" s="6108" t="s">
        <v>1168</v>
      </c>
      <c r="AB22" s="4125">
        <v>11</v>
      </c>
      <c r="AC22" s="4126">
        <f t="shared" si="9"/>
        <v>49</v>
      </c>
      <c r="AD22" s="4203"/>
      <c r="AE22" s="4131">
        <f t="shared" si="12"/>
        <v>17</v>
      </c>
      <c r="AF22" s="4132">
        <f t="shared" si="13"/>
        <v>18</v>
      </c>
      <c r="AG22" s="4132">
        <f t="shared" si="13"/>
        <v>19</v>
      </c>
      <c r="AH22" s="4132">
        <f t="shared" si="13"/>
        <v>20</v>
      </c>
      <c r="AI22" s="4132">
        <f t="shared" si="13"/>
        <v>21</v>
      </c>
      <c r="AJ22" s="4132">
        <f t="shared" si="13"/>
        <v>22</v>
      </c>
      <c r="AK22" s="4132">
        <f t="shared" si="13"/>
        <v>23</v>
      </c>
      <c r="AL22" s="4398"/>
      <c r="AM22" s="4398"/>
      <c r="AO22" s="1613"/>
    </row>
    <row r="23" spans="1:41" s="1618" customFormat="1" ht="19.5" customHeight="1">
      <c r="A23" s="2205"/>
      <c r="B23" s="3733" t="s">
        <v>1179</v>
      </c>
      <c r="C23" s="4137" t="s">
        <v>1178</v>
      </c>
      <c r="D23" s="4138">
        <v>1</v>
      </c>
      <c r="E23" s="4138">
        <f>8074069755.48/26000</f>
        <v>310541.14444153843</v>
      </c>
      <c r="F23" s="4209">
        <v>60</v>
      </c>
      <c r="G23" s="4212">
        <v>8.6099999999999996E-2</v>
      </c>
      <c r="H23" s="4139">
        <v>8.5800000000000001E-2</v>
      </c>
      <c r="I23" s="4149">
        <f>6593823635.48/26000</f>
        <v>253608.60136461537</v>
      </c>
      <c r="J23" s="4140">
        <f>+E23/F23</f>
        <v>5175.6857406923073</v>
      </c>
      <c r="K23" s="3242">
        <f t="shared" si="6"/>
        <v>191500.37247630768</v>
      </c>
      <c r="L23" s="4518">
        <f>+J23</f>
        <v>5175.6857406923073</v>
      </c>
      <c r="M23" s="5051">
        <f>+L23</f>
        <v>5175.6857406923073</v>
      </c>
      <c r="N23" s="5529">
        <f>M23</f>
        <v>5175.6857406923073</v>
      </c>
      <c r="O23" s="4518">
        <f t="shared" si="7"/>
        <v>5175.6857406923073</v>
      </c>
      <c r="P23" s="6516">
        <f t="shared" si="7"/>
        <v>5175.6857406923073</v>
      </c>
      <c r="Q23" s="1594">
        <f t="shared" si="7"/>
        <v>5175.6857406923073</v>
      </c>
      <c r="R23" s="1592">
        <f t="shared" si="7"/>
        <v>5175.6857406923073</v>
      </c>
      <c r="S23" s="1593">
        <f t="shared" si="7"/>
        <v>5175.6857406923073</v>
      </c>
      <c r="T23" s="1594">
        <f t="shared" si="7"/>
        <v>5175.6857406923073</v>
      </c>
      <c r="U23" s="1592">
        <f t="shared" si="7"/>
        <v>5175.6857406923073</v>
      </c>
      <c r="V23" s="1593">
        <f t="shared" si="7"/>
        <v>5175.6857406923073</v>
      </c>
      <c r="W23" s="1594">
        <f t="shared" si="7"/>
        <v>5175.6857406923073</v>
      </c>
      <c r="X23" s="1654">
        <f t="shared" si="8"/>
        <v>62108.228888307691</v>
      </c>
      <c r="Y23" s="6109" t="s">
        <v>1450</v>
      </c>
      <c r="Z23" s="6107" t="s">
        <v>1391</v>
      </c>
      <c r="AA23" s="6108" t="s">
        <v>1434</v>
      </c>
      <c r="AB23" s="4191">
        <v>10</v>
      </c>
      <c r="AC23" s="4126">
        <f t="shared" si="9"/>
        <v>50</v>
      </c>
      <c r="AD23" s="4203"/>
      <c r="AE23" s="4131">
        <f t="shared" si="12"/>
        <v>16</v>
      </c>
      <c r="AF23" s="4132">
        <f t="shared" si="13"/>
        <v>17</v>
      </c>
      <c r="AG23" s="4132">
        <f t="shared" si="13"/>
        <v>18</v>
      </c>
      <c r="AH23" s="4132">
        <f t="shared" si="13"/>
        <v>19</v>
      </c>
      <c r="AI23" s="4132">
        <f t="shared" si="13"/>
        <v>20</v>
      </c>
      <c r="AJ23" s="4132">
        <f t="shared" si="13"/>
        <v>21</v>
      </c>
      <c r="AK23" s="4132">
        <f t="shared" si="13"/>
        <v>22</v>
      </c>
      <c r="AL23" s="4398"/>
      <c r="AM23" s="4398"/>
      <c r="AO23" s="1613"/>
    </row>
    <row r="24" spans="1:41" s="2249" customFormat="1" ht="19.5" customHeight="1">
      <c r="A24" s="4997"/>
      <c r="B24" s="6069" t="s">
        <v>1835</v>
      </c>
      <c r="C24" s="6080"/>
      <c r="D24" s="6080"/>
      <c r="E24" s="6110">
        <f>SUM(E12:E23)</f>
        <v>2860206.8181930776</v>
      </c>
      <c r="F24" s="6111"/>
      <c r="G24" s="6080"/>
      <c r="H24" s="6110"/>
      <c r="I24" s="6110">
        <f>SUM(I12:I23)</f>
        <v>2012665.2497699994</v>
      </c>
      <c r="J24" s="6076">
        <f>SUM(J12:J23)</f>
        <v>51791.925172834948</v>
      </c>
      <c r="K24" s="6082">
        <f t="shared" ref="K24:W24" si="16">SUM(K12:K23)</f>
        <v>439397.25291381695</v>
      </c>
      <c r="L24" s="6077">
        <f t="shared" si="16"/>
        <v>583038.58122307819</v>
      </c>
      <c r="M24" s="6078">
        <f t="shared" si="16"/>
        <v>37929.003209354167</v>
      </c>
      <c r="N24" s="6079">
        <f t="shared" si="16"/>
        <v>37929.003209354167</v>
      </c>
      <c r="O24" s="6077">
        <f t="shared" si="16"/>
        <v>37929.003209354167</v>
      </c>
      <c r="P24" s="6115">
        <f t="shared" si="16"/>
        <v>37929.003209354167</v>
      </c>
      <c r="Q24" s="6076">
        <f t="shared" si="16"/>
        <v>434295.00320935418</v>
      </c>
      <c r="R24" s="6111">
        <f t="shared" si="16"/>
        <v>20695.673851782052</v>
      </c>
      <c r="S24" s="6080">
        <f t="shared" si="16"/>
        <v>20695.673851782052</v>
      </c>
      <c r="T24" s="6076">
        <f t="shared" si="16"/>
        <v>257139.51715947455</v>
      </c>
      <c r="U24" s="6111">
        <f t="shared" si="16"/>
        <v>13940.135477423075</v>
      </c>
      <c r="V24" s="6080">
        <f t="shared" si="16"/>
        <v>79685.70870819228</v>
      </c>
      <c r="W24" s="6076">
        <f t="shared" si="16"/>
        <v>12061.690537679486</v>
      </c>
      <c r="X24" s="6082">
        <f>SUM(L24:W24)</f>
        <v>1573267.9968561821</v>
      </c>
      <c r="Y24" s="2554"/>
      <c r="AB24" s="2542"/>
      <c r="AC24" s="4998"/>
      <c r="AD24" s="4999">
        <f>SUM(AD14:AD23)</f>
        <v>2.658948594907997E-3</v>
      </c>
      <c r="AL24" s="5000"/>
      <c r="AM24" s="5000"/>
      <c r="AO24" s="1546"/>
    </row>
    <row r="25" spans="1:41" s="1618" customFormat="1" ht="19.5" customHeight="1" thickBot="1">
      <c r="A25" s="2205"/>
      <c r="B25" s="4215" t="s">
        <v>1452</v>
      </c>
      <c r="C25" s="6041"/>
      <c r="D25" s="6041"/>
      <c r="E25" s="60"/>
      <c r="F25" s="6045"/>
      <c r="G25" s="6041"/>
      <c r="H25" s="6041"/>
      <c r="I25" s="60"/>
      <c r="J25" s="2279"/>
      <c r="K25" s="4213"/>
      <c r="L25" s="4772">
        <v>15921.460471266324</v>
      </c>
      <c r="M25" s="5079"/>
      <c r="N25" s="5530"/>
      <c r="O25" s="6112"/>
      <c r="P25" s="6517"/>
      <c r="Q25" s="4043">
        <v>11890.997255156237</v>
      </c>
      <c r="R25" s="2772"/>
      <c r="S25" s="1764"/>
      <c r="T25" s="4043">
        <v>7020.3554771723084</v>
      </c>
      <c r="U25" s="2772"/>
      <c r="V25" s="4042">
        <v>1833.8042529784616</v>
      </c>
      <c r="W25" s="2279"/>
      <c r="X25" s="4214">
        <f>SUM(L25:W25)</f>
        <v>36666.617456573324</v>
      </c>
      <c r="Y25" s="3382"/>
      <c r="AB25" s="2425"/>
      <c r="AC25" s="4134"/>
      <c r="AD25" s="4204"/>
      <c r="AL25" s="3135"/>
      <c r="AM25" s="3135"/>
    </row>
    <row r="26" spans="1:41" s="1618" customFormat="1" ht="19.5" customHeight="1" thickBot="1">
      <c r="A26" s="7565" t="s">
        <v>1836</v>
      </c>
      <c r="B26" s="7566"/>
      <c r="C26" s="7566"/>
      <c r="D26" s="7566"/>
      <c r="E26" s="2775">
        <f>+E11+E24</f>
        <v>3892588.2555451486</v>
      </c>
      <c r="F26" s="2776"/>
      <c r="G26" s="2777"/>
      <c r="H26" s="2777"/>
      <c r="I26" s="2778">
        <f t="shared" ref="I26:K26" si="17">+I11+I24</f>
        <v>2448965.7572437422</v>
      </c>
      <c r="J26" s="2779">
        <f t="shared" si="17"/>
        <v>73915.637012701816</v>
      </c>
      <c r="K26" s="2781">
        <f t="shared" si="17"/>
        <v>439397.25291381695</v>
      </c>
      <c r="L26" s="4773">
        <f>+L11+L24+L25</f>
        <v>621083.75353421131</v>
      </c>
      <c r="M26" s="5080">
        <f t="shared" ref="M26:X26" si="18">+M11+M24+M25</f>
        <v>60052.715049221035</v>
      </c>
      <c r="N26" s="5531">
        <f t="shared" si="18"/>
        <v>59487.715049221035</v>
      </c>
      <c r="O26" s="4773">
        <f t="shared" si="18"/>
        <v>59487.715049221035</v>
      </c>
      <c r="P26" s="5081">
        <f t="shared" si="18"/>
        <v>59487.715049221035</v>
      </c>
      <c r="Q26" s="2775">
        <f t="shared" si="18"/>
        <v>470914.71230437729</v>
      </c>
      <c r="R26" s="2780">
        <f t="shared" si="18"/>
        <v>33948.965691648918</v>
      </c>
      <c r="S26" s="2778">
        <f t="shared" si="18"/>
        <v>33948.965691648918</v>
      </c>
      <c r="T26" s="2775">
        <f t="shared" si="18"/>
        <v>277413.16447651369</v>
      </c>
      <c r="U26" s="2780">
        <f t="shared" si="18"/>
        <v>27193.427317289941</v>
      </c>
      <c r="V26" s="2778">
        <f t="shared" si="18"/>
        <v>94772.804801037608</v>
      </c>
      <c r="W26" s="2775">
        <f t="shared" si="18"/>
        <v>248443.89577288658</v>
      </c>
      <c r="X26" s="2781">
        <f t="shared" si="18"/>
        <v>2046235.5497864981</v>
      </c>
      <c r="Y26" s="3382"/>
      <c r="AB26" s="2425"/>
      <c r="AC26" s="2182"/>
      <c r="AD26" s="2182"/>
    </row>
    <row r="27" spans="1:41" s="2784" customFormat="1" ht="19.5" customHeight="1">
      <c r="A27" s="2782"/>
      <c r="B27" s="2782"/>
      <c r="C27" s="2782"/>
      <c r="D27" s="2782"/>
      <c r="E27" s="2783"/>
      <c r="F27" s="2783"/>
      <c r="G27" s="2783"/>
      <c r="H27" s="2783"/>
      <c r="I27" s="2783"/>
      <c r="J27" s="2782"/>
      <c r="K27" s="2783"/>
      <c r="L27" s="4774"/>
      <c r="M27" s="4774"/>
      <c r="N27" s="4774"/>
      <c r="O27" s="4774"/>
      <c r="P27" s="4774"/>
      <c r="Q27" s="2783"/>
      <c r="R27" s="2783"/>
      <c r="S27" s="2783"/>
      <c r="T27" s="2783"/>
      <c r="U27" s="2783"/>
      <c r="V27" s="2783"/>
      <c r="W27" s="2783"/>
      <c r="X27" s="2783"/>
      <c r="Y27" s="2783"/>
      <c r="AB27" s="4112"/>
      <c r="AC27" s="4135"/>
      <c r="AD27" s="4135"/>
    </row>
    <row r="28" spans="1:41" ht="19.5" customHeight="1" thickBot="1">
      <c r="A28" s="2769" t="s">
        <v>1837</v>
      </c>
      <c r="E28" s="2770"/>
      <c r="F28" s="2771"/>
      <c r="G28" s="2771"/>
      <c r="H28" s="2771"/>
      <c r="I28" s="2770"/>
      <c r="J28" s="2771"/>
      <c r="K28" s="2770"/>
      <c r="L28" s="2770"/>
      <c r="M28" s="2770"/>
      <c r="N28" s="2770"/>
      <c r="O28" s="2770"/>
      <c r="P28" s="2770"/>
      <c r="Q28" s="2785"/>
      <c r="R28" s="2770"/>
      <c r="S28" s="2770"/>
      <c r="T28" s="2770"/>
      <c r="U28" s="2770"/>
      <c r="V28" s="2770"/>
      <c r="W28" s="2770"/>
      <c r="X28" s="2770"/>
      <c r="Y28" s="2783"/>
    </row>
    <row r="29" spans="1:41" s="1618" customFormat="1" ht="45.75" customHeight="1" thickBot="1">
      <c r="A29" s="7390" t="s">
        <v>1832</v>
      </c>
      <c r="B29" s="7391"/>
      <c r="C29" s="74" t="s">
        <v>523</v>
      </c>
      <c r="D29" s="65" t="s">
        <v>515</v>
      </c>
      <c r="E29" s="1700" t="s">
        <v>533</v>
      </c>
      <c r="F29" s="3980" t="s">
        <v>525</v>
      </c>
      <c r="G29" s="1995" t="s">
        <v>1838</v>
      </c>
      <c r="H29" s="1995" t="s">
        <v>1392</v>
      </c>
      <c r="I29" s="1995" t="s">
        <v>1373</v>
      </c>
      <c r="J29" s="1680" t="s">
        <v>1839</v>
      </c>
      <c r="K29" s="1680" t="s">
        <v>534</v>
      </c>
      <c r="L29" s="4757" t="str">
        <f t="shared" ref="L29:X29" si="19">L4</f>
        <v>Jan.26</v>
      </c>
      <c r="M29" s="5005" t="str">
        <f t="shared" si="19"/>
        <v>Feb.26</v>
      </c>
      <c r="N29" s="5494" t="str">
        <f t="shared" si="19"/>
        <v>Mar.26</v>
      </c>
      <c r="O29" s="4490" t="str">
        <f t="shared" si="19"/>
        <v>Apr.26</v>
      </c>
      <c r="P29" s="5005" t="str">
        <f t="shared" si="19"/>
        <v>May.26</v>
      </c>
      <c r="Q29" s="1540" t="str">
        <f t="shared" si="19"/>
        <v>Jun.26</v>
      </c>
      <c r="R29" s="1539" t="str">
        <f t="shared" si="19"/>
        <v>Jul.26</v>
      </c>
      <c r="S29" s="74" t="str">
        <f t="shared" si="19"/>
        <v>Aug.26</v>
      </c>
      <c r="T29" s="1540" t="str">
        <f t="shared" si="19"/>
        <v>Sep.26</v>
      </c>
      <c r="U29" s="1539" t="str">
        <f t="shared" si="19"/>
        <v>Oct.26</v>
      </c>
      <c r="V29" s="74" t="str">
        <f t="shared" si="19"/>
        <v>Nov.26</v>
      </c>
      <c r="W29" s="1540" t="str">
        <f t="shared" si="19"/>
        <v>Dec.26</v>
      </c>
      <c r="X29" s="1541" t="str">
        <f t="shared" si="19"/>
        <v>2026
Total</v>
      </c>
      <c r="Y29" s="2783"/>
      <c r="AB29" s="2425"/>
      <c r="AC29" s="2182"/>
      <c r="AD29" s="2182"/>
    </row>
    <row r="30" spans="1:41" s="1618" customFormat="1" ht="19.5" customHeight="1">
      <c r="A30" s="7563"/>
      <c r="B30" s="54" t="str">
        <f>B5</f>
        <v xml:space="preserve">Casting Machine 350V7EX </v>
      </c>
      <c r="C30" s="1764" t="s">
        <v>526</v>
      </c>
      <c r="D30" s="60">
        <v>5</v>
      </c>
      <c r="E30" s="60">
        <v>398660.11200000002</v>
      </c>
      <c r="F30" s="2772">
        <v>48</v>
      </c>
      <c r="G30" s="2773">
        <v>8.1000000000000003E-2</v>
      </c>
      <c r="H30" s="2773">
        <v>8.1000000000000003E-2</v>
      </c>
      <c r="I30" s="1764">
        <f>I5</f>
        <v>53002.092000000019</v>
      </c>
      <c r="J30" s="1938">
        <f t="shared" ref="J30:J48" si="20">X30/12</f>
        <v>107.31459871232882</v>
      </c>
      <c r="K30" s="1647"/>
      <c r="L30" s="4551">
        <f t="shared" ref="L30:L35" si="21">$I5*$G5/365*30</f>
        <v>352.86324263013717</v>
      </c>
      <c r="M30" s="5073">
        <f>($I5-SUM($L5:L5))*$G5/365*30</f>
        <v>297.56962454794535</v>
      </c>
      <c r="N30" s="5498">
        <f>($I5-SUM($L5:M5))*$G5/365*30</f>
        <v>242.27600646575357</v>
      </c>
      <c r="O30" s="4551">
        <f>($I5-SUM($L5:N5))*$G5/365*30</f>
        <v>186.98238838356176</v>
      </c>
      <c r="P30" s="5073">
        <f>($I5-SUM($L5:O5))*$G5/365*30</f>
        <v>131.68877030137</v>
      </c>
      <c r="Q30" s="1555">
        <f>($I5-SUM($L5:P5))*$G5/365*30</f>
        <v>76.395152219178215</v>
      </c>
      <c r="R30" s="4114"/>
      <c r="S30" s="4136"/>
      <c r="T30" s="4113"/>
      <c r="U30" s="4114"/>
      <c r="V30" s="4136"/>
      <c r="W30" s="4113"/>
      <c r="X30" s="1654">
        <f t="shared" ref="X30:X35" si="22">SUM(L30:W30)</f>
        <v>1287.7751845479459</v>
      </c>
      <c r="Y30" s="2783"/>
      <c r="AB30" s="2425"/>
      <c r="AC30" s="2182"/>
      <c r="AD30" s="2182"/>
    </row>
    <row r="31" spans="1:41" s="1618" customFormat="1" ht="19.5" customHeight="1">
      <c r="A31" s="7563"/>
      <c r="B31" s="54" t="str">
        <f>B6</f>
        <v>Supplying and installing transformer</v>
      </c>
      <c r="C31" s="1764" t="s">
        <v>528</v>
      </c>
      <c r="D31" s="60">
        <v>1</v>
      </c>
      <c r="E31" s="60">
        <v>84000</v>
      </c>
      <c r="F31" s="2772">
        <v>48</v>
      </c>
      <c r="G31" s="2773">
        <v>8.1000000000000003E-2</v>
      </c>
      <c r="H31" s="2773">
        <v>8.1000000000000003E-2</v>
      </c>
      <c r="I31" s="1764">
        <f>I6</f>
        <v>21000</v>
      </c>
      <c r="J31" s="1938">
        <f t="shared" si="20"/>
        <v>75.729452054794521</v>
      </c>
      <c r="K31" s="1647"/>
      <c r="L31" s="4551">
        <f t="shared" si="21"/>
        <v>139.8082191780822</v>
      </c>
      <c r="M31" s="5073">
        <f>($I6-SUM($L6:L6))*$G6/365*30</f>
        <v>128.15753424657535</v>
      </c>
      <c r="N31" s="5498">
        <f>($I6-SUM($L6:M6))*$G6/365*30</f>
        <v>116.50684931506849</v>
      </c>
      <c r="O31" s="4551">
        <f>($I6-SUM($L6:N6))*$G6/365*30</f>
        <v>104.85616438356165</v>
      </c>
      <c r="P31" s="5073">
        <f>($I6-SUM($L6:O6))*$G6/365*30</f>
        <v>93.205479452054789</v>
      </c>
      <c r="Q31" s="1555">
        <f>($I6-SUM($L6:P6))*$G6/365*30</f>
        <v>81.554794520547944</v>
      </c>
      <c r="R31" s="1553">
        <f>($I6-SUM($L6:Q6))*$G6/365*30</f>
        <v>69.904109589041099</v>
      </c>
      <c r="S31" s="1599">
        <f>($I6-SUM($L6:R6))*$G6/365*30</f>
        <v>58.253424657534246</v>
      </c>
      <c r="T31" s="1555">
        <f>($I6-SUM($L6:S6))*$G6/365*30</f>
        <v>46.602739726027394</v>
      </c>
      <c r="U31" s="1553">
        <f>($I6-SUM($L6:T6))*$G6/365*30</f>
        <v>34.952054794520549</v>
      </c>
      <c r="V31" s="1599">
        <f>($I6-SUM($L6:U6))*$G6/365*30</f>
        <v>23.301369863013697</v>
      </c>
      <c r="W31" s="1555">
        <f>($I6-SUM($L6:V6))*$G6/365*30</f>
        <v>11.650684931506849</v>
      </c>
      <c r="X31" s="1654">
        <f t="shared" si="22"/>
        <v>908.75342465753431</v>
      </c>
      <c r="Y31" s="2783"/>
      <c r="AB31" s="2425"/>
      <c r="AC31" s="2182"/>
      <c r="AD31" s="2182"/>
    </row>
    <row r="32" spans="1:41" s="1618" customFormat="1" ht="19.5" customHeight="1">
      <c r="A32" s="7563"/>
      <c r="B32" s="54" t="str">
        <f>B7</f>
        <v>Ugint PT400SS Samchully machine</v>
      </c>
      <c r="C32" s="1764" t="s">
        <v>529</v>
      </c>
      <c r="D32" s="60">
        <v>40</v>
      </c>
      <c r="E32" s="60">
        <v>252000</v>
      </c>
      <c r="F32" s="2772">
        <v>48</v>
      </c>
      <c r="G32" s="2773">
        <v>8.1000000000000003E-2</v>
      </c>
      <c r="H32" s="2773">
        <v>8.1000000000000003E-2</v>
      </c>
      <c r="I32" s="1764">
        <f>I7</f>
        <v>63000</v>
      </c>
      <c r="J32" s="1938">
        <f t="shared" si="20"/>
        <v>227.18835616438352</v>
      </c>
      <c r="K32" s="1647"/>
      <c r="L32" s="4551">
        <f t="shared" si="21"/>
        <v>419.42465753424659</v>
      </c>
      <c r="M32" s="5073">
        <f>($I7-SUM($L7:L7))*$G7/365*30</f>
        <v>384.47260273972603</v>
      </c>
      <c r="N32" s="5498">
        <f>($I7-SUM($L7:M7))*$G7/365*30</f>
        <v>349.52054794520546</v>
      </c>
      <c r="O32" s="4551">
        <f>($I7-SUM($L7:N7))*$G7/365*30</f>
        <v>314.5684931506849</v>
      </c>
      <c r="P32" s="5073">
        <f>($I7-SUM($L7:O7))*$G7/365*30</f>
        <v>279.61643835616439</v>
      </c>
      <c r="Q32" s="1555">
        <f>($I7-SUM($L7:P7))*$G7/365*30</f>
        <v>244.66438356164386</v>
      </c>
      <c r="R32" s="1553">
        <f>($I7-SUM($L7:Q7))*$G7/365*30</f>
        <v>209.7123287671233</v>
      </c>
      <c r="S32" s="1599">
        <f>($I7-SUM($L7:R7))*$G7/365*30</f>
        <v>174.76027397260273</v>
      </c>
      <c r="T32" s="1555">
        <f>($I7-SUM($L7:S7))*$G7/365*30</f>
        <v>139.8082191780822</v>
      </c>
      <c r="U32" s="1553">
        <f>($I7-SUM($L7:T7))*$G7/365*30</f>
        <v>104.85616438356165</v>
      </c>
      <c r="V32" s="1599">
        <f>($I7-SUM($L7:U7))*$G7/365*30</f>
        <v>69.904109589041099</v>
      </c>
      <c r="W32" s="1555">
        <f>($I7-SUM($L7:V7))*$G7/365*30</f>
        <v>34.952054794520549</v>
      </c>
      <c r="X32" s="1654">
        <f t="shared" si="22"/>
        <v>2726.2602739726021</v>
      </c>
      <c r="Y32" s="2783"/>
      <c r="AB32" s="2425"/>
      <c r="AC32" s="2182"/>
      <c r="AD32" s="2182"/>
    </row>
    <row r="33" spans="1:40" s="1618" customFormat="1" ht="19.5" customHeight="1">
      <c r="A33" s="7563"/>
      <c r="B33" s="54" t="str">
        <f>B8</f>
        <v>3D measuring machine</v>
      </c>
      <c r="C33" s="1764" t="s">
        <v>531</v>
      </c>
      <c r="D33" s="60">
        <v>1</v>
      </c>
      <c r="E33" s="60">
        <v>33863.019</v>
      </c>
      <c r="F33" s="2772">
        <v>48</v>
      </c>
      <c r="G33" s="2773">
        <v>8.1000000000000003E-2</v>
      </c>
      <c r="H33" s="2773">
        <v>8.1000000000000003E-2</v>
      </c>
      <c r="I33" s="1764">
        <f>I8</f>
        <v>11994.378999999994</v>
      </c>
      <c r="J33" s="1938">
        <f t="shared" si="20"/>
        <v>54.022288684931475</v>
      </c>
      <c r="K33" s="1647"/>
      <c r="L33" s="4551">
        <f t="shared" si="21"/>
        <v>79.852988958904064</v>
      </c>
      <c r="M33" s="5073">
        <f>($I8-SUM($L8:L8))*$G8/365*30</f>
        <v>75.156497999999957</v>
      </c>
      <c r="N33" s="5498">
        <f>($I8-SUM($L8:M8))*$G8/365*30</f>
        <v>70.460007041095849</v>
      </c>
      <c r="O33" s="4551">
        <f>($I8-SUM($L8:N8))*$G8/365*30</f>
        <v>65.763516082191757</v>
      </c>
      <c r="P33" s="5073">
        <f>($I8-SUM($L8:O8))*$G8/365*30</f>
        <v>61.067025123287635</v>
      </c>
      <c r="Q33" s="1555">
        <f>($I8-SUM($L8:P8))*$G8/365*30</f>
        <v>56.370534164383514</v>
      </c>
      <c r="R33" s="1553">
        <f>($I8-SUM($L8:Q8))*$G8/365*30</f>
        <v>51.674043205479407</v>
      </c>
      <c r="S33" s="1599">
        <f>($I8-SUM($L8:R8))*$G8/365*30</f>
        <v>46.977552246575307</v>
      </c>
      <c r="T33" s="1555">
        <f>($I8-SUM($L8:S8))*$G8/365*30</f>
        <v>42.281061287671186</v>
      </c>
      <c r="U33" s="1553">
        <f>($I8-SUM($L8:T8))*$G8/365*30</f>
        <v>37.584570328767079</v>
      </c>
      <c r="V33" s="1599">
        <f>($I8-SUM($L8:U8))*$G8/365*30</f>
        <v>32.888079369862965</v>
      </c>
      <c r="W33" s="1555">
        <f>($I8-SUM($L8:V8))*$G8/365*30</f>
        <v>28.191588410958847</v>
      </c>
      <c r="X33" s="1654">
        <f t="shared" si="22"/>
        <v>648.26746421917767</v>
      </c>
      <c r="Y33" s="2783"/>
      <c r="AB33" s="2425"/>
      <c r="AC33" s="2182"/>
      <c r="AD33" s="2182"/>
    </row>
    <row r="34" spans="1:40" s="1618" customFormat="1" ht="19.5" customHeight="1">
      <c r="A34" s="7563"/>
      <c r="B34" s="54" t="s">
        <v>1381</v>
      </c>
      <c r="C34" s="1764" t="s">
        <v>1383</v>
      </c>
      <c r="D34" s="60">
        <v>2</v>
      </c>
      <c r="E34" s="60">
        <v>179446.15384615384</v>
      </c>
      <c r="F34" s="2772">
        <v>48</v>
      </c>
      <c r="G34" s="2773">
        <v>7.8E-2</v>
      </c>
      <c r="H34" s="2773">
        <v>7.8E-2</v>
      </c>
      <c r="I34" s="1764">
        <f>+E34-J34</f>
        <v>175707.69230769231</v>
      </c>
      <c r="J34" s="1938">
        <f>+E34/F34</f>
        <v>3738.4615384615386</v>
      </c>
      <c r="K34" s="1647"/>
      <c r="L34" s="4551">
        <f t="shared" si="21"/>
        <v>1083.1296101159114</v>
      </c>
      <c r="M34" s="5073">
        <f>($I9-SUM($L9:L9))*$G9/365*30</f>
        <v>1060.0842992623814</v>
      </c>
      <c r="N34" s="5498">
        <f>($I9-SUM($L9:M9))*$G9/365*30</f>
        <v>1037.0389884088511</v>
      </c>
      <c r="O34" s="4551">
        <f>($I9-SUM($L9:N9))*$G9/365*30</f>
        <v>1013.9936775553214</v>
      </c>
      <c r="P34" s="5073">
        <f>($I9-SUM($L9:O9))*$G9/365*30</f>
        <v>990.94836670179143</v>
      </c>
      <c r="Q34" s="1555">
        <f>($I9-SUM($L9:P9))*$G9/365*30</f>
        <v>967.90305584826126</v>
      </c>
      <c r="R34" s="1553">
        <f>($I9-SUM($L9:Q9))*$G9/365*30</f>
        <v>944.85774499473109</v>
      </c>
      <c r="S34" s="1599">
        <f>($I9-SUM($L9:R9))*$G9/365*30</f>
        <v>921.81243414120127</v>
      </c>
      <c r="T34" s="1555">
        <f>($I9-SUM($L9:S9))*$G9/365*30</f>
        <v>898.76712328767121</v>
      </c>
      <c r="U34" s="1553">
        <f>($I9-SUM($L9:T9))*$G9/365*30</f>
        <v>875.72181243414104</v>
      </c>
      <c r="V34" s="1599">
        <f>($I9-SUM($L9:U9))*$G9/365*30</f>
        <v>852.6765015806111</v>
      </c>
      <c r="W34" s="1555">
        <f>($I9-SUM($L9:V9))*$G9/365*30</f>
        <v>829.63119072708105</v>
      </c>
      <c r="X34" s="1654">
        <f t="shared" si="22"/>
        <v>11476.564805057955</v>
      </c>
      <c r="Y34" s="2783"/>
      <c r="AB34" s="2425"/>
      <c r="AC34" s="2182"/>
      <c r="AD34" s="2182"/>
    </row>
    <row r="35" spans="1:40" s="1618" customFormat="1" ht="19.5" customHeight="1">
      <c r="A35" s="7563"/>
      <c r="B35" s="54" t="s">
        <v>1382</v>
      </c>
      <c r="C35" s="1764" t="s">
        <v>1383</v>
      </c>
      <c r="D35" s="60">
        <v>1</v>
      </c>
      <c r="E35" s="60">
        <v>125707.41</v>
      </c>
      <c r="F35" s="2772">
        <v>48</v>
      </c>
      <c r="G35" s="2773">
        <v>7.8E-2</v>
      </c>
      <c r="H35" s="2773">
        <v>7.8E-2</v>
      </c>
      <c r="I35" s="1764">
        <f>+E35-J35</f>
        <v>123088.50562500001</v>
      </c>
      <c r="J35" s="1938">
        <f>+E35/F35</f>
        <v>2618.9043750000001</v>
      </c>
      <c r="K35" s="1647"/>
      <c r="L35" s="4551">
        <f t="shared" si="21"/>
        <v>758.76476070205467</v>
      </c>
      <c r="M35" s="5073">
        <f>($I10-SUM($L10:L10))*$G10/365*30</f>
        <v>742.6208296232877</v>
      </c>
      <c r="N35" s="5498">
        <f>($I10-SUM($L10:M10))*$G10/365*30</f>
        <v>726.47689854452051</v>
      </c>
      <c r="O35" s="4551">
        <f>($I10-SUM($L10:N10))*$G10/365*30</f>
        <v>713.95515924657525</v>
      </c>
      <c r="P35" s="5073">
        <f>($I10-SUM($L10:O10))*$G10/365*30</f>
        <v>701.4334199486301</v>
      </c>
      <c r="Q35" s="1555">
        <f>($I10-SUM($L10:P10))*$G10/365*30</f>
        <v>688.91168065068484</v>
      </c>
      <c r="R35" s="1553">
        <f>($I10-SUM($L10:Q10))*$G10/365*30</f>
        <v>676.3899413527397</v>
      </c>
      <c r="S35" s="1599">
        <f>($I10-SUM($L10:R10))*$G10/365*30</f>
        <v>663.86820205479455</v>
      </c>
      <c r="T35" s="1555">
        <f>($I10-SUM($L10:S10))*$G10/365*30</f>
        <v>651.34646275684929</v>
      </c>
      <c r="U35" s="1553">
        <f>($I10-SUM($L10:T10))*$G10/365*30</f>
        <v>638.82472345890415</v>
      </c>
      <c r="V35" s="1599">
        <f>($I10-SUM($L10:U10))*$G10/365*30</f>
        <v>626.30298416095889</v>
      </c>
      <c r="W35" s="1555">
        <f>($I10-SUM($L10:V10))*$G10/365*30</f>
        <v>613.78124486301363</v>
      </c>
      <c r="X35" s="1654">
        <f t="shared" si="22"/>
        <v>8202.6763073630136</v>
      </c>
      <c r="Y35" s="2783"/>
      <c r="AB35" s="2425"/>
      <c r="AC35" s="2182"/>
      <c r="AD35" s="2182"/>
    </row>
    <row r="36" spans="1:40" s="2249" customFormat="1" ht="19.5" customHeight="1">
      <c r="A36" s="7564"/>
      <c r="B36" s="6069" t="s">
        <v>1835</v>
      </c>
      <c r="C36" s="6070"/>
      <c r="D36" s="6071"/>
      <c r="E36" s="6071">
        <f>SUM(E30:E33)</f>
        <v>768523.13099999994</v>
      </c>
      <c r="F36" s="6113"/>
      <c r="G36" s="6073"/>
      <c r="H36" s="6073"/>
      <c r="I36" s="6070">
        <f>SUM(I30:I35)</f>
        <v>447792.66893269226</v>
      </c>
      <c r="J36" s="6114">
        <f>SUM(J30:J35)</f>
        <v>6821.620609077977</v>
      </c>
      <c r="K36" s="6076"/>
      <c r="L36" s="6078">
        <f>SUM(L30:L35)+514</f>
        <v>3347.8434791193358</v>
      </c>
      <c r="M36" s="6115">
        <f>SUM(M30:M35)+546</f>
        <v>3234.0613884199156</v>
      </c>
      <c r="N36" s="6079">
        <f t="shared" ref="N36:W36" si="23">SUM(N30:N35)</f>
        <v>2542.2792977204949</v>
      </c>
      <c r="O36" s="6078">
        <f>SUM(O30:O35)</f>
        <v>2400.1193988018968</v>
      </c>
      <c r="P36" s="6115">
        <f>SUM(P30:P35)+272</f>
        <v>2529.9594998832986</v>
      </c>
      <c r="Q36" s="6076">
        <f t="shared" si="23"/>
        <v>2115.7996009646995</v>
      </c>
      <c r="R36" s="6081">
        <f t="shared" si="23"/>
        <v>1952.5381679091147</v>
      </c>
      <c r="S36" s="6080">
        <f t="shared" si="23"/>
        <v>1865.6718870727082</v>
      </c>
      <c r="T36" s="6076">
        <f t="shared" si="23"/>
        <v>1778.8056062363012</v>
      </c>
      <c r="U36" s="6111">
        <f t="shared" si="23"/>
        <v>1691.9393253998944</v>
      </c>
      <c r="V36" s="6080">
        <f t="shared" si="23"/>
        <v>1605.0730445634877</v>
      </c>
      <c r="W36" s="6076">
        <f t="shared" si="23"/>
        <v>1518.2067637270809</v>
      </c>
      <c r="X36" s="6082">
        <f>SUM(L36:W36)</f>
        <v>26582.29745981823</v>
      </c>
      <c r="Y36" s="2783"/>
      <c r="AB36" s="2542"/>
      <c r="AC36" s="1922"/>
      <c r="AD36" s="1922"/>
      <c r="AN36" s="1546"/>
    </row>
    <row r="37" spans="1:40" s="1618" customFormat="1" ht="19.5" customHeight="1">
      <c r="A37" s="6086" t="s">
        <v>532</v>
      </c>
      <c r="B37" s="6087" t="s">
        <v>518</v>
      </c>
      <c r="C37" s="6088" t="s">
        <v>520</v>
      </c>
      <c r="D37" s="6089">
        <v>5</v>
      </c>
      <c r="E37" s="6089">
        <f>+E12</f>
        <v>109976.91141346154</v>
      </c>
      <c r="F37" s="6090">
        <v>48</v>
      </c>
      <c r="G37" s="6091">
        <f t="shared" ref="G37:G48" si="24">+H12</f>
        <v>9.0700000000000003E-2</v>
      </c>
      <c r="H37" s="6092">
        <f t="shared" ref="H37:H48" si="25">+H12</f>
        <v>9.0700000000000003E-2</v>
      </c>
      <c r="I37" s="6089">
        <v>63786.608619807688</v>
      </c>
      <c r="J37" s="6093">
        <f t="shared" si="20"/>
        <v>218.05182484771569</v>
      </c>
      <c r="K37" s="6094"/>
      <c r="L37" s="6116">
        <f>$I12*$G12/360*30</f>
        <v>478.39956459850805</v>
      </c>
      <c r="M37" s="6117">
        <f>($I12-SUM($L12:L12))*$G12/365*30</f>
        <v>455.5755891483177</v>
      </c>
      <c r="N37" s="5532">
        <f>($I12-SUM($L12:M12))*$G12/360*30</f>
        <v>445.40649117446952</v>
      </c>
      <c r="O37" s="6116">
        <f>($I12-SUM($L12:N12))*$G12/360*30</f>
        <v>428.90995446245029</v>
      </c>
      <c r="P37" s="6518">
        <f>($I12-SUM($L12:O12))*$G12/360*30</f>
        <v>412.41341775043111</v>
      </c>
      <c r="Q37" s="5119">
        <f>($I12-SUM($L12:P12))*$G12/360*30</f>
        <v>395.91688103841182</v>
      </c>
      <c r="R37" s="6096"/>
      <c r="S37" s="6097"/>
      <c r="T37" s="6098"/>
      <c r="U37" s="6099"/>
      <c r="V37" s="6097"/>
      <c r="W37" s="6098"/>
      <c r="X37" s="6100">
        <f t="shared" ref="X37:X48" si="26">SUM(L37:W37)</f>
        <v>2616.6218981725883</v>
      </c>
      <c r="Y37" s="2783"/>
      <c r="AB37" s="2425"/>
      <c r="AC37" s="2182"/>
      <c r="AD37" s="2182"/>
    </row>
    <row r="38" spans="1:40" s="1618" customFormat="1" ht="19.5" customHeight="1">
      <c r="A38" s="2205"/>
      <c r="B38" s="2026" t="s">
        <v>519</v>
      </c>
      <c r="C38" s="6044" t="s">
        <v>520</v>
      </c>
      <c r="D38" s="6043">
        <v>51</v>
      </c>
      <c r="E38" s="6043">
        <v>745911.81365999999</v>
      </c>
      <c r="F38" s="4207">
        <v>48</v>
      </c>
      <c r="G38" s="4210">
        <f t="shared" si="24"/>
        <v>9.0700000000000003E-2</v>
      </c>
      <c r="H38" s="4150">
        <f t="shared" si="25"/>
        <v>9.0700000000000003E-2</v>
      </c>
      <c r="I38" s="6043">
        <v>435979.9426975</v>
      </c>
      <c r="J38" s="4151">
        <f t="shared" si="20"/>
        <v>1425.4805091149271</v>
      </c>
      <c r="K38" s="3598"/>
      <c r="L38" s="4517">
        <f t="shared" ref="L38:L47" si="27">$I13*$G13/360*30</f>
        <v>3119.919604886104</v>
      </c>
      <c r="M38" s="5048">
        <f>($I13-SUM($L13:L13))*$G13/360*30</f>
        <v>3012.3361702236048</v>
      </c>
      <c r="N38" s="5533">
        <f>($I13-SUM($L13:M13))*$G13/360*30</f>
        <v>2904.7527355611041</v>
      </c>
      <c r="O38" s="4517">
        <f>($I13-SUM($L13:N13))*$G13/360*30</f>
        <v>2797.1693008986049</v>
      </c>
      <c r="P38" s="4521">
        <f>($I13-SUM($L13:O13))*$G13/360*30</f>
        <v>2689.5858662361047</v>
      </c>
      <c r="Q38" s="5120">
        <f>($I13-SUM($L13:P13))*$G13/360*30</f>
        <v>2582.0024315736046</v>
      </c>
      <c r="R38" s="4202"/>
      <c r="S38" s="4194"/>
      <c r="T38" s="4195"/>
      <c r="U38" s="4193"/>
      <c r="V38" s="4194"/>
      <c r="W38" s="4195"/>
      <c r="X38" s="4153">
        <f t="shared" si="26"/>
        <v>17105.766109379125</v>
      </c>
      <c r="Y38" s="2783"/>
      <c r="AB38" s="2425"/>
      <c r="AC38" s="2182"/>
      <c r="AD38" s="2182"/>
    </row>
    <row r="39" spans="1:40" s="1618" customFormat="1" ht="19.5" customHeight="1">
      <c r="A39" s="2205"/>
      <c r="B39" s="2026" t="s">
        <v>518</v>
      </c>
      <c r="C39" s="6044" t="s">
        <v>521</v>
      </c>
      <c r="D39" s="6043">
        <v>2</v>
      </c>
      <c r="E39" s="6043">
        <v>54586.687408199999</v>
      </c>
      <c r="F39" s="4207">
        <v>60</v>
      </c>
      <c r="G39" s="4210">
        <f t="shared" si="24"/>
        <v>9.3299999999999994E-2</v>
      </c>
      <c r="H39" s="4150">
        <f t="shared" si="25"/>
        <v>9.3299999999999994E-2</v>
      </c>
      <c r="I39" s="6043">
        <v>35271.398017606167</v>
      </c>
      <c r="J39" s="4151">
        <f t="shared" si="20"/>
        <v>22.142599866608311</v>
      </c>
      <c r="K39" s="3598"/>
      <c r="L39" s="4515">
        <f t="shared" si="27"/>
        <v>265.71119839929975</v>
      </c>
      <c r="M39" s="5076"/>
      <c r="N39" s="5525"/>
      <c r="O39" s="6101"/>
      <c r="P39" s="6513"/>
      <c r="Q39" s="4198"/>
      <c r="R39" s="4196"/>
      <c r="S39" s="4197"/>
      <c r="T39" s="4198"/>
      <c r="U39" s="4196"/>
      <c r="V39" s="4197"/>
      <c r="W39" s="4198"/>
      <c r="X39" s="1654">
        <f t="shared" si="26"/>
        <v>265.71119839929975</v>
      </c>
      <c r="Y39" s="2783"/>
      <c r="AB39" s="2425"/>
      <c r="AC39" s="2182"/>
      <c r="AD39" s="2182"/>
    </row>
    <row r="40" spans="1:40" s="1618" customFormat="1" ht="19.5" customHeight="1">
      <c r="A40" s="2205"/>
      <c r="B40" s="2026" t="s">
        <v>519</v>
      </c>
      <c r="C40" s="6044" t="s">
        <v>975</v>
      </c>
      <c r="D40" s="6043">
        <v>25</v>
      </c>
      <c r="E40" s="6043">
        <v>599814.19570499996</v>
      </c>
      <c r="F40" s="4207">
        <v>60</v>
      </c>
      <c r="G40" s="4210">
        <f t="shared" si="24"/>
        <v>9.3299999999999994E-2</v>
      </c>
      <c r="H40" s="4150">
        <f t="shared" si="25"/>
        <v>9.3299999999999994E-2</v>
      </c>
      <c r="I40" s="6043">
        <v>405190.7347835477</v>
      </c>
      <c r="J40" s="4151">
        <f t="shared" si="20"/>
        <v>254.3697390585605</v>
      </c>
      <c r="K40" s="3598"/>
      <c r="L40" s="4517">
        <f t="shared" si="27"/>
        <v>3052.4368687027259</v>
      </c>
      <c r="M40" s="5076"/>
      <c r="N40" s="5525"/>
      <c r="O40" s="6101"/>
      <c r="P40" s="6513"/>
      <c r="Q40" s="4198"/>
      <c r="R40" s="4196"/>
      <c r="S40" s="4197"/>
      <c r="T40" s="4198"/>
      <c r="U40" s="4196"/>
      <c r="V40" s="4197"/>
      <c r="W40" s="4198"/>
      <c r="X40" s="1654">
        <f t="shared" si="26"/>
        <v>3052.4368687027259</v>
      </c>
      <c r="Y40" s="2783"/>
      <c r="AB40" s="2425"/>
      <c r="AC40" s="2182"/>
      <c r="AD40" s="2182"/>
    </row>
    <row r="41" spans="1:40" s="1618" customFormat="1" ht="19.5" customHeight="1">
      <c r="A41" s="2205"/>
      <c r="B41" s="4141" t="s">
        <v>974</v>
      </c>
      <c r="C41" s="4142" t="s">
        <v>975</v>
      </c>
      <c r="D41" s="4143">
        <v>2</v>
      </c>
      <c r="E41" s="4143">
        <f>1589522078.16/25000</f>
        <v>63580.883126400004</v>
      </c>
      <c r="F41" s="4208">
        <v>48</v>
      </c>
      <c r="G41" s="4211">
        <f t="shared" si="24"/>
        <v>9.0700000000000003E-2</v>
      </c>
      <c r="H41" s="4147">
        <f t="shared" si="25"/>
        <v>9.0700000000000003E-2</v>
      </c>
      <c r="I41" s="4143">
        <v>37903.988017661548</v>
      </c>
      <c r="J41" s="4146">
        <f t="shared" si="20"/>
        <v>23.110903805213084</v>
      </c>
      <c r="K41" s="2734"/>
      <c r="L41" s="4517">
        <f t="shared" si="27"/>
        <v>277.33084566255701</v>
      </c>
      <c r="M41" s="5077"/>
      <c r="N41" s="5526"/>
      <c r="O41" s="6102"/>
      <c r="P41" s="6514"/>
      <c r="Q41" s="4201"/>
      <c r="R41" s="4199"/>
      <c r="S41" s="4200"/>
      <c r="T41" s="4201"/>
      <c r="U41" s="4199"/>
      <c r="V41" s="4200"/>
      <c r="W41" s="4201"/>
      <c r="X41" s="4156">
        <f t="shared" si="26"/>
        <v>277.33084566255701</v>
      </c>
      <c r="Y41" s="2783"/>
      <c r="AB41" s="2425"/>
      <c r="AC41" s="2182"/>
      <c r="AD41" s="2182"/>
    </row>
    <row r="42" spans="1:40" s="1618" customFormat="1" ht="19.5" customHeight="1">
      <c r="A42" s="2205"/>
      <c r="B42" s="2026" t="s">
        <v>976</v>
      </c>
      <c r="C42" s="6044" t="s">
        <v>975</v>
      </c>
      <c r="D42" s="6043">
        <v>5</v>
      </c>
      <c r="E42" s="6043">
        <f>1903386870/25000</f>
        <v>76135.474799999996</v>
      </c>
      <c r="F42" s="4207">
        <v>48</v>
      </c>
      <c r="G42" s="4210">
        <f t="shared" si="24"/>
        <v>9.0700000000000003E-2</v>
      </c>
      <c r="H42" s="4150">
        <f t="shared" si="25"/>
        <v>9.0700000000000003E-2</v>
      </c>
      <c r="I42" s="6043">
        <v>45658.516130769211</v>
      </c>
      <c r="J42" s="4151">
        <f t="shared" si="20"/>
        <v>27.839011918621782</v>
      </c>
      <c r="K42" s="3598"/>
      <c r="L42" s="4517">
        <f t="shared" si="27"/>
        <v>334.0681430234614</v>
      </c>
      <c r="M42" s="5076"/>
      <c r="N42" s="5525"/>
      <c r="O42" s="6101"/>
      <c r="P42" s="6513"/>
      <c r="Q42" s="4198"/>
      <c r="R42" s="4196"/>
      <c r="S42" s="4197"/>
      <c r="T42" s="4198"/>
      <c r="U42" s="4196"/>
      <c r="V42" s="4197"/>
      <c r="W42" s="4198"/>
      <c r="X42" s="1654">
        <f t="shared" si="26"/>
        <v>334.0681430234614</v>
      </c>
      <c r="Y42" s="2783"/>
      <c r="AB42" s="2425"/>
      <c r="AC42" s="2182"/>
      <c r="AD42" s="2182"/>
    </row>
    <row r="43" spans="1:40" s="1618" customFormat="1" ht="19.5" customHeight="1">
      <c r="A43" s="2205"/>
      <c r="B43" s="2026" t="s">
        <v>977</v>
      </c>
      <c r="C43" s="6044" t="s">
        <v>975</v>
      </c>
      <c r="D43" s="6043">
        <v>1</v>
      </c>
      <c r="E43" s="6043">
        <f>720000000/25000</f>
        <v>28800</v>
      </c>
      <c r="F43" s="4207">
        <v>48</v>
      </c>
      <c r="G43" s="4210">
        <f t="shared" si="24"/>
        <v>9.0700000000000003E-2</v>
      </c>
      <c r="H43" s="4150">
        <f t="shared" si="25"/>
        <v>9.0700000000000003E-2</v>
      </c>
      <c r="I43" s="6043">
        <v>21085.074011569232</v>
      </c>
      <c r="J43" s="4151">
        <f t="shared" si="20"/>
        <v>12.85603818205402</v>
      </c>
      <c r="K43" s="3598"/>
      <c r="L43" s="4517">
        <f t="shared" si="27"/>
        <v>154.27245818464823</v>
      </c>
      <c r="M43" s="5078"/>
      <c r="N43" s="5527"/>
      <c r="O43" s="6103"/>
      <c r="P43" s="6515"/>
      <c r="Q43" s="4195"/>
      <c r="R43" s="4193"/>
      <c r="S43" s="4194"/>
      <c r="T43" s="4195"/>
      <c r="U43" s="4196"/>
      <c r="V43" s="4197"/>
      <c r="W43" s="4198"/>
      <c r="X43" s="1654">
        <f t="shared" si="26"/>
        <v>154.27245818464823</v>
      </c>
      <c r="Y43" s="2783"/>
      <c r="AB43" s="2425"/>
      <c r="AC43" s="2182"/>
      <c r="AD43" s="2182"/>
    </row>
    <row r="44" spans="1:40" s="1618" customFormat="1" ht="19.5" customHeight="1">
      <c r="A44" s="2205"/>
      <c r="B44" s="2026" t="s">
        <v>806</v>
      </c>
      <c r="C44" s="6044" t="s">
        <v>807</v>
      </c>
      <c r="D44" s="6043">
        <v>1</v>
      </c>
      <c r="E44" s="6043">
        <f>4354311864/25000</f>
        <v>174172.47456</v>
      </c>
      <c r="F44" s="4207">
        <v>60</v>
      </c>
      <c r="G44" s="4210">
        <f t="shared" si="24"/>
        <v>9.1300000000000006E-2</v>
      </c>
      <c r="H44" s="4150">
        <f t="shared" si="25"/>
        <v>9.1300000000000006E-2</v>
      </c>
      <c r="I44" s="6043">
        <v>122813.92438461538</v>
      </c>
      <c r="J44" s="4151">
        <f t="shared" si="20"/>
        <v>616.86084748500014</v>
      </c>
      <c r="K44" s="3598"/>
      <c r="L44" s="4515">
        <f t="shared" si="27"/>
        <v>904.72924296666679</v>
      </c>
      <c r="M44" s="5075">
        <f>($I19-SUM($L19:L19))*$G19/360*30</f>
        <v>884.16721472000006</v>
      </c>
      <c r="N44" s="5524">
        <f>($I19-SUM($L19:M19))*$G19/360*30</f>
        <v>863.60518647333345</v>
      </c>
      <c r="O44" s="4515">
        <f>($I19-SUM($L19:N19))*$G19/360*30</f>
        <v>843.04315822666683</v>
      </c>
      <c r="P44" s="5075">
        <f>($I19-SUM($L19:O19))*$G19/360*30</f>
        <v>822.48112997999999</v>
      </c>
      <c r="Q44" s="1579">
        <f>($I19-SUM($L19:P19))*$G19/360*30</f>
        <v>801.91910173333326</v>
      </c>
      <c r="R44" s="4152">
        <f>($I19-SUM($L19:Q19))*$G19/360*30</f>
        <v>781.35707348666665</v>
      </c>
      <c r="S44" s="1758">
        <f>($I19-SUM($L19:R19))*$G19/360*30</f>
        <v>760.79504524000004</v>
      </c>
      <c r="T44" s="1579">
        <f>($I19-SUM($L19:S19))*$G19/360*30</f>
        <v>740.23301699333342</v>
      </c>
      <c r="U44" s="4196"/>
      <c r="V44" s="4197"/>
      <c r="W44" s="4198"/>
      <c r="X44" s="4153">
        <f t="shared" si="26"/>
        <v>7402.3301698200012</v>
      </c>
      <c r="Y44" s="2783"/>
      <c r="AB44" s="2425"/>
      <c r="AC44" s="2182"/>
      <c r="AD44" s="2182"/>
    </row>
    <row r="45" spans="1:40" s="1618" customFormat="1" ht="19.5" customHeight="1">
      <c r="A45" s="2205"/>
      <c r="B45" s="2026" t="s">
        <v>978</v>
      </c>
      <c r="C45" s="6044" t="s">
        <v>979</v>
      </c>
      <c r="D45" s="6043">
        <v>8</v>
      </c>
      <c r="E45" s="6043">
        <f>6184328000/25000</f>
        <v>247373.12</v>
      </c>
      <c r="F45" s="4207">
        <v>60</v>
      </c>
      <c r="G45" s="4210">
        <f t="shared" si="24"/>
        <v>9.1300000000000006E-2</v>
      </c>
      <c r="H45" s="4154">
        <f t="shared" si="25"/>
        <v>9.1300000000000006E-2</v>
      </c>
      <c r="I45" s="4155">
        <v>174429.76403846155</v>
      </c>
      <c r="J45" s="4151">
        <f>X45/12</f>
        <v>907.82763553044867</v>
      </c>
      <c r="K45" s="3598"/>
      <c r="L45" s="4515">
        <f t="shared" si="27"/>
        <v>1331.4805321602564</v>
      </c>
      <c r="M45" s="5075">
        <f>($I20-SUM($L20:L20))*$G20/360*30</f>
        <v>1301.2196109636752</v>
      </c>
      <c r="N45" s="5528">
        <f>($I20-SUM($L20:M20))*$G20/360*30</f>
        <v>1270.9586897670943</v>
      </c>
      <c r="O45" s="4517">
        <f>($I20-SUM($L20:N20))*$G20/360*30</f>
        <v>1240.6977685705131</v>
      </c>
      <c r="P45" s="5048">
        <f>($I20-SUM($L20:O20))*$G20/360*30</f>
        <v>1210.4368473739316</v>
      </c>
      <c r="Q45" s="2736">
        <f>($I20-SUM($L20:P20))*$G20/360*30</f>
        <v>1180.1759261773507</v>
      </c>
      <c r="R45" s="2737">
        <f>($I20-SUM($L20:Q20))*$G20/360*30</f>
        <v>1149.9150049807693</v>
      </c>
      <c r="S45" s="3262">
        <f>($I20-SUM($L20:R20))*$G20/360*30</f>
        <v>1119.6540837841883</v>
      </c>
      <c r="T45" s="2736">
        <f>($I20-SUM($L20:S20))*$G20/360*30</f>
        <v>1089.3931625876069</v>
      </c>
      <c r="U45" s="4196"/>
      <c r="V45" s="4197"/>
      <c r="W45" s="4198"/>
      <c r="X45" s="1654">
        <f>SUM(L45:W45)</f>
        <v>10893.931626365384</v>
      </c>
      <c r="Y45" s="2783"/>
      <c r="AB45" s="2425"/>
      <c r="AC45" s="2182"/>
      <c r="AD45" s="2182"/>
    </row>
    <row r="46" spans="1:40" s="1618" customFormat="1" ht="19.5" customHeight="1">
      <c r="A46" s="2205"/>
      <c r="B46" s="4141" t="s">
        <v>1132</v>
      </c>
      <c r="C46" s="4142" t="s">
        <v>1133</v>
      </c>
      <c r="D46" s="4143">
        <v>4</v>
      </c>
      <c r="E46" s="4143">
        <v>137899.95791999999</v>
      </c>
      <c r="F46" s="4208">
        <v>60</v>
      </c>
      <c r="G46" s="4211">
        <f t="shared" si="24"/>
        <v>8.8800000000000004E-2</v>
      </c>
      <c r="H46" s="4144">
        <f t="shared" si="25"/>
        <v>8.8800000000000004E-2</v>
      </c>
      <c r="I46" s="4145">
        <v>86408.467384615389</v>
      </c>
      <c r="J46" s="4146">
        <f t="shared" si="20"/>
        <v>524.05091841008289</v>
      </c>
      <c r="K46" s="2734"/>
      <c r="L46" s="4517">
        <f t="shared" si="27"/>
        <v>641.5828703307692</v>
      </c>
      <c r="M46" s="5048">
        <f>($I21-SUM($L21:L21))*$G21/360*30</f>
        <v>627.63541665317302</v>
      </c>
      <c r="N46" s="5528">
        <f>($I21-SUM($L21:M21))*$G21/360*30</f>
        <v>613.68796297557697</v>
      </c>
      <c r="O46" s="4517">
        <f>($I21-SUM($L21:N21))*$G21/360*30</f>
        <v>599.74050929798079</v>
      </c>
      <c r="P46" s="5048">
        <f>($I21-SUM($L21:O21))*$G21/360*30</f>
        <v>585.79305562038462</v>
      </c>
      <c r="Q46" s="2736">
        <f>($I21-SUM($L21:P21))*$G21/360*30</f>
        <v>571.84560194278845</v>
      </c>
      <c r="R46" s="2737">
        <f>($I21-SUM($L21:Q21))*$G21/360*30</f>
        <v>557.89814826519239</v>
      </c>
      <c r="S46" s="3262">
        <f>($I21-SUM($L21:R21))*$G21/360*30</f>
        <v>543.9506945875961</v>
      </c>
      <c r="T46" s="2736">
        <f>($I21-SUM($L21:S21))*$G21/360*30</f>
        <v>530.00324091000005</v>
      </c>
      <c r="U46" s="4152">
        <f>($I21-SUM($L21:T21))*$G21/360*30</f>
        <v>516.05578723240387</v>
      </c>
      <c r="V46" s="1758">
        <f>($I21-SUM($L21:U21))*$H21/360*30</f>
        <v>500.41773310512832</v>
      </c>
      <c r="W46" s="4198"/>
      <c r="X46" s="1654">
        <f t="shared" si="26"/>
        <v>6288.6110209209946</v>
      </c>
      <c r="Y46" s="2783"/>
      <c r="AB46" s="2425"/>
      <c r="AC46" s="2182"/>
      <c r="AD46" s="2182"/>
    </row>
    <row r="47" spans="1:40" s="1618" customFormat="1" ht="19.5" customHeight="1">
      <c r="A47" s="2205"/>
      <c r="B47" s="4141" t="s">
        <v>1168</v>
      </c>
      <c r="C47" s="4142" t="s">
        <v>1167</v>
      </c>
      <c r="D47" s="4143">
        <v>4</v>
      </c>
      <c r="E47" s="4143">
        <f>+I47</f>
        <v>330528.23031923076</v>
      </c>
      <c r="F47" s="4208">
        <v>60</v>
      </c>
      <c r="G47" s="4211">
        <f t="shared" si="24"/>
        <v>8.5800000000000001E-2</v>
      </c>
      <c r="H47" s="4147">
        <f t="shared" si="25"/>
        <v>8.5800000000000001E-2</v>
      </c>
      <c r="I47" s="4148">
        <v>330528.23031923076</v>
      </c>
      <c r="J47" s="4146">
        <f t="shared" si="20"/>
        <v>2099.2559461928126</v>
      </c>
      <c r="K47" s="2734"/>
      <c r="L47" s="4517">
        <f t="shared" si="27"/>
        <v>2371.5400525404807</v>
      </c>
      <c r="M47" s="5048">
        <f>($I22-SUM($L22:L22))*$G22/360*30</f>
        <v>2322.1329681220977</v>
      </c>
      <c r="N47" s="5528">
        <f>($I22-SUM($L22:M22))*$G22/360*30</f>
        <v>2272.7258837037148</v>
      </c>
      <c r="O47" s="4517">
        <f>($I22-SUM($L22:N22))*$G22/360*30</f>
        <v>2223.3187992853314</v>
      </c>
      <c r="P47" s="5048">
        <f>($I22-SUM($L22:O22))*$G22/360*30</f>
        <v>2173.9117148669484</v>
      </c>
      <c r="Q47" s="2736">
        <f>($I22-SUM($L22:P22))*$G22/360*30</f>
        <v>2124.5046304485654</v>
      </c>
      <c r="R47" s="2737">
        <f>($I22-SUM($L22:Q22))*$G22/360*30</f>
        <v>2075.0975460301829</v>
      </c>
      <c r="S47" s="3262">
        <f>($I22-SUM($L22:R22))*$G22/360*30</f>
        <v>2025.6904616117995</v>
      </c>
      <c r="T47" s="2736">
        <f>($I22-SUM($L22:S22))*$G22/360*30</f>
        <v>1976.2833771934165</v>
      </c>
      <c r="U47" s="2737">
        <f>($I22-SUM($L22:T22))*$G22/360*30</f>
        <v>1926.8762927750336</v>
      </c>
      <c r="V47" s="3262">
        <f>($I22-SUM($L22:U22))*$H22/360*30</f>
        <v>1870.9275037979166</v>
      </c>
      <c r="W47" s="1579">
        <f>($I22-SUM($L22:V22))*$G22/360*30</f>
        <v>1828.0621239382674</v>
      </c>
      <c r="X47" s="1654">
        <f t="shared" si="26"/>
        <v>25191.071354313754</v>
      </c>
      <c r="Y47" s="2783"/>
      <c r="AB47" s="2425"/>
      <c r="AC47" s="2182"/>
      <c r="AD47" s="2182"/>
    </row>
    <row r="48" spans="1:40" s="1618" customFormat="1" ht="19.5" customHeight="1">
      <c r="A48" s="2205"/>
      <c r="B48" s="3733" t="s">
        <v>1179</v>
      </c>
      <c r="C48" s="4137" t="s">
        <v>1178</v>
      </c>
      <c r="D48" s="4138">
        <v>1</v>
      </c>
      <c r="E48" s="4138">
        <f>8074069755/25000</f>
        <v>322962.79019999999</v>
      </c>
      <c r="F48" s="4209">
        <v>60</v>
      </c>
      <c r="G48" s="4212">
        <f t="shared" si="24"/>
        <v>8.5800000000000001E-2</v>
      </c>
      <c r="H48" s="4139">
        <f t="shared" si="25"/>
        <v>8.5800000000000001E-2</v>
      </c>
      <c r="I48" s="4149">
        <v>253608.60136461537</v>
      </c>
      <c r="J48" s="4140">
        <f t="shared" si="20"/>
        <v>1689.877326916602</v>
      </c>
      <c r="K48" s="3242"/>
      <c r="L48" s="4518">
        <f>$I23*$G23/360*30+923</f>
        <v>2742.6417147911152</v>
      </c>
      <c r="M48" s="5051">
        <f>($I23-SUM($L23:L23))*$G23/360*30</f>
        <v>1782.506169601648</v>
      </c>
      <c r="N48" s="5533">
        <f>($I23-SUM($L23:M23))*$G23/360*30</f>
        <v>1745.3706244121806</v>
      </c>
      <c r="O48" s="4750">
        <f>($I23-SUM($L23:N23))*$G23/360*30</f>
        <v>1708.235079222713</v>
      </c>
      <c r="P48" s="6519">
        <f>($I23-SUM($L23:O23))*$G23/360*30</f>
        <v>1671.0995340332461</v>
      </c>
      <c r="Q48" s="1573">
        <f>($I23-SUM($L23:P23))*$G23/360*30</f>
        <v>1633.9639888437787</v>
      </c>
      <c r="R48" s="1571">
        <f>($I23-SUM($L23:Q23))*$G23/360*30</f>
        <v>1596.8284436543115</v>
      </c>
      <c r="S48" s="1751">
        <f>($I23-SUM($L23:R23))*$G23/360*30</f>
        <v>1559.6928984648443</v>
      </c>
      <c r="T48" s="1573">
        <f>($I23-SUM($L23:S23))*$G23/360*30</f>
        <v>1522.5573532753767</v>
      </c>
      <c r="U48" s="1571">
        <f>($I23-SUM($L23:T23))*$G23/360*30</f>
        <v>1485.4218080859093</v>
      </c>
      <c r="V48" s="1751">
        <f>($I23-SUM($L23:U23))*$H23/360*30</f>
        <v>1443.2399692975</v>
      </c>
      <c r="W48" s="1573">
        <f>($I23-SUM($L23:V23))*$H23/365*30</f>
        <v>1386.9703393165971</v>
      </c>
      <c r="X48" s="1654">
        <f t="shared" si="26"/>
        <v>20278.527922999223</v>
      </c>
      <c r="Y48" s="2783"/>
      <c r="AB48" s="2425"/>
      <c r="AC48" s="2182"/>
      <c r="AD48" s="2182"/>
    </row>
    <row r="49" spans="1:30" s="2249" customFormat="1" ht="19.5" customHeight="1" thickBot="1">
      <c r="A49" s="4997"/>
      <c r="B49" s="6118" t="s">
        <v>1835</v>
      </c>
      <c r="C49" s="6080"/>
      <c r="D49" s="6080"/>
      <c r="E49" s="6110">
        <f>SUM(E37:E48)</f>
        <v>2891742.5391122922</v>
      </c>
      <c r="F49" s="6111"/>
      <c r="G49" s="6080"/>
      <c r="H49" s="6080"/>
      <c r="I49" s="6080">
        <f>SUM(I37:I48)</f>
        <v>2012665.2497699999</v>
      </c>
      <c r="J49" s="6119">
        <f>SUM(J37:J48)</f>
        <v>7821.7233013286468</v>
      </c>
      <c r="K49" s="6082"/>
      <c r="L49" s="6077">
        <f t="shared" ref="L49:W49" si="28">SUM(L37:L48)</f>
        <v>15674.11309624659</v>
      </c>
      <c r="M49" s="6120">
        <f>SUM(M37:M48)+854</f>
        <v>11239.573139432516</v>
      </c>
      <c r="N49" s="6079">
        <f>SUM(N37:N48)+743</f>
        <v>10859.507574067473</v>
      </c>
      <c r="O49" s="6077">
        <f>SUM(O37:O48)+981</f>
        <v>10822.11456996426</v>
      </c>
      <c r="P49" s="6115">
        <f>SUM(P37:P48)+1313</f>
        <v>10878.721565861046</v>
      </c>
      <c r="Q49" s="6076">
        <f t="shared" si="28"/>
        <v>9290.3285617578331</v>
      </c>
      <c r="R49" s="6111">
        <f t="shared" si="28"/>
        <v>6161.0962164171224</v>
      </c>
      <c r="S49" s="6080">
        <f t="shared" si="28"/>
        <v>6009.7831836884288</v>
      </c>
      <c r="T49" s="6076">
        <f t="shared" si="28"/>
        <v>5858.4701509597344</v>
      </c>
      <c r="U49" s="6111">
        <f t="shared" si="28"/>
        <v>3928.3538880933465</v>
      </c>
      <c r="V49" s="6080">
        <f t="shared" si="28"/>
        <v>3814.5852062005451</v>
      </c>
      <c r="W49" s="6076">
        <f t="shared" si="28"/>
        <v>3215.0324632548645</v>
      </c>
      <c r="X49" s="6121">
        <f>SUM(L49:W49)</f>
        <v>97751.679615943751</v>
      </c>
      <c r="Y49" s="2783"/>
      <c r="AB49" s="2542"/>
      <c r="AC49" s="1922"/>
      <c r="AD49" s="1922"/>
    </row>
    <row r="50" spans="1:30" s="1618" customFormat="1" ht="19.5" customHeight="1" thickBot="1">
      <c r="A50" s="7390" t="s">
        <v>1840</v>
      </c>
      <c r="B50" s="7409"/>
      <c r="C50" s="7409"/>
      <c r="D50" s="7409"/>
      <c r="E50" s="1606">
        <f>+E36+E49</f>
        <v>3660265.6701122923</v>
      </c>
      <c r="F50" s="1779"/>
      <c r="G50" s="1673"/>
      <c r="H50" s="1673"/>
      <c r="I50" s="1605">
        <f>+I36+I49</f>
        <v>2460457.9187026923</v>
      </c>
      <c r="J50" s="17">
        <f>+J36+J49</f>
        <v>14643.343910406624</v>
      </c>
      <c r="K50" s="1674"/>
      <c r="L50" s="3952">
        <f t="shared" ref="L50:X50" si="29">+L36+L49</f>
        <v>19021.956575365926</v>
      </c>
      <c r="M50" s="5012">
        <f t="shared" si="29"/>
        <v>14473.634527852431</v>
      </c>
      <c r="N50" s="5505">
        <f t="shared" si="29"/>
        <v>13401.786871787968</v>
      </c>
      <c r="O50" s="3952">
        <f t="shared" si="29"/>
        <v>13222.233968766157</v>
      </c>
      <c r="P50" s="5012">
        <f t="shared" si="29"/>
        <v>13408.681065744344</v>
      </c>
      <c r="Q50" s="1606">
        <f t="shared" si="29"/>
        <v>11406.128162722533</v>
      </c>
      <c r="R50" s="1604">
        <f t="shared" si="29"/>
        <v>8113.6343843262366</v>
      </c>
      <c r="S50" s="1605">
        <f t="shared" si="29"/>
        <v>7875.455070761137</v>
      </c>
      <c r="T50" s="1606">
        <f t="shared" si="29"/>
        <v>7637.2757571960356</v>
      </c>
      <c r="U50" s="1604">
        <f t="shared" si="29"/>
        <v>5620.2932134932407</v>
      </c>
      <c r="V50" s="1605">
        <f t="shared" si="29"/>
        <v>5419.6582507640323</v>
      </c>
      <c r="W50" s="1606">
        <f t="shared" si="29"/>
        <v>4733.2392269819456</v>
      </c>
      <c r="X50" s="1674">
        <f t="shared" si="29"/>
        <v>124333.97707576198</v>
      </c>
      <c r="Y50" s="2783"/>
      <c r="AB50" s="2425"/>
      <c r="AC50" s="2182"/>
      <c r="AD50" s="2182"/>
    </row>
    <row r="51" spans="1:30" s="1618" customFormat="1" ht="19.5" customHeight="1" thickBot="1">
      <c r="A51" s="7567" t="s">
        <v>587</v>
      </c>
      <c r="B51" s="7568"/>
      <c r="C51" s="7568"/>
      <c r="D51" s="7568"/>
      <c r="E51" s="2789"/>
      <c r="F51" s="2790"/>
      <c r="G51" s="2791"/>
      <c r="H51" s="2791"/>
      <c r="I51" s="2792"/>
      <c r="J51" s="2793"/>
      <c r="K51" s="2795"/>
      <c r="L51" s="4773">
        <f>+L50</f>
        <v>19021.956575365926</v>
      </c>
      <c r="M51" s="5081">
        <f t="shared" ref="M51:N51" si="30">+M50</f>
        <v>14473.634527852431</v>
      </c>
      <c r="N51" s="5531">
        <f t="shared" si="30"/>
        <v>13401.786871787968</v>
      </c>
      <c r="O51" s="4773">
        <f>+O50</f>
        <v>13222.233968766157</v>
      </c>
      <c r="P51" s="5081">
        <f t="shared" ref="P51:X51" si="31">+P50</f>
        <v>13408.681065744344</v>
      </c>
      <c r="Q51" s="2789">
        <f t="shared" si="31"/>
        <v>11406.128162722533</v>
      </c>
      <c r="R51" s="2794">
        <f t="shared" si="31"/>
        <v>8113.6343843262366</v>
      </c>
      <c r="S51" s="2792">
        <f t="shared" si="31"/>
        <v>7875.455070761137</v>
      </c>
      <c r="T51" s="2789">
        <f t="shared" si="31"/>
        <v>7637.2757571960356</v>
      </c>
      <c r="U51" s="2794">
        <f t="shared" si="31"/>
        <v>5620.2932134932407</v>
      </c>
      <c r="V51" s="2792">
        <f t="shared" si="31"/>
        <v>5419.6582507640323</v>
      </c>
      <c r="W51" s="2789">
        <f t="shared" si="31"/>
        <v>4733.2392269819456</v>
      </c>
      <c r="X51" s="3385">
        <f t="shared" si="31"/>
        <v>124333.97707576198</v>
      </c>
      <c r="Y51" s="2783"/>
      <c r="AB51" s="2425"/>
      <c r="AC51" s="2182"/>
      <c r="AD51" s="2182"/>
    </row>
    <row r="52" spans="1:30" s="1618" customFormat="1" ht="19.5" customHeight="1" thickBot="1">
      <c r="A52" s="2796"/>
      <c r="B52" s="2796"/>
      <c r="C52" s="2796"/>
      <c r="D52" s="2796"/>
      <c r="E52" s="2797"/>
      <c r="F52" s="2797"/>
      <c r="G52" s="2797"/>
      <c r="H52" s="2797"/>
      <c r="I52" s="2797"/>
      <c r="J52" s="2796"/>
      <c r="K52" s="2798"/>
      <c r="L52" s="4775"/>
      <c r="M52" s="4775"/>
      <c r="N52" s="4775"/>
      <c r="O52" s="4775"/>
      <c r="P52" s="4775"/>
      <c r="Q52" s="2797"/>
      <c r="R52" s="2797"/>
      <c r="S52" s="2797"/>
      <c r="T52" s="2797"/>
      <c r="U52" s="2797"/>
      <c r="V52" s="2797"/>
      <c r="W52" s="2797"/>
      <c r="X52" s="2797"/>
      <c r="Y52" s="2783"/>
      <c r="AB52" s="2425"/>
      <c r="AC52" s="2182"/>
      <c r="AD52" s="2182"/>
    </row>
    <row r="53" spans="1:30" s="1618" customFormat="1" ht="19.5" customHeight="1" thickBot="1">
      <c r="A53" s="7561" t="s">
        <v>588</v>
      </c>
      <c r="B53" s="7562"/>
      <c r="C53" s="7562"/>
      <c r="D53" s="7562"/>
      <c r="E53" s="2799"/>
      <c r="F53" s="2800"/>
      <c r="G53" s="2801"/>
      <c r="H53" s="2801"/>
      <c r="I53" s="2802"/>
      <c r="J53" s="2803"/>
      <c r="K53" s="2805"/>
      <c r="L53" s="4776">
        <f t="shared" ref="L53:X53" si="32">+L26+L51</f>
        <v>640105.71010957728</v>
      </c>
      <c r="M53" s="5082">
        <f t="shared" si="32"/>
        <v>74526.349577073473</v>
      </c>
      <c r="N53" s="5534">
        <f t="shared" si="32"/>
        <v>72889.50192100901</v>
      </c>
      <c r="O53" s="4776">
        <f t="shared" si="32"/>
        <v>72709.949017987194</v>
      </c>
      <c r="P53" s="5082">
        <f t="shared" si="32"/>
        <v>72896.396114965377</v>
      </c>
      <c r="Q53" s="2799">
        <f t="shared" si="32"/>
        <v>482320.8404670998</v>
      </c>
      <c r="R53" s="2804">
        <f t="shared" si="32"/>
        <v>42062.600075975155</v>
      </c>
      <c r="S53" s="2802">
        <f t="shared" si="32"/>
        <v>41824.420762410053</v>
      </c>
      <c r="T53" s="2799">
        <f t="shared" si="32"/>
        <v>285050.4402337097</v>
      </c>
      <c r="U53" s="2804">
        <f t="shared" si="32"/>
        <v>32813.720530783183</v>
      </c>
      <c r="V53" s="2802">
        <f t="shared" si="32"/>
        <v>100192.46305180163</v>
      </c>
      <c r="W53" s="2799">
        <f t="shared" si="32"/>
        <v>253177.13499986852</v>
      </c>
      <c r="X53" s="2805">
        <f t="shared" si="32"/>
        <v>2170569.52686226</v>
      </c>
      <c r="Y53" s="2783"/>
      <c r="AB53" s="2425"/>
      <c r="AC53" s="2182"/>
      <c r="AD53" s="2182"/>
    </row>
    <row r="54" spans="1:30" ht="19.5" customHeight="1">
      <c r="X54" s="1494" t="b">
        <f>ROUND(SUM(L53:W53),0)=ROUND(X53,0)</f>
        <v>1</v>
      </c>
      <c r="Y54" s="2783"/>
    </row>
    <row r="55" spans="1:30" ht="19.5" customHeight="1">
      <c r="A55" s="2806"/>
      <c r="N55" s="5118"/>
      <c r="P55" s="5118"/>
      <c r="Y55" s="2783"/>
    </row>
    <row r="56" spans="1:30">
      <c r="L56" s="1494"/>
      <c r="M56" s="5118"/>
      <c r="N56" s="5118"/>
    </row>
    <row r="58" spans="1:30">
      <c r="L58" s="1494"/>
    </row>
  </sheetData>
  <mergeCells count="8">
    <mergeCell ref="A50:D50"/>
    <mergeCell ref="A53:D53"/>
    <mergeCell ref="A4:B4"/>
    <mergeCell ref="A5:A11"/>
    <mergeCell ref="A26:D26"/>
    <mergeCell ref="A29:B29"/>
    <mergeCell ref="A30:A36"/>
    <mergeCell ref="A51:D51"/>
  </mergeCells>
  <phoneticPr fontId="10" type="noConversion"/>
  <pageMargins left="0.7" right="0.7" top="0.75" bottom="0.75" header="0.3" footer="0.3"/>
  <pageSetup paperSize="9" orientation="portrait" r:id="rId1"/>
  <customProperties>
    <customPr name="BudgetSheetCodeName" r:id="rId2"/>
  </customProperties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1CAA4-6F80-4934-BAA0-83D2C3DF6903}">
  <dimension ref="A1:BN88"/>
  <sheetViews>
    <sheetView showGridLines="0" zoomScale="70" zoomScaleNormal="70" workbookViewId="0">
      <pane xSplit="6" ySplit="10" topLeftCell="G51" activePane="bottomRight" state="frozen"/>
      <selection pane="topRight" activeCell="G1" sqref="G1"/>
      <selection pane="bottomLeft" activeCell="A9" sqref="A9"/>
      <selection pane="bottomRight" activeCell="T70" sqref="T70"/>
    </sheetView>
  </sheetViews>
  <sheetFormatPr defaultColWidth="9" defaultRowHeight="15" customHeight="1"/>
  <cols>
    <col min="1" max="1" width="14.3984375" style="5" customWidth="1"/>
    <col min="2" max="2" width="18.69921875" style="2362" customWidth="1"/>
    <col min="3" max="3" width="7.69921875" style="3610" customWidth="1"/>
    <col min="4" max="4" width="37.8984375" style="2363" customWidth="1"/>
    <col min="5" max="5" width="52.3984375" style="2363" hidden="1" customWidth="1"/>
    <col min="6" max="6" width="11.59765625" style="4878" hidden="1" customWidth="1"/>
    <col min="7" max="8" width="13.59765625" style="1533" customWidth="1"/>
    <col min="9" max="9" width="10.09765625" style="1533" customWidth="1"/>
    <col min="10" max="11" width="13.59765625" style="1533" customWidth="1"/>
    <col min="12" max="12" width="10.09765625" style="1533" customWidth="1"/>
    <col min="13" max="14" width="13.59765625" style="1533" customWidth="1"/>
    <col min="15" max="15" width="10.09765625" style="1533" customWidth="1"/>
    <col min="16" max="17" width="13.59765625" style="1533" customWidth="1"/>
    <col min="18" max="18" width="10.09765625" style="1533" customWidth="1"/>
    <col min="19" max="20" width="13.59765625" style="1533" customWidth="1"/>
    <col min="21" max="21" width="10.09765625" style="1533" customWidth="1"/>
    <col min="22" max="23" width="13.59765625" style="1533" hidden="1" customWidth="1"/>
    <col min="24" max="24" width="10.09765625" style="1533" hidden="1" customWidth="1"/>
    <col min="25" max="26" width="13.59765625" style="1533" hidden="1" customWidth="1"/>
    <col min="27" max="27" width="10.09765625" style="1533" hidden="1" customWidth="1"/>
    <col min="28" max="29" width="13.59765625" style="1533" hidden="1" customWidth="1"/>
    <col min="30" max="30" width="10.09765625" style="1533" hidden="1" customWidth="1"/>
    <col min="31" max="32" width="13.59765625" style="1533" hidden="1" customWidth="1"/>
    <col min="33" max="33" width="10.09765625" style="1533" hidden="1" customWidth="1"/>
    <col min="34" max="35" width="13.59765625" style="1533" hidden="1" customWidth="1"/>
    <col min="36" max="36" width="10.09765625" style="1533" hidden="1" customWidth="1"/>
    <col min="37" max="38" width="13.59765625" style="1533" hidden="1" customWidth="1"/>
    <col min="39" max="39" width="10.09765625" style="1533" hidden="1" customWidth="1"/>
    <col min="40" max="40" width="13.59765625" style="1532" hidden="1" customWidth="1"/>
    <col min="41" max="41" width="13.59765625" style="1533" hidden="1" customWidth="1"/>
    <col min="42" max="42" width="10.09765625" style="1532" hidden="1" customWidth="1"/>
    <col min="43" max="44" width="17.3984375" style="5" customWidth="1"/>
    <col min="45" max="45" width="10.09765625" style="5" customWidth="1"/>
    <col min="46" max="47" width="11.09765625" style="5" hidden="1" customWidth="1"/>
    <col min="48" max="49" width="16" style="5" hidden="1" customWidth="1"/>
    <col min="50" max="51" width="13" style="5" hidden="1" customWidth="1"/>
    <col min="52" max="52" width="13" style="5" customWidth="1"/>
    <col min="53" max="53" width="14.59765625" style="4034" customWidth="1"/>
    <col min="54" max="54" width="13" style="4544" customWidth="1"/>
    <col min="55" max="55" width="15.3984375" style="4544" customWidth="1"/>
    <col min="56" max="56" width="11" style="5" customWidth="1"/>
    <col min="57" max="57" width="7.3984375" style="5" customWidth="1"/>
    <col min="58" max="58" width="12" style="5" customWidth="1"/>
    <col min="59" max="59" width="7.8984375" style="5" customWidth="1"/>
    <col min="60" max="60" width="11.69921875" style="5" customWidth="1"/>
    <col min="61" max="61" width="9" style="5" customWidth="1"/>
    <col min="62" max="62" width="12.09765625" style="5" bestFit="1" customWidth="1"/>
    <col min="63" max="16384" width="9" style="5"/>
  </cols>
  <sheetData>
    <row r="1" spans="1:64" ht="20.25" customHeight="1">
      <c r="A1" s="2361" t="s">
        <v>134</v>
      </c>
    </row>
    <row r="2" spans="1:64" ht="20.25" customHeight="1">
      <c r="A2" s="1530"/>
      <c r="G2" s="6694"/>
      <c r="H2" s="6694"/>
      <c r="I2" s="6694"/>
      <c r="J2" s="6694"/>
      <c r="K2" s="6694"/>
      <c r="N2" s="6694"/>
      <c r="O2" s="2370"/>
      <c r="P2" s="2370"/>
      <c r="Q2" s="6694"/>
      <c r="T2" s="6694"/>
      <c r="W2" s="6694"/>
      <c r="Z2" s="6694"/>
      <c r="AC2" s="6694"/>
      <c r="AF2" s="6694"/>
      <c r="AI2" s="6694"/>
      <c r="AL2" s="6694"/>
      <c r="AO2" s="6694"/>
      <c r="AQ2" s="1530"/>
      <c r="AR2" s="1530"/>
      <c r="AS2" s="1530"/>
      <c r="AT2" s="1530"/>
      <c r="AU2" s="1530"/>
      <c r="AV2" s="1530"/>
    </row>
    <row r="3" spans="1:64" ht="20.25" customHeight="1" thickBot="1">
      <c r="A3" s="1538" t="s">
        <v>31</v>
      </c>
      <c r="E3" s="2363" t="s">
        <v>1547</v>
      </c>
      <c r="F3" s="4879" t="s">
        <v>1547</v>
      </c>
      <c r="AQ3" s="1537"/>
      <c r="AR3" s="1537" t="s">
        <v>86</v>
      </c>
      <c r="AS3" s="1537"/>
      <c r="AT3" s="1537"/>
      <c r="AU3" s="1537"/>
      <c r="AV3" s="1537"/>
    </row>
    <row r="4" spans="1:64" ht="20.25" customHeight="1" thickBot="1">
      <c r="A4" s="7060" t="s">
        <v>116</v>
      </c>
      <c r="B4" s="7061"/>
      <c r="C4" s="7061"/>
      <c r="D4" s="7061"/>
      <c r="E4" s="72"/>
      <c r="F4" s="4880"/>
      <c r="G4" s="6926" t="str">
        <f>'2. S Plan'!L4</f>
        <v>Jan.26</v>
      </c>
      <c r="H4" s="6716"/>
      <c r="I4" s="6927"/>
      <c r="J4" s="6716" t="str">
        <f>'2. S Plan'!M4</f>
        <v>Feb.26</v>
      </c>
      <c r="K4" s="6716"/>
      <c r="L4" s="6716"/>
      <c r="M4" s="6926" t="str">
        <f>'2. S Plan'!N4</f>
        <v>Mar.26</v>
      </c>
      <c r="N4" s="6716"/>
      <c r="O4" s="6927"/>
      <c r="P4" s="6716" t="str">
        <f>'2. S Plan'!O4</f>
        <v>Apr.26</v>
      </c>
      <c r="Q4" s="6716"/>
      <c r="R4" s="6716"/>
      <c r="S4" s="6718" t="str">
        <f>'2. S Plan'!P4</f>
        <v>May.26</v>
      </c>
      <c r="T4" s="6716"/>
      <c r="U4" s="6719"/>
      <c r="V4" s="6717" t="str">
        <f>'2. S Plan'!Q4</f>
        <v>Jun.26</v>
      </c>
      <c r="W4" s="6716"/>
      <c r="X4" s="6717"/>
      <c r="Y4" s="6718" t="str">
        <f>'2. S Plan'!R4</f>
        <v>Jul.26</v>
      </c>
      <c r="Z4" s="6716"/>
      <c r="AA4" s="6719"/>
      <c r="AB4" s="6717" t="str">
        <f>'2. S Plan'!S4</f>
        <v>Aug.26</v>
      </c>
      <c r="AC4" s="6716"/>
      <c r="AD4" s="6717"/>
      <c r="AE4" s="6718" t="str">
        <f>'2. S Plan'!T4</f>
        <v>Sep.26</v>
      </c>
      <c r="AF4" s="6716"/>
      <c r="AG4" s="6719"/>
      <c r="AH4" s="6717" t="str">
        <f>'2. S Plan'!U4</f>
        <v>Oct.26</v>
      </c>
      <c r="AI4" s="6716"/>
      <c r="AJ4" s="6717"/>
      <c r="AK4" s="6718" t="str">
        <f>'2. S Plan'!V4</f>
        <v>Nov.26</v>
      </c>
      <c r="AL4" s="6716"/>
      <c r="AM4" s="6719"/>
      <c r="AN4" s="6718" t="str">
        <f>'2. S Plan'!W4</f>
        <v>Dec.26</v>
      </c>
      <c r="AO4" s="6716"/>
      <c r="AP4" s="6719"/>
      <c r="AQ4" s="7081" t="str">
        <f>'2. S Plan'!X4</f>
        <v>2026
Total</v>
      </c>
      <c r="AR4" s="7082"/>
      <c r="AS4" s="7083"/>
      <c r="AT4" s="1531"/>
      <c r="AU4" s="1531"/>
      <c r="AV4" s="1922"/>
    </row>
    <row r="5" spans="1:64" ht="20.25" customHeight="1" thickBot="1">
      <c r="A5" s="2174"/>
      <c r="B5" s="3244"/>
      <c r="C5" s="3244"/>
      <c r="D5" s="3244"/>
      <c r="E5" s="73"/>
      <c r="F5" s="6690"/>
      <c r="G5" s="1841" t="s">
        <v>1926</v>
      </c>
      <c r="H5" s="1842" t="s">
        <v>1928</v>
      </c>
      <c r="I5" s="1843" t="s">
        <v>1929</v>
      </c>
      <c r="J5" s="3394" t="s">
        <v>1926</v>
      </c>
      <c r="K5" s="1842" t="s">
        <v>1928</v>
      </c>
      <c r="L5" s="27" t="s">
        <v>1929</v>
      </c>
      <c r="M5" s="1841" t="s">
        <v>1926</v>
      </c>
      <c r="N5" s="1842" t="s">
        <v>1928</v>
      </c>
      <c r="O5" s="1843" t="s">
        <v>1929</v>
      </c>
      <c r="P5" s="3394" t="s">
        <v>1926</v>
      </c>
      <c r="Q5" s="1842" t="s">
        <v>1928</v>
      </c>
      <c r="R5" s="27" t="s">
        <v>1929</v>
      </c>
      <c r="S5" s="1841" t="s">
        <v>1926</v>
      </c>
      <c r="T5" s="1842" t="s">
        <v>1928</v>
      </c>
      <c r="U5" s="1843" t="s">
        <v>1929</v>
      </c>
      <c r="V5" s="3394" t="s">
        <v>1926</v>
      </c>
      <c r="W5" s="1842" t="s">
        <v>1928</v>
      </c>
      <c r="X5" s="27" t="s">
        <v>1929</v>
      </c>
      <c r="Y5" s="1841" t="s">
        <v>1926</v>
      </c>
      <c r="Z5" s="1842" t="s">
        <v>1928</v>
      </c>
      <c r="AA5" s="1843" t="s">
        <v>1929</v>
      </c>
      <c r="AB5" s="3394" t="s">
        <v>1926</v>
      </c>
      <c r="AC5" s="1842" t="s">
        <v>1928</v>
      </c>
      <c r="AD5" s="27" t="s">
        <v>1929</v>
      </c>
      <c r="AE5" s="1841" t="s">
        <v>1926</v>
      </c>
      <c r="AF5" s="1842" t="s">
        <v>1928</v>
      </c>
      <c r="AG5" s="1843" t="s">
        <v>1929</v>
      </c>
      <c r="AH5" s="3394" t="s">
        <v>1926</v>
      </c>
      <c r="AI5" s="1842" t="s">
        <v>1928</v>
      </c>
      <c r="AJ5" s="27" t="s">
        <v>1929</v>
      </c>
      <c r="AK5" s="1841" t="s">
        <v>1926</v>
      </c>
      <c r="AL5" s="1842" t="s">
        <v>1928</v>
      </c>
      <c r="AM5" s="1843" t="s">
        <v>1929</v>
      </c>
      <c r="AN5" s="1841" t="s">
        <v>1926</v>
      </c>
      <c r="AO5" s="1842" t="s">
        <v>1928</v>
      </c>
      <c r="AP5" s="1843" t="s">
        <v>1929</v>
      </c>
      <c r="AQ5" s="1841" t="s">
        <v>1926</v>
      </c>
      <c r="AR5" s="1842" t="s">
        <v>1928</v>
      </c>
      <c r="AS5" s="1843" t="s">
        <v>1929</v>
      </c>
      <c r="AT5" s="1531"/>
      <c r="AU5" s="1531"/>
      <c r="AV5" s="1922"/>
    </row>
    <row r="6" spans="1:64" ht="20.25" customHeight="1" thickBot="1">
      <c r="A6" s="7526" t="s">
        <v>17</v>
      </c>
      <c r="B6" s="7527"/>
      <c r="C6" s="7527"/>
      <c r="D6" s="7527"/>
      <c r="E6" s="4791"/>
      <c r="F6" s="6644"/>
      <c r="G6" s="6722">
        <v>3689370.7909659981</v>
      </c>
      <c r="H6" s="5963">
        <f>'2. S Plan'!L206</f>
        <v>3649629.1786013301</v>
      </c>
      <c r="I6" s="6723">
        <f>H6/G6</f>
        <v>0.98922807854879169</v>
      </c>
      <c r="J6" s="6721">
        <v>3451251.7566912733</v>
      </c>
      <c r="K6" s="5963">
        <f>'2. S Plan'!M206</f>
        <v>3143407.1582357911</v>
      </c>
      <c r="L6" s="6724">
        <f>K6/J6</f>
        <v>0.91080204512503782</v>
      </c>
      <c r="M6" s="6722">
        <v>4023114.0734396363</v>
      </c>
      <c r="N6" s="5963">
        <f>'2. S Plan'!N206</f>
        <v>4097111.3807477951</v>
      </c>
      <c r="O6" s="6723">
        <f>N6/M6</f>
        <v>1.0183930422944467</v>
      </c>
      <c r="P6" s="6721">
        <v>3814590.8696524575</v>
      </c>
      <c r="Q6" s="5963">
        <f>'2. S Plan'!O206</f>
        <v>3295318.8450423609</v>
      </c>
      <c r="R6" s="6724">
        <f>Q6/P6</f>
        <v>0.86387215762999847</v>
      </c>
      <c r="S6" s="6722">
        <v>3814590.8696524575</v>
      </c>
      <c r="T6" s="5963">
        <v>3701636.9408252668</v>
      </c>
      <c r="U6" s="6723">
        <f>T6/S6</f>
        <v>0.97038897939860014</v>
      </c>
      <c r="V6" s="6721">
        <f>'2. S Plan'!Q206</f>
        <v>3769217.9071706124</v>
      </c>
      <c r="W6" s="5963"/>
      <c r="X6" s="6724">
        <f>W6/V6</f>
        <v>0</v>
      </c>
      <c r="Y6" s="6722">
        <f>'2. S Plan'!R206</f>
        <v>4064405.2347158645</v>
      </c>
      <c r="Z6" s="5963"/>
      <c r="AA6" s="6723">
        <f>Z6/Y6</f>
        <v>0</v>
      </c>
      <c r="AB6" s="6721">
        <f>'2. S Plan'!S206</f>
        <v>3777949.723959133</v>
      </c>
      <c r="AC6" s="5963"/>
      <c r="AD6" s="6724">
        <f>AC6/AB6</f>
        <v>0</v>
      </c>
      <c r="AE6" s="6722">
        <f>'2. S Plan'!T206</f>
        <v>3320220.2391426302</v>
      </c>
      <c r="AF6" s="5963"/>
      <c r="AG6" s="6723">
        <f>AF6/AE6</f>
        <v>0</v>
      </c>
      <c r="AH6" s="6721">
        <f>'2. S Plan'!U206</f>
        <v>3200183.1483620182</v>
      </c>
      <c r="AI6" s="5963"/>
      <c r="AJ6" s="6724">
        <f>AI6/AH6</f>
        <v>0</v>
      </c>
      <c r="AK6" s="6722">
        <f>'2. S Plan'!V206</f>
        <v>3156589.4836383178</v>
      </c>
      <c r="AL6" s="5963"/>
      <c r="AM6" s="6723">
        <f>AL6/AK6</f>
        <v>0</v>
      </c>
      <c r="AN6" s="6722">
        <f>'2. S Plan'!W206</f>
        <v>3163538.640586664</v>
      </c>
      <c r="AO6" s="5963"/>
      <c r="AP6" s="6720">
        <f>AO6/AN6</f>
        <v>0</v>
      </c>
      <c r="AQ6" s="6772">
        <f>IF(H6&gt;0,G6,0)+IF(K6&gt;0,J6,0)+IF(N6&gt;0,M6,0)+IF(Q6&gt;0,P6,0)+IF(T6&gt;0,S6,0)+IF(W6&gt;0,V6,0)+IF(Z6&gt;0,Y6,0)+IF(AC6&gt;0,AB6,0)+IF(AF6&gt;0,AE6,0)+IF(AI6&gt;0,AH6,0)+IF(AL6&gt;0,AK6,0)+IF(AO6&gt;0,AN6,0)</f>
        <v>18792918.360401824</v>
      </c>
      <c r="AR6" s="6667">
        <f>H6+K6+N6+Q6+T6+W6+Z6+AC6+AF6+AI6+AL6+AO6</f>
        <v>17887103.503452543</v>
      </c>
      <c r="AS6" s="6773">
        <f>AR6/AQ6</f>
        <v>0.95180020263069387</v>
      </c>
      <c r="AT6" s="2454"/>
      <c r="AU6" s="2454"/>
      <c r="AV6" s="1546"/>
    </row>
    <row r="7" spans="1:64" ht="20.25" customHeight="1">
      <c r="A7" s="1988"/>
      <c r="B7" s="2369"/>
      <c r="C7" s="3611"/>
      <c r="F7" s="6685"/>
      <c r="G7" s="6695"/>
      <c r="H7" s="6695"/>
      <c r="I7" s="6695"/>
      <c r="J7" s="6695"/>
      <c r="K7" s="6695"/>
      <c r="L7" s="6695"/>
      <c r="M7" s="6695"/>
      <c r="N7" s="6695"/>
      <c r="O7" s="6695"/>
      <c r="P7" s="6695"/>
      <c r="Q7" s="6695"/>
      <c r="R7" s="6695"/>
      <c r="T7" s="6695"/>
      <c r="W7" s="6695"/>
      <c r="Z7" s="6695"/>
      <c r="AC7" s="6695"/>
      <c r="AF7" s="6695"/>
      <c r="AI7" s="6695"/>
      <c r="AL7" s="6695"/>
      <c r="AN7" s="1533"/>
      <c r="AO7" s="6695"/>
      <c r="AP7" s="1533"/>
      <c r="AQ7" s="1533"/>
      <c r="AR7" s="1533"/>
      <c r="AS7" s="1533"/>
      <c r="AT7" s="1533"/>
      <c r="AU7" s="1533"/>
      <c r="AV7" s="4"/>
      <c r="BB7" s="6684"/>
      <c r="BC7" s="6684"/>
    </row>
    <row r="8" spans="1:64" ht="20.25" customHeight="1" thickBot="1">
      <c r="A8" s="2382" t="s">
        <v>32</v>
      </c>
      <c r="B8" s="2488"/>
      <c r="C8" s="3612"/>
      <c r="F8" s="6685"/>
      <c r="G8" s="4"/>
      <c r="H8" s="4"/>
      <c r="I8" s="4"/>
      <c r="J8" s="4"/>
      <c r="K8" s="4"/>
      <c r="L8" s="4"/>
      <c r="M8" s="4"/>
      <c r="N8" s="4"/>
      <c r="O8" s="6696"/>
      <c r="P8" s="6696"/>
      <c r="Q8" s="4"/>
      <c r="R8" s="6696"/>
      <c r="S8" s="6696"/>
      <c r="T8" s="4"/>
      <c r="U8" s="6696"/>
      <c r="V8" s="6696"/>
      <c r="W8" s="4"/>
      <c r="X8" s="6696"/>
      <c r="Y8" s="6696"/>
      <c r="Z8" s="4"/>
      <c r="AA8" s="6696"/>
      <c r="AB8" s="6696"/>
      <c r="AC8" s="4"/>
      <c r="AD8" s="6696"/>
      <c r="AE8" s="6696"/>
      <c r="AF8" s="4"/>
      <c r="AG8" s="6696"/>
      <c r="AH8" s="6696"/>
      <c r="AI8" s="4"/>
      <c r="AJ8" s="6696"/>
      <c r="AK8" s="6696"/>
      <c r="AL8" s="4"/>
      <c r="AM8" s="6696"/>
      <c r="AN8" s="2490"/>
      <c r="AO8" s="4"/>
      <c r="AP8" s="2490"/>
      <c r="AQ8" s="1785"/>
      <c r="AR8" s="1785" t="s">
        <v>86</v>
      </c>
      <c r="AS8" s="1785"/>
      <c r="AT8" s="7509" t="s">
        <v>1907</v>
      </c>
      <c r="AU8" s="7509"/>
      <c r="AV8" s="7510" t="s">
        <v>1908</v>
      </c>
      <c r="AW8" s="7510"/>
      <c r="BB8" s="6684"/>
      <c r="BC8" s="6684"/>
    </row>
    <row r="9" spans="1:64" s="1528" customFormat="1" ht="20.25" customHeight="1" thickBot="1">
      <c r="A9" s="7224" t="s">
        <v>116</v>
      </c>
      <c r="B9" s="7570" t="s">
        <v>115</v>
      </c>
      <c r="C9" s="7197" t="s">
        <v>1011</v>
      </c>
      <c r="D9" s="7468" t="s">
        <v>30</v>
      </c>
      <c r="E9" s="2387" t="s">
        <v>1522</v>
      </c>
      <c r="F9" s="4882" t="s">
        <v>1523</v>
      </c>
      <c r="G9" s="6926" t="str">
        <f>G4</f>
        <v>Jan.26</v>
      </c>
      <c r="H9" s="6716"/>
      <c r="I9" s="6927"/>
      <c r="J9" s="6926" t="str">
        <f>J4</f>
        <v>Feb.26</v>
      </c>
      <c r="K9" s="6716"/>
      <c r="L9" s="6927"/>
      <c r="M9" s="6716" t="str">
        <f>M4</f>
        <v>Mar.26</v>
      </c>
      <c r="N9" s="6716"/>
      <c r="O9" s="6716"/>
      <c r="P9" s="6926" t="str">
        <f>P4</f>
        <v>Apr.26</v>
      </c>
      <c r="Q9" s="6716"/>
      <c r="R9" s="6927"/>
      <c r="S9" s="6717" t="str">
        <f>S4</f>
        <v>May.26</v>
      </c>
      <c r="T9" s="6716"/>
      <c r="U9" s="6717"/>
      <c r="V9" s="6718" t="str">
        <f>V4</f>
        <v>Jun.26</v>
      </c>
      <c r="W9" s="6716"/>
      <c r="X9" s="6719"/>
      <c r="Y9" s="6718" t="str">
        <f>Y4</f>
        <v>Jul.26</v>
      </c>
      <c r="Z9" s="6716"/>
      <c r="AA9" s="6719"/>
      <c r="AB9" s="6717" t="str">
        <f>AB4</f>
        <v>Aug.26</v>
      </c>
      <c r="AC9" s="6716"/>
      <c r="AD9" s="6717"/>
      <c r="AE9" s="6718" t="str">
        <f>AE4</f>
        <v>Sep.26</v>
      </c>
      <c r="AF9" s="6716"/>
      <c r="AG9" s="6719"/>
      <c r="AH9" s="6717" t="str">
        <f>AH4</f>
        <v>Oct.26</v>
      </c>
      <c r="AI9" s="6716"/>
      <c r="AJ9" s="6717"/>
      <c r="AK9" s="6718" t="str">
        <f>AK4</f>
        <v>Nov.26</v>
      </c>
      <c r="AL9" s="6716"/>
      <c r="AM9" s="6719"/>
      <c r="AN9" s="6717" t="str">
        <f>AN4</f>
        <v>Dec.26</v>
      </c>
      <c r="AO9" s="6716"/>
      <c r="AP9" s="6717"/>
      <c r="AQ9" s="7165" t="str">
        <f>AQ4</f>
        <v>2026
Total</v>
      </c>
      <c r="AR9" s="7166"/>
      <c r="AS9" s="7507"/>
      <c r="AT9" s="3278" t="s">
        <v>1851</v>
      </c>
      <c r="AU9" s="6394" t="s">
        <v>1852</v>
      </c>
      <c r="AV9" s="6335" t="s">
        <v>1851</v>
      </c>
      <c r="AW9" s="6338" t="s">
        <v>1852</v>
      </c>
      <c r="AX9" s="6334" t="s">
        <v>1853</v>
      </c>
      <c r="BA9" s="4035"/>
      <c r="BB9" s="4562"/>
      <c r="BC9" s="4562"/>
    </row>
    <row r="10" spans="1:64" s="1528" customFormat="1" ht="20.25" customHeight="1" thickBot="1">
      <c r="A10" s="7569"/>
      <c r="B10" s="7571"/>
      <c r="C10" s="7572"/>
      <c r="D10" s="7573"/>
      <c r="E10" s="2387" t="s">
        <v>1522</v>
      </c>
      <c r="F10" s="4882" t="s">
        <v>1523</v>
      </c>
      <c r="G10" s="1841" t="s">
        <v>1926</v>
      </c>
      <c r="H10" s="1842" t="s">
        <v>1928</v>
      </c>
      <c r="I10" s="1843" t="s">
        <v>1931</v>
      </c>
      <c r="J10" s="1841" t="s">
        <v>1926</v>
      </c>
      <c r="K10" s="1842" t="s">
        <v>1928</v>
      </c>
      <c r="L10" s="1843" t="s">
        <v>1931</v>
      </c>
      <c r="M10" s="3394" t="s">
        <v>1926</v>
      </c>
      <c r="N10" s="1842" t="s">
        <v>1928</v>
      </c>
      <c r="O10" s="27" t="s">
        <v>1931</v>
      </c>
      <c r="P10" s="1841" t="s">
        <v>1926</v>
      </c>
      <c r="Q10" s="1842" t="s">
        <v>1928</v>
      </c>
      <c r="R10" s="1843" t="s">
        <v>1931</v>
      </c>
      <c r="S10" s="3394" t="s">
        <v>1926</v>
      </c>
      <c r="T10" s="1842" t="s">
        <v>1928</v>
      </c>
      <c r="U10" s="27" t="s">
        <v>1931</v>
      </c>
      <c r="V10" s="1841" t="s">
        <v>1926</v>
      </c>
      <c r="W10" s="1842" t="s">
        <v>1928</v>
      </c>
      <c r="X10" s="1843" t="s">
        <v>1931</v>
      </c>
      <c r="Y10" s="1841" t="s">
        <v>1926</v>
      </c>
      <c r="Z10" s="1842" t="s">
        <v>1928</v>
      </c>
      <c r="AA10" s="1843" t="s">
        <v>1931</v>
      </c>
      <c r="AB10" s="3394" t="s">
        <v>1926</v>
      </c>
      <c r="AC10" s="1842" t="s">
        <v>1928</v>
      </c>
      <c r="AD10" s="27" t="s">
        <v>1931</v>
      </c>
      <c r="AE10" s="1841" t="s">
        <v>1926</v>
      </c>
      <c r="AF10" s="1842" t="s">
        <v>1928</v>
      </c>
      <c r="AG10" s="1843" t="s">
        <v>1931</v>
      </c>
      <c r="AH10" s="3394" t="s">
        <v>1926</v>
      </c>
      <c r="AI10" s="1842" t="s">
        <v>1928</v>
      </c>
      <c r="AJ10" s="27" t="s">
        <v>1931</v>
      </c>
      <c r="AK10" s="1841" t="s">
        <v>1926</v>
      </c>
      <c r="AL10" s="1842" t="s">
        <v>1928</v>
      </c>
      <c r="AM10" s="1843" t="s">
        <v>1931</v>
      </c>
      <c r="AN10" s="3394" t="s">
        <v>1926</v>
      </c>
      <c r="AO10" s="1842" t="s">
        <v>1928</v>
      </c>
      <c r="AP10" s="27" t="s">
        <v>1931</v>
      </c>
      <c r="AQ10" s="1841" t="s">
        <v>1926</v>
      </c>
      <c r="AR10" s="1842" t="s">
        <v>1928</v>
      </c>
      <c r="AS10" s="1843" t="s">
        <v>1931</v>
      </c>
      <c r="AT10" s="3278" t="s">
        <v>1851</v>
      </c>
      <c r="AU10" s="6394" t="s">
        <v>1852</v>
      </c>
      <c r="AV10" s="6335" t="s">
        <v>1851</v>
      </c>
      <c r="AW10" s="6338" t="s">
        <v>1852</v>
      </c>
      <c r="AX10" s="6334" t="s">
        <v>1853</v>
      </c>
      <c r="BA10" s="4035"/>
      <c r="BB10" s="4562"/>
      <c r="BC10" s="4562"/>
    </row>
    <row r="11" spans="1:64" ht="16.5" customHeight="1">
      <c r="A11" s="7067" t="s">
        <v>191</v>
      </c>
      <c r="B11" s="1615" t="s">
        <v>10</v>
      </c>
      <c r="C11" s="3613">
        <v>1</v>
      </c>
      <c r="D11" s="1623" t="s">
        <v>149</v>
      </c>
      <c r="E11" s="1588" t="s">
        <v>1524</v>
      </c>
      <c r="F11" s="4883" t="s">
        <v>1525</v>
      </c>
      <c r="G11" s="2392">
        <v>881247.30777556379</v>
      </c>
      <c r="H11" s="3865">
        <v>1168999.0510574721</v>
      </c>
      <c r="I11" s="6741">
        <f>H11-G11</f>
        <v>287751.74328190833</v>
      </c>
      <c r="J11" s="2392">
        <v>781307.05615305214</v>
      </c>
      <c r="K11" s="3865">
        <v>703066.53129649349</v>
      </c>
      <c r="L11" s="6741">
        <f>K11-J11</f>
        <v>-78240.524856558652</v>
      </c>
      <c r="M11" s="6733">
        <v>935807.37524065911</v>
      </c>
      <c r="N11" s="3865">
        <v>1269497.3896815409</v>
      </c>
      <c r="O11" s="6725">
        <f>N11-M11</f>
        <v>333690.01444088179</v>
      </c>
      <c r="P11" s="2392">
        <v>899902.73971175333</v>
      </c>
      <c r="Q11" s="3865">
        <v>891773.10984459938</v>
      </c>
      <c r="R11" s="6741">
        <f>Q11-P11</f>
        <v>-8129.6298671539407</v>
      </c>
      <c r="S11" s="6733">
        <v>886741.8200573225</v>
      </c>
      <c r="T11" s="3865">
        <f>SUMIF('7. E Plan'!$D$9:$D$32,D11,'7. E Plan'!$K$9:$K$32)</f>
        <v>1274407.5998083402</v>
      </c>
      <c r="U11" s="6725">
        <f>T11-S11</f>
        <v>387665.77975101769</v>
      </c>
      <c r="V11" s="2392">
        <f>'5. M Plan'!K73</f>
        <v>1101735.8517919248</v>
      </c>
      <c r="W11" s="3865"/>
      <c r="X11" s="6741">
        <f>W11-V11</f>
        <v>-1101735.8517919248</v>
      </c>
      <c r="Y11" s="2392">
        <f>'5. M Plan'!L73</f>
        <v>1135989.7081902819</v>
      </c>
      <c r="Z11" s="3865"/>
      <c r="AA11" s="6741">
        <f>Z11-Y11</f>
        <v>-1135989.7081902819</v>
      </c>
      <c r="AB11" s="6733">
        <f>'5. M Plan'!M73</f>
        <v>986891.82078068471</v>
      </c>
      <c r="AC11" s="3865"/>
      <c r="AD11" s="6725">
        <f>AC11-AB11</f>
        <v>-986891.82078068471</v>
      </c>
      <c r="AE11" s="2392">
        <f>'5. M Plan'!N73</f>
        <v>819152.80527212238</v>
      </c>
      <c r="AF11" s="3865"/>
      <c r="AG11" s="6741">
        <f>AF11-AE11</f>
        <v>-819152.80527212238</v>
      </c>
      <c r="AH11" s="6733">
        <f>'5. M Plan'!O73</f>
        <v>744275.21555367147</v>
      </c>
      <c r="AI11" s="3865"/>
      <c r="AJ11" s="6725">
        <f>AI11-AH11</f>
        <v>-744275.21555367147</v>
      </c>
      <c r="AK11" s="2392">
        <f>'5. M Plan'!P73</f>
        <v>782273.44969274628</v>
      </c>
      <c r="AL11" s="3865"/>
      <c r="AM11" s="6741">
        <f>AL11-AK11</f>
        <v>-782273.44969274628</v>
      </c>
      <c r="AN11" s="6733">
        <f>'5. M Plan'!Q73</f>
        <v>775227.41351521073</v>
      </c>
      <c r="AO11" s="3865"/>
      <c r="AP11" s="6725">
        <f>AO11-AN11</f>
        <v>-775227.41351521073</v>
      </c>
      <c r="AQ11" s="6759">
        <f>IF(H$6&gt;0,G11,0)+IF(K$6&gt;0,J11,0)+IF(N$6&gt;0,M11,0)+IF(Q$6&gt;0,P11,0)+IF(T$6&gt;0,S11,0)+IF(W$6&gt;0,V11,0)+IF(Z$6&gt;0,Y11,0)+IF(AC$6&gt;0,AB11,0)+IF(AF$6&gt;0,AE11,0)+IF(AI$6&gt;0,AH11,0)+IF(AL$6&gt;0,AK11,0)+IF(AO$6&gt;0,AN11,0)</f>
        <v>4385006.2989383508</v>
      </c>
      <c r="AR11" s="6668">
        <f t="shared" ref="AR11:AR35" si="0">H11+K11+N11+Q11+T11+W11+Z11+AC11+AF11+AI11+AL11+AO11</f>
        <v>5307743.6816884466</v>
      </c>
      <c r="AS11" s="6760">
        <f>AR11-AQ11</f>
        <v>922737.3827500958</v>
      </c>
      <c r="AT11" s="6655">
        <f t="shared" ref="AT11:AT37" si="1">SUM(H11:Q11)/SUM($H$6:$Q$6)</f>
        <v>0.28238337675546993</v>
      </c>
      <c r="AU11" s="6366">
        <f t="shared" ref="AU11:AU37" si="2">SUM(S11:AN11)/SUM($S$6:$AN$6)</f>
        <v>0.10397922834003324</v>
      </c>
      <c r="AV11" s="6336">
        <f t="shared" ref="AV11:AV34" si="3">AVERAGE(H11:Q11)</f>
        <v>719355.44858518022</v>
      </c>
      <c r="AW11" s="6339">
        <f t="shared" ref="AW11:AW34" si="4">AVERAGE(S11:AN11)</f>
        <v>207752.66332074319</v>
      </c>
      <c r="AX11" s="6357">
        <f>AV11-AW11</f>
        <v>511602.78526443703</v>
      </c>
      <c r="AY11" s="3911" t="s">
        <v>1864</v>
      </c>
      <c r="AZ11" s="4546" t="s">
        <v>1909</v>
      </c>
      <c r="BJ11" s="1568"/>
      <c r="BL11" s="1696"/>
    </row>
    <row r="12" spans="1:64" ht="16.5" customHeight="1">
      <c r="A12" s="7068"/>
      <c r="B12" s="1602" t="s">
        <v>11</v>
      </c>
      <c r="C12" s="3614">
        <v>2</v>
      </c>
      <c r="D12" s="6399" t="s">
        <v>485</v>
      </c>
      <c r="E12" s="4792" t="s">
        <v>1526</v>
      </c>
      <c r="F12" s="6645"/>
      <c r="G12" s="6742">
        <v>497959.22197614791</v>
      </c>
      <c r="H12" s="6697">
        <v>433923.41153846151</v>
      </c>
      <c r="I12" s="6743">
        <f t="shared" ref="I12:I37" si="5">H12-G12</f>
        <v>-64035.810437686392</v>
      </c>
      <c r="J12" s="6742">
        <v>527929.66603800189</v>
      </c>
      <c r="K12" s="6697">
        <v>488222.35665384616</v>
      </c>
      <c r="L12" s="6743">
        <f t="shared" ref="L12:L37" si="6">K12-J12</f>
        <v>-39707.309384155727</v>
      </c>
      <c r="M12" s="6734">
        <v>497159.65989973751</v>
      </c>
      <c r="N12" s="6697">
        <v>547646.11311538459</v>
      </c>
      <c r="O12" s="6726">
        <f t="shared" ref="O12:O37" si="7">N12-M12</f>
        <v>50486.453215647081</v>
      </c>
      <c r="P12" s="6742">
        <v>489290.44620196865</v>
      </c>
      <c r="Q12" s="6697">
        <v>598756.38061538467</v>
      </c>
      <c r="R12" s="6743">
        <f t="shared" ref="R12:R37" si="8">Q12-P12</f>
        <v>109465.93441341602</v>
      </c>
      <c r="S12" s="6734">
        <v>481964.22654896247</v>
      </c>
      <c r="T12" s="6697">
        <f>SUMIF('7. E Plan'!$D$9:$D$32,D12,'7. E Plan'!$K$9:$K$32)</f>
        <v>526490.38119230769</v>
      </c>
      <c r="U12" s="6726">
        <f t="shared" ref="U12:U37" si="9">T12-S12</f>
        <v>44526.154643345217</v>
      </c>
      <c r="V12" s="6742">
        <f>'4. L PLAN'!K86</f>
        <v>519082.6258336262</v>
      </c>
      <c r="W12" s="6697"/>
      <c r="X12" s="6743">
        <f t="shared" ref="X12:X37" si="10">W12-V12</f>
        <v>-519082.6258336262</v>
      </c>
      <c r="Y12" s="6742">
        <f>'4. L PLAN'!L86</f>
        <v>515936.54064743739</v>
      </c>
      <c r="Z12" s="6697"/>
      <c r="AA12" s="6743">
        <f t="shared" ref="AA12:AA37" si="11">Z12-Y12</f>
        <v>-515936.54064743739</v>
      </c>
      <c r="AB12" s="6734">
        <f>'4. L PLAN'!M86</f>
        <v>510275.4724423092</v>
      </c>
      <c r="AC12" s="6697"/>
      <c r="AD12" s="6726">
        <f t="shared" ref="AD12:AD37" si="12">AC12-AB12</f>
        <v>-510275.4724423092</v>
      </c>
      <c r="AE12" s="6742">
        <f>'4. L PLAN'!N86</f>
        <v>507187.61705769377</v>
      </c>
      <c r="AF12" s="6697"/>
      <c r="AG12" s="6743">
        <f t="shared" ref="AG12:AG37" si="13">AF12-AE12</f>
        <v>-507187.61705769377</v>
      </c>
      <c r="AH12" s="6734">
        <f>'4. L PLAN'!O86</f>
        <v>496904.52660594555</v>
      </c>
      <c r="AI12" s="6697"/>
      <c r="AJ12" s="6726">
        <f t="shared" ref="AJ12:AJ37" si="14">AI12-AH12</f>
        <v>-496904.52660594555</v>
      </c>
      <c r="AK12" s="6742">
        <f>'4. L PLAN'!P86</f>
        <v>497933.81173415069</v>
      </c>
      <c r="AL12" s="6697"/>
      <c r="AM12" s="6743">
        <f t="shared" ref="AM12:AM37" si="15">AL12-AK12</f>
        <v>-497933.81173415069</v>
      </c>
      <c r="AN12" s="6734">
        <f>'4. L PLAN'!Q86</f>
        <v>494845.95634953532</v>
      </c>
      <c r="AO12" s="6697"/>
      <c r="AP12" s="6726">
        <f t="shared" ref="AP12:AP37" si="16">AO12-AN12</f>
        <v>-494845.95634953532</v>
      </c>
      <c r="AQ12" s="6486">
        <f t="shared" ref="AQ12:AQ34" si="17">IF(H$6&gt;0,G12,0)+IF(K$6&gt;0,J12,0)+IF(N$6&gt;0,M12,0)+IF(Q$6&gt;0,P12,0)+IF(T$6&gt;0,S12,0)+IF(W$6&gt;0,V12,0)+IF(Z$6&gt;0,Y12,0)+IF(AC$6&gt;0,AB12,0)+IF(AF$6&gt;0,AE12,0)+IF(AI$6&gt;0,AH12,0)+IF(AL$6&gt;0,AK12,0)+IF(AO$6&gt;0,AN12,0)</f>
        <v>2494303.2206648183</v>
      </c>
      <c r="AR12" s="5294">
        <f t="shared" si="0"/>
        <v>2595038.6431153845</v>
      </c>
      <c r="AS12" s="6761">
        <f t="shared" ref="AS12:AS35" si="18">AR12-AQ12</f>
        <v>100735.4224505662</v>
      </c>
      <c r="AT12" s="6656">
        <f t="shared" si="1"/>
        <v>0.13855744354752952</v>
      </c>
      <c r="AU12" s="6367">
        <f t="shared" si="2"/>
        <v>4.8417498374494168E-2</v>
      </c>
      <c r="AV12" s="6336">
        <f t="shared" si="3"/>
        <v>352967.13674565899</v>
      </c>
      <c r="AW12" s="6339">
        <f t="shared" si="4"/>
        <v>96739.169920884422</v>
      </c>
      <c r="AX12" s="6357">
        <f t="shared" ref="AX12:AX34" si="19">AV12-AW12</f>
        <v>256227.96682477457</v>
      </c>
      <c r="AY12" s="3911" t="s">
        <v>1865</v>
      </c>
      <c r="AZ12" s="4546" t="s">
        <v>1916</v>
      </c>
      <c r="BJ12" s="1568"/>
    </row>
    <row r="13" spans="1:64" ht="16.5" customHeight="1">
      <c r="A13" s="7068"/>
      <c r="B13" s="1588" t="s">
        <v>216</v>
      </c>
      <c r="C13" s="4942">
        <v>3</v>
      </c>
      <c r="D13" s="4943" t="s">
        <v>1169</v>
      </c>
      <c r="E13" s="4944" t="s">
        <v>1526</v>
      </c>
      <c r="F13" s="4945"/>
      <c r="G13" s="6744">
        <v>39188.63081142852</v>
      </c>
      <c r="H13" s="6698">
        <v>30875.726923076923</v>
      </c>
      <c r="I13" s="6745">
        <f t="shared" si="5"/>
        <v>-8312.9038883515968</v>
      </c>
      <c r="J13" s="6744">
        <v>19105.085091599547</v>
      </c>
      <c r="K13" s="6698">
        <v>26018.553846153845</v>
      </c>
      <c r="L13" s="6745">
        <f t="shared" si="6"/>
        <v>6913.4687545542984</v>
      </c>
      <c r="M13" s="6752">
        <v>37098.696264140592</v>
      </c>
      <c r="N13" s="6698">
        <v>31664.898076923098</v>
      </c>
      <c r="O13" s="6727">
        <f t="shared" si="7"/>
        <v>-5433.7981872174933</v>
      </c>
      <c r="P13" s="6928">
        <v>34725.261919855751</v>
      </c>
      <c r="Q13" s="6698">
        <v>36421.748076923075</v>
      </c>
      <c r="R13" s="6745">
        <f t="shared" si="8"/>
        <v>1696.4861570673238</v>
      </c>
      <c r="S13" s="6752">
        <v>33844.015447369151</v>
      </c>
      <c r="T13" s="6698">
        <f>SUMIF('7. E Plan'!$D$9:$D$32,D13,'7. E Plan'!$K$9:$K$32)</f>
        <v>28223.530769230769</v>
      </c>
      <c r="U13" s="6727">
        <f t="shared" si="9"/>
        <v>-5620.4846781383822</v>
      </c>
      <c r="V13" s="6744">
        <f>'4. L PLAN'!K96</f>
        <v>34913.122375200779</v>
      </c>
      <c r="W13" s="6698"/>
      <c r="X13" s="6745">
        <f t="shared" si="10"/>
        <v>-34913.122375200779</v>
      </c>
      <c r="Y13" s="6744">
        <f>'4. L PLAN'!L96</f>
        <v>36394.616592428778</v>
      </c>
      <c r="Z13" s="6698"/>
      <c r="AA13" s="6745">
        <f t="shared" si="11"/>
        <v>-36394.616592428778</v>
      </c>
      <c r="AB13" s="6752">
        <f>'4. L PLAN'!M96</f>
        <v>34312.167829746235</v>
      </c>
      <c r="AC13" s="6698"/>
      <c r="AD13" s="6727">
        <f t="shared" si="12"/>
        <v>-34312.167829746235</v>
      </c>
      <c r="AE13" s="6744">
        <f>'4. L PLAN'!N96</f>
        <v>31302.952122562958</v>
      </c>
      <c r="AF13" s="6698"/>
      <c r="AG13" s="6745">
        <f t="shared" si="13"/>
        <v>-31302.952122562958</v>
      </c>
      <c r="AH13" s="6752">
        <f>'4. L PLAN'!O96</f>
        <v>34730.434774246969</v>
      </c>
      <c r="AI13" s="6698"/>
      <c r="AJ13" s="6727">
        <f t="shared" si="14"/>
        <v>-34730.434774246969</v>
      </c>
      <c r="AK13" s="6744">
        <f>'4. L PLAN'!P96</f>
        <v>32286.219067063692</v>
      </c>
      <c r="AL13" s="6698"/>
      <c r="AM13" s="6745">
        <f t="shared" si="15"/>
        <v>-32286.219067063692</v>
      </c>
      <c r="AN13" s="6735">
        <f>'4. L PLAN'!Q96</f>
        <v>34453.071137883329</v>
      </c>
      <c r="AO13" s="6698"/>
      <c r="AP13" s="6754">
        <f t="shared" si="16"/>
        <v>-34453.071137883329</v>
      </c>
      <c r="AQ13" s="6762">
        <f t="shared" si="17"/>
        <v>163961.68953439355</v>
      </c>
      <c r="AR13" s="6669">
        <f t="shared" si="0"/>
        <v>153204.45769230771</v>
      </c>
      <c r="AS13" s="6763">
        <f t="shared" si="18"/>
        <v>-10757.231842085836</v>
      </c>
      <c r="AT13" s="6657">
        <f t="shared" si="1"/>
        <v>8.207318798605992E-3</v>
      </c>
      <c r="AU13" s="6368">
        <f t="shared" si="2"/>
        <v>2.8434429854639035E-3</v>
      </c>
      <c r="AV13" s="6336">
        <f t="shared" si="3"/>
        <v>20907.673687765804</v>
      </c>
      <c r="AW13" s="6339">
        <f t="shared" si="4"/>
        <v>5681.2582922715537</v>
      </c>
      <c r="AX13" s="6341">
        <f t="shared" si="19"/>
        <v>15226.41539549425</v>
      </c>
      <c r="AZ13" s="4546"/>
      <c r="BJ13" s="1568"/>
      <c r="BL13" s="1532"/>
    </row>
    <row r="14" spans="1:64" ht="16.5" customHeight="1">
      <c r="A14" s="7068"/>
      <c r="B14" s="1623"/>
      <c r="C14" s="4952">
        <v>4</v>
      </c>
      <c r="D14" s="4953" t="s">
        <v>436</v>
      </c>
      <c r="E14" s="4954" t="s">
        <v>1527</v>
      </c>
      <c r="F14" s="4955">
        <v>6.4000000000000003E-3</v>
      </c>
      <c r="G14" s="4960">
        <v>22136.224745795989</v>
      </c>
      <c r="H14" s="6699">
        <v>9777.1291538461537</v>
      </c>
      <c r="I14" s="6746">
        <f t="shared" si="5"/>
        <v>-12359.095591949836</v>
      </c>
      <c r="J14" s="4960">
        <v>20707.510540147639</v>
      </c>
      <c r="K14" s="6699">
        <v>5936.5593846153843</v>
      </c>
      <c r="L14" s="6746">
        <f t="shared" si="6"/>
        <v>-14770.951155532255</v>
      </c>
      <c r="M14" s="6736">
        <v>24138.684440637819</v>
      </c>
      <c r="N14" s="6699">
        <v>25174.5825</v>
      </c>
      <c r="O14" s="6728">
        <f t="shared" si="7"/>
        <v>1035.8980593621818</v>
      </c>
      <c r="P14" s="4960">
        <v>23101.479800030898</v>
      </c>
      <c r="Q14" s="6699">
        <v>21625.903769230768</v>
      </c>
      <c r="R14" s="6746">
        <f t="shared" si="8"/>
        <v>-1475.57603080013</v>
      </c>
      <c r="S14" s="6736">
        <v>22887.545217914747</v>
      </c>
      <c r="T14" s="6699">
        <f>SUMIF('7. E Plan'!$D$9:$D$32,D14,'7. E Plan'!$K$9:$K$32)</f>
        <v>23159.261615384614</v>
      </c>
      <c r="U14" s="6728">
        <f t="shared" si="9"/>
        <v>271.71639746986693</v>
      </c>
      <c r="V14" s="4960">
        <f>V6*0.64%</f>
        <v>24122.994605891919</v>
      </c>
      <c r="W14" s="6699"/>
      <c r="X14" s="6746">
        <f t="shared" si="10"/>
        <v>-24122.994605891919</v>
      </c>
      <c r="Y14" s="4960">
        <f>Y6*0.64%</f>
        <v>26012.193502181533</v>
      </c>
      <c r="Z14" s="6699"/>
      <c r="AA14" s="6746">
        <f t="shared" si="11"/>
        <v>-26012.193502181533</v>
      </c>
      <c r="AB14" s="6736">
        <f>AB6*0.64%</f>
        <v>24178.878233338452</v>
      </c>
      <c r="AC14" s="6699"/>
      <c r="AD14" s="6728">
        <f t="shared" si="12"/>
        <v>-24178.878233338452</v>
      </c>
      <c r="AE14" s="4960">
        <f>AE6*0.64%</f>
        <v>21249.409530512836</v>
      </c>
      <c r="AF14" s="6699"/>
      <c r="AG14" s="6746">
        <f t="shared" si="13"/>
        <v>-21249.409530512836</v>
      </c>
      <c r="AH14" s="6736">
        <f>AH6*0.64%</f>
        <v>20481.172149516919</v>
      </c>
      <c r="AI14" s="6699"/>
      <c r="AJ14" s="6728">
        <f t="shared" si="14"/>
        <v>-20481.172149516919</v>
      </c>
      <c r="AK14" s="4960">
        <f>AK6*0.64%</f>
        <v>20202.172695285233</v>
      </c>
      <c r="AL14" s="6699"/>
      <c r="AM14" s="6746">
        <f t="shared" si="15"/>
        <v>-20202.172695285233</v>
      </c>
      <c r="AN14" s="4959">
        <f>AN6*0.64%</f>
        <v>20246.647299754652</v>
      </c>
      <c r="AO14" s="6699"/>
      <c r="AP14" s="6755">
        <f t="shared" si="16"/>
        <v>-20246.647299754652</v>
      </c>
      <c r="AQ14" s="6764">
        <f t="shared" si="17"/>
        <v>112971.44474452708</v>
      </c>
      <c r="AR14" s="6670">
        <f t="shared" si="0"/>
        <v>85673.436423076913</v>
      </c>
      <c r="AS14" s="6765">
        <f t="shared" si="18"/>
        <v>-27298.008321450165</v>
      </c>
      <c r="AT14" s="6375">
        <f t="shared" si="1"/>
        <v>4.0969598357003161E-3</v>
      </c>
      <c r="AU14" s="6369">
        <f t="shared" si="2"/>
        <v>2.0822221227679454E-3</v>
      </c>
      <c r="AV14" s="6336">
        <f t="shared" si="3"/>
        <v>10436.770090038874</v>
      </c>
      <c r="AW14" s="6339">
        <f t="shared" si="4"/>
        <v>4160.323158157742</v>
      </c>
      <c r="AX14" s="6341">
        <f t="shared" si="19"/>
        <v>6276.4469318811316</v>
      </c>
      <c r="AZ14" s="4546"/>
      <c r="BJ14" s="1568"/>
      <c r="BL14" s="1532"/>
    </row>
    <row r="15" spans="1:64" ht="16.5" customHeight="1">
      <c r="A15" s="7068"/>
      <c r="B15" s="1623"/>
      <c r="C15" s="4952">
        <v>5</v>
      </c>
      <c r="D15" s="4953" t="s">
        <v>437</v>
      </c>
      <c r="E15" s="4954" t="s">
        <v>1528</v>
      </c>
      <c r="F15" s="4955">
        <v>2.0999999999999999E-3</v>
      </c>
      <c r="G15" s="4960">
        <v>4058.3078700625983</v>
      </c>
      <c r="H15" s="6699">
        <v>9193.1379615384612</v>
      </c>
      <c r="I15" s="6746">
        <f t="shared" si="5"/>
        <v>5134.8300914758629</v>
      </c>
      <c r="J15" s="4960">
        <v>3796.376932360401</v>
      </c>
      <c r="K15" s="6699">
        <v>4507.1176538461541</v>
      </c>
      <c r="L15" s="6746">
        <f t="shared" si="6"/>
        <v>710.74072148575306</v>
      </c>
      <c r="M15" s="6736">
        <v>4425.4254807836005</v>
      </c>
      <c r="N15" s="6699">
        <v>6140.4253846153842</v>
      </c>
      <c r="O15" s="6728">
        <f t="shared" si="7"/>
        <v>1714.9999038317837</v>
      </c>
      <c r="P15" s="4960">
        <v>4235.271296672332</v>
      </c>
      <c r="Q15" s="6699">
        <v>7120.4120000000003</v>
      </c>
      <c r="R15" s="6746">
        <f t="shared" si="8"/>
        <v>2885.1407033276682</v>
      </c>
      <c r="S15" s="6736">
        <v>4196.0499566177032</v>
      </c>
      <c r="T15" s="6699">
        <f>SUMIF('7. E Plan'!$D$9:$D$32,D15,'7. E Plan'!$K$9:$K$32)</f>
        <v>8447.9301538461532</v>
      </c>
      <c r="U15" s="6728">
        <f t="shared" si="9"/>
        <v>4251.88019722845</v>
      </c>
      <c r="V15" s="4960">
        <f>V6*0.21%</f>
        <v>7915.3576050582851</v>
      </c>
      <c r="W15" s="6699"/>
      <c r="X15" s="6746">
        <f t="shared" si="10"/>
        <v>-7915.3576050582851</v>
      </c>
      <c r="Y15" s="4960">
        <f>Y6*0.21%</f>
        <v>8535.2509929033149</v>
      </c>
      <c r="Z15" s="6699"/>
      <c r="AA15" s="6746">
        <f t="shared" si="11"/>
        <v>-8535.2509929033149</v>
      </c>
      <c r="AB15" s="6736">
        <f>AB6*0.21%</f>
        <v>7933.6944203141793</v>
      </c>
      <c r="AC15" s="6699"/>
      <c r="AD15" s="6728">
        <f t="shared" si="12"/>
        <v>-7933.6944203141793</v>
      </c>
      <c r="AE15" s="4960">
        <f>AE6*0.21%</f>
        <v>6972.4625021995234</v>
      </c>
      <c r="AF15" s="6699"/>
      <c r="AG15" s="6746">
        <f t="shared" si="13"/>
        <v>-6972.4625021995234</v>
      </c>
      <c r="AH15" s="6736">
        <f>AH6*0.21%</f>
        <v>6720.3846115602373</v>
      </c>
      <c r="AI15" s="6699"/>
      <c r="AJ15" s="6728">
        <f t="shared" si="14"/>
        <v>-6720.3846115602373</v>
      </c>
      <c r="AK15" s="4960">
        <f>AK6*0.21%</f>
        <v>6628.8379156404671</v>
      </c>
      <c r="AL15" s="6699"/>
      <c r="AM15" s="6746">
        <f t="shared" si="15"/>
        <v>-6628.8379156404671</v>
      </c>
      <c r="AN15" s="6736">
        <f>AN6*0.21%</f>
        <v>6643.4311452319944</v>
      </c>
      <c r="AO15" s="6699"/>
      <c r="AP15" s="6755">
        <f t="shared" si="16"/>
        <v>-6643.4311452319944</v>
      </c>
      <c r="AQ15" s="6764">
        <f t="shared" si="17"/>
        <v>20711.431536496631</v>
      </c>
      <c r="AR15" s="6670">
        <f t="shared" si="0"/>
        <v>35409.023153846152</v>
      </c>
      <c r="AS15" s="6765">
        <f t="shared" si="18"/>
        <v>14697.591617349521</v>
      </c>
      <c r="AT15" s="6375">
        <f t="shared" si="1"/>
        <v>1.8441529199960981E-3</v>
      </c>
      <c r="AU15" s="6369">
        <f t="shared" si="2"/>
        <v>7.3633152333149523E-4</v>
      </c>
      <c r="AV15" s="6336">
        <f t="shared" si="3"/>
        <v>4697.8737426609732</v>
      </c>
      <c r="AW15" s="6339">
        <f t="shared" si="4"/>
        <v>1471.2057158077691</v>
      </c>
      <c r="AX15" s="6341">
        <f t="shared" si="19"/>
        <v>3226.6680268532041</v>
      </c>
      <c r="AZ15" s="4546"/>
      <c r="BJ15" s="1568"/>
      <c r="BL15" s="1532"/>
    </row>
    <row r="16" spans="1:64" ht="16.5" customHeight="1">
      <c r="A16" s="7068"/>
      <c r="B16" s="1623"/>
      <c r="C16" s="4952">
        <v>6</v>
      </c>
      <c r="D16" s="4953" t="s">
        <v>438</v>
      </c>
      <c r="E16" s="4954" t="s">
        <v>1529</v>
      </c>
      <c r="F16" s="4955">
        <v>8.9999999999999998E-4</v>
      </c>
      <c r="G16" s="4960">
        <v>3320.4337118693984</v>
      </c>
      <c r="H16" s="6699">
        <v>0</v>
      </c>
      <c r="I16" s="6746">
        <f t="shared" si="5"/>
        <v>-3320.4337118693984</v>
      </c>
      <c r="J16" s="4960">
        <v>3106.1265810221457</v>
      </c>
      <c r="K16" s="6699">
        <v>3165.6298076923076</v>
      </c>
      <c r="L16" s="6746">
        <f t="shared" si="6"/>
        <v>59.503226670161894</v>
      </c>
      <c r="M16" s="6736">
        <v>3620.8026660956725</v>
      </c>
      <c r="N16" s="6699">
        <v>0</v>
      </c>
      <c r="O16" s="6728">
        <f t="shared" si="7"/>
        <v>-3620.8026660956725</v>
      </c>
      <c r="P16" s="4960">
        <v>3465.2219700046348</v>
      </c>
      <c r="Q16" s="6699">
        <v>858.98830769230767</v>
      </c>
      <c r="R16" s="6746">
        <f t="shared" si="8"/>
        <v>-2606.2336623123274</v>
      </c>
      <c r="S16" s="6736">
        <v>3433.1317826872119</v>
      </c>
      <c r="T16" s="6699">
        <f>SUMIF('7. E Plan'!$D$9:$D$32,D16,'7. E Plan'!$K$9:$K$32)</f>
        <v>522.26942307692309</v>
      </c>
      <c r="U16" s="6728">
        <f t="shared" si="9"/>
        <v>-2910.8623596102889</v>
      </c>
      <c r="V16" s="4960">
        <f>V6*0.09%</f>
        <v>3392.2961164535509</v>
      </c>
      <c r="W16" s="6699"/>
      <c r="X16" s="6746">
        <f t="shared" si="10"/>
        <v>-3392.2961164535509</v>
      </c>
      <c r="Y16" s="4960">
        <f>Y6*0.09%</f>
        <v>3657.9647112442781</v>
      </c>
      <c r="Z16" s="6699"/>
      <c r="AA16" s="6746">
        <f t="shared" si="11"/>
        <v>-3657.9647112442781</v>
      </c>
      <c r="AB16" s="6736">
        <f>AB6*0.09%</f>
        <v>3400.1547515632196</v>
      </c>
      <c r="AC16" s="6699"/>
      <c r="AD16" s="6728">
        <f t="shared" si="12"/>
        <v>-3400.1547515632196</v>
      </c>
      <c r="AE16" s="4960">
        <f>AE6*0.09%</f>
        <v>2988.1982152283672</v>
      </c>
      <c r="AF16" s="6699"/>
      <c r="AG16" s="6746">
        <f t="shared" si="13"/>
        <v>-2988.1982152283672</v>
      </c>
      <c r="AH16" s="6736">
        <f>AH6*0.09%</f>
        <v>2880.1648335258164</v>
      </c>
      <c r="AI16" s="6699"/>
      <c r="AJ16" s="6728">
        <f t="shared" si="14"/>
        <v>-2880.1648335258164</v>
      </c>
      <c r="AK16" s="4960">
        <f>AK6*0.09%</f>
        <v>2840.9305352744859</v>
      </c>
      <c r="AL16" s="6699"/>
      <c r="AM16" s="6746">
        <f t="shared" si="15"/>
        <v>-2840.9305352744859</v>
      </c>
      <c r="AN16" s="6736">
        <f>AN6*0.09%</f>
        <v>2847.1847765279977</v>
      </c>
      <c r="AO16" s="6699"/>
      <c r="AP16" s="6755">
        <f t="shared" si="16"/>
        <v>-2847.1847765279977</v>
      </c>
      <c r="AQ16" s="6764">
        <f t="shared" si="17"/>
        <v>16945.716711679062</v>
      </c>
      <c r="AR16" s="6670">
        <f t="shared" si="0"/>
        <v>4546.8875384615385</v>
      </c>
      <c r="AS16" s="6765">
        <f t="shared" si="18"/>
        <v>-12398.829173217524</v>
      </c>
      <c r="AT16" s="6375">
        <f t="shared" si="1"/>
        <v>2.8793724848376833E-4</v>
      </c>
      <c r="AU16" s="6369">
        <f t="shared" si="2"/>
        <v>1.2173683261475107E-4</v>
      </c>
      <c r="AV16" s="6336">
        <f t="shared" si="3"/>
        <v>733.50361812121605</v>
      </c>
      <c r="AW16" s="6339">
        <f t="shared" si="4"/>
        <v>243.2327264176152</v>
      </c>
      <c r="AX16" s="6341">
        <f t="shared" si="19"/>
        <v>490.27089170360085</v>
      </c>
      <c r="AZ16" s="4546"/>
      <c r="BJ16" s="1568"/>
      <c r="BL16" s="1532"/>
    </row>
    <row r="17" spans="1:64" ht="16.5" customHeight="1">
      <c r="A17" s="7068"/>
      <c r="B17" s="1623"/>
      <c r="C17" s="4952">
        <f>+C16+1</f>
        <v>7</v>
      </c>
      <c r="D17" s="4953" t="s">
        <v>1506</v>
      </c>
      <c r="E17" s="4954" t="s">
        <v>1556</v>
      </c>
      <c r="F17" s="4955"/>
      <c r="G17" s="4960">
        <v>0</v>
      </c>
      <c r="H17" s="6699">
        <v>2598.860076923077</v>
      </c>
      <c r="I17" s="6746">
        <f t="shared" si="5"/>
        <v>2598.860076923077</v>
      </c>
      <c r="J17" s="4960">
        <v>0</v>
      </c>
      <c r="K17" s="6699">
        <v>2598.0200769230769</v>
      </c>
      <c r="L17" s="6746">
        <f t="shared" si="6"/>
        <v>2598.0200769230769</v>
      </c>
      <c r="M17" s="6736">
        <v>0</v>
      </c>
      <c r="N17" s="6699">
        <v>2598.0200769230769</v>
      </c>
      <c r="O17" s="6728">
        <f t="shared" si="7"/>
        <v>2598.0200769230769</v>
      </c>
      <c r="P17" s="4960">
        <v>0</v>
      </c>
      <c r="Q17" s="6699">
        <v>2598.0200769230769</v>
      </c>
      <c r="R17" s="6746">
        <f t="shared" si="8"/>
        <v>2598.0200769230769</v>
      </c>
      <c r="S17" s="6736"/>
      <c r="T17" s="6699">
        <f>SUMIF('7. E Plan'!$D$9:$D$32,D17,'7. E Plan'!$K$9:$K$32)</f>
        <v>2701.6465384615385</v>
      </c>
      <c r="U17" s="6728">
        <f t="shared" si="9"/>
        <v>2701.6465384615385</v>
      </c>
      <c r="V17" s="4960">
        <v>2598.860076923077</v>
      </c>
      <c r="W17" s="6699"/>
      <c r="X17" s="6746">
        <f t="shared" si="10"/>
        <v>-2598.860076923077</v>
      </c>
      <c r="Y17" s="4960">
        <v>2598.860076923077</v>
      </c>
      <c r="Z17" s="6699"/>
      <c r="AA17" s="6746">
        <f t="shared" si="11"/>
        <v>-2598.860076923077</v>
      </c>
      <c r="AB17" s="6736">
        <v>2598.860076923077</v>
      </c>
      <c r="AC17" s="6699"/>
      <c r="AD17" s="6728">
        <f t="shared" si="12"/>
        <v>-2598.860076923077</v>
      </c>
      <c r="AE17" s="4960">
        <v>2598.860076923077</v>
      </c>
      <c r="AF17" s="6699"/>
      <c r="AG17" s="6746">
        <f t="shared" si="13"/>
        <v>-2598.860076923077</v>
      </c>
      <c r="AH17" s="6736">
        <v>2598.860076923077</v>
      </c>
      <c r="AI17" s="6699"/>
      <c r="AJ17" s="6728">
        <f t="shared" si="14"/>
        <v>-2598.860076923077</v>
      </c>
      <c r="AK17" s="4960">
        <v>2598.860076923077</v>
      </c>
      <c r="AL17" s="6699"/>
      <c r="AM17" s="6746">
        <f t="shared" si="15"/>
        <v>-2598.860076923077</v>
      </c>
      <c r="AN17" s="6736">
        <v>2598.860076923077</v>
      </c>
      <c r="AO17" s="6699"/>
      <c r="AP17" s="6755">
        <f t="shared" si="16"/>
        <v>-2598.860076923077</v>
      </c>
      <c r="AQ17" s="6764">
        <f t="shared" si="17"/>
        <v>0</v>
      </c>
      <c r="AR17" s="6670">
        <f t="shared" si="0"/>
        <v>13094.566846153846</v>
      </c>
      <c r="AS17" s="6765">
        <f t="shared" si="18"/>
        <v>13094.566846153846</v>
      </c>
      <c r="AT17" s="6375">
        <f t="shared" si="1"/>
        <v>7.1396389498050786E-4</v>
      </c>
      <c r="AU17" s="6369">
        <f t="shared" si="2"/>
        <v>2.5031499497286144E-4</v>
      </c>
      <c r="AV17" s="6336">
        <f t="shared" si="3"/>
        <v>1818.7820538461535</v>
      </c>
      <c r="AW17" s="6339">
        <f t="shared" si="4"/>
        <v>533.47687692307693</v>
      </c>
      <c r="AX17" s="6341">
        <f t="shared" si="19"/>
        <v>1285.3051769230765</v>
      </c>
      <c r="AZ17" s="4546"/>
      <c r="BJ17" s="1568"/>
      <c r="BL17" s="1532"/>
    </row>
    <row r="18" spans="1:64" ht="16.5" customHeight="1">
      <c r="A18" s="7068"/>
      <c r="B18" s="1623"/>
      <c r="C18" s="4952">
        <f t="shared" ref="C18:C33" si="20">+C17+1</f>
        <v>8</v>
      </c>
      <c r="D18" s="4953" t="s">
        <v>1507</v>
      </c>
      <c r="E18" s="4954" t="s">
        <v>1546</v>
      </c>
      <c r="F18" s="4955"/>
      <c r="G18" s="4960">
        <v>31500</v>
      </c>
      <c r="H18" s="6699">
        <f>39464.8317307692-H17</f>
        <v>36865.971653846122</v>
      </c>
      <c r="I18" s="6746">
        <f t="shared" si="5"/>
        <v>5365.9716538461216</v>
      </c>
      <c r="J18" s="4960">
        <v>31500</v>
      </c>
      <c r="K18" s="6699">
        <v>36705.969769230767</v>
      </c>
      <c r="L18" s="6746">
        <f t="shared" si="6"/>
        <v>5205.9697692307673</v>
      </c>
      <c r="M18" s="6736">
        <v>31500</v>
      </c>
      <c r="N18" s="6699">
        <v>37647.247730769232</v>
      </c>
      <c r="O18" s="6728">
        <f t="shared" si="7"/>
        <v>6147.2477307692316</v>
      </c>
      <c r="P18" s="4960">
        <v>31500</v>
      </c>
      <c r="Q18" s="6699">
        <v>39006.51192307692</v>
      </c>
      <c r="R18" s="6746">
        <f t="shared" si="8"/>
        <v>7506.5119230769196</v>
      </c>
      <c r="S18" s="6736">
        <v>31500</v>
      </c>
      <c r="T18" s="6699">
        <f>SUMIF('7. E Plan'!$D$9:$D$32,D18,'7. E Plan'!$K$9:$K$32)</f>
        <v>38180.04396153846</v>
      </c>
      <c r="U18" s="6728">
        <f t="shared" si="9"/>
        <v>6680.0439615384603</v>
      </c>
      <c r="V18" s="4960">
        <f>+'9. C Plan'!I16</f>
        <v>31500</v>
      </c>
      <c r="W18" s="6699"/>
      <c r="X18" s="6746">
        <f t="shared" si="10"/>
        <v>-31500</v>
      </c>
      <c r="Y18" s="4960">
        <f>+'9. C Plan'!J16</f>
        <v>31500</v>
      </c>
      <c r="Z18" s="6699"/>
      <c r="AA18" s="6746">
        <f t="shared" si="11"/>
        <v>-31500</v>
      </c>
      <c r="AB18" s="6736">
        <f>+'9. C Plan'!K16</f>
        <v>31500</v>
      </c>
      <c r="AC18" s="6699"/>
      <c r="AD18" s="6728">
        <f t="shared" si="12"/>
        <v>-31500</v>
      </c>
      <c r="AE18" s="4960">
        <f>+'9. C Plan'!L16</f>
        <v>31500</v>
      </c>
      <c r="AF18" s="6699"/>
      <c r="AG18" s="6746">
        <f t="shared" si="13"/>
        <v>-31500</v>
      </c>
      <c r="AH18" s="6736">
        <f>+'9. C Plan'!M16</f>
        <v>31500</v>
      </c>
      <c r="AI18" s="6699"/>
      <c r="AJ18" s="6728">
        <f t="shared" si="14"/>
        <v>-31500</v>
      </c>
      <c r="AK18" s="4960">
        <f>+'9. C Plan'!N16</f>
        <v>31500</v>
      </c>
      <c r="AL18" s="6699"/>
      <c r="AM18" s="6746">
        <f t="shared" si="15"/>
        <v>-31500</v>
      </c>
      <c r="AN18" s="6736">
        <f>+'9. C Plan'!O16</f>
        <v>31500</v>
      </c>
      <c r="AO18" s="6699"/>
      <c r="AP18" s="6755">
        <f t="shared" si="16"/>
        <v>-31500</v>
      </c>
      <c r="AQ18" s="6764">
        <f t="shared" si="17"/>
        <v>157500</v>
      </c>
      <c r="AR18" s="6670">
        <f t="shared" si="0"/>
        <v>188405.74503846152</v>
      </c>
      <c r="AS18" s="6765">
        <f t="shared" si="18"/>
        <v>30905.745038461522</v>
      </c>
      <c r="AT18" s="6375">
        <f t="shared" si="1"/>
        <v>1.0263033537040861E-2</v>
      </c>
      <c r="AU18" s="6369">
        <f t="shared" si="2"/>
        <v>3.373966587137938E-3</v>
      </c>
      <c r="AV18" s="6336">
        <f t="shared" si="3"/>
        <v>26144.489023076916</v>
      </c>
      <c r="AW18" s="6339">
        <f t="shared" si="4"/>
        <v>6741.2554951923084</v>
      </c>
      <c r="AX18" s="6357">
        <f t="shared" si="19"/>
        <v>19403.233527884608</v>
      </c>
      <c r="AY18" s="3911" t="s">
        <v>1866</v>
      </c>
      <c r="AZ18" s="4546" t="s">
        <v>1910</v>
      </c>
      <c r="BJ18" s="1568"/>
      <c r="BL18" s="1532"/>
    </row>
    <row r="19" spans="1:64" ht="16.5" customHeight="1">
      <c r="A19" s="7068"/>
      <c r="B19" s="1623"/>
      <c r="C19" s="4952">
        <f t="shared" si="20"/>
        <v>9</v>
      </c>
      <c r="D19" s="4953" t="s">
        <v>484</v>
      </c>
      <c r="E19" s="4954" t="s">
        <v>1530</v>
      </c>
      <c r="F19" s="4955"/>
      <c r="G19" s="4960">
        <v>65928.186773386362</v>
      </c>
      <c r="H19" s="6699">
        <v>98953.734615384616</v>
      </c>
      <c r="I19" s="6746">
        <f t="shared" si="5"/>
        <v>33025.547841998254</v>
      </c>
      <c r="J19" s="4960">
        <v>67264.232227931818</v>
      </c>
      <c r="K19" s="6699">
        <v>72915.855384615381</v>
      </c>
      <c r="L19" s="6746">
        <f t="shared" si="6"/>
        <v>5651.6231566835631</v>
      </c>
      <c r="M19" s="6736">
        <v>27793.40045532092</v>
      </c>
      <c r="N19" s="6699">
        <v>68269.669230769228</v>
      </c>
      <c r="O19" s="6728">
        <f t="shared" si="7"/>
        <v>40476.268775448305</v>
      </c>
      <c r="P19" s="4960">
        <v>31540.38962979674</v>
      </c>
      <c r="Q19" s="6699">
        <v>51752.566461538459</v>
      </c>
      <c r="R19" s="6746">
        <f t="shared" si="8"/>
        <v>20212.176831741719</v>
      </c>
      <c r="S19" s="6736">
        <v>32804.955112720731</v>
      </c>
      <c r="T19" s="6699">
        <f>SUMIF('7. E Plan'!$D$9:$D$32,D19,'7. E Plan'!$K$9:$K$32)</f>
        <v>63373.790807692305</v>
      </c>
      <c r="U19" s="6728">
        <f t="shared" si="9"/>
        <v>30568.835694971574</v>
      </c>
      <c r="V19" s="4960">
        <f>'6. O Plan'!N80</f>
        <v>53146.894246072552</v>
      </c>
      <c r="W19" s="6699"/>
      <c r="X19" s="6746">
        <f t="shared" si="10"/>
        <v>-53146.894246072552</v>
      </c>
      <c r="Y19" s="4960">
        <f>'6. O Plan'!O80</f>
        <v>72798.36555663844</v>
      </c>
      <c r="Z19" s="6699"/>
      <c r="AA19" s="6746">
        <f t="shared" si="11"/>
        <v>-72798.36555663844</v>
      </c>
      <c r="AB19" s="6736">
        <f>'6. O Plan'!P80</f>
        <v>62903.598828306953</v>
      </c>
      <c r="AC19" s="6699"/>
      <c r="AD19" s="6728">
        <f t="shared" si="12"/>
        <v>-62903.598828306953</v>
      </c>
      <c r="AE19" s="4960">
        <f>'6. O Plan'!Q80</f>
        <v>54638.188918550157</v>
      </c>
      <c r="AF19" s="6699"/>
      <c r="AG19" s="6746">
        <f t="shared" si="13"/>
        <v>-54638.188918550157</v>
      </c>
      <c r="AH19" s="6736">
        <f>'6. O Plan'!R80</f>
        <v>46396.41515188443</v>
      </c>
      <c r="AI19" s="6699"/>
      <c r="AJ19" s="6728">
        <f t="shared" si="14"/>
        <v>-46396.41515188443</v>
      </c>
      <c r="AK19" s="4960">
        <f>'6. O Plan'!S80</f>
        <v>53111.600975498812</v>
      </c>
      <c r="AL19" s="6699"/>
      <c r="AM19" s="6746">
        <f t="shared" si="15"/>
        <v>-53111.600975498812</v>
      </c>
      <c r="AN19" s="4959">
        <f>'6. O Plan'!T80</f>
        <v>65298.370776991185</v>
      </c>
      <c r="AO19" s="6699"/>
      <c r="AP19" s="6755">
        <f t="shared" si="16"/>
        <v>-65298.370776991185</v>
      </c>
      <c r="AQ19" s="6764">
        <f t="shared" si="17"/>
        <v>225331.16419915654</v>
      </c>
      <c r="AR19" s="6670">
        <f t="shared" si="0"/>
        <v>355265.6165</v>
      </c>
      <c r="AS19" s="6765">
        <f t="shared" si="18"/>
        <v>129934.45230084346</v>
      </c>
      <c r="AT19" s="6384">
        <f t="shared" si="1"/>
        <v>1.9535014616105427E-2</v>
      </c>
      <c r="AU19" s="6383">
        <f t="shared" si="2"/>
        <v>6.0073808490594344E-3</v>
      </c>
      <c r="AV19" s="6336">
        <f t="shared" si="3"/>
        <v>49764.328777948729</v>
      </c>
      <c r="AW19" s="6339">
        <f t="shared" si="4"/>
        <v>12002.872024523489</v>
      </c>
      <c r="AX19" s="6357">
        <f t="shared" si="19"/>
        <v>37761.456753425242</v>
      </c>
      <c r="AY19" s="3911" t="s">
        <v>1866</v>
      </c>
      <c r="AZ19" s="4546" t="s">
        <v>1906</v>
      </c>
      <c r="BJ19" s="1568"/>
      <c r="BL19" s="1532"/>
    </row>
    <row r="20" spans="1:64" ht="16.5" customHeight="1">
      <c r="A20" s="7068"/>
      <c r="B20" s="1623"/>
      <c r="C20" s="4952">
        <f t="shared" si="20"/>
        <v>10</v>
      </c>
      <c r="D20" s="4953" t="s">
        <v>444</v>
      </c>
      <c r="E20" s="4954" t="s">
        <v>1911</v>
      </c>
      <c r="F20" s="4955">
        <v>4.4999999999999998E-2</v>
      </c>
      <c r="G20" s="4960">
        <v>202915.39350312989</v>
      </c>
      <c r="H20" s="6699">
        <v>186565.44233125236</v>
      </c>
      <c r="I20" s="6746">
        <f t="shared" si="5"/>
        <v>-16349.951171877532</v>
      </c>
      <c r="J20" s="4960">
        <v>189818.84661802003</v>
      </c>
      <c r="K20" s="6699">
        <v>120012.68518289358</v>
      </c>
      <c r="L20" s="6746">
        <f t="shared" si="6"/>
        <v>-69806.161435126458</v>
      </c>
      <c r="M20" s="6736">
        <v>221271.27403917999</v>
      </c>
      <c r="N20" s="6699">
        <v>182136.45988950081</v>
      </c>
      <c r="O20" s="6728">
        <f t="shared" si="7"/>
        <v>-39134.81414967918</v>
      </c>
      <c r="P20" s="4960">
        <v>211763.56483361658</v>
      </c>
      <c r="Q20" s="6699">
        <v>155166.33783287567</v>
      </c>
      <c r="R20" s="6746">
        <f t="shared" si="8"/>
        <v>-56597.22700074091</v>
      </c>
      <c r="S20" s="6736">
        <v>209802.49783088517</v>
      </c>
      <c r="T20" s="6699">
        <f>SUMIF('7. E Plan'!$D$9:$D$32,D20,'7. E Plan'!$K$9:$K$32)</f>
        <v>185278.16595073658</v>
      </c>
      <c r="U20" s="6728">
        <f>T20-S20</f>
        <v>-24524.331880148588</v>
      </c>
      <c r="V20" s="4960">
        <f>V6*$F$20</f>
        <v>169614.80582267756</v>
      </c>
      <c r="W20" s="6699"/>
      <c r="X20" s="6746">
        <f t="shared" si="10"/>
        <v>-169614.80582267756</v>
      </c>
      <c r="Y20" s="4960">
        <f>Y6*$F$20</f>
        <v>182898.2355622139</v>
      </c>
      <c r="Z20" s="6699"/>
      <c r="AA20" s="6746">
        <f t="shared" si="11"/>
        <v>-182898.2355622139</v>
      </c>
      <c r="AB20" s="6736">
        <f>AB6*$F$20</f>
        <v>170007.73757816097</v>
      </c>
      <c r="AC20" s="6699"/>
      <c r="AD20" s="6728">
        <f t="shared" si="12"/>
        <v>-170007.73757816097</v>
      </c>
      <c r="AE20" s="4960">
        <f>AE6*$F$20</f>
        <v>149409.91076141834</v>
      </c>
      <c r="AF20" s="6699"/>
      <c r="AG20" s="6746">
        <f t="shared" si="13"/>
        <v>-149409.91076141834</v>
      </c>
      <c r="AH20" s="6736">
        <f>AH6*$F$20</f>
        <v>144008.24167629081</v>
      </c>
      <c r="AI20" s="6699"/>
      <c r="AJ20" s="6728">
        <f t="shared" si="14"/>
        <v>-144008.24167629081</v>
      </c>
      <c r="AK20" s="4960">
        <f>AK6*$F$20</f>
        <v>142046.52676372431</v>
      </c>
      <c r="AL20" s="6699"/>
      <c r="AM20" s="6746">
        <f t="shared" si="15"/>
        <v>-142046.52676372431</v>
      </c>
      <c r="AN20" s="4959">
        <f>AN6*$F$20</f>
        <v>142359.23882639987</v>
      </c>
      <c r="AO20" s="6699"/>
      <c r="AP20" s="6755">
        <f t="shared" si="16"/>
        <v>-142359.23882639987</v>
      </c>
      <c r="AQ20" s="6764">
        <f t="shared" si="17"/>
        <v>1035571.5768248318</v>
      </c>
      <c r="AR20" s="6670">
        <f t="shared" si="0"/>
        <v>829159.09118725907</v>
      </c>
      <c r="AS20" s="6765">
        <f t="shared" si="18"/>
        <v>-206412.48563757271</v>
      </c>
      <c r="AT20" s="6375">
        <f t="shared" si="1"/>
        <v>4.48074345568358E-2</v>
      </c>
      <c r="AU20" s="6369">
        <f t="shared" si="2"/>
        <v>1.6044489031872666E-2</v>
      </c>
      <c r="AV20" s="6336">
        <f t="shared" si="3"/>
        <v>114144.36839706558</v>
      </c>
      <c r="AW20" s="6339">
        <f t="shared" si="4"/>
        <v>32057.223170492063</v>
      </c>
      <c r="AX20" s="6341">
        <f t="shared" si="19"/>
        <v>82087.145226573513</v>
      </c>
      <c r="AY20" s="3911" t="s">
        <v>1866</v>
      </c>
      <c r="AZ20" s="4546" t="s">
        <v>1912</v>
      </c>
      <c r="BJ20" s="1568"/>
      <c r="BL20" s="1532"/>
    </row>
    <row r="21" spans="1:64" ht="16.5" customHeight="1">
      <c r="A21" s="7068"/>
      <c r="B21" s="1623"/>
      <c r="C21" s="4952">
        <f t="shared" si="20"/>
        <v>11</v>
      </c>
      <c r="D21" s="4953" t="s">
        <v>439</v>
      </c>
      <c r="E21" s="4954" t="s">
        <v>1531</v>
      </c>
      <c r="F21" s="4955">
        <v>1.4E-2</v>
      </c>
      <c r="G21" s="4960">
        <v>44272.449491591979</v>
      </c>
      <c r="H21" s="6699">
        <v>77037.882159804154</v>
      </c>
      <c r="I21" s="6746">
        <f t="shared" si="5"/>
        <v>32765.432668212175</v>
      </c>
      <c r="J21" s="4960">
        <v>41415.021080295279</v>
      </c>
      <c r="K21" s="6699">
        <v>58515.961471813163</v>
      </c>
      <c r="L21" s="6746">
        <f t="shared" si="6"/>
        <v>17100.940391517885</v>
      </c>
      <c r="M21" s="6736">
        <v>48277.368881275637</v>
      </c>
      <c r="N21" s="6699">
        <v>54899.256393022362</v>
      </c>
      <c r="O21" s="6728">
        <f t="shared" si="7"/>
        <v>6621.8875117467251</v>
      </c>
      <c r="P21" s="4960">
        <v>46202.959600061797</v>
      </c>
      <c r="Q21" s="6699">
        <v>57669.670761419868</v>
      </c>
      <c r="R21" s="6746">
        <f t="shared" si="8"/>
        <v>11466.711161358071</v>
      </c>
      <c r="S21" s="6736">
        <v>45775.090435829494</v>
      </c>
      <c r="T21" s="6699">
        <f>SUMIF('7. E Plan'!$D$9:$D$32,D21,'7. E Plan'!$K$9:$K$32)</f>
        <v>78298.072012030287</v>
      </c>
      <c r="U21" s="6728">
        <f t="shared" si="9"/>
        <v>32522.981576200793</v>
      </c>
      <c r="V21" s="4960">
        <f>V6*1.4%</f>
        <v>52769.050700388565</v>
      </c>
      <c r="W21" s="6699"/>
      <c r="X21" s="6746">
        <f t="shared" si="10"/>
        <v>-52769.050700388565</v>
      </c>
      <c r="Y21" s="4960">
        <f>Y6*1.4%</f>
        <v>56901.673286022095</v>
      </c>
      <c r="Z21" s="6699"/>
      <c r="AA21" s="6746">
        <f t="shared" si="11"/>
        <v>-56901.673286022095</v>
      </c>
      <c r="AB21" s="6736">
        <f>AB6*1.4%</f>
        <v>52891.29613542786</v>
      </c>
      <c r="AC21" s="6699"/>
      <c r="AD21" s="6728">
        <f t="shared" si="12"/>
        <v>-52891.29613542786</v>
      </c>
      <c r="AE21" s="4960">
        <f>AE6*1.4%</f>
        <v>46483.083347996821</v>
      </c>
      <c r="AF21" s="6699"/>
      <c r="AG21" s="6746">
        <f t="shared" si="13"/>
        <v>-46483.083347996821</v>
      </c>
      <c r="AH21" s="6737">
        <f>AH6*1.4%</f>
        <v>44802.564077068251</v>
      </c>
      <c r="AI21" s="6699"/>
      <c r="AJ21" s="6728">
        <f t="shared" si="14"/>
        <v>-44802.564077068251</v>
      </c>
      <c r="AK21" s="4969">
        <f>AK6*1.4%</f>
        <v>44192.252770936444</v>
      </c>
      <c r="AL21" s="6699"/>
      <c r="AM21" s="6746">
        <f t="shared" si="15"/>
        <v>-44192.252770936444</v>
      </c>
      <c r="AN21" s="6737">
        <f>AN6*1.4%</f>
        <v>44289.540968213289</v>
      </c>
      <c r="AO21" s="6699"/>
      <c r="AP21" s="6755">
        <f t="shared" si="16"/>
        <v>-44289.540968213289</v>
      </c>
      <c r="AQ21" s="6764">
        <f t="shared" si="17"/>
        <v>225942.88948905416</v>
      </c>
      <c r="AR21" s="6670">
        <f t="shared" si="0"/>
        <v>326420.84279808984</v>
      </c>
      <c r="AS21" s="6765">
        <f t="shared" si="18"/>
        <v>100477.95330903569</v>
      </c>
      <c r="AT21" s="6375">
        <f t="shared" si="1"/>
        <v>1.729210219661759E-2</v>
      </c>
      <c r="AU21" s="6369">
        <f t="shared" si="2"/>
        <v>6.2838961292301715E-3</v>
      </c>
      <c r="AV21" s="6336">
        <f t="shared" si="3"/>
        <v>44050.638091916902</v>
      </c>
      <c r="AW21" s="6339">
        <f t="shared" si="4"/>
        <v>12555.355312017116</v>
      </c>
      <c r="AX21" s="6341">
        <f t="shared" si="19"/>
        <v>31495.282779899786</v>
      </c>
      <c r="AY21" s="3911" t="s">
        <v>1867</v>
      </c>
      <c r="AZ21" s="4546"/>
      <c r="BJ21" s="1568"/>
      <c r="BL21" s="1532"/>
    </row>
    <row r="22" spans="1:64" ht="16.5" customHeight="1">
      <c r="A22" s="7068"/>
      <c r="B22" s="1623"/>
      <c r="C22" s="4952">
        <f t="shared" si="20"/>
        <v>12</v>
      </c>
      <c r="D22" s="4953" t="s">
        <v>440</v>
      </c>
      <c r="E22" s="4954" t="s">
        <v>1532</v>
      </c>
      <c r="F22" s="4955"/>
      <c r="G22" s="4960">
        <v>4168.0549019607843</v>
      </c>
      <c r="H22" s="6699">
        <v>3597.7884615384614</v>
      </c>
      <c r="I22" s="6746">
        <f t="shared" si="5"/>
        <v>-570.26644042232283</v>
      </c>
      <c r="J22" s="4960">
        <v>4168.0549019607843</v>
      </c>
      <c r="K22" s="6699">
        <v>4279.4230769230771</v>
      </c>
      <c r="L22" s="6746">
        <f t="shared" si="6"/>
        <v>111.36817496229287</v>
      </c>
      <c r="M22" s="6736">
        <v>4168.0549019607843</v>
      </c>
      <c r="N22" s="6699">
        <v>4088.1730769230771</v>
      </c>
      <c r="O22" s="6728">
        <f t="shared" si="7"/>
        <v>-79.881825037707131</v>
      </c>
      <c r="P22" s="4960">
        <v>4168.0549019607843</v>
      </c>
      <c r="Q22" s="6699">
        <v>4454.3269230769229</v>
      </c>
      <c r="R22" s="6746">
        <f t="shared" si="8"/>
        <v>286.2720211161386</v>
      </c>
      <c r="S22" s="6736">
        <v>4168.0549019607843</v>
      </c>
      <c r="T22" s="6699">
        <f>SUMIF('7. E Plan'!$D$9:$D$32,D22,'7. E Plan'!$K$9:$K$32)</f>
        <v>4185.8413461538457</v>
      </c>
      <c r="U22" s="6728">
        <f t="shared" si="9"/>
        <v>17.78644419306147</v>
      </c>
      <c r="V22" s="4960">
        <f>+S22</f>
        <v>4168.0549019607843</v>
      </c>
      <c r="W22" s="6699"/>
      <c r="X22" s="6746">
        <f t="shared" si="10"/>
        <v>-4168.0549019607843</v>
      </c>
      <c r="Y22" s="4960">
        <f>+V22</f>
        <v>4168.0549019607843</v>
      </c>
      <c r="Z22" s="6699"/>
      <c r="AA22" s="6746">
        <f t="shared" si="11"/>
        <v>-4168.0549019607843</v>
      </c>
      <c r="AB22" s="6736">
        <f>+Y22</f>
        <v>4168.0549019607843</v>
      </c>
      <c r="AC22" s="6699"/>
      <c r="AD22" s="6728">
        <f t="shared" si="12"/>
        <v>-4168.0549019607843</v>
      </c>
      <c r="AE22" s="4960">
        <f>+AB22</f>
        <v>4168.0549019607843</v>
      </c>
      <c r="AF22" s="6699"/>
      <c r="AG22" s="6746">
        <f t="shared" si="13"/>
        <v>-4168.0549019607843</v>
      </c>
      <c r="AH22" s="6736">
        <f>+AE22</f>
        <v>4168.0549019607843</v>
      </c>
      <c r="AI22" s="6699"/>
      <c r="AJ22" s="6728">
        <f t="shared" si="14"/>
        <v>-4168.0549019607843</v>
      </c>
      <c r="AK22" s="4960">
        <f>+AH22</f>
        <v>4168.0549019607843</v>
      </c>
      <c r="AL22" s="6699"/>
      <c r="AM22" s="6746">
        <f t="shared" si="15"/>
        <v>-4168.0549019607843</v>
      </c>
      <c r="AN22" s="6736">
        <f t="shared" ref="AN22" si="21">+AK22</f>
        <v>4168.0549019607843</v>
      </c>
      <c r="AO22" s="6699"/>
      <c r="AP22" s="6755">
        <f t="shared" si="16"/>
        <v>-4168.0549019607843</v>
      </c>
      <c r="AQ22" s="6764">
        <f t="shared" si="17"/>
        <v>20840.274509803923</v>
      </c>
      <c r="AR22" s="6670">
        <f t="shared" si="0"/>
        <v>20605.552884615383</v>
      </c>
      <c r="AS22" s="6765">
        <f t="shared" si="18"/>
        <v>-234.7216251885402</v>
      </c>
      <c r="AT22" s="6375">
        <f t="shared" si="1"/>
        <v>1.1142585097835189E-3</v>
      </c>
      <c r="AU22" s="6369">
        <f t="shared" si="2"/>
        <v>3.9225497094636858E-4</v>
      </c>
      <c r="AV22" s="6336">
        <f t="shared" si="3"/>
        <v>2838.5096153846148</v>
      </c>
      <c r="AW22" s="6339">
        <f t="shared" si="4"/>
        <v>783.73359964177973</v>
      </c>
      <c r="AX22" s="6341">
        <f t="shared" si="19"/>
        <v>2054.7760157428352</v>
      </c>
      <c r="AZ22" s="4546"/>
      <c r="BJ22" s="1568"/>
      <c r="BL22" s="1532"/>
    </row>
    <row r="23" spans="1:64" ht="16.5" customHeight="1">
      <c r="A23" s="7068"/>
      <c r="B23" s="1623"/>
      <c r="C23" s="4952">
        <f t="shared" si="20"/>
        <v>13</v>
      </c>
      <c r="D23" s="4953" t="s">
        <v>995</v>
      </c>
      <c r="E23" s="4954" t="s">
        <v>1533</v>
      </c>
      <c r="F23" s="4955">
        <v>7.0000000000000001E-3</v>
      </c>
      <c r="G23" s="4960">
        <v>25825.595536761983</v>
      </c>
      <c r="H23" s="6699">
        <v>37506.739500000003</v>
      </c>
      <c r="I23" s="6746">
        <f t="shared" si="5"/>
        <v>11681.143963238021</v>
      </c>
      <c r="J23" s="4960">
        <v>24158.762296838911</v>
      </c>
      <c r="K23" s="6699">
        <v>26003.423730769231</v>
      </c>
      <c r="L23" s="6746">
        <f t="shared" si="6"/>
        <v>1844.6614339303196</v>
      </c>
      <c r="M23" s="6736">
        <v>28161.798514077451</v>
      </c>
      <c r="N23" s="6699">
        <v>35617.722615384613</v>
      </c>
      <c r="O23" s="6728">
        <f t="shared" si="7"/>
        <v>7455.9241013071623</v>
      </c>
      <c r="P23" s="4960">
        <v>26951.726433369378</v>
      </c>
      <c r="Q23" s="6699">
        <v>38360.332346153846</v>
      </c>
      <c r="R23" s="6746">
        <f t="shared" si="8"/>
        <v>11408.605912784467</v>
      </c>
      <c r="S23" s="6736">
        <v>26702.1360875672</v>
      </c>
      <c r="T23" s="6699">
        <f>SUMIF('7. E Plan'!$D$9:$D$32,D23,'7. E Plan'!$K$9:$K$32)</f>
        <v>34554.817307692305</v>
      </c>
      <c r="U23" s="6728">
        <f t="shared" si="9"/>
        <v>7852.681220125105</v>
      </c>
      <c r="V23" s="4960">
        <f>V6*0.7%</f>
        <v>26384.525350194283</v>
      </c>
      <c r="W23" s="6699"/>
      <c r="X23" s="6746">
        <f t="shared" si="10"/>
        <v>-26384.525350194283</v>
      </c>
      <c r="Y23" s="4960">
        <f>Y6*0.7%</f>
        <v>28450.836643011047</v>
      </c>
      <c r="Z23" s="6699"/>
      <c r="AA23" s="6746">
        <f t="shared" si="11"/>
        <v>-28450.836643011047</v>
      </c>
      <c r="AB23" s="6736">
        <f>AB6*0.7%</f>
        <v>26445.64806771393</v>
      </c>
      <c r="AC23" s="6699"/>
      <c r="AD23" s="6728">
        <f t="shared" si="12"/>
        <v>-26445.64806771393</v>
      </c>
      <c r="AE23" s="4960">
        <f>AE6*0.7%</f>
        <v>23241.54167399841</v>
      </c>
      <c r="AF23" s="6699"/>
      <c r="AG23" s="6746">
        <f t="shared" si="13"/>
        <v>-23241.54167399841</v>
      </c>
      <c r="AH23" s="6736">
        <f>AH6*0.7%</f>
        <v>22401.282038534126</v>
      </c>
      <c r="AI23" s="6699"/>
      <c r="AJ23" s="6728">
        <f t="shared" si="14"/>
        <v>-22401.282038534126</v>
      </c>
      <c r="AK23" s="4960">
        <f>AK6*0.7%</f>
        <v>22096.126385468222</v>
      </c>
      <c r="AL23" s="6699"/>
      <c r="AM23" s="6746">
        <f t="shared" si="15"/>
        <v>-22096.126385468222</v>
      </c>
      <c r="AN23" s="6736">
        <f>AN6*0.7%</f>
        <v>22144.770484106644</v>
      </c>
      <c r="AO23" s="6699"/>
      <c r="AP23" s="6755">
        <f t="shared" si="16"/>
        <v>-22144.770484106644</v>
      </c>
      <c r="AQ23" s="6764">
        <f t="shared" si="17"/>
        <v>131800.01886861492</v>
      </c>
      <c r="AR23" s="6670">
        <f t="shared" si="0"/>
        <v>172043.0355</v>
      </c>
      <c r="AS23" s="6765">
        <f t="shared" si="18"/>
        <v>40243.016631385079</v>
      </c>
      <c r="AT23" s="6384">
        <f t="shared" si="1"/>
        <v>9.3325845005270032E-3</v>
      </c>
      <c r="AU23" s="6383">
        <f t="shared" si="2"/>
        <v>2.8545249652903323E-3</v>
      </c>
      <c r="AV23" s="6336">
        <f t="shared" si="3"/>
        <v>23774.223493506895</v>
      </c>
      <c r="AW23" s="6339">
        <f t="shared" si="4"/>
        <v>5703.4003187182043</v>
      </c>
      <c r="AX23" s="6341">
        <f t="shared" si="19"/>
        <v>18070.823174788689</v>
      </c>
      <c r="AZ23" s="4546"/>
      <c r="BJ23" s="1568"/>
      <c r="BL23" s="1532"/>
    </row>
    <row r="24" spans="1:64" ht="16.5" customHeight="1">
      <c r="A24" s="7068"/>
      <c r="B24" s="1623"/>
      <c r="C24" s="4952">
        <f t="shared" si="20"/>
        <v>14</v>
      </c>
      <c r="D24" s="4953" t="s">
        <v>442</v>
      </c>
      <c r="E24" s="4954" t="s">
        <v>1534</v>
      </c>
      <c r="F24" s="4955">
        <v>7.4399999999999998E-4</v>
      </c>
      <c r="G24" s="4960">
        <v>2744.8918684787027</v>
      </c>
      <c r="H24" s="6699">
        <v>1811.1249230769231</v>
      </c>
      <c r="I24" s="6746">
        <f t="shared" si="5"/>
        <v>-933.76694540177959</v>
      </c>
      <c r="J24" s="4960">
        <v>2567.7313069783072</v>
      </c>
      <c r="K24" s="6699">
        <v>2175.5190769230771</v>
      </c>
      <c r="L24" s="6746">
        <f t="shared" si="6"/>
        <v>-392.21223005523007</v>
      </c>
      <c r="M24" s="6736">
        <v>2993.1968706390894</v>
      </c>
      <c r="N24" s="6699">
        <v>2012.8434807692308</v>
      </c>
      <c r="O24" s="6728">
        <f t="shared" si="7"/>
        <v>-980.35338986985857</v>
      </c>
      <c r="P24" s="4960">
        <v>2864.5834952038313</v>
      </c>
      <c r="Q24" s="6699">
        <v>2208.0545000000002</v>
      </c>
      <c r="R24" s="6746">
        <f t="shared" si="8"/>
        <v>-656.52899520383107</v>
      </c>
      <c r="S24" s="6736">
        <v>2838.0556070214284</v>
      </c>
      <c r="T24" s="6699">
        <f>SUMIF('7. E Plan'!$D$9:$D$32,D24,'7. E Plan'!$K$9:$K$32)</f>
        <v>2128.3433076923079</v>
      </c>
      <c r="U24" s="6728">
        <f t="shared" si="9"/>
        <v>-709.71229932912047</v>
      </c>
      <c r="V24" s="4960">
        <f>V6*0.0744%</f>
        <v>2804.2981229349357</v>
      </c>
      <c r="W24" s="6699"/>
      <c r="X24" s="6746">
        <f t="shared" si="10"/>
        <v>-2804.2981229349357</v>
      </c>
      <c r="Y24" s="4960">
        <f>Y6*0.0744%</f>
        <v>3023.917494628603</v>
      </c>
      <c r="Z24" s="6699"/>
      <c r="AA24" s="6746">
        <f t="shared" si="11"/>
        <v>-3023.917494628603</v>
      </c>
      <c r="AB24" s="6736">
        <f>AB6*0.0744%</f>
        <v>2810.794594625595</v>
      </c>
      <c r="AC24" s="6699"/>
      <c r="AD24" s="6728">
        <f t="shared" si="12"/>
        <v>-2810.794594625595</v>
      </c>
      <c r="AE24" s="4960">
        <f>AE6*0.0744%</f>
        <v>2470.2438579221171</v>
      </c>
      <c r="AF24" s="6699"/>
      <c r="AG24" s="6746">
        <f t="shared" si="13"/>
        <v>-2470.2438579221171</v>
      </c>
      <c r="AH24" s="6736">
        <f>AH6*0.0744%</f>
        <v>2380.9362623813413</v>
      </c>
      <c r="AI24" s="6699"/>
      <c r="AJ24" s="6728">
        <f t="shared" si="14"/>
        <v>-2380.9362623813413</v>
      </c>
      <c r="AK24" s="4960">
        <f>AK6*0.0744%</f>
        <v>2348.5025758269085</v>
      </c>
      <c r="AL24" s="6699"/>
      <c r="AM24" s="6746">
        <f t="shared" si="15"/>
        <v>-2348.5025758269085</v>
      </c>
      <c r="AN24" s="6736">
        <f>AN6*0.0744%</f>
        <v>2353.672748596478</v>
      </c>
      <c r="AO24" s="6699"/>
      <c r="AP24" s="6755">
        <f t="shared" si="16"/>
        <v>-2353.672748596478</v>
      </c>
      <c r="AQ24" s="6764">
        <f t="shared" si="17"/>
        <v>14008.459148321359</v>
      </c>
      <c r="AR24" s="6670">
        <f t="shared" si="0"/>
        <v>10335.885288461539</v>
      </c>
      <c r="AS24" s="6765">
        <f t="shared" si="18"/>
        <v>-3672.57385985982</v>
      </c>
      <c r="AT24" s="6375">
        <f t="shared" si="1"/>
        <v>5.6239622382711727E-4</v>
      </c>
      <c r="AU24" s="6369">
        <f t="shared" si="2"/>
        <v>2.0677835566899064E-4</v>
      </c>
      <c r="AV24" s="6336">
        <f t="shared" si="3"/>
        <v>1432.6721088263589</v>
      </c>
      <c r="AW24" s="6339">
        <f t="shared" si="4"/>
        <v>413.14746024881845</v>
      </c>
      <c r="AX24" s="6341">
        <f t="shared" si="19"/>
        <v>1019.5246485775405</v>
      </c>
      <c r="AZ24" s="4546"/>
      <c r="BJ24" s="1568"/>
      <c r="BL24" s="1532"/>
    </row>
    <row r="25" spans="1:64" ht="16.5" customHeight="1">
      <c r="A25" s="7068"/>
      <c r="B25" s="1623"/>
      <c r="C25" s="4952">
        <f t="shared" si="20"/>
        <v>15</v>
      </c>
      <c r="D25" s="4953" t="s">
        <v>433</v>
      </c>
      <c r="E25" s="4954" t="s">
        <v>1535</v>
      </c>
      <c r="F25" s="4955"/>
      <c r="G25" s="4960">
        <v>277797.56550000003</v>
      </c>
      <c r="H25" s="6699">
        <v>165249</v>
      </c>
      <c r="I25" s="6746">
        <f t="shared" si="5"/>
        <v>-112548.56550000003</v>
      </c>
      <c r="J25" s="4960">
        <v>150692.075625</v>
      </c>
      <c r="K25" s="6699">
        <v>261565.85180769232</v>
      </c>
      <c r="L25" s="6746">
        <f t="shared" si="6"/>
        <v>110873.77618269232</v>
      </c>
      <c r="M25" s="6736">
        <v>277797.56550000003</v>
      </c>
      <c r="N25" s="6699">
        <v>233883.33126923078</v>
      </c>
      <c r="O25" s="6728">
        <f t="shared" si="7"/>
        <v>-43914.234230769245</v>
      </c>
      <c r="P25" s="4960">
        <v>268537.64664999995</v>
      </c>
      <c r="Q25" s="6699">
        <v>332468.06726923079</v>
      </c>
      <c r="R25" s="6746">
        <f t="shared" si="8"/>
        <v>63930.420619230834</v>
      </c>
      <c r="S25" s="6736">
        <v>268537.64664999995</v>
      </c>
      <c r="T25" s="6699">
        <f>SUMIF('7. E Plan'!$D$9:$D$32,D25,'7. E Plan'!$K$9:$K$32)</f>
        <v>279074.42246153846</v>
      </c>
      <c r="U25" s="6728">
        <f t="shared" si="9"/>
        <v>10536.775811538508</v>
      </c>
      <c r="V25" s="4960">
        <f>Utilty_Data!T21</f>
        <v>328718.38340249995</v>
      </c>
      <c r="W25" s="6699"/>
      <c r="X25" s="6746">
        <f t="shared" si="10"/>
        <v>-328718.38340249995</v>
      </c>
      <c r="Y25" s="4960">
        <f>Utilty_Data!U21</f>
        <v>328718.38340249995</v>
      </c>
      <c r="Z25" s="6699"/>
      <c r="AA25" s="6746">
        <f t="shared" si="11"/>
        <v>-328718.38340249995</v>
      </c>
      <c r="AB25" s="6736">
        <f>Utilty_Data!V21</f>
        <v>328718.38340249995</v>
      </c>
      <c r="AC25" s="6699"/>
      <c r="AD25" s="6728">
        <f t="shared" si="12"/>
        <v>-328718.38340249995</v>
      </c>
      <c r="AE25" s="4960">
        <f>Utilty_Data!W21</f>
        <v>306803.82450899994</v>
      </c>
      <c r="AF25" s="6699"/>
      <c r="AG25" s="6746">
        <f t="shared" si="13"/>
        <v>-306803.82450899994</v>
      </c>
      <c r="AH25" s="6736">
        <f>Utilty_Data!X21</f>
        <v>286131.49246500002</v>
      </c>
      <c r="AI25" s="6699"/>
      <c r="AJ25" s="6728">
        <f t="shared" si="14"/>
        <v>-286131.49246500002</v>
      </c>
      <c r="AK25" s="4960">
        <f>Utilty_Data!Y21</f>
        <v>286131.49246500002</v>
      </c>
      <c r="AL25" s="6699"/>
      <c r="AM25" s="6746">
        <f t="shared" si="15"/>
        <v>-286131.49246500002</v>
      </c>
      <c r="AN25" s="6736">
        <f>Utilty_Data!Z21</f>
        <v>286131.49246500002</v>
      </c>
      <c r="AO25" s="6699"/>
      <c r="AP25" s="6755">
        <f t="shared" si="16"/>
        <v>-286131.49246500002</v>
      </c>
      <c r="AQ25" s="6764">
        <f t="shared" si="17"/>
        <v>1243362.4999250001</v>
      </c>
      <c r="AR25" s="6670">
        <f t="shared" si="0"/>
        <v>1272240.6728076926</v>
      </c>
      <c r="AS25" s="6765">
        <f t="shared" si="18"/>
        <v>28878.172882692423</v>
      </c>
      <c r="AT25" s="6384">
        <f t="shared" si="1"/>
        <v>6.4559040619742283E-2</v>
      </c>
      <c r="AU25" s="6383">
        <f t="shared" si="2"/>
        <v>2.6409895480119086E-2</v>
      </c>
      <c r="AV25" s="6336">
        <f t="shared" si="3"/>
        <v>164460.45145730767</v>
      </c>
      <c r="AW25" s="6339">
        <f t="shared" si="4"/>
        <v>52767.521086754808</v>
      </c>
      <c r="AX25" s="6341">
        <f t="shared" si="19"/>
        <v>111692.93037055287</v>
      </c>
      <c r="AZ25" s="4546"/>
      <c r="BJ25" s="1568"/>
      <c r="BL25" s="1532"/>
    </row>
    <row r="26" spans="1:64" ht="16.5" customHeight="1">
      <c r="A26" s="7068"/>
      <c r="B26" s="1623"/>
      <c r="C26" s="4952">
        <f t="shared" si="20"/>
        <v>16</v>
      </c>
      <c r="D26" s="4953" t="s">
        <v>434</v>
      </c>
      <c r="E26" s="4954" t="s">
        <v>1536</v>
      </c>
      <c r="F26" s="4955">
        <v>7.3899999999999997E-4</v>
      </c>
      <c r="G26" s="4960">
        <v>2726.4450145238725</v>
      </c>
      <c r="H26" s="6699">
        <v>2014.1001923076924</v>
      </c>
      <c r="I26" s="6746">
        <f t="shared" si="5"/>
        <v>-712.34482221618009</v>
      </c>
      <c r="J26" s="4960">
        <v>2550.4750481948508</v>
      </c>
      <c r="K26" s="6699">
        <v>1722.0364615384615</v>
      </c>
      <c r="L26" s="6746">
        <f t="shared" si="6"/>
        <v>-828.43858665638936</v>
      </c>
      <c r="M26" s="6736">
        <v>2973.081300271891</v>
      </c>
      <c r="N26" s="6699">
        <v>1220.705923076923</v>
      </c>
      <c r="O26" s="6728">
        <f t="shared" si="7"/>
        <v>-1752.375377194968</v>
      </c>
      <c r="P26" s="4960">
        <v>2845.3322620371387</v>
      </c>
      <c r="Q26" s="6699">
        <v>2420.7851923076923</v>
      </c>
      <c r="R26" s="6746">
        <f t="shared" si="8"/>
        <v>-424.54706972944632</v>
      </c>
      <c r="S26" s="6736">
        <v>2818.9826526731658</v>
      </c>
      <c r="T26" s="6699">
        <f>SUMIF('7. E Plan'!$D$9:$D$32,D26,'7. E Plan'!$K$9:$K$32)</f>
        <v>1808.1081153846153</v>
      </c>
      <c r="U26" s="6728">
        <f t="shared" si="9"/>
        <v>-1010.8745372885505</v>
      </c>
      <c r="V26" s="4960">
        <f>V6*0.0739%</f>
        <v>2785.4520333990822</v>
      </c>
      <c r="W26" s="6699"/>
      <c r="X26" s="6746">
        <f t="shared" si="10"/>
        <v>-2785.4520333990822</v>
      </c>
      <c r="Y26" s="4960">
        <f>Y6*0.0739%</f>
        <v>3003.5954684550238</v>
      </c>
      <c r="Z26" s="6699"/>
      <c r="AA26" s="6746">
        <f t="shared" si="11"/>
        <v>-3003.5954684550238</v>
      </c>
      <c r="AB26" s="6736">
        <f>AB6*0.0739%</f>
        <v>2791.9048460057993</v>
      </c>
      <c r="AC26" s="6699"/>
      <c r="AD26" s="6728">
        <f t="shared" si="12"/>
        <v>-2791.9048460057993</v>
      </c>
      <c r="AE26" s="4960">
        <f>AE6*0.0739%</f>
        <v>2453.6427567264036</v>
      </c>
      <c r="AF26" s="6699"/>
      <c r="AG26" s="6746">
        <f t="shared" si="13"/>
        <v>-2453.6427567264036</v>
      </c>
      <c r="AH26" s="6736">
        <f>AH6*0.0739%</f>
        <v>2364.9353466395314</v>
      </c>
      <c r="AI26" s="6699"/>
      <c r="AJ26" s="6728">
        <f t="shared" si="14"/>
        <v>-2364.9353466395314</v>
      </c>
      <c r="AK26" s="4960">
        <f>AK6*0.0739%</f>
        <v>2332.7196284087167</v>
      </c>
      <c r="AL26" s="6699"/>
      <c r="AM26" s="6746">
        <f t="shared" si="15"/>
        <v>-2332.7196284087167</v>
      </c>
      <c r="AN26" s="6736">
        <f>AN6*0.0739%</f>
        <v>2337.8550553935447</v>
      </c>
      <c r="AO26" s="6699"/>
      <c r="AP26" s="6755">
        <f t="shared" si="16"/>
        <v>-2337.8550553935447</v>
      </c>
      <c r="AQ26" s="6764">
        <f t="shared" si="17"/>
        <v>13914.31627770092</v>
      </c>
      <c r="AR26" s="6670">
        <f t="shared" si="0"/>
        <v>9185.7358846153838</v>
      </c>
      <c r="AS26" s="6765">
        <f t="shared" si="18"/>
        <v>-4728.5803930855363</v>
      </c>
      <c r="AT26" s="6375">
        <f t="shared" si="1"/>
        <v>4.8885723687219459E-4</v>
      </c>
      <c r="AU26" s="6369">
        <f t="shared" si="2"/>
        <v>1.8624903765401577E-4</v>
      </c>
      <c r="AV26" s="6336">
        <f t="shared" si="3"/>
        <v>1245.3357593667113</v>
      </c>
      <c r="AW26" s="6339">
        <f t="shared" si="4"/>
        <v>372.1294553851734</v>
      </c>
      <c r="AX26" s="6341">
        <f t="shared" si="19"/>
        <v>873.20630398153787</v>
      </c>
      <c r="AZ26" s="4546"/>
      <c r="BJ26" s="1568"/>
      <c r="BL26" s="1532"/>
    </row>
    <row r="27" spans="1:64" ht="16.5" customHeight="1">
      <c r="A27" s="7068"/>
      <c r="B27" s="1623"/>
      <c r="C27" s="4952">
        <f t="shared" si="20"/>
        <v>17</v>
      </c>
      <c r="D27" s="4953" t="s">
        <v>435</v>
      </c>
      <c r="E27" s="4954" t="s">
        <v>1529</v>
      </c>
      <c r="F27" s="4955">
        <v>5.5999999999999995E-4</v>
      </c>
      <c r="G27" s="4960">
        <v>2066.0476429409591</v>
      </c>
      <c r="H27" s="6699">
        <v>1433.0995</v>
      </c>
      <c r="I27" s="6746">
        <f t="shared" si="5"/>
        <v>-632.94814294095909</v>
      </c>
      <c r="J27" s="4960">
        <v>1932.7009837471132</v>
      </c>
      <c r="K27" s="6699">
        <v>1079.4899230769231</v>
      </c>
      <c r="L27" s="6746">
        <f t="shared" si="6"/>
        <v>-853.21106067019014</v>
      </c>
      <c r="M27" s="6736">
        <v>2252.9438811261966</v>
      </c>
      <c r="N27" s="6699">
        <v>1615.8566538461539</v>
      </c>
      <c r="O27" s="6728">
        <f t="shared" si="7"/>
        <v>-637.08722728004273</v>
      </c>
      <c r="P27" s="4960">
        <v>2156.1381146695508</v>
      </c>
      <c r="Q27" s="6699">
        <v>1882.0412307692309</v>
      </c>
      <c r="R27" s="6746">
        <f t="shared" si="8"/>
        <v>-274.09688390031988</v>
      </c>
      <c r="S27" s="6736">
        <v>2136.1708870053762</v>
      </c>
      <c r="T27" s="6699">
        <f>SUMIF('7. E Plan'!$D$9:$D$32,D27,'7. E Plan'!$K$9:$K$32)</f>
        <v>2120.6528076923078</v>
      </c>
      <c r="U27" s="6728">
        <f t="shared" si="9"/>
        <v>-15.518079313068483</v>
      </c>
      <c r="V27" s="4960">
        <f>V6*0.056%</f>
        <v>2110.7620280155434</v>
      </c>
      <c r="W27" s="6699"/>
      <c r="X27" s="6746">
        <f t="shared" si="10"/>
        <v>-2110.7620280155434</v>
      </c>
      <c r="Y27" s="4960">
        <f>Y6*0.056%</f>
        <v>2276.0669314408842</v>
      </c>
      <c r="Z27" s="6699"/>
      <c r="AA27" s="6746">
        <f t="shared" si="11"/>
        <v>-2276.0669314408842</v>
      </c>
      <c r="AB27" s="6736">
        <f>AB6*0.056%</f>
        <v>2115.6518454171146</v>
      </c>
      <c r="AC27" s="6699"/>
      <c r="AD27" s="6728">
        <f t="shared" si="12"/>
        <v>-2115.6518454171146</v>
      </c>
      <c r="AE27" s="4960">
        <f>AE6*0.056%</f>
        <v>1859.3233339198732</v>
      </c>
      <c r="AF27" s="6699"/>
      <c r="AG27" s="6746">
        <f t="shared" si="13"/>
        <v>-1859.3233339198732</v>
      </c>
      <c r="AH27" s="6736">
        <f>AH6*0.056%</f>
        <v>1792.1025630827303</v>
      </c>
      <c r="AI27" s="6699"/>
      <c r="AJ27" s="6728">
        <f t="shared" si="14"/>
        <v>-1792.1025630827303</v>
      </c>
      <c r="AK27" s="4960">
        <f>AK6*0.056%</f>
        <v>1767.6901108374582</v>
      </c>
      <c r="AL27" s="6699"/>
      <c r="AM27" s="6746">
        <f t="shared" si="15"/>
        <v>-1767.6901108374582</v>
      </c>
      <c r="AN27" s="6736">
        <f>AN6*0.056%</f>
        <v>1771.581638728532</v>
      </c>
      <c r="AO27" s="6699"/>
      <c r="AP27" s="6755">
        <f t="shared" si="16"/>
        <v>-1771.581638728532</v>
      </c>
      <c r="AQ27" s="6764">
        <f t="shared" si="17"/>
        <v>10544.001509489197</v>
      </c>
      <c r="AR27" s="6670">
        <f t="shared" si="0"/>
        <v>8131.1401153846164</v>
      </c>
      <c r="AS27" s="6765">
        <f t="shared" si="18"/>
        <v>-2412.8613941045805</v>
      </c>
      <c r="AT27" s="6375">
        <f t="shared" si="1"/>
        <v>4.0154089374699957E-4</v>
      </c>
      <c r="AU27" s="6369">
        <f t="shared" si="2"/>
        <v>1.8808885731739543E-4</v>
      </c>
      <c r="AV27" s="6336">
        <f t="shared" si="3"/>
        <v>1022.9023856343977</v>
      </c>
      <c r="AW27" s="6339">
        <f t="shared" si="4"/>
        <v>375.80545338207173</v>
      </c>
      <c r="AX27" s="6341">
        <f t="shared" si="19"/>
        <v>647.09693225232593</v>
      </c>
      <c r="AZ27" s="4546"/>
      <c r="BJ27" s="1568"/>
      <c r="BL27" s="1532"/>
    </row>
    <row r="28" spans="1:64" ht="16.5" customHeight="1">
      <c r="A28" s="7068"/>
      <c r="B28" s="1623"/>
      <c r="C28" s="4952">
        <f t="shared" si="20"/>
        <v>18</v>
      </c>
      <c r="D28" s="6935" t="s">
        <v>809</v>
      </c>
      <c r="E28" s="4954" t="s">
        <v>1537</v>
      </c>
      <c r="F28" s="4955"/>
      <c r="G28" s="4960">
        <v>231582.29978693204</v>
      </c>
      <c r="H28" s="6699">
        <v>194564.23213692306</v>
      </c>
      <c r="I28" s="6746">
        <f t="shared" si="5"/>
        <v>-37018.067650008976</v>
      </c>
      <c r="J28" s="4960">
        <v>241382.84183238659</v>
      </c>
      <c r="K28" s="6699">
        <v>197097.27504076922</v>
      </c>
      <c r="L28" s="6746">
        <f t="shared" si="6"/>
        <v>-44285.56679161737</v>
      </c>
      <c r="M28" s="6736">
        <v>250216.41610136488</v>
      </c>
      <c r="N28" s="6699">
        <v>196701.98752538464</v>
      </c>
      <c r="O28" s="6728">
        <f t="shared" si="7"/>
        <v>-53514.428575980244</v>
      </c>
      <c r="P28" s="4960">
        <v>260138.486333112</v>
      </c>
      <c r="Q28" s="6699">
        <v>192632.49611115383</v>
      </c>
      <c r="R28" s="6746">
        <f t="shared" si="8"/>
        <v>-67505.990221958171</v>
      </c>
      <c r="S28" s="6736">
        <v>267393.66273767297</v>
      </c>
      <c r="T28" s="6699">
        <f>SUMIF('7. E Plan'!$D$9:$D$32,D28,'7. E Plan'!$K$9:$K$32)</f>
        <v>197343.98003730772</v>
      </c>
      <c r="U28" s="6728">
        <f t="shared" si="9"/>
        <v>-70049.682700365258</v>
      </c>
      <c r="V28" s="4960">
        <f>'8. I Plan'!M92+'8. I Plan'!M93+'8. I Plan'!M94</f>
        <v>215829.74681249892</v>
      </c>
      <c r="W28" s="6699"/>
      <c r="X28" s="6746">
        <f t="shared" si="10"/>
        <v>-215829.74681249892</v>
      </c>
      <c r="Y28" s="4960">
        <f>'8. I Plan'!N92+'8. I Plan'!N93+'8. I Plan'!N94</f>
        <v>227603.35556857119</v>
      </c>
      <c r="Z28" s="6699"/>
      <c r="AA28" s="6746">
        <f t="shared" si="11"/>
        <v>-227603.35556857119</v>
      </c>
      <c r="AB28" s="6736">
        <f>'8. I Plan'!O92+'8. I Plan'!O93+'8. I Plan'!O94</f>
        <v>237909.95733421878</v>
      </c>
      <c r="AC28" s="6699"/>
      <c r="AD28" s="6728">
        <f t="shared" si="12"/>
        <v>-237909.95733421878</v>
      </c>
      <c r="AE28" s="4960">
        <f>'8. I Plan'!P92+'8. I Plan'!P93+'8. I Plan'!P94</f>
        <v>246856.35805702099</v>
      </c>
      <c r="AF28" s="6699"/>
      <c r="AG28" s="6746">
        <f t="shared" si="13"/>
        <v>-246856.35805702099</v>
      </c>
      <c r="AH28" s="6736">
        <f>'8. I Plan'!Q92+'8. I Plan'!Q93+'8. I Plan'!Q94</f>
        <v>250050.59048192942</v>
      </c>
      <c r="AI28" s="6699"/>
      <c r="AJ28" s="6728">
        <f t="shared" si="14"/>
        <v>-250050.59048192942</v>
      </c>
      <c r="AK28" s="4960">
        <f>'8. I Plan'!R92+'8. I Plan'!R93+'8. I Plan'!R94</f>
        <v>259800.33286432625</v>
      </c>
      <c r="AL28" s="6699"/>
      <c r="AM28" s="6746">
        <f t="shared" si="15"/>
        <v>-259800.33286432625</v>
      </c>
      <c r="AN28" s="4959">
        <f>'8. I Plan'!S92+'8. I Plan'!S93+'8. I Plan'!S94</f>
        <v>261433.95637464197</v>
      </c>
      <c r="AO28" s="6699"/>
      <c r="AP28" s="6755">
        <f t="shared" si="16"/>
        <v>-261433.95637464197</v>
      </c>
      <c r="AQ28" s="6764">
        <f t="shared" si="17"/>
        <v>1250713.7067914684</v>
      </c>
      <c r="AR28" s="6670">
        <f t="shared" si="0"/>
        <v>978339.97085153847</v>
      </c>
      <c r="AS28" s="6765">
        <f t="shared" si="18"/>
        <v>-272373.73593992996</v>
      </c>
      <c r="AT28" s="6384">
        <f t="shared" si="1"/>
        <v>5.4875256547102791E-2</v>
      </c>
      <c r="AU28" s="6383">
        <f t="shared" si="2"/>
        <v>2.0524120328619447E-2</v>
      </c>
      <c r="AV28" s="6336">
        <f t="shared" si="3"/>
        <v>139791.56720634876</v>
      </c>
      <c r="AW28" s="6339">
        <f t="shared" si="4"/>
        <v>41007.619778078588</v>
      </c>
      <c r="AX28" s="6341">
        <f t="shared" si="19"/>
        <v>98783.94742827017</v>
      </c>
      <c r="AZ28" s="4546" t="s">
        <v>1913</v>
      </c>
      <c r="BJ28" s="1568"/>
      <c r="BL28" s="1532"/>
    </row>
    <row r="29" spans="1:64" ht="16.5" customHeight="1">
      <c r="A29" s="7068"/>
      <c r="B29" s="1623"/>
      <c r="C29" s="4952">
        <f t="shared" si="20"/>
        <v>19</v>
      </c>
      <c r="D29" s="6935" t="s">
        <v>443</v>
      </c>
      <c r="E29" s="4954" t="s">
        <v>1537</v>
      </c>
      <c r="F29" s="4955"/>
      <c r="G29" s="4960">
        <v>60371.584522303419</v>
      </c>
      <c r="H29" s="6699">
        <v>125050.62396153845</v>
      </c>
      <c r="I29" s="6746">
        <f t="shared" si="5"/>
        <v>64679.039439235035</v>
      </c>
      <c r="J29" s="4960">
        <v>60371.584522303419</v>
      </c>
      <c r="K29" s="6699">
        <v>124800.87246153846</v>
      </c>
      <c r="L29" s="6746">
        <f t="shared" si="6"/>
        <v>64429.287939235037</v>
      </c>
      <c r="M29" s="6736">
        <v>60371.584522303419</v>
      </c>
      <c r="N29" s="6699">
        <v>127080.79465384615</v>
      </c>
      <c r="O29" s="6728">
        <f t="shared" si="7"/>
        <v>66709.210131542728</v>
      </c>
      <c r="P29" s="4960">
        <v>60371.584522303419</v>
      </c>
      <c r="Q29" s="6699">
        <v>130447.53711538462</v>
      </c>
      <c r="R29" s="6746">
        <f t="shared" si="8"/>
        <v>70075.952593081194</v>
      </c>
      <c r="S29" s="6736">
        <v>60371.584522303419</v>
      </c>
      <c r="T29" s="6699">
        <f>SUMIF('7. E Plan'!$D$9:$D$32,D29,'7. E Plan'!$K$9:$K$32)</f>
        <v>129723.55342307693</v>
      </c>
      <c r="U29" s="6728">
        <f t="shared" si="9"/>
        <v>69351.9689007735</v>
      </c>
      <c r="V29" s="4960">
        <f>'8. I Plan'!M96+'8. I Plan'!M95</f>
        <v>127367.7874162017</v>
      </c>
      <c r="W29" s="6699"/>
      <c r="X29" s="6746">
        <f t="shared" si="10"/>
        <v>-127367.7874162017</v>
      </c>
      <c r="Y29" s="4960">
        <f>'8. I Plan'!N96+'8. I Plan'!N95</f>
        <v>112877.26795045557</v>
      </c>
      <c r="Z29" s="6699"/>
      <c r="AA29" s="6746">
        <f t="shared" si="11"/>
        <v>-112877.26795045557</v>
      </c>
      <c r="AB29" s="6736">
        <f>'8. I Plan'!O96+'8. I Plan'!O95</f>
        <v>111429.49839383166</v>
      </c>
      <c r="AC29" s="6699"/>
      <c r="AD29" s="6728">
        <f t="shared" si="12"/>
        <v>-111429.49839383166</v>
      </c>
      <c r="AE29" s="4960">
        <f>'8. I Plan'!P96+'8. I Plan'!P95</f>
        <v>109740.02189810516</v>
      </c>
      <c r="AF29" s="6699"/>
      <c r="AG29" s="6746">
        <f t="shared" si="13"/>
        <v>-109740.02189810516</v>
      </c>
      <c r="AH29" s="6736">
        <f>'8. I Plan'!Q96+'8. I Plan'!Q95</f>
        <v>109740.02189810516</v>
      </c>
      <c r="AI29" s="6699"/>
      <c r="AJ29" s="6728">
        <f t="shared" si="14"/>
        <v>-109740.02189810516</v>
      </c>
      <c r="AK29" s="4960">
        <f>'8. I Plan'!R96+'8. I Plan'!R95</f>
        <v>108066.00886362712</v>
      </c>
      <c r="AL29" s="6699"/>
      <c r="AM29" s="6746">
        <f t="shared" si="15"/>
        <v>-108066.00886362712</v>
      </c>
      <c r="AN29" s="4959">
        <f>'8. I Plan'!S96+'8. I Plan'!S95</f>
        <v>107385.59913948183</v>
      </c>
      <c r="AO29" s="6699"/>
      <c r="AP29" s="6755">
        <f t="shared" si="16"/>
        <v>-107385.59913948183</v>
      </c>
      <c r="AQ29" s="6764">
        <f t="shared" si="17"/>
        <v>301857.92261151707</v>
      </c>
      <c r="AR29" s="6670">
        <f t="shared" si="0"/>
        <v>637103.38161538448</v>
      </c>
      <c r="AS29" s="6765">
        <f t="shared" si="18"/>
        <v>335245.45900386741</v>
      </c>
      <c r="AT29" s="6384">
        <f t="shared" si="1"/>
        <v>3.4713720850543056E-2</v>
      </c>
      <c r="AU29" s="6383">
        <f t="shared" si="2"/>
        <v>1.1474877472263998E-2</v>
      </c>
      <c r="AV29" s="6336">
        <f t="shared" si="3"/>
        <v>88431.211926923075</v>
      </c>
      <c r="AW29" s="6339">
        <f t="shared" si="4"/>
        <v>22927.044124102227</v>
      </c>
      <c r="AX29" s="6357">
        <f t="shared" si="19"/>
        <v>65504.167802820848</v>
      </c>
      <c r="AY29" s="3911" t="s">
        <v>1866</v>
      </c>
      <c r="AZ29" s="4546"/>
      <c r="BJ29" s="1568"/>
      <c r="BL29" s="1532"/>
    </row>
    <row r="30" spans="1:64" ht="16.5" customHeight="1">
      <c r="A30" s="7068"/>
      <c r="B30" s="1623"/>
      <c r="C30" s="4952">
        <f t="shared" si="20"/>
        <v>20</v>
      </c>
      <c r="D30" s="4953" t="s">
        <v>488</v>
      </c>
      <c r="E30" s="4954" t="s">
        <v>1537</v>
      </c>
      <c r="F30" s="4955"/>
      <c r="G30" s="4960">
        <v>62607.992090158914</v>
      </c>
      <c r="H30" s="6699">
        <v>66169.141807692315</v>
      </c>
      <c r="I30" s="6746">
        <f t="shared" si="5"/>
        <v>3561.1497175334007</v>
      </c>
      <c r="J30" s="4960">
        <v>62485.796471526432</v>
      </c>
      <c r="K30" s="6699">
        <v>67646.06815384615</v>
      </c>
      <c r="L30" s="6746">
        <f t="shared" si="6"/>
        <v>5160.2716823197188</v>
      </c>
      <c r="M30" s="6736">
        <v>59587.160247875436</v>
      </c>
      <c r="N30" s="6699">
        <v>68804.584153846154</v>
      </c>
      <c r="O30" s="6728">
        <f t="shared" si="7"/>
        <v>9217.4239059707179</v>
      </c>
      <c r="P30" s="4960">
        <v>59128.150155327952</v>
      </c>
      <c r="Q30" s="6699">
        <v>69983.352269230774</v>
      </c>
      <c r="R30" s="6746">
        <f t="shared" si="8"/>
        <v>10855.202113902822</v>
      </c>
      <c r="S30" s="6736">
        <v>59128.150155327952</v>
      </c>
      <c r="T30" s="6699">
        <f>SUMIF('7. E Plan'!$D$9:$D$32,D30,'7. E Plan'!$K$9:$K$32)</f>
        <v>81138.721461538458</v>
      </c>
      <c r="U30" s="6728">
        <f t="shared" si="9"/>
        <v>22010.571306210506</v>
      </c>
      <c r="V30" s="4960">
        <f>'8. I Plan'!M97</f>
        <v>58415.773367332215</v>
      </c>
      <c r="W30" s="6699"/>
      <c r="X30" s="6746">
        <f t="shared" si="10"/>
        <v>-58415.773367332215</v>
      </c>
      <c r="Y30" s="4960">
        <f>'8. I Plan'!N97</f>
        <v>49142.145568753178</v>
      </c>
      <c r="Z30" s="6699"/>
      <c r="AA30" s="6746">
        <f t="shared" si="11"/>
        <v>-49142.145568753178</v>
      </c>
      <c r="AB30" s="6736">
        <f>'8. I Plan'!O97</f>
        <v>41609.402832695494</v>
      </c>
      <c r="AC30" s="6699"/>
      <c r="AD30" s="6728">
        <f t="shared" si="12"/>
        <v>-41609.402832695494</v>
      </c>
      <c r="AE30" s="4960">
        <f>'8. I Plan'!P97</f>
        <v>38925.17609842198</v>
      </c>
      <c r="AF30" s="6699"/>
      <c r="AG30" s="6746">
        <f t="shared" si="13"/>
        <v>-38925.17609842198</v>
      </c>
      <c r="AH30" s="6736">
        <f>'8. I Plan'!Q97</f>
        <v>38925.17609842198</v>
      </c>
      <c r="AI30" s="6699"/>
      <c r="AJ30" s="6728">
        <f t="shared" si="14"/>
        <v>-38925.17609842198</v>
      </c>
      <c r="AK30" s="4960">
        <f>'8. I Plan'!R97</f>
        <v>38147.932508678394</v>
      </c>
      <c r="AL30" s="6699"/>
      <c r="AM30" s="6746">
        <f t="shared" si="15"/>
        <v>-38147.932508678394</v>
      </c>
      <c r="AN30" s="4959">
        <f>'8. I Plan'!S97</f>
        <v>35847.640505686941</v>
      </c>
      <c r="AO30" s="6699"/>
      <c r="AP30" s="6755">
        <f t="shared" si="16"/>
        <v>-35847.640505686941</v>
      </c>
      <c r="AQ30" s="6764">
        <f t="shared" si="17"/>
        <v>302937.2491202167</v>
      </c>
      <c r="AR30" s="6670">
        <f t="shared" si="0"/>
        <v>353741.86784615385</v>
      </c>
      <c r="AS30" s="6765">
        <f t="shared" si="18"/>
        <v>50804.618725937151</v>
      </c>
      <c r="AT30" s="6384">
        <f t="shared" si="1"/>
        <v>1.8518301264822765E-2</v>
      </c>
      <c r="AU30" s="6383">
        <f t="shared" si="2"/>
        <v>6.1975418751679442E-3</v>
      </c>
      <c r="AV30" s="6336">
        <f t="shared" si="3"/>
        <v>47174.309856516906</v>
      </c>
      <c r="AW30" s="6339">
        <f t="shared" si="4"/>
        <v>12382.81771429774</v>
      </c>
      <c r="AX30" s="6357">
        <f t="shared" si="19"/>
        <v>34791.492142219169</v>
      </c>
      <c r="AY30" s="3911" t="s">
        <v>1866</v>
      </c>
      <c r="AZ30" s="4546" t="s">
        <v>1914</v>
      </c>
      <c r="BJ30" s="1568"/>
      <c r="BL30" s="1532"/>
    </row>
    <row r="31" spans="1:64" ht="16.5" customHeight="1">
      <c r="A31" s="7068"/>
      <c r="B31" s="1623"/>
      <c r="C31" s="4952">
        <f t="shared" si="20"/>
        <v>21</v>
      </c>
      <c r="D31" s="4953" t="s">
        <v>441</v>
      </c>
      <c r="E31" s="4954" t="s">
        <v>1532</v>
      </c>
      <c r="F31" s="4955"/>
      <c r="G31" s="4960">
        <v>2915.6238039215687</v>
      </c>
      <c r="H31" s="6699">
        <v>3099.5597307692306</v>
      </c>
      <c r="I31" s="6746">
        <f t="shared" si="5"/>
        <v>183.9359268476619</v>
      </c>
      <c r="J31" s="4960">
        <v>2915.6238039215687</v>
      </c>
      <c r="K31" s="6699">
        <v>2900.371269230769</v>
      </c>
      <c r="L31" s="6746">
        <f t="shared" si="6"/>
        <v>-15.252534690799621</v>
      </c>
      <c r="M31" s="6736">
        <v>2915.6238039215687</v>
      </c>
      <c r="N31" s="6699">
        <v>2682.8147307692307</v>
      </c>
      <c r="O31" s="6728">
        <f t="shared" si="7"/>
        <v>-232.80907315233799</v>
      </c>
      <c r="P31" s="4960">
        <v>2915.6238039215687</v>
      </c>
      <c r="Q31" s="6699">
        <v>2992.4230769230771</v>
      </c>
      <c r="R31" s="6746">
        <f t="shared" si="8"/>
        <v>76.799273001508482</v>
      </c>
      <c r="S31" s="6736">
        <v>2915.6238039215687</v>
      </c>
      <c r="T31" s="6699">
        <f>SUMIF('7. E Plan'!$D$9:$D$32,D31,'7. E Plan'!$K$9:$K$32)</f>
        <v>2682.8147307692307</v>
      </c>
      <c r="U31" s="6728">
        <f t="shared" si="9"/>
        <v>-232.80907315233799</v>
      </c>
      <c r="V31" s="4960">
        <f>+S31</f>
        <v>2915.6238039215687</v>
      </c>
      <c r="W31" s="6699"/>
      <c r="X31" s="6746">
        <f t="shared" si="10"/>
        <v>-2915.6238039215687</v>
      </c>
      <c r="Y31" s="4960">
        <f>+V31</f>
        <v>2915.6238039215687</v>
      </c>
      <c r="Z31" s="6699"/>
      <c r="AA31" s="6746">
        <f t="shared" si="11"/>
        <v>-2915.6238039215687</v>
      </c>
      <c r="AB31" s="6736">
        <f>+Y31</f>
        <v>2915.6238039215687</v>
      </c>
      <c r="AC31" s="6699"/>
      <c r="AD31" s="6728">
        <f t="shared" si="12"/>
        <v>-2915.6238039215687</v>
      </c>
      <c r="AE31" s="4960">
        <f>+AB31</f>
        <v>2915.6238039215687</v>
      </c>
      <c r="AF31" s="6699"/>
      <c r="AG31" s="6746">
        <f t="shared" si="13"/>
        <v>-2915.6238039215687</v>
      </c>
      <c r="AH31" s="6736">
        <f>+AE31</f>
        <v>2915.6238039215687</v>
      </c>
      <c r="AI31" s="6699"/>
      <c r="AJ31" s="6728">
        <f t="shared" si="14"/>
        <v>-2915.6238039215687</v>
      </c>
      <c r="AK31" s="4960">
        <f>+AH31</f>
        <v>2915.6238039215687</v>
      </c>
      <c r="AL31" s="6699"/>
      <c r="AM31" s="6746">
        <f t="shared" si="15"/>
        <v>-2915.6238039215687</v>
      </c>
      <c r="AN31" s="6736">
        <f t="shared" ref="AN31" si="22">+AK31</f>
        <v>2915.6238039215687</v>
      </c>
      <c r="AO31" s="6699"/>
      <c r="AP31" s="6755">
        <f t="shared" si="16"/>
        <v>-2915.6238039215687</v>
      </c>
      <c r="AQ31" s="6764">
        <f t="shared" si="17"/>
        <v>14578.119019607842</v>
      </c>
      <c r="AR31" s="6670">
        <f t="shared" si="0"/>
        <v>14357.98353846154</v>
      </c>
      <c r="AS31" s="6765">
        <f t="shared" si="18"/>
        <v>-220.13548114630248</v>
      </c>
      <c r="AT31" s="6375">
        <f t="shared" si="1"/>
        <v>7.9915105423564799E-4</v>
      </c>
      <c r="AU31" s="6369">
        <f t="shared" si="2"/>
        <v>2.5904551308372428E-4</v>
      </c>
      <c r="AV31" s="6336">
        <f t="shared" si="3"/>
        <v>2035.7914538461537</v>
      </c>
      <c r="AW31" s="6339">
        <f t="shared" si="4"/>
        <v>517.57832909125182</v>
      </c>
      <c r="AX31" s="6341">
        <f t="shared" si="19"/>
        <v>1518.2131247549019</v>
      </c>
      <c r="AZ31" s="4546"/>
      <c r="BJ31" s="1568"/>
      <c r="BL31" s="1532"/>
    </row>
    <row r="32" spans="1:64" ht="16.5" customHeight="1">
      <c r="A32" s="7068"/>
      <c r="B32" s="1623"/>
      <c r="C32" s="4952">
        <f t="shared" si="20"/>
        <v>22</v>
      </c>
      <c r="D32" s="4953" t="s">
        <v>1505</v>
      </c>
      <c r="E32" s="4954" t="s">
        <v>1532</v>
      </c>
      <c r="F32" s="4955"/>
      <c r="G32" s="4960">
        <v>10000</v>
      </c>
      <c r="H32" s="6699">
        <v>3673.9295000000002</v>
      </c>
      <c r="I32" s="6746">
        <f t="shared" si="5"/>
        <v>-6326.0704999999998</v>
      </c>
      <c r="J32" s="4960">
        <v>10000</v>
      </c>
      <c r="K32" s="6699">
        <v>1429.8446538461537</v>
      </c>
      <c r="L32" s="6746">
        <f t="shared" si="6"/>
        <v>-8570.155346153846</v>
      </c>
      <c r="M32" s="6736">
        <v>10000</v>
      </c>
      <c r="N32" s="6699">
        <v>6763.475692307692</v>
      </c>
      <c r="O32" s="6728">
        <f t="shared" si="7"/>
        <v>-3236.524307692308</v>
      </c>
      <c r="P32" s="4960">
        <v>10000</v>
      </c>
      <c r="Q32" s="6699">
        <v>5937.7376153846153</v>
      </c>
      <c r="R32" s="6746">
        <f t="shared" si="8"/>
        <v>-4062.2623846153847</v>
      </c>
      <c r="S32" s="6736">
        <v>10000</v>
      </c>
      <c r="T32" s="6699">
        <f>SUMIF('7. E Plan'!$D$9:$D$32,D32,'7. E Plan'!$K$9:$K$32)</f>
        <v>2308.0048461538463</v>
      </c>
      <c r="U32" s="6728">
        <f t="shared" si="9"/>
        <v>-7691.9951538461537</v>
      </c>
      <c r="V32" s="4960">
        <f>S32</f>
        <v>10000</v>
      </c>
      <c r="W32" s="6699"/>
      <c r="X32" s="6746">
        <f t="shared" si="10"/>
        <v>-10000</v>
      </c>
      <c r="Y32" s="4960">
        <f>V32</f>
        <v>10000</v>
      </c>
      <c r="Z32" s="6699"/>
      <c r="AA32" s="6746">
        <f t="shared" si="11"/>
        <v>-10000</v>
      </c>
      <c r="AB32" s="6736">
        <f>Y32</f>
        <v>10000</v>
      </c>
      <c r="AC32" s="6699"/>
      <c r="AD32" s="6728">
        <f t="shared" si="12"/>
        <v>-10000</v>
      </c>
      <c r="AE32" s="4960">
        <f>AB32</f>
        <v>10000</v>
      </c>
      <c r="AF32" s="6699"/>
      <c r="AG32" s="6746">
        <f t="shared" si="13"/>
        <v>-10000</v>
      </c>
      <c r="AH32" s="6736">
        <f>AE32</f>
        <v>10000</v>
      </c>
      <c r="AI32" s="6699"/>
      <c r="AJ32" s="6728">
        <f t="shared" si="14"/>
        <v>-10000</v>
      </c>
      <c r="AK32" s="4960">
        <f>AH32</f>
        <v>10000</v>
      </c>
      <c r="AL32" s="6699"/>
      <c r="AM32" s="6746">
        <f t="shared" si="15"/>
        <v>-10000</v>
      </c>
      <c r="AN32" s="6736">
        <f t="shared" ref="AN32" si="23">AK32</f>
        <v>10000</v>
      </c>
      <c r="AO32" s="6699"/>
      <c r="AP32" s="6755">
        <f t="shared" si="16"/>
        <v>-10000</v>
      </c>
      <c r="AQ32" s="6764">
        <f t="shared" si="17"/>
        <v>50000</v>
      </c>
      <c r="AR32" s="6670">
        <f t="shared" si="0"/>
        <v>20112.992307692308</v>
      </c>
      <c r="AS32" s="6765">
        <f t="shared" si="18"/>
        <v>-29887.007692307692</v>
      </c>
      <c r="AT32" s="6375">
        <f t="shared" si="1"/>
        <v>1.1647853065289769E-3</v>
      </c>
      <c r="AU32" s="6369">
        <f t="shared" si="2"/>
        <v>4.5720274560039152E-4</v>
      </c>
      <c r="AV32" s="6336">
        <f t="shared" si="3"/>
        <v>2967.2237307692312</v>
      </c>
      <c r="AW32" s="6339">
        <f t="shared" si="4"/>
        <v>913.50060576923079</v>
      </c>
      <c r="AX32" s="6341">
        <f t="shared" si="19"/>
        <v>2053.7231250000004</v>
      </c>
      <c r="AZ32" s="4546"/>
      <c r="BJ32" s="1568"/>
      <c r="BL32" s="1532"/>
    </row>
    <row r="33" spans="1:66" ht="16.5" customHeight="1">
      <c r="A33" s="7068"/>
      <c r="B33" s="1623"/>
      <c r="C33" s="4952">
        <f t="shared" si="20"/>
        <v>23</v>
      </c>
      <c r="D33" s="4953" t="s">
        <v>1508</v>
      </c>
      <c r="E33" s="4954" t="s">
        <v>1564</v>
      </c>
      <c r="F33" s="4955">
        <v>1.2999999999999999E-2</v>
      </c>
      <c r="G33" s="4969">
        <v>36893.707909659985</v>
      </c>
      <c r="H33" s="6699">
        <v>23083</v>
      </c>
      <c r="I33" s="6746">
        <f t="shared" si="5"/>
        <v>-13810.707909659985</v>
      </c>
      <c r="J33" s="4969">
        <v>34512.517566912735</v>
      </c>
      <c r="K33" s="6699">
        <v>20733.981846153845</v>
      </c>
      <c r="L33" s="6746">
        <f t="shared" si="6"/>
        <v>-13778.53572075889</v>
      </c>
      <c r="M33" s="6737">
        <v>40231.140734396366</v>
      </c>
      <c r="N33" s="6699">
        <f>19562.1170384615+7467.58</f>
        <v>27029.697038461498</v>
      </c>
      <c r="O33" s="6728">
        <f t="shared" si="7"/>
        <v>-13201.443695934868</v>
      </c>
      <c r="P33" s="4969">
        <v>38502.466333384829</v>
      </c>
      <c r="Q33" s="6699">
        <v>24714.680857320098</v>
      </c>
      <c r="R33" s="6746">
        <f t="shared" si="8"/>
        <v>-13787.785476064731</v>
      </c>
      <c r="S33" s="6737">
        <v>38145.908696524573</v>
      </c>
      <c r="T33" s="6699">
        <f>SUMIF('7. E Plan'!$D$9:$D$32,D33,'7. E Plan'!$K$9:$K$32)</f>
        <v>25280.444786617489</v>
      </c>
      <c r="U33" s="6728">
        <f t="shared" si="9"/>
        <v>-12865.463909907085</v>
      </c>
      <c r="V33" s="4969">
        <f>V6*1%</f>
        <v>37692.179071706123</v>
      </c>
      <c r="W33" s="6699"/>
      <c r="X33" s="6746">
        <f t="shared" si="10"/>
        <v>-37692.179071706123</v>
      </c>
      <c r="Y33" s="4969">
        <f>Y6*1%</f>
        <v>40644.052347158649</v>
      </c>
      <c r="Z33" s="6699"/>
      <c r="AA33" s="6746">
        <f t="shared" si="11"/>
        <v>-40644.052347158649</v>
      </c>
      <c r="AB33" s="6737">
        <f>AB6*1%</f>
        <v>37779.497239591328</v>
      </c>
      <c r="AC33" s="6699"/>
      <c r="AD33" s="6728">
        <f t="shared" si="12"/>
        <v>-37779.497239591328</v>
      </c>
      <c r="AE33" s="4969">
        <f>AE6*1%</f>
        <v>33202.202391426305</v>
      </c>
      <c r="AF33" s="6699"/>
      <c r="AG33" s="6746">
        <f t="shared" si="13"/>
        <v>-33202.202391426305</v>
      </c>
      <c r="AH33" s="6737">
        <f>AH6*1%</f>
        <v>32001.831483620183</v>
      </c>
      <c r="AI33" s="6699"/>
      <c r="AJ33" s="6728">
        <f t="shared" si="14"/>
        <v>-32001.831483620183</v>
      </c>
      <c r="AK33" s="4969">
        <f>AK6*1%</f>
        <v>31565.894836383177</v>
      </c>
      <c r="AL33" s="6699"/>
      <c r="AM33" s="6746">
        <f t="shared" si="15"/>
        <v>-31565.894836383177</v>
      </c>
      <c r="AN33" s="6737">
        <f>AN6*1%</f>
        <v>31635.38640586664</v>
      </c>
      <c r="AO33" s="6699"/>
      <c r="AP33" s="6755">
        <f t="shared" si="16"/>
        <v>-31635.38640586664</v>
      </c>
      <c r="AQ33" s="6764">
        <f t="shared" si="17"/>
        <v>188285.74124087847</v>
      </c>
      <c r="AR33" s="6670">
        <f t="shared" si="0"/>
        <v>120841.80452855292</v>
      </c>
      <c r="AS33" s="6765">
        <f t="shared" si="18"/>
        <v>-67443.936712325551</v>
      </c>
      <c r="AT33" s="6375">
        <f t="shared" si="1"/>
        <v>6.5955086037104279E-3</v>
      </c>
      <c r="AU33" s="6369">
        <f t="shared" si="2"/>
        <v>2.5711780333281431E-3</v>
      </c>
      <c r="AV33" s="6336">
        <f t="shared" si="3"/>
        <v>16801.67970502756</v>
      </c>
      <c r="AW33" s="6339">
        <f t="shared" si="4"/>
        <v>5137.2672486938509</v>
      </c>
      <c r="AX33" s="6341">
        <f t="shared" si="19"/>
        <v>11664.41245633371</v>
      </c>
      <c r="AZ33" s="4546"/>
      <c r="BJ33" s="1568"/>
      <c r="BL33" s="1532"/>
    </row>
    <row r="34" spans="1:66" s="2509" customFormat="1" ht="16.5" customHeight="1">
      <c r="A34" s="7068"/>
      <c r="B34" s="4535"/>
      <c r="C34" s="4973">
        <v>24</v>
      </c>
      <c r="D34" s="6936" t="s">
        <v>1207</v>
      </c>
      <c r="E34" s="4975" t="s">
        <v>1560</v>
      </c>
      <c r="F34" s="6398">
        <f>1129226-SUM(H34:Q34)</f>
        <v>347836.57240355923</v>
      </c>
      <c r="G34" s="6758">
        <v>243017.90953449905</v>
      </c>
      <c r="H34" s="6700">
        <v>204746.19188154209</v>
      </c>
      <c r="I34" s="6748">
        <f t="shared" si="5"/>
        <v>-38271.717652956955</v>
      </c>
      <c r="J34" s="6758">
        <v>200000</v>
      </c>
      <c r="K34" s="6700">
        <v>95089</v>
      </c>
      <c r="L34" s="6748">
        <f t="shared" si="6"/>
        <v>-104911</v>
      </c>
      <c r="M34" s="6757">
        <v>250000</v>
      </c>
      <c r="N34" s="6700">
        <v>112368.47668392782</v>
      </c>
      <c r="O34" s="6729">
        <f t="shared" si="7"/>
        <v>-137631.52331607218</v>
      </c>
      <c r="P34" s="6758">
        <v>200000</v>
      </c>
      <c r="Q34" s="6700">
        <v>0</v>
      </c>
      <c r="R34" s="6748">
        <f t="shared" si="8"/>
        <v>-200000</v>
      </c>
      <c r="S34" s="6757">
        <v>200000</v>
      </c>
      <c r="T34" s="6700">
        <f>SUMIF('7. E Plan'!$D$9:$D$32,D34,'7. E Plan'!$K$9:$K$32)</f>
        <v>33626.628631223241</v>
      </c>
      <c r="U34" s="6729">
        <f t="shared" si="9"/>
        <v>-166373.37136877677</v>
      </c>
      <c r="V34" s="6758">
        <v>57848.75</v>
      </c>
      <c r="W34" s="6700"/>
      <c r="X34" s="6748">
        <f t="shared" si="10"/>
        <v>-57848.75</v>
      </c>
      <c r="Y34" s="6747">
        <v>57848.75</v>
      </c>
      <c r="Z34" s="6700"/>
      <c r="AA34" s="6748">
        <f t="shared" si="11"/>
        <v>-57848.75</v>
      </c>
      <c r="AB34" s="6753">
        <v>57848.75</v>
      </c>
      <c r="AC34" s="6700"/>
      <c r="AD34" s="6729">
        <f t="shared" si="12"/>
        <v>-57848.75</v>
      </c>
      <c r="AE34" s="6747">
        <v>57848.75</v>
      </c>
      <c r="AF34" s="6700"/>
      <c r="AG34" s="6748">
        <f t="shared" si="13"/>
        <v>-57848.75</v>
      </c>
      <c r="AH34" s="6753">
        <v>57848.75</v>
      </c>
      <c r="AI34" s="6700"/>
      <c r="AJ34" s="6729">
        <f t="shared" si="14"/>
        <v>-57848.75</v>
      </c>
      <c r="AK34" s="6747">
        <v>57848.75</v>
      </c>
      <c r="AL34" s="6700"/>
      <c r="AM34" s="6748">
        <f t="shared" si="15"/>
        <v>-57848.75</v>
      </c>
      <c r="AN34" s="6738">
        <v>57848.75</v>
      </c>
      <c r="AO34" s="6700"/>
      <c r="AP34" s="6756">
        <f t="shared" si="16"/>
        <v>-57848.75</v>
      </c>
      <c r="AQ34" s="6766">
        <f t="shared" si="17"/>
        <v>1093017.909534499</v>
      </c>
      <c r="AR34" s="6671">
        <f t="shared" si="0"/>
        <v>445830.29719669314</v>
      </c>
      <c r="AS34" s="6767">
        <f t="shared" si="18"/>
        <v>-647187.61233780591</v>
      </c>
      <c r="AT34" s="6658">
        <f t="shared" si="1"/>
        <v>3.0673484931501006E-2</v>
      </c>
      <c r="AU34" s="6370">
        <f t="shared" si="2"/>
        <v>3.9133102949851645E-3</v>
      </c>
      <c r="AV34" s="6336">
        <f t="shared" si="3"/>
        <v>78138.94275964408</v>
      </c>
      <c r="AW34" s="6339">
        <f t="shared" si="4"/>
        <v>7818.8754539029032</v>
      </c>
      <c r="AX34" s="6341">
        <f t="shared" si="19"/>
        <v>70320.067305741177</v>
      </c>
      <c r="AY34" s="3305" t="s">
        <v>1868</v>
      </c>
      <c r="AZ34" s="4534" t="s">
        <v>1915</v>
      </c>
      <c r="BA34" s="6358"/>
      <c r="BB34" s="6001"/>
      <c r="BC34" s="6001"/>
      <c r="BD34" s="3305"/>
      <c r="BE34" s="5"/>
      <c r="BF34" s="5"/>
      <c r="BG34" s="5"/>
      <c r="BH34" s="5"/>
      <c r="BI34" s="5"/>
      <c r="BJ34" s="1568"/>
      <c r="BK34" s="5"/>
      <c r="BL34" s="1532"/>
      <c r="BM34" s="5"/>
      <c r="BN34" s="5"/>
    </row>
    <row r="35" spans="1:66" ht="16.5" customHeight="1" thickBot="1">
      <c r="A35" s="7068"/>
      <c r="B35" s="1623"/>
      <c r="C35" s="3615"/>
      <c r="D35" s="4536" t="s">
        <v>193</v>
      </c>
      <c r="E35" s="4801"/>
      <c r="F35" s="4885"/>
      <c r="G35" s="6929">
        <f>SUM(G13:G34)</f>
        <v>1376037.3450194059</v>
      </c>
      <c r="H35" s="6701">
        <f t="shared" ref="H35:AN35" si="24">SUM(H13:H33)</f>
        <v>1079120.224589518</v>
      </c>
      <c r="I35" s="6749">
        <f t="shared" si="5"/>
        <v>-296917.1204298879</v>
      </c>
      <c r="J35" s="6929">
        <f>SUM(J13:J34)</f>
        <v>1174451.3634311475</v>
      </c>
      <c r="K35" s="6701">
        <f t="shared" si="24"/>
        <v>1041810.5100800913</v>
      </c>
      <c r="L35" s="6749">
        <f t="shared" si="6"/>
        <v>-132640.85335105623</v>
      </c>
      <c r="M35" s="6739">
        <f>SUM(M13:M34)</f>
        <v>1389794.2186053714</v>
      </c>
      <c r="N35" s="6701">
        <f t="shared" si="24"/>
        <v>1116032.5460963694</v>
      </c>
      <c r="O35" s="6730">
        <f t="shared" si="7"/>
        <v>-273761.67250900203</v>
      </c>
      <c r="P35" s="2496">
        <f>SUM(P13:P34)</f>
        <v>1325113.9420553292</v>
      </c>
      <c r="Q35" s="6701">
        <f t="shared" si="24"/>
        <v>1180721.9937166157</v>
      </c>
      <c r="R35" s="6749">
        <f t="shared" si="8"/>
        <v>-144391.9483387135</v>
      </c>
      <c r="S35" s="6739">
        <f t="shared" si="24"/>
        <v>1129399.2624860024</v>
      </c>
      <c r="T35" s="6701">
        <f>SUM(T13:T34)</f>
        <v>1224161.0444948385</v>
      </c>
      <c r="U35" s="6730">
        <f t="shared" si="9"/>
        <v>94761.782008836046</v>
      </c>
      <c r="V35" s="2496">
        <f t="shared" si="24"/>
        <v>1199165.9678593313</v>
      </c>
      <c r="W35" s="6701">
        <f>SUM(W13:W34)</f>
        <v>0</v>
      </c>
      <c r="X35" s="6749">
        <f t="shared" si="10"/>
        <v>-1199165.9678593313</v>
      </c>
      <c r="Y35" s="2496">
        <f t="shared" si="24"/>
        <v>1234120.4603614116</v>
      </c>
      <c r="Z35" s="6701">
        <f>SUM(Z13:Z34)</f>
        <v>0</v>
      </c>
      <c r="AA35" s="6749">
        <f t="shared" si="11"/>
        <v>-1234120.4603614116</v>
      </c>
      <c r="AB35" s="6739">
        <f t="shared" si="24"/>
        <v>1198420.805116263</v>
      </c>
      <c r="AC35" s="6701">
        <f>SUM(AC13:AC34)</f>
        <v>0</v>
      </c>
      <c r="AD35" s="6730">
        <f t="shared" si="12"/>
        <v>-1198420.805116263</v>
      </c>
      <c r="AE35" s="2496">
        <f t="shared" si="24"/>
        <v>1129779.0787578155</v>
      </c>
      <c r="AF35" s="6701">
        <f>SUM(AF13:AF34)</f>
        <v>0</v>
      </c>
      <c r="AG35" s="6749">
        <f t="shared" si="13"/>
        <v>-1129779.0787578155</v>
      </c>
      <c r="AH35" s="6739">
        <f t="shared" si="24"/>
        <v>1096990.2846946132</v>
      </c>
      <c r="AI35" s="6701">
        <f>SUM(AI13:AI34)</f>
        <v>0</v>
      </c>
      <c r="AJ35" s="6730">
        <f t="shared" si="14"/>
        <v>-1096990.2846946132</v>
      </c>
      <c r="AK35" s="2496">
        <f t="shared" si="24"/>
        <v>1104747.7797447848</v>
      </c>
      <c r="AL35" s="6701">
        <f>SUM(AL13:AL34)</f>
        <v>0</v>
      </c>
      <c r="AM35" s="6749">
        <f t="shared" si="15"/>
        <v>-1104747.7797447848</v>
      </c>
      <c r="AN35" s="6739">
        <f t="shared" si="24"/>
        <v>1118361.9785313101</v>
      </c>
      <c r="AO35" s="6701">
        <f>SUM(AO13:AO34)</f>
        <v>0</v>
      </c>
      <c r="AP35" s="6730">
        <f t="shared" si="16"/>
        <v>-1118361.9785313101</v>
      </c>
      <c r="AQ35" s="6487">
        <f>SUM(AQ13:AQ34)</f>
        <v>6594796.1315972572</v>
      </c>
      <c r="AR35" s="6488">
        <f t="shared" si="0"/>
        <v>5641846.3189774333</v>
      </c>
      <c r="AS35" s="6768">
        <f t="shared" si="18"/>
        <v>-952949.81261982396</v>
      </c>
      <c r="AT35" s="6659">
        <f t="shared" si="1"/>
        <v>0.29848464881243564</v>
      </c>
      <c r="AU35" s="6371">
        <f t="shared" si="2"/>
        <v>0.11156928482457103</v>
      </c>
      <c r="AV35" s="6336"/>
      <c r="AW35" s="6339"/>
      <c r="AX35" s="6341"/>
      <c r="AY35" s="3305" t="s">
        <v>1869</v>
      </c>
      <c r="AZ35" s="4534"/>
      <c r="BA35" s="6358"/>
      <c r="BB35" s="6001"/>
      <c r="BC35" s="6001"/>
      <c r="BD35" s="3305"/>
      <c r="BJ35" s="1568"/>
      <c r="BL35" s="1532"/>
    </row>
    <row r="36" spans="1:66" ht="16.5" customHeight="1" thickBot="1">
      <c r="A36" s="7528"/>
      <c r="B36" s="7090" t="s">
        <v>1187</v>
      </c>
      <c r="C36" s="7090"/>
      <c r="D36" s="7090"/>
      <c r="E36" s="2385"/>
      <c r="F36" s="4886"/>
      <c r="G36" s="1824">
        <f t="shared" ref="G36:AR36" si="25">G11+G12+G35</f>
        <v>2755243.8747711177</v>
      </c>
      <c r="H36" s="1776">
        <f t="shared" si="25"/>
        <v>2682042.6871854514</v>
      </c>
      <c r="I36" s="6750">
        <f t="shared" si="5"/>
        <v>-73201.18758566631</v>
      </c>
      <c r="J36" s="1824">
        <f t="shared" si="25"/>
        <v>2483688.0856222017</v>
      </c>
      <c r="K36" s="1776">
        <f t="shared" si="25"/>
        <v>2233099.398030431</v>
      </c>
      <c r="L36" s="6750">
        <f t="shared" si="6"/>
        <v>-250588.68759177066</v>
      </c>
      <c r="M36" s="1778">
        <f t="shared" si="25"/>
        <v>2822761.2537457682</v>
      </c>
      <c r="N36" s="1776">
        <f t="shared" si="25"/>
        <v>2933176.0488932952</v>
      </c>
      <c r="O36" s="6731">
        <f t="shared" si="7"/>
        <v>110414.79514752701</v>
      </c>
      <c r="P36" s="1824">
        <f t="shared" si="25"/>
        <v>2714307.1279690512</v>
      </c>
      <c r="Q36" s="1776">
        <f t="shared" si="25"/>
        <v>2671251.4841765999</v>
      </c>
      <c r="R36" s="6750">
        <f t="shared" si="8"/>
        <v>-43055.643792451359</v>
      </c>
      <c r="S36" s="1778">
        <f t="shared" si="25"/>
        <v>2498105.3090922874</v>
      </c>
      <c r="T36" s="1776">
        <f t="shared" si="25"/>
        <v>3025059.0254954863</v>
      </c>
      <c r="U36" s="6731">
        <f t="shared" si="9"/>
        <v>526953.71640319889</v>
      </c>
      <c r="V36" s="1824">
        <f t="shared" si="25"/>
        <v>2819984.4454848822</v>
      </c>
      <c r="W36" s="1776">
        <f t="shared" si="25"/>
        <v>0</v>
      </c>
      <c r="X36" s="6750">
        <f t="shared" si="10"/>
        <v>-2819984.4454848822</v>
      </c>
      <c r="Y36" s="1824">
        <f t="shared" si="25"/>
        <v>2886046.7091991305</v>
      </c>
      <c r="Z36" s="1776">
        <f t="shared" si="25"/>
        <v>0</v>
      </c>
      <c r="AA36" s="6750">
        <f t="shared" si="11"/>
        <v>-2886046.7091991305</v>
      </c>
      <c r="AB36" s="1778">
        <f t="shared" si="25"/>
        <v>2695588.0983392568</v>
      </c>
      <c r="AC36" s="1776">
        <f t="shared" si="25"/>
        <v>0</v>
      </c>
      <c r="AD36" s="6731">
        <f t="shared" si="12"/>
        <v>-2695588.0983392568</v>
      </c>
      <c r="AE36" s="1824">
        <f t="shared" si="25"/>
        <v>2456119.5010876316</v>
      </c>
      <c r="AF36" s="1776">
        <f t="shared" si="25"/>
        <v>0</v>
      </c>
      <c r="AG36" s="6750">
        <f t="shared" si="13"/>
        <v>-2456119.5010876316</v>
      </c>
      <c r="AH36" s="1778">
        <f t="shared" si="25"/>
        <v>2338170.0268542301</v>
      </c>
      <c r="AI36" s="1776">
        <f t="shared" si="25"/>
        <v>0</v>
      </c>
      <c r="AJ36" s="6731">
        <f t="shared" si="14"/>
        <v>-2338170.0268542301</v>
      </c>
      <c r="AK36" s="1824">
        <f t="shared" si="25"/>
        <v>2384955.0411716821</v>
      </c>
      <c r="AL36" s="1776">
        <f t="shared" si="25"/>
        <v>0</v>
      </c>
      <c r="AM36" s="6750">
        <f t="shared" si="15"/>
        <v>-2384955.0411716821</v>
      </c>
      <c r="AN36" s="1778">
        <f t="shared" si="25"/>
        <v>2388435.3483960563</v>
      </c>
      <c r="AO36" s="1776">
        <f t="shared" si="25"/>
        <v>0</v>
      </c>
      <c r="AP36" s="6731">
        <f t="shared" si="16"/>
        <v>-2388435.3483960563</v>
      </c>
      <c r="AQ36" s="1604">
        <f t="shared" si="25"/>
        <v>13474105.651200425</v>
      </c>
      <c r="AR36" s="1605">
        <f t="shared" si="25"/>
        <v>13544628.643781263</v>
      </c>
      <c r="AS36" s="6769">
        <v>-73201.18758566631</v>
      </c>
      <c r="AT36" s="6660">
        <f t="shared" si="1"/>
        <v>0.71942546911543515</v>
      </c>
      <c r="AU36" s="6372">
        <f t="shared" si="2"/>
        <v>0.26396601153909843</v>
      </c>
      <c r="AV36" s="1674"/>
      <c r="AW36" s="1674"/>
      <c r="AX36" s="1674"/>
      <c r="AZ36" s="4546"/>
      <c r="BJ36" s="1568"/>
      <c r="BL36" s="1532"/>
    </row>
    <row r="37" spans="1:66" ht="16.5" customHeight="1" thickBot="1">
      <c r="A37" s="7518" t="s">
        <v>486</v>
      </c>
      <c r="B37" s="7519"/>
      <c r="C37" s="7519"/>
      <c r="D37" s="7519"/>
      <c r="E37" s="74"/>
      <c r="F37" s="4886"/>
      <c r="G37" s="2817">
        <v>2512225.9652366186</v>
      </c>
      <c r="H37" s="2815">
        <f>'10. IS'!B5</f>
        <v>2633553.6079282579</v>
      </c>
      <c r="I37" s="6751">
        <f t="shared" si="5"/>
        <v>121327.64269163925</v>
      </c>
      <c r="J37" s="2817">
        <v>2283688.0856222017</v>
      </c>
      <c r="K37" s="2815">
        <f>'10. IS'!C5</f>
        <v>2581808</v>
      </c>
      <c r="L37" s="6751">
        <f t="shared" si="6"/>
        <v>298119.91437779833</v>
      </c>
      <c r="M37" s="2814">
        <v>2572761.2537457682</v>
      </c>
      <c r="N37" s="2815">
        <f>'10. IS'!D5</f>
        <v>3130898.2669767821</v>
      </c>
      <c r="O37" s="6732">
        <f t="shared" si="7"/>
        <v>558137.0132310139</v>
      </c>
      <c r="P37" s="2817">
        <v>2514307.1279690512</v>
      </c>
      <c r="Q37" s="2815">
        <f>'10. IS'!E5</f>
        <v>2825043.3157365769</v>
      </c>
      <c r="R37" s="6751">
        <f t="shared" si="8"/>
        <v>310736.18776752567</v>
      </c>
      <c r="S37" s="2814">
        <v>2498105.3090922874</v>
      </c>
      <c r="T37" s="2815">
        <f>'10. IS'!F5</f>
        <v>2932170.7536199708</v>
      </c>
      <c r="U37" s="6732">
        <f t="shared" si="9"/>
        <v>434065.44452768331</v>
      </c>
      <c r="V37" s="2817">
        <f>'10. IS'!G5</f>
        <v>2812077.4277020767</v>
      </c>
      <c r="W37" s="2815"/>
      <c r="X37" s="6751">
        <f t="shared" si="10"/>
        <v>-2812077.4277020767</v>
      </c>
      <c r="Y37" s="2817">
        <f>'10. IS'!H5</f>
        <v>2878139.6914163255</v>
      </c>
      <c r="Z37" s="2815"/>
      <c r="AA37" s="6751">
        <f t="shared" si="11"/>
        <v>-2878139.6914163255</v>
      </c>
      <c r="AB37" s="2814">
        <f>'10. IS'!I5</f>
        <v>2687681.0805564513</v>
      </c>
      <c r="AC37" s="2815"/>
      <c r="AD37" s="6732">
        <f t="shared" si="12"/>
        <v>-2687681.0805564513</v>
      </c>
      <c r="AE37" s="2817">
        <f>'10. IS'!J5</f>
        <v>2448212.4833048261</v>
      </c>
      <c r="AF37" s="2815"/>
      <c r="AG37" s="6751">
        <f t="shared" si="13"/>
        <v>-2448212.4833048261</v>
      </c>
      <c r="AH37" s="2814">
        <f>'10. IS'!K5</f>
        <v>2330263.0090714251</v>
      </c>
      <c r="AI37" s="2815"/>
      <c r="AJ37" s="6732">
        <f t="shared" si="14"/>
        <v>-2330263.0090714251</v>
      </c>
      <c r="AK37" s="2817">
        <f>'10. IS'!L5</f>
        <v>2377048.0233888766</v>
      </c>
      <c r="AL37" s="2815"/>
      <c r="AM37" s="6751">
        <f t="shared" si="15"/>
        <v>-2377048.0233888766</v>
      </c>
      <c r="AN37" s="2814">
        <f>'10. IS'!M5</f>
        <v>2380528.3306132508</v>
      </c>
      <c r="AO37" s="2815"/>
      <c r="AP37" s="6732">
        <f t="shared" si="16"/>
        <v>-2380528.3306132508</v>
      </c>
      <c r="AQ37" s="2817">
        <f t="shared" ref="AQ37" si="26">IF(H$6&gt;0,G37,0)+IF(K$6&gt;0,J37,0)+IF(N$6&gt;0,M37,0)+IF(Q$6&gt;0,P37,0)+IF(T$6&gt;0,S37,0)+IF(W$6&gt;0,V37,0)+IF(Z$6&gt;0,Y37,0)+IF(AC$6&gt;0,AB37,0)+IF(AF$6&gt;0,AE37,0)+IF(AI$6&gt;0,AH37,0)+IF(AL$6&gt;0,AK37,0)+IF(AO$6&gt;0,AN37,0)</f>
        <v>12381087.741665926</v>
      </c>
      <c r="AR37" s="2815">
        <f t="shared" ref="AR37" si="27">H37+K37+N37+Q37+T37+W37+Z37+AC37+AF37+AI37+AL37+AO37</f>
        <v>14103473.944261586</v>
      </c>
      <c r="AS37" s="6770">
        <v>121327.64269163925</v>
      </c>
      <c r="AT37" s="6661">
        <f t="shared" si="1"/>
        <v>0.76624470713162007</v>
      </c>
      <c r="AU37" s="6373">
        <f t="shared" si="2"/>
        <v>0.25790740471171403</v>
      </c>
      <c r="AV37" s="6363">
        <f>AVERAGE(H37:Q37)</f>
        <v>1951964.4228279083</v>
      </c>
      <c r="AW37" s="6363">
        <f>AVERAGE(S37:AN37)</f>
        <v>515304.36486582452</v>
      </c>
      <c r="AX37" s="6363">
        <f>AV37-AW37</f>
        <v>1436660.0579620837</v>
      </c>
      <c r="AY37" s="3911" t="s">
        <v>1870</v>
      </c>
      <c r="AZ37" s="4546"/>
      <c r="BJ37" s="1568"/>
      <c r="BL37" s="1532"/>
    </row>
    <row r="38" spans="1:66" ht="16.5" customHeight="1" thickBot="1">
      <c r="A38" s="7516" t="s">
        <v>239</v>
      </c>
      <c r="B38" s="7517"/>
      <c r="C38" s="7517"/>
      <c r="D38" s="7517"/>
      <c r="E38" s="4793"/>
      <c r="F38" s="4887"/>
      <c r="G38" s="6824">
        <f t="shared" ref="G38" si="28">+G36-G37</f>
        <v>243017.90953449905</v>
      </c>
      <c r="H38" s="6691">
        <f t="shared" ref="H38:AN38" si="29">+H36-H37</f>
        <v>48489.079257193487</v>
      </c>
      <c r="I38" s="6799"/>
      <c r="J38" s="6824">
        <f t="shared" ref="J38" si="30">+J36-J37</f>
        <v>200000</v>
      </c>
      <c r="K38" s="6691">
        <f t="shared" si="29"/>
        <v>-348708.60196956899</v>
      </c>
      <c r="L38" s="6799"/>
      <c r="M38" s="6822">
        <f t="shared" ref="M38" si="31">+M36-M37</f>
        <v>250000</v>
      </c>
      <c r="N38" s="6691">
        <f t="shared" si="29"/>
        <v>-197722.21808348689</v>
      </c>
      <c r="O38" s="6823"/>
      <c r="P38" s="6824">
        <f t="shared" ref="P38" si="32">+P36-P37</f>
        <v>200000</v>
      </c>
      <c r="Q38" s="6691">
        <f t="shared" si="29"/>
        <v>-153791.83155997703</v>
      </c>
      <c r="R38" s="6799"/>
      <c r="S38" s="6822">
        <f t="shared" si="29"/>
        <v>0</v>
      </c>
      <c r="T38" s="6822">
        <f t="shared" ref="T38" si="33">+T36-T37</f>
        <v>92888.27187551558</v>
      </c>
      <c r="U38" s="6823"/>
      <c r="V38" s="6824">
        <f t="shared" si="29"/>
        <v>7907.0177828054875</v>
      </c>
      <c r="W38" s="6691"/>
      <c r="X38" s="6799"/>
      <c r="Y38" s="6824">
        <f t="shared" si="29"/>
        <v>7907.0177828050219</v>
      </c>
      <c r="Z38" s="6691"/>
      <c r="AA38" s="6799"/>
      <c r="AB38" s="6822">
        <f t="shared" si="29"/>
        <v>7907.0177828054875</v>
      </c>
      <c r="AC38" s="6691"/>
      <c r="AD38" s="6823"/>
      <c r="AE38" s="6824">
        <f t="shared" si="29"/>
        <v>7907.0177828054875</v>
      </c>
      <c r="AF38" s="6691"/>
      <c r="AG38" s="6799"/>
      <c r="AH38" s="6822">
        <f t="shared" si="29"/>
        <v>7907.0177828050219</v>
      </c>
      <c r="AI38" s="6691"/>
      <c r="AJ38" s="6823"/>
      <c r="AK38" s="6824">
        <f t="shared" si="29"/>
        <v>7907.0177828054875</v>
      </c>
      <c r="AL38" s="6691"/>
      <c r="AM38" s="6799"/>
      <c r="AN38" s="6825">
        <f t="shared" si="29"/>
        <v>7907.0177828054875</v>
      </c>
      <c r="AO38" s="6691"/>
      <c r="AP38" s="6826"/>
      <c r="AQ38" s="6827"/>
      <c r="AR38" s="6828"/>
      <c r="AS38" s="6829"/>
      <c r="AT38" s="6662"/>
      <c r="AU38" s="3591"/>
      <c r="AV38" s="3591"/>
      <c r="AW38" s="3591"/>
      <c r="AX38" s="3591">
        <f>AX37/AV37</f>
        <v>0.73600729662927078</v>
      </c>
      <c r="AY38" s="3911" t="s">
        <v>1871</v>
      </c>
      <c r="AZ38" s="4546"/>
      <c r="BJ38" s="1568"/>
      <c r="BL38" s="1532"/>
    </row>
    <row r="39" spans="1:66" ht="16.5" customHeight="1" thickBot="1">
      <c r="A39" s="7081" t="s">
        <v>1188</v>
      </c>
      <c r="B39" s="7082"/>
      <c r="C39" s="7082"/>
      <c r="D39" s="7082"/>
      <c r="E39" s="74"/>
      <c r="F39" s="4886"/>
      <c r="G39" s="2500">
        <f>G36/G6</f>
        <v>0.74680590021414051</v>
      </c>
      <c r="H39" s="2501">
        <f>H36/H6</f>
        <v>0.73488087581909001</v>
      </c>
      <c r="I39" s="2502"/>
      <c r="J39" s="2500">
        <f>J36/J6</f>
        <v>0.71964848139717341</v>
      </c>
      <c r="K39" s="2501">
        <f>K36/K6</f>
        <v>0.71040730189204571</v>
      </c>
      <c r="L39" s="2502"/>
      <c r="M39" s="6740">
        <f>M36/M6</f>
        <v>0.7016358975206477</v>
      </c>
      <c r="N39" s="2501">
        <f>N36/N6</f>
        <v>0.71591318280391458</v>
      </c>
      <c r="O39" s="3589"/>
      <c r="P39" s="2500">
        <f>P36/P6</f>
        <v>0.71155917389807732</v>
      </c>
      <c r="Q39" s="2501">
        <f>Q36/Q6</f>
        <v>0.81062003702475149</v>
      </c>
      <c r="R39" s="2502"/>
      <c r="S39" s="6740">
        <f>S36/S6</f>
        <v>0.65488158349204217</v>
      </c>
      <c r="T39" s="6740">
        <f>T36/T6</f>
        <v>0.81722196797102964</v>
      </c>
      <c r="U39" s="3589"/>
      <c r="V39" s="2500">
        <f>V36/V6</f>
        <v>0.74816169161249735</v>
      </c>
      <c r="W39" s="2501"/>
      <c r="X39" s="2502"/>
      <c r="Y39" s="2500">
        <f>Y36/Y6</f>
        <v>0.71007848443559274</v>
      </c>
      <c r="Z39" s="2501"/>
      <c r="AA39" s="2502"/>
      <c r="AB39" s="6740">
        <f>AB36/AB6</f>
        <v>0.7135055507076451</v>
      </c>
      <c r="AC39" s="2501"/>
      <c r="AD39" s="3589"/>
      <c r="AE39" s="2500">
        <f>AE36/AE6</f>
        <v>0.73974595785304509</v>
      </c>
      <c r="AF39" s="2501"/>
      <c r="AG39" s="2502"/>
      <c r="AH39" s="6740">
        <f>AH36/AH6</f>
        <v>0.73063631625302417</v>
      </c>
      <c r="AI39" s="2501"/>
      <c r="AJ39" s="3589"/>
      <c r="AK39" s="2500">
        <f>AK36/AK6</f>
        <v>0.75554805385170265</v>
      </c>
      <c r="AL39" s="2501"/>
      <c r="AM39" s="2502"/>
      <c r="AN39" s="6740">
        <f>AN36/AN6</f>
        <v>0.75498851752704743</v>
      </c>
      <c r="AO39" s="2501"/>
      <c r="AP39" s="3589"/>
      <c r="AQ39" s="6771"/>
      <c r="AR39" s="6672"/>
      <c r="AS39" s="3951"/>
      <c r="AT39" s="6663"/>
      <c r="AU39" s="3592"/>
      <c r="AV39" s="3592"/>
      <c r="AW39" s="3592"/>
      <c r="AX39" s="3592"/>
      <c r="AY39" s="3911" t="s">
        <v>1872</v>
      </c>
      <c r="AZ39" s="4546"/>
      <c r="BJ39" s="1568"/>
      <c r="BL39" s="1532"/>
    </row>
    <row r="40" spans="1:66" ht="16.5" customHeight="1" thickBot="1">
      <c r="A40" s="7081" t="s">
        <v>1189</v>
      </c>
      <c r="B40" s="7082"/>
      <c r="C40" s="7082"/>
      <c r="D40" s="7082"/>
      <c r="E40" s="74"/>
      <c r="F40" s="4886"/>
      <c r="G40" s="2500">
        <f>G37/G6</f>
        <v>0.68093615621075476</v>
      </c>
      <c r="H40" s="2501">
        <f>H37/H6</f>
        <v>0.72159484677770214</v>
      </c>
      <c r="I40" s="2502"/>
      <c r="J40" s="2500">
        <f>J37/J6</f>
        <v>0.66169849278442128</v>
      </c>
      <c r="K40" s="2501">
        <f>K37/K6</f>
        <v>0.82134062500799809</v>
      </c>
      <c r="L40" s="2502"/>
      <c r="M40" s="6740">
        <f>M37/M6</f>
        <v>0.63949497995370985</v>
      </c>
      <c r="N40" s="2501">
        <f>N37/N6</f>
        <v>0.76417211445331468</v>
      </c>
      <c r="O40" s="3589"/>
      <c r="P40" s="2500">
        <f>P37/P6</f>
        <v>0.65912891156217923</v>
      </c>
      <c r="Q40" s="2501">
        <f>Q37/Q6</f>
        <v>0.85728982492444106</v>
      </c>
      <c r="R40" s="2502"/>
      <c r="S40" s="6740">
        <f>S37/S6</f>
        <v>0.65488158349204217</v>
      </c>
      <c r="T40" s="6740">
        <f>T37/T6</f>
        <v>0.79212813155205164</v>
      </c>
      <c r="U40" s="3589"/>
      <c r="V40" s="2500">
        <f>V37/V6</f>
        <v>0.74606390422595137</v>
      </c>
      <c r="W40" s="2501"/>
      <c r="X40" s="2502"/>
      <c r="Y40" s="2500">
        <f>Y37/Y6</f>
        <v>0.70813305396638959</v>
      </c>
      <c r="Z40" s="2501"/>
      <c r="AA40" s="2502"/>
      <c r="AB40" s="6740">
        <f>AB37/AB6</f>
        <v>0.71141261184912596</v>
      </c>
      <c r="AC40" s="2501"/>
      <c r="AD40" s="3589"/>
      <c r="AE40" s="2500">
        <f>AE37/AE6</f>
        <v>0.73736448397080434</v>
      </c>
      <c r="AF40" s="2501"/>
      <c r="AG40" s="2502"/>
      <c r="AH40" s="6740">
        <f>AH37/AH6</f>
        <v>0.72816551460942069</v>
      </c>
      <c r="AI40" s="2501"/>
      <c r="AJ40" s="3589"/>
      <c r="AK40" s="2500">
        <f>AK37/AK6</f>
        <v>0.75304312952632235</v>
      </c>
      <c r="AL40" s="2501"/>
      <c r="AM40" s="2502"/>
      <c r="AN40" s="6740">
        <f>AN37/AN6</f>
        <v>0.75248909561976851</v>
      </c>
      <c r="AO40" s="2501"/>
      <c r="AP40" s="3589"/>
      <c r="AQ40" s="6771"/>
      <c r="AR40" s="6672"/>
      <c r="AS40" s="3951"/>
      <c r="AT40" s="6663"/>
      <c r="AU40" s="3592"/>
      <c r="AV40" s="3592"/>
      <c r="AW40" s="3592"/>
      <c r="AX40" s="3592"/>
      <c r="AZ40" s="4546"/>
      <c r="BJ40" s="1568"/>
      <c r="BL40" s="1532"/>
    </row>
    <row r="41" spans="1:66" ht="20.25" hidden="1" customHeight="1">
      <c r="A41" s="3244"/>
      <c r="B41" s="3244"/>
      <c r="C41" s="3616"/>
      <c r="D41" s="3249" t="s">
        <v>1205</v>
      </c>
      <c r="E41" s="3249"/>
      <c r="F41" s="4888"/>
      <c r="G41" s="6702"/>
      <c r="H41" s="6702">
        <f>+H6-H37-H71-H79-H81</f>
        <v>501480.85638223024</v>
      </c>
      <c r="I41" s="6702"/>
      <c r="J41" s="6702"/>
      <c r="K41" s="6702">
        <f>+K6-K37-K71-K79-K81</f>
        <v>94665.42587043329</v>
      </c>
      <c r="L41" s="6702"/>
      <c r="M41" s="6702"/>
      <c r="N41" s="6702">
        <f>+N6-N37-N71-N79-N81</f>
        <v>154532.50976436981</v>
      </c>
      <c r="O41" s="6702"/>
      <c r="P41" s="6702"/>
      <c r="Q41" s="6702">
        <f>+Q6-Q37-Q71-Q79-Q81</f>
        <v>10522.266214933334</v>
      </c>
      <c r="R41" s="6702"/>
      <c r="S41" s="6702">
        <f>+S6-S37-S71-S79-S81</f>
        <v>860672.86442863161</v>
      </c>
      <c r="T41" s="6702"/>
      <c r="U41" s="6702"/>
      <c r="V41" s="6702">
        <f>+V6-V37-V71-V79-V81</f>
        <v>465806.49302654428</v>
      </c>
      <c r="W41" s="6702"/>
      <c r="X41" s="6702"/>
      <c r="Y41" s="6702">
        <f>+Y6-Y37-Y71-Y79-Y81</f>
        <v>710227.26735518198</v>
      </c>
      <c r="Z41" s="6702"/>
      <c r="AA41" s="6702"/>
      <c r="AB41" s="6702">
        <f>+AB6-AB37-AB71-AB79-AB81</f>
        <v>643419.89078735467</v>
      </c>
      <c r="AC41" s="6702"/>
      <c r="AD41" s="6702"/>
      <c r="AE41" s="6702">
        <f>+AE6-AE37-AE71-AE79-AE81</f>
        <v>439138.29520293843</v>
      </c>
      <c r="AF41" s="6702"/>
      <c r="AG41" s="6702"/>
      <c r="AH41" s="6702">
        <f>+AH6-AH37-AH71-AH79-AH81</f>
        <v>461987.63840675831</v>
      </c>
      <c r="AI41" s="6702"/>
      <c r="AJ41" s="6702"/>
      <c r="AK41" s="6702">
        <f>+AK6-AK37-AK71-AK79-AK81</f>
        <v>374597.46137527184</v>
      </c>
      <c r="AL41" s="6702"/>
      <c r="AM41" s="6702"/>
      <c r="AN41" s="6673">
        <f>+AN6-AN37-AN71-AN79-AN81</f>
        <v>367279.85150743101</v>
      </c>
      <c r="AO41" s="6702"/>
      <c r="AP41" s="6673"/>
      <c r="AQ41" s="6673"/>
      <c r="AR41" s="6673">
        <f>+AR6-AR37-AR71-AR79</f>
        <v>1426817.3163089287</v>
      </c>
      <c r="AS41" s="6673"/>
      <c r="AT41" s="3250"/>
      <c r="AU41" s="3250"/>
      <c r="AV41" s="1637"/>
      <c r="AW41" s="1568"/>
      <c r="AZ41" s="4546"/>
      <c r="BJ41" s="1568"/>
      <c r="BL41" s="1532"/>
    </row>
    <row r="42" spans="1:66" ht="20.25" hidden="1" customHeight="1">
      <c r="A42" s="3244"/>
      <c r="B42" s="3244"/>
      <c r="C42" s="3616"/>
      <c r="D42" s="3249" t="s">
        <v>1203</v>
      </c>
      <c r="E42" s="3249"/>
      <c r="F42" s="4888"/>
      <c r="G42" s="6703"/>
      <c r="H42" s="6703">
        <f>+H41/H6</f>
        <v>0.13740597519401021</v>
      </c>
      <c r="I42" s="6703"/>
      <c r="J42" s="6703"/>
      <c r="K42" s="6703">
        <f>+K41/K6</f>
        <v>3.0115546954332002E-2</v>
      </c>
      <c r="L42" s="6703"/>
      <c r="M42" s="6703"/>
      <c r="N42" s="6703">
        <f>+N41/N6</f>
        <v>3.7717429526205583E-2</v>
      </c>
      <c r="O42" s="6703"/>
      <c r="P42" s="6703"/>
      <c r="Q42" s="6703">
        <f>+Q41/Q6</f>
        <v>3.1930950265293893E-3</v>
      </c>
      <c r="R42" s="6703"/>
      <c r="S42" s="6703">
        <f>+S41/S6</f>
        <v>0.22562652033691005</v>
      </c>
      <c r="T42" s="6703"/>
      <c r="U42" s="6703"/>
      <c r="V42" s="6703">
        <f>+V41/V6</f>
        <v>0.12358173618468371</v>
      </c>
      <c r="W42" s="6703"/>
      <c r="X42" s="6703"/>
      <c r="Y42" s="6703">
        <f>+Y41/Y6</f>
        <v>0.17474322227735067</v>
      </c>
      <c r="Z42" s="6703"/>
      <c r="AA42" s="6703"/>
      <c r="AB42" s="6703">
        <f>+AB41/AB6</f>
        <v>0.17030927825928757</v>
      </c>
      <c r="AC42" s="6703"/>
      <c r="AD42" s="6703"/>
      <c r="AE42" s="6703">
        <f>+AE41/AE6</f>
        <v>0.13226179698137605</v>
      </c>
      <c r="AF42" s="6703"/>
      <c r="AG42" s="6703"/>
      <c r="AH42" s="6703">
        <f>+AH41/AH6</f>
        <v>0.14436287455710842</v>
      </c>
      <c r="AI42" s="6703"/>
      <c r="AJ42" s="6703"/>
      <c r="AK42" s="6703">
        <f>+AK41/AK6</f>
        <v>0.11867157998115958</v>
      </c>
      <c r="AL42" s="6703"/>
      <c r="AM42" s="6703"/>
      <c r="AN42" s="6674">
        <f>+AN41/AN6</f>
        <v>0.11609779213549312</v>
      </c>
      <c r="AO42" s="6703"/>
      <c r="AP42" s="6674"/>
      <c r="AQ42" s="6674"/>
      <c r="AR42" s="6674">
        <f>+AR41/AR6</f>
        <v>7.9767935374977089E-2</v>
      </c>
      <c r="AS42" s="6674"/>
      <c r="AT42" s="3251"/>
      <c r="AU42" s="3251"/>
      <c r="AV42" s="1637"/>
      <c r="AW42" s="1568"/>
      <c r="AZ42" s="4546"/>
      <c r="BJ42" s="1568"/>
      <c r="BL42" s="1532"/>
    </row>
    <row r="43" spans="1:66" ht="20.25" hidden="1" customHeight="1">
      <c r="A43" s="3244"/>
      <c r="B43" s="3244"/>
      <c r="C43" s="3616"/>
      <c r="D43" s="3249" t="s">
        <v>1204</v>
      </c>
      <c r="E43" s="3249"/>
      <c r="F43" s="4888"/>
      <c r="G43" s="6703"/>
      <c r="H43" s="6703">
        <f>(H41-H34)/H6</f>
        <v>8.130542857354281E-2</v>
      </c>
      <c r="I43" s="6703"/>
      <c r="J43" s="6703"/>
      <c r="K43" s="6703">
        <f>(K41-K34)/K6</f>
        <v>-1.3475000477012258E-4</v>
      </c>
      <c r="L43" s="6703"/>
      <c r="M43" s="6703"/>
      <c r="N43" s="6703">
        <f>(N41-N34)/N6</f>
        <v>1.029116105521796E-2</v>
      </c>
      <c r="O43" s="6703"/>
      <c r="P43" s="6703"/>
      <c r="Q43" s="6703">
        <f>(Q41-Q34)/Q6</f>
        <v>3.1930950265293893E-3</v>
      </c>
      <c r="R43" s="6703"/>
      <c r="S43" s="6703">
        <f>(S41-S34)/S6</f>
        <v>0.17319625800101196</v>
      </c>
      <c r="T43" s="6703"/>
      <c r="U43" s="6703"/>
      <c r="V43" s="6703">
        <f>(V41-V34)/V6</f>
        <v>0.10823405626149653</v>
      </c>
      <c r="W43" s="6703"/>
      <c r="X43" s="6703"/>
      <c r="Y43" s="6703">
        <f>(Y41-Y34)/Y6</f>
        <v>0.16051020498225213</v>
      </c>
      <c r="Z43" s="6703"/>
      <c r="AA43" s="6703"/>
      <c r="AB43" s="6703">
        <f>(AB41-AB34)/AB6</f>
        <v>0.15499707078518257</v>
      </c>
      <c r="AC43" s="6703"/>
      <c r="AD43" s="6703"/>
      <c r="AE43" s="6703">
        <f>(AE41-AE34)/AE6</f>
        <v>0.11483863049440286</v>
      </c>
      <c r="AF43" s="6703"/>
      <c r="AG43" s="6703"/>
      <c r="AH43" s="6703">
        <f>(AH41-AH34)/AH6</f>
        <v>0.12628617478146922</v>
      </c>
      <c r="AI43" s="6703"/>
      <c r="AJ43" s="6703"/>
      <c r="AK43" s="6703">
        <f>(AK41-AK34)/AK6</f>
        <v>0.10034523431605176</v>
      </c>
      <c r="AL43" s="6703"/>
      <c r="AM43" s="6703"/>
      <c r="AN43" s="6674">
        <f>(AN41-AN34)/AN6</f>
        <v>9.7811702862604641E-2</v>
      </c>
      <c r="AO43" s="6703"/>
      <c r="AP43" s="6674"/>
      <c r="AQ43" s="6674"/>
      <c r="AR43" s="6674">
        <f>(AR41-AR34)/AR6</f>
        <v>5.4843257262020474E-2</v>
      </c>
      <c r="AS43" s="6674"/>
      <c r="AT43" s="3251"/>
      <c r="AU43" s="3251"/>
      <c r="AV43" s="1637"/>
      <c r="AW43" s="1568"/>
      <c r="AZ43" s="4546"/>
      <c r="BJ43" s="1568"/>
      <c r="BL43" s="1532"/>
    </row>
    <row r="44" spans="1:66" s="1618" customFormat="1" ht="20.25" customHeight="1">
      <c r="A44" s="1922"/>
      <c r="B44" s="1922"/>
      <c r="C44" s="2183"/>
      <c r="D44" s="1922"/>
      <c r="E44" s="1922"/>
      <c r="F44" s="6686"/>
      <c r="G44" s="6704"/>
      <c r="H44" s="6704"/>
      <c r="I44" s="6704"/>
      <c r="J44" s="6704"/>
      <c r="K44" s="6704"/>
      <c r="L44" s="6704"/>
      <c r="M44" s="6704"/>
      <c r="N44" s="6704"/>
      <c r="O44" s="6704"/>
      <c r="P44" s="6704"/>
      <c r="Q44" s="6704"/>
      <c r="R44" s="3993"/>
      <c r="S44" s="3993"/>
      <c r="T44" s="6704"/>
      <c r="U44" s="3993"/>
      <c r="V44" s="3993"/>
      <c r="W44" s="6704"/>
      <c r="X44" s="3993"/>
      <c r="Y44" s="3993"/>
      <c r="Z44" s="6704"/>
      <c r="AA44" s="3993"/>
      <c r="AB44" s="3993"/>
      <c r="AC44" s="6704"/>
      <c r="AD44" s="3993"/>
      <c r="AE44" s="3993"/>
      <c r="AF44" s="6704"/>
      <c r="AG44" s="3993"/>
      <c r="AH44" s="3993"/>
      <c r="AI44" s="6704"/>
      <c r="AJ44" s="3993"/>
      <c r="AK44" s="3993"/>
      <c r="AL44" s="6704"/>
      <c r="AM44" s="3993"/>
      <c r="AN44" s="3277"/>
      <c r="AO44" s="6704"/>
      <c r="AP44" s="3277"/>
      <c r="AQ44" s="3277"/>
      <c r="AR44" s="3277"/>
      <c r="AS44" s="3277"/>
      <c r="AT44" s="3277"/>
      <c r="AU44" s="3277"/>
      <c r="AV44" s="1637"/>
      <c r="AW44" s="1568"/>
      <c r="AX44" s="5"/>
      <c r="AY44" s="5"/>
      <c r="AZ44" s="6683"/>
      <c r="BA44" s="4034"/>
      <c r="BB44" s="6684"/>
      <c r="BC44" s="6684"/>
      <c r="BD44" s="5"/>
      <c r="BE44" s="5"/>
      <c r="BF44" s="5"/>
      <c r="BG44" s="5"/>
      <c r="BH44" s="5"/>
      <c r="BI44" s="5"/>
      <c r="BJ44" s="1568"/>
      <c r="BK44" s="5"/>
      <c r="BL44" s="1532"/>
      <c r="BM44" s="5"/>
      <c r="BN44" s="5"/>
    </row>
    <row r="45" spans="1:66" ht="20.25" customHeight="1" thickBot="1">
      <c r="A45" s="2382" t="s">
        <v>26</v>
      </c>
      <c r="B45" s="2488"/>
      <c r="C45" s="3612"/>
      <c r="D45" s="2431"/>
      <c r="E45" s="2431"/>
      <c r="F45" s="6687"/>
      <c r="G45" s="2432"/>
      <c r="H45" s="2432"/>
      <c r="I45" s="2432"/>
      <c r="J45" s="2432"/>
      <c r="K45" s="2432"/>
      <c r="L45" s="2432"/>
      <c r="M45" s="2432"/>
      <c r="N45" s="2432"/>
      <c r="O45" s="2432"/>
      <c r="P45" s="2432"/>
      <c r="Q45" s="2432"/>
      <c r="R45" s="2432"/>
      <c r="S45" s="2432"/>
      <c r="T45" s="2432"/>
      <c r="U45" s="2432"/>
      <c r="V45" s="2432"/>
      <c r="W45" s="2432"/>
      <c r="X45" s="2432"/>
      <c r="Y45" s="2370"/>
      <c r="Z45" s="2432"/>
      <c r="AA45" s="2370"/>
      <c r="AB45" s="2370"/>
      <c r="AC45" s="2432"/>
      <c r="AD45" s="2370"/>
      <c r="AE45" s="6688"/>
      <c r="AF45" s="2432"/>
      <c r="AG45" s="6688"/>
      <c r="AH45" s="6688"/>
      <c r="AI45" s="2432"/>
      <c r="AJ45" s="6688"/>
      <c r="AK45" s="2370"/>
      <c r="AL45" s="2432"/>
      <c r="AM45" s="2370"/>
      <c r="AN45" s="2370"/>
      <c r="AO45" s="2432"/>
      <c r="AP45" s="2370"/>
      <c r="AQ45" s="1785"/>
      <c r="AR45" s="1785" t="s">
        <v>86</v>
      </c>
      <c r="AS45" s="1785"/>
      <c r="AT45" s="1785"/>
      <c r="AU45" s="1785"/>
      <c r="AV45" s="1637"/>
      <c r="AW45" s="1568"/>
      <c r="AZ45" s="6683"/>
      <c r="BB45" s="6684"/>
      <c r="BC45" s="6684"/>
      <c r="BJ45" s="1568"/>
      <c r="BL45" s="1532"/>
    </row>
    <row r="46" spans="1:66" s="1528" customFormat="1" ht="19.5" customHeight="1" thickBot="1">
      <c r="A46" s="7224" t="s">
        <v>126</v>
      </c>
      <c r="B46" s="7570" t="s">
        <v>127</v>
      </c>
      <c r="C46" s="7197" t="s">
        <v>1454</v>
      </c>
      <c r="D46" s="7468" t="s">
        <v>534</v>
      </c>
      <c r="E46" s="2387" t="s">
        <v>1522</v>
      </c>
      <c r="F46" s="4882" t="s">
        <v>1523</v>
      </c>
      <c r="G46" s="6926" t="str">
        <f>G9</f>
        <v>Jan.26</v>
      </c>
      <c r="H46" s="6716"/>
      <c r="I46" s="6927"/>
      <c r="J46" s="6716" t="str">
        <f t="shared" ref="J46" si="34">J9</f>
        <v>Feb.26</v>
      </c>
      <c r="K46" s="6716"/>
      <c r="L46" s="6716"/>
      <c r="M46" s="6926" t="str">
        <f t="shared" ref="M46" si="35">M9</f>
        <v>Mar.26</v>
      </c>
      <c r="N46" s="6716"/>
      <c r="O46" s="6927"/>
      <c r="P46" s="6716" t="str">
        <f t="shared" ref="P46" si="36">P9</f>
        <v>Apr.26</v>
      </c>
      <c r="Q46" s="6716"/>
      <c r="R46" s="6716"/>
      <c r="S46" s="6718" t="str">
        <f t="shared" ref="S46" si="37">S9</f>
        <v>May.26</v>
      </c>
      <c r="T46" s="6716"/>
      <c r="U46" s="6719"/>
      <c r="V46" s="6717" t="str">
        <f t="shared" ref="V46" si="38">V9</f>
        <v>Jun.26</v>
      </c>
      <c r="W46" s="6716"/>
      <c r="X46" s="6717"/>
      <c r="Y46" s="6718" t="str">
        <f t="shared" ref="Y46" si="39">Y9</f>
        <v>Jul.26</v>
      </c>
      <c r="Z46" s="6716"/>
      <c r="AA46" s="6719"/>
      <c r="AB46" s="6717" t="str">
        <f t="shared" ref="AB46" si="40">AB9</f>
        <v>Aug.26</v>
      </c>
      <c r="AC46" s="6716"/>
      <c r="AD46" s="6717"/>
      <c r="AE46" s="6718" t="str">
        <f t="shared" ref="AE46" si="41">AE9</f>
        <v>Sep.26</v>
      </c>
      <c r="AF46" s="6716"/>
      <c r="AG46" s="6719"/>
      <c r="AH46" s="6717" t="str">
        <f t="shared" ref="AH46" si="42">AH9</f>
        <v>Oct.26</v>
      </c>
      <c r="AI46" s="6716"/>
      <c r="AJ46" s="6717"/>
      <c r="AK46" s="6718" t="str">
        <f t="shared" ref="AK46" si="43">AK9</f>
        <v>Nov.26</v>
      </c>
      <c r="AL46" s="6716"/>
      <c r="AM46" s="6719"/>
      <c r="AN46" s="6717" t="str">
        <f t="shared" ref="AN46" si="44">AN9</f>
        <v>Dec.26</v>
      </c>
      <c r="AO46" s="6716"/>
      <c r="AP46" s="6717"/>
      <c r="AQ46" s="7165" t="str">
        <f>AQ9</f>
        <v>2026
Total</v>
      </c>
      <c r="AR46" s="7166"/>
      <c r="AS46" s="7507"/>
      <c r="AT46" s="3630"/>
      <c r="AU46" s="3630"/>
      <c r="AV46" s="6335" t="s">
        <v>1851</v>
      </c>
      <c r="AW46" s="6338" t="s">
        <v>1852</v>
      </c>
      <c r="AX46" s="6334" t="s">
        <v>1853</v>
      </c>
      <c r="AY46" s="5"/>
      <c r="AZ46" s="4546"/>
      <c r="BA46" s="4034"/>
      <c r="BB46" s="4544"/>
      <c r="BC46" s="4544"/>
      <c r="BD46" s="5"/>
      <c r="BE46" s="5"/>
      <c r="BF46" s="5"/>
      <c r="BG46" s="5"/>
      <c r="BH46" s="5"/>
      <c r="BI46" s="5"/>
      <c r="BJ46" s="1568"/>
      <c r="BK46" s="5"/>
      <c r="BL46" s="1532"/>
      <c r="BM46" s="5"/>
      <c r="BN46" s="5"/>
    </row>
    <row r="47" spans="1:66" s="1528" customFormat="1" ht="19.5" customHeight="1" thickBot="1">
      <c r="A47" s="7569"/>
      <c r="B47" s="7571"/>
      <c r="C47" s="7572"/>
      <c r="D47" s="7573"/>
      <c r="E47" s="2387" t="s">
        <v>1522</v>
      </c>
      <c r="F47" s="4882" t="s">
        <v>1523</v>
      </c>
      <c r="G47" s="1841" t="s">
        <v>1925</v>
      </c>
      <c r="H47" s="1842" t="s">
        <v>1927</v>
      </c>
      <c r="I47" s="1843" t="s">
        <v>1930</v>
      </c>
      <c r="J47" s="3394" t="s">
        <v>1925</v>
      </c>
      <c r="K47" s="1842" t="s">
        <v>1927</v>
      </c>
      <c r="L47" s="27" t="s">
        <v>1930</v>
      </c>
      <c r="M47" s="1841" t="s">
        <v>1925</v>
      </c>
      <c r="N47" s="1842" t="s">
        <v>1927</v>
      </c>
      <c r="O47" s="1843" t="s">
        <v>1930</v>
      </c>
      <c r="P47" s="3394" t="s">
        <v>1925</v>
      </c>
      <c r="Q47" s="1842" t="s">
        <v>1927</v>
      </c>
      <c r="R47" s="27" t="s">
        <v>1930</v>
      </c>
      <c r="S47" s="1841" t="s">
        <v>1925</v>
      </c>
      <c r="T47" s="1842" t="s">
        <v>1927</v>
      </c>
      <c r="U47" s="1843" t="s">
        <v>1930</v>
      </c>
      <c r="V47" s="3394" t="s">
        <v>1925</v>
      </c>
      <c r="W47" s="1842" t="s">
        <v>1927</v>
      </c>
      <c r="X47" s="27" t="s">
        <v>1930</v>
      </c>
      <c r="Y47" s="1841" t="s">
        <v>1925</v>
      </c>
      <c r="Z47" s="1842" t="s">
        <v>1927</v>
      </c>
      <c r="AA47" s="1843" t="s">
        <v>1930</v>
      </c>
      <c r="AB47" s="3394" t="s">
        <v>1925</v>
      </c>
      <c r="AC47" s="1842" t="s">
        <v>1927</v>
      </c>
      <c r="AD47" s="27" t="s">
        <v>1930</v>
      </c>
      <c r="AE47" s="1841" t="s">
        <v>1925</v>
      </c>
      <c r="AF47" s="1842" t="s">
        <v>1927</v>
      </c>
      <c r="AG47" s="1843" t="s">
        <v>1931</v>
      </c>
      <c r="AH47" s="3394" t="s">
        <v>1925</v>
      </c>
      <c r="AI47" s="1842" t="s">
        <v>1927</v>
      </c>
      <c r="AJ47" s="27" t="s">
        <v>1931</v>
      </c>
      <c r="AK47" s="1841" t="s">
        <v>1925</v>
      </c>
      <c r="AL47" s="1842" t="s">
        <v>1927</v>
      </c>
      <c r="AM47" s="1843" t="s">
        <v>1931</v>
      </c>
      <c r="AN47" s="3394" t="s">
        <v>1925</v>
      </c>
      <c r="AO47" s="1842" t="s">
        <v>1927</v>
      </c>
      <c r="AP47" s="27" t="s">
        <v>1931</v>
      </c>
      <c r="AQ47" s="1841" t="s">
        <v>1925</v>
      </c>
      <c r="AR47" s="1842" t="s">
        <v>1927</v>
      </c>
      <c r="AS47" s="1843" t="s">
        <v>1931</v>
      </c>
      <c r="AT47" s="3630"/>
      <c r="AU47" s="3630"/>
      <c r="AV47" s="6335" t="s">
        <v>1851</v>
      </c>
      <c r="AW47" s="6338" t="s">
        <v>1852</v>
      </c>
      <c r="AX47" s="6334" t="s">
        <v>1853</v>
      </c>
      <c r="AY47" s="5"/>
      <c r="AZ47" s="4546"/>
      <c r="BA47" s="4034"/>
      <c r="BB47" s="4544"/>
      <c r="BC47" s="4544"/>
      <c r="BD47" s="5"/>
      <c r="BE47" s="5"/>
      <c r="BF47" s="5"/>
      <c r="BG47" s="5"/>
      <c r="BH47" s="5"/>
      <c r="BI47" s="5"/>
      <c r="BJ47" s="1568"/>
      <c r="BK47" s="5"/>
      <c r="BL47" s="1532"/>
      <c r="BM47" s="5"/>
      <c r="BN47" s="5"/>
    </row>
    <row r="48" spans="1:66" s="2509" customFormat="1" ht="19.5" customHeight="1">
      <c r="A48" s="7511" t="s">
        <v>445</v>
      </c>
      <c r="B48" s="3696" t="s">
        <v>373</v>
      </c>
      <c r="C48" s="3617">
        <v>25</v>
      </c>
      <c r="D48" s="4789" t="s">
        <v>485</v>
      </c>
      <c r="E48" s="4794" t="s">
        <v>1526</v>
      </c>
      <c r="F48" s="6647"/>
      <c r="G48" s="2504">
        <v>154945.75012500002</v>
      </c>
      <c r="H48" s="6705">
        <v>161782.1601923077</v>
      </c>
      <c r="I48" s="6781">
        <f t="shared" ref="I48:I71" si="45">H48-G48</f>
        <v>6836.4100673076755</v>
      </c>
      <c r="J48" s="3318">
        <v>179880.55251677777</v>
      </c>
      <c r="K48" s="6705">
        <v>160210.96069230768</v>
      </c>
      <c r="L48" s="6788">
        <f t="shared" ref="L48:L71" si="46">K48-J48</f>
        <v>-19669.591824470088</v>
      </c>
      <c r="M48" s="2504">
        <v>154945.75012500002</v>
      </c>
      <c r="N48" s="6705">
        <v>158689.07826923075</v>
      </c>
      <c r="O48" s="6781">
        <f t="shared" ref="O48:O71" si="47">N48-M48</f>
        <v>3743.3281442307343</v>
      </c>
      <c r="P48" s="3318">
        <v>154945.75012500002</v>
      </c>
      <c r="Q48" s="6705">
        <v>156571.69</v>
      </c>
      <c r="R48" s="6788">
        <f t="shared" ref="R48:R71" si="48">Q48-P48</f>
        <v>1625.9398749999818</v>
      </c>
      <c r="S48" s="2504">
        <v>154945.75012500002</v>
      </c>
      <c r="T48" s="6705">
        <f>SUMIF('7. E Plan'!$D$45:$D$67,D48,'7. E Plan'!$K$45:$K$67)</f>
        <v>153292.59111538462</v>
      </c>
      <c r="U48" s="6781">
        <f t="shared" ref="U48:U71" si="49">T48-S48</f>
        <v>-1653.1590096153959</v>
      </c>
      <c r="V48" s="3318">
        <f>'4. L PLAN'!K89</f>
        <v>141315.26226136365</v>
      </c>
      <c r="W48" s="6705"/>
      <c r="X48" s="6788">
        <f t="shared" ref="X48:X71" si="50">W48-V48</f>
        <v>-141315.26226136365</v>
      </c>
      <c r="Y48" s="2504">
        <f>'4. L PLAN'!L89</f>
        <v>134884.48843030306</v>
      </c>
      <c r="Z48" s="6705"/>
      <c r="AA48" s="6781">
        <f t="shared" ref="AA48:AA71" si="51">Z48-Y48</f>
        <v>-134884.48843030306</v>
      </c>
      <c r="AB48" s="3318">
        <f>'4. L PLAN'!M89</f>
        <v>134884.48843030306</v>
      </c>
      <c r="AC48" s="6705"/>
      <c r="AD48" s="6788">
        <f t="shared" ref="AD48:AD71" si="52">AC48-AB48</f>
        <v>-134884.48843030306</v>
      </c>
      <c r="AE48" s="2504">
        <f>'4. L PLAN'!N89</f>
        <v>134884.48843030306</v>
      </c>
      <c r="AF48" s="6705"/>
      <c r="AG48" s="6781">
        <f t="shared" ref="AG48:AG71" si="53">AF48-AE48</f>
        <v>-134884.48843030306</v>
      </c>
      <c r="AH48" s="3318">
        <f>'4. L PLAN'!O89</f>
        <v>131007.43604393941</v>
      </c>
      <c r="AI48" s="6705"/>
      <c r="AJ48" s="6788">
        <f t="shared" ref="AJ48:AJ71" si="54">AI48-AH48</f>
        <v>-131007.43604393941</v>
      </c>
      <c r="AK48" s="2504">
        <f>'4. L PLAN'!P89</f>
        <v>131007.43604393941</v>
      </c>
      <c r="AL48" s="6705"/>
      <c r="AM48" s="6781">
        <f t="shared" ref="AM48:AM71" si="55">AL48-AK48</f>
        <v>-131007.43604393941</v>
      </c>
      <c r="AN48" s="3318">
        <f>'4. L PLAN'!Q89</f>
        <v>131007.43604393941</v>
      </c>
      <c r="AO48" s="6705"/>
      <c r="AP48" s="6774">
        <f t="shared" ref="AP48:AP71" si="56">AO48-AN48</f>
        <v>-131007.43604393941</v>
      </c>
      <c r="AQ48" s="6794">
        <f t="shared" ref="AQ48:AQ70" si="57">IF(H$6&gt;0,G48,0)+IF(K$6&gt;0,J48,0)+IF(N$6&gt;0,M48,0)+IF(Q$6&gt;0,P48,0)+IF(T$6&gt;0,S48,0)+IF(W$6&gt;0,V48,0)+IF(Z$6&gt;0,Y48,0)+IF(AC$6&gt;0,AB48,0)+IF(AF$6&gt;0,AE48,0)+IF(AI$6&gt;0,AH48,0)+IF(AL$6&gt;0,AK48,0)+IF(AO$6&gt;0,AN48,0)</f>
        <v>799663.55301677785</v>
      </c>
      <c r="AR48" s="6675">
        <f t="shared" ref="AR48:AR70" si="58">H48+K48+N48+Q48+T48+W48+Z48+AC48+AF48+AI48+AL48+AO48</f>
        <v>790546.48026923067</v>
      </c>
      <c r="AS48" s="6795">
        <f t="shared" ref="AS48:AS71" si="59">AR48-AQ48</f>
        <v>-9117.0727475471795</v>
      </c>
      <c r="AT48" s="6374">
        <f t="shared" ref="AT48:AT71" si="60">SUM(H48:Q48)/SUM($H$6:$Q$6)</f>
        <v>4.3884642596927002E-2</v>
      </c>
      <c r="AU48" s="6374">
        <f t="shared" ref="AU48:AU71" si="61">SUM(S48:AN48)/SUM($S$6:$AN$6)</f>
        <v>1.3688315124404686E-2</v>
      </c>
      <c r="AV48" s="6336">
        <f t="shared" ref="AV48:AV71" si="62">AVERAGE(H48:Q48)</f>
        <v>111793.60883076923</v>
      </c>
      <c r="AW48" s="6339">
        <f t="shared" ref="AW48:AW71" si="63">AVERAGE(S48:AN48)</f>
        <v>27349.538642169289</v>
      </c>
      <c r="AX48" s="6354">
        <f>AV48-AW48</f>
        <v>84444.07018859993</v>
      </c>
      <c r="AY48" s="3911" t="s">
        <v>1854</v>
      </c>
      <c r="AZ48" s="4546" t="s">
        <v>1862</v>
      </c>
      <c r="BA48" s="6355"/>
      <c r="BB48" s="6356"/>
      <c r="BC48" s="4544"/>
      <c r="BD48" s="5"/>
      <c r="BE48" s="5"/>
      <c r="BF48" s="5"/>
      <c r="BG48" s="5"/>
      <c r="BH48" s="5"/>
      <c r="BI48" s="5"/>
      <c r="BJ48" s="1568"/>
      <c r="BK48" s="5"/>
      <c r="BL48" s="1532"/>
      <c r="BM48" s="5"/>
      <c r="BN48" s="5"/>
    </row>
    <row r="49" spans="1:66" s="2509" customFormat="1" ht="19.5" customHeight="1">
      <c r="A49" s="7512"/>
      <c r="B49" s="2510"/>
      <c r="C49" s="4912">
        <v>26</v>
      </c>
      <c r="D49" s="4790" t="s">
        <v>1841</v>
      </c>
      <c r="E49" s="6385" t="s">
        <v>1526</v>
      </c>
      <c r="F49" s="4955"/>
      <c r="G49" s="2512">
        <v>18630.772727272728</v>
      </c>
      <c r="H49" s="6706">
        <v>3157.6838461538459</v>
      </c>
      <c r="I49" s="6782">
        <f t="shared" si="45"/>
        <v>-15473.088881118882</v>
      </c>
      <c r="J49" s="2518">
        <v>9315.386363636364</v>
      </c>
      <c r="K49" s="6706">
        <v>2652.95</v>
      </c>
      <c r="L49" s="6789">
        <f t="shared" si="46"/>
        <v>-6662.4363636363641</v>
      </c>
      <c r="M49" s="2512">
        <v>18630.772727272728</v>
      </c>
      <c r="N49" s="6706">
        <v>4255.6788461538463</v>
      </c>
      <c r="O49" s="6782">
        <f t="shared" si="47"/>
        <v>-14375.093881118883</v>
      </c>
      <c r="P49" s="2518">
        <v>17914.204545454544</v>
      </c>
      <c r="Q49" s="6706">
        <v>6711.9351538461542</v>
      </c>
      <c r="R49" s="6789">
        <f t="shared" si="48"/>
        <v>-11202.26939160839</v>
      </c>
      <c r="S49" s="2512">
        <v>17914.204545454544</v>
      </c>
      <c r="T49" s="6706">
        <f>SUMIF('7. E Plan'!$D$45:$D$67,D49,'7. E Plan'!$K$45:$K$67)</f>
        <v>4209.6923076923076</v>
      </c>
      <c r="U49" s="6782">
        <f t="shared" si="49"/>
        <v>-13704.512237762236</v>
      </c>
      <c r="V49" s="2518">
        <f>'4. L PLAN'!K94+'4. L PLAN'!K95</f>
        <v>8891.5272727272732</v>
      </c>
      <c r="W49" s="6706"/>
      <c r="X49" s="6789">
        <f t="shared" si="50"/>
        <v>-8891.5272727272732</v>
      </c>
      <c r="Y49" s="2512">
        <f>'4. L PLAN'!L94+'4. L PLAN'!L95</f>
        <v>8928.4090909090901</v>
      </c>
      <c r="Z49" s="6706"/>
      <c r="AA49" s="6782">
        <f t="shared" si="51"/>
        <v>-8928.4090909090901</v>
      </c>
      <c r="AB49" s="2518">
        <f>'4. L PLAN'!M94+'4. L PLAN'!M95</f>
        <v>8597.7272727272739</v>
      </c>
      <c r="AC49" s="6706"/>
      <c r="AD49" s="6789">
        <f t="shared" si="52"/>
        <v>-8597.7272727272739</v>
      </c>
      <c r="AE49" s="2512">
        <f>'4. L PLAN'!N94+'4. L PLAN'!N95</f>
        <v>7936.363636363636</v>
      </c>
      <c r="AF49" s="6706"/>
      <c r="AG49" s="6782">
        <f t="shared" si="53"/>
        <v>-7936.363636363636</v>
      </c>
      <c r="AH49" s="2518">
        <f>'4. L PLAN'!O94+'4. L PLAN'!O95</f>
        <v>8567.8363636363629</v>
      </c>
      <c r="AI49" s="6706"/>
      <c r="AJ49" s="6789">
        <f t="shared" si="54"/>
        <v>-8567.8363636363629</v>
      </c>
      <c r="AK49" s="2512">
        <f>'4. L PLAN'!P94+'4. L PLAN'!P95</f>
        <v>7933.181818181818</v>
      </c>
      <c r="AL49" s="6706"/>
      <c r="AM49" s="6782">
        <f t="shared" si="55"/>
        <v>-7933.181818181818</v>
      </c>
      <c r="AN49" s="2518">
        <f>'4. L PLAN'!Q94+'4. L PLAN'!Q95</f>
        <v>8567.8363636363629</v>
      </c>
      <c r="AO49" s="6706"/>
      <c r="AP49" s="6775">
        <f t="shared" si="56"/>
        <v>-8567.8363636363629</v>
      </c>
      <c r="AQ49" s="6764">
        <f t="shared" si="57"/>
        <v>82405.340909090912</v>
      </c>
      <c r="AR49" s="6670">
        <f t="shared" si="58"/>
        <v>20987.940153846157</v>
      </c>
      <c r="AS49" s="6796">
        <f t="shared" si="59"/>
        <v>-61417.400755244758</v>
      </c>
      <c r="AT49" s="6384">
        <f t="shared" si="60"/>
        <v>1.0256557761564524E-3</v>
      </c>
      <c r="AU49" s="6384">
        <f t="shared" si="61"/>
        <v>5.3137649982652074E-4</v>
      </c>
      <c r="AV49" s="6336">
        <f t="shared" si="62"/>
        <v>2612.7992356643358</v>
      </c>
      <c r="AW49" s="6339">
        <f t="shared" si="63"/>
        <v>1061.7013111888114</v>
      </c>
      <c r="AX49" s="6341">
        <f t="shared" ref="AX49:AX70" si="64">AV49-AW49</f>
        <v>1551.0979244755245</v>
      </c>
      <c r="AY49" s="1569"/>
      <c r="AZ49" s="4546" t="s">
        <v>1863</v>
      </c>
      <c r="BA49" s="6355"/>
      <c r="BB49" s="6356"/>
      <c r="BC49" s="4544"/>
      <c r="BD49" s="5"/>
      <c r="BE49" s="5"/>
      <c r="BF49" s="5"/>
      <c r="BG49" s="5"/>
      <c r="BH49" s="5"/>
      <c r="BI49" s="5"/>
      <c r="BJ49" s="1568"/>
      <c r="BK49" s="5"/>
      <c r="BL49" s="1532"/>
      <c r="BM49" s="5"/>
      <c r="BN49" s="5"/>
    </row>
    <row r="50" spans="1:66" s="2509" customFormat="1" ht="19.5" customHeight="1">
      <c r="A50" s="7512"/>
      <c r="B50" s="2510"/>
      <c r="C50" s="3618">
        <v>27</v>
      </c>
      <c r="D50" s="4790" t="s">
        <v>374</v>
      </c>
      <c r="E50" s="4795" t="s">
        <v>1538</v>
      </c>
      <c r="F50" s="4955">
        <v>2E-3</v>
      </c>
      <c r="G50" s="2512">
        <v>7378.7415819319967</v>
      </c>
      <c r="H50" s="6706">
        <v>3053.3860384615386</v>
      </c>
      <c r="I50" s="6782">
        <f t="shared" si="45"/>
        <v>-4325.3555434704576</v>
      </c>
      <c r="J50" s="2518">
        <v>6902.5035133825468</v>
      </c>
      <c r="K50" s="6706">
        <v>10733.593115384616</v>
      </c>
      <c r="L50" s="6789">
        <f t="shared" si="46"/>
        <v>3831.0896020020691</v>
      </c>
      <c r="M50" s="2512">
        <v>18046.228146879272</v>
      </c>
      <c r="N50" s="6706">
        <v>-3304.3546923076924</v>
      </c>
      <c r="O50" s="6782">
        <f t="shared" si="47"/>
        <v>-21350.582839186965</v>
      </c>
      <c r="P50" s="2518">
        <v>7700.4932666769664</v>
      </c>
      <c r="Q50" s="6706">
        <v>760.47230769230771</v>
      </c>
      <c r="R50" s="6789">
        <f t="shared" si="48"/>
        <v>-6940.020958984659</v>
      </c>
      <c r="S50" s="2512">
        <v>7629.181739304915</v>
      </c>
      <c r="T50" s="6706">
        <f>SUMIF('7. E Plan'!$D$45:$D$67,D50,'7. E Plan'!$K$45:$K$67)</f>
        <v>3022.3149615384614</v>
      </c>
      <c r="U50" s="6782">
        <f t="shared" si="49"/>
        <v>-4606.8667777664541</v>
      </c>
      <c r="V50" s="2518">
        <f>V6*0.2%+10000</f>
        <v>17538.435814341225</v>
      </c>
      <c r="W50" s="6706"/>
      <c r="X50" s="6789">
        <f t="shared" si="50"/>
        <v>-17538.435814341225</v>
      </c>
      <c r="Y50" s="2512">
        <f>Y6*0.2%</f>
        <v>8128.810469431729</v>
      </c>
      <c r="Z50" s="6706"/>
      <c r="AA50" s="6782">
        <f t="shared" si="51"/>
        <v>-8128.810469431729</v>
      </c>
      <c r="AB50" s="2518">
        <f>AB6*0.2%</f>
        <v>7555.8994479182666</v>
      </c>
      <c r="AC50" s="6706"/>
      <c r="AD50" s="6789">
        <f t="shared" si="52"/>
        <v>-7555.8994479182666</v>
      </c>
      <c r="AE50" s="2512">
        <f>AE6*0.2%+10000</f>
        <v>16640.440478285262</v>
      </c>
      <c r="AF50" s="6706"/>
      <c r="AG50" s="6782">
        <f t="shared" si="53"/>
        <v>-16640.440478285262</v>
      </c>
      <c r="AH50" s="2518">
        <f>AH6*0.2%</f>
        <v>6400.3662967240361</v>
      </c>
      <c r="AI50" s="6706"/>
      <c r="AJ50" s="6789">
        <f t="shared" si="54"/>
        <v>-6400.3662967240361</v>
      </c>
      <c r="AK50" s="2512">
        <f>AK6*0.2%</f>
        <v>6313.1789672766354</v>
      </c>
      <c r="AL50" s="6706"/>
      <c r="AM50" s="6782">
        <f t="shared" si="55"/>
        <v>-6313.1789672766354</v>
      </c>
      <c r="AN50" s="2518">
        <f>AN6*0.2%+10000</f>
        <v>16327.077281173328</v>
      </c>
      <c r="AO50" s="6706"/>
      <c r="AP50" s="6775">
        <f t="shared" si="56"/>
        <v>-16327.077281173328</v>
      </c>
      <c r="AQ50" s="6764">
        <f t="shared" si="57"/>
        <v>47657.148248175698</v>
      </c>
      <c r="AR50" s="6670">
        <f t="shared" si="58"/>
        <v>14265.41173076923</v>
      </c>
      <c r="AS50" s="6796">
        <f t="shared" si="59"/>
        <v>-33391.736517406469</v>
      </c>
      <c r="AT50" s="6375">
        <f t="shared" si="60"/>
        <v>8.6547476119803828E-4</v>
      </c>
      <c r="AU50" s="6375">
        <f t="shared" si="61"/>
        <v>6.9980837265963319E-4</v>
      </c>
      <c r="AV50" s="6336">
        <f t="shared" si="62"/>
        <v>2204.7472915514199</v>
      </c>
      <c r="AW50" s="6339">
        <f t="shared" si="63"/>
        <v>1398.2317002656405</v>
      </c>
      <c r="AX50" s="6341">
        <f t="shared" si="64"/>
        <v>806.51559128577946</v>
      </c>
      <c r="AY50" s="1569"/>
      <c r="AZ50" s="4546"/>
      <c r="BA50" s="6355"/>
      <c r="BB50" s="6356"/>
      <c r="BC50" s="4544"/>
      <c r="BD50" s="5"/>
      <c r="BE50" s="5"/>
      <c r="BF50" s="5"/>
      <c r="BG50" s="5"/>
      <c r="BH50" s="5"/>
      <c r="BI50" s="5"/>
      <c r="BJ50" s="1568"/>
      <c r="BK50" s="5"/>
      <c r="BL50" s="1532"/>
      <c r="BM50" s="5"/>
      <c r="BN50" s="5"/>
    </row>
    <row r="51" spans="1:66" s="2509" customFormat="1" ht="19.5" customHeight="1">
      <c r="A51" s="7512"/>
      <c r="B51" s="2510"/>
      <c r="C51" s="4912">
        <v>28</v>
      </c>
      <c r="D51" s="4790" t="s">
        <v>375</v>
      </c>
      <c r="E51" s="6385" t="s">
        <v>1563</v>
      </c>
      <c r="F51" s="4955">
        <v>2.35E-2</v>
      </c>
      <c r="G51" s="2512">
        <v>64921.082687325783</v>
      </c>
      <c r="H51" s="6706">
        <v>60455.256269230769</v>
      </c>
      <c r="I51" s="6782">
        <f t="shared" si="45"/>
        <v>-4465.8264180950137</v>
      </c>
      <c r="J51" s="2518">
        <v>57776.435679896473</v>
      </c>
      <c r="K51" s="6706">
        <v>35460.457423076921</v>
      </c>
      <c r="L51" s="6789">
        <f t="shared" si="46"/>
        <v>-22315.978256819551</v>
      </c>
      <c r="M51" s="2512">
        <v>62314.830006522825</v>
      </c>
      <c r="N51" s="6706">
        <v>44272.214192307692</v>
      </c>
      <c r="O51" s="6782">
        <f t="shared" si="47"/>
        <v>-18042.615814215133</v>
      </c>
      <c r="P51" s="2518">
        <v>56352.272184082176</v>
      </c>
      <c r="Q51" s="6706">
        <v>68193.467346153848</v>
      </c>
      <c r="R51" s="6789">
        <f t="shared" si="48"/>
        <v>11841.195162071672</v>
      </c>
      <c r="S51" s="2512">
        <v>55831.115575777934</v>
      </c>
      <c r="T51" s="6706">
        <f>SUMIF('7. E Plan'!$D$45:$D$67,D51,'7. E Plan'!$K$45:$K$67)</f>
        <v>58530.287769230767</v>
      </c>
      <c r="U51" s="6782">
        <f t="shared" si="49"/>
        <v>2699.1721934528323</v>
      </c>
      <c r="V51" s="2518">
        <f>('2. S Plan'!Q293*$F$51)</f>
        <v>85668.022461366534</v>
      </c>
      <c r="W51" s="6706"/>
      <c r="X51" s="6789">
        <f t="shared" si="50"/>
        <v>-85668.022461366534</v>
      </c>
      <c r="Y51" s="2512">
        <f>('2. S Plan'!R293*$F$51)</f>
        <v>93179.863908679967</v>
      </c>
      <c r="Z51" s="6706"/>
      <c r="AA51" s="6782">
        <f t="shared" si="51"/>
        <v>-93179.863908679967</v>
      </c>
      <c r="AB51" s="2518">
        <f>('2. S Plan'!S293*$F$51)</f>
        <v>85799.582905896779</v>
      </c>
      <c r="AC51" s="6706"/>
      <c r="AD51" s="6789">
        <f t="shared" si="52"/>
        <v>-85799.582905896779</v>
      </c>
      <c r="AE51" s="2512">
        <f>('2. S Plan'!T293*$F$51)</f>
        <v>77019.642512708961</v>
      </c>
      <c r="AF51" s="6706"/>
      <c r="AG51" s="6782">
        <f t="shared" si="53"/>
        <v>-77019.642512708961</v>
      </c>
      <c r="AH51" s="2518">
        <f>('2. S Plan'!U293*$F$51)</f>
        <v>72020.638129364568</v>
      </c>
      <c r="AI51" s="6706"/>
      <c r="AJ51" s="6789">
        <f t="shared" si="54"/>
        <v>-72020.638129364568</v>
      </c>
      <c r="AK51" s="2512">
        <f>('2. S Plan'!V293*$F$51)</f>
        <v>72251.100436929046</v>
      </c>
      <c r="AL51" s="6706"/>
      <c r="AM51" s="6782">
        <f t="shared" si="55"/>
        <v>-72251.100436929046</v>
      </c>
      <c r="AN51" s="2518">
        <f>('2. S Plan'!W293*$F$51)</f>
        <v>72787.703125215179</v>
      </c>
      <c r="AO51" s="6706"/>
      <c r="AP51" s="6775">
        <f t="shared" si="56"/>
        <v>-72787.703125215179</v>
      </c>
      <c r="AQ51" s="6764">
        <f t="shared" si="57"/>
        <v>297195.73613360518</v>
      </c>
      <c r="AR51" s="6670">
        <f t="shared" si="58"/>
        <v>266911.68300000002</v>
      </c>
      <c r="AS51" s="6796">
        <f t="shared" si="59"/>
        <v>-30284.053133605164</v>
      </c>
      <c r="AT51" s="6375">
        <f t="shared" si="60"/>
        <v>1.334673881164582E-2</v>
      </c>
      <c r="AU51" s="6375">
        <f t="shared" si="61"/>
        <v>5.9386355154254604E-3</v>
      </c>
      <c r="AV51" s="6336">
        <f t="shared" si="62"/>
        <v>34000.05126121411</v>
      </c>
      <c r="AW51" s="6339">
        <f t="shared" si="63"/>
        <v>11865.517416479794</v>
      </c>
      <c r="AX51" s="6341">
        <f t="shared" si="64"/>
        <v>22134.533844734317</v>
      </c>
      <c r="AY51" s="3911" t="s">
        <v>1857</v>
      </c>
      <c r="AZ51" s="4546"/>
      <c r="BA51" s="6355"/>
      <c r="BB51" s="6356"/>
      <c r="BC51" s="4544"/>
      <c r="BD51" s="5"/>
      <c r="BE51" s="5"/>
      <c r="BF51" s="5"/>
      <c r="BG51" s="5"/>
      <c r="BH51" s="5"/>
      <c r="BI51" s="5"/>
      <c r="BJ51" s="1568"/>
      <c r="BK51" s="5"/>
      <c r="BL51" s="1532"/>
      <c r="BM51" s="5"/>
      <c r="BN51" s="5"/>
    </row>
    <row r="52" spans="1:66" s="2509" customFormat="1" ht="19.5" customHeight="1">
      <c r="A52" s="7512"/>
      <c r="B52" s="2510"/>
      <c r="C52" s="3618">
        <v>29</v>
      </c>
      <c r="D52" s="4790" t="s">
        <v>382</v>
      </c>
      <c r="E52" s="4795" t="s">
        <v>1539</v>
      </c>
      <c r="F52" s="4955"/>
      <c r="G52" s="2512">
        <v>501.4782745098039</v>
      </c>
      <c r="H52" s="6706">
        <v>532.16882192307696</v>
      </c>
      <c r="I52" s="6782">
        <f t="shared" si="45"/>
        <v>30.690547413273066</v>
      </c>
      <c r="J52" s="2518">
        <v>501.4782745098039</v>
      </c>
      <c r="K52" s="6706">
        <v>495.43769230769232</v>
      </c>
      <c r="L52" s="6789">
        <f t="shared" si="46"/>
        <v>-6.0405822021115796</v>
      </c>
      <c r="M52" s="2512">
        <v>501.4782745098039</v>
      </c>
      <c r="N52" s="6706">
        <v>599.85523076923073</v>
      </c>
      <c r="O52" s="6782">
        <f t="shared" si="47"/>
        <v>98.376956259426834</v>
      </c>
      <c r="P52" s="2518">
        <v>501.4782745098039</v>
      </c>
      <c r="Q52" s="6706">
        <v>537.18323076923082</v>
      </c>
      <c r="R52" s="6789">
        <f t="shared" si="48"/>
        <v>35.704956259426922</v>
      </c>
      <c r="S52" s="2512">
        <v>501.4782745098039</v>
      </c>
      <c r="T52" s="6706">
        <f>SUMIF('7. E Plan'!$D$45:$D$67,D52,'7. E Plan'!$K$45:$K$67)</f>
        <v>511.86476923076924</v>
      </c>
      <c r="U52" s="6782">
        <f t="shared" si="49"/>
        <v>10.386494720965345</v>
      </c>
      <c r="V52" s="2518">
        <f>+S52</f>
        <v>501.4782745098039</v>
      </c>
      <c r="W52" s="6706"/>
      <c r="X52" s="6789">
        <f t="shared" si="50"/>
        <v>-501.4782745098039</v>
      </c>
      <c r="Y52" s="2512">
        <f>+V52</f>
        <v>501.4782745098039</v>
      </c>
      <c r="Z52" s="6706"/>
      <c r="AA52" s="6782">
        <f t="shared" si="51"/>
        <v>-501.4782745098039</v>
      </c>
      <c r="AB52" s="2518">
        <f>+Y52</f>
        <v>501.4782745098039</v>
      </c>
      <c r="AC52" s="6706"/>
      <c r="AD52" s="6789">
        <f t="shared" si="52"/>
        <v>-501.4782745098039</v>
      </c>
      <c r="AE52" s="2512">
        <f>+AB52</f>
        <v>501.4782745098039</v>
      </c>
      <c r="AF52" s="6706"/>
      <c r="AG52" s="6782">
        <f t="shared" si="53"/>
        <v>-501.4782745098039</v>
      </c>
      <c r="AH52" s="2518">
        <f>+AE52</f>
        <v>501.4782745098039</v>
      </c>
      <c r="AI52" s="6706"/>
      <c r="AJ52" s="6789">
        <f t="shared" si="54"/>
        <v>-501.4782745098039</v>
      </c>
      <c r="AK52" s="2512">
        <f>+AH52</f>
        <v>501.4782745098039</v>
      </c>
      <c r="AL52" s="6706"/>
      <c r="AM52" s="6782">
        <f t="shared" si="55"/>
        <v>-501.4782745098039</v>
      </c>
      <c r="AN52" s="2518">
        <f t="shared" ref="AN52:AN54" si="65">+AK52</f>
        <v>501.4782745098039</v>
      </c>
      <c r="AO52" s="6706"/>
      <c r="AP52" s="6775">
        <f t="shared" si="56"/>
        <v>-501.4782745098039</v>
      </c>
      <c r="AQ52" s="6764">
        <f t="shared" si="57"/>
        <v>2507.3913725490193</v>
      </c>
      <c r="AR52" s="6670">
        <f t="shared" si="58"/>
        <v>2676.5097449999998</v>
      </c>
      <c r="AS52" s="6796">
        <f t="shared" si="59"/>
        <v>169.11837245098059</v>
      </c>
      <c r="AT52" s="6375">
        <f t="shared" si="60"/>
        <v>1.4885935776729278E-4</v>
      </c>
      <c r="AU52" s="6375">
        <f t="shared" si="61"/>
        <v>4.770995739477827E-5</v>
      </c>
      <c r="AV52" s="6336">
        <f t="shared" si="62"/>
        <v>379.21067207692306</v>
      </c>
      <c r="AW52" s="6339">
        <f t="shared" si="63"/>
        <v>95.325488310708906</v>
      </c>
      <c r="AX52" s="6341">
        <f t="shared" si="64"/>
        <v>283.88518376621414</v>
      </c>
      <c r="AY52" s="1569" t="s">
        <v>1861</v>
      </c>
      <c r="AZ52" s="4546"/>
      <c r="BA52" s="6355"/>
      <c r="BB52" s="6356"/>
      <c r="BC52" s="4544"/>
      <c r="BD52" s="5"/>
      <c r="BE52" s="5"/>
      <c r="BF52" s="5"/>
      <c r="BG52" s="5"/>
      <c r="BH52" s="5"/>
      <c r="BI52" s="5"/>
      <c r="BJ52" s="1568"/>
      <c r="BK52" s="5"/>
      <c r="BL52" s="1532"/>
      <c r="BM52" s="5"/>
      <c r="BN52" s="5"/>
    </row>
    <row r="53" spans="1:66" s="2509" customFormat="1" ht="19.5" customHeight="1">
      <c r="A53" s="7512"/>
      <c r="B53" s="2510"/>
      <c r="C53" s="4912">
        <v>30</v>
      </c>
      <c r="D53" s="6937" t="s">
        <v>462</v>
      </c>
      <c r="E53" s="4795" t="s">
        <v>1532</v>
      </c>
      <c r="F53" s="4955"/>
      <c r="G53" s="2512">
        <v>1671.6688235294118</v>
      </c>
      <c r="H53" s="6706">
        <v>5199.2401923076923</v>
      </c>
      <c r="I53" s="6782">
        <f t="shared" si="45"/>
        <v>3527.5713687782804</v>
      </c>
      <c r="J53" s="2518">
        <v>1671.6688235294118</v>
      </c>
      <c r="K53" s="6706">
        <v>2290.5982692307693</v>
      </c>
      <c r="L53" s="6789">
        <f t="shared" si="46"/>
        <v>618.92944570135751</v>
      </c>
      <c r="M53" s="2512">
        <v>1671.6688235294118</v>
      </c>
      <c r="N53" s="6706">
        <v>7404.2136538461536</v>
      </c>
      <c r="O53" s="6782">
        <f t="shared" si="47"/>
        <v>5732.5448303167414</v>
      </c>
      <c r="P53" s="2518">
        <v>1671.6688235294118</v>
      </c>
      <c r="Q53" s="6706">
        <v>4758.0755384615386</v>
      </c>
      <c r="R53" s="6789">
        <f t="shared" si="48"/>
        <v>3086.4067149321268</v>
      </c>
      <c r="S53" s="2512">
        <v>1671.6688235294118</v>
      </c>
      <c r="T53" s="6706">
        <f>SUMIF('7. E Plan'!$D$45:$D$67,D53,'7. E Plan'!$K$45:$K$67)</f>
        <v>2740.7013461538463</v>
      </c>
      <c r="U53" s="6782">
        <f t="shared" si="49"/>
        <v>1069.0325226244345</v>
      </c>
      <c r="V53" s="2518">
        <f>+S53</f>
        <v>1671.6688235294118</v>
      </c>
      <c r="W53" s="6706"/>
      <c r="X53" s="6789">
        <f t="shared" si="50"/>
        <v>-1671.6688235294118</v>
      </c>
      <c r="Y53" s="2512">
        <f>+V53</f>
        <v>1671.6688235294118</v>
      </c>
      <c r="Z53" s="6706"/>
      <c r="AA53" s="6782">
        <f t="shared" si="51"/>
        <v>-1671.6688235294118</v>
      </c>
      <c r="AB53" s="2518">
        <f>+Y53</f>
        <v>1671.6688235294118</v>
      </c>
      <c r="AC53" s="6706"/>
      <c r="AD53" s="6789">
        <f t="shared" si="52"/>
        <v>-1671.6688235294118</v>
      </c>
      <c r="AE53" s="2512">
        <f>+AB53</f>
        <v>1671.6688235294118</v>
      </c>
      <c r="AF53" s="6706"/>
      <c r="AG53" s="6782">
        <f t="shared" si="53"/>
        <v>-1671.6688235294118</v>
      </c>
      <c r="AH53" s="2518">
        <f>+AE53</f>
        <v>1671.6688235294118</v>
      </c>
      <c r="AI53" s="6706"/>
      <c r="AJ53" s="6789">
        <f t="shared" si="54"/>
        <v>-1671.6688235294118</v>
      </c>
      <c r="AK53" s="2512">
        <f>+AH53</f>
        <v>1671.6688235294118</v>
      </c>
      <c r="AL53" s="6706"/>
      <c r="AM53" s="6782">
        <f t="shared" si="55"/>
        <v>-1671.6688235294118</v>
      </c>
      <c r="AN53" s="2518">
        <f t="shared" si="65"/>
        <v>1671.6688235294118</v>
      </c>
      <c r="AO53" s="6706"/>
      <c r="AP53" s="6775">
        <f t="shared" si="56"/>
        <v>-1671.6688235294118</v>
      </c>
      <c r="AQ53" s="6764">
        <f t="shared" si="57"/>
        <v>8358.3441176470587</v>
      </c>
      <c r="AR53" s="6670">
        <f t="shared" si="58"/>
        <v>22392.828999999998</v>
      </c>
      <c r="AS53" s="6796">
        <f t="shared" si="59"/>
        <v>14034.484882352939</v>
      </c>
      <c r="AT53" s="6375">
        <f t="shared" si="60"/>
        <v>1.3561121857662204E-3</v>
      </c>
      <c r="AU53" s="6375">
        <f t="shared" si="61"/>
        <v>2.2375491022271765E-4</v>
      </c>
      <c r="AV53" s="6336">
        <f t="shared" si="62"/>
        <v>3454.6179769230775</v>
      </c>
      <c r="AW53" s="6339">
        <f t="shared" si="63"/>
        <v>447.066969739819</v>
      </c>
      <c r="AX53" s="6341">
        <f t="shared" si="64"/>
        <v>3007.5510071832587</v>
      </c>
      <c r="AY53" s="1569"/>
      <c r="AZ53" s="4546"/>
      <c r="BA53" s="6355"/>
      <c r="BB53" s="6356"/>
      <c r="BC53" s="4544"/>
      <c r="BD53" s="5"/>
      <c r="BE53" s="5"/>
      <c r="BF53" s="5"/>
      <c r="BG53" s="5"/>
      <c r="BH53" s="5"/>
      <c r="BI53" s="5"/>
      <c r="BJ53" s="1568"/>
      <c r="BK53" s="5"/>
      <c r="BL53" s="1532"/>
      <c r="BM53" s="5"/>
      <c r="BN53" s="5"/>
    </row>
    <row r="54" spans="1:66" s="2509" customFormat="1" ht="19.5" customHeight="1">
      <c r="A54" s="7512"/>
      <c r="B54" s="2510"/>
      <c r="C54" s="3618">
        <v>31</v>
      </c>
      <c r="D54" s="4790" t="s">
        <v>377</v>
      </c>
      <c r="E54" s="4795" t="s">
        <v>1540</v>
      </c>
      <c r="F54" s="4955"/>
      <c r="G54" s="2512">
        <v>9552.6458431372557</v>
      </c>
      <c r="H54" s="6706">
        <v>8472.6816923076931</v>
      </c>
      <c r="I54" s="6782">
        <f t="shared" si="45"/>
        <v>-1079.9641508295626</v>
      </c>
      <c r="J54" s="2518">
        <v>9552.6458431372557</v>
      </c>
      <c r="K54" s="6706">
        <v>10220.301961538462</v>
      </c>
      <c r="L54" s="6789">
        <f t="shared" si="46"/>
        <v>667.65611840120619</v>
      </c>
      <c r="M54" s="2512">
        <v>9552.6458431372557</v>
      </c>
      <c r="N54" s="6706">
        <v>10273.897538461539</v>
      </c>
      <c r="O54" s="6782">
        <f t="shared" si="47"/>
        <v>721.25169532428299</v>
      </c>
      <c r="P54" s="2518">
        <v>9552.6458431372557</v>
      </c>
      <c r="Q54" s="6706">
        <v>11249.821192307692</v>
      </c>
      <c r="R54" s="6789">
        <f t="shared" si="48"/>
        <v>1697.1753491704367</v>
      </c>
      <c r="S54" s="2512">
        <v>9552.6458431372557</v>
      </c>
      <c r="T54" s="6706">
        <f>SUMIF('7. E Plan'!$D$45:$D$67,D54,'7. E Plan'!$K$45:$K$67)</f>
        <v>9556.5349230769225</v>
      </c>
      <c r="U54" s="6782">
        <f t="shared" si="49"/>
        <v>3.8890799396667717</v>
      </c>
      <c r="V54" s="2518">
        <f>+S54</f>
        <v>9552.6458431372557</v>
      </c>
      <c r="W54" s="6706"/>
      <c r="X54" s="6789">
        <f t="shared" si="50"/>
        <v>-9552.6458431372557</v>
      </c>
      <c r="Y54" s="2512">
        <f>+V54</f>
        <v>9552.6458431372557</v>
      </c>
      <c r="Z54" s="6706"/>
      <c r="AA54" s="6782">
        <f t="shared" si="51"/>
        <v>-9552.6458431372557</v>
      </c>
      <c r="AB54" s="2518">
        <f>+Y54</f>
        <v>9552.6458431372557</v>
      </c>
      <c r="AC54" s="6706"/>
      <c r="AD54" s="6789">
        <f t="shared" si="52"/>
        <v>-9552.6458431372557</v>
      </c>
      <c r="AE54" s="2512">
        <f>+AB54</f>
        <v>9552.6458431372557</v>
      </c>
      <c r="AF54" s="6706"/>
      <c r="AG54" s="6782">
        <f t="shared" si="53"/>
        <v>-9552.6458431372557</v>
      </c>
      <c r="AH54" s="2518">
        <f>+AE54</f>
        <v>9552.6458431372557</v>
      </c>
      <c r="AI54" s="6706"/>
      <c r="AJ54" s="6789">
        <f t="shared" si="54"/>
        <v>-9552.6458431372557</v>
      </c>
      <c r="AK54" s="2512">
        <f>+AH54</f>
        <v>9552.6458431372557</v>
      </c>
      <c r="AL54" s="6706"/>
      <c r="AM54" s="6782">
        <f t="shared" si="55"/>
        <v>-9552.6458431372557</v>
      </c>
      <c r="AN54" s="2518">
        <f t="shared" si="65"/>
        <v>9552.6458431372557</v>
      </c>
      <c r="AO54" s="6706"/>
      <c r="AP54" s="6775">
        <f t="shared" si="56"/>
        <v>-9552.6458431372557</v>
      </c>
      <c r="AQ54" s="6764">
        <f t="shared" si="57"/>
        <v>47763.229215686282</v>
      </c>
      <c r="AR54" s="6670">
        <f t="shared" si="58"/>
        <v>49773.23730769231</v>
      </c>
      <c r="AS54" s="6796">
        <f t="shared" si="59"/>
        <v>2010.0080920060282</v>
      </c>
      <c r="AT54" s="6375">
        <f t="shared" si="60"/>
        <v>2.7158053761766263E-3</v>
      </c>
      <c r="AU54" s="6375">
        <f t="shared" si="61"/>
        <v>8.9669097063076902E-4</v>
      </c>
      <c r="AV54" s="6336">
        <f t="shared" si="62"/>
        <v>6918.3583576923074</v>
      </c>
      <c r="AW54" s="6339">
        <f t="shared" si="63"/>
        <v>1791.607230580694</v>
      </c>
      <c r="AX54" s="6341">
        <f t="shared" si="64"/>
        <v>5126.7511271116136</v>
      </c>
      <c r="AY54" s="1569"/>
      <c r="AZ54" s="4546"/>
      <c r="BA54" s="6355"/>
      <c r="BB54" s="6356"/>
      <c r="BC54" s="4544"/>
      <c r="BD54" s="5"/>
      <c r="BE54" s="5"/>
      <c r="BF54" s="5"/>
      <c r="BG54" s="5"/>
      <c r="BH54" s="5"/>
      <c r="BI54" s="5"/>
      <c r="BJ54" s="1568"/>
      <c r="BK54" s="5"/>
      <c r="BL54" s="1532"/>
      <c r="BM54" s="5"/>
      <c r="BN54" s="5"/>
    </row>
    <row r="55" spans="1:66" s="2509" customFormat="1" ht="19.5" customHeight="1">
      <c r="A55" s="7512"/>
      <c r="B55" s="2510"/>
      <c r="C55" s="4912">
        <v>32</v>
      </c>
      <c r="D55" s="4790" t="s">
        <v>1509</v>
      </c>
      <c r="E55" s="4795" t="s">
        <v>1557</v>
      </c>
      <c r="F55" s="4955"/>
      <c r="G55" s="2512">
        <v>4272.7547058823529</v>
      </c>
      <c r="H55" s="6706">
        <v>4902.4552307692311</v>
      </c>
      <c r="I55" s="6782">
        <f t="shared" si="45"/>
        <v>629.70052488687816</v>
      </c>
      <c r="J55" s="2518">
        <v>4272.7547058823529</v>
      </c>
      <c r="K55" s="6706">
        <v>4071.9849230769232</v>
      </c>
      <c r="L55" s="6789">
        <f t="shared" si="46"/>
        <v>-200.76978280542971</v>
      </c>
      <c r="M55" s="2512">
        <v>4272.7547058823529</v>
      </c>
      <c r="N55" s="6706">
        <v>4346.3260769230765</v>
      </c>
      <c r="O55" s="6782">
        <f t="shared" si="47"/>
        <v>73.571371040723534</v>
      </c>
      <c r="P55" s="2518">
        <v>4272.7547058823529</v>
      </c>
      <c r="Q55" s="6706">
        <v>4928.641846153846</v>
      </c>
      <c r="R55" s="6789">
        <f t="shared" si="48"/>
        <v>655.88714027149308</v>
      </c>
      <c r="S55" s="2512">
        <v>4272.7547058823529</v>
      </c>
      <c r="T55" s="6706">
        <f>SUMIF('7. E Plan'!$D$45:$D$67,D55,'7. E Plan'!$K$45:$K$67)</f>
        <v>5195.4029615384616</v>
      </c>
      <c r="U55" s="6782">
        <f t="shared" si="49"/>
        <v>922.64825565610863</v>
      </c>
      <c r="V55" s="2518">
        <v>5000</v>
      </c>
      <c r="W55" s="6706"/>
      <c r="X55" s="6789">
        <f t="shared" si="50"/>
        <v>-5000</v>
      </c>
      <c r="Y55" s="2512">
        <v>5000</v>
      </c>
      <c r="Z55" s="6706"/>
      <c r="AA55" s="6782">
        <f t="shared" si="51"/>
        <v>-5000</v>
      </c>
      <c r="AB55" s="2518">
        <v>5000</v>
      </c>
      <c r="AC55" s="6706"/>
      <c r="AD55" s="6789">
        <f t="shared" si="52"/>
        <v>-5000</v>
      </c>
      <c r="AE55" s="2512">
        <v>5000</v>
      </c>
      <c r="AF55" s="6706"/>
      <c r="AG55" s="6782">
        <f t="shared" si="53"/>
        <v>-5000</v>
      </c>
      <c r="AH55" s="2518">
        <v>5000</v>
      </c>
      <c r="AI55" s="6706"/>
      <c r="AJ55" s="6789">
        <f t="shared" si="54"/>
        <v>-5000</v>
      </c>
      <c r="AK55" s="2512">
        <v>5000</v>
      </c>
      <c r="AL55" s="6706"/>
      <c r="AM55" s="6782">
        <f t="shared" si="55"/>
        <v>-5000</v>
      </c>
      <c r="AN55" s="2518">
        <v>5000</v>
      </c>
      <c r="AO55" s="6706"/>
      <c r="AP55" s="6775">
        <f t="shared" si="56"/>
        <v>-5000</v>
      </c>
      <c r="AQ55" s="6764">
        <f t="shared" si="57"/>
        <v>21363.773529411767</v>
      </c>
      <c r="AR55" s="6670">
        <f t="shared" si="58"/>
        <v>23444.811038461536</v>
      </c>
      <c r="AS55" s="6796">
        <f t="shared" si="59"/>
        <v>2081.0375090497691</v>
      </c>
      <c r="AT55" s="6375">
        <f t="shared" si="60"/>
        <v>1.2392889277892643E-3</v>
      </c>
      <c r="AU55" s="6375">
        <f t="shared" si="61"/>
        <v>4.8143911184849011E-4</v>
      </c>
      <c r="AV55" s="6336">
        <f t="shared" si="62"/>
        <v>3157.0174307692305</v>
      </c>
      <c r="AW55" s="6339">
        <f t="shared" si="63"/>
        <v>961.92537019230781</v>
      </c>
      <c r="AX55" s="6341">
        <f t="shared" si="64"/>
        <v>2195.0920605769224</v>
      </c>
      <c r="AY55" s="1569"/>
      <c r="AZ55" s="4546"/>
      <c r="BA55" s="6355"/>
      <c r="BB55" s="6356"/>
      <c r="BC55" s="4544"/>
      <c r="BD55" s="5"/>
      <c r="BE55" s="5"/>
      <c r="BF55" s="5"/>
      <c r="BG55" s="5"/>
      <c r="BH55" s="5"/>
      <c r="BI55" s="5"/>
      <c r="BJ55" s="1568"/>
      <c r="BK55" s="5"/>
      <c r="BL55" s="1532"/>
      <c r="BM55" s="5"/>
      <c r="BN55" s="5"/>
    </row>
    <row r="56" spans="1:66" s="2509" customFormat="1" ht="19.5" customHeight="1">
      <c r="A56" s="7512"/>
      <c r="B56" s="2510"/>
      <c r="C56" s="3618">
        <v>33</v>
      </c>
      <c r="D56" s="4790" t="s">
        <v>516</v>
      </c>
      <c r="E56" s="6385" t="s">
        <v>1568</v>
      </c>
      <c r="F56" s="4955" t="s">
        <v>1561</v>
      </c>
      <c r="G56" s="2512">
        <v>50882.37176470588</v>
      </c>
      <c r="H56" s="6706">
        <v>43561.063323076924</v>
      </c>
      <c r="I56" s="6782">
        <f t="shared" si="45"/>
        <v>-7321.3084416289566</v>
      </c>
      <c r="J56" s="2518">
        <v>50882.37176470588</v>
      </c>
      <c r="K56" s="6706">
        <v>40420.792338461542</v>
      </c>
      <c r="L56" s="6789">
        <f t="shared" si="46"/>
        <v>-10461.579426244338</v>
      </c>
      <c r="M56" s="2512">
        <v>50882.37176470588</v>
      </c>
      <c r="N56" s="6706">
        <v>41677.70440269231</v>
      </c>
      <c r="O56" s="6782">
        <f t="shared" si="47"/>
        <v>-9204.6673620135698</v>
      </c>
      <c r="P56" s="2518">
        <v>50882.37176470588</v>
      </c>
      <c r="Q56" s="6706">
        <v>56755.040535384622</v>
      </c>
      <c r="R56" s="6789">
        <f t="shared" si="48"/>
        <v>5872.6687706787416</v>
      </c>
      <c r="S56" s="5431">
        <v>50882.37176470588</v>
      </c>
      <c r="T56" s="6706">
        <f>SUMIF('7. E Plan'!$D$45:$D$67,D56,'7. E Plan'!$K$45:$K$67)</f>
        <v>34065.123049999995</v>
      </c>
      <c r="U56" s="6782">
        <f t="shared" si="49"/>
        <v>-16817.248714705886</v>
      </c>
      <c r="V56" s="6778">
        <f>'2. S Plan'!Q321*2%+'2. S Plan'!Q322*2.2%</f>
        <v>25199.241602960989</v>
      </c>
      <c r="W56" s="6707"/>
      <c r="X56" s="6790">
        <f t="shared" si="50"/>
        <v>-25199.241602960989</v>
      </c>
      <c r="Y56" s="6783">
        <f>'2. S Plan'!R321*2%+'2. S Plan'!R322*2.2%</f>
        <v>22969.795931800698</v>
      </c>
      <c r="Z56" s="6707"/>
      <c r="AA56" s="6784">
        <f t="shared" si="51"/>
        <v>-22969.795931800698</v>
      </c>
      <c r="AB56" s="6778">
        <f>'2. S Plan'!S321*2%+'2. S Plan'!S322*2.2%</f>
        <v>16797.96385584971</v>
      </c>
      <c r="AC56" s="6707"/>
      <c r="AD56" s="6790">
        <f t="shared" si="52"/>
        <v>-16797.96385584971</v>
      </c>
      <c r="AE56" s="6783">
        <f>'2. S Plan'!T321*2%+'2. S Plan'!T322*2.2%</f>
        <v>16703.492198080425</v>
      </c>
      <c r="AF56" s="6707"/>
      <c r="AG56" s="6784">
        <f t="shared" si="53"/>
        <v>-16703.492198080425</v>
      </c>
      <c r="AH56" s="6778">
        <f>'2. S Plan'!U321*2%+'2. S Plan'!U322*2.2%</f>
        <v>15626.357115009176</v>
      </c>
      <c r="AI56" s="6707"/>
      <c r="AJ56" s="6790">
        <f t="shared" si="54"/>
        <v>-15626.357115009176</v>
      </c>
      <c r="AK56" s="6783">
        <f>'2. S Plan'!V321*2%+'2. S Plan'!V322*2.2%</f>
        <v>14435.255115009177</v>
      </c>
      <c r="AL56" s="6707"/>
      <c r="AM56" s="6784">
        <f t="shared" si="55"/>
        <v>-14435.255115009177</v>
      </c>
      <c r="AN56" s="6778">
        <f>'2. S Plan'!W321*2%+'2. S Plan'!W322*2.2%</f>
        <v>14578.175475009177</v>
      </c>
      <c r="AO56" s="6707"/>
      <c r="AP56" s="6790">
        <f t="shared" si="56"/>
        <v>-14578.175475009177</v>
      </c>
      <c r="AQ56" s="6764">
        <f t="shared" si="57"/>
        <v>254411.85882352939</v>
      </c>
      <c r="AR56" s="6670">
        <f t="shared" si="58"/>
        <v>216479.72364961539</v>
      </c>
      <c r="AS56" s="6796">
        <f t="shared" si="59"/>
        <v>-37932.135173913994</v>
      </c>
      <c r="AT56" s="6376">
        <f t="shared" si="60"/>
        <v>1.2093468110996423E-2</v>
      </c>
      <c r="AU56" s="6376">
        <f t="shared" si="61"/>
        <v>2.5871984368120923E-3</v>
      </c>
      <c r="AV56" s="6344">
        <f t="shared" si="62"/>
        <v>30807.41606638462</v>
      </c>
      <c r="AW56" s="6352">
        <f t="shared" si="63"/>
        <v>5169.276348438073</v>
      </c>
      <c r="AX56" s="6354">
        <f t="shared" si="64"/>
        <v>25638.139717946546</v>
      </c>
      <c r="AY56" s="3911" t="s">
        <v>1855</v>
      </c>
      <c r="AZ56" s="4546"/>
      <c r="BA56" s="6355"/>
      <c r="BB56" s="6356"/>
      <c r="BC56" s="4544"/>
      <c r="BD56" s="5"/>
      <c r="BE56" s="5"/>
      <c r="BF56" s="5"/>
      <c r="BG56" s="5"/>
      <c r="BH56" s="5"/>
      <c r="BI56" s="5"/>
      <c r="BJ56" s="1568"/>
      <c r="BK56" s="5"/>
      <c r="BL56" s="1532"/>
      <c r="BM56" s="5"/>
      <c r="BN56" s="5"/>
    </row>
    <row r="57" spans="1:66" s="2509" customFormat="1" ht="19.5" customHeight="1">
      <c r="A57" s="7512"/>
      <c r="B57" s="2510"/>
      <c r="C57" s="4912">
        <v>34</v>
      </c>
      <c r="D57" s="6937" t="s">
        <v>378</v>
      </c>
      <c r="E57" s="6385" t="s">
        <v>1562</v>
      </c>
      <c r="F57" s="4955" t="s">
        <v>1561</v>
      </c>
      <c r="G57" s="2512">
        <v>36893.707909659985</v>
      </c>
      <c r="H57" s="6706">
        <v>54131.264899999995</v>
      </c>
      <c r="I57" s="6782">
        <f t="shared" si="45"/>
        <v>17237.55699034001</v>
      </c>
      <c r="J57" s="2518">
        <v>34512.517566912735</v>
      </c>
      <c r="K57" s="6706">
        <v>65976.920053846159</v>
      </c>
      <c r="L57" s="6789">
        <f t="shared" si="46"/>
        <v>31464.402486933424</v>
      </c>
      <c r="M57" s="2512">
        <v>40231.140734396366</v>
      </c>
      <c r="N57" s="6706">
        <v>66618.488766538459</v>
      </c>
      <c r="O57" s="6782">
        <f t="shared" si="47"/>
        <v>26387.348032142094</v>
      </c>
      <c r="P57" s="2518">
        <v>38502.466333384829</v>
      </c>
      <c r="Q57" s="6706">
        <v>48253.841636923076</v>
      </c>
      <c r="R57" s="6789">
        <f t="shared" si="48"/>
        <v>9751.375303538247</v>
      </c>
      <c r="S57" s="5431">
        <v>38145.908696524573</v>
      </c>
      <c r="T57" s="6706">
        <f>SUMIF('7. E Plan'!$D$45:$D$67,D57,'7. E Plan'!$K$45:$K$67)</f>
        <v>50854.048573076929</v>
      </c>
      <c r="U57" s="6782">
        <f t="shared" si="49"/>
        <v>12708.139876552355</v>
      </c>
      <c r="V57" s="6778">
        <f>'2. S Plan'!Q321*4.6%+'2. S Plan'!Q322*1.2%</f>
        <v>40141.695408128631</v>
      </c>
      <c r="W57" s="6707"/>
      <c r="X57" s="6790">
        <f t="shared" si="50"/>
        <v>-40141.695408128631</v>
      </c>
      <c r="Y57" s="6783">
        <f>'2. S Plan'!R321*4.6%+'2. S Plan'!R322*1.2%</f>
        <v>35569.313331300684</v>
      </c>
      <c r="Z57" s="6707"/>
      <c r="AA57" s="6784">
        <f t="shared" si="51"/>
        <v>-35569.313331300684</v>
      </c>
      <c r="AB57" s="6778">
        <f>'2. S Plan'!S321*4.6%+'2. S Plan'!S322*1.2%</f>
        <v>24092.678097210963</v>
      </c>
      <c r="AC57" s="6707"/>
      <c r="AD57" s="6790">
        <f t="shared" si="52"/>
        <v>-24092.678097210963</v>
      </c>
      <c r="AE57" s="6783">
        <f>'2. S Plan'!T321*4.6%+'2. S Plan'!T322*1.2%</f>
        <v>15903.721284341598</v>
      </c>
      <c r="AF57" s="6707"/>
      <c r="AG57" s="6784">
        <f t="shared" si="53"/>
        <v>-15903.721284341598</v>
      </c>
      <c r="AH57" s="6778">
        <f>'2. S Plan'!U321*4.6%+'2. S Plan'!U322*1.2%</f>
        <v>14098.606793277733</v>
      </c>
      <c r="AI57" s="6707"/>
      <c r="AJ57" s="6790">
        <f t="shared" si="54"/>
        <v>-14098.606793277733</v>
      </c>
      <c r="AK57" s="6783">
        <f>'2. S Plan'!V321*4.6%+'2. S Plan'!V322*1.2%</f>
        <v>13448.914793277732</v>
      </c>
      <c r="AL57" s="6707"/>
      <c r="AM57" s="6784">
        <f t="shared" si="55"/>
        <v>-13448.914793277732</v>
      </c>
      <c r="AN57" s="6778">
        <f>'2. S Plan'!W321*4.6%+'2. S Plan'!W322*1.2%</f>
        <v>13526.871353277733</v>
      </c>
      <c r="AO57" s="6707"/>
      <c r="AP57" s="6790">
        <f t="shared" si="56"/>
        <v>-13526.871353277733</v>
      </c>
      <c r="AQ57" s="6764">
        <f t="shared" si="57"/>
        <v>188285.74124087847</v>
      </c>
      <c r="AR57" s="6670">
        <f t="shared" si="58"/>
        <v>285834.56393038458</v>
      </c>
      <c r="AS57" s="6796">
        <f t="shared" si="59"/>
        <v>97548.822689506109</v>
      </c>
      <c r="AT57" s="6376">
        <f t="shared" si="60"/>
        <v>1.6617290787884646E-2</v>
      </c>
      <c r="AU57" s="6376">
        <f t="shared" si="61"/>
        <v>3.6046598966640604E-3</v>
      </c>
      <c r="AV57" s="6344">
        <f t="shared" si="62"/>
        <v>42331.594750141718</v>
      </c>
      <c r="AW57" s="6352">
        <f t="shared" si="63"/>
        <v>7202.1855312144744</v>
      </c>
      <c r="AX57" s="6354">
        <f t="shared" si="64"/>
        <v>35129.409218927241</v>
      </c>
      <c r="AY57" s="3911" t="s">
        <v>1856</v>
      </c>
      <c r="AZ57" s="4546" t="s">
        <v>1917</v>
      </c>
      <c r="BA57" s="6355"/>
      <c r="BB57" s="6356"/>
      <c r="BC57" s="4544"/>
      <c r="BD57" s="5"/>
      <c r="BE57" s="5"/>
      <c r="BF57" s="5"/>
      <c r="BG57" s="5"/>
      <c r="BH57" s="5"/>
      <c r="BI57" s="5"/>
      <c r="BJ57" s="1568"/>
      <c r="BK57" s="5"/>
      <c r="BL57" s="1532"/>
      <c r="BM57" s="5"/>
      <c r="BN57" s="5"/>
    </row>
    <row r="58" spans="1:66" s="2509" customFormat="1" ht="19.5" customHeight="1">
      <c r="A58" s="7512"/>
      <c r="B58" s="2510"/>
      <c r="C58" s="3618">
        <v>35</v>
      </c>
      <c r="D58" s="4790" t="s">
        <v>376</v>
      </c>
      <c r="E58" s="4795" t="s">
        <v>1541</v>
      </c>
      <c r="F58" s="4955"/>
      <c r="G58" s="2512">
        <v>3658.9344999999998</v>
      </c>
      <c r="H58" s="6706">
        <v>2273.3630384615385</v>
      </c>
      <c r="I58" s="6782">
        <f t="shared" si="45"/>
        <v>-1385.5714615384613</v>
      </c>
      <c r="J58" s="2518">
        <v>1984.7993749999998</v>
      </c>
      <c r="K58" s="6706">
        <v>3631.2689230769229</v>
      </c>
      <c r="L58" s="6789">
        <f t="shared" si="46"/>
        <v>1646.469548076923</v>
      </c>
      <c r="M58" s="2512">
        <v>3658.9344999999998</v>
      </c>
      <c r="N58" s="6706">
        <v>3247.2722307692306</v>
      </c>
      <c r="O58" s="6782">
        <f t="shared" si="47"/>
        <v>-411.6622692307692</v>
      </c>
      <c r="P58" s="2518">
        <v>3536.9700166666662</v>
      </c>
      <c r="Q58" s="6706">
        <v>4612.3829615384611</v>
      </c>
      <c r="R58" s="6789">
        <f t="shared" si="48"/>
        <v>1075.4129448717949</v>
      </c>
      <c r="S58" s="2512">
        <v>3536.9700166666662</v>
      </c>
      <c r="T58" s="6706">
        <f>SUMIF('7. E Plan'!$D$45:$D$67,D58,'7. E Plan'!$K$45:$K$67)</f>
        <v>3871.7249615384617</v>
      </c>
      <c r="U58" s="6782">
        <f t="shared" si="49"/>
        <v>334.75494487179549</v>
      </c>
      <c r="V58" s="2518">
        <f>Utilty_Data!T24</f>
        <v>4329.6240974999992</v>
      </c>
      <c r="W58" s="6706"/>
      <c r="X58" s="6789">
        <f t="shared" si="50"/>
        <v>-4329.6240974999992</v>
      </c>
      <c r="Y58" s="2512">
        <f>Utilty_Data!U24</f>
        <v>4329.6240974999992</v>
      </c>
      <c r="Z58" s="6706"/>
      <c r="AA58" s="6782">
        <f t="shared" si="51"/>
        <v>-4329.6240974999992</v>
      </c>
      <c r="AB58" s="2518">
        <f>Utilty_Data!V24</f>
        <v>4329.6240974999992</v>
      </c>
      <c r="AC58" s="6706"/>
      <c r="AD58" s="6789">
        <f t="shared" si="52"/>
        <v>-4329.6240974999992</v>
      </c>
      <c r="AE58" s="2512">
        <f>Utilty_Data!W24</f>
        <v>4040.9824909999988</v>
      </c>
      <c r="AF58" s="6706"/>
      <c r="AG58" s="6782">
        <f t="shared" si="53"/>
        <v>-4040.9824909999988</v>
      </c>
      <c r="AH58" s="2518">
        <f>Utilty_Data!X24</f>
        <v>3768.7025349999999</v>
      </c>
      <c r="AI58" s="6706"/>
      <c r="AJ58" s="6789">
        <f t="shared" si="54"/>
        <v>-3768.7025349999999</v>
      </c>
      <c r="AK58" s="2512">
        <f>Utilty_Data!Y24</f>
        <v>3768.7025349999999</v>
      </c>
      <c r="AL58" s="6706"/>
      <c r="AM58" s="6782">
        <f t="shared" si="55"/>
        <v>-3768.7025349999999</v>
      </c>
      <c r="AN58" s="2518">
        <f>Utilty_Data!Z24</f>
        <v>3768.7025349999999</v>
      </c>
      <c r="AO58" s="6706"/>
      <c r="AP58" s="6775">
        <f t="shared" si="56"/>
        <v>-3768.7025349999999</v>
      </c>
      <c r="AQ58" s="6764">
        <f t="shared" si="57"/>
        <v>16376.608408333332</v>
      </c>
      <c r="AR58" s="6670">
        <f t="shared" si="58"/>
        <v>17636.012115384616</v>
      </c>
      <c r="AS58" s="6796">
        <f t="shared" si="59"/>
        <v>1259.4037070512841</v>
      </c>
      <c r="AT58" s="6375">
        <f t="shared" si="60"/>
        <v>8.9478862844691656E-4</v>
      </c>
      <c r="AU58" s="6375">
        <f t="shared" si="61"/>
        <v>3.6011112625172591E-4</v>
      </c>
      <c r="AV58" s="6336">
        <f t="shared" si="62"/>
        <v>2279.4226862820515</v>
      </c>
      <c r="AW58" s="6339">
        <f t="shared" si="63"/>
        <v>719.50952862980762</v>
      </c>
      <c r="AX58" s="6341">
        <f t="shared" si="64"/>
        <v>1559.9131576522439</v>
      </c>
      <c r="AY58" s="1569" t="s">
        <v>1858</v>
      </c>
      <c r="AZ58" s="4546"/>
      <c r="BA58" s="6355"/>
      <c r="BB58" s="6356"/>
      <c r="BC58" s="4544"/>
      <c r="BD58" s="5"/>
      <c r="BE58" s="5"/>
      <c r="BF58" s="5"/>
      <c r="BG58" s="5"/>
      <c r="BH58" s="5"/>
      <c r="BI58" s="5"/>
      <c r="BJ58" s="1568"/>
      <c r="BK58" s="5"/>
      <c r="BL58" s="1532"/>
      <c r="BM58" s="5"/>
      <c r="BN58" s="5"/>
    </row>
    <row r="59" spans="1:66" s="2509" customFormat="1" ht="19.2" customHeight="1">
      <c r="A59" s="7512"/>
      <c r="B59" s="2510"/>
      <c r="C59" s="4912">
        <v>36</v>
      </c>
      <c r="D59" s="6937" t="s">
        <v>461</v>
      </c>
      <c r="E59" s="4795" t="s">
        <v>1542</v>
      </c>
      <c r="F59" s="4955"/>
      <c r="G59" s="2512">
        <v>0</v>
      </c>
      <c r="H59" s="6706">
        <v>10398.846153846154</v>
      </c>
      <c r="I59" s="6782">
        <f t="shared" si="45"/>
        <v>10398.846153846154</v>
      </c>
      <c r="J59" s="2518">
        <v>0</v>
      </c>
      <c r="K59" s="6706">
        <v>0</v>
      </c>
      <c r="L59" s="6789">
        <f t="shared" si="46"/>
        <v>0</v>
      </c>
      <c r="M59" s="2512">
        <v>0</v>
      </c>
      <c r="N59" s="6706">
        <v>10140</v>
      </c>
      <c r="O59" s="6782">
        <f t="shared" si="47"/>
        <v>10140</v>
      </c>
      <c r="P59" s="2518">
        <v>0</v>
      </c>
      <c r="Q59" s="6706">
        <v>10318.788461538461</v>
      </c>
      <c r="R59" s="6789">
        <f t="shared" si="48"/>
        <v>10318.788461538461</v>
      </c>
      <c r="S59" s="2512">
        <v>0</v>
      </c>
      <c r="T59" s="6706">
        <f>SUMIF('7. E Plan'!$D$45:$D$67,D59,'7. E Plan'!$K$45:$K$67)</f>
        <v>182.25</v>
      </c>
      <c r="U59" s="6782">
        <f t="shared" si="49"/>
        <v>182.25</v>
      </c>
      <c r="V59" s="2518">
        <f>'9. C Plan'!I10</f>
        <v>0</v>
      </c>
      <c r="W59" s="6706"/>
      <c r="X59" s="6789">
        <f t="shared" si="50"/>
        <v>0</v>
      </c>
      <c r="Y59" s="2512">
        <f>'9. C Plan'!J10</f>
        <v>0</v>
      </c>
      <c r="Z59" s="6706"/>
      <c r="AA59" s="6782">
        <f t="shared" si="51"/>
        <v>0</v>
      </c>
      <c r="AB59" s="2518">
        <f>'9. C Plan'!K10</f>
        <v>0</v>
      </c>
      <c r="AC59" s="6706"/>
      <c r="AD59" s="6789">
        <f t="shared" si="52"/>
        <v>0</v>
      </c>
      <c r="AE59" s="2512">
        <f>'9. C Plan'!L10</f>
        <v>0</v>
      </c>
      <c r="AF59" s="6706"/>
      <c r="AG59" s="6782">
        <f t="shared" si="53"/>
        <v>0</v>
      </c>
      <c r="AH59" s="2518">
        <f>'9. C Plan'!M10</f>
        <v>0</v>
      </c>
      <c r="AI59" s="6706"/>
      <c r="AJ59" s="6789">
        <f t="shared" si="54"/>
        <v>0</v>
      </c>
      <c r="AK59" s="2512">
        <f>'9. C Plan'!N10</f>
        <v>0</v>
      </c>
      <c r="AL59" s="6706"/>
      <c r="AM59" s="6782">
        <f t="shared" si="55"/>
        <v>0</v>
      </c>
      <c r="AN59" s="6793">
        <f>'9. C Plan'!O10</f>
        <v>0</v>
      </c>
      <c r="AO59" s="6706"/>
      <c r="AP59" s="6775">
        <f t="shared" si="56"/>
        <v>0</v>
      </c>
      <c r="AQ59" s="6764">
        <f t="shared" si="57"/>
        <v>0</v>
      </c>
      <c r="AR59" s="6670">
        <f t="shared" si="58"/>
        <v>31039.884615384617</v>
      </c>
      <c r="AS59" s="6796">
        <f t="shared" si="59"/>
        <v>31039.884615384617</v>
      </c>
      <c r="AT59" s="6375">
        <f t="shared" si="60"/>
        <v>2.0175716777440082E-3</v>
      </c>
      <c r="AU59" s="6375">
        <f t="shared" si="61"/>
        <v>1.1401908200639036E-5</v>
      </c>
      <c r="AV59" s="6336">
        <f t="shared" si="62"/>
        <v>5139.6480769230775</v>
      </c>
      <c r="AW59" s="6339">
        <f t="shared" si="63"/>
        <v>22.78125</v>
      </c>
      <c r="AX59" s="6341">
        <f t="shared" si="64"/>
        <v>5116.8668269230775</v>
      </c>
      <c r="AY59" s="1569" t="s">
        <v>1859</v>
      </c>
      <c r="AZ59" s="4546"/>
      <c r="BA59" s="6355"/>
      <c r="BB59" s="6356"/>
      <c r="BC59" s="4544"/>
      <c r="BD59" s="5"/>
      <c r="BE59" s="5"/>
      <c r="BF59" s="5"/>
      <c r="BG59" s="5"/>
      <c r="BH59" s="5"/>
      <c r="BI59" s="5"/>
      <c r="BJ59" s="1568"/>
      <c r="BK59" s="5"/>
      <c r="BL59" s="1532"/>
      <c r="BM59" s="5"/>
      <c r="BN59" s="5"/>
    </row>
    <row r="60" spans="1:66" s="2509" customFormat="1" ht="19.2" customHeight="1">
      <c r="A60" s="7512"/>
      <c r="B60" s="2510"/>
      <c r="C60" s="3618">
        <v>37</v>
      </c>
      <c r="D60" s="4790" t="s">
        <v>379</v>
      </c>
      <c r="E60" s="4795" t="s">
        <v>1543</v>
      </c>
      <c r="F60" s="4955">
        <v>3.0000000000000001E-3</v>
      </c>
      <c r="G60" s="2512">
        <v>11068.112372897995</v>
      </c>
      <c r="H60" s="6706">
        <v>19279.561951148888</v>
      </c>
      <c r="I60" s="6782">
        <f t="shared" si="45"/>
        <v>8211.449578250893</v>
      </c>
      <c r="J60" s="2518">
        <v>10353.75527007382</v>
      </c>
      <c r="K60" s="6706">
        <v>7902.6143406957481</v>
      </c>
      <c r="L60" s="6789">
        <f t="shared" si="46"/>
        <v>-2451.1409293780716</v>
      </c>
      <c r="M60" s="2512">
        <v>12069.342220318909</v>
      </c>
      <c r="N60" s="6706">
        <v>15927.601514335416</v>
      </c>
      <c r="O60" s="6782">
        <f t="shared" si="47"/>
        <v>3858.2592940165068</v>
      </c>
      <c r="P60" s="2518">
        <v>11550.739900015449</v>
      </c>
      <c r="Q60" s="6706">
        <v>5361.5594956511068</v>
      </c>
      <c r="R60" s="6789">
        <f t="shared" si="48"/>
        <v>-6189.1804043643424</v>
      </c>
      <c r="S60" s="2512">
        <v>11443.772608957373</v>
      </c>
      <c r="T60" s="6706">
        <f>SUMIF('7. E Plan'!$D$45:$D$67,D60,'7. E Plan'!$K$45:$K$67)</f>
        <v>10387.781654536313</v>
      </c>
      <c r="U60" s="6782">
        <f t="shared" si="49"/>
        <v>-1055.9909544210605</v>
      </c>
      <c r="V60" s="2518">
        <f>V6*0.3%</f>
        <v>11307.653721511837</v>
      </c>
      <c r="W60" s="6706"/>
      <c r="X60" s="6789">
        <f t="shared" si="50"/>
        <v>-11307.653721511837</v>
      </c>
      <c r="Y60" s="2512">
        <f>Y6*0.3%</f>
        <v>12193.215704147593</v>
      </c>
      <c r="Z60" s="6706"/>
      <c r="AA60" s="6782">
        <f t="shared" si="51"/>
        <v>-12193.215704147593</v>
      </c>
      <c r="AB60" s="2518">
        <f>AB6*0.3%</f>
        <v>11333.849171877398</v>
      </c>
      <c r="AC60" s="6706"/>
      <c r="AD60" s="6789">
        <f t="shared" si="52"/>
        <v>-11333.849171877398</v>
      </c>
      <c r="AE60" s="2512">
        <f>AE6*0.3%</f>
        <v>9960.6607174278906</v>
      </c>
      <c r="AF60" s="6706"/>
      <c r="AG60" s="6782">
        <f t="shared" si="53"/>
        <v>-9960.6607174278906</v>
      </c>
      <c r="AH60" s="2518">
        <f>AH6*0.3%</f>
        <v>9600.5494450860551</v>
      </c>
      <c r="AI60" s="6706"/>
      <c r="AJ60" s="6789">
        <f t="shared" si="54"/>
        <v>-9600.5494450860551</v>
      </c>
      <c r="AK60" s="2512">
        <f>AK6*0.3%</f>
        <v>9469.7684509149531</v>
      </c>
      <c r="AL60" s="6706"/>
      <c r="AM60" s="6782">
        <f t="shared" si="55"/>
        <v>-9469.7684509149531</v>
      </c>
      <c r="AN60" s="2518">
        <f>AN6*0.3%</f>
        <v>9490.6159217599925</v>
      </c>
      <c r="AO60" s="6706"/>
      <c r="AP60" s="6775">
        <f t="shared" si="56"/>
        <v>-9490.6159217599925</v>
      </c>
      <c r="AQ60" s="6764">
        <f t="shared" si="57"/>
        <v>56485.722372263539</v>
      </c>
      <c r="AR60" s="6670">
        <f t="shared" si="58"/>
        <v>58859.118956367471</v>
      </c>
      <c r="AS60" s="6796">
        <f t="shared" si="59"/>
        <v>2373.3965841039317</v>
      </c>
      <c r="AT60" s="6375">
        <f t="shared" si="60"/>
        <v>3.6139672776768815E-3</v>
      </c>
      <c r="AU60" s="6375">
        <f t="shared" si="61"/>
        <v>9.4675499910573744E-4</v>
      </c>
      <c r="AV60" s="6336">
        <f t="shared" si="62"/>
        <v>9206.3742635128674</v>
      </c>
      <c r="AW60" s="6339">
        <f t="shared" si="63"/>
        <v>1891.6362019270387</v>
      </c>
      <c r="AX60" s="6341">
        <f t="shared" si="64"/>
        <v>7314.7380615858292</v>
      </c>
      <c r="AY60" s="1569" t="s">
        <v>1860</v>
      </c>
      <c r="AZ60" s="4546"/>
      <c r="BA60" s="6355"/>
      <c r="BB60" s="6356"/>
      <c r="BC60" s="4544"/>
      <c r="BD60" s="5"/>
      <c r="BE60" s="5"/>
      <c r="BF60" s="5"/>
      <c r="BG60" s="5"/>
      <c r="BH60" s="5"/>
      <c r="BI60" s="5"/>
      <c r="BJ60" s="1568"/>
      <c r="BK60" s="5"/>
      <c r="BL60" s="1532"/>
      <c r="BM60" s="5"/>
      <c r="BN60" s="5"/>
    </row>
    <row r="61" spans="1:66" s="2509" customFormat="1" ht="19.5" customHeight="1">
      <c r="A61" s="7512"/>
      <c r="B61" s="2510"/>
      <c r="C61" s="4912">
        <v>38</v>
      </c>
      <c r="D61" s="6937" t="s">
        <v>8</v>
      </c>
      <c r="E61" s="4795" t="s">
        <v>1537</v>
      </c>
      <c r="F61" s="4955"/>
      <c r="G61" s="2512">
        <v>9786</v>
      </c>
      <c r="H61" s="6706">
        <v>11236.376424999999</v>
      </c>
      <c r="I61" s="6782">
        <f t="shared" si="45"/>
        <v>1450.3764249999986</v>
      </c>
      <c r="J61" s="2518">
        <v>9786</v>
      </c>
      <c r="K61" s="6706">
        <v>12289.489978076921</v>
      </c>
      <c r="L61" s="6789">
        <f t="shared" si="46"/>
        <v>2503.489978076921</v>
      </c>
      <c r="M61" s="2512">
        <v>9786</v>
      </c>
      <c r="N61" s="6706">
        <v>13057.118536153845</v>
      </c>
      <c r="O61" s="6782">
        <f t="shared" si="47"/>
        <v>3271.1185361538446</v>
      </c>
      <c r="P61" s="2518">
        <v>9786</v>
      </c>
      <c r="Q61" s="6706">
        <v>13057.118536153845</v>
      </c>
      <c r="R61" s="6789">
        <f t="shared" si="48"/>
        <v>3271.1185361538446</v>
      </c>
      <c r="S61" s="2512">
        <v>9786</v>
      </c>
      <c r="T61" s="6706">
        <f>SUMIF('7. E Plan'!$D$45:$D$67,D61,'7. E Plan'!$K$45:$K$67)</f>
        <v>13099.059775</v>
      </c>
      <c r="U61" s="6782">
        <f t="shared" si="49"/>
        <v>3313.0597749999997</v>
      </c>
      <c r="V61" s="2518">
        <f>'8. I Plan'!M99</f>
        <v>13057.118536153845</v>
      </c>
      <c r="W61" s="6706"/>
      <c r="X61" s="6789">
        <f t="shared" si="50"/>
        <v>-13057.118536153845</v>
      </c>
      <c r="Y61" s="2512">
        <f>'8. I Plan'!N99</f>
        <v>13057.118536153845</v>
      </c>
      <c r="Z61" s="6706"/>
      <c r="AA61" s="6782">
        <f t="shared" si="51"/>
        <v>-13057.118536153845</v>
      </c>
      <c r="AB61" s="2518">
        <f>'8. I Plan'!O99</f>
        <v>13057.118536153845</v>
      </c>
      <c r="AC61" s="6706"/>
      <c r="AD61" s="6789">
        <f t="shared" si="52"/>
        <v>-13057.118536153845</v>
      </c>
      <c r="AE61" s="2512">
        <f>'8. I Plan'!P99</f>
        <v>13057.118536153845</v>
      </c>
      <c r="AF61" s="6706"/>
      <c r="AG61" s="6782">
        <f t="shared" si="53"/>
        <v>-13057.118536153845</v>
      </c>
      <c r="AH61" s="2518">
        <f>'8. I Plan'!Q99</f>
        <v>13057.118536153845</v>
      </c>
      <c r="AI61" s="6706"/>
      <c r="AJ61" s="6789">
        <f t="shared" si="54"/>
        <v>-13057.118536153845</v>
      </c>
      <c r="AK61" s="2512">
        <f>'8. I Plan'!R99</f>
        <v>13057.118536153845</v>
      </c>
      <c r="AL61" s="6706"/>
      <c r="AM61" s="6782">
        <f t="shared" si="55"/>
        <v>-13057.118536153845</v>
      </c>
      <c r="AN61" s="2518">
        <f>'8. I Plan'!S99</f>
        <v>13057.118536153845</v>
      </c>
      <c r="AO61" s="6706"/>
      <c r="AP61" s="6775">
        <f t="shared" si="56"/>
        <v>-13057.118536153845</v>
      </c>
      <c r="AQ61" s="6764">
        <f t="shared" si="57"/>
        <v>48930</v>
      </c>
      <c r="AR61" s="6670">
        <f t="shared" si="58"/>
        <v>62739.163250384612</v>
      </c>
      <c r="AS61" s="6796">
        <f t="shared" si="59"/>
        <v>13809.163250384612</v>
      </c>
      <c r="AT61" s="6375">
        <f t="shared" si="60"/>
        <v>3.3846920752031305E-3</v>
      </c>
      <c r="AU61" s="6375">
        <f t="shared" si="61"/>
        <v>1.2279413471949392E-3</v>
      </c>
      <c r="AV61" s="6336">
        <f t="shared" si="62"/>
        <v>8622.3088414615377</v>
      </c>
      <c r="AW61" s="6339">
        <f t="shared" si="63"/>
        <v>2453.4523803846155</v>
      </c>
      <c r="AX61" s="6341">
        <f t="shared" si="64"/>
        <v>6168.8564610769226</v>
      </c>
      <c r="AY61" s="5"/>
      <c r="AZ61" s="4546"/>
      <c r="BA61" s="4034"/>
      <c r="BB61" s="4544"/>
      <c r="BC61" s="4544"/>
      <c r="BD61" s="5"/>
      <c r="BE61" s="5"/>
      <c r="BF61" s="5"/>
      <c r="BG61" s="5"/>
      <c r="BH61" s="5"/>
      <c r="BI61" s="5"/>
      <c r="BJ61" s="1568"/>
      <c r="BK61" s="5"/>
      <c r="BL61" s="1532"/>
      <c r="BM61" s="5"/>
      <c r="BN61" s="5"/>
    </row>
    <row r="62" spans="1:66" s="2509" customFormat="1" ht="19.5" customHeight="1">
      <c r="A62" s="7512"/>
      <c r="B62" s="2510"/>
      <c r="C62" s="3618">
        <v>39</v>
      </c>
      <c r="D62" s="6937" t="s">
        <v>9</v>
      </c>
      <c r="E62" s="4795" t="s">
        <v>1537</v>
      </c>
      <c r="F62" s="4955"/>
      <c r="G62" s="2512">
        <v>6761.021846833446</v>
      </c>
      <c r="H62" s="6706">
        <v>2439.7204615384617</v>
      </c>
      <c r="I62" s="6782">
        <f t="shared" si="45"/>
        <v>-4321.3013852949844</v>
      </c>
      <c r="J62" s="2518">
        <v>6761.021846833446</v>
      </c>
      <c r="K62" s="6706">
        <v>3502.1585</v>
      </c>
      <c r="L62" s="6789">
        <f t="shared" si="46"/>
        <v>-3258.863346833446</v>
      </c>
      <c r="M62" s="2512">
        <v>5782.596503696197</v>
      </c>
      <c r="N62" s="6706">
        <v>1641.7536153846154</v>
      </c>
      <c r="O62" s="6782">
        <f t="shared" si="47"/>
        <v>-4140.8428883115812</v>
      </c>
      <c r="P62" s="2518">
        <v>4421.9321864848625</v>
      </c>
      <c r="Q62" s="6706">
        <v>2601.3631153846154</v>
      </c>
      <c r="R62" s="6789">
        <f t="shared" si="48"/>
        <v>-1820.5690711002471</v>
      </c>
      <c r="S62" s="2512">
        <v>4323.4919179663439</v>
      </c>
      <c r="T62" s="6706">
        <f>SUMIF('7. E Plan'!$D$45:$D$67,D62,'7. E Plan'!$K$45:$K$67)</f>
        <v>2786.3223076923077</v>
      </c>
      <c r="U62" s="6782">
        <f t="shared" si="49"/>
        <v>-1537.1696102740361</v>
      </c>
      <c r="V62" s="2518">
        <f>'8. I Plan'!M100</f>
        <v>2601.3631153846154</v>
      </c>
      <c r="W62" s="6706"/>
      <c r="X62" s="6789">
        <f t="shared" si="50"/>
        <v>-2601.3631153846154</v>
      </c>
      <c r="Y62" s="2512">
        <f>'8. I Plan'!N100</f>
        <v>2601.3631153846154</v>
      </c>
      <c r="Z62" s="6706"/>
      <c r="AA62" s="6782">
        <f t="shared" si="51"/>
        <v>-2601.3631153846154</v>
      </c>
      <c r="AB62" s="2518">
        <f>'8. I Plan'!O100</f>
        <v>2601.3631153846154</v>
      </c>
      <c r="AC62" s="6706"/>
      <c r="AD62" s="6789">
        <f t="shared" si="52"/>
        <v>-2601.3631153846154</v>
      </c>
      <c r="AE62" s="2512">
        <f>'8. I Plan'!P100</f>
        <v>2601.3631153846154</v>
      </c>
      <c r="AF62" s="6706"/>
      <c r="AG62" s="6782">
        <f t="shared" si="53"/>
        <v>-2601.3631153846154</v>
      </c>
      <c r="AH62" s="2518">
        <f>'8. I Plan'!Q100</f>
        <v>2601.3631153846154</v>
      </c>
      <c r="AI62" s="6706"/>
      <c r="AJ62" s="6789">
        <f t="shared" si="54"/>
        <v>-2601.3631153846154</v>
      </c>
      <c r="AK62" s="2512">
        <f>'8. I Plan'!R100</f>
        <v>2601.3631153846154</v>
      </c>
      <c r="AL62" s="6706"/>
      <c r="AM62" s="6782">
        <f t="shared" si="55"/>
        <v>-2601.3631153846154</v>
      </c>
      <c r="AN62" s="2518">
        <f>'8. I Plan'!S100</f>
        <v>2601.3631153846154</v>
      </c>
      <c r="AO62" s="6706"/>
      <c r="AP62" s="6775">
        <f t="shared" si="56"/>
        <v>-2601.3631153846154</v>
      </c>
      <c r="AQ62" s="6764">
        <f t="shared" si="57"/>
        <v>28050.064301814298</v>
      </c>
      <c r="AR62" s="6670">
        <f t="shared" si="58"/>
        <v>12971.318000000001</v>
      </c>
      <c r="AS62" s="6796">
        <f t="shared" si="59"/>
        <v>-15078.746301814297</v>
      </c>
      <c r="AT62" s="6375">
        <f t="shared" si="60"/>
        <v>6.0568738621837547E-4</v>
      </c>
      <c r="AU62" s="6375">
        <f t="shared" si="61"/>
        <v>2.5569077030876424E-4</v>
      </c>
      <c r="AV62" s="6336">
        <f t="shared" si="62"/>
        <v>1542.9538608882187</v>
      </c>
      <c r="AW62" s="6339">
        <f t="shared" si="63"/>
        <v>510.87548317307693</v>
      </c>
      <c r="AX62" s="6341">
        <f t="shared" si="64"/>
        <v>1032.0783777151419</v>
      </c>
      <c r="AY62" s="5"/>
      <c r="AZ62" s="4546"/>
      <c r="BA62" s="4034"/>
      <c r="BB62" s="4544"/>
      <c r="BC62" s="4544"/>
      <c r="BD62" s="5"/>
      <c r="BE62" s="5"/>
      <c r="BF62" s="5"/>
      <c r="BG62" s="5"/>
      <c r="BH62" s="5"/>
      <c r="BI62" s="5"/>
      <c r="BJ62" s="1568"/>
      <c r="BK62" s="5"/>
      <c r="BL62" s="1532"/>
      <c r="BM62" s="5"/>
      <c r="BN62" s="5"/>
    </row>
    <row r="63" spans="1:66" s="2509" customFormat="1" ht="19.5" customHeight="1">
      <c r="A63" s="7512"/>
      <c r="B63" s="2510"/>
      <c r="C63" s="3618">
        <v>40</v>
      </c>
      <c r="D63" s="4790" t="s">
        <v>317</v>
      </c>
      <c r="E63" s="4795" t="s">
        <v>1569</v>
      </c>
      <c r="F63" s="6648">
        <v>2000</v>
      </c>
      <c r="G63" s="2512">
        <v>971.32682352941174</v>
      </c>
      <c r="H63" s="6706">
        <v>2110.4423076923076</v>
      </c>
      <c r="I63" s="6782">
        <f t="shared" si="45"/>
        <v>1139.1154841628959</v>
      </c>
      <c r="J63" s="2518">
        <v>971.32682352941174</v>
      </c>
      <c r="K63" s="6706">
        <v>2512.1307692307691</v>
      </c>
      <c r="L63" s="6789">
        <f t="shared" si="46"/>
        <v>1540.8039457013574</v>
      </c>
      <c r="M63" s="2512">
        <v>971.32682352941174</v>
      </c>
      <c r="N63" s="6706">
        <v>2067.2771923076925</v>
      </c>
      <c r="O63" s="6782">
        <f t="shared" si="47"/>
        <v>1095.9503687782808</v>
      </c>
      <c r="P63" s="2518">
        <v>971.32682352941174</v>
      </c>
      <c r="Q63" s="6706">
        <v>1350.5107692307693</v>
      </c>
      <c r="R63" s="6789">
        <f t="shared" si="48"/>
        <v>379.18394570135752</v>
      </c>
      <c r="S63" s="2512">
        <v>971.32682352941174</v>
      </c>
      <c r="T63" s="6706">
        <f>SUMIF('7. E Plan'!$D$45:$D$67,D63,'7. E Plan'!$K$45:$K$67)</f>
        <v>472.6</v>
      </c>
      <c r="U63" s="6782">
        <f t="shared" si="49"/>
        <v>-498.72682352941172</v>
      </c>
      <c r="V63" s="2518">
        <f t="shared" ref="V63:AN63" si="66">$F$63</f>
        <v>2000</v>
      </c>
      <c r="W63" s="6706"/>
      <c r="X63" s="6789">
        <f t="shared" si="50"/>
        <v>-2000</v>
      </c>
      <c r="Y63" s="2512">
        <f t="shared" si="66"/>
        <v>2000</v>
      </c>
      <c r="Z63" s="6706"/>
      <c r="AA63" s="6782">
        <f t="shared" si="51"/>
        <v>-2000</v>
      </c>
      <c r="AB63" s="2518">
        <f t="shared" si="66"/>
        <v>2000</v>
      </c>
      <c r="AC63" s="6706"/>
      <c r="AD63" s="6789">
        <f t="shared" si="52"/>
        <v>-2000</v>
      </c>
      <c r="AE63" s="2512">
        <f t="shared" si="66"/>
        <v>2000</v>
      </c>
      <c r="AF63" s="6706"/>
      <c r="AG63" s="6782">
        <f t="shared" si="53"/>
        <v>-2000</v>
      </c>
      <c r="AH63" s="2518">
        <f t="shared" si="66"/>
        <v>2000</v>
      </c>
      <c r="AI63" s="6706"/>
      <c r="AJ63" s="6789">
        <f t="shared" si="54"/>
        <v>-2000</v>
      </c>
      <c r="AK63" s="2512">
        <f t="shared" si="66"/>
        <v>2000</v>
      </c>
      <c r="AL63" s="6706"/>
      <c r="AM63" s="6782">
        <f t="shared" si="55"/>
        <v>-2000</v>
      </c>
      <c r="AN63" s="2518">
        <f t="shared" si="66"/>
        <v>2000</v>
      </c>
      <c r="AO63" s="6706"/>
      <c r="AP63" s="6775">
        <f t="shared" si="56"/>
        <v>-2000</v>
      </c>
      <c r="AQ63" s="6764">
        <f t="shared" si="57"/>
        <v>4856.6341176470587</v>
      </c>
      <c r="AR63" s="6670">
        <f t="shared" si="58"/>
        <v>8512.9610384615389</v>
      </c>
      <c r="AS63" s="6796">
        <f t="shared" si="59"/>
        <v>3656.3269208144802</v>
      </c>
      <c r="AT63" s="6375">
        <f t="shared" si="60"/>
        <v>5.7823525456973288E-4</v>
      </c>
      <c r="AU63" s="6375">
        <f t="shared" si="61"/>
        <v>9.2128669499374731E-5</v>
      </c>
      <c r="AV63" s="6336">
        <f t="shared" si="62"/>
        <v>1473.0211307692309</v>
      </c>
      <c r="AW63" s="6339">
        <f t="shared" si="63"/>
        <v>184.07499999999999</v>
      </c>
      <c r="AX63" s="6341">
        <f t="shared" si="64"/>
        <v>1288.9461307692309</v>
      </c>
      <c r="AY63" s="5"/>
      <c r="AZ63" s="4546"/>
      <c r="BA63" s="4034"/>
      <c r="BB63" s="4544"/>
      <c r="BC63" s="4544"/>
      <c r="BD63" s="5"/>
      <c r="BE63" s="5"/>
      <c r="BF63" s="5"/>
      <c r="BG63" s="5"/>
      <c r="BH63" s="5"/>
      <c r="BI63" s="5"/>
      <c r="BJ63" s="1568"/>
      <c r="BK63" s="5"/>
      <c r="BL63" s="1532"/>
      <c r="BM63" s="5"/>
      <c r="BN63" s="5"/>
    </row>
    <row r="64" spans="1:66" s="2509" customFormat="1" ht="19.5" customHeight="1">
      <c r="A64" s="7512"/>
      <c r="B64" s="2510"/>
      <c r="C64" s="4912">
        <v>41</v>
      </c>
      <c r="D64" s="4790" t="s">
        <v>380</v>
      </c>
      <c r="E64" s="4795" t="s">
        <v>1570</v>
      </c>
      <c r="F64" s="6648">
        <v>550</v>
      </c>
      <c r="G64" s="2512">
        <v>514.5218431372549</v>
      </c>
      <c r="H64" s="6706">
        <v>546.98111538461535</v>
      </c>
      <c r="I64" s="6782">
        <f t="shared" si="45"/>
        <v>32.459272247360445</v>
      </c>
      <c r="J64" s="2518">
        <v>514.5218431372549</v>
      </c>
      <c r="K64" s="6706">
        <v>511.83023076923075</v>
      </c>
      <c r="L64" s="6789">
        <f t="shared" si="46"/>
        <v>-2.6916123680241526</v>
      </c>
      <c r="M64" s="2512">
        <v>514.5218431372549</v>
      </c>
      <c r="N64" s="6706">
        <v>473.43788461538463</v>
      </c>
      <c r="O64" s="6782">
        <f t="shared" si="47"/>
        <v>-41.083958521870272</v>
      </c>
      <c r="P64" s="2518">
        <v>514.5218431372549</v>
      </c>
      <c r="Q64" s="6706">
        <v>473.43788461538463</v>
      </c>
      <c r="R64" s="6789">
        <f t="shared" si="48"/>
        <v>-41.083958521870272</v>
      </c>
      <c r="S64" s="2512">
        <v>514.5218431372549</v>
      </c>
      <c r="T64" s="6706">
        <f>SUMIF('7. E Plan'!$D$45:$D$67,D64,'7. E Plan'!$K$45:$K$67)</f>
        <v>473.43788461538463</v>
      </c>
      <c r="U64" s="6782">
        <f t="shared" si="49"/>
        <v>-41.083958521870272</v>
      </c>
      <c r="V64" s="2518">
        <f t="shared" ref="V64:AN64" si="67">$F$64</f>
        <v>550</v>
      </c>
      <c r="W64" s="6706"/>
      <c r="X64" s="6789">
        <f t="shared" si="50"/>
        <v>-550</v>
      </c>
      <c r="Y64" s="2512">
        <f t="shared" si="67"/>
        <v>550</v>
      </c>
      <c r="Z64" s="6706"/>
      <c r="AA64" s="6782">
        <f t="shared" si="51"/>
        <v>-550</v>
      </c>
      <c r="AB64" s="2518">
        <f t="shared" si="67"/>
        <v>550</v>
      </c>
      <c r="AC64" s="6706"/>
      <c r="AD64" s="6789">
        <f t="shared" si="52"/>
        <v>-550</v>
      </c>
      <c r="AE64" s="2512">
        <f t="shared" si="67"/>
        <v>550</v>
      </c>
      <c r="AF64" s="6706"/>
      <c r="AG64" s="6782">
        <f t="shared" si="53"/>
        <v>-550</v>
      </c>
      <c r="AH64" s="2518">
        <f t="shared" si="67"/>
        <v>550</v>
      </c>
      <c r="AI64" s="6706"/>
      <c r="AJ64" s="6789">
        <f t="shared" si="54"/>
        <v>-550</v>
      </c>
      <c r="AK64" s="2512">
        <f t="shared" si="67"/>
        <v>550</v>
      </c>
      <c r="AL64" s="6706"/>
      <c r="AM64" s="6782">
        <f t="shared" si="55"/>
        <v>-550</v>
      </c>
      <c r="AN64" s="2518">
        <f t="shared" si="67"/>
        <v>550</v>
      </c>
      <c r="AO64" s="6706"/>
      <c r="AP64" s="6775">
        <f t="shared" si="56"/>
        <v>-550</v>
      </c>
      <c r="AQ64" s="6764">
        <f t="shared" si="57"/>
        <v>2572.6092156862746</v>
      </c>
      <c r="AR64" s="6670">
        <f t="shared" si="58"/>
        <v>2479.1249999999995</v>
      </c>
      <c r="AS64" s="6796">
        <f t="shared" si="59"/>
        <v>-93.484215686275093</v>
      </c>
      <c r="AT64" s="6375">
        <f t="shared" si="60"/>
        <v>1.3888188574059742E-4</v>
      </c>
      <c r="AU64" s="6375">
        <f t="shared" si="61"/>
        <v>4.6823704001454519E-5</v>
      </c>
      <c r="AV64" s="6336">
        <f t="shared" si="62"/>
        <v>353.79363461538458</v>
      </c>
      <c r="AW64" s="6339">
        <f t="shared" si="63"/>
        <v>93.554735576923079</v>
      </c>
      <c r="AX64" s="6341">
        <f t="shared" si="64"/>
        <v>260.23889903846151</v>
      </c>
      <c r="AY64" s="5"/>
      <c r="AZ64" s="4546"/>
      <c r="BA64" s="4034"/>
      <c r="BB64" s="4544"/>
      <c r="BC64" s="4544"/>
      <c r="BD64" s="5"/>
      <c r="BE64" s="5"/>
      <c r="BF64" s="5"/>
      <c r="BG64" s="5"/>
      <c r="BH64" s="5"/>
      <c r="BI64" s="5"/>
      <c r="BJ64" s="1568"/>
      <c r="BK64" s="5"/>
      <c r="BL64" s="1532"/>
      <c r="BM64" s="5"/>
      <c r="BN64" s="5"/>
    </row>
    <row r="65" spans="1:66" s="2509" customFormat="1" ht="19.5" customHeight="1">
      <c r="A65" s="7512"/>
      <c r="B65" s="2510"/>
      <c r="C65" s="3618">
        <v>42</v>
      </c>
      <c r="D65" s="4790" t="s">
        <v>381</v>
      </c>
      <c r="E65" s="4795" t="s">
        <v>1571</v>
      </c>
      <c r="F65" s="6648">
        <v>650</v>
      </c>
      <c r="G65" s="2512">
        <v>728.96470588235297</v>
      </c>
      <c r="H65" s="6706">
        <v>634.90384615384619</v>
      </c>
      <c r="I65" s="6782">
        <f t="shared" si="45"/>
        <v>-94.060859728506784</v>
      </c>
      <c r="J65" s="2518">
        <v>728.96470588235297</v>
      </c>
      <c r="K65" s="6706">
        <v>755.19230769230774</v>
      </c>
      <c r="L65" s="6789">
        <f t="shared" si="46"/>
        <v>26.227601809954763</v>
      </c>
      <c r="M65" s="2512">
        <v>728.96470588235297</v>
      </c>
      <c r="N65" s="6706">
        <v>721.44230769230774</v>
      </c>
      <c r="O65" s="6782">
        <f t="shared" si="47"/>
        <v>-7.5223981900452372</v>
      </c>
      <c r="P65" s="2518">
        <v>728.96470588235297</v>
      </c>
      <c r="Q65" s="6706">
        <v>786.05769230769226</v>
      </c>
      <c r="R65" s="6789">
        <f t="shared" si="48"/>
        <v>57.092986425339291</v>
      </c>
      <c r="S65" s="2512">
        <v>728.96470588235297</v>
      </c>
      <c r="T65" s="6706">
        <f>SUMIF('7. E Plan'!$D$45:$D$67,D65,'7. E Plan'!$K$45:$K$67)</f>
        <v>738.67788461538464</v>
      </c>
      <c r="U65" s="6782">
        <f t="shared" si="49"/>
        <v>9.7131787330316683</v>
      </c>
      <c r="V65" s="2518">
        <f t="shared" ref="V65:AN65" si="68">$F$65</f>
        <v>650</v>
      </c>
      <c r="W65" s="6706"/>
      <c r="X65" s="6789">
        <f t="shared" si="50"/>
        <v>-650</v>
      </c>
      <c r="Y65" s="2512">
        <f t="shared" si="68"/>
        <v>650</v>
      </c>
      <c r="Z65" s="6706"/>
      <c r="AA65" s="6782">
        <f t="shared" si="51"/>
        <v>-650</v>
      </c>
      <c r="AB65" s="2518">
        <f t="shared" si="68"/>
        <v>650</v>
      </c>
      <c r="AC65" s="6706"/>
      <c r="AD65" s="6789">
        <f t="shared" si="52"/>
        <v>-650</v>
      </c>
      <c r="AE65" s="2512">
        <f t="shared" si="68"/>
        <v>650</v>
      </c>
      <c r="AF65" s="6706"/>
      <c r="AG65" s="6782">
        <f t="shared" si="53"/>
        <v>-650</v>
      </c>
      <c r="AH65" s="2518">
        <f t="shared" si="68"/>
        <v>650</v>
      </c>
      <c r="AI65" s="6706"/>
      <c r="AJ65" s="6789">
        <f t="shared" si="54"/>
        <v>-650</v>
      </c>
      <c r="AK65" s="2512">
        <f t="shared" si="68"/>
        <v>650</v>
      </c>
      <c r="AL65" s="6706"/>
      <c r="AM65" s="6782">
        <f t="shared" si="55"/>
        <v>-650</v>
      </c>
      <c r="AN65" s="2518">
        <f t="shared" si="68"/>
        <v>650</v>
      </c>
      <c r="AO65" s="6706"/>
      <c r="AP65" s="6775">
        <f t="shared" si="56"/>
        <v>-650</v>
      </c>
      <c r="AQ65" s="6764">
        <f t="shared" si="57"/>
        <v>3644.8235294117649</v>
      </c>
      <c r="AR65" s="6670">
        <f t="shared" si="58"/>
        <v>3636.2740384615386</v>
      </c>
      <c r="AS65" s="6796">
        <f t="shared" si="59"/>
        <v>-8.5494909502262999</v>
      </c>
      <c r="AT65" s="6375">
        <f t="shared" si="60"/>
        <v>1.9663385466767985E-4</v>
      </c>
      <c r="AU65" s="6375">
        <f t="shared" si="61"/>
        <v>6.6545720688255351E-5</v>
      </c>
      <c r="AV65" s="6336">
        <f t="shared" si="62"/>
        <v>500.91346153846155</v>
      </c>
      <c r="AW65" s="6339">
        <f t="shared" si="63"/>
        <v>132.95973557692309</v>
      </c>
      <c r="AX65" s="6341">
        <f t="shared" si="64"/>
        <v>367.95372596153845</v>
      </c>
      <c r="AY65" s="5"/>
      <c r="AZ65" s="4546"/>
      <c r="BA65" s="4034"/>
      <c r="BB65" s="4544"/>
      <c r="BC65" s="4544"/>
      <c r="BD65" s="5"/>
      <c r="BE65" s="5"/>
      <c r="BF65" s="5"/>
      <c r="BG65" s="5"/>
      <c r="BH65" s="5"/>
      <c r="BI65" s="5"/>
      <c r="BJ65" s="1568"/>
      <c r="BK65" s="5"/>
      <c r="BL65" s="1532"/>
      <c r="BM65" s="5"/>
      <c r="BN65" s="5"/>
    </row>
    <row r="66" spans="1:66" s="2509" customFormat="1" ht="19.5" customHeight="1">
      <c r="A66" s="7512"/>
      <c r="B66" s="2510"/>
      <c r="C66" s="4912">
        <v>43</v>
      </c>
      <c r="D66" s="4790" t="s">
        <v>812</v>
      </c>
      <c r="E66" s="4795" t="s">
        <v>1544</v>
      </c>
      <c r="F66" s="4955"/>
      <c r="G66" s="2512">
        <v>852.61367965177396</v>
      </c>
      <c r="H66" s="6706">
        <v>0</v>
      </c>
      <c r="I66" s="6782">
        <f t="shared" si="45"/>
        <v>-852.61367965177396</v>
      </c>
      <c r="J66" s="2518">
        <v>837.66701083116925</v>
      </c>
      <c r="K66" s="6706">
        <v>0</v>
      </c>
      <c r="L66" s="6789">
        <f t="shared" si="46"/>
        <v>-837.66701083116925</v>
      </c>
      <c r="M66" s="2512">
        <v>820.68847118265137</v>
      </c>
      <c r="N66" s="6706">
        <v>0</v>
      </c>
      <c r="O66" s="6782">
        <f t="shared" si="47"/>
        <v>-820.68847118265137</v>
      </c>
      <c r="P66" s="2518">
        <v>805.65070972146054</v>
      </c>
      <c r="Q66" s="6706">
        <v>0</v>
      </c>
      <c r="R66" s="6789">
        <f t="shared" si="48"/>
        <v>-805.65070972146054</v>
      </c>
      <c r="S66" s="2512">
        <v>791.65058877094782</v>
      </c>
      <c r="T66" s="6706">
        <f>SUMIF('7. E Plan'!$D$45:$D$67,D66,'7. E Plan'!$K$45:$K$67)</f>
        <v>0</v>
      </c>
      <c r="U66" s="6782">
        <f t="shared" si="49"/>
        <v>-791.65058877094782</v>
      </c>
      <c r="V66" s="2518">
        <f>'4. L PLAN'!K40*1.02</f>
        <v>814.84230503710376</v>
      </c>
      <c r="W66" s="6706"/>
      <c r="X66" s="6789">
        <f t="shared" si="50"/>
        <v>-814.84230503710376</v>
      </c>
      <c r="Y66" s="2512">
        <f>'4. L PLAN'!L40*1.02</f>
        <v>805.66230503710381</v>
      </c>
      <c r="Z66" s="6706"/>
      <c r="AA66" s="6782">
        <f t="shared" si="51"/>
        <v>-805.66230503710381</v>
      </c>
      <c r="AB66" s="2518">
        <f>'4. L PLAN'!M40*1.02</f>
        <v>794.44230503710378</v>
      </c>
      <c r="AC66" s="6706"/>
      <c r="AD66" s="6789">
        <f t="shared" si="52"/>
        <v>-794.44230503710378</v>
      </c>
      <c r="AE66" s="2512">
        <f>'4. L PLAN'!N40*1.02</f>
        <v>788.32230503710377</v>
      </c>
      <c r="AF66" s="6706"/>
      <c r="AG66" s="6782">
        <f t="shared" si="53"/>
        <v>-788.32230503710377</v>
      </c>
      <c r="AH66" s="2518">
        <f>'4. L PLAN'!O40*1.02</f>
        <v>767.9223050371038</v>
      </c>
      <c r="AI66" s="6706"/>
      <c r="AJ66" s="6789">
        <f t="shared" si="54"/>
        <v>-767.9223050371038</v>
      </c>
      <c r="AK66" s="2512">
        <f>'4. L PLAN'!P40*1.02</f>
        <v>769.96230503710376</v>
      </c>
      <c r="AL66" s="6706"/>
      <c r="AM66" s="6782">
        <f t="shared" si="55"/>
        <v>-769.96230503710376</v>
      </c>
      <c r="AN66" s="2518">
        <f>'4. L PLAN'!Q40*1.02</f>
        <v>763.84230503710376</v>
      </c>
      <c r="AO66" s="6706"/>
      <c r="AP66" s="6775">
        <f t="shared" si="56"/>
        <v>-763.84230503710376</v>
      </c>
      <c r="AQ66" s="6764">
        <f t="shared" si="57"/>
        <v>4108.2704601580035</v>
      </c>
      <c r="AR66" s="6670">
        <f t="shared" si="58"/>
        <v>0</v>
      </c>
      <c r="AS66" s="6796">
        <f t="shared" si="59"/>
        <v>-4108.2704601580035</v>
      </c>
      <c r="AT66" s="6375">
        <f t="shared" si="60"/>
        <v>-1.8435339660622829E-6</v>
      </c>
      <c r="AU66" s="6375">
        <f t="shared" si="61"/>
        <v>2.3893716987098978E-5</v>
      </c>
      <c r="AV66" s="6336">
        <f t="shared" si="62"/>
        <v>-4.6962969930313418</v>
      </c>
      <c r="AW66" s="6339">
        <f t="shared" si="63"/>
        <v>47.740144064818985</v>
      </c>
      <c r="AX66" s="6341">
        <f t="shared" si="64"/>
        <v>-52.436441057850324</v>
      </c>
      <c r="AY66" s="5"/>
      <c r="AZ66" s="4546"/>
      <c r="BA66" s="4034"/>
      <c r="BB66" s="4544"/>
      <c r="BC66" s="4544"/>
      <c r="BD66" s="5"/>
      <c r="BE66" s="5"/>
      <c r="BF66" s="5"/>
      <c r="BG66" s="5"/>
      <c r="BH66" s="5"/>
      <c r="BI66" s="5"/>
      <c r="BJ66" s="1568"/>
      <c r="BK66" s="5"/>
      <c r="BL66" s="1532"/>
      <c r="BM66" s="5"/>
      <c r="BN66" s="5"/>
    </row>
    <row r="67" spans="1:66" s="2509" customFormat="1" ht="19.5" customHeight="1">
      <c r="A67" s="7512"/>
      <c r="B67" s="2510"/>
      <c r="C67" s="3618">
        <v>44</v>
      </c>
      <c r="D67" s="4790" t="s">
        <v>1351</v>
      </c>
      <c r="E67" s="4795" t="s">
        <v>1545</v>
      </c>
      <c r="F67" s="4955"/>
      <c r="G67" s="2512">
        <v>3791.6666666666665</v>
      </c>
      <c r="H67" s="6706">
        <v>2339.1541538461538</v>
      </c>
      <c r="I67" s="6782">
        <f t="shared" si="45"/>
        <v>-1452.5125128205127</v>
      </c>
      <c r="J67" s="2518">
        <v>3791.6666666666665</v>
      </c>
      <c r="K67" s="6706">
        <v>2339.1541538461538</v>
      </c>
      <c r="L67" s="6789">
        <f t="shared" si="46"/>
        <v>-1452.5125128205127</v>
      </c>
      <c r="M67" s="2512">
        <v>3791.6666666666665</v>
      </c>
      <c r="N67" s="6706">
        <v>2339.1541538461538</v>
      </c>
      <c r="O67" s="6782">
        <f t="shared" si="47"/>
        <v>-1452.5125128205127</v>
      </c>
      <c r="P67" s="2518">
        <v>3791.6666666666665</v>
      </c>
      <c r="Q67" s="6706">
        <v>2663.064423076923</v>
      </c>
      <c r="R67" s="6789">
        <f t="shared" si="48"/>
        <v>-1128.6022435897435</v>
      </c>
      <c r="S67" s="2512">
        <v>3791.6666666666665</v>
      </c>
      <c r="T67" s="6706">
        <f>SUMIF('7. E Plan'!$D$45:$D$67,D67,'7. E Plan'!$K$45:$K$67)</f>
        <v>2663.064423076923</v>
      </c>
      <c r="U67" s="6782">
        <f t="shared" si="49"/>
        <v>-1128.6022435897435</v>
      </c>
      <c r="V67" s="2518">
        <f>S67</f>
        <v>3791.6666666666665</v>
      </c>
      <c r="W67" s="6706"/>
      <c r="X67" s="6789">
        <f t="shared" si="50"/>
        <v>-3791.6666666666665</v>
      </c>
      <c r="Y67" s="2512">
        <f>V67</f>
        <v>3791.6666666666665</v>
      </c>
      <c r="Z67" s="6706"/>
      <c r="AA67" s="6782">
        <f t="shared" si="51"/>
        <v>-3791.6666666666665</v>
      </c>
      <c r="AB67" s="2518">
        <f>Y67</f>
        <v>3791.6666666666665</v>
      </c>
      <c r="AC67" s="6706"/>
      <c r="AD67" s="6789">
        <f t="shared" si="52"/>
        <v>-3791.6666666666665</v>
      </c>
      <c r="AE67" s="2512">
        <f>AB67</f>
        <v>3791.6666666666665</v>
      </c>
      <c r="AF67" s="6706"/>
      <c r="AG67" s="6782">
        <f t="shared" si="53"/>
        <v>-3791.6666666666665</v>
      </c>
      <c r="AH67" s="2518">
        <f>AE67</f>
        <v>3791.6666666666665</v>
      </c>
      <c r="AI67" s="6706"/>
      <c r="AJ67" s="6789">
        <f t="shared" si="54"/>
        <v>-3791.6666666666665</v>
      </c>
      <c r="AK67" s="2512">
        <f>AH67</f>
        <v>3791.6666666666665</v>
      </c>
      <c r="AL67" s="6706"/>
      <c r="AM67" s="6782">
        <f t="shared" si="55"/>
        <v>-3791.6666666666665</v>
      </c>
      <c r="AN67" s="2518">
        <f t="shared" ref="AN67" si="69">AK67</f>
        <v>3791.6666666666665</v>
      </c>
      <c r="AO67" s="6706"/>
      <c r="AP67" s="6775">
        <f t="shared" si="56"/>
        <v>-3791.6666666666665</v>
      </c>
      <c r="AQ67" s="6764">
        <f t="shared" si="57"/>
        <v>18958.333333333332</v>
      </c>
      <c r="AR67" s="6670">
        <f t="shared" si="58"/>
        <v>12343.591307692308</v>
      </c>
      <c r="AS67" s="6796">
        <f t="shared" si="59"/>
        <v>-6614.7420256410242</v>
      </c>
      <c r="AT67" s="6375">
        <f t="shared" si="60"/>
        <v>6.5548048963383148E-4</v>
      </c>
      <c r="AU67" s="6375">
        <f t="shared" si="61"/>
        <v>2.8521335371571469E-4</v>
      </c>
      <c r="AV67" s="6336">
        <f t="shared" si="62"/>
        <v>1669.7989346153845</v>
      </c>
      <c r="AW67" s="6339">
        <f t="shared" si="63"/>
        <v>569.86221955128201</v>
      </c>
      <c r="AX67" s="6341">
        <f t="shared" si="64"/>
        <v>1099.9367150641024</v>
      </c>
      <c r="AY67" s="5"/>
      <c r="AZ67" s="4546"/>
      <c r="BA67" s="4034"/>
      <c r="BB67" s="4544"/>
      <c r="BC67" s="4544"/>
      <c r="BD67" s="5"/>
      <c r="BE67" s="5"/>
      <c r="BF67" s="5"/>
      <c r="BG67" s="5"/>
      <c r="BH67" s="5"/>
      <c r="BI67" s="5"/>
      <c r="BJ67" s="1568"/>
      <c r="BK67" s="5"/>
      <c r="BL67" s="1532"/>
      <c r="BM67" s="5"/>
      <c r="BN67" s="5"/>
    </row>
    <row r="68" spans="1:66" s="2509" customFormat="1" ht="19.5" customHeight="1">
      <c r="A68" s="7512"/>
      <c r="B68" s="2510"/>
      <c r="C68" s="4912">
        <v>45</v>
      </c>
      <c r="D68" s="4790" t="s">
        <v>316</v>
      </c>
      <c r="E68" s="4795" t="s">
        <v>1572</v>
      </c>
      <c r="F68" s="4955"/>
      <c r="G68" s="2512">
        <v>1693.1816173242348</v>
      </c>
      <c r="H68" s="6706">
        <v>1708.1549538461541</v>
      </c>
      <c r="I68" s="6782">
        <f t="shared" si="45"/>
        <v>14.973336521919236</v>
      </c>
      <c r="J68" s="2518">
        <v>1693.1816173242348</v>
      </c>
      <c r="K68" s="6706">
        <v>1848.9886711538459</v>
      </c>
      <c r="L68" s="6789">
        <f t="shared" si="46"/>
        <v>155.80705382961105</v>
      </c>
      <c r="M68" s="2512">
        <v>1693.1816173242348</v>
      </c>
      <c r="N68" s="6706">
        <v>1927.2266919230769</v>
      </c>
      <c r="O68" s="6782">
        <f t="shared" si="47"/>
        <v>234.04507459884212</v>
      </c>
      <c r="P68" s="2518">
        <v>1693.1816173242348</v>
      </c>
      <c r="Q68" s="6706">
        <v>1962.3210807692305</v>
      </c>
      <c r="R68" s="6789">
        <f t="shared" si="48"/>
        <v>269.13946344499573</v>
      </c>
      <c r="S68" s="2512">
        <v>1693.1816173242348</v>
      </c>
      <c r="T68" s="6706">
        <f>SUMIF('7. E Plan'!$D$45:$D$67,D68,'7. E Plan'!$K$45:$K$67)</f>
        <v>1730.8711538461539</v>
      </c>
      <c r="U68" s="6782">
        <f t="shared" si="49"/>
        <v>37.689536521919081</v>
      </c>
      <c r="V68" s="2518">
        <v>1693.1816173242348</v>
      </c>
      <c r="W68" s="6706"/>
      <c r="X68" s="6789">
        <f t="shared" si="50"/>
        <v>-1693.1816173242348</v>
      </c>
      <c r="Y68" s="2512">
        <v>1693.1816173242348</v>
      </c>
      <c r="Z68" s="6706"/>
      <c r="AA68" s="6782">
        <f t="shared" si="51"/>
        <v>-1693.1816173242348</v>
      </c>
      <c r="AB68" s="2518">
        <v>1693.1816173242348</v>
      </c>
      <c r="AC68" s="6706"/>
      <c r="AD68" s="6789">
        <f t="shared" si="52"/>
        <v>-1693.1816173242348</v>
      </c>
      <c r="AE68" s="2512">
        <v>1693.1816173242348</v>
      </c>
      <c r="AF68" s="6706"/>
      <c r="AG68" s="6782">
        <f t="shared" si="53"/>
        <v>-1693.1816173242348</v>
      </c>
      <c r="AH68" s="2518">
        <v>1693.1816173242348</v>
      </c>
      <c r="AI68" s="6706"/>
      <c r="AJ68" s="6789">
        <f t="shared" si="54"/>
        <v>-1693.1816173242348</v>
      </c>
      <c r="AK68" s="2512">
        <v>1693.1816173242348</v>
      </c>
      <c r="AL68" s="6706"/>
      <c r="AM68" s="6782">
        <f t="shared" si="55"/>
        <v>-1693.1816173242348</v>
      </c>
      <c r="AN68" s="2518">
        <v>1693.1816173242348</v>
      </c>
      <c r="AO68" s="6706"/>
      <c r="AP68" s="6775">
        <f t="shared" si="56"/>
        <v>-1693.1816173242348</v>
      </c>
      <c r="AQ68" s="6764">
        <f t="shared" si="57"/>
        <v>8465.9080866211734</v>
      </c>
      <c r="AR68" s="6670">
        <f t="shared" si="58"/>
        <v>9177.56255153846</v>
      </c>
      <c r="AS68" s="6796">
        <f t="shared" si="59"/>
        <v>711.65446491728653</v>
      </c>
      <c r="AT68" s="6375">
        <f t="shared" si="60"/>
        <v>5.0760953839832995E-4</v>
      </c>
      <c r="AU68" s="6375">
        <f t="shared" si="61"/>
        <v>1.6125094478550476E-4</v>
      </c>
      <c r="AV68" s="6336">
        <f t="shared" si="62"/>
        <v>1293.1061714615385</v>
      </c>
      <c r="AW68" s="6339">
        <f t="shared" si="63"/>
        <v>322.18274531353393</v>
      </c>
      <c r="AX68" s="6341">
        <f t="shared" si="64"/>
        <v>970.92342614800452</v>
      </c>
      <c r="AY68" s="5"/>
      <c r="AZ68" s="4546"/>
      <c r="BA68" s="4034"/>
      <c r="BB68" s="4544"/>
      <c r="BC68" s="4544"/>
      <c r="BD68" s="5"/>
      <c r="BE68" s="5"/>
      <c r="BF68" s="5"/>
      <c r="BG68" s="5"/>
      <c r="BH68" s="5"/>
      <c r="BI68" s="5"/>
      <c r="BJ68" s="1568"/>
      <c r="BK68" s="5"/>
      <c r="BL68" s="1532"/>
      <c r="BM68" s="5"/>
      <c r="BN68" s="5"/>
    </row>
    <row r="69" spans="1:66" s="2509" customFormat="1" ht="19.5" customHeight="1">
      <c r="A69" s="7512"/>
      <c r="B69" s="2510"/>
      <c r="C69" s="3618">
        <v>46</v>
      </c>
      <c r="D69" s="4790" t="s">
        <v>1170</v>
      </c>
      <c r="E69" s="4940" t="s">
        <v>1574</v>
      </c>
      <c r="F69" s="4955">
        <v>2.7000000000000001E-3</v>
      </c>
      <c r="G69" s="2512">
        <v>15126.42024296059</v>
      </c>
      <c r="H69" s="6706">
        <v>8950.1866957532238</v>
      </c>
      <c r="I69" s="6782">
        <f t="shared" si="45"/>
        <v>-6176.2335472073664</v>
      </c>
      <c r="J69" s="2518">
        <v>14150.132202434219</v>
      </c>
      <c r="K69" s="6706">
        <v>6321.8935000000001</v>
      </c>
      <c r="L69" s="6789">
        <f t="shared" si="46"/>
        <v>-7828.2387024342188</v>
      </c>
      <c r="M69" s="2512">
        <v>16494.767701102508</v>
      </c>
      <c r="N69" s="6706">
        <v>12540.870538461539</v>
      </c>
      <c r="O69" s="6782">
        <f t="shared" si="47"/>
        <v>-3953.8971626409693</v>
      </c>
      <c r="P69" s="2518">
        <v>15786.011196687779</v>
      </c>
      <c r="Q69" s="6706">
        <v>8091.4282115384613</v>
      </c>
      <c r="R69" s="6789">
        <f t="shared" si="48"/>
        <v>-7694.5829851493181</v>
      </c>
      <c r="S69" s="2512">
        <v>15639.822565575074</v>
      </c>
      <c r="T69" s="6706">
        <f>SUMIF('7. E Plan'!$D$45:$D$67,D69,'7. E Plan'!$K$45:$K$67)</f>
        <v>8410.5655769230762</v>
      </c>
      <c r="U69" s="6782">
        <f t="shared" si="49"/>
        <v>-7229.2569886519977</v>
      </c>
      <c r="V69" s="2518">
        <f>V6*0.27%</f>
        <v>10176.888349360654</v>
      </c>
      <c r="W69" s="6706"/>
      <c r="X69" s="6789">
        <f t="shared" si="50"/>
        <v>-10176.888349360654</v>
      </c>
      <c r="Y69" s="2512">
        <f>Y6*0.27%</f>
        <v>10973.894133732834</v>
      </c>
      <c r="Z69" s="6706"/>
      <c r="AA69" s="6782">
        <f t="shared" si="51"/>
        <v>-10973.894133732834</v>
      </c>
      <c r="AB69" s="2518">
        <f>AB6*0.27%</f>
        <v>10200.464254689659</v>
      </c>
      <c r="AC69" s="6706"/>
      <c r="AD69" s="6789">
        <f t="shared" si="52"/>
        <v>-10200.464254689659</v>
      </c>
      <c r="AE69" s="2512">
        <f>AE6*0.27%</f>
        <v>8964.5946456851016</v>
      </c>
      <c r="AF69" s="6706"/>
      <c r="AG69" s="6782">
        <f t="shared" si="53"/>
        <v>-8964.5946456851016</v>
      </c>
      <c r="AH69" s="2518">
        <f>AH6*0.27%</f>
        <v>8640.4945005774498</v>
      </c>
      <c r="AI69" s="6706"/>
      <c r="AJ69" s="6789">
        <f t="shared" si="54"/>
        <v>-8640.4945005774498</v>
      </c>
      <c r="AK69" s="2512">
        <f>AK6*0.27%</f>
        <v>8522.7916058234587</v>
      </c>
      <c r="AL69" s="6706"/>
      <c r="AM69" s="6782">
        <f t="shared" si="55"/>
        <v>-8522.7916058234587</v>
      </c>
      <c r="AN69" s="2518">
        <f>AN6*0.27%</f>
        <v>8541.5543295839925</v>
      </c>
      <c r="AO69" s="6706"/>
      <c r="AP69" s="6775">
        <f t="shared" si="56"/>
        <v>-8541.5543295839925</v>
      </c>
      <c r="AQ69" s="6764">
        <f t="shared" si="57"/>
        <v>77197.15390876017</v>
      </c>
      <c r="AR69" s="6670">
        <f t="shared" si="58"/>
        <v>44314.944522676305</v>
      </c>
      <c r="AS69" s="6796">
        <f t="shared" si="59"/>
        <v>-32882.209386083865</v>
      </c>
      <c r="AT69" s="6375">
        <f t="shared" si="60"/>
        <v>2.5271195581288665E-3</v>
      </c>
      <c r="AU69" s="6375">
        <f t="shared" si="61"/>
        <v>7.933690304629652E-4</v>
      </c>
      <c r="AV69" s="6336">
        <f t="shared" si="62"/>
        <v>6437.6920633695181</v>
      </c>
      <c r="AW69" s="6339">
        <f t="shared" si="63"/>
        <v>1585.1678427143841</v>
      </c>
      <c r="AX69" s="6341">
        <f t="shared" si="64"/>
        <v>4852.5242206551338</v>
      </c>
      <c r="AY69" s="5"/>
      <c r="AZ69" s="4546"/>
      <c r="BA69" s="4034"/>
      <c r="BB69" s="4544"/>
      <c r="BC69" s="4544"/>
      <c r="BD69" s="5"/>
      <c r="BE69" s="5"/>
      <c r="BF69" s="5"/>
      <c r="BG69" s="5"/>
      <c r="BH69" s="5"/>
      <c r="BI69" s="5"/>
      <c r="BJ69" s="1568"/>
      <c r="BK69" s="5"/>
      <c r="BL69" s="1532"/>
      <c r="BM69" s="5"/>
      <c r="BN69" s="5"/>
    </row>
    <row r="70" spans="1:66" s="2509" customFormat="1" ht="19.5" customHeight="1" thickBot="1">
      <c r="A70" s="7513"/>
      <c r="B70" s="2520"/>
      <c r="C70" s="4913">
        <v>47</v>
      </c>
      <c r="D70" s="4941" t="s">
        <v>517</v>
      </c>
      <c r="E70" s="4796" t="s">
        <v>1573</v>
      </c>
      <c r="F70" s="6649">
        <v>4.7999999999999996E-3</v>
      </c>
      <c r="G70" s="6785">
        <v>21017.694343754283</v>
      </c>
      <c r="H70" s="6708">
        <f>11632.2594811538+30.69</f>
        <v>11662.949481153801</v>
      </c>
      <c r="I70" s="6786">
        <f t="shared" si="45"/>
        <v>-9354.7448626004825</v>
      </c>
      <c r="J70" s="6779">
        <v>21017.694343754283</v>
      </c>
      <c r="K70" s="6708">
        <v>19232.238489277421</v>
      </c>
      <c r="L70" s="6791">
        <f t="shared" si="46"/>
        <v>-1785.4558544768624</v>
      </c>
      <c r="M70" s="6785">
        <v>21017.694343754283</v>
      </c>
      <c r="N70" s="6708">
        <f>16580.4026346154+1153.85</f>
        <v>17734.252634615397</v>
      </c>
      <c r="O70" s="6786">
        <f t="shared" si="47"/>
        <v>-3283.4417091388859</v>
      </c>
      <c r="P70" s="6779">
        <v>21017.694343754283</v>
      </c>
      <c r="Q70" s="6708">
        <v>20544.425861738062</v>
      </c>
      <c r="R70" s="6791">
        <f t="shared" si="48"/>
        <v>-473.26848201622124</v>
      </c>
      <c r="S70" s="6785">
        <v>21017.694343754283</v>
      </c>
      <c r="T70" s="6708">
        <f>SUMIF('7. E Plan'!$D$45:$D$67,D70,'7. E Plan'!$K$45:$K$67)</f>
        <v>17993.518442644774</v>
      </c>
      <c r="U70" s="6786">
        <f t="shared" si="49"/>
        <v>-3024.1759011095091</v>
      </c>
      <c r="V70" s="6779">
        <f>V6*0.48%</f>
        <v>18092.245954418937</v>
      </c>
      <c r="W70" s="6708"/>
      <c r="X70" s="6791">
        <f t="shared" si="50"/>
        <v>-18092.245954418937</v>
      </c>
      <c r="Y70" s="6785">
        <f>Y6*0.48%</f>
        <v>19509.145126636147</v>
      </c>
      <c r="Z70" s="6708"/>
      <c r="AA70" s="6786">
        <f t="shared" si="51"/>
        <v>-19509.145126636147</v>
      </c>
      <c r="AB70" s="6779">
        <f>AB6*0.48%</f>
        <v>18134.158675003837</v>
      </c>
      <c r="AC70" s="6708"/>
      <c r="AD70" s="6791">
        <f t="shared" si="52"/>
        <v>-18134.158675003837</v>
      </c>
      <c r="AE70" s="6785">
        <f>AE6*0.48%</f>
        <v>15937.057147884623</v>
      </c>
      <c r="AF70" s="6708"/>
      <c r="AG70" s="6786">
        <f t="shared" si="53"/>
        <v>-15937.057147884623</v>
      </c>
      <c r="AH70" s="6779">
        <f>AH6*0.48%</f>
        <v>15360.879112137685</v>
      </c>
      <c r="AI70" s="6708"/>
      <c r="AJ70" s="6791">
        <f t="shared" si="54"/>
        <v>-15360.879112137685</v>
      </c>
      <c r="AK70" s="6785">
        <f>AK6*0.48%</f>
        <v>15151.629521463925</v>
      </c>
      <c r="AL70" s="6708"/>
      <c r="AM70" s="6786">
        <f t="shared" si="55"/>
        <v>-15151.629521463925</v>
      </c>
      <c r="AN70" s="6779">
        <f>AN6*0.48%</f>
        <v>15184.985474815985</v>
      </c>
      <c r="AO70" s="6708"/>
      <c r="AP70" s="6776">
        <f t="shared" si="56"/>
        <v>-15184.985474815985</v>
      </c>
      <c r="AQ70" s="6797">
        <f t="shared" si="57"/>
        <v>105088.47171877141</v>
      </c>
      <c r="AR70" s="6676">
        <f t="shared" si="58"/>
        <v>87167.384909429442</v>
      </c>
      <c r="AS70" s="6798">
        <f t="shared" si="59"/>
        <v>-17921.08680934197</v>
      </c>
      <c r="AT70" s="6377">
        <f t="shared" si="60"/>
        <v>4.6243752944850587E-3</v>
      </c>
      <c r="AU70" s="6377">
        <f t="shared" si="61"/>
        <v>1.6007097431851066E-3</v>
      </c>
      <c r="AV70" s="6336">
        <f t="shared" si="62"/>
        <v>11780.330707183128</v>
      </c>
      <c r="AW70" s="6339">
        <f t="shared" si="63"/>
        <v>3198.2513975065958</v>
      </c>
      <c r="AX70" s="6341">
        <f t="shared" si="64"/>
        <v>8582.0793096765319</v>
      </c>
      <c r="AY70" s="5"/>
      <c r="AZ70" s="4546"/>
      <c r="BA70" s="4034"/>
      <c r="BB70" s="4544"/>
      <c r="BC70" s="4544"/>
      <c r="BD70" s="5"/>
      <c r="BE70" s="5"/>
      <c r="BF70" s="5"/>
      <c r="BG70" s="5"/>
      <c r="BH70" s="5"/>
      <c r="BI70" s="5"/>
      <c r="BJ70" s="1568"/>
      <c r="BK70" s="5"/>
      <c r="BL70" s="1532"/>
      <c r="BM70" s="5"/>
      <c r="BN70" s="5"/>
    </row>
    <row r="71" spans="1:66" ht="19.5" customHeight="1" thickBot="1">
      <c r="A71" s="2524"/>
      <c r="B71" s="7090" t="s">
        <v>15</v>
      </c>
      <c r="C71" s="7090"/>
      <c r="D71" s="7090"/>
      <c r="E71" s="2385"/>
      <c r="F71" s="4886"/>
      <c r="G71" s="2527">
        <f>SUM(G48:G70)</f>
        <v>425621.43308559322</v>
      </c>
      <c r="H71" s="2528">
        <f>SUM(H48:H70)</f>
        <v>418828.00109036366</v>
      </c>
      <c r="I71" s="6787">
        <f t="shared" si="45"/>
        <v>-6793.4319952295627</v>
      </c>
      <c r="J71" s="3625">
        <f>SUM(J48:J70)</f>
        <v>427859.04675783752</v>
      </c>
      <c r="K71" s="2528">
        <f t="shared" ref="K71:AR71" si="70">SUM(K48:K70)</f>
        <v>393380.95633305016</v>
      </c>
      <c r="L71" s="6792">
        <f t="shared" si="46"/>
        <v>-34478.09042478737</v>
      </c>
      <c r="M71" s="2527">
        <f>SUM(M48:M70)</f>
        <v>438379.32654843031</v>
      </c>
      <c r="N71" s="2528">
        <f t="shared" si="70"/>
        <v>416650.50958472013</v>
      </c>
      <c r="O71" s="6787">
        <f t="shared" si="47"/>
        <v>-21728.816963710182</v>
      </c>
      <c r="P71" s="3625">
        <f>SUM(P48:P70)</f>
        <v>416900.76587623375</v>
      </c>
      <c r="Q71" s="2528">
        <f t="shared" si="70"/>
        <v>430542.6272812353</v>
      </c>
      <c r="R71" s="6792">
        <f t="shared" si="48"/>
        <v>13641.861405001546</v>
      </c>
      <c r="S71" s="2527">
        <f t="shared" si="70"/>
        <v>415586.14379205735</v>
      </c>
      <c r="T71" s="2527">
        <f t="shared" ref="T71" si="71">SUM(T48:T70)</f>
        <v>384788.43584141188</v>
      </c>
      <c r="U71" s="6787">
        <f t="shared" si="49"/>
        <v>-30797.707950645476</v>
      </c>
      <c r="V71" s="3625">
        <f t="shared" si="70"/>
        <v>404544.56212542264</v>
      </c>
      <c r="W71" s="2528"/>
      <c r="X71" s="6792">
        <f t="shared" si="50"/>
        <v>-404544.56212542264</v>
      </c>
      <c r="Y71" s="2527">
        <f t="shared" si="70"/>
        <v>392541.34540618473</v>
      </c>
      <c r="Z71" s="2528"/>
      <c r="AA71" s="6787">
        <f t="shared" si="51"/>
        <v>-392541.34540618473</v>
      </c>
      <c r="AB71" s="3625">
        <f t="shared" si="70"/>
        <v>363590.00139071984</v>
      </c>
      <c r="AC71" s="2528"/>
      <c r="AD71" s="6792">
        <f t="shared" si="52"/>
        <v>-363590.00139071984</v>
      </c>
      <c r="AE71" s="2527">
        <f t="shared" si="70"/>
        <v>349848.88872382353</v>
      </c>
      <c r="AF71" s="2528"/>
      <c r="AG71" s="6787">
        <f t="shared" si="53"/>
        <v>-349848.88872382353</v>
      </c>
      <c r="AH71" s="3625">
        <f t="shared" si="70"/>
        <v>326928.9115164954</v>
      </c>
      <c r="AI71" s="2528"/>
      <c r="AJ71" s="6792">
        <f t="shared" si="54"/>
        <v>-326928.9115164954</v>
      </c>
      <c r="AK71" s="2527">
        <f t="shared" si="70"/>
        <v>324141.04446955916</v>
      </c>
      <c r="AL71" s="2528"/>
      <c r="AM71" s="6787">
        <f t="shared" si="55"/>
        <v>-324141.04446955916</v>
      </c>
      <c r="AN71" s="3625">
        <f t="shared" si="70"/>
        <v>335613.92308515403</v>
      </c>
      <c r="AO71" s="2528"/>
      <c r="AP71" s="6777">
        <f t="shared" si="56"/>
        <v>-335613.92308515403</v>
      </c>
      <c r="AQ71" s="1824">
        <f>SUM(AQ48:AQ70)</f>
        <v>2124346.7160601518</v>
      </c>
      <c r="AR71" s="1776">
        <f t="shared" si="70"/>
        <v>2044190.5301307805</v>
      </c>
      <c r="AS71" s="6799">
        <f t="shared" si="59"/>
        <v>-80156.185929371277</v>
      </c>
      <c r="AT71" s="6378">
        <f t="shared" si="60"/>
        <v>0.11303653607925514</v>
      </c>
      <c r="AU71" s="6378">
        <f t="shared" si="61"/>
        <v>3.457142383027649E-2</v>
      </c>
      <c r="AV71" s="6337">
        <f t="shared" si="62"/>
        <v>287954.08940881432</v>
      </c>
      <c r="AW71" s="6340">
        <f t="shared" si="63"/>
        <v>69074.424672998619</v>
      </c>
      <c r="AX71" s="6342">
        <f>AV71-AW71</f>
        <v>218879.66473581572</v>
      </c>
      <c r="AZ71" s="4546"/>
      <c r="BJ71" s="1568"/>
      <c r="BL71" s="1532"/>
    </row>
    <row r="72" spans="1:66" ht="19.5" customHeight="1" thickBot="1">
      <c r="A72" s="7514" t="s">
        <v>192</v>
      </c>
      <c r="B72" s="7515"/>
      <c r="C72" s="7515"/>
      <c r="D72" s="7515"/>
      <c r="E72" s="4797"/>
      <c r="F72" s="6650"/>
      <c r="G72" s="4992">
        <f>G71/G6</f>
        <v>0.11536423341557155</v>
      </c>
      <c r="H72" s="4993">
        <f>H71/H6</f>
        <v>0.11475905649430217</v>
      </c>
      <c r="I72" s="4995"/>
      <c r="J72" s="6780">
        <f>J71/J6</f>
        <v>0.12397213443739828</v>
      </c>
      <c r="K72" s="4993">
        <f>K71/K6</f>
        <v>0.1251447669775721</v>
      </c>
      <c r="L72" s="4994"/>
      <c r="M72" s="4992">
        <f>M71/M6</f>
        <v>0.10896517437638295</v>
      </c>
      <c r="N72" s="4993">
        <f>N71/N6</f>
        <v>0.10169372293429671</v>
      </c>
      <c r="O72" s="4995"/>
      <c r="P72" s="6780">
        <f>P71/P6</f>
        <v>0.10929108261463884</v>
      </c>
      <c r="Q72" s="4993">
        <f>Q71/Q6</f>
        <v>0.13065279796186177</v>
      </c>
      <c r="R72" s="4994"/>
      <c r="S72" s="4992">
        <f>S71/S6</f>
        <v>0.10894645271090916</v>
      </c>
      <c r="T72" s="4992">
        <f>T71/T6</f>
        <v>0.10395088497134586</v>
      </c>
      <c r="U72" s="4995"/>
      <c r="V72" s="6780">
        <f>V71/V6</f>
        <v>0.10732851538135045</v>
      </c>
      <c r="W72" s="4993"/>
      <c r="X72" s="4994"/>
      <c r="Y72" s="4992">
        <f>Y71/Y6</f>
        <v>9.6580267649819279E-2</v>
      </c>
      <c r="Z72" s="4993"/>
      <c r="AA72" s="4995"/>
      <c r="AB72" s="6780">
        <f>AB71/AB6</f>
        <v>9.6240031751849989E-2</v>
      </c>
      <c r="AC72" s="4993"/>
      <c r="AD72" s="4994"/>
      <c r="AE72" s="4992">
        <f>AE71/AE6</f>
        <v>0.10536918141736401</v>
      </c>
      <c r="AF72" s="4993"/>
      <c r="AG72" s="4995"/>
      <c r="AH72" s="6780">
        <f>AH71/AH6</f>
        <v>0.10215943786962027</v>
      </c>
      <c r="AI72" s="4993"/>
      <c r="AJ72" s="4994"/>
      <c r="AK72" s="4992">
        <f>AK71/AK6</f>
        <v>0.10268710776288553</v>
      </c>
      <c r="AL72" s="4993"/>
      <c r="AM72" s="4995"/>
      <c r="AN72" s="6780">
        <f>AN71/AN6</f>
        <v>0.10608813775162738</v>
      </c>
      <c r="AO72" s="4993"/>
      <c r="AP72" s="4994"/>
      <c r="AQ72" s="6800">
        <f>AQ71/AQ6</f>
        <v>0.11303974589366171</v>
      </c>
      <c r="AR72" s="6692">
        <f>AR71/AR6</f>
        <v>0.11428292622873311</v>
      </c>
      <c r="AS72" s="6801">
        <f>AR72-AQ72</f>
        <v>1.2431803350713977E-3</v>
      </c>
      <c r="AT72" s="3634"/>
      <c r="AU72" s="3634"/>
      <c r="AV72" s="1637"/>
      <c r="AW72" s="1568"/>
      <c r="AZ72" s="4546"/>
      <c r="BJ72" s="1568"/>
      <c r="BL72" s="1532"/>
    </row>
    <row r="73" spans="1:66" ht="15.6">
      <c r="A73" s="2531"/>
      <c r="F73" s="6685"/>
      <c r="G73" s="6710"/>
      <c r="H73" s="6710"/>
      <c r="I73" s="6710"/>
      <c r="J73" s="6710"/>
      <c r="K73" s="6710"/>
      <c r="L73" s="6710"/>
      <c r="M73" s="6710"/>
      <c r="N73" s="6710"/>
      <c r="O73" s="6930"/>
      <c r="P73" s="6930"/>
      <c r="Q73" s="6710"/>
      <c r="R73" s="6709"/>
      <c r="S73" s="6709"/>
      <c r="T73" s="6710"/>
      <c r="U73" s="6709"/>
      <c r="V73" s="6709"/>
      <c r="W73" s="6710"/>
      <c r="X73" s="6709"/>
      <c r="Y73" s="6709"/>
      <c r="Z73" s="6710"/>
      <c r="AA73" s="6709"/>
      <c r="AB73" s="6709"/>
      <c r="AC73" s="6710"/>
      <c r="AD73" s="6709"/>
      <c r="AE73" s="6709"/>
      <c r="AF73" s="6710"/>
      <c r="AG73" s="6709"/>
      <c r="AH73" s="6709"/>
      <c r="AI73" s="6710"/>
      <c r="AJ73" s="6709"/>
      <c r="AK73" s="6709"/>
      <c r="AL73" s="6710"/>
      <c r="AM73" s="6709"/>
      <c r="AN73" s="2533"/>
      <c r="AO73" s="6710"/>
      <c r="AP73" s="2533"/>
      <c r="AQ73" s="1533"/>
      <c r="AR73" s="1533" t="b">
        <f>ROUND(AR71,0)=ROUND(SUM(H71:AN71),0)</f>
        <v>0</v>
      </c>
      <c r="AS73" s="1533"/>
      <c r="AT73" s="1533"/>
      <c r="AU73" s="1533"/>
      <c r="AV73" s="1637"/>
      <c r="AW73" s="1568"/>
      <c r="AZ73" s="6683"/>
      <c r="BB73" s="6684"/>
      <c r="BC73" s="6684"/>
      <c r="BJ73" s="1568"/>
      <c r="BL73" s="1532"/>
    </row>
    <row r="74" spans="1:66" ht="19.5" customHeight="1" thickBot="1">
      <c r="A74" s="1538" t="s">
        <v>535</v>
      </c>
      <c r="F74" s="6685"/>
      <c r="G74" s="1784"/>
      <c r="H74" s="1784"/>
      <c r="I74" s="1784"/>
      <c r="J74" s="1784"/>
      <c r="K74" s="1784"/>
      <c r="N74" s="1784"/>
      <c r="Q74" s="1784"/>
      <c r="T74" s="1784"/>
      <c r="W74" s="1784"/>
      <c r="Z74" s="1784"/>
      <c r="AC74" s="1784"/>
      <c r="AF74" s="1784"/>
      <c r="AI74" s="1784"/>
      <c r="AL74" s="1784"/>
      <c r="AN74" s="1533"/>
      <c r="AO74" s="1784"/>
      <c r="AP74" s="1533"/>
      <c r="AQ74" s="1785"/>
      <c r="AR74" s="1785" t="s">
        <v>86</v>
      </c>
      <c r="AS74" s="1785"/>
      <c r="AT74" s="1785"/>
      <c r="AU74" s="1785"/>
      <c r="AV74" s="1637"/>
      <c r="AW74" s="1568"/>
      <c r="AZ74" s="6683"/>
      <c r="BB74" s="6684"/>
      <c r="BC74" s="6684"/>
      <c r="BJ74" s="1568"/>
      <c r="BL74" s="1532"/>
    </row>
    <row r="75" spans="1:66" s="1528" customFormat="1" ht="19.5" customHeight="1" thickBot="1">
      <c r="A75" s="1539" t="s">
        <v>116</v>
      </c>
      <c r="B75" s="2385" t="s">
        <v>115</v>
      </c>
      <c r="C75" s="74" t="s">
        <v>1011</v>
      </c>
      <c r="D75" s="2386" t="s">
        <v>30</v>
      </c>
      <c r="E75" s="2387"/>
      <c r="F75" s="6646"/>
      <c r="G75" s="1841" t="s">
        <v>1925</v>
      </c>
      <c r="H75" s="1842" t="s">
        <v>1927</v>
      </c>
      <c r="I75" s="1843" t="s">
        <v>1930</v>
      </c>
      <c r="J75" s="1841" t="s">
        <v>1925</v>
      </c>
      <c r="K75" s="1842" t="s">
        <v>1927</v>
      </c>
      <c r="L75" s="1843" t="s">
        <v>1930</v>
      </c>
      <c r="M75" s="3394" t="s">
        <v>1925</v>
      </c>
      <c r="N75" s="1842" t="s">
        <v>1927</v>
      </c>
      <c r="O75" s="27" t="s">
        <v>1930</v>
      </c>
      <c r="P75" s="1841" t="s">
        <v>1925</v>
      </c>
      <c r="Q75" s="1842" t="s">
        <v>1927</v>
      </c>
      <c r="R75" s="1843" t="s">
        <v>1930</v>
      </c>
      <c r="S75" s="1841" t="s">
        <v>1925</v>
      </c>
      <c r="T75" s="1842" t="s">
        <v>1927</v>
      </c>
      <c r="U75" s="1843" t="s">
        <v>1930</v>
      </c>
      <c r="V75" s="3394" t="s">
        <v>1925</v>
      </c>
      <c r="W75" s="1842" t="s">
        <v>1927</v>
      </c>
      <c r="X75" s="27" t="s">
        <v>1930</v>
      </c>
      <c r="Y75" s="1841" t="s">
        <v>1925</v>
      </c>
      <c r="Z75" s="1842" t="s">
        <v>1927</v>
      </c>
      <c r="AA75" s="1843" t="s">
        <v>1930</v>
      </c>
      <c r="AB75" s="3394" t="s">
        <v>1925</v>
      </c>
      <c r="AC75" s="1842" t="s">
        <v>1927</v>
      </c>
      <c r="AD75" s="27" t="s">
        <v>1930</v>
      </c>
      <c r="AE75" s="1841" t="s">
        <v>1925</v>
      </c>
      <c r="AF75" s="1842" t="s">
        <v>1927</v>
      </c>
      <c r="AG75" s="1843" t="s">
        <v>1930</v>
      </c>
      <c r="AH75" s="3394" t="s">
        <v>1925</v>
      </c>
      <c r="AI75" s="1842" t="s">
        <v>1927</v>
      </c>
      <c r="AJ75" s="27" t="s">
        <v>1930</v>
      </c>
      <c r="AK75" s="1841" t="s">
        <v>1925</v>
      </c>
      <c r="AL75" s="1842" t="s">
        <v>1927</v>
      </c>
      <c r="AM75" s="1843" t="s">
        <v>1931</v>
      </c>
      <c r="AN75" s="79" t="s">
        <v>1925</v>
      </c>
      <c r="AO75" s="1842" t="s">
        <v>1928</v>
      </c>
      <c r="AP75" s="57" t="s">
        <v>1930</v>
      </c>
      <c r="AQ75" s="6804" t="s">
        <v>1925</v>
      </c>
      <c r="AR75" s="6677" t="s">
        <v>1927</v>
      </c>
      <c r="AS75" s="2534" t="s">
        <v>1930</v>
      </c>
      <c r="AT75" s="6664"/>
      <c r="AU75" s="2534"/>
      <c r="AV75" s="1637"/>
      <c r="AW75" s="1568"/>
      <c r="AX75" s="5"/>
      <c r="AY75" s="5"/>
      <c r="AZ75" s="4546"/>
      <c r="BA75" s="4034"/>
      <c r="BB75" s="4544"/>
      <c r="BC75" s="4544"/>
      <c r="BD75" s="5"/>
      <c r="BE75" s="5"/>
      <c r="BF75" s="5"/>
      <c r="BG75" s="5"/>
      <c r="BH75" s="5"/>
      <c r="BI75" s="5"/>
      <c r="BJ75" s="1568"/>
      <c r="BK75" s="5"/>
      <c r="BL75" s="1532"/>
      <c r="BM75" s="5"/>
      <c r="BN75" s="5"/>
    </row>
    <row r="76" spans="1:66" ht="19.5" customHeight="1">
      <c r="A76" s="7520" t="s">
        <v>536</v>
      </c>
      <c r="B76" s="7521"/>
      <c r="C76" s="3618">
        <v>49</v>
      </c>
      <c r="D76" s="2535" t="s">
        <v>1039</v>
      </c>
      <c r="E76" s="4798"/>
      <c r="F76" s="6651"/>
      <c r="G76" s="6812">
        <v>45000</v>
      </c>
      <c r="H76" s="6711">
        <v>42124</v>
      </c>
      <c r="I76" s="6813">
        <f t="shared" ref="I76:I81" si="72">H76-G76</f>
        <v>-2876</v>
      </c>
      <c r="J76" s="6812">
        <v>45000</v>
      </c>
      <c r="K76" s="6711">
        <v>48199.069318301415</v>
      </c>
      <c r="L76" s="6813">
        <f t="shared" ref="L76:L78" si="73">K76-J76</f>
        <v>3199.0693183014155</v>
      </c>
      <c r="M76" s="6820">
        <v>45000</v>
      </c>
      <c r="N76" s="6711">
        <v>39104.011396288937</v>
      </c>
      <c r="O76" s="6807">
        <f t="shared" ref="O76:O78" si="74">N76-M76</f>
        <v>-5895.9886037110628</v>
      </c>
      <c r="P76" s="6812">
        <v>45000</v>
      </c>
      <c r="Q76" s="6711">
        <v>45080.469877387688</v>
      </c>
      <c r="R76" s="6813">
        <f t="shared" ref="R76:R78" si="75">Q76-P76</f>
        <v>80.46987738768803</v>
      </c>
      <c r="S76" s="6812">
        <v>45000</v>
      </c>
      <c r="T76" s="6711">
        <f>'7. E Plan'!K73</f>
        <v>46747.927909255661</v>
      </c>
      <c r="U76" s="6813">
        <f t="shared" ref="U76:U78" si="76">T76-S76</f>
        <v>1747.9279092556608</v>
      </c>
      <c r="V76" s="6820">
        <f>+S76</f>
        <v>45000</v>
      </c>
      <c r="W76" s="6711"/>
      <c r="X76" s="6807">
        <f t="shared" ref="X76:X78" si="77">W76-V76</f>
        <v>-45000</v>
      </c>
      <c r="Y76" s="6812">
        <f>+V76</f>
        <v>45000</v>
      </c>
      <c r="Z76" s="6711"/>
      <c r="AA76" s="6813">
        <f t="shared" ref="AA76:AA78" si="78">Z76-Y76</f>
        <v>-45000</v>
      </c>
      <c r="AB76" s="6820">
        <f>+Y76</f>
        <v>45000</v>
      </c>
      <c r="AC76" s="6711"/>
      <c r="AD76" s="6807">
        <f t="shared" ref="AD76:AD78" si="79">AC76-AB76</f>
        <v>-45000</v>
      </c>
      <c r="AE76" s="6812">
        <f>+AB76</f>
        <v>45000</v>
      </c>
      <c r="AF76" s="6711"/>
      <c r="AG76" s="6813">
        <f t="shared" ref="AG76:AG78" si="80">AF76-AE76</f>
        <v>-45000</v>
      </c>
      <c r="AH76" s="6820">
        <f>+AE76</f>
        <v>45000</v>
      </c>
      <c r="AI76" s="6711"/>
      <c r="AJ76" s="6807">
        <f t="shared" ref="AJ76:AJ78" si="81">AI76-AH76</f>
        <v>-45000</v>
      </c>
      <c r="AK76" s="6812">
        <f>+AH76</f>
        <v>45000</v>
      </c>
      <c r="AL76" s="6711"/>
      <c r="AM76" s="6813">
        <f t="shared" ref="AM76:AM78" si="82">AL76-AK76</f>
        <v>-45000</v>
      </c>
      <c r="AN76" s="6810">
        <f t="shared" ref="AN76" si="83">+AK76</f>
        <v>45000</v>
      </c>
      <c r="AO76" s="6711"/>
      <c r="AP76" s="6802">
        <f t="shared" ref="AP76:AP78" si="84">AO76-AN76</f>
        <v>-45000</v>
      </c>
      <c r="AQ76" s="6764">
        <f t="shared" ref="AQ76:AQ78" si="85">IF(H$6&gt;0,G76,0)+IF(K$6&gt;0,J76,0)+IF(N$6&gt;0,M76,0)+IF(Q$6&gt;0,P76,0)+IF(T$6&gt;0,S76,0)+IF(W$6&gt;0,V76,0)+IF(Z$6&gt;0,Y76,0)+IF(AC$6&gt;0,AB76,0)+IF(AF$6&gt;0,AE76,0)+IF(AI$6&gt;0,AH76,0)+IF(AL$6&gt;0,AK76,0)+IF(AO$6&gt;0,AN76,0)</f>
        <v>225000</v>
      </c>
      <c r="AR76" s="6670">
        <f t="shared" ref="AR76:AR78" si="86">H76+K76+N76+Q76+T76+W76+Z76+AC76+AF76+AI76+AL76+AO76</f>
        <v>221255.47850123371</v>
      </c>
      <c r="AS76" s="6796">
        <f t="shared" ref="AS76:AS78" si="87">AR76-AQ76</f>
        <v>-3744.5214987662912</v>
      </c>
      <c r="AT76" s="6375">
        <f>SUM(H76:Q76)/SUM($H$6:$Q$6)</f>
        <v>1.1930970658535954E-2</v>
      </c>
      <c r="AU76" s="6379">
        <f>SUM(S76:AN76)/SUM($S$6:$AN$6)</f>
        <v>4.3322826727341729E-3</v>
      </c>
      <c r="AV76" s="1637"/>
      <c r="AW76" s="1568"/>
      <c r="AZ76" s="4546"/>
      <c r="BJ76" s="1568"/>
      <c r="BL76" s="1532"/>
    </row>
    <row r="77" spans="1:66" ht="19.5" customHeight="1">
      <c r="A77" s="7522"/>
      <c r="B77" s="7523"/>
      <c r="C77" s="3618">
        <v>50</v>
      </c>
      <c r="D77" s="1616" t="s">
        <v>1310</v>
      </c>
      <c r="E77" s="77"/>
      <c r="F77" s="6652"/>
      <c r="G77" s="1759">
        <v>383.29615384615386</v>
      </c>
      <c r="H77" s="3802">
        <v>383.29615384615386</v>
      </c>
      <c r="I77" s="6814">
        <f t="shared" si="72"/>
        <v>0</v>
      </c>
      <c r="J77" s="1759">
        <v>383.29615384615386</v>
      </c>
      <c r="K77" s="3802">
        <v>383.29615384615386</v>
      </c>
      <c r="L77" s="6814">
        <f t="shared" si="73"/>
        <v>0</v>
      </c>
      <c r="M77" s="1767">
        <v>383.29615384615386</v>
      </c>
      <c r="N77" s="3802">
        <v>383.29615384615386</v>
      </c>
      <c r="O77" s="6808">
        <f t="shared" si="74"/>
        <v>0</v>
      </c>
      <c r="P77" s="1759">
        <v>383.29615384615386</v>
      </c>
      <c r="Q77" s="3802">
        <v>383.29615384615386</v>
      </c>
      <c r="R77" s="6814">
        <f t="shared" si="75"/>
        <v>0</v>
      </c>
      <c r="S77" s="1759">
        <v>383.29615384615386</v>
      </c>
      <c r="T77" s="3802">
        <f>'7. E Plan'!K74</f>
        <v>383.29615384615386</v>
      </c>
      <c r="U77" s="6814">
        <f t="shared" si="76"/>
        <v>0</v>
      </c>
      <c r="V77" s="1767">
        <v>383.29615384615386</v>
      </c>
      <c r="W77" s="3802"/>
      <c r="X77" s="6808">
        <f t="shared" si="77"/>
        <v>-383.29615384615386</v>
      </c>
      <c r="Y77" s="1759">
        <v>383.29615384615386</v>
      </c>
      <c r="Z77" s="3802"/>
      <c r="AA77" s="6814">
        <f t="shared" si="78"/>
        <v>-383.29615384615386</v>
      </c>
      <c r="AB77" s="1767">
        <v>383.29615384615386</v>
      </c>
      <c r="AC77" s="3802"/>
      <c r="AD77" s="6808">
        <f t="shared" si="79"/>
        <v>-383.29615384615386</v>
      </c>
      <c r="AE77" s="1759">
        <v>383.29615384615386</v>
      </c>
      <c r="AF77" s="3802"/>
      <c r="AG77" s="6814">
        <f t="shared" si="80"/>
        <v>-383.29615384615386</v>
      </c>
      <c r="AH77" s="1767">
        <v>383.29615384615386</v>
      </c>
      <c r="AI77" s="3802"/>
      <c r="AJ77" s="6808">
        <f t="shared" si="81"/>
        <v>-383.29615384615386</v>
      </c>
      <c r="AK77" s="1759">
        <v>383.29615384615386</v>
      </c>
      <c r="AL77" s="3802"/>
      <c r="AM77" s="6814">
        <f t="shared" si="82"/>
        <v>-383.29615384615386</v>
      </c>
      <c r="AN77" s="1599">
        <v>383.29615384615386</v>
      </c>
      <c r="AO77" s="3802"/>
      <c r="AP77" s="6592">
        <f t="shared" si="84"/>
        <v>-383.29615384615386</v>
      </c>
      <c r="AQ77" s="6805">
        <f t="shared" si="85"/>
        <v>1916.4807692307693</v>
      </c>
      <c r="AR77" s="6678">
        <f t="shared" si="86"/>
        <v>1916.4807692307693</v>
      </c>
      <c r="AS77" s="6806">
        <f t="shared" si="87"/>
        <v>0</v>
      </c>
      <c r="AT77" s="6665">
        <f>SUM(H77:Q77)/SUM($H$6:$Q$6)</f>
        <v>1.0532418111705061E-4</v>
      </c>
      <c r="AU77" s="6380">
        <f>SUM(S77:AN77)/SUM($S$6:$AN$6)</f>
        <v>3.5969609545776654E-5</v>
      </c>
      <c r="AV77" s="1637"/>
      <c r="AW77" s="1568"/>
      <c r="AZ77" s="4546"/>
      <c r="BJ77" s="1568"/>
      <c r="BL77" s="1532"/>
    </row>
    <row r="78" spans="1:66" ht="19.5" customHeight="1" thickBot="1">
      <c r="A78" s="7524"/>
      <c r="B78" s="7525"/>
      <c r="C78" s="3618">
        <v>51</v>
      </c>
      <c r="D78" s="4803" t="s">
        <v>1040</v>
      </c>
      <c r="E78" s="4799"/>
      <c r="F78" s="6653"/>
      <c r="G78" s="6815">
        <v>17456.562307784316</v>
      </c>
      <c r="H78" s="6712">
        <f>+'12. FA Loan'!L51+'12. FA Loan'!L25</f>
        <v>34943.417046632254</v>
      </c>
      <c r="I78" s="6816">
        <f t="shared" si="72"/>
        <v>17486.854738847938</v>
      </c>
      <c r="J78" s="6815">
        <v>16931.647445996958</v>
      </c>
      <c r="K78" s="6712">
        <f>+'12. FA Loan'!M51</f>
        <v>14473.634527852431</v>
      </c>
      <c r="L78" s="6816">
        <f t="shared" si="73"/>
        <v>-2458.0129181445263</v>
      </c>
      <c r="M78" s="6821">
        <v>16406.732584209603</v>
      </c>
      <c r="N78" s="6712">
        <f>+'12. FA Loan'!N51</f>
        <v>13401.786871787968</v>
      </c>
      <c r="O78" s="6809">
        <f t="shared" si="74"/>
        <v>-3004.9457124216351</v>
      </c>
      <c r="P78" s="6815">
        <v>15881.817722422249</v>
      </c>
      <c r="Q78" s="6712">
        <f>+'12. FA Loan'!O51</f>
        <v>13222.233968766157</v>
      </c>
      <c r="R78" s="6816">
        <f t="shared" si="75"/>
        <v>-2659.5837536560921</v>
      </c>
      <c r="S78" s="6815">
        <v>15356.902860634891</v>
      </c>
      <c r="T78" s="6712">
        <f>'7. E Plan'!K75</f>
        <v>13408.681065744344</v>
      </c>
      <c r="U78" s="6816">
        <f t="shared" si="76"/>
        <v>-1948.2217948905472</v>
      </c>
      <c r="V78" s="6821">
        <f>+'12. FA Loan'!Q51</f>
        <v>11406.128162722533</v>
      </c>
      <c r="W78" s="6712"/>
      <c r="X78" s="6809">
        <f t="shared" si="77"/>
        <v>-11406.128162722533</v>
      </c>
      <c r="Y78" s="6815">
        <f>+'12. FA Loan'!R51</f>
        <v>8113.6343843262366</v>
      </c>
      <c r="Z78" s="6712"/>
      <c r="AA78" s="6816">
        <f t="shared" si="78"/>
        <v>-8113.6343843262366</v>
      </c>
      <c r="AB78" s="6821">
        <f>+'12. FA Loan'!S51</f>
        <v>7875.455070761137</v>
      </c>
      <c r="AC78" s="6712"/>
      <c r="AD78" s="6809">
        <f t="shared" si="79"/>
        <v>-7875.455070761137</v>
      </c>
      <c r="AE78" s="6815">
        <f>+'12. FA Loan'!T51</f>
        <v>7637.2757571960356</v>
      </c>
      <c r="AF78" s="6712"/>
      <c r="AG78" s="6816">
        <f t="shared" si="80"/>
        <v>-7637.2757571960356</v>
      </c>
      <c r="AH78" s="6821">
        <f>+'12. FA Loan'!U51</f>
        <v>5620.2932134932407</v>
      </c>
      <c r="AI78" s="6712"/>
      <c r="AJ78" s="6809">
        <f t="shared" si="81"/>
        <v>-5620.2932134932407</v>
      </c>
      <c r="AK78" s="6815">
        <f>+'12. FA Loan'!V51</f>
        <v>5419.6582507640323</v>
      </c>
      <c r="AL78" s="6712"/>
      <c r="AM78" s="6816">
        <f t="shared" si="82"/>
        <v>-5419.6582507640323</v>
      </c>
      <c r="AN78" s="6811">
        <f>+'12. FA Loan'!W51</f>
        <v>4733.2392269819456</v>
      </c>
      <c r="AO78" s="6712"/>
      <c r="AP78" s="6803">
        <f t="shared" si="84"/>
        <v>-4733.2392269819456</v>
      </c>
      <c r="AQ78" s="6797">
        <f t="shared" si="85"/>
        <v>82033.662921048017</v>
      </c>
      <c r="AR78" s="6676">
        <f t="shared" si="86"/>
        <v>89449.753480783154</v>
      </c>
      <c r="AS78" s="6798">
        <f t="shared" si="87"/>
        <v>7416.0905597351375</v>
      </c>
      <c r="AT78" s="6377">
        <f>SUM(H78:Q78)/SUM($H$6:$Q$6)</f>
        <v>5.3891367484162822E-3</v>
      </c>
      <c r="AU78" s="6381">
        <f>SUM(S78:AN78)/SUM($S$6:$AN$6)</f>
        <v>9.8693295024482688E-4</v>
      </c>
      <c r="AV78" s="1637"/>
      <c r="AW78" s="1568"/>
      <c r="AZ78" s="4546"/>
      <c r="BJ78" s="1568"/>
      <c r="BL78" s="1532"/>
    </row>
    <row r="79" spans="1:66" ht="19.5" customHeight="1" thickBot="1">
      <c r="A79" s="2540"/>
      <c r="B79" s="7090" t="s">
        <v>15</v>
      </c>
      <c r="C79" s="7090"/>
      <c r="D79" s="7090"/>
      <c r="E79" s="2385"/>
      <c r="F79" s="4886"/>
      <c r="G79" s="1824">
        <f t="shared" ref="G79:AS79" si="88">SUM(G76:G78)</f>
        <v>62839.858461630472</v>
      </c>
      <c r="H79" s="1776">
        <f t="shared" si="88"/>
        <v>77450.713200478407</v>
      </c>
      <c r="I79" s="1777">
        <f t="shared" si="88"/>
        <v>14610.854738847938</v>
      </c>
      <c r="J79" s="1824">
        <f t="shared" si="88"/>
        <v>62314.943599843114</v>
      </c>
      <c r="K79" s="1776">
        <f t="shared" si="88"/>
        <v>63056</v>
      </c>
      <c r="L79" s="1777">
        <f t="shared" si="88"/>
        <v>741.05640015688914</v>
      </c>
      <c r="M79" s="1778">
        <f t="shared" si="88"/>
        <v>61790.028738055757</v>
      </c>
      <c r="N79" s="1776">
        <f t="shared" si="88"/>
        <v>52889.094421923059</v>
      </c>
      <c r="O79" s="1825">
        <f t="shared" si="88"/>
        <v>-8900.9343161326979</v>
      </c>
      <c r="P79" s="1824">
        <f t="shared" si="88"/>
        <v>61265.113876268399</v>
      </c>
      <c r="Q79" s="1776">
        <f t="shared" si="88"/>
        <v>58686</v>
      </c>
      <c r="R79" s="1777">
        <f t="shared" si="88"/>
        <v>-2579.1138762684041</v>
      </c>
      <c r="S79" s="1824">
        <f t="shared" si="88"/>
        <v>60740.199014481041</v>
      </c>
      <c r="T79" s="1776">
        <f t="shared" si="88"/>
        <v>60539.905128846156</v>
      </c>
      <c r="U79" s="1777">
        <f t="shared" si="88"/>
        <v>-200.29388563488646</v>
      </c>
      <c r="V79" s="1778">
        <f t="shared" si="88"/>
        <v>56789.424316568686</v>
      </c>
      <c r="W79" s="1776">
        <f t="shared" si="88"/>
        <v>0</v>
      </c>
      <c r="X79" s="1825">
        <f t="shared" si="88"/>
        <v>-56789.424316568686</v>
      </c>
      <c r="Y79" s="1824">
        <f t="shared" si="88"/>
        <v>53496.93053817239</v>
      </c>
      <c r="Z79" s="1776">
        <f t="shared" si="88"/>
        <v>0</v>
      </c>
      <c r="AA79" s="1777">
        <f t="shared" si="88"/>
        <v>-53496.93053817239</v>
      </c>
      <c r="AB79" s="1778">
        <f t="shared" si="88"/>
        <v>53258.751224607287</v>
      </c>
      <c r="AC79" s="1776">
        <f t="shared" si="88"/>
        <v>0</v>
      </c>
      <c r="AD79" s="1825">
        <f t="shared" si="88"/>
        <v>-53258.751224607287</v>
      </c>
      <c r="AE79" s="1824">
        <f t="shared" si="88"/>
        <v>53020.571911042192</v>
      </c>
      <c r="AF79" s="1776">
        <f t="shared" si="88"/>
        <v>0</v>
      </c>
      <c r="AG79" s="1777">
        <f t="shared" si="88"/>
        <v>-53020.571911042192</v>
      </c>
      <c r="AH79" s="1778">
        <f t="shared" si="88"/>
        <v>51003.589367339395</v>
      </c>
      <c r="AI79" s="1776">
        <f t="shared" si="88"/>
        <v>0</v>
      </c>
      <c r="AJ79" s="1825">
        <f t="shared" si="88"/>
        <v>-51003.589367339395</v>
      </c>
      <c r="AK79" s="1824">
        <f t="shared" si="88"/>
        <v>50802.954404610187</v>
      </c>
      <c r="AL79" s="1776">
        <f t="shared" si="88"/>
        <v>0</v>
      </c>
      <c r="AM79" s="1777">
        <f t="shared" si="88"/>
        <v>-50802.954404610187</v>
      </c>
      <c r="AN79" s="1608">
        <f t="shared" si="88"/>
        <v>50116.5353808281</v>
      </c>
      <c r="AO79" s="1776">
        <f t="shared" si="88"/>
        <v>0</v>
      </c>
      <c r="AP79" s="1607">
        <f t="shared" si="88"/>
        <v>-50116.5353808281</v>
      </c>
      <c r="AQ79" s="1824">
        <f t="shared" si="88"/>
        <v>308950.14369027881</v>
      </c>
      <c r="AR79" s="1776">
        <f t="shared" si="88"/>
        <v>312621.71275124763</v>
      </c>
      <c r="AS79" s="6799">
        <f t="shared" si="88"/>
        <v>3671.5690609688463</v>
      </c>
      <c r="AT79" s="6378">
        <f>SUM(H79:Q79)/SUM($H$6:$Q$6)</f>
        <v>1.7425431588069289E-2</v>
      </c>
      <c r="AU79" s="6382">
        <f>SUM(S79:AN79)/SUM($S$6:$AN$6)</f>
        <v>5.3551852325247765E-3</v>
      </c>
      <c r="AV79" s="1637"/>
      <c r="AW79" s="1568"/>
      <c r="AZ79" s="4546"/>
      <c r="BJ79" s="1568"/>
      <c r="BL79" s="1532"/>
    </row>
    <row r="80" spans="1:66" s="1618" customFormat="1" ht="19.5" customHeight="1" thickBot="1">
      <c r="A80" s="6679"/>
      <c r="B80" s="6680"/>
      <c r="C80" s="6681"/>
      <c r="D80" s="6680"/>
      <c r="E80" s="6680"/>
      <c r="F80" s="6643"/>
      <c r="G80" s="6666"/>
      <c r="H80" s="6666"/>
      <c r="I80" s="6666"/>
      <c r="J80" s="6666"/>
      <c r="K80" s="6666"/>
      <c r="L80" s="6666"/>
      <c r="M80" s="6666"/>
      <c r="N80" s="6666"/>
      <c r="O80" s="6666"/>
      <c r="P80" s="6666"/>
      <c r="Q80" s="6666"/>
      <c r="R80" s="6666"/>
      <c r="S80" s="6666"/>
      <c r="T80" s="6666"/>
      <c r="U80" s="6666"/>
      <c r="V80" s="6666"/>
      <c r="W80" s="6666"/>
      <c r="X80" s="6666"/>
      <c r="Y80" s="6666"/>
      <c r="Z80" s="6666"/>
      <c r="AA80" s="6666"/>
      <c r="AB80" s="6666"/>
      <c r="AC80" s="6666"/>
      <c r="AD80" s="6666"/>
      <c r="AE80" s="6666"/>
      <c r="AF80" s="6666"/>
      <c r="AG80" s="6666"/>
      <c r="AH80" s="6666"/>
      <c r="AI80" s="6666"/>
      <c r="AJ80" s="6666"/>
      <c r="AK80" s="6666"/>
      <c r="AL80" s="6666"/>
      <c r="AM80" s="6666"/>
      <c r="AN80" s="6682"/>
      <c r="AO80" s="6666"/>
      <c r="AP80" s="6682"/>
      <c r="AQ80" s="6666"/>
      <c r="AR80" s="6666"/>
      <c r="AS80" s="6693"/>
      <c r="AT80" s="6666"/>
      <c r="AU80" s="6666"/>
      <c r="AV80" s="1637"/>
      <c r="AW80" s="1568"/>
      <c r="AX80" s="5"/>
      <c r="AY80" s="5"/>
      <c r="AZ80" s="6683"/>
      <c r="BA80" s="4034"/>
      <c r="BB80" s="6684"/>
      <c r="BC80" s="6684"/>
      <c r="BD80" s="5"/>
      <c r="BE80" s="5"/>
      <c r="BF80" s="5"/>
      <c r="BG80" s="5"/>
      <c r="BH80" s="5"/>
      <c r="BI80" s="5"/>
      <c r="BJ80" s="1568"/>
      <c r="BK80" s="5"/>
      <c r="BL80" s="1532"/>
      <c r="BM80" s="5"/>
      <c r="BN80" s="5"/>
    </row>
    <row r="81" spans="1:64" ht="19.5" customHeight="1" thickBot="1">
      <c r="A81" s="3254" t="s">
        <v>1206</v>
      </c>
      <c r="B81" s="3255"/>
      <c r="C81" s="3620">
        <v>52</v>
      </c>
      <c r="D81" s="3256"/>
      <c r="E81" s="4800"/>
      <c r="F81" s="6654"/>
      <c r="G81" s="3258">
        <v>410653</v>
      </c>
      <c r="H81" s="3639">
        <v>18316</v>
      </c>
      <c r="I81" s="6818">
        <f t="shared" si="72"/>
        <v>-392337</v>
      </c>
      <c r="J81" s="3258">
        <v>30000</v>
      </c>
      <c r="K81" s="3639">
        <v>10496.7760323077</v>
      </c>
      <c r="L81" s="6931">
        <f t="shared" ref="L81" si="89">K81-J81</f>
        <v>-19503.223967692298</v>
      </c>
      <c r="M81" s="3260">
        <v>30000</v>
      </c>
      <c r="N81" s="6932">
        <f>+'10. IS'!D13</f>
        <v>342141</v>
      </c>
      <c r="O81" s="6809">
        <f t="shared" ref="O81" si="90">N81-M81</f>
        <v>312141</v>
      </c>
      <c r="P81" s="3258">
        <v>30000</v>
      </c>
      <c r="Q81" s="3639">
        <f>+'10. IS'!E13</f>
        <v>-29475.3641903846</v>
      </c>
      <c r="R81" s="6818">
        <f t="shared" ref="R81" si="91">Q81-P81</f>
        <v>-59475.3641903846</v>
      </c>
      <c r="S81" s="3258">
        <f>+'10. IS'!F13</f>
        <v>-20513.646675</v>
      </c>
      <c r="T81" s="3639">
        <f>+'7. E Plan'!K78</f>
        <v>20513.646675000004</v>
      </c>
      <c r="U81" s="6818">
        <f t="shared" ref="U81" si="92">T81-S81</f>
        <v>41027.293350000007</v>
      </c>
      <c r="V81" s="6819">
        <f>+'10. IS'!G13</f>
        <v>30000</v>
      </c>
      <c r="W81" s="3639"/>
      <c r="X81" s="6809">
        <f t="shared" ref="X81" si="93">W81-V81</f>
        <v>-30000</v>
      </c>
      <c r="Y81" s="3258">
        <f>+'10. IS'!H13</f>
        <v>30000</v>
      </c>
      <c r="Z81" s="3639"/>
      <c r="AA81" s="6818">
        <f t="shared" ref="AA81" si="94">Z81-Y81</f>
        <v>-30000</v>
      </c>
      <c r="AB81" s="6819">
        <f>+'10. IS'!I13</f>
        <v>30000</v>
      </c>
      <c r="AC81" s="3639"/>
      <c r="AD81" s="6809">
        <f t="shared" ref="AD81" si="95">AC81-AB81</f>
        <v>-30000</v>
      </c>
      <c r="AE81" s="3258">
        <f>+'10. IS'!J13</f>
        <v>30000</v>
      </c>
      <c r="AF81" s="3639"/>
      <c r="AG81" s="6818">
        <f t="shared" ref="AG81" si="96">AF81-AE81</f>
        <v>-30000</v>
      </c>
      <c r="AH81" s="6819">
        <f>+'10. IS'!K13</f>
        <v>30000</v>
      </c>
      <c r="AI81" s="3639"/>
      <c r="AJ81" s="6809">
        <f t="shared" ref="AJ81" si="97">AI81-AH81</f>
        <v>-30000</v>
      </c>
      <c r="AK81" s="3258">
        <f>+'10. IS'!L13</f>
        <v>30000</v>
      </c>
      <c r="AL81" s="3639"/>
      <c r="AM81" s="6818">
        <f t="shared" ref="AM81" si="98">AL81-AK81</f>
        <v>-30000</v>
      </c>
      <c r="AN81" s="6817">
        <f>+'10. IS'!M13</f>
        <v>30000</v>
      </c>
      <c r="AO81" s="3639"/>
      <c r="AP81" s="6803">
        <f t="shared" ref="AP81" si="99">AO81-AN81</f>
        <v>-30000</v>
      </c>
      <c r="AQ81" s="1824">
        <f t="shared" ref="AQ81" si="100">IF(H$6&gt;0,G81,0)+IF(K$6&gt;0,J81,0)+IF(N$6&gt;0,M81,0)+IF(Q$6&gt;0,P81,0)+IF(T$6&gt;0,S81,0)+IF(W$6&gt;0,V81,0)+IF(Z$6&gt;0,Y81,0)+IF(AC$6&gt;0,AB81,0)+IF(AF$6&gt;0,AE81,0)+IF(AI$6&gt;0,AH81,0)+IF(AL$6&gt;0,AK81,0)+IF(AO$6&gt;0,AN81,0)</f>
        <v>480139.35332499997</v>
      </c>
      <c r="AR81" s="1776">
        <f t="shared" ref="AR81" si="101">H81+K81+N81+Q81+T81+W81+Z81+AC81+AF81+AI81+AL81+AO81</f>
        <v>361992.05851692316</v>
      </c>
      <c r="AS81" s="6799">
        <f t="shared" ref="AS81" si="102">AR81-AQ81</f>
        <v>-118147.29480807681</v>
      </c>
      <c r="AT81" s="6378">
        <f t="shared" ref="AT81" si="103">SUM(H81:Q81)/SUM($H$6:$Q$6)</f>
        <v>1.3024010257151596E-2</v>
      </c>
      <c r="AU81" s="6382">
        <f t="shared" ref="AU81" si="104">SUM(S81:AN81)/SUM($S$6:$AN$6)</f>
        <v>2.221801587151055E-3</v>
      </c>
      <c r="AV81" s="1637"/>
      <c r="AW81" s="1568"/>
      <c r="AZ81" s="4546"/>
      <c r="BJ81" s="1568"/>
      <c r="BL81" s="1532"/>
    </row>
    <row r="82" spans="1:64" ht="19.5" customHeight="1">
      <c r="AQ82" s="1532"/>
      <c r="AR82" s="1532"/>
      <c r="AS82" s="1532"/>
      <c r="AT82" s="1532"/>
      <c r="AU82" s="1532"/>
      <c r="AV82" s="1637"/>
      <c r="AW82" s="1568"/>
      <c r="AZ82" s="4546"/>
      <c r="BJ82" s="1568"/>
      <c r="BL82" s="1532"/>
    </row>
    <row r="83" spans="1:64" ht="19.5" customHeight="1">
      <c r="L83" s="6933"/>
      <c r="M83" s="6933"/>
      <c r="AV83" s="1637"/>
      <c r="AW83" s="1568"/>
      <c r="AZ83" s="4546"/>
      <c r="BJ83" s="1568"/>
      <c r="BL83" s="1532"/>
    </row>
    <row r="84" spans="1:64" ht="22.5" customHeight="1">
      <c r="L84" s="1784"/>
      <c r="M84" s="1784"/>
      <c r="AN84" s="1534"/>
      <c r="AP84" s="1534"/>
      <c r="AV84" s="1637"/>
      <c r="AW84" s="1568"/>
      <c r="AZ84" s="4546"/>
      <c r="BJ84" s="1568"/>
      <c r="BL84" s="1532"/>
    </row>
    <row r="85" spans="1:64" ht="22.5" customHeight="1"/>
    <row r="86" spans="1:64" ht="19.5" hidden="1" customHeight="1" thickBot="1"/>
    <row r="87" spans="1:64" ht="19.5" hidden="1" customHeight="1" thickBot="1">
      <c r="G87" s="6714"/>
      <c r="H87" s="6714">
        <v>205669.05957633618</v>
      </c>
      <c r="I87" s="6934"/>
      <c r="J87" s="6934"/>
      <c r="K87" s="6714">
        <v>80627.969585757761</v>
      </c>
      <c r="L87" s="6713"/>
      <c r="M87" s="6713"/>
      <c r="N87" s="6714">
        <v>441086.70904567197</v>
      </c>
      <c r="O87" s="6713"/>
      <c r="P87" s="6713"/>
      <c r="Q87" s="6714"/>
      <c r="R87" s="6713"/>
      <c r="S87" s="6713"/>
      <c r="T87" s="6714"/>
      <c r="U87" s="6713"/>
      <c r="V87" s="6713">
        <v>194654.0329276447</v>
      </c>
      <c r="W87" s="6714"/>
      <c r="X87" s="6713"/>
      <c r="Y87" s="6713">
        <v>145122.06692099571</v>
      </c>
      <c r="Z87" s="6714"/>
      <c r="AA87" s="6713"/>
      <c r="AB87" s="6713">
        <v>404612.56677754188</v>
      </c>
      <c r="AC87" s="6714"/>
      <c r="AD87" s="6713"/>
      <c r="AE87" s="6713">
        <v>511868.07994597987</v>
      </c>
      <c r="AF87" s="6714"/>
      <c r="AG87" s="6713"/>
      <c r="AH87" s="6713">
        <v>583211.07402593945</v>
      </c>
      <c r="AI87" s="6714"/>
      <c r="AJ87" s="6713"/>
      <c r="AK87" s="6713">
        <v>495589.94074417255</v>
      </c>
      <c r="AL87" s="6714"/>
      <c r="AM87" s="6715"/>
      <c r="AN87" s="3292">
        <v>359572.27562872501</v>
      </c>
      <c r="AO87" s="6714"/>
      <c r="AP87" s="6689"/>
    </row>
    <row r="88" spans="1:64" ht="19.5" hidden="1" customHeight="1"/>
  </sheetData>
  <mergeCells count="26">
    <mergeCell ref="AT8:AU8"/>
    <mergeCell ref="AV8:AW8"/>
    <mergeCell ref="A11:A36"/>
    <mergeCell ref="B36:D36"/>
    <mergeCell ref="AQ4:AS4"/>
    <mergeCell ref="AQ9:AS9"/>
    <mergeCell ref="A4:D4"/>
    <mergeCell ref="A6:D6"/>
    <mergeCell ref="A72:D72"/>
    <mergeCell ref="A76:B78"/>
    <mergeCell ref="B79:D79"/>
    <mergeCell ref="A37:D37"/>
    <mergeCell ref="A38:D38"/>
    <mergeCell ref="A39:D39"/>
    <mergeCell ref="A40:D40"/>
    <mergeCell ref="A48:A70"/>
    <mergeCell ref="B71:D71"/>
    <mergeCell ref="AQ46:AS46"/>
    <mergeCell ref="A9:A10"/>
    <mergeCell ref="B9:B10"/>
    <mergeCell ref="C9:C10"/>
    <mergeCell ref="D9:D10"/>
    <mergeCell ref="A46:A47"/>
    <mergeCell ref="B46:B47"/>
    <mergeCell ref="C46:C47"/>
    <mergeCell ref="D46:D47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4DC15-78BE-4712-A1EF-0834A7E895A9}">
  <sheetPr>
    <pageSetUpPr fitToPage="1"/>
  </sheetPr>
  <dimension ref="A1:BN41"/>
  <sheetViews>
    <sheetView showGridLines="0" zoomScale="70" zoomScaleNormal="70" workbookViewId="0">
      <selection activeCell="O10" sqref="O10"/>
    </sheetView>
  </sheetViews>
  <sheetFormatPr defaultColWidth="9" defaultRowHeight="15" customHeight="1" outlineLevelRow="1"/>
  <cols>
    <col min="1" max="1" width="50.3984375" style="5" customWidth="1"/>
    <col min="2" max="2" width="12.69921875" style="5" customWidth="1"/>
    <col min="3" max="3" width="13" style="1536" customWidth="1"/>
    <col min="4" max="4" width="9.59765625" style="1536" customWidth="1"/>
    <col min="5" max="5" width="12.69921875" style="5" customWidth="1"/>
    <col min="6" max="6" width="13" style="1536" customWidth="1"/>
    <col min="7" max="7" width="9.59765625" style="1536" customWidth="1"/>
    <col min="8" max="8" width="12.69921875" style="5" customWidth="1"/>
    <col min="9" max="9" width="13" style="1536" customWidth="1"/>
    <col min="10" max="10" width="9.59765625" style="1536" customWidth="1"/>
    <col min="11" max="11" width="12.69921875" style="5" customWidth="1"/>
    <col min="12" max="12" width="13" style="1536" customWidth="1"/>
    <col min="13" max="13" width="9.59765625" style="1536" customWidth="1"/>
    <col min="14" max="14" width="12.69921875" style="5" customWidth="1"/>
    <col min="15" max="15" width="13" style="1536" customWidth="1"/>
    <col min="16" max="16" width="9.59765625" style="1536" customWidth="1"/>
    <col min="17" max="18" width="13" style="1535" hidden="1" customWidth="1"/>
    <col min="19" max="19" width="9.59765625" style="1535" hidden="1" customWidth="1"/>
    <col min="20" max="21" width="13" style="1535" hidden="1" customWidth="1"/>
    <col min="22" max="22" width="9.59765625" style="1535" hidden="1" customWidth="1"/>
    <col min="23" max="24" width="13" style="1535" hidden="1" customWidth="1"/>
    <col min="25" max="25" width="9.59765625" style="1535" hidden="1" customWidth="1"/>
    <col min="26" max="27" width="13" style="1535" hidden="1" customWidth="1"/>
    <col min="28" max="28" width="9.59765625" style="1535" hidden="1" customWidth="1"/>
    <col min="29" max="30" width="13" style="1535" hidden="1" customWidth="1"/>
    <col min="31" max="31" width="9.59765625" style="1535" hidden="1" customWidth="1"/>
    <col min="32" max="33" width="13" style="1535" hidden="1" customWidth="1"/>
    <col min="34" max="34" width="9.59765625" style="1535" hidden="1" customWidth="1"/>
    <col min="35" max="36" width="13" style="1535" hidden="1" customWidth="1"/>
    <col min="37" max="37" width="9.59765625" style="1535" hidden="1" customWidth="1"/>
    <col min="38" max="38" width="12.69921875" style="1535" customWidth="1"/>
    <col min="39" max="39" width="13" style="1535" customWidth="1"/>
    <col min="40" max="41" width="12.3984375" style="1535" customWidth="1"/>
    <col min="42" max="42" width="34.09765625" style="5" bestFit="1" customWidth="1"/>
    <col min="43" max="16384" width="9" style="5"/>
  </cols>
  <sheetData>
    <row r="1" spans="1:42" ht="15" customHeight="1">
      <c r="A1" s="1538" t="s">
        <v>543</v>
      </c>
      <c r="B1" s="1538"/>
      <c r="C1" s="1534"/>
      <c r="D1" s="1534"/>
      <c r="E1" s="1538"/>
      <c r="F1" s="1534"/>
      <c r="G1" s="1534"/>
      <c r="H1" s="1538"/>
      <c r="I1" s="1534"/>
      <c r="J1" s="1534"/>
      <c r="K1" s="1538"/>
      <c r="L1" s="1534"/>
      <c r="M1" s="1534"/>
      <c r="N1" s="1538"/>
      <c r="O1" s="1534"/>
      <c r="P1" s="1534"/>
      <c r="Q1" s="1533"/>
      <c r="R1" s="1533"/>
      <c r="S1" s="1533"/>
      <c r="T1" s="1533"/>
      <c r="U1" s="1533"/>
      <c r="V1" s="1533"/>
      <c r="W1" s="1533"/>
      <c r="X1" s="1533"/>
      <c r="Y1" s="1533"/>
      <c r="Z1" s="1533"/>
      <c r="AA1" s="1533"/>
      <c r="AB1" s="1533"/>
      <c r="AC1" s="1533"/>
      <c r="AD1" s="1533"/>
      <c r="AE1" s="1533"/>
      <c r="AF1" s="1533"/>
      <c r="AG1" s="1533"/>
      <c r="AH1" s="1533"/>
      <c r="AI1" s="1533"/>
      <c r="AJ1" s="1533"/>
      <c r="AK1" s="1533"/>
      <c r="AL1" s="2382"/>
      <c r="AM1" s="1533"/>
      <c r="AN1" s="1533" t="s">
        <v>86</v>
      </c>
      <c r="AO1" s="1533"/>
    </row>
    <row r="2" spans="1:42" ht="15" customHeight="1" thickBot="1">
      <c r="A2" s="1538"/>
      <c r="B2" s="1538"/>
      <c r="C2" s="1534"/>
      <c r="D2" s="1534"/>
      <c r="E2" s="1538"/>
      <c r="F2" s="1534"/>
      <c r="G2" s="1534"/>
      <c r="H2" s="1538"/>
      <c r="I2" s="1534"/>
      <c r="J2" s="1534"/>
      <c r="K2" s="1538"/>
      <c r="L2" s="1534"/>
      <c r="M2" s="1534"/>
      <c r="N2" s="1538"/>
      <c r="O2" s="1534"/>
      <c r="P2" s="1534"/>
      <c r="Q2" s="1533"/>
      <c r="R2" s="1533"/>
      <c r="S2" s="1533"/>
      <c r="T2" s="1533"/>
      <c r="U2" s="1533"/>
      <c r="V2" s="1533"/>
      <c r="W2" s="1533"/>
      <c r="X2" s="1533"/>
      <c r="Y2" s="1533"/>
      <c r="Z2" s="1533"/>
      <c r="AA2" s="1533"/>
      <c r="AB2" s="1533"/>
      <c r="AC2" s="1533"/>
      <c r="AD2" s="1533"/>
      <c r="AE2" s="1533"/>
      <c r="AF2" s="1533"/>
      <c r="AG2" s="1533"/>
      <c r="AH2" s="1533"/>
      <c r="AI2" s="1533"/>
      <c r="AJ2" s="1533"/>
      <c r="AK2" s="1533"/>
      <c r="AL2" s="2382"/>
      <c r="AM2" s="1533"/>
      <c r="AN2" s="1533"/>
      <c r="AO2" s="1533"/>
    </row>
    <row r="3" spans="1:42" s="1530" customFormat="1" ht="15.6">
      <c r="A3" s="6591" t="s">
        <v>108</v>
      </c>
      <c r="B3" s="7580" t="str">
        <f>'2. S Plan'!L4</f>
        <v>Jan.26</v>
      </c>
      <c r="C3" s="7574"/>
      <c r="D3" s="7575"/>
      <c r="E3" s="7579" t="str">
        <f>'2. S Plan'!M4</f>
        <v>Feb.26</v>
      </c>
      <c r="F3" s="7574"/>
      <c r="G3" s="7581"/>
      <c r="H3" s="7580" t="str">
        <f>'2. S Plan'!N4</f>
        <v>Mar.26</v>
      </c>
      <c r="I3" s="7574"/>
      <c r="J3" s="7575"/>
      <c r="K3" s="7579" t="str">
        <f>'2. S Plan'!O4</f>
        <v>Apr.26</v>
      </c>
      <c r="L3" s="7574"/>
      <c r="M3" s="7581"/>
      <c r="N3" s="7580" t="str">
        <f>'2. S Plan'!P4</f>
        <v>May.26</v>
      </c>
      <c r="O3" s="7574"/>
      <c r="P3" s="7575"/>
      <c r="Q3" s="7579" t="str">
        <f>'2. S Plan'!R4</f>
        <v>Jul.26</v>
      </c>
      <c r="R3" s="7574"/>
      <c r="S3" s="7574"/>
      <c r="T3" s="7574" t="str">
        <f>'2. S Plan'!R4</f>
        <v>Jul.26</v>
      </c>
      <c r="U3" s="7574"/>
      <c r="V3" s="7574"/>
      <c r="W3" s="7574" t="str">
        <f>'2. S Plan'!S4</f>
        <v>Aug.26</v>
      </c>
      <c r="X3" s="7574"/>
      <c r="Y3" s="7574"/>
      <c r="Z3" s="7574" t="str">
        <f>'2. S Plan'!T4</f>
        <v>Sep.26</v>
      </c>
      <c r="AA3" s="7574"/>
      <c r="AB3" s="7574"/>
      <c r="AC3" s="7574" t="str">
        <f>'2. S Plan'!U4</f>
        <v>Oct.26</v>
      </c>
      <c r="AD3" s="7574"/>
      <c r="AE3" s="7574"/>
      <c r="AF3" s="7574" t="str">
        <f>'2. S Plan'!V4</f>
        <v>Nov.26</v>
      </c>
      <c r="AG3" s="7574"/>
      <c r="AH3" s="7574"/>
      <c r="AI3" s="7574" t="str">
        <f>'2. S Plan'!W4</f>
        <v>Dec.26</v>
      </c>
      <c r="AJ3" s="7574"/>
      <c r="AK3" s="7574"/>
      <c r="AL3" s="7574" t="str">
        <f>'2. S Plan'!X4</f>
        <v>2026
Total</v>
      </c>
      <c r="AM3" s="7574"/>
      <c r="AN3" s="7574"/>
      <c r="AO3" s="7575"/>
    </row>
    <row r="4" spans="1:42" s="1530" customFormat="1" ht="21.75" customHeight="1" thickBot="1">
      <c r="A4" s="6888"/>
      <c r="B4" s="6901" t="s">
        <v>1923</v>
      </c>
      <c r="C4" s="6843" t="s">
        <v>1924</v>
      </c>
      <c r="D4" s="6844" t="s">
        <v>1931</v>
      </c>
      <c r="E4" s="6889" t="s">
        <v>1923</v>
      </c>
      <c r="F4" s="6843" t="s">
        <v>1924</v>
      </c>
      <c r="G4" s="6906" t="s">
        <v>1931</v>
      </c>
      <c r="H4" s="6901" t="s">
        <v>1923</v>
      </c>
      <c r="I4" s="6843" t="s">
        <v>1924</v>
      </c>
      <c r="J4" s="6844" t="s">
        <v>1931</v>
      </c>
      <c r="K4" s="6889" t="s">
        <v>1923</v>
      </c>
      <c r="L4" s="6843" t="s">
        <v>1924</v>
      </c>
      <c r="M4" s="6906" t="s">
        <v>1931</v>
      </c>
      <c r="N4" s="6901" t="s">
        <v>1923</v>
      </c>
      <c r="O4" s="6843" t="s">
        <v>1924</v>
      </c>
      <c r="P4" s="6844" t="s">
        <v>1931</v>
      </c>
      <c r="Q4" s="6889" t="s">
        <v>1923</v>
      </c>
      <c r="R4" s="6843" t="s">
        <v>1924</v>
      </c>
      <c r="S4" s="6843" t="s">
        <v>1931</v>
      </c>
      <c r="T4" s="6843" t="s">
        <v>1923</v>
      </c>
      <c r="U4" s="6843" t="s">
        <v>1924</v>
      </c>
      <c r="V4" s="6843" t="s">
        <v>1931</v>
      </c>
      <c r="W4" s="6843" t="s">
        <v>1923</v>
      </c>
      <c r="X4" s="6843" t="s">
        <v>1924</v>
      </c>
      <c r="Y4" s="6843" t="s">
        <v>1931</v>
      </c>
      <c r="Z4" s="6843" t="s">
        <v>1923</v>
      </c>
      <c r="AA4" s="6843" t="s">
        <v>1924</v>
      </c>
      <c r="AB4" s="6843" t="s">
        <v>1931</v>
      </c>
      <c r="AC4" s="6843" t="s">
        <v>1923</v>
      </c>
      <c r="AD4" s="6843" t="s">
        <v>1924</v>
      </c>
      <c r="AE4" s="6843" t="s">
        <v>1931</v>
      </c>
      <c r="AF4" s="6843" t="s">
        <v>1923</v>
      </c>
      <c r="AG4" s="6843" t="s">
        <v>1924</v>
      </c>
      <c r="AH4" s="6843" t="s">
        <v>1931</v>
      </c>
      <c r="AI4" s="6843" t="s">
        <v>1923</v>
      </c>
      <c r="AJ4" s="6843" t="s">
        <v>1924</v>
      </c>
      <c r="AK4" s="6843" t="s">
        <v>1931</v>
      </c>
      <c r="AL4" s="6843" t="s">
        <v>1923</v>
      </c>
      <c r="AM4" s="6843" t="s">
        <v>1924</v>
      </c>
      <c r="AN4" s="6843" t="s">
        <v>1931</v>
      </c>
      <c r="AO4" s="6844" t="s">
        <v>938</v>
      </c>
    </row>
    <row r="5" spans="1:42" ht="16.5" customHeight="1">
      <c r="A5" s="1671" t="s">
        <v>0</v>
      </c>
      <c r="B5" s="6606">
        <v>3689370.7909659981</v>
      </c>
      <c r="C5" s="3800">
        <f>'2. S Plan'!L206</f>
        <v>3649629.1786013301</v>
      </c>
      <c r="D5" s="6633">
        <f>C5-B5</f>
        <v>-39741.612364667933</v>
      </c>
      <c r="E5" s="6890">
        <v>3451251.7566912733</v>
      </c>
      <c r="F5" s="3800">
        <f>'2. S Plan'!M206</f>
        <v>3143407.1582357911</v>
      </c>
      <c r="G5" s="6620">
        <f>F5-E5</f>
        <v>-307844.59845548216</v>
      </c>
      <c r="H5" s="6606">
        <v>4023114.0734396363</v>
      </c>
      <c r="I5" s="3800">
        <f>'2. S Plan'!N206</f>
        <v>4097111.3807477951</v>
      </c>
      <c r="J5" s="6633">
        <f>I5-H5</f>
        <v>73997.307308158837</v>
      </c>
      <c r="K5" s="6890">
        <v>3850246.6333384831</v>
      </c>
      <c r="L5" s="3800">
        <f>'2. S Plan'!O206</f>
        <v>3295318.8450423609</v>
      </c>
      <c r="M5" s="6620">
        <f>L5-K5</f>
        <v>-554927.7882961221</v>
      </c>
      <c r="N5" s="6606">
        <v>3814590.8696524575</v>
      </c>
      <c r="O5" s="3800">
        <f>'2. S Plan'!P206</f>
        <v>3701636.9408252668</v>
      </c>
      <c r="P5" s="6633">
        <f>O5-N5</f>
        <v>-112953.92882719077</v>
      </c>
      <c r="Q5" s="6890">
        <f>'2. S Plan'!Q206</f>
        <v>3769217.9071706124</v>
      </c>
      <c r="R5" s="3352"/>
      <c r="S5" s="6845"/>
      <c r="T5" s="3352">
        <f>'2. S Plan'!R206</f>
        <v>4064405.2347158645</v>
      </c>
      <c r="U5" s="3352"/>
      <c r="V5" s="6845"/>
      <c r="W5" s="3352">
        <f>'2. S Plan'!S206</f>
        <v>3777949.723959133</v>
      </c>
      <c r="X5" s="3352"/>
      <c r="Y5" s="6845"/>
      <c r="Z5" s="3352">
        <f>'2. S Plan'!T206</f>
        <v>3320220.2391426302</v>
      </c>
      <c r="AA5" s="3352"/>
      <c r="AB5" s="6845"/>
      <c r="AC5" s="3352">
        <f>'2. S Plan'!U206</f>
        <v>3200183.1483620182</v>
      </c>
      <c r="AD5" s="3352"/>
      <c r="AE5" s="6845"/>
      <c r="AF5" s="3352">
        <f>'2. S Plan'!V206</f>
        <v>3156589.4836383178</v>
      </c>
      <c r="AG5" s="3352"/>
      <c r="AH5" s="6845"/>
      <c r="AI5" s="3352">
        <f>'2. S Plan'!W206</f>
        <v>3163538.640586664</v>
      </c>
      <c r="AJ5" s="3352"/>
      <c r="AK5" s="6845"/>
      <c r="AL5" s="3352">
        <f>IF(C$5&gt;0,B5,0)+IF(F$5&gt;0,E5,0)+IF(I$5&gt;0,H5,0)+IF(L$5&gt;0,K5,0)+IF(O$5&gt;0,N5,0)+IF(R$5&gt;0,Q5,0)+IF(U$5&gt;0,T5,0)+IF(X$5&gt;0,W5,0)+IF(AA$5&gt;0,Z5,0)+IF(AD$5&gt;0,AC5,0)+IF(AG$5&gt;0,AF5,0)+IF(AJ$5&gt;0,AI5,0)</f>
        <v>18828574.124087848</v>
      </c>
      <c r="AM5" s="3800">
        <f>C5+F5+I5+L5+O5+R5+U5+X5+AA5+AD5+AG5+AJ5</f>
        <v>17887103.503452543</v>
      </c>
      <c r="AN5" s="6850">
        <f>AM5-AL5</f>
        <v>-941470.6206353046</v>
      </c>
      <c r="AO5" s="6871">
        <f>AN5/AL5</f>
        <v>-5.000222610754463E-2</v>
      </c>
      <c r="AP5" s="1618"/>
    </row>
    <row r="6" spans="1:42" ht="16.5" customHeight="1">
      <c r="A6" s="2587" t="s">
        <v>537</v>
      </c>
      <c r="B6" s="6607">
        <v>2512225.9652366186</v>
      </c>
      <c r="C6" s="3802">
        <f>2838299.7998098-C7</f>
        <v>2633553.6079282579</v>
      </c>
      <c r="D6" s="6629">
        <f t="shared" ref="D6:D27" si="0">C6-B6</f>
        <v>121327.64269163925</v>
      </c>
      <c r="E6" s="3327">
        <v>2283688.0856222017</v>
      </c>
      <c r="F6" s="3802">
        <f>2676897-F7</f>
        <v>2581808</v>
      </c>
      <c r="G6" s="6612">
        <f t="shared" ref="G6:G27" si="1">F6-E6</f>
        <v>298119.91437779833</v>
      </c>
      <c r="H6" s="6607">
        <v>2572761.2537457682</v>
      </c>
      <c r="I6" s="3802">
        <f>3243266.74366071-I7</f>
        <v>3130898.2669767821</v>
      </c>
      <c r="J6" s="6629">
        <f t="shared" ref="J6:J27" si="2">I6-H6</f>
        <v>558137.0132310139</v>
      </c>
      <c r="K6" s="3327">
        <v>2514307.1279690512</v>
      </c>
      <c r="L6" s="3802">
        <v>2825043.3157365769</v>
      </c>
      <c r="M6" s="6612">
        <f t="shared" ref="M6:M27" si="3">L6-K6</f>
        <v>310736.18776752567</v>
      </c>
      <c r="N6" s="6607">
        <v>2498105.3090922874</v>
      </c>
      <c r="O6" s="3802">
        <f>'10. IS'!F5</f>
        <v>2932170.7536199708</v>
      </c>
      <c r="P6" s="6629">
        <f t="shared" ref="P6:P27" si="4">O6-N6</f>
        <v>434065.44452768331</v>
      </c>
      <c r="Q6" s="3327">
        <f>+'7. E Plan'!L34</f>
        <v>2812077.4277020767</v>
      </c>
      <c r="R6" s="2299"/>
      <c r="S6" s="6833"/>
      <c r="T6" s="2299">
        <f>+'7. E Plan'!M34</f>
        <v>2878139.6914163255</v>
      </c>
      <c r="U6" s="2299"/>
      <c r="V6" s="6833"/>
      <c r="W6" s="2299">
        <f>+'7. E Plan'!N34</f>
        <v>2687681.0805564513</v>
      </c>
      <c r="X6" s="2299"/>
      <c r="Y6" s="6833"/>
      <c r="Z6" s="2299">
        <f>+'7. E Plan'!O34</f>
        <v>2448212.4833048261</v>
      </c>
      <c r="AA6" s="2299"/>
      <c r="AB6" s="6833"/>
      <c r="AC6" s="2299">
        <f>+'7. E Plan'!P34</f>
        <v>2330263.0090714251</v>
      </c>
      <c r="AD6" s="2299"/>
      <c r="AE6" s="6833"/>
      <c r="AF6" s="2299">
        <f>+'7. E Plan'!Q34</f>
        <v>2377048.0233888766</v>
      </c>
      <c r="AG6" s="2299"/>
      <c r="AH6" s="6833"/>
      <c r="AI6" s="2299">
        <f>+'7. E Plan'!R34</f>
        <v>2380528.3306132508</v>
      </c>
      <c r="AJ6" s="2299"/>
      <c r="AK6" s="6833"/>
      <c r="AL6" s="2299">
        <f t="shared" ref="AL6:AL23" si="5">IF(C$5&gt;0,B6,0)+IF(F$5&gt;0,E6,0)+IF(I$5&gt;0,H6,0)+IF(L$5&gt;0,K6,0)+IF(O$5&gt;0,N6,0)+IF(R$5&gt;0,Q6,0)+IF(U$5&gt;0,T6,0)+IF(X$5&gt;0,W6,0)+IF(AA$5&gt;0,Z6,0)+IF(AD$5&gt;0,AC6,0)+IF(AG$5&gt;0,AF6,0)+IF(AJ$5&gt;0,AI6,0)</f>
        <v>12381087.741665926</v>
      </c>
      <c r="AM6" s="3802">
        <f t="shared" ref="AM6:AM23" si="6">C6+F6+I6+L6+O6+R6+U6+X6+AA6+AD6+AG6+AJ6</f>
        <v>14103473.944261586</v>
      </c>
      <c r="AN6" s="6839">
        <f t="shared" ref="AN6:AN27" si="7">AM6-AL6</f>
        <v>1722386.2025956605</v>
      </c>
      <c r="AO6" s="6872">
        <f t="shared" ref="AO6:AO23" si="8">AN6/AL6</f>
        <v>0.13911428773736373</v>
      </c>
      <c r="AP6" s="1618"/>
    </row>
    <row r="7" spans="1:42" ht="16.5" customHeight="1">
      <c r="A7" s="2587" t="s">
        <v>1202</v>
      </c>
      <c r="B7" s="6607">
        <v>243017.90953449905</v>
      </c>
      <c r="C7" s="3802">
        <f>+'7. E Plan'!G32</f>
        <v>204746.19188154209</v>
      </c>
      <c r="D7" s="6629">
        <f t="shared" si="0"/>
        <v>-38271.717652956955</v>
      </c>
      <c r="E7" s="3327">
        <v>200000</v>
      </c>
      <c r="F7" s="3802">
        <f>+'7. E Plan'!H32</f>
        <v>95089</v>
      </c>
      <c r="G7" s="6612">
        <f t="shared" si="1"/>
        <v>-104911</v>
      </c>
      <c r="H7" s="6607">
        <v>250000</v>
      </c>
      <c r="I7" s="3802">
        <f>+'7. E Plan'!I32</f>
        <v>112368.47668392782</v>
      </c>
      <c r="J7" s="6629">
        <f t="shared" si="2"/>
        <v>-137631.52331607218</v>
      </c>
      <c r="K7" s="3327">
        <v>200000</v>
      </c>
      <c r="L7" s="3802">
        <f>+'7. E Plan'!J32</f>
        <v>0</v>
      </c>
      <c r="M7" s="6612">
        <f t="shared" si="3"/>
        <v>-200000</v>
      </c>
      <c r="N7" s="6607">
        <v>200000</v>
      </c>
      <c r="O7" s="3802">
        <f>+'7. E Plan'!K32</f>
        <v>33626.628631223241</v>
      </c>
      <c r="P7" s="6629">
        <f t="shared" si="4"/>
        <v>-166373.37136877677</v>
      </c>
      <c r="Q7" s="3327">
        <f>+'7. E Plan'!L32</f>
        <v>33626.628631223241</v>
      </c>
      <c r="R7" s="2299"/>
      <c r="S7" s="6833"/>
      <c r="T7" s="2299">
        <f>+'7. E Plan'!M32</f>
        <v>33626.628631223241</v>
      </c>
      <c r="U7" s="2299"/>
      <c r="V7" s="6833"/>
      <c r="W7" s="2299">
        <f>+'7. E Plan'!N32</f>
        <v>33626.628631223241</v>
      </c>
      <c r="X7" s="2299"/>
      <c r="Y7" s="6833"/>
      <c r="Z7" s="2299">
        <f>+'7. E Plan'!O32</f>
        <v>33626.628631223241</v>
      </c>
      <c r="AA7" s="2299"/>
      <c r="AB7" s="6833"/>
      <c r="AC7" s="2299">
        <f>+'7. E Plan'!P32</f>
        <v>33626.628631223241</v>
      </c>
      <c r="AD7" s="2299"/>
      <c r="AE7" s="6833"/>
      <c r="AF7" s="2299">
        <f>+'7. E Plan'!Q32</f>
        <v>33626.628631223241</v>
      </c>
      <c r="AG7" s="2299"/>
      <c r="AH7" s="6833"/>
      <c r="AI7" s="2299">
        <f>+'7. E Plan'!R32</f>
        <v>33626.628631223241</v>
      </c>
      <c r="AJ7" s="2299"/>
      <c r="AK7" s="6833"/>
      <c r="AL7" s="2299">
        <f t="shared" si="5"/>
        <v>1093017.909534499</v>
      </c>
      <c r="AM7" s="3802">
        <f t="shared" si="6"/>
        <v>445830.29719669314</v>
      </c>
      <c r="AN7" s="6839">
        <f t="shared" si="7"/>
        <v>-647187.61233780591</v>
      </c>
      <c r="AO7" s="6872">
        <f t="shared" si="8"/>
        <v>-0.59211071172057372</v>
      </c>
      <c r="AP7" s="3304"/>
    </row>
    <row r="8" spans="1:42" ht="16.5" customHeight="1">
      <c r="A8" s="2590"/>
      <c r="B8" s="6902">
        <v>0.74680590021414051</v>
      </c>
      <c r="C8" s="6859">
        <f>(C6+C7)/C5</f>
        <v>0.77769539339816962</v>
      </c>
      <c r="D8" s="6903">
        <f t="shared" si="0"/>
        <v>3.0889493184029115E-2</v>
      </c>
      <c r="E8" s="2644">
        <v>0.71964848139717341</v>
      </c>
      <c r="F8" s="6859">
        <f>(F6+F7)/F5</f>
        <v>0.85159092196710029</v>
      </c>
      <c r="G8" s="6907">
        <f t="shared" si="1"/>
        <v>0.13194244056992688</v>
      </c>
      <c r="H8" s="2641">
        <v>0.7016358975206477</v>
      </c>
      <c r="I8" s="6859">
        <f t="shared" ref="I8:AM8" si="9">(I6+I7)/I5</f>
        <v>0.79159838292430229</v>
      </c>
      <c r="J8" s="6903">
        <f t="shared" si="2"/>
        <v>8.9962485403654591E-2</v>
      </c>
      <c r="K8" s="2644">
        <v>0.70496967764777241</v>
      </c>
      <c r="L8" s="6859">
        <f t="shared" si="9"/>
        <v>0.85728982492444106</v>
      </c>
      <c r="M8" s="6907">
        <f t="shared" si="3"/>
        <v>0.15232014727666865</v>
      </c>
      <c r="N8" s="2641">
        <v>0.70731184582794027</v>
      </c>
      <c r="O8" s="6859">
        <f t="shared" si="9"/>
        <v>0.80121239053497784</v>
      </c>
      <c r="P8" s="6903">
        <f t="shared" si="4"/>
        <v>9.390054470703757E-2</v>
      </c>
      <c r="Q8" s="2644">
        <f>(Q6+Q7)/Q5</f>
        <v>0.75498528512230434</v>
      </c>
      <c r="R8" s="2642"/>
      <c r="S8" s="6834"/>
      <c r="T8" s="2642">
        <f t="shared" si="9"/>
        <v>0.71640649785038113</v>
      </c>
      <c r="U8" s="2642"/>
      <c r="V8" s="6834"/>
      <c r="W8" s="2642">
        <f t="shared" si="9"/>
        <v>0.72031337313188448</v>
      </c>
      <c r="X8" s="2642"/>
      <c r="Y8" s="6834"/>
      <c r="Z8" s="2642">
        <f t="shared" si="9"/>
        <v>0.74749231471973887</v>
      </c>
      <c r="AA8" s="2642"/>
      <c r="AB8" s="6834"/>
      <c r="AC8" s="2642">
        <f t="shared" si="9"/>
        <v>0.73867323465926693</v>
      </c>
      <c r="AD8" s="2642"/>
      <c r="AE8" s="6834"/>
      <c r="AF8" s="2642">
        <f t="shared" si="9"/>
        <v>0.76369596506465309</v>
      </c>
      <c r="AG8" s="2642"/>
      <c r="AH8" s="6834"/>
      <c r="AI8" s="2642">
        <f t="shared" si="9"/>
        <v>0.76311853070863078</v>
      </c>
      <c r="AJ8" s="2642"/>
      <c r="AK8" s="6834"/>
      <c r="AL8" s="2642">
        <f t="shared" si="9"/>
        <v>0.71562007629471402</v>
      </c>
      <c r="AM8" s="6859">
        <f t="shared" si="9"/>
        <v>0.81339632426513298</v>
      </c>
      <c r="AN8" s="6873">
        <f t="shared" si="7"/>
        <v>9.777624797041895E-2</v>
      </c>
      <c r="AO8" s="6874"/>
      <c r="AP8" s="1618"/>
    </row>
    <row r="9" spans="1:42" ht="16.5" customHeight="1">
      <c r="A9" s="6086" t="s">
        <v>1</v>
      </c>
      <c r="B9" s="6608">
        <v>934126.91619488038</v>
      </c>
      <c r="C9" s="5874">
        <f>C5-C6-C7</f>
        <v>811329.37879153015</v>
      </c>
      <c r="D9" s="6628">
        <f t="shared" si="0"/>
        <v>-122797.53740335023</v>
      </c>
      <c r="E9" s="6891">
        <v>967563.67106907163</v>
      </c>
      <c r="F9" s="5874">
        <f>F5-F6-F7</f>
        <v>466510.15823579114</v>
      </c>
      <c r="G9" s="6610">
        <f t="shared" si="1"/>
        <v>-501053.51283328049</v>
      </c>
      <c r="H9" s="6608">
        <v>1200352.819693868</v>
      </c>
      <c r="I9" s="5874">
        <f t="shared" ref="I9:AI9" si="10">I5-I6-I7</f>
        <v>853844.63708708517</v>
      </c>
      <c r="J9" s="6628">
        <f t="shared" si="2"/>
        <v>-346508.18260678288</v>
      </c>
      <c r="K9" s="6891">
        <v>1135939.5053694318</v>
      </c>
      <c r="L9" s="5874">
        <f>L5-L6-L7</f>
        <v>470275.52930578403</v>
      </c>
      <c r="M9" s="6610">
        <f t="shared" si="3"/>
        <v>-665663.97606364777</v>
      </c>
      <c r="N9" s="6608">
        <v>1116485.5605601701</v>
      </c>
      <c r="O9" s="5874">
        <f t="shared" si="10"/>
        <v>735839.55857407278</v>
      </c>
      <c r="P9" s="6628">
        <f t="shared" si="4"/>
        <v>-380646.00198609731</v>
      </c>
      <c r="Q9" s="6891">
        <f>Q5-Q6-Q7</f>
        <v>923513.85083731241</v>
      </c>
      <c r="R9" s="6831"/>
      <c r="S9" s="6832"/>
      <c r="T9" s="6831">
        <f t="shared" si="10"/>
        <v>1152638.9146683158</v>
      </c>
      <c r="U9" s="6831"/>
      <c r="V9" s="6832"/>
      <c r="W9" s="6831">
        <f t="shared" si="10"/>
        <v>1056642.0147714585</v>
      </c>
      <c r="X9" s="6831"/>
      <c r="Y9" s="6832"/>
      <c r="Z9" s="6831">
        <f t="shared" si="10"/>
        <v>838381.12720658095</v>
      </c>
      <c r="AA9" s="6831"/>
      <c r="AB9" s="6832"/>
      <c r="AC9" s="6831">
        <f t="shared" si="10"/>
        <v>836293.51065936987</v>
      </c>
      <c r="AD9" s="6831"/>
      <c r="AE9" s="6832"/>
      <c r="AF9" s="6831">
        <f t="shared" si="10"/>
        <v>745914.83161821798</v>
      </c>
      <c r="AG9" s="6831"/>
      <c r="AH9" s="6832"/>
      <c r="AI9" s="6831">
        <f t="shared" si="10"/>
        <v>749383.6813421899</v>
      </c>
      <c r="AJ9" s="6831"/>
      <c r="AK9" s="6832"/>
      <c r="AL9" s="6831">
        <f t="shared" si="5"/>
        <v>5354468.4728874229</v>
      </c>
      <c r="AM9" s="5874">
        <f t="shared" si="6"/>
        <v>3337799.2619942632</v>
      </c>
      <c r="AN9" s="6835">
        <f t="shared" si="7"/>
        <v>-2016669.2108931597</v>
      </c>
      <c r="AO9" s="6875">
        <f t="shared" si="8"/>
        <v>-0.37663294145901677</v>
      </c>
      <c r="AP9" s="1618"/>
    </row>
    <row r="10" spans="1:42" ht="16.5" customHeight="1">
      <c r="A10" s="2587" t="s">
        <v>445</v>
      </c>
      <c r="B10" s="6607">
        <v>425621.43308559322</v>
      </c>
      <c r="C10" s="3802">
        <f>'7. E Plan'!G68</f>
        <v>418828.00109036366</v>
      </c>
      <c r="D10" s="6629">
        <f t="shared" si="0"/>
        <v>-6793.4319952295627</v>
      </c>
      <c r="E10" s="3327">
        <v>427859.04675783752</v>
      </c>
      <c r="F10" s="3802">
        <f>'7. E Plan'!H68</f>
        <v>393380.95633305016</v>
      </c>
      <c r="G10" s="6612">
        <f t="shared" si="1"/>
        <v>-34478.09042478737</v>
      </c>
      <c r="H10" s="6607">
        <v>438379.32654843031</v>
      </c>
      <c r="I10" s="3802">
        <f>'7. E Plan'!I68</f>
        <v>416650.50958472013</v>
      </c>
      <c r="J10" s="6629">
        <f t="shared" si="2"/>
        <v>-21728.816963710182</v>
      </c>
      <c r="K10" s="3327">
        <v>416900.76587623375</v>
      </c>
      <c r="L10" s="3802">
        <f>'7. E Plan'!J68</f>
        <v>430542.6272812353</v>
      </c>
      <c r="M10" s="6612">
        <f t="shared" si="3"/>
        <v>13641.861405001546</v>
      </c>
      <c r="N10" s="6607">
        <v>415586.14379205735</v>
      </c>
      <c r="O10" s="3802">
        <f>'7. E Plan'!K68</f>
        <v>384788.43584141188</v>
      </c>
      <c r="P10" s="6629">
        <f t="shared" si="4"/>
        <v>-30797.707950645476</v>
      </c>
      <c r="Q10" s="3327">
        <f>'7. E Plan'!L68</f>
        <v>404499.26797911798</v>
      </c>
      <c r="R10" s="2299"/>
      <c r="S10" s="6833"/>
      <c r="T10" s="2299">
        <f>'7. E Plan'!M68</f>
        <v>392496.05125988001</v>
      </c>
      <c r="U10" s="2299"/>
      <c r="V10" s="6833"/>
      <c r="W10" s="2299">
        <f>'7. E Plan'!N68</f>
        <v>363544.70724441513</v>
      </c>
      <c r="X10" s="2299"/>
      <c r="Y10" s="6833"/>
      <c r="Z10" s="2299">
        <f>'7. E Plan'!O68</f>
        <v>349803.59457751882</v>
      </c>
      <c r="AA10" s="2299"/>
      <c r="AB10" s="6833"/>
      <c r="AC10" s="2299">
        <f>'7. E Plan'!P68</f>
        <v>326883.6173701908</v>
      </c>
      <c r="AD10" s="2299"/>
      <c r="AE10" s="6833"/>
      <c r="AF10" s="2299">
        <f>'7. E Plan'!Q68</f>
        <v>324095.75032325444</v>
      </c>
      <c r="AG10" s="2299"/>
      <c r="AH10" s="6833"/>
      <c r="AI10" s="2299">
        <f>'7. E Plan'!R68</f>
        <v>335568.62893884938</v>
      </c>
      <c r="AJ10" s="2299"/>
      <c r="AK10" s="6833"/>
      <c r="AL10" s="2299">
        <f t="shared" si="5"/>
        <v>2124346.7160601523</v>
      </c>
      <c r="AM10" s="3802">
        <f t="shared" si="6"/>
        <v>2044190.530130781</v>
      </c>
      <c r="AN10" s="6839">
        <f t="shared" si="7"/>
        <v>-80156.185929371277</v>
      </c>
      <c r="AO10" s="6872">
        <f t="shared" si="8"/>
        <v>-3.7732157996332269E-2</v>
      </c>
      <c r="AP10" s="1618"/>
    </row>
    <row r="11" spans="1:42" ht="16.5" customHeight="1">
      <c r="A11" s="2590"/>
      <c r="B11" s="6902">
        <v>0.11536423341557155</v>
      </c>
      <c r="C11" s="6859">
        <f t="shared" ref="C11:AI11" si="11">C10/C5</f>
        <v>0.11475905649430217</v>
      </c>
      <c r="D11" s="6903">
        <f t="shared" si="0"/>
        <v>-6.0517692126937916E-4</v>
      </c>
      <c r="E11" s="2644">
        <v>0.12397213443739828</v>
      </c>
      <c r="F11" s="6859">
        <f t="shared" si="11"/>
        <v>0.1251447669775721</v>
      </c>
      <c r="G11" s="6907">
        <f t="shared" si="1"/>
        <v>1.1726325401738152E-3</v>
      </c>
      <c r="H11" s="2641">
        <v>0.10896517437638295</v>
      </c>
      <c r="I11" s="6859">
        <f t="shared" si="11"/>
        <v>0.10169372293429671</v>
      </c>
      <c r="J11" s="6903">
        <f t="shared" si="2"/>
        <v>-7.2714514420862408E-3</v>
      </c>
      <c r="K11" s="2644">
        <v>0.10827897679758407</v>
      </c>
      <c r="L11" s="6859">
        <f t="shared" si="11"/>
        <v>0.13065279796186177</v>
      </c>
      <c r="M11" s="6907">
        <f t="shared" si="3"/>
        <v>2.2373821164277705E-2</v>
      </c>
      <c r="N11" s="2641">
        <v>0.10894645271090916</v>
      </c>
      <c r="O11" s="6859">
        <f t="shared" si="11"/>
        <v>0.10395088497134586</v>
      </c>
      <c r="P11" s="6903">
        <f t="shared" si="4"/>
        <v>-4.9955677395633058E-3</v>
      </c>
      <c r="Q11" s="2644">
        <f>Q10/Q5</f>
        <v>0.10731649852601861</v>
      </c>
      <c r="R11" s="2642"/>
      <c r="S11" s="6834"/>
      <c r="T11" s="2642">
        <f t="shared" si="11"/>
        <v>9.6569123547868549E-2</v>
      </c>
      <c r="U11" s="2642"/>
      <c r="V11" s="6834"/>
      <c r="W11" s="2642">
        <f t="shared" si="11"/>
        <v>9.6228042670571987E-2</v>
      </c>
      <c r="X11" s="2642"/>
      <c r="Y11" s="6834"/>
      <c r="Z11" s="2642">
        <f t="shared" si="11"/>
        <v>0.10535553950717663</v>
      </c>
      <c r="AA11" s="2642"/>
      <c r="AB11" s="6834"/>
      <c r="AC11" s="2642">
        <f t="shared" si="11"/>
        <v>0.10214528425896591</v>
      </c>
      <c r="AD11" s="2642"/>
      <c r="AE11" s="6834"/>
      <c r="AF11" s="2642">
        <f t="shared" si="11"/>
        <v>0.10267275868564901</v>
      </c>
      <c r="AG11" s="2642"/>
      <c r="AH11" s="6834"/>
      <c r="AI11" s="2642">
        <f t="shared" si="11"/>
        <v>0.10607382019415439</v>
      </c>
      <c r="AJ11" s="2642"/>
      <c r="AK11" s="6834"/>
      <c r="AL11" s="2642">
        <f t="shared" ref="AL11:AM11" si="12">AL10/AL5</f>
        <v>0.11282568196932259</v>
      </c>
      <c r="AM11" s="6859">
        <f t="shared" si="12"/>
        <v>0.11428292622873314</v>
      </c>
      <c r="AN11" s="6873">
        <f t="shared" si="7"/>
        <v>1.457244259410545E-3</v>
      </c>
      <c r="AO11" s="6874"/>
      <c r="AP11" s="1618"/>
    </row>
    <row r="12" spans="1:42" ht="16.5" customHeight="1">
      <c r="A12" s="6086" t="s">
        <v>3</v>
      </c>
      <c r="B12" s="6609">
        <v>508505.48310928716</v>
      </c>
      <c r="C12" s="6860">
        <f>C9-C10</f>
        <v>392501.37770116649</v>
      </c>
      <c r="D12" s="6628">
        <f t="shared" si="0"/>
        <v>-116004.10540812067</v>
      </c>
      <c r="E12" s="6892">
        <v>539704.6243112341</v>
      </c>
      <c r="F12" s="6860">
        <f>F9-F10</f>
        <v>73129.201902740984</v>
      </c>
      <c r="G12" s="6610">
        <f t="shared" si="1"/>
        <v>-466575.42240849312</v>
      </c>
      <c r="H12" s="6609">
        <v>761973.49314543768</v>
      </c>
      <c r="I12" s="6860">
        <f t="shared" ref="I12:AI12" si="13">I9-I10</f>
        <v>437194.12750236504</v>
      </c>
      <c r="J12" s="6628">
        <f t="shared" si="2"/>
        <v>-324779.36564307264</v>
      </c>
      <c r="K12" s="6892">
        <v>719038.73949319799</v>
      </c>
      <c r="L12" s="6860">
        <f>L9-L10</f>
        <v>39732.902024548734</v>
      </c>
      <c r="M12" s="6610">
        <f t="shared" si="3"/>
        <v>-679305.83746864926</v>
      </c>
      <c r="N12" s="6609">
        <v>700899.41676811269</v>
      </c>
      <c r="O12" s="6860">
        <f t="shared" si="13"/>
        <v>351051.12273266091</v>
      </c>
      <c r="P12" s="6628">
        <f t="shared" si="4"/>
        <v>-349848.29403545178</v>
      </c>
      <c r="Q12" s="6892">
        <f>Q9-Q10</f>
        <v>519014.58285819442</v>
      </c>
      <c r="R12" s="6594"/>
      <c r="S12" s="6835"/>
      <c r="T12" s="6594">
        <f t="shared" si="13"/>
        <v>760142.86340843583</v>
      </c>
      <c r="U12" s="6594"/>
      <c r="V12" s="6835"/>
      <c r="W12" s="6594">
        <f t="shared" si="13"/>
        <v>693097.30752704339</v>
      </c>
      <c r="X12" s="6594"/>
      <c r="Y12" s="6835"/>
      <c r="Z12" s="6594">
        <f t="shared" si="13"/>
        <v>488577.53262906213</v>
      </c>
      <c r="AA12" s="6594"/>
      <c r="AB12" s="6835"/>
      <c r="AC12" s="6594">
        <f t="shared" si="13"/>
        <v>509409.89328917908</v>
      </c>
      <c r="AD12" s="6594"/>
      <c r="AE12" s="6835"/>
      <c r="AF12" s="6594">
        <f t="shared" si="13"/>
        <v>421819.08129496354</v>
      </c>
      <c r="AG12" s="6594"/>
      <c r="AH12" s="6835"/>
      <c r="AI12" s="6594">
        <f t="shared" si="13"/>
        <v>413815.05240334052</v>
      </c>
      <c r="AJ12" s="6594"/>
      <c r="AK12" s="6835"/>
      <c r="AL12" s="6831">
        <f t="shared" si="5"/>
        <v>3230121.7568272697</v>
      </c>
      <c r="AM12" s="6860">
        <f t="shared" si="6"/>
        <v>1293608.7318634822</v>
      </c>
      <c r="AN12" s="6835">
        <f t="shared" si="7"/>
        <v>-1936513.0249637875</v>
      </c>
      <c r="AO12" s="6875">
        <f t="shared" si="8"/>
        <v>-0.59951703704998827</v>
      </c>
      <c r="AP12" s="1618"/>
    </row>
    <row r="13" spans="1:42" ht="16.5" customHeight="1">
      <c r="A13" s="2205" t="s">
        <v>236</v>
      </c>
      <c r="B13" s="6621">
        <v>62839.858461630472</v>
      </c>
      <c r="C13" s="6861">
        <f>'7. E Plan'!G76</f>
        <v>77450.713200478407</v>
      </c>
      <c r="D13" s="6634">
        <f t="shared" si="0"/>
        <v>14610.854738847935</v>
      </c>
      <c r="E13" s="6893">
        <v>62314.943599843114</v>
      </c>
      <c r="F13" s="6861">
        <f>'7. E Plan'!H76</f>
        <v>63056</v>
      </c>
      <c r="G13" s="6622">
        <f t="shared" si="1"/>
        <v>741.0564001568855</v>
      </c>
      <c r="H13" s="6621">
        <v>61790.028738055757</v>
      </c>
      <c r="I13" s="6861">
        <f>'7. E Plan'!I76</f>
        <v>52889.094421923059</v>
      </c>
      <c r="J13" s="6634">
        <f t="shared" si="2"/>
        <v>-8900.9343161326979</v>
      </c>
      <c r="K13" s="6893">
        <v>61265.113876268399</v>
      </c>
      <c r="L13" s="6861">
        <f>'7. E Plan'!J76</f>
        <v>58686</v>
      </c>
      <c r="M13" s="6622">
        <f t="shared" si="3"/>
        <v>-2579.1138762683986</v>
      </c>
      <c r="N13" s="6621">
        <v>60740.199014481041</v>
      </c>
      <c r="O13" s="6861">
        <f>'7. E Plan'!K76</f>
        <v>60539.905128846156</v>
      </c>
      <c r="P13" s="6634">
        <f t="shared" si="4"/>
        <v>-200.29388563488465</v>
      </c>
      <c r="Q13" s="6893">
        <f>'7. E Plan'!L76</f>
        <v>58537.352225824347</v>
      </c>
      <c r="R13" s="6836"/>
      <c r="S13" s="6837"/>
      <c r="T13" s="6836">
        <f>'7. E Plan'!M76</f>
        <v>55244.858447428051</v>
      </c>
      <c r="U13" s="6836"/>
      <c r="V13" s="6837"/>
      <c r="W13" s="6836">
        <f>'7. E Plan'!N76</f>
        <v>55006.679133862948</v>
      </c>
      <c r="X13" s="6836"/>
      <c r="Y13" s="6837"/>
      <c r="Z13" s="6836">
        <f>'7. E Plan'!O76</f>
        <v>54768.499820297846</v>
      </c>
      <c r="AA13" s="6836"/>
      <c r="AB13" s="6837"/>
      <c r="AC13" s="6836">
        <f>'7. E Plan'!P76</f>
        <v>52751.517276595056</v>
      </c>
      <c r="AD13" s="6836"/>
      <c r="AE13" s="6837"/>
      <c r="AF13" s="6836">
        <f>'7. E Plan'!Q76</f>
        <v>52550.882313865848</v>
      </c>
      <c r="AG13" s="6836"/>
      <c r="AH13" s="6837"/>
      <c r="AI13" s="6836">
        <f>'7. E Plan'!R76</f>
        <v>51864.463290083761</v>
      </c>
      <c r="AJ13" s="6836"/>
      <c r="AK13" s="6837"/>
      <c r="AL13" s="2356">
        <f t="shared" si="5"/>
        <v>308950.14369027875</v>
      </c>
      <c r="AM13" s="6861">
        <f t="shared" si="6"/>
        <v>312621.71275124763</v>
      </c>
      <c r="AN13" s="6837">
        <f t="shared" si="7"/>
        <v>3671.5690609688754</v>
      </c>
      <c r="AO13" s="6874">
        <f t="shared" si="8"/>
        <v>1.1884017974918335E-2</v>
      </c>
      <c r="AP13" s="1618"/>
    </row>
    <row r="14" spans="1:42" ht="26.25" customHeight="1">
      <c r="A14" s="6600" t="s">
        <v>1708</v>
      </c>
      <c r="B14" s="6613">
        <v>410653</v>
      </c>
      <c r="C14" s="6862">
        <f>+'7. E Plan'!G78</f>
        <v>18316</v>
      </c>
      <c r="D14" s="6630">
        <f t="shared" si="0"/>
        <v>-392337</v>
      </c>
      <c r="E14" s="6894">
        <v>30000</v>
      </c>
      <c r="F14" s="6862">
        <f>+'7. E Plan'!H78</f>
        <v>10496.7760323077</v>
      </c>
      <c r="G14" s="6614">
        <f t="shared" si="1"/>
        <v>-19503.223967692298</v>
      </c>
      <c r="H14" s="6613">
        <v>30000</v>
      </c>
      <c r="I14" s="6862">
        <v>342141</v>
      </c>
      <c r="J14" s="6630">
        <f t="shared" si="2"/>
        <v>312141</v>
      </c>
      <c r="K14" s="6894">
        <v>30000</v>
      </c>
      <c r="L14" s="6862">
        <v>-29475.3641903846</v>
      </c>
      <c r="M14" s="6614">
        <f t="shared" si="3"/>
        <v>-59475.3641903846</v>
      </c>
      <c r="N14" s="6613">
        <v>30000</v>
      </c>
      <c r="O14" s="6862">
        <f>+'10. IS'!F13</f>
        <v>-20513.646675</v>
      </c>
      <c r="P14" s="6630">
        <f t="shared" si="4"/>
        <v>-50513.646674999996</v>
      </c>
      <c r="Q14" s="6894">
        <v>30000</v>
      </c>
      <c r="R14" s="6639"/>
      <c r="S14" s="6640"/>
      <c r="T14" s="6639">
        <v>30000</v>
      </c>
      <c r="U14" s="6639"/>
      <c r="V14" s="6640"/>
      <c r="W14" s="6639">
        <v>30000</v>
      </c>
      <c r="X14" s="6639"/>
      <c r="Y14" s="6640"/>
      <c r="Z14" s="6639">
        <v>30000</v>
      </c>
      <c r="AA14" s="6639"/>
      <c r="AB14" s="6640"/>
      <c r="AC14" s="6639">
        <v>30000</v>
      </c>
      <c r="AD14" s="6639"/>
      <c r="AE14" s="6640"/>
      <c r="AF14" s="6639">
        <v>30000</v>
      </c>
      <c r="AG14" s="6639"/>
      <c r="AH14" s="6640"/>
      <c r="AI14" s="6639">
        <v>30000</v>
      </c>
      <c r="AJ14" s="6639"/>
      <c r="AK14" s="6640"/>
      <c r="AL14" s="6637">
        <f t="shared" si="5"/>
        <v>530653</v>
      </c>
      <c r="AM14" s="6862">
        <f t="shared" si="6"/>
        <v>320964.76516692311</v>
      </c>
      <c r="AN14" s="6640">
        <f t="shared" si="7"/>
        <v>-209688.23483307689</v>
      </c>
      <c r="AO14" s="6876">
        <f t="shared" si="8"/>
        <v>-0.39515132267805303</v>
      </c>
      <c r="AP14" s="1618"/>
    </row>
    <row r="15" spans="1:42" ht="16.5" customHeight="1">
      <c r="A15" s="6086" t="s">
        <v>4</v>
      </c>
      <c r="B15" s="6609">
        <v>35012.624647656688</v>
      </c>
      <c r="C15" s="6860">
        <f>C12-C13-C14</f>
        <v>296734.66450068809</v>
      </c>
      <c r="D15" s="6628">
        <f t="shared" si="0"/>
        <v>261722.0398530314</v>
      </c>
      <c r="E15" s="6892">
        <v>447389.68071139097</v>
      </c>
      <c r="F15" s="6860">
        <f>F12-F13-F14</f>
        <v>-423.57412956671578</v>
      </c>
      <c r="G15" s="6610">
        <f t="shared" si="1"/>
        <v>-447813.2548409577</v>
      </c>
      <c r="H15" s="6609">
        <v>670183.46440738195</v>
      </c>
      <c r="I15" s="6860">
        <f t="shared" ref="I15:AI15" si="14">I12-I13-I14</f>
        <v>42164.033080441994</v>
      </c>
      <c r="J15" s="6628">
        <f t="shared" si="2"/>
        <v>-628019.43132693996</v>
      </c>
      <c r="K15" s="6892">
        <v>627773.62561692961</v>
      </c>
      <c r="L15" s="6860">
        <f>L12-L13-L14</f>
        <v>10522.266214933334</v>
      </c>
      <c r="M15" s="6610">
        <f t="shared" si="3"/>
        <v>-617251.35940199625</v>
      </c>
      <c r="N15" s="6609">
        <v>610159.21775363164</v>
      </c>
      <c r="O15" s="6860">
        <f t="shared" si="14"/>
        <v>311024.86427881476</v>
      </c>
      <c r="P15" s="6628">
        <f t="shared" si="4"/>
        <v>-299134.35347481689</v>
      </c>
      <c r="Q15" s="6892">
        <f>Q12-Q13-Q14</f>
        <v>430477.23063237011</v>
      </c>
      <c r="R15" s="6594"/>
      <c r="S15" s="6835"/>
      <c r="T15" s="6594">
        <f t="shared" si="14"/>
        <v>674898.00496100774</v>
      </c>
      <c r="U15" s="6594"/>
      <c r="V15" s="6835"/>
      <c r="W15" s="6594">
        <f t="shared" si="14"/>
        <v>608090.62839318044</v>
      </c>
      <c r="X15" s="6594"/>
      <c r="Y15" s="6835"/>
      <c r="Z15" s="6594">
        <f t="shared" si="14"/>
        <v>403809.03280876426</v>
      </c>
      <c r="AA15" s="6594"/>
      <c r="AB15" s="6835"/>
      <c r="AC15" s="6594">
        <f t="shared" si="14"/>
        <v>426658.37601258402</v>
      </c>
      <c r="AD15" s="6594"/>
      <c r="AE15" s="6835"/>
      <c r="AF15" s="6594">
        <f t="shared" si="14"/>
        <v>339268.19898109767</v>
      </c>
      <c r="AG15" s="6594"/>
      <c r="AH15" s="6835"/>
      <c r="AI15" s="6594">
        <f t="shared" si="14"/>
        <v>331950.58911325678</v>
      </c>
      <c r="AJ15" s="6594"/>
      <c r="AK15" s="6835"/>
      <c r="AL15" s="6831">
        <f t="shared" si="5"/>
        <v>2390518.6131369909</v>
      </c>
      <c r="AM15" s="6860">
        <f t="shared" si="6"/>
        <v>660022.25394531142</v>
      </c>
      <c r="AN15" s="6835">
        <f t="shared" si="7"/>
        <v>-1730496.3591916794</v>
      </c>
      <c r="AO15" s="6875">
        <f t="shared" si="8"/>
        <v>-0.72389997286857</v>
      </c>
      <c r="AP15" s="1618"/>
    </row>
    <row r="16" spans="1:42" ht="16.5" customHeight="1">
      <c r="A16" s="2205" t="s">
        <v>1683</v>
      </c>
      <c r="B16" s="6611"/>
      <c r="C16" s="6863">
        <v>20122</v>
      </c>
      <c r="D16" s="6629">
        <f t="shared" si="0"/>
        <v>20122</v>
      </c>
      <c r="E16" s="6895"/>
      <c r="F16" s="6863">
        <v>9892.8426253846155</v>
      </c>
      <c r="G16" s="6612">
        <f t="shared" si="1"/>
        <v>9892.8426253846155</v>
      </c>
      <c r="H16" s="6611"/>
      <c r="I16" s="6863">
        <v>8792</v>
      </c>
      <c r="J16" s="6629">
        <f t="shared" si="2"/>
        <v>8792</v>
      </c>
      <c r="K16" s="6895"/>
      <c r="L16" s="6863">
        <v>13566</v>
      </c>
      <c r="M16" s="6612">
        <f t="shared" si="3"/>
        <v>13566</v>
      </c>
      <c r="N16" s="6611"/>
      <c r="O16" s="6863">
        <v>21117</v>
      </c>
      <c r="P16" s="6629">
        <f t="shared" si="4"/>
        <v>21117</v>
      </c>
      <c r="Q16" s="6895"/>
      <c r="R16" s="6838"/>
      <c r="S16" s="6839"/>
      <c r="T16" s="6838"/>
      <c r="U16" s="6838"/>
      <c r="V16" s="6839"/>
      <c r="W16" s="6838"/>
      <c r="X16" s="6838"/>
      <c r="Y16" s="6839"/>
      <c r="Z16" s="6838"/>
      <c r="AA16" s="6838"/>
      <c r="AB16" s="6839"/>
      <c r="AC16" s="6838"/>
      <c r="AD16" s="6838"/>
      <c r="AE16" s="6839"/>
      <c r="AF16" s="6838"/>
      <c r="AG16" s="6838"/>
      <c r="AH16" s="6839"/>
      <c r="AI16" s="6838"/>
      <c r="AJ16" s="6838"/>
      <c r="AK16" s="6839"/>
      <c r="AL16" s="2299">
        <f t="shared" si="5"/>
        <v>0</v>
      </c>
      <c r="AM16" s="6863">
        <f t="shared" si="6"/>
        <v>73489.842625384612</v>
      </c>
      <c r="AN16" s="6839">
        <f t="shared" si="7"/>
        <v>73489.842625384612</v>
      </c>
      <c r="AO16" s="6872">
        <f>IFERROR(AN16/AL16,0)</f>
        <v>0</v>
      </c>
      <c r="AP16" s="1618"/>
    </row>
    <row r="17" spans="1:66" ht="16.5" customHeight="1">
      <c r="A17" s="2205" t="s">
        <v>1682</v>
      </c>
      <c r="B17" s="6611"/>
      <c r="C17" s="6863">
        <f>+C15+C16</f>
        <v>316856.66450068809</v>
      </c>
      <c r="D17" s="6629">
        <f t="shared" si="0"/>
        <v>316856.66450068809</v>
      </c>
      <c r="E17" s="6895"/>
      <c r="F17" s="6863">
        <f>+F15+F16</f>
        <v>9469.2684958178997</v>
      </c>
      <c r="G17" s="6612">
        <f t="shared" si="1"/>
        <v>9469.2684958178997</v>
      </c>
      <c r="H17" s="6611"/>
      <c r="I17" s="6863">
        <f>+I15+I16</f>
        <v>50956.033080441994</v>
      </c>
      <c r="J17" s="6629">
        <f t="shared" si="2"/>
        <v>50956.033080441994</v>
      </c>
      <c r="K17" s="6895"/>
      <c r="L17" s="6863">
        <f t="shared" ref="L17:AI17" si="15">+L15+L16</f>
        <v>24088.266214933334</v>
      </c>
      <c r="M17" s="6612">
        <f t="shared" si="3"/>
        <v>24088.266214933334</v>
      </c>
      <c r="N17" s="6611"/>
      <c r="O17" s="6863">
        <f t="shared" si="15"/>
        <v>332141.86427881476</v>
      </c>
      <c r="P17" s="6629">
        <f t="shared" si="4"/>
        <v>332141.86427881476</v>
      </c>
      <c r="Q17" s="6895">
        <f>+Q15+Q16</f>
        <v>430477.23063237011</v>
      </c>
      <c r="R17" s="6838"/>
      <c r="S17" s="6839"/>
      <c r="T17" s="6838">
        <f t="shared" si="15"/>
        <v>674898.00496100774</v>
      </c>
      <c r="U17" s="6838"/>
      <c r="V17" s="6839"/>
      <c r="W17" s="6838">
        <f t="shared" si="15"/>
        <v>608090.62839318044</v>
      </c>
      <c r="X17" s="6838"/>
      <c r="Y17" s="6839"/>
      <c r="Z17" s="6838">
        <f t="shared" si="15"/>
        <v>403809.03280876426</v>
      </c>
      <c r="AA17" s="6838"/>
      <c r="AB17" s="6839"/>
      <c r="AC17" s="6838">
        <f t="shared" si="15"/>
        <v>426658.37601258402</v>
      </c>
      <c r="AD17" s="6838"/>
      <c r="AE17" s="6839"/>
      <c r="AF17" s="6838">
        <f t="shared" si="15"/>
        <v>339268.19898109767</v>
      </c>
      <c r="AG17" s="6838"/>
      <c r="AH17" s="6839"/>
      <c r="AI17" s="6838">
        <f t="shared" si="15"/>
        <v>331950.58911325678</v>
      </c>
      <c r="AJ17" s="6838"/>
      <c r="AK17" s="6839"/>
      <c r="AL17" s="2299">
        <f t="shared" si="5"/>
        <v>0</v>
      </c>
      <c r="AM17" s="6863">
        <f t="shared" si="6"/>
        <v>733512.0965706961</v>
      </c>
      <c r="AN17" s="6839">
        <f t="shared" si="7"/>
        <v>733512.0965706961</v>
      </c>
      <c r="AO17" s="6872">
        <f>IFERROR(AN17/AL17,0)</f>
        <v>0</v>
      </c>
      <c r="AP17" s="1618"/>
    </row>
    <row r="18" spans="1:66" ht="16.5" customHeight="1">
      <c r="A18" s="3306" t="s">
        <v>5</v>
      </c>
      <c r="B18" s="6615">
        <v>0</v>
      </c>
      <c r="C18" s="6864">
        <f>C32</f>
        <v>0</v>
      </c>
      <c r="D18" s="6631">
        <f t="shared" si="0"/>
        <v>0</v>
      </c>
      <c r="E18" s="6896">
        <v>0</v>
      </c>
      <c r="F18" s="6864">
        <f>F32</f>
        <v>0</v>
      </c>
      <c r="G18" s="6616">
        <f t="shared" si="1"/>
        <v>0</v>
      </c>
      <c r="H18" s="6615">
        <v>70563.662153440338</v>
      </c>
      <c r="I18" s="6864">
        <f>I32</f>
        <v>0</v>
      </c>
      <c r="J18" s="6631">
        <f t="shared" si="2"/>
        <v>-70563.662153440338</v>
      </c>
      <c r="K18" s="6896">
        <v>125554.72512338593</v>
      </c>
      <c r="L18" s="6864">
        <f>L32</f>
        <v>0</v>
      </c>
      <c r="M18" s="6616">
        <f t="shared" si="3"/>
        <v>-125554.72512338593</v>
      </c>
      <c r="N18" s="6615">
        <v>122031.84355072633</v>
      </c>
      <c r="O18" s="6864">
        <f>O32</f>
        <v>0</v>
      </c>
      <c r="P18" s="6631">
        <f t="shared" si="4"/>
        <v>-122031.84355072633</v>
      </c>
      <c r="Q18" s="6896">
        <f>Q32</f>
        <v>44468.826455997842</v>
      </c>
      <c r="R18" s="6597"/>
      <c r="S18" s="6840"/>
      <c r="T18" s="6597">
        <f>T32</f>
        <v>134979.60099220157</v>
      </c>
      <c r="U18" s="6597"/>
      <c r="V18" s="6840"/>
      <c r="W18" s="6597">
        <f>W32</f>
        <v>121618.12567863609</v>
      </c>
      <c r="X18" s="6597"/>
      <c r="Y18" s="6840"/>
      <c r="Z18" s="6597">
        <f>Z32</f>
        <v>80761.806561752863</v>
      </c>
      <c r="AA18" s="6597"/>
      <c r="AB18" s="6840"/>
      <c r="AC18" s="6597">
        <f>AC32</f>
        <v>85331.67520251681</v>
      </c>
      <c r="AD18" s="6597"/>
      <c r="AE18" s="6840"/>
      <c r="AF18" s="6597">
        <f>AF32</f>
        <v>67853.639796219533</v>
      </c>
      <c r="AG18" s="6597"/>
      <c r="AH18" s="6840"/>
      <c r="AI18" s="6597">
        <f>AI32</f>
        <v>66390.117822651358</v>
      </c>
      <c r="AJ18" s="6597"/>
      <c r="AK18" s="6840"/>
      <c r="AL18" s="2356">
        <f t="shared" si="5"/>
        <v>318150.23082755262</v>
      </c>
      <c r="AM18" s="6864">
        <f t="shared" si="6"/>
        <v>0</v>
      </c>
      <c r="AN18" s="6840">
        <f t="shared" si="7"/>
        <v>-318150.23082755262</v>
      </c>
      <c r="AO18" s="6877">
        <f t="shared" si="8"/>
        <v>-1</v>
      </c>
      <c r="AP18" s="3305"/>
    </row>
    <row r="19" spans="1:66" ht="16.5" customHeight="1">
      <c r="A19" s="6601" t="s">
        <v>6</v>
      </c>
      <c r="B19" s="6617">
        <v>35012.624647656688</v>
      </c>
      <c r="C19" s="6865">
        <f>C15-C18</f>
        <v>296734.66450068809</v>
      </c>
      <c r="D19" s="6632">
        <f t="shared" si="0"/>
        <v>261722.0398530314</v>
      </c>
      <c r="E19" s="6897">
        <v>447389.68071139097</v>
      </c>
      <c r="F19" s="6865">
        <f>F15-F18</f>
        <v>-423.57412956671578</v>
      </c>
      <c r="G19" s="6618">
        <f t="shared" si="1"/>
        <v>-447813.2548409577</v>
      </c>
      <c r="H19" s="6617">
        <v>599619.80225394166</v>
      </c>
      <c r="I19" s="6865">
        <f t="shared" ref="I19:AI19" si="16">I15-I18</f>
        <v>42164.033080441994</v>
      </c>
      <c r="J19" s="6632">
        <f t="shared" si="2"/>
        <v>-557455.76917349966</v>
      </c>
      <c r="K19" s="6897">
        <v>502218.90049354371</v>
      </c>
      <c r="L19" s="6865">
        <f t="shared" si="16"/>
        <v>10522.266214933334</v>
      </c>
      <c r="M19" s="6618">
        <f t="shared" si="3"/>
        <v>-491696.63427861035</v>
      </c>
      <c r="N19" s="6617">
        <v>488127.37420290534</v>
      </c>
      <c r="O19" s="6865">
        <f t="shared" si="16"/>
        <v>311024.86427881476</v>
      </c>
      <c r="P19" s="6632">
        <f t="shared" si="4"/>
        <v>-177102.50992409058</v>
      </c>
      <c r="Q19" s="6897">
        <f>Q15-Q18</f>
        <v>386008.40417637228</v>
      </c>
      <c r="R19" s="6598"/>
      <c r="S19" s="6641"/>
      <c r="T19" s="6598">
        <f t="shared" si="16"/>
        <v>539918.40396880615</v>
      </c>
      <c r="U19" s="6598"/>
      <c r="V19" s="6641"/>
      <c r="W19" s="6598">
        <f t="shared" si="16"/>
        <v>486472.50271454436</v>
      </c>
      <c r="X19" s="6598"/>
      <c r="Y19" s="6641"/>
      <c r="Z19" s="6598">
        <f t="shared" si="16"/>
        <v>323047.22624701139</v>
      </c>
      <c r="AA19" s="6598"/>
      <c r="AB19" s="6641"/>
      <c r="AC19" s="6598">
        <f t="shared" si="16"/>
        <v>341326.70081006724</v>
      </c>
      <c r="AD19" s="6598"/>
      <c r="AE19" s="6641"/>
      <c r="AF19" s="6598">
        <f t="shared" si="16"/>
        <v>271414.55918487813</v>
      </c>
      <c r="AG19" s="6598"/>
      <c r="AH19" s="6641"/>
      <c r="AI19" s="6598">
        <f t="shared" si="16"/>
        <v>265560.47129060543</v>
      </c>
      <c r="AJ19" s="6598"/>
      <c r="AK19" s="6641"/>
      <c r="AL19" s="6637">
        <f t="shared" si="5"/>
        <v>2072368.3823094382</v>
      </c>
      <c r="AM19" s="6865">
        <f t="shared" si="6"/>
        <v>660022.25394531142</v>
      </c>
      <c r="AN19" s="6641">
        <f t="shared" si="7"/>
        <v>-1412346.1283641267</v>
      </c>
      <c r="AO19" s="6878">
        <f t="shared" si="8"/>
        <v>-0.68151306515794952</v>
      </c>
      <c r="AP19" s="6001"/>
    </row>
    <row r="20" spans="1:66" ht="16.5" customHeight="1" thickBot="1">
      <c r="A20" s="6849" t="s">
        <v>7</v>
      </c>
      <c r="B20" s="6904">
        <v>468961.38135551498</v>
      </c>
      <c r="C20" s="6866">
        <f>C19+C23+C13+C18</f>
        <v>773645.47249385878</v>
      </c>
      <c r="D20" s="6905">
        <f t="shared" si="0"/>
        <v>304684.09113834379</v>
      </c>
      <c r="E20" s="6898">
        <v>890491.868984284</v>
      </c>
      <c r="F20" s="6866">
        <f t="shared" ref="F20:AI20" si="17">F19+F23+F13+F18</f>
        <v>467968.29000466404</v>
      </c>
      <c r="G20" s="6908">
        <f t="shared" si="1"/>
        <v>-422523.57897961995</v>
      </c>
      <c r="H20" s="6904">
        <v>1117717.2505206778</v>
      </c>
      <c r="I20" s="6866">
        <f t="shared" si="17"/>
        <v>502339.36598698044</v>
      </c>
      <c r="J20" s="6905">
        <f t="shared" si="2"/>
        <v>-615377.88453369727</v>
      </c>
      <c r="K20" s="6898">
        <v>1082884.8926904262</v>
      </c>
      <c r="L20" s="6866">
        <f t="shared" si="17"/>
        <v>477930.13336224109</v>
      </c>
      <c r="M20" s="6908">
        <f t="shared" si="3"/>
        <v>-604954.75932818512</v>
      </c>
      <c r="N20" s="6904">
        <v>1071902.3061013834</v>
      </c>
      <c r="O20" s="6866">
        <f t="shared" si="17"/>
        <v>795656.40641227632</v>
      </c>
      <c r="P20" s="6905">
        <f t="shared" si="4"/>
        <v>-276245.89968910709</v>
      </c>
      <c r="Q20" s="6898">
        <f>Q19+Q23+Q13+Q18</f>
        <v>906286.37210576585</v>
      </c>
      <c r="R20" s="6841"/>
      <c r="S20" s="6842"/>
      <c r="T20" s="6841">
        <f t="shared" si="17"/>
        <v>1135424.1141477542</v>
      </c>
      <c r="U20" s="6841"/>
      <c r="V20" s="6842"/>
      <c r="W20" s="6841">
        <f t="shared" si="17"/>
        <v>1069704.6477393277</v>
      </c>
      <c r="X20" s="6841"/>
      <c r="Y20" s="6842"/>
      <c r="Z20" s="6841">
        <f t="shared" si="17"/>
        <v>869757.57033414859</v>
      </c>
      <c r="AA20" s="6841"/>
      <c r="AB20" s="6842"/>
      <c r="AC20" s="6841">
        <f t="shared" si="17"/>
        <v>893784.16341917426</v>
      </c>
      <c r="AD20" s="6841"/>
      <c r="AE20" s="6842"/>
      <c r="AF20" s="6841">
        <f t="shared" si="17"/>
        <v>813491.8371831337</v>
      </c>
      <c r="AG20" s="6841"/>
      <c r="AH20" s="6842"/>
      <c r="AI20" s="6841">
        <f t="shared" si="17"/>
        <v>804140.73007468996</v>
      </c>
      <c r="AJ20" s="6841"/>
      <c r="AK20" s="6842"/>
      <c r="AL20" s="6831">
        <f t="shared" si="5"/>
        <v>4631957.6996522862</v>
      </c>
      <c r="AM20" s="6866">
        <f t="shared" si="6"/>
        <v>3017539.6682600211</v>
      </c>
      <c r="AN20" s="6842">
        <f t="shared" si="7"/>
        <v>-1614418.0313922651</v>
      </c>
      <c r="AO20" s="6879">
        <f t="shared" si="8"/>
        <v>-0.34853902735628545</v>
      </c>
      <c r="AP20" s="1618"/>
    </row>
    <row r="21" spans="1:66" ht="16.5" customHeight="1">
      <c r="A21" s="2611" t="s">
        <v>12</v>
      </c>
      <c r="B21" s="6619">
        <v>241368.29978693204</v>
      </c>
      <c r="C21" s="6867">
        <f>+'7. E Plan'!G26+'7. E Plan'!G58</f>
        <v>205800.60856192306</v>
      </c>
      <c r="D21" s="6633">
        <f t="shared" si="0"/>
        <v>-35567.691225008981</v>
      </c>
      <c r="E21" s="6899">
        <v>251168.84183238659</v>
      </c>
      <c r="F21" s="6867">
        <f>+'7. E Plan'!H26+'7. E Plan'!H58</f>
        <v>209386.76501884614</v>
      </c>
      <c r="G21" s="6620">
        <f t="shared" si="1"/>
        <v>-41782.076813540451</v>
      </c>
      <c r="H21" s="6619">
        <v>260002.41610136488</v>
      </c>
      <c r="I21" s="6867">
        <f>+'7. E Plan'!I26+'7. E Plan'!I58</f>
        <v>209759.10606153848</v>
      </c>
      <c r="J21" s="6633">
        <f t="shared" si="2"/>
        <v>-50243.310039826407</v>
      </c>
      <c r="K21" s="6899">
        <v>269924.486333112</v>
      </c>
      <c r="L21" s="6867">
        <f>+'7. E Plan'!J26+'7. E Plan'!J58</f>
        <v>205689.61464730767</v>
      </c>
      <c r="M21" s="6620">
        <f t="shared" si="3"/>
        <v>-64234.871685804334</v>
      </c>
      <c r="N21" s="6619">
        <v>277179.66273767297</v>
      </c>
      <c r="O21" s="6867">
        <f>+'7. E Plan'!K26+'7. E Plan'!K58</f>
        <v>210443.03981230772</v>
      </c>
      <c r="P21" s="6633">
        <f t="shared" si="4"/>
        <v>-66736.622925365256</v>
      </c>
      <c r="Q21" s="6899">
        <f>+'7. E Plan'!L26+'7. E Plan'!L58</f>
        <v>228886.86534865276</v>
      </c>
      <c r="R21" s="6599"/>
      <c r="S21" s="6850"/>
      <c r="T21" s="6599">
        <f>+'7. E Plan'!M26+'7. E Plan'!M58</f>
        <v>240660.47410472503</v>
      </c>
      <c r="U21" s="6599"/>
      <c r="V21" s="6850"/>
      <c r="W21" s="6599">
        <f>+'7. E Plan'!N26+'7. E Plan'!N58</f>
        <v>250967.07587037262</v>
      </c>
      <c r="X21" s="6599"/>
      <c r="Y21" s="6850"/>
      <c r="Z21" s="6599">
        <f>+'7. E Plan'!O26+'7. E Plan'!O58</f>
        <v>259913.47659317483</v>
      </c>
      <c r="AA21" s="6599"/>
      <c r="AB21" s="6850"/>
      <c r="AC21" s="6599">
        <f>+'7. E Plan'!P26+'7. E Plan'!P58</f>
        <v>263107.70901808329</v>
      </c>
      <c r="AD21" s="6599"/>
      <c r="AE21" s="6850"/>
      <c r="AF21" s="6599">
        <f>+'7. E Plan'!Q26+'7. E Plan'!Q58</f>
        <v>272857.45140048012</v>
      </c>
      <c r="AG21" s="6599"/>
      <c r="AH21" s="6850"/>
      <c r="AI21" s="6599">
        <f>+'7. E Plan'!R26+'7. E Plan'!R58</f>
        <v>274491.07491079584</v>
      </c>
      <c r="AJ21" s="6599"/>
      <c r="AK21" s="6850"/>
      <c r="AL21" s="3352">
        <f t="shared" si="5"/>
        <v>1299643.7067914684</v>
      </c>
      <c r="AM21" s="6867">
        <f t="shared" si="6"/>
        <v>1041079.134101923</v>
      </c>
      <c r="AN21" s="6850">
        <f t="shared" si="7"/>
        <v>-258564.57268954546</v>
      </c>
      <c r="AO21" s="6871">
        <f t="shared" si="8"/>
        <v>-0.19895035180671475</v>
      </c>
      <c r="BN21" s="5" t="s">
        <v>538</v>
      </c>
    </row>
    <row r="22" spans="1:66" ht="16.5" customHeight="1">
      <c r="A22" s="2619" t="s">
        <v>9</v>
      </c>
      <c r="B22" s="6621">
        <v>129740.59845929578</v>
      </c>
      <c r="C22" s="6861">
        <f>+'7. E Plan'!G27+'7. E Plan'!G28+'7. E Plan'!G59</f>
        <v>193659.48623076925</v>
      </c>
      <c r="D22" s="6634">
        <f t="shared" si="0"/>
        <v>63918.88777147347</v>
      </c>
      <c r="E22" s="6893">
        <v>129618.4028406633</v>
      </c>
      <c r="F22" s="6861">
        <f>+'7. E Plan'!H27+'7. E Plan'!H28+'7. E Plan'!H59</f>
        <v>195949.0991153846</v>
      </c>
      <c r="G22" s="6622">
        <f t="shared" si="1"/>
        <v>66330.696274721297</v>
      </c>
      <c r="H22" s="6621">
        <v>125741.34127387506</v>
      </c>
      <c r="I22" s="6861">
        <f>+'7. E Plan'!I27+'7. E Plan'!I28+'7. E Plan'!I59</f>
        <v>197527.13242307692</v>
      </c>
      <c r="J22" s="6634">
        <f t="shared" si="2"/>
        <v>71785.791149201861</v>
      </c>
      <c r="K22" s="6893">
        <v>123921.66686411624</v>
      </c>
      <c r="L22" s="6861">
        <f>+'7. E Plan'!J27+'7. E Plan'!J28+'7. E Plan'!J59</f>
        <v>203032.25250000003</v>
      </c>
      <c r="M22" s="6622">
        <f t="shared" si="3"/>
        <v>79110.585635883792</v>
      </c>
      <c r="N22" s="6621">
        <v>123823.22659559772</v>
      </c>
      <c r="O22" s="6861">
        <f>+'7. E Plan'!K27+'7. E Plan'!K28+'7. E Plan'!K59</f>
        <v>213648.5971923077</v>
      </c>
      <c r="P22" s="6634">
        <f t="shared" si="4"/>
        <v>89825.370596709981</v>
      </c>
      <c r="Q22" s="6893">
        <f>+'7. E Plan'!L27+'7. E Plan'!L28+'7. E Plan'!L59</f>
        <v>188384.92389891853</v>
      </c>
      <c r="R22" s="6836"/>
      <c r="S22" s="6837"/>
      <c r="T22" s="6836">
        <f>+'7. E Plan'!M27+'7. E Plan'!M28+'7. E Plan'!M59</f>
        <v>164620.77663459338</v>
      </c>
      <c r="U22" s="6836"/>
      <c r="V22" s="6837"/>
      <c r="W22" s="6836">
        <f>+'7. E Plan'!N27+'7. E Plan'!N28+'7. E Plan'!N59</f>
        <v>155640.26434191177</v>
      </c>
      <c r="X22" s="6836"/>
      <c r="Y22" s="6837"/>
      <c r="Z22" s="6836">
        <f>+'7. E Plan'!O27+'7. E Plan'!O28+'7. E Plan'!O59</f>
        <v>151266.56111191175</v>
      </c>
      <c r="AA22" s="6836"/>
      <c r="AB22" s="6837"/>
      <c r="AC22" s="6836">
        <f>+'7. E Plan'!P27+'7. E Plan'!P28+'7. E Plan'!P59</f>
        <v>151266.56111191175</v>
      </c>
      <c r="AD22" s="6836"/>
      <c r="AE22" s="6837"/>
      <c r="AF22" s="6836">
        <f>+'7. E Plan'!Q27+'7. E Plan'!Q28+'7. E Plan'!Q59</f>
        <v>148815.30448769013</v>
      </c>
      <c r="AG22" s="6836"/>
      <c r="AH22" s="6837"/>
      <c r="AI22" s="6836">
        <f>+'7. E Plan'!R27+'7. E Plan'!R28+'7. E Plan'!R59</f>
        <v>145834.60276055339</v>
      </c>
      <c r="AJ22" s="6836"/>
      <c r="AK22" s="6837"/>
      <c r="AL22" s="2356">
        <f t="shared" si="5"/>
        <v>632845.23603354802</v>
      </c>
      <c r="AM22" s="6861">
        <f t="shared" si="6"/>
        <v>1003816.5674615385</v>
      </c>
      <c r="AN22" s="6837">
        <f t="shared" si="7"/>
        <v>370971.33142799046</v>
      </c>
      <c r="AO22" s="6874">
        <f t="shared" si="8"/>
        <v>0.58619597700238479</v>
      </c>
    </row>
    <row r="23" spans="1:66" ht="16.5" customHeight="1" thickBot="1">
      <c r="A23" s="6602" t="s">
        <v>13</v>
      </c>
      <c r="B23" s="6623">
        <v>371108.89824622782</v>
      </c>
      <c r="C23" s="6868">
        <f>SUM(C21:C22)</f>
        <v>399460.09479269234</v>
      </c>
      <c r="D23" s="6635">
        <f t="shared" si="0"/>
        <v>28351.196546464518</v>
      </c>
      <c r="E23" s="6900">
        <v>380787.24467304989</v>
      </c>
      <c r="F23" s="6868">
        <f t="shared" ref="F23:AI23" si="18">SUM(F21:F22)</f>
        <v>405335.86413423077</v>
      </c>
      <c r="G23" s="6624">
        <f t="shared" si="1"/>
        <v>24548.619461180875</v>
      </c>
      <c r="H23" s="6623">
        <v>385743.75737523998</v>
      </c>
      <c r="I23" s="6868">
        <f t="shared" si="18"/>
        <v>407286.2384846154</v>
      </c>
      <c r="J23" s="6635">
        <f t="shared" si="2"/>
        <v>21542.481109375425</v>
      </c>
      <c r="K23" s="6900">
        <v>393846.15319722821</v>
      </c>
      <c r="L23" s="6868">
        <f t="shared" si="18"/>
        <v>408721.86714730773</v>
      </c>
      <c r="M23" s="6624">
        <f t="shared" si="3"/>
        <v>14875.713950079517</v>
      </c>
      <c r="N23" s="6623">
        <v>401002.88933327072</v>
      </c>
      <c r="O23" s="6868">
        <f t="shared" si="18"/>
        <v>424091.63700461539</v>
      </c>
      <c r="P23" s="6635">
        <f t="shared" si="4"/>
        <v>23088.747671344667</v>
      </c>
      <c r="Q23" s="6900">
        <f>SUM(Q21:Q22)</f>
        <v>417271.78924757126</v>
      </c>
      <c r="R23" s="6846"/>
      <c r="S23" s="6847"/>
      <c r="T23" s="6846">
        <f t="shared" si="18"/>
        <v>405281.25073931844</v>
      </c>
      <c r="U23" s="6846"/>
      <c r="V23" s="6847"/>
      <c r="W23" s="6846">
        <f t="shared" si="18"/>
        <v>406607.34021228435</v>
      </c>
      <c r="X23" s="6846"/>
      <c r="Y23" s="6847"/>
      <c r="Z23" s="6846">
        <f t="shared" si="18"/>
        <v>411180.03770508658</v>
      </c>
      <c r="AA23" s="6846"/>
      <c r="AB23" s="6847"/>
      <c r="AC23" s="6846">
        <f t="shared" si="18"/>
        <v>414374.27012999507</v>
      </c>
      <c r="AD23" s="6846"/>
      <c r="AE23" s="6847"/>
      <c r="AF23" s="6846">
        <f t="shared" si="18"/>
        <v>421672.75588817021</v>
      </c>
      <c r="AG23" s="6846"/>
      <c r="AH23" s="6847"/>
      <c r="AI23" s="6846">
        <f t="shared" si="18"/>
        <v>420325.67767134926</v>
      </c>
      <c r="AJ23" s="6846"/>
      <c r="AK23" s="6847"/>
      <c r="AL23" s="6848">
        <f t="shared" si="5"/>
        <v>1932488.9428250166</v>
      </c>
      <c r="AM23" s="6868">
        <f t="shared" si="6"/>
        <v>2044895.7015634617</v>
      </c>
      <c r="AN23" s="6847">
        <f t="shared" si="7"/>
        <v>112406.75873844512</v>
      </c>
      <c r="AO23" s="6880">
        <f t="shared" si="8"/>
        <v>5.8166831513210553E-2</v>
      </c>
    </row>
    <row r="24" spans="1:66" ht="16.5" customHeight="1" thickBot="1">
      <c r="A24" s="1613"/>
      <c r="B24" s="1636"/>
      <c r="C24" s="1636"/>
      <c r="D24" s="1636"/>
      <c r="E24" s="1636"/>
      <c r="F24" s="1636"/>
      <c r="G24" s="1636"/>
      <c r="H24" s="1636"/>
      <c r="I24" s="1636"/>
      <c r="J24" s="1636"/>
      <c r="K24" s="1636"/>
      <c r="L24" s="1636"/>
      <c r="M24" s="1636"/>
      <c r="N24" s="1636"/>
      <c r="O24" s="1636"/>
      <c r="P24" s="1636"/>
      <c r="Q24" s="1636"/>
      <c r="R24" s="1636"/>
      <c r="S24" s="1636"/>
      <c r="T24" s="1636"/>
      <c r="U24" s="1636"/>
      <c r="V24" s="1636"/>
      <c r="W24" s="1636"/>
      <c r="X24" s="1636"/>
      <c r="Y24" s="1636"/>
      <c r="Z24" s="1636"/>
      <c r="AA24" s="1636"/>
      <c r="AB24" s="1636"/>
      <c r="AC24" s="1636"/>
      <c r="AD24" s="1636"/>
      <c r="AE24" s="1636"/>
      <c r="AF24" s="1636"/>
      <c r="AG24" s="1636"/>
      <c r="AH24" s="1636"/>
      <c r="AI24" s="1636"/>
      <c r="AJ24" s="1636"/>
      <c r="AK24" s="1636"/>
      <c r="AL24" s="1636"/>
      <c r="AM24" s="1636"/>
      <c r="AN24" s="1636"/>
      <c r="AO24" s="1636"/>
    </row>
    <row r="25" spans="1:66" ht="16.5" customHeight="1">
      <c r="A25" s="1671" t="s">
        <v>1</v>
      </c>
      <c r="B25" s="6912">
        <f>B9/B5</f>
        <v>0.25319409978585949</v>
      </c>
      <c r="C25" s="6869">
        <f>C9/C5</f>
        <v>0.22230460660183041</v>
      </c>
      <c r="D25" s="6882">
        <f t="shared" si="0"/>
        <v>-3.0889493184029088E-2</v>
      </c>
      <c r="E25" s="6909">
        <f>E9/E5</f>
        <v>0.28035151860282664</v>
      </c>
      <c r="F25" s="6869">
        <f>F9/F5</f>
        <v>0.14840907803289974</v>
      </c>
      <c r="G25" s="6914">
        <f t="shared" si="1"/>
        <v>-0.13194244056992691</v>
      </c>
      <c r="H25" s="6912">
        <f>H9/H5</f>
        <v>0.2983641024793523</v>
      </c>
      <c r="I25" s="6869">
        <f t="shared" ref="I25:AM25" si="19">I9/I5</f>
        <v>0.20840161707569771</v>
      </c>
      <c r="J25" s="6882">
        <f t="shared" si="2"/>
        <v>-8.9962485403654591E-2</v>
      </c>
      <c r="K25" s="6909">
        <f>K9/K5</f>
        <v>0.29503032235222765</v>
      </c>
      <c r="L25" s="6869">
        <f t="shared" si="19"/>
        <v>0.14271017507555894</v>
      </c>
      <c r="M25" s="6914">
        <f t="shared" si="3"/>
        <v>-0.1523201472766687</v>
      </c>
      <c r="N25" s="6912">
        <v>0.22230460660183041</v>
      </c>
      <c r="O25" s="6869">
        <f t="shared" si="19"/>
        <v>0.19878760946502225</v>
      </c>
      <c r="P25" s="6882">
        <f t="shared" si="4"/>
        <v>-2.351699713680816E-2</v>
      </c>
      <c r="Q25" s="6909">
        <f>Q9/Q5</f>
        <v>0.24501471487769569</v>
      </c>
      <c r="R25" s="6851"/>
      <c r="S25" s="6852"/>
      <c r="T25" s="6851">
        <f t="shared" si="19"/>
        <v>0.28359350214961887</v>
      </c>
      <c r="U25" s="6851"/>
      <c r="V25" s="6852"/>
      <c r="W25" s="6851">
        <f t="shared" si="19"/>
        <v>0.27968662686811563</v>
      </c>
      <c r="X25" s="6851"/>
      <c r="Y25" s="6852"/>
      <c r="Z25" s="6851">
        <f t="shared" si="19"/>
        <v>0.25250768528026124</v>
      </c>
      <c r="AA25" s="6851"/>
      <c r="AB25" s="6852"/>
      <c r="AC25" s="6851">
        <f t="shared" si="19"/>
        <v>0.26132676534073318</v>
      </c>
      <c r="AD25" s="6851"/>
      <c r="AE25" s="6852"/>
      <c r="AF25" s="6851">
        <f t="shared" si="19"/>
        <v>0.23630403493534699</v>
      </c>
      <c r="AG25" s="6851"/>
      <c r="AH25" s="6852"/>
      <c r="AI25" s="6851">
        <f t="shared" si="19"/>
        <v>0.23688146929136927</v>
      </c>
      <c r="AJ25" s="6851"/>
      <c r="AK25" s="6852"/>
      <c r="AL25" s="6851">
        <f t="shared" ref="AL25" si="20">AL9/AL5</f>
        <v>0.28437992370528592</v>
      </c>
      <c r="AM25" s="6869">
        <f t="shared" si="19"/>
        <v>0.18660367573486708</v>
      </c>
      <c r="AN25" s="6881">
        <f t="shared" si="7"/>
        <v>-9.7776247970418839E-2</v>
      </c>
      <c r="AO25" s="6882"/>
    </row>
    <row r="26" spans="1:66" ht="16.5" customHeight="1">
      <c r="A26" s="2205" t="s">
        <v>25</v>
      </c>
      <c r="B26" s="6913">
        <f>B12/B5</f>
        <v>0.13782986637028796</v>
      </c>
      <c r="C26" s="6870">
        <f>C12/C5</f>
        <v>0.10754555010752824</v>
      </c>
      <c r="D26" s="6884">
        <f t="shared" si="0"/>
        <v>-3.0284316262759722E-2</v>
      </c>
      <c r="E26" s="6910">
        <f>E12/E5</f>
        <v>0.15637938416542835</v>
      </c>
      <c r="F26" s="6870">
        <f>F12/F5</f>
        <v>2.3264311055327648E-2</v>
      </c>
      <c r="G26" s="6915">
        <f t="shared" si="1"/>
        <v>-0.13311507311010071</v>
      </c>
      <c r="H26" s="6913">
        <f>H12/H5</f>
        <v>0.18939892810296932</v>
      </c>
      <c r="I26" s="6870">
        <f t="shared" ref="I26:AM26" si="21">I12/I5</f>
        <v>0.10670789414140101</v>
      </c>
      <c r="J26" s="6884">
        <f t="shared" si="2"/>
        <v>-8.2691033961568308E-2</v>
      </c>
      <c r="K26" s="6910">
        <f>K12/K5</f>
        <v>0.18675134555464354</v>
      </c>
      <c r="L26" s="6870">
        <f t="shared" si="21"/>
        <v>1.2057377113697164E-2</v>
      </c>
      <c r="M26" s="6915">
        <f t="shared" si="3"/>
        <v>-0.17469396844094637</v>
      </c>
      <c r="N26" s="6913">
        <v>0.10754555010752824</v>
      </c>
      <c r="O26" s="6870">
        <f t="shared" si="21"/>
        <v>9.4836724493676389E-2</v>
      </c>
      <c r="P26" s="6884">
        <f t="shared" si="4"/>
        <v>-1.2708825613851851E-2</v>
      </c>
      <c r="Q26" s="6910">
        <f>Q12/Q5</f>
        <v>0.13769821635167706</v>
      </c>
      <c r="R26" s="6642"/>
      <c r="S26" s="6638"/>
      <c r="T26" s="6642">
        <f t="shared" si="21"/>
        <v>0.18702437860175034</v>
      </c>
      <c r="U26" s="6642"/>
      <c r="V26" s="6638"/>
      <c r="W26" s="6642">
        <f t="shared" si="21"/>
        <v>0.18345858419754366</v>
      </c>
      <c r="X26" s="6642"/>
      <c r="Y26" s="6638"/>
      <c r="Z26" s="6642">
        <f t="shared" si="21"/>
        <v>0.14715214577308461</v>
      </c>
      <c r="AA26" s="6642"/>
      <c r="AB26" s="6638"/>
      <c r="AC26" s="6642">
        <f t="shared" si="21"/>
        <v>0.1591814810817673</v>
      </c>
      <c r="AD26" s="6642"/>
      <c r="AE26" s="6638"/>
      <c r="AF26" s="6642">
        <f t="shared" si="21"/>
        <v>0.13363127624969798</v>
      </c>
      <c r="AG26" s="6642"/>
      <c r="AH26" s="6638"/>
      <c r="AI26" s="6642">
        <f t="shared" si="21"/>
        <v>0.13080764909721487</v>
      </c>
      <c r="AJ26" s="6642"/>
      <c r="AK26" s="6638"/>
      <c r="AL26" s="6642">
        <f t="shared" ref="AL26" si="22">AL12/AL5</f>
        <v>0.17155424173596329</v>
      </c>
      <c r="AM26" s="6870">
        <f t="shared" si="21"/>
        <v>7.2320749506133944E-2</v>
      </c>
      <c r="AN26" s="6883">
        <f t="shared" si="7"/>
        <v>-9.9233492229829343E-2</v>
      </c>
      <c r="AO26" s="6884"/>
    </row>
    <row r="27" spans="1:66" ht="16.5" customHeight="1" thickBot="1">
      <c r="A27" s="6603" t="s">
        <v>542</v>
      </c>
      <c r="B27" s="6625">
        <f>B19/B5</f>
        <v>9.4901343972773299E-3</v>
      </c>
      <c r="C27" s="6853">
        <f>C19/C5</f>
        <v>8.1305428573542796E-2</v>
      </c>
      <c r="D27" s="6886">
        <f t="shared" si="0"/>
        <v>7.1815294176265462E-2</v>
      </c>
      <c r="E27" s="6911">
        <f>E19/E5</f>
        <v>0.12963113451343955</v>
      </c>
      <c r="F27" s="6853">
        <f>F19/F5</f>
        <v>-1.3475000477012431E-4</v>
      </c>
      <c r="G27" s="6916">
        <f t="shared" si="1"/>
        <v>-0.12976588451820967</v>
      </c>
      <c r="H27" s="6625">
        <f>H19/H5</f>
        <v>0.14904369881346305</v>
      </c>
      <c r="I27" s="6853">
        <f t="shared" ref="I27:AM27" si="23">I19/I5</f>
        <v>1.029116105521796E-2</v>
      </c>
      <c r="J27" s="6886">
        <f t="shared" si="2"/>
        <v>-0.13875253775824509</v>
      </c>
      <c r="K27" s="6911">
        <f>K19/K5</f>
        <v>0.13043811171599631</v>
      </c>
      <c r="L27" s="6853">
        <f t="shared" si="23"/>
        <v>3.1930950265293893E-3</v>
      </c>
      <c r="M27" s="6916">
        <f t="shared" si="3"/>
        <v>-0.12724501668946692</v>
      </c>
      <c r="N27" s="6625">
        <v>8.1305428573542796E-2</v>
      </c>
      <c r="O27" s="6853">
        <f t="shared" si="23"/>
        <v>8.4023600707170618E-2</v>
      </c>
      <c r="P27" s="6886">
        <f t="shared" si="4"/>
        <v>2.718172133627822E-3</v>
      </c>
      <c r="Q27" s="6911">
        <f>Q19/Q5</f>
        <v>0.10241074240945967</v>
      </c>
      <c r="R27" s="6853"/>
      <c r="S27" s="6853"/>
      <c r="T27" s="6853">
        <f t="shared" si="23"/>
        <v>0.13284069200509996</v>
      </c>
      <c r="U27" s="6853"/>
      <c r="V27" s="6853"/>
      <c r="W27" s="6853">
        <f t="shared" si="23"/>
        <v>0.12876627225328494</v>
      </c>
      <c r="X27" s="6853"/>
      <c r="Y27" s="6853"/>
      <c r="Z27" s="6853">
        <f t="shared" si="23"/>
        <v>9.7296927004586545E-2</v>
      </c>
      <c r="AA27" s="6853"/>
      <c r="AB27" s="6853"/>
      <c r="AC27" s="6853">
        <f t="shared" si="23"/>
        <v>0.10665848952575477</v>
      </c>
      <c r="AD27" s="6853"/>
      <c r="AE27" s="6853"/>
      <c r="AF27" s="6853">
        <f t="shared" si="23"/>
        <v>8.5983483310615005E-2</v>
      </c>
      <c r="AG27" s="6853"/>
      <c r="AH27" s="6853"/>
      <c r="AI27" s="6853">
        <f t="shared" si="23"/>
        <v>8.3944121270906447E-2</v>
      </c>
      <c r="AJ27" s="6853"/>
      <c r="AK27" s="6853"/>
      <c r="AL27" s="6853">
        <f t="shared" ref="AL27" si="24">AL19/AL5</f>
        <v>0.11006507283300904</v>
      </c>
      <c r="AM27" s="6853">
        <f t="shared" si="23"/>
        <v>3.6899336654361889E-2</v>
      </c>
      <c r="AN27" s="6885">
        <f t="shared" si="7"/>
        <v>-7.3165736178647148E-2</v>
      </c>
      <c r="AO27" s="6886"/>
    </row>
    <row r="28" spans="1:66" ht="15" customHeight="1">
      <c r="B28" s="1536"/>
      <c r="E28" s="1536"/>
      <c r="H28" s="1536"/>
      <c r="K28" s="1536"/>
      <c r="N28" s="1536"/>
    </row>
    <row r="29" spans="1:66" ht="35.25" hidden="1" customHeight="1" outlineLevel="1" thickBot="1">
      <c r="A29" s="82" t="s">
        <v>1020</v>
      </c>
      <c r="B29" s="7576" t="str">
        <f>B3</f>
        <v>Jan.26</v>
      </c>
      <c r="C29" s="7577"/>
      <c r="D29" s="7578"/>
      <c r="E29" s="7576" t="str">
        <f>E3</f>
        <v>Feb.26</v>
      </c>
      <c r="F29" s="7577"/>
      <c r="G29" s="7578"/>
      <c r="H29" s="7576" t="str">
        <f>H3</f>
        <v>Mar.26</v>
      </c>
      <c r="I29" s="7577"/>
      <c r="J29" s="7578"/>
      <c r="K29" s="7576" t="str">
        <f>K3</f>
        <v>Apr.26</v>
      </c>
      <c r="L29" s="7577"/>
      <c r="M29" s="7578"/>
      <c r="N29" s="7576" t="str">
        <f>N3</f>
        <v>May.26</v>
      </c>
      <c r="O29" s="7577"/>
      <c r="P29" s="7578"/>
      <c r="Q29" s="7489" t="str">
        <f>Q3</f>
        <v>Jul.26</v>
      </c>
      <c r="R29" s="7166"/>
      <c r="S29" s="7167"/>
      <c r="T29" s="7489" t="str">
        <f>T3</f>
        <v>Jul.26</v>
      </c>
      <c r="U29" s="7166"/>
      <c r="V29" s="7167"/>
      <c r="W29" s="7489" t="str">
        <f>W3</f>
        <v>Aug.26</v>
      </c>
      <c r="X29" s="7166"/>
      <c r="Y29" s="7167"/>
      <c r="Z29" s="7489" t="str">
        <f>Z3</f>
        <v>Sep.26</v>
      </c>
      <c r="AA29" s="7166"/>
      <c r="AB29" s="7167"/>
      <c r="AC29" s="7489" t="str">
        <f>AC3</f>
        <v>Oct.26</v>
      </c>
      <c r="AD29" s="7166"/>
      <c r="AE29" s="7167"/>
      <c r="AF29" s="7489" t="str">
        <f>AF3</f>
        <v>Nov.26</v>
      </c>
      <c r="AG29" s="7166"/>
      <c r="AH29" s="7167"/>
      <c r="AI29" s="7489" t="str">
        <f>AI3</f>
        <v>Dec.26</v>
      </c>
      <c r="AJ29" s="7166"/>
      <c r="AK29" s="7167"/>
      <c r="AL29" s="7489" t="str">
        <f>AL3</f>
        <v>2026
Total</v>
      </c>
      <c r="AM29" s="7166"/>
      <c r="AN29" s="7167"/>
      <c r="AO29" s="3452"/>
    </row>
    <row r="30" spans="1:66" ht="15" hidden="1" customHeight="1" outlineLevel="1">
      <c r="A30" s="2640" t="s">
        <v>1021</v>
      </c>
      <c r="B30" s="5134"/>
      <c r="C30" s="5134">
        <v>0.2</v>
      </c>
      <c r="D30" s="5134"/>
      <c r="E30" s="5134"/>
      <c r="F30" s="5134">
        <v>0.2</v>
      </c>
      <c r="G30" s="5134"/>
      <c r="H30" s="5134"/>
      <c r="I30" s="5134">
        <v>0.2</v>
      </c>
      <c r="J30" s="5134"/>
      <c r="K30" s="5134"/>
      <c r="L30" s="5134">
        <v>0.2</v>
      </c>
      <c r="M30" s="5134"/>
      <c r="N30" s="5134"/>
      <c r="O30" s="5134">
        <v>0.2</v>
      </c>
      <c r="P30" s="5134"/>
      <c r="Q30" s="2642">
        <v>0.2</v>
      </c>
      <c r="R30" s="2642"/>
      <c r="S30" s="2642"/>
      <c r="T30" s="2642">
        <v>0.2</v>
      </c>
      <c r="U30" s="2642"/>
      <c r="V30" s="2642"/>
      <c r="W30" s="2642">
        <v>0.2</v>
      </c>
      <c r="X30" s="2642"/>
      <c r="Y30" s="2642"/>
      <c r="Z30" s="2642">
        <v>0.2</v>
      </c>
      <c r="AA30" s="2642"/>
      <c r="AB30" s="2642"/>
      <c r="AC30" s="2642">
        <v>0.2</v>
      </c>
      <c r="AD30" s="2642"/>
      <c r="AE30" s="2642"/>
      <c r="AF30" s="2642">
        <v>0.2</v>
      </c>
      <c r="AG30" s="2642"/>
      <c r="AH30" s="2642"/>
      <c r="AI30" s="2642">
        <v>0.2</v>
      </c>
      <c r="AJ30" s="2642"/>
      <c r="AK30" s="2642"/>
      <c r="AL30" s="2356"/>
      <c r="AM30" s="2642">
        <v>0.2</v>
      </c>
      <c r="AN30" s="2642"/>
      <c r="AO30" s="6854"/>
    </row>
    <row r="31" spans="1:66" ht="20.25" hidden="1" customHeight="1" outlineLevel="1" thickBot="1">
      <c r="A31" s="6604" t="s">
        <v>1022</v>
      </c>
      <c r="B31" s="6593"/>
      <c r="C31" s="6593">
        <f>C17</f>
        <v>316856.66450068809</v>
      </c>
      <c r="D31" s="6593"/>
      <c r="E31" s="6593"/>
      <c r="F31" s="6593">
        <f t="shared" ref="F31:AI31" si="25">F17</f>
        <v>9469.2684958178997</v>
      </c>
      <c r="G31" s="6593"/>
      <c r="H31" s="6593"/>
      <c r="I31" s="6593">
        <f t="shared" si="25"/>
        <v>50956.033080441994</v>
      </c>
      <c r="J31" s="6593"/>
      <c r="K31" s="6593"/>
      <c r="L31" s="6593">
        <f t="shared" si="25"/>
        <v>24088.266214933334</v>
      </c>
      <c r="M31" s="6593"/>
      <c r="N31" s="6593"/>
      <c r="O31" s="6593">
        <f t="shared" si="25"/>
        <v>332141.86427881476</v>
      </c>
      <c r="P31" s="6593"/>
      <c r="Q31" s="6594">
        <f>Q17</f>
        <v>430477.23063237011</v>
      </c>
      <c r="R31" s="6594"/>
      <c r="S31" s="6594"/>
      <c r="T31" s="6594">
        <f t="shared" si="25"/>
        <v>674898.00496100774</v>
      </c>
      <c r="U31" s="6594"/>
      <c r="V31" s="6594"/>
      <c r="W31" s="6594">
        <f t="shared" si="25"/>
        <v>608090.62839318044</v>
      </c>
      <c r="X31" s="6594"/>
      <c r="Y31" s="6594"/>
      <c r="Z31" s="6594">
        <f t="shared" si="25"/>
        <v>403809.03280876426</v>
      </c>
      <c r="AA31" s="6594"/>
      <c r="AB31" s="6594"/>
      <c r="AC31" s="6594">
        <f t="shared" si="25"/>
        <v>426658.37601258402</v>
      </c>
      <c r="AD31" s="6594"/>
      <c r="AE31" s="6594"/>
      <c r="AF31" s="6594">
        <f t="shared" si="25"/>
        <v>339268.19898109767</v>
      </c>
      <c r="AG31" s="6594"/>
      <c r="AH31" s="6594"/>
      <c r="AI31" s="6594">
        <f t="shared" si="25"/>
        <v>331950.58911325678</v>
      </c>
      <c r="AJ31" s="6594"/>
      <c r="AK31" s="6594"/>
      <c r="AL31" s="6831"/>
      <c r="AM31" s="6594">
        <f>SUM(C31:AI31)</f>
        <v>3948664.1574729569</v>
      </c>
      <c r="AN31" s="6594"/>
      <c r="AO31" s="6855"/>
    </row>
    <row r="32" spans="1:66" ht="15.75" hidden="1" customHeight="1" outlineLevel="1">
      <c r="A32" s="3290" t="s">
        <v>1211</v>
      </c>
      <c r="B32" s="5136"/>
      <c r="C32" s="5136">
        <f t="shared" ref="C32:AI32" si="26">IF(C33&lt;0,0,IF(C31&gt;C33,C33,C31))*C30</f>
        <v>0</v>
      </c>
      <c r="D32" s="5136"/>
      <c r="E32" s="5136"/>
      <c r="F32" s="5136">
        <f t="shared" si="26"/>
        <v>0</v>
      </c>
      <c r="G32" s="5136"/>
      <c r="H32" s="5136"/>
      <c r="I32" s="5136">
        <f t="shared" si="26"/>
        <v>0</v>
      </c>
      <c r="J32" s="5136"/>
      <c r="K32" s="5136"/>
      <c r="L32" s="5136">
        <f t="shared" si="26"/>
        <v>0</v>
      </c>
      <c r="M32" s="5136"/>
      <c r="N32" s="5136"/>
      <c r="O32" s="5136">
        <f>IF(O33&lt;0,0,IF(O31&gt;O33,O33,O31))*O30</f>
        <v>0</v>
      </c>
      <c r="P32" s="5136"/>
      <c r="Q32" s="4008">
        <f t="shared" si="26"/>
        <v>44468.826455997842</v>
      </c>
      <c r="R32" s="4008"/>
      <c r="S32" s="4008"/>
      <c r="T32" s="4008">
        <f t="shared" si="26"/>
        <v>134979.60099220157</v>
      </c>
      <c r="U32" s="4008"/>
      <c r="V32" s="4008"/>
      <c r="W32" s="4008">
        <f t="shared" si="26"/>
        <v>121618.12567863609</v>
      </c>
      <c r="X32" s="4008"/>
      <c r="Y32" s="4008"/>
      <c r="Z32" s="4008">
        <f t="shared" si="26"/>
        <v>80761.806561752863</v>
      </c>
      <c r="AA32" s="4008"/>
      <c r="AB32" s="4008"/>
      <c r="AC32" s="4008">
        <f t="shared" si="26"/>
        <v>85331.67520251681</v>
      </c>
      <c r="AD32" s="4008"/>
      <c r="AE32" s="4008"/>
      <c r="AF32" s="4008">
        <f t="shared" si="26"/>
        <v>67853.639796219533</v>
      </c>
      <c r="AG32" s="4008"/>
      <c r="AH32" s="4008"/>
      <c r="AI32" s="4008">
        <f t="shared" si="26"/>
        <v>66390.117822651358</v>
      </c>
      <c r="AJ32" s="4008"/>
      <c r="AK32" s="4008"/>
      <c r="AL32" s="4008"/>
      <c r="AM32" s="4008">
        <f>SUM(C32:AI32)</f>
        <v>601403.79250997608</v>
      </c>
      <c r="AN32" s="4008"/>
      <c r="AO32" s="6857"/>
    </row>
    <row r="33" spans="1:42" ht="14.25" hidden="1" customHeight="1" outlineLevel="1" thickBot="1">
      <c r="A33" s="6605">
        <v>-941645.19492307701</v>
      </c>
      <c r="B33" s="6595"/>
      <c r="C33" s="6595">
        <f>A33+C31</f>
        <v>-624788.53042238893</v>
      </c>
      <c r="D33" s="6595"/>
      <c r="E33" s="6595"/>
      <c r="F33" s="6595">
        <f>C33+F31</f>
        <v>-615319.26192657102</v>
      </c>
      <c r="G33" s="6595"/>
      <c r="H33" s="6595"/>
      <c r="I33" s="6595">
        <f>F33+I31</f>
        <v>-564363.22884612903</v>
      </c>
      <c r="J33" s="6595"/>
      <c r="K33" s="6595"/>
      <c r="L33" s="6595">
        <f>I33+L31</f>
        <v>-540274.96263119567</v>
      </c>
      <c r="M33" s="6595"/>
      <c r="N33" s="6595"/>
      <c r="O33" s="6595">
        <f>L33+O31</f>
        <v>-208133.09835238091</v>
      </c>
      <c r="P33" s="6595"/>
      <c r="Q33" s="6596">
        <f>O33+Q31</f>
        <v>222344.13227998919</v>
      </c>
      <c r="R33" s="6596"/>
      <c r="S33" s="6596"/>
      <c r="T33" s="6596">
        <f>Q33+T31</f>
        <v>897242.13724099693</v>
      </c>
      <c r="U33" s="6596"/>
      <c r="V33" s="6596"/>
      <c r="W33" s="6596">
        <f>T33+W31</f>
        <v>1505332.7656341773</v>
      </c>
      <c r="X33" s="6596"/>
      <c r="Y33" s="6596"/>
      <c r="Z33" s="6596">
        <f>W33+Z31</f>
        <v>1909141.7984429416</v>
      </c>
      <c r="AA33" s="6596"/>
      <c r="AB33" s="6596"/>
      <c r="AC33" s="6596">
        <f>Z33+AC31</f>
        <v>2335800.1744555258</v>
      </c>
      <c r="AD33" s="6596"/>
      <c r="AE33" s="6596"/>
      <c r="AF33" s="6596">
        <f>AC33+AF31</f>
        <v>2675068.3734366233</v>
      </c>
      <c r="AG33" s="6596"/>
      <c r="AH33" s="6596"/>
      <c r="AI33" s="6596">
        <f>AF33+AI31</f>
        <v>3007018.9625498801</v>
      </c>
      <c r="AJ33" s="6596"/>
      <c r="AK33" s="6596"/>
      <c r="AL33" s="6596"/>
      <c r="AM33" s="6596">
        <v>3476848.2672356348</v>
      </c>
      <c r="AN33" s="6596"/>
      <c r="AO33" s="6856"/>
    </row>
    <row r="34" spans="1:42" ht="14.25" hidden="1" customHeight="1" outlineLevel="1">
      <c r="A34" s="3281"/>
      <c r="B34" s="4597"/>
      <c r="C34" s="4597"/>
      <c r="D34" s="4597"/>
      <c r="E34" s="4597"/>
      <c r="F34" s="4597"/>
      <c r="G34" s="4597"/>
      <c r="H34" s="4597"/>
      <c r="I34" s="4597"/>
      <c r="J34" s="4597"/>
      <c r="K34" s="4597"/>
      <c r="L34" s="4597"/>
      <c r="M34" s="4597"/>
      <c r="N34" s="4597"/>
      <c r="O34" s="4597"/>
      <c r="P34" s="4597"/>
      <c r="Q34" s="6830"/>
      <c r="R34" s="6830"/>
      <c r="S34" s="6830"/>
      <c r="T34" s="6830"/>
      <c r="U34" s="6830"/>
      <c r="V34" s="6830"/>
      <c r="W34" s="6830"/>
      <c r="X34" s="6830"/>
      <c r="Y34" s="6830"/>
      <c r="Z34" s="6830"/>
      <c r="AA34" s="6830"/>
      <c r="AB34" s="6830"/>
      <c r="AC34" s="6830"/>
      <c r="AD34" s="6830"/>
      <c r="AE34" s="6830"/>
      <c r="AF34" s="6830"/>
      <c r="AG34" s="6830"/>
      <c r="AH34" s="6830"/>
      <c r="AI34" s="6830"/>
      <c r="AJ34" s="6830"/>
      <c r="AK34" s="6830"/>
      <c r="AL34" s="6830"/>
      <c r="AM34" s="6830"/>
      <c r="AN34" s="6830"/>
      <c r="AO34" s="6830"/>
      <c r="AP34" s="5" t="s">
        <v>245</v>
      </c>
    </row>
    <row r="35" spans="1:42" ht="15" customHeight="1" collapsed="1" thickBot="1">
      <c r="A35" s="1784"/>
      <c r="B35" s="1535"/>
      <c r="C35" s="1535"/>
      <c r="D35" s="1535"/>
      <c r="E35" s="1535"/>
      <c r="F35" s="1535"/>
      <c r="G35" s="1535"/>
      <c r="H35" s="1535"/>
      <c r="I35" s="1535"/>
      <c r="J35" s="1535"/>
      <c r="K35" s="1535"/>
      <c r="L35" s="1535"/>
      <c r="M35" s="1535"/>
      <c r="N35" s="1535"/>
      <c r="O35" s="1535"/>
      <c r="P35" s="1535"/>
    </row>
    <row r="36" spans="1:42" ht="15" customHeight="1" thickBot="1">
      <c r="A36" s="6887" t="s">
        <v>1208</v>
      </c>
      <c r="B36" s="6627">
        <f>(B19+B7)/B5</f>
        <v>7.5359878400663063E-2</v>
      </c>
      <c r="C36" s="6923">
        <f>(C19+C7)/C5</f>
        <v>0.13740597519401021</v>
      </c>
      <c r="D36" s="6636"/>
      <c r="E36" s="6627">
        <f t="shared" ref="E36" si="27">(E19+E7)/E5</f>
        <v>0.18758112312619163</v>
      </c>
      <c r="F36" s="6923">
        <f t="shared" ref="F36:AM36" si="28">(F19+F7)/F5</f>
        <v>3.0115546954332002E-2</v>
      </c>
      <c r="G36" s="6924"/>
      <c r="H36" s="6627">
        <f t="shared" ref="H36" si="29">(H19+H7)/H5</f>
        <v>0.21118461638040092</v>
      </c>
      <c r="I36" s="6923">
        <f t="shared" si="28"/>
        <v>3.7717429526205583E-2</v>
      </c>
      <c r="J36" s="6636"/>
      <c r="K36" s="6627">
        <f>(K19+K7)/K5</f>
        <v>0.18238283605345607</v>
      </c>
      <c r="L36" s="6923">
        <f>(L19+L7)/L5</f>
        <v>3.1930950265293893E-3</v>
      </c>
      <c r="M36" s="6924"/>
      <c r="N36" s="6627">
        <f t="shared" ref="N36" si="30">(N19+N7)/N5</f>
        <v>0.18039349374985519</v>
      </c>
      <c r="O36" s="6923">
        <f t="shared" si="28"/>
        <v>9.3107859690096773E-2</v>
      </c>
      <c r="P36" s="6636"/>
      <c r="Q36" s="6626">
        <f>(Q19+Q7)/Q5</f>
        <v>0.11133212330581259</v>
      </c>
      <c r="R36" s="6627"/>
      <c r="S36" s="6627"/>
      <c r="T36" s="6627">
        <f t="shared" si="28"/>
        <v>0.1411141358890915</v>
      </c>
      <c r="U36" s="6627"/>
      <c r="V36" s="6627"/>
      <c r="W36" s="6627">
        <f t="shared" si="28"/>
        <v>0.13766703353604332</v>
      </c>
      <c r="X36" s="6627"/>
      <c r="Y36" s="6627"/>
      <c r="Z36" s="6627">
        <f t="shared" si="28"/>
        <v>0.10742475775352101</v>
      </c>
      <c r="AA36" s="6627"/>
      <c r="AB36" s="6627"/>
      <c r="AC36" s="6627">
        <f t="shared" si="28"/>
        <v>0.11716620957560088</v>
      </c>
      <c r="AD36" s="6627"/>
      <c r="AE36" s="6627"/>
      <c r="AF36" s="6627">
        <f t="shared" si="28"/>
        <v>9.6636318848945704E-2</v>
      </c>
      <c r="AG36" s="6627"/>
      <c r="AH36" s="6627"/>
      <c r="AI36" s="6627">
        <f t="shared" si="28"/>
        <v>9.4573556359768621E-2</v>
      </c>
      <c r="AJ36" s="6627"/>
      <c r="AK36" s="6627"/>
      <c r="AL36" s="6627">
        <f t="shared" ref="AL36" si="31">(AL19+AL7)/AL5</f>
        <v>0.16811609158414084</v>
      </c>
      <c r="AM36" s="6923">
        <f t="shared" si="28"/>
        <v>6.1824014767318504E-2</v>
      </c>
      <c r="AN36" s="6627"/>
      <c r="AO36" s="6925"/>
    </row>
    <row r="37" spans="1:42" ht="15" hidden="1" customHeight="1" thickBot="1">
      <c r="A37" s="6917" t="s">
        <v>1212</v>
      </c>
      <c r="B37" s="6918">
        <f>+(B19)/B5</f>
        <v>9.4901343972773299E-3</v>
      </c>
      <c r="C37" s="6919">
        <f>+(C19)/C5</f>
        <v>8.1305428573542796E-2</v>
      </c>
      <c r="D37" s="6920"/>
      <c r="E37" s="6918">
        <f t="shared" ref="E37" si="32">+(E19)/E5</f>
        <v>0.12963113451343955</v>
      </c>
      <c r="F37" s="6919">
        <f t="shared" ref="F37:I37" si="33">+(F19)/F5</f>
        <v>-1.3475000477012431E-4</v>
      </c>
      <c r="G37" s="6921"/>
      <c r="H37" s="6918">
        <f t="shared" ref="H37" si="34">+(H19)/H5</f>
        <v>0.14904369881346305</v>
      </c>
      <c r="I37" s="6919">
        <f t="shared" si="33"/>
        <v>1.029116105521796E-2</v>
      </c>
      <c r="J37" s="6920"/>
      <c r="K37" s="6918">
        <f>+(K19)/K5</f>
        <v>0.13043811171599631</v>
      </c>
      <c r="L37" s="6919">
        <f>+(L19)/L5</f>
        <v>3.1930950265293893E-3</v>
      </c>
      <c r="M37" s="6921"/>
      <c r="N37" s="6918">
        <f t="shared" ref="N37" si="35">+(N19)/N5</f>
        <v>0.1279632314139571</v>
      </c>
      <c r="O37" s="6919">
        <f t="shared" ref="O37:AI37" si="36">+(O19)/O5</f>
        <v>8.4023600707170618E-2</v>
      </c>
      <c r="P37" s="6920"/>
      <c r="Q37" s="6922">
        <f>+(Q19)/Q5</f>
        <v>0.10241074240945967</v>
      </c>
      <c r="R37" s="6918"/>
      <c r="S37" s="6918"/>
      <c r="T37" s="6918">
        <f t="shared" si="36"/>
        <v>0.13284069200509996</v>
      </c>
      <c r="U37" s="6918"/>
      <c r="V37" s="6918"/>
      <c r="W37" s="6918">
        <f t="shared" si="36"/>
        <v>0.12876627225328494</v>
      </c>
      <c r="X37" s="6918"/>
      <c r="Y37" s="6918"/>
      <c r="Z37" s="6918">
        <f t="shared" si="36"/>
        <v>9.7296927004586545E-2</v>
      </c>
      <c r="AA37" s="6918"/>
      <c r="AB37" s="6918"/>
      <c r="AC37" s="6918">
        <f t="shared" si="36"/>
        <v>0.10665848952575477</v>
      </c>
      <c r="AD37" s="6918"/>
      <c r="AE37" s="6918"/>
      <c r="AF37" s="6918">
        <f t="shared" si="36"/>
        <v>8.5983483310615005E-2</v>
      </c>
      <c r="AG37" s="6918"/>
      <c r="AH37" s="6918"/>
      <c r="AI37" s="6918">
        <f t="shared" si="36"/>
        <v>8.3944121270906447E-2</v>
      </c>
      <c r="AJ37" s="6918"/>
      <c r="AK37" s="6918"/>
      <c r="AL37" s="6918">
        <f t="shared" ref="AL37:AM37" si="37">+(AL19)/AL5</f>
        <v>0.11006507283300904</v>
      </c>
      <c r="AM37" s="6919">
        <f t="shared" si="37"/>
        <v>3.6899336654361889E-2</v>
      </c>
      <c r="AN37" s="6918"/>
      <c r="AO37" s="6858"/>
    </row>
    <row r="38" spans="1:42" ht="15" customHeight="1">
      <c r="A38" s="1535"/>
      <c r="B38" s="1535"/>
      <c r="C38" s="3429"/>
      <c r="D38" s="3429"/>
      <c r="E38" s="1535"/>
      <c r="F38" s="3429"/>
      <c r="G38" s="3429"/>
      <c r="H38" s="1535"/>
      <c r="I38" s="3429"/>
      <c r="J38" s="3429"/>
      <c r="K38" s="1535"/>
      <c r="L38" s="3429"/>
      <c r="M38" s="3429"/>
      <c r="N38" s="1535"/>
      <c r="O38" s="3429"/>
      <c r="P38" s="3429"/>
      <c r="Q38" s="3429"/>
      <c r="R38" s="3429"/>
      <c r="S38" s="3429"/>
      <c r="T38" s="3429"/>
      <c r="U38" s="3429"/>
      <c r="V38" s="3429"/>
      <c r="W38" s="3429"/>
      <c r="X38" s="3429"/>
      <c r="Y38" s="3429"/>
      <c r="Z38" s="3429"/>
      <c r="AA38" s="3429"/>
      <c r="AB38" s="3429"/>
      <c r="AC38" s="3429"/>
      <c r="AD38" s="3429"/>
      <c r="AE38" s="3429"/>
      <c r="AF38" s="3429"/>
      <c r="AG38" s="3429"/>
      <c r="AH38" s="3429"/>
      <c r="AI38" s="3429"/>
      <c r="AJ38" s="3429"/>
      <c r="AK38" s="3429"/>
      <c r="AM38" s="3429"/>
      <c r="AN38" s="3429"/>
      <c r="AO38" s="3429"/>
    </row>
    <row r="39" spans="1:42" ht="15" customHeight="1">
      <c r="A39" s="1535"/>
      <c r="B39" s="1535"/>
      <c r="C39" s="1784"/>
      <c r="D39" s="1784"/>
      <c r="E39" s="1535"/>
      <c r="F39" s="1784"/>
      <c r="G39" s="1784"/>
      <c r="H39" s="1535"/>
      <c r="I39" s="1784"/>
      <c r="J39" s="1784"/>
      <c r="K39" s="1535"/>
      <c r="L39" s="1784"/>
      <c r="M39" s="1784"/>
      <c r="N39" s="1535"/>
      <c r="O39" s="1784"/>
      <c r="P39" s="1784"/>
      <c r="Q39" s="1784"/>
      <c r="R39" s="1784"/>
      <c r="S39" s="1784"/>
      <c r="T39" s="1784"/>
      <c r="U39" s="1784"/>
      <c r="V39" s="1784"/>
      <c r="W39" s="1784"/>
      <c r="X39" s="1784"/>
      <c r="Y39" s="1784"/>
      <c r="Z39" s="1784"/>
      <c r="AA39" s="1784"/>
      <c r="AB39" s="1784"/>
      <c r="AC39" s="1784"/>
      <c r="AD39" s="1784"/>
      <c r="AE39" s="1784"/>
      <c r="AF39" s="1784"/>
      <c r="AG39" s="1784"/>
      <c r="AH39" s="1784"/>
      <c r="AI39" s="1784"/>
      <c r="AJ39" s="1784"/>
      <c r="AK39" s="1784"/>
      <c r="AM39" s="1784"/>
      <c r="AN39" s="1784"/>
      <c r="AO39" s="1784"/>
    </row>
    <row r="40" spans="1:42" ht="15" customHeight="1">
      <c r="A40" s="1535"/>
      <c r="B40" s="1535"/>
      <c r="C40" s="1535"/>
      <c r="D40" s="1535"/>
      <c r="E40" s="1535"/>
      <c r="F40" s="1535"/>
      <c r="G40" s="1535"/>
      <c r="H40" s="1535"/>
      <c r="I40" s="1535"/>
      <c r="J40" s="1535"/>
      <c r="K40" s="1535"/>
      <c r="L40" s="1535"/>
      <c r="M40" s="1535"/>
      <c r="N40" s="1535"/>
      <c r="O40" s="1535"/>
      <c r="P40" s="1535"/>
    </row>
    <row r="41" spans="1:42" ht="15" customHeight="1">
      <c r="A41" s="1535"/>
      <c r="B41" s="1535"/>
      <c r="C41" s="1535"/>
      <c r="D41" s="1535"/>
      <c r="E41" s="1535"/>
      <c r="F41" s="1535"/>
      <c r="G41" s="1535"/>
      <c r="H41" s="1535"/>
      <c r="I41" s="1535"/>
      <c r="J41" s="1535"/>
      <c r="K41" s="1535"/>
      <c r="L41" s="1535"/>
      <c r="M41" s="1535"/>
      <c r="N41" s="1535"/>
      <c r="O41" s="1535"/>
      <c r="P41" s="1535"/>
    </row>
  </sheetData>
  <mergeCells count="26">
    <mergeCell ref="B3:D3"/>
    <mergeCell ref="E3:G3"/>
    <mergeCell ref="H3:J3"/>
    <mergeCell ref="K3:M3"/>
    <mergeCell ref="N3:P3"/>
    <mergeCell ref="Q29:S29"/>
    <mergeCell ref="Q3:S3"/>
    <mergeCell ref="AF3:AH3"/>
    <mergeCell ref="AC3:AE3"/>
    <mergeCell ref="Z3:AB3"/>
    <mergeCell ref="W3:Y3"/>
    <mergeCell ref="T3:V3"/>
    <mergeCell ref="B29:D29"/>
    <mergeCell ref="E29:G29"/>
    <mergeCell ref="H29:J29"/>
    <mergeCell ref="K29:M29"/>
    <mergeCell ref="N29:P29"/>
    <mergeCell ref="AL29:AN29"/>
    <mergeCell ref="AL3:AO3"/>
    <mergeCell ref="T29:V29"/>
    <mergeCell ref="W29:Y29"/>
    <mergeCell ref="Z29:AB29"/>
    <mergeCell ref="AC29:AE29"/>
    <mergeCell ref="AF29:AH29"/>
    <mergeCell ref="AI29:AK29"/>
    <mergeCell ref="AI3:AK3"/>
  </mergeCells>
  <phoneticPr fontId="10" type="noConversion"/>
  <conditionalFormatting sqref="A25:C27 E25:F27 H25:I27 K25:L27 N25:O27 Q25:AM27">
    <cfRule type="cellIs" dxfId="17" priority="10" operator="lessThan">
      <formula>0</formula>
    </cfRule>
  </conditionalFormatting>
  <conditionalFormatting sqref="D5:D27">
    <cfRule type="cellIs" dxfId="16" priority="6" operator="lessThan">
      <formula>0</formula>
    </cfRule>
  </conditionalFormatting>
  <conditionalFormatting sqref="G5:G27">
    <cfRule type="cellIs" dxfId="15" priority="5" operator="lessThan">
      <formula>0</formula>
    </cfRule>
  </conditionalFormatting>
  <conditionalFormatting sqref="J5:J27">
    <cfRule type="cellIs" dxfId="14" priority="4" operator="lessThan">
      <formula>0</formula>
    </cfRule>
  </conditionalFormatting>
  <conditionalFormatting sqref="M5:M27">
    <cfRule type="cellIs" dxfId="13" priority="3" operator="lessThan">
      <formula>0</formula>
    </cfRule>
  </conditionalFormatting>
  <conditionalFormatting sqref="P5:P27">
    <cfRule type="cellIs" dxfId="12" priority="2" operator="lessThan">
      <formula>0</formula>
    </cfRule>
  </conditionalFormatting>
  <conditionalFormatting sqref="AN5:AO27">
    <cfRule type="cellIs" dxfId="11" priority="1" operator="lessThan">
      <formula>0</formula>
    </cfRule>
  </conditionalFormatting>
  <pageMargins left="0.25" right="0.25" top="0.75" bottom="0.75" header="0.3" footer="0.3"/>
  <pageSetup paperSize="9" scale="77" orientation="landscape" r:id="rId1"/>
  <ignoredErrors>
    <ignoredError sqref="P8:AM27" formula="1"/>
  </ignoredErrors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427C8-EDA4-464D-8F4B-884044C58045}">
  <dimension ref="A1:C34"/>
  <sheetViews>
    <sheetView workbookViewId="0">
      <selection activeCell="A33" sqref="A33:B33"/>
    </sheetView>
  </sheetViews>
  <sheetFormatPr defaultRowHeight="17.399999999999999"/>
  <cols>
    <col min="1" max="1" width="39.09765625" customWidth="1"/>
  </cols>
  <sheetData>
    <row r="1" spans="1:3" ht="18" thickBot="1"/>
    <row r="2" spans="1:3" ht="18" thickBot="1">
      <c r="A2" s="6388" t="s">
        <v>1883</v>
      </c>
      <c r="B2" s="6388" t="s">
        <v>1876</v>
      </c>
      <c r="C2" s="6388" t="s">
        <v>1877</v>
      </c>
    </row>
    <row r="3" spans="1:3" ht="18" thickBot="1">
      <c r="A3" s="6390" t="s">
        <v>1888</v>
      </c>
      <c r="B3" s="6389">
        <v>7</v>
      </c>
      <c r="C3" s="6389">
        <v>15</v>
      </c>
    </row>
    <row r="4" spans="1:3" ht="18" thickBot="1">
      <c r="A4" s="6392" t="s">
        <v>1889</v>
      </c>
      <c r="B4" s="6392">
        <v>8</v>
      </c>
      <c r="C4" s="6392">
        <v>15</v>
      </c>
    </row>
    <row r="5" spans="1:3" ht="18" thickBot="1">
      <c r="A5" s="6392" t="s">
        <v>1890</v>
      </c>
      <c r="B5" s="6392">
        <v>7</v>
      </c>
      <c r="C5" s="6392">
        <v>15</v>
      </c>
    </row>
    <row r="6" spans="1:3" ht="18" thickBot="1">
      <c r="A6" s="6389" t="s">
        <v>1891</v>
      </c>
      <c r="B6" s="6389">
        <v>6</v>
      </c>
      <c r="C6" s="6389">
        <v>15</v>
      </c>
    </row>
    <row r="7" spans="1:3" ht="18" thickBot="1">
      <c r="A7" s="6389" t="s">
        <v>1892</v>
      </c>
      <c r="B7" s="6389">
        <v>5</v>
      </c>
      <c r="C7" s="6389">
        <v>15</v>
      </c>
    </row>
    <row r="8" spans="1:3" ht="18" thickBot="1">
      <c r="A8" s="6390" t="s">
        <v>1893</v>
      </c>
      <c r="B8" s="6389">
        <v>6</v>
      </c>
      <c r="C8" s="6389">
        <v>15</v>
      </c>
    </row>
    <row r="9" spans="1:3" ht="18" thickBot="1">
      <c r="A9" s="6389" t="s">
        <v>1894</v>
      </c>
      <c r="B9" s="6389">
        <v>10</v>
      </c>
      <c r="C9" s="6389">
        <v>15</v>
      </c>
    </row>
    <row r="10" spans="1:3" ht="18" thickBot="1">
      <c r="A10" s="6389" t="s">
        <v>1895</v>
      </c>
      <c r="B10" s="6389">
        <v>5</v>
      </c>
      <c r="C10" s="6389">
        <v>10</v>
      </c>
    </row>
    <row r="11" spans="1:3" ht="18" thickBot="1">
      <c r="A11" s="6389" t="s">
        <v>1896</v>
      </c>
      <c r="B11" s="6389">
        <v>10</v>
      </c>
      <c r="C11" s="6389">
        <v>20</v>
      </c>
    </row>
    <row r="12" spans="1:3" ht="18" thickBot="1">
      <c r="A12" s="6389" t="s">
        <v>1897</v>
      </c>
      <c r="B12" s="6389">
        <v>7</v>
      </c>
      <c r="C12" s="6389">
        <v>15</v>
      </c>
    </row>
    <row r="13" spans="1:3" ht="18" thickBot="1">
      <c r="A13" s="6389" t="s">
        <v>1898</v>
      </c>
      <c r="B13" s="6389">
        <v>10</v>
      </c>
      <c r="C13" s="6389">
        <v>20</v>
      </c>
    </row>
    <row r="14" spans="1:3" ht="18" thickBot="1">
      <c r="A14" s="6389" t="s">
        <v>1899</v>
      </c>
      <c r="B14" s="6389">
        <v>8</v>
      </c>
      <c r="C14" s="6389">
        <v>15</v>
      </c>
    </row>
    <row r="15" spans="1:3" ht="18" thickBot="1">
      <c r="A15" s="6389" t="s">
        <v>1900</v>
      </c>
      <c r="B15" s="6389">
        <v>10</v>
      </c>
      <c r="C15" s="6389">
        <v>20</v>
      </c>
    </row>
    <row r="16" spans="1:3" ht="18" thickBot="1">
      <c r="A16" s="6390" t="s">
        <v>1901</v>
      </c>
      <c r="B16" s="6389">
        <v>5</v>
      </c>
      <c r="C16" s="6389">
        <v>12</v>
      </c>
    </row>
    <row r="17" spans="1:3" ht="18" thickBot="1">
      <c r="A17" s="6389" t="s">
        <v>1902</v>
      </c>
      <c r="B17" s="6389">
        <v>3</v>
      </c>
      <c r="C17" s="6389">
        <v>15</v>
      </c>
    </row>
    <row r="18" spans="1:3" ht="18" thickBot="1">
      <c r="A18" s="6389" t="s">
        <v>1903</v>
      </c>
      <c r="B18" s="6389">
        <v>2</v>
      </c>
      <c r="C18" s="6389">
        <v>5</v>
      </c>
    </row>
    <row r="20" spans="1:3" ht="18" thickBot="1"/>
    <row r="21" spans="1:3" ht="18" thickBot="1">
      <c r="A21" s="6388" t="s">
        <v>1883</v>
      </c>
      <c r="B21" s="6388" t="s">
        <v>1876</v>
      </c>
      <c r="C21" s="6388" t="s">
        <v>1877</v>
      </c>
    </row>
    <row r="22" spans="1:3" ht="18" thickBot="1">
      <c r="A22" s="6389" t="s">
        <v>1884</v>
      </c>
      <c r="B22" s="6389">
        <v>25</v>
      </c>
      <c r="C22" s="6389">
        <v>50</v>
      </c>
    </row>
    <row r="23" spans="1:3" ht="18" thickBot="1">
      <c r="A23" s="6389" t="s">
        <v>1885</v>
      </c>
      <c r="B23" s="6389">
        <v>6</v>
      </c>
      <c r="C23" s="6389">
        <v>25</v>
      </c>
    </row>
    <row r="24" spans="1:3" ht="18" thickBot="1">
      <c r="A24" s="6389" t="s">
        <v>1886</v>
      </c>
      <c r="B24" s="6389">
        <v>5</v>
      </c>
      <c r="C24" s="6389">
        <v>20</v>
      </c>
    </row>
    <row r="25" spans="1:3" ht="18" thickBot="1">
      <c r="A25" s="6389" t="s">
        <v>1887</v>
      </c>
      <c r="B25" s="6389">
        <v>6</v>
      </c>
      <c r="C25" s="6389">
        <v>25</v>
      </c>
    </row>
    <row r="26" spans="1:3" ht="18" thickBot="1"/>
    <row r="27" spans="1:3" ht="18" thickBot="1">
      <c r="A27" s="6388" t="s">
        <v>1875</v>
      </c>
      <c r="B27" s="6388" t="s">
        <v>1876</v>
      </c>
      <c r="C27" s="6388" t="s">
        <v>1877</v>
      </c>
    </row>
    <row r="28" spans="1:3" ht="18" thickBot="1">
      <c r="A28" s="6391" t="s">
        <v>1878</v>
      </c>
      <c r="B28" s="6391">
        <v>7</v>
      </c>
      <c r="C28" s="6391">
        <v>15</v>
      </c>
    </row>
    <row r="29" spans="1:3" ht="18" thickBot="1">
      <c r="A29" s="6389" t="s">
        <v>1879</v>
      </c>
      <c r="B29" s="6389">
        <v>7</v>
      </c>
      <c r="C29" s="6389">
        <v>15</v>
      </c>
    </row>
    <row r="30" spans="1:3" ht="18" thickBot="1">
      <c r="A30" s="6389" t="s">
        <v>1880</v>
      </c>
      <c r="B30" s="6389">
        <v>7</v>
      </c>
      <c r="C30" s="6389">
        <v>15</v>
      </c>
    </row>
    <row r="31" spans="1:3" ht="18" thickBot="1"/>
    <row r="32" spans="1:3" ht="18" thickBot="1">
      <c r="A32" s="6388" t="s">
        <v>1875</v>
      </c>
      <c r="B32" s="6388" t="s">
        <v>1876</v>
      </c>
      <c r="C32" s="6388" t="s">
        <v>1877</v>
      </c>
    </row>
    <row r="33" spans="1:3" ht="18" thickBot="1">
      <c r="A33" s="6391" t="s">
        <v>1881</v>
      </c>
      <c r="B33" s="6391">
        <v>7</v>
      </c>
      <c r="C33" s="6391">
        <v>15</v>
      </c>
    </row>
    <row r="34" spans="1:3" ht="18" thickBot="1">
      <c r="A34" s="6390" t="s">
        <v>1882</v>
      </c>
      <c r="B34" s="6390">
        <v>5</v>
      </c>
      <c r="C34" s="6390">
        <v>15</v>
      </c>
    </row>
  </sheetData>
  <phoneticPr fontId="10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E1:Y35"/>
  <sheetViews>
    <sheetView topLeftCell="B1" workbookViewId="0">
      <pane xSplit="4" ySplit="17" topLeftCell="F18" activePane="bottomRight" state="frozen"/>
      <selection activeCell="B1" sqref="B1"/>
      <selection pane="topRight" activeCell="F1" sqref="F1"/>
      <selection pane="bottomLeft" activeCell="B18" sqref="B18"/>
      <selection pane="bottomRight" activeCell="L25" sqref="L25"/>
    </sheetView>
  </sheetViews>
  <sheetFormatPr defaultColWidth="9.09765625" defaultRowHeight="17.399999999999999"/>
  <cols>
    <col min="1" max="4" width="9.09765625" style="4399"/>
    <col min="5" max="5" width="22.8984375" style="4399" customWidth="1"/>
    <col min="6" max="13" width="10.69921875" style="4399" customWidth="1"/>
    <col min="14" max="14" width="3" style="4400" bestFit="1" customWidth="1"/>
    <col min="15" max="19" width="9.09765625" style="4399"/>
    <col min="20" max="20" width="3" style="4400" bestFit="1" customWidth="1"/>
    <col min="21" max="16384" width="9.09765625" style="4399"/>
  </cols>
  <sheetData>
    <row r="1" spans="5:25" ht="18" thickBot="1"/>
    <row r="2" spans="5:25" ht="18" thickTop="1">
      <c r="E2" s="7586" t="s">
        <v>1495</v>
      </c>
      <c r="F2" s="7582" t="s">
        <v>1496</v>
      </c>
      <c r="G2" s="7582"/>
      <c r="H2" s="7582" t="s">
        <v>1497</v>
      </c>
      <c r="I2" s="7591" t="s">
        <v>1498</v>
      </c>
      <c r="J2" s="7591"/>
      <c r="K2" s="7593" t="s">
        <v>1497</v>
      </c>
      <c r="L2" s="7582" t="s">
        <v>1499</v>
      </c>
      <c r="M2" s="7583"/>
      <c r="N2" s="4400" t="s">
        <v>1500</v>
      </c>
      <c r="O2" s="7591" t="s">
        <v>1501</v>
      </c>
      <c r="P2" s="7591"/>
      <c r="Q2" s="7593" t="s">
        <v>1497</v>
      </c>
      <c r="R2" s="7582" t="s">
        <v>1499</v>
      </c>
      <c r="S2" s="7583"/>
      <c r="T2" s="4400" t="s">
        <v>1500</v>
      </c>
      <c r="U2" s="7591" t="s">
        <v>375</v>
      </c>
      <c r="V2" s="7591"/>
      <c r="W2" s="7593" t="s">
        <v>1497</v>
      </c>
      <c r="X2" s="7582" t="s">
        <v>1499</v>
      </c>
      <c r="Y2" s="7583"/>
    </row>
    <row r="3" spans="5:25" ht="15" customHeight="1">
      <c r="E3" s="7587"/>
      <c r="F3" s="7584"/>
      <c r="G3" s="7584"/>
      <c r="H3" s="7589"/>
      <c r="I3" s="7592"/>
      <c r="J3" s="7592"/>
      <c r="K3" s="7594"/>
      <c r="L3" s="7584"/>
      <c r="M3" s="7585"/>
      <c r="O3" s="7592"/>
      <c r="P3" s="7592"/>
      <c r="Q3" s="7594"/>
      <c r="R3" s="7584"/>
      <c r="S3" s="7585"/>
      <c r="U3" s="7592"/>
      <c r="V3" s="7592"/>
      <c r="W3" s="7594"/>
      <c r="X3" s="7584"/>
      <c r="Y3" s="7585"/>
    </row>
    <row r="4" spans="5:25" ht="18" thickBot="1">
      <c r="E4" s="7588"/>
      <c r="F4" s="4401" t="s">
        <v>20</v>
      </c>
      <c r="G4" s="4401" t="s">
        <v>887</v>
      </c>
      <c r="H4" s="7590"/>
      <c r="I4" s="4402" t="s">
        <v>20</v>
      </c>
      <c r="J4" s="4402" t="s">
        <v>887</v>
      </c>
      <c r="K4" s="7595"/>
      <c r="L4" s="4402" t="s">
        <v>20</v>
      </c>
      <c r="M4" s="4403" t="s">
        <v>887</v>
      </c>
      <c r="O4" s="4402" t="s">
        <v>20</v>
      </c>
      <c r="P4" s="4402" t="s">
        <v>887</v>
      </c>
      <c r="Q4" s="7595"/>
      <c r="R4" s="4402" t="s">
        <v>20</v>
      </c>
      <c r="S4" s="4403" t="s">
        <v>887</v>
      </c>
      <c r="U4" s="4402" t="s">
        <v>20</v>
      </c>
      <c r="V4" s="4402" t="s">
        <v>887</v>
      </c>
      <c r="W4" s="7595"/>
      <c r="X4" s="4402" t="s">
        <v>20</v>
      </c>
      <c r="Y4" s="4403" t="s">
        <v>887</v>
      </c>
    </row>
    <row r="5" spans="5:25" ht="18" thickTop="1">
      <c r="E5" s="4404">
        <v>45658</v>
      </c>
      <c r="F5" s="4405">
        <v>925632.43247999973</v>
      </c>
      <c r="G5" s="4405">
        <v>388767.96508799994</v>
      </c>
      <c r="H5" s="4405">
        <f t="shared" ref="H5:H16" si="0">SUM(F5:G5)</f>
        <v>1314400.3975679995</v>
      </c>
      <c r="I5" s="4406">
        <v>49906.207192307695</v>
      </c>
      <c r="J5" s="4406">
        <v>3417.5643076923075</v>
      </c>
      <c r="K5" s="4407">
        <f t="shared" ref="K5:K16" si="1">SUM(I5:J5)</f>
        <v>53323.771500000003</v>
      </c>
      <c r="L5" s="4408">
        <f t="shared" ref="L5:L17" si="2">I5/F5</f>
        <v>5.3915793614314637E-2</v>
      </c>
      <c r="M5" s="4409">
        <f t="shared" ref="M5:M17" si="3">J5/G5</f>
        <v>8.7907559639558309E-3</v>
      </c>
      <c r="O5" s="4406">
        <v>15979.82056</v>
      </c>
      <c r="P5" s="4406">
        <v>26038.09664</v>
      </c>
      <c r="Q5" s="4407">
        <f t="shared" ref="Q5:Q16" si="4">SUM(O5:P5)</f>
        <v>42017.917199999996</v>
      </c>
      <c r="R5" s="4408">
        <f>O5/F5</f>
        <v>1.7263678323355722E-2</v>
      </c>
      <c r="S5" s="4409">
        <f>P5/G5</f>
        <v>6.6975931605131406E-2</v>
      </c>
      <c r="U5" s="4406">
        <v>13679.682498799999</v>
      </c>
      <c r="V5" s="4406">
        <v>13929.576601200002</v>
      </c>
      <c r="W5" s="4407">
        <f>SUM(U5:V5)</f>
        <v>27609.259100000003</v>
      </c>
      <c r="X5" s="4408">
        <f>U5/F5</f>
        <v>1.4778741559593718E-2</v>
      </c>
      <c r="Y5" s="4409">
        <f>V5/G5</f>
        <v>3.5830052504575473E-2</v>
      </c>
    </row>
    <row r="6" spans="5:25">
      <c r="E6" s="4410">
        <v>45690</v>
      </c>
      <c r="F6" s="4411">
        <v>921341.46229959989</v>
      </c>
      <c r="G6" s="4411">
        <v>370035.2907839999</v>
      </c>
      <c r="H6" s="4411">
        <f t="shared" si="0"/>
        <v>1291376.7530835997</v>
      </c>
      <c r="I6" s="4412">
        <v>37626.06757692308</v>
      </c>
      <c r="J6" s="4412">
        <v>3332.2032346153842</v>
      </c>
      <c r="K6" s="4413">
        <f t="shared" si="1"/>
        <v>40958.270811538467</v>
      </c>
      <c r="L6" s="4414">
        <f t="shared" si="2"/>
        <v>4.0838352680895536E-2</v>
      </c>
      <c r="M6" s="4415">
        <f t="shared" si="3"/>
        <v>9.0050957776362083E-3</v>
      </c>
      <c r="O6" s="4406">
        <v>543.56471999999997</v>
      </c>
      <c r="P6" s="4412">
        <v>25866.78068</v>
      </c>
      <c r="Q6" s="4413">
        <f t="shared" si="4"/>
        <v>26410.345399999998</v>
      </c>
      <c r="R6" s="4414">
        <f t="shared" ref="R6:S17" si="5">O6/F6</f>
        <v>5.8997097410910262E-4</v>
      </c>
      <c r="S6" s="4409">
        <f t="shared" si="5"/>
        <v>6.9903550618633223E-2</v>
      </c>
      <c r="U6" s="4406">
        <v>20814.710000000003</v>
      </c>
      <c r="V6" s="4412">
        <v>9590.43</v>
      </c>
      <c r="W6" s="4407">
        <f t="shared" ref="W6:W16" si="6">SUM(U6:V6)</f>
        <v>30405.140000000003</v>
      </c>
      <c r="X6" s="4414">
        <f t="shared" ref="X6:Y17" si="7">U6/F6</f>
        <v>2.2591743508479506E-2</v>
      </c>
      <c r="Y6" s="4415">
        <f t="shared" si="7"/>
        <v>2.5917609046641463E-2</v>
      </c>
    </row>
    <row r="7" spans="5:25">
      <c r="E7" s="4410">
        <v>45718</v>
      </c>
      <c r="F7" s="4411">
        <v>770159.45334200002</v>
      </c>
      <c r="G7" s="4411">
        <v>470781.83616520005</v>
      </c>
      <c r="H7" s="4411">
        <f t="shared" si="0"/>
        <v>1240941.2895072</v>
      </c>
      <c r="I7" s="4412">
        <v>37962.313846153847</v>
      </c>
      <c r="J7" s="4412">
        <v>4067.9399384615385</v>
      </c>
      <c r="K7" s="4413">
        <f t="shared" si="1"/>
        <v>42030.253784615386</v>
      </c>
      <c r="L7" s="4414">
        <f t="shared" si="2"/>
        <v>4.9291498898600357E-2</v>
      </c>
      <c r="M7" s="4415">
        <f t="shared" si="3"/>
        <v>8.6408175209080808E-3</v>
      </c>
      <c r="O7" s="4406">
        <v>34864.365559999998</v>
      </c>
      <c r="P7" s="4412">
        <v>32662.041664</v>
      </c>
      <c r="Q7" s="4413">
        <f t="shared" si="4"/>
        <v>67526.407223999995</v>
      </c>
      <c r="R7" s="4414">
        <f t="shared" si="5"/>
        <v>4.5269022419592367E-2</v>
      </c>
      <c r="S7" s="4409">
        <f t="shared" si="5"/>
        <v>6.9378296176530269E-2</v>
      </c>
      <c r="U7" s="4406">
        <v>25342.232347199999</v>
      </c>
      <c r="V7" s="4412">
        <v>11911.844105600001</v>
      </c>
      <c r="W7" s="4407">
        <f t="shared" si="6"/>
        <v>37254.0764528</v>
      </c>
      <c r="X7" s="4414">
        <f t="shared" si="7"/>
        <v>3.290517598301352E-2</v>
      </c>
      <c r="Y7" s="4415">
        <f t="shared" si="7"/>
        <v>2.5302259328076681E-2</v>
      </c>
    </row>
    <row r="8" spans="5:25">
      <c r="E8" s="4410">
        <v>45748</v>
      </c>
      <c r="F8" s="4411">
        <v>981060.65820627462</v>
      </c>
      <c r="G8" s="4411">
        <v>534132.98578823532</v>
      </c>
      <c r="H8" s="4411">
        <f t="shared" si="0"/>
        <v>1515193.6439945099</v>
      </c>
      <c r="I8" s="4412">
        <v>29051.769230769227</v>
      </c>
      <c r="J8" s="4412">
        <v>5824.4615384615381</v>
      </c>
      <c r="K8" s="4413">
        <f t="shared" si="1"/>
        <v>34876.230769230766</v>
      </c>
      <c r="L8" s="4414">
        <f t="shared" si="2"/>
        <v>2.9612612622634489E-2</v>
      </c>
      <c r="M8" s="4415">
        <f t="shared" si="3"/>
        <v>1.0904515716935575E-2</v>
      </c>
      <c r="O8" s="4406">
        <v>15475.433254901962</v>
      </c>
      <c r="P8" s="4412">
        <v>23876.92305882353</v>
      </c>
      <c r="Q8" s="4413">
        <f t="shared" si="4"/>
        <v>39352.35631372549</v>
      </c>
      <c r="R8" s="4414">
        <f t="shared" si="5"/>
        <v>1.577418595420646E-2</v>
      </c>
      <c r="S8" s="4409">
        <f t="shared" si="5"/>
        <v>4.4702206555522254E-2</v>
      </c>
      <c r="U8" s="4406">
        <v>17457.531899199999</v>
      </c>
      <c r="V8" s="4412">
        <v>11930.142875200001</v>
      </c>
      <c r="W8" s="4407">
        <f t="shared" si="6"/>
        <v>29387.674774400002</v>
      </c>
      <c r="X8" s="4414">
        <f t="shared" si="7"/>
        <v>1.77945489437101E-2</v>
      </c>
      <c r="Y8" s="4415">
        <f t="shared" si="7"/>
        <v>2.2335529152153651E-2</v>
      </c>
    </row>
    <row r="9" spans="5:25">
      <c r="E9" s="4410">
        <v>45778</v>
      </c>
      <c r="F9" s="4411">
        <v>1001206.2076058824</v>
      </c>
      <c r="G9" s="4411">
        <v>460041.77075882355</v>
      </c>
      <c r="H9" s="4411">
        <f t="shared" si="0"/>
        <v>1461247.978364706</v>
      </c>
      <c r="I9" s="4412">
        <v>35616.562307692308</v>
      </c>
      <c r="J9" s="4412">
        <v>6389.2937307692309</v>
      </c>
      <c r="K9" s="4413">
        <f t="shared" si="1"/>
        <v>42005.856038461541</v>
      </c>
      <c r="L9" s="4414">
        <f t="shared" si="2"/>
        <v>3.5573653096757973E-2</v>
      </c>
      <c r="M9" s="4415">
        <f t="shared" si="3"/>
        <v>1.3888507820127516E-2</v>
      </c>
      <c r="O9" s="4406">
        <v>12618.483576470589</v>
      </c>
      <c r="P9" s="4412">
        <v>28192.728705882353</v>
      </c>
      <c r="Q9" s="4413">
        <f t="shared" si="4"/>
        <v>40811.212282352943</v>
      </c>
      <c r="R9" s="4414">
        <f t="shared" si="5"/>
        <v>1.2603281402583716E-2</v>
      </c>
      <c r="S9" s="4409">
        <f t="shared" si="5"/>
        <v>6.1282975803217579E-2</v>
      </c>
      <c r="U9" s="4406">
        <v>14949.072765082352</v>
      </c>
      <c r="V9" s="4412">
        <v>11497.172073725491</v>
      </c>
      <c r="W9" s="4407">
        <f t="shared" si="6"/>
        <v>26446.244838807841</v>
      </c>
      <c r="X9" s="4414">
        <f t="shared" si="7"/>
        <v>1.4931062803564784E-2</v>
      </c>
      <c r="Y9" s="4415">
        <f t="shared" si="7"/>
        <v>2.4991582948568538E-2</v>
      </c>
    </row>
    <row r="10" spans="5:25">
      <c r="E10" s="4410">
        <v>45809</v>
      </c>
      <c r="F10" s="4411">
        <v>861154.58395882347</v>
      </c>
      <c r="G10" s="4411">
        <v>507586.52274509805</v>
      </c>
      <c r="H10" s="4411">
        <f t="shared" si="0"/>
        <v>1368741.1067039215</v>
      </c>
      <c r="I10" s="4412">
        <v>38505.447334615383</v>
      </c>
      <c r="J10" s="4412">
        <v>14963.997046153847</v>
      </c>
      <c r="K10" s="4413">
        <f t="shared" si="1"/>
        <v>53469.44438076923</v>
      </c>
      <c r="L10" s="4414">
        <f t="shared" si="2"/>
        <v>4.4713746000864973E-2</v>
      </c>
      <c r="M10" s="4415">
        <f t="shared" si="3"/>
        <v>2.9480682357810612E-2</v>
      </c>
      <c r="O10" s="4406">
        <v>18220.805741176471</v>
      </c>
      <c r="P10" s="4412">
        <v>32661.566023529413</v>
      </c>
      <c r="Q10" s="4413">
        <f t="shared" si="4"/>
        <v>50882.37176470588</v>
      </c>
      <c r="R10" s="4414">
        <f t="shared" si="5"/>
        <v>2.1158577194600067E-2</v>
      </c>
      <c r="S10" s="4409">
        <f t="shared" si="5"/>
        <v>6.4346795196395579E-2</v>
      </c>
      <c r="U10" s="4406">
        <v>16051.305576470586</v>
      </c>
      <c r="V10" s="4412">
        <v>13175.173590588234</v>
      </c>
      <c r="W10" s="4407">
        <f t="shared" si="6"/>
        <v>29226.47916705882</v>
      </c>
      <c r="X10" s="4414">
        <f t="shared" si="7"/>
        <v>1.8639284833950425E-2</v>
      </c>
      <c r="Y10" s="4415">
        <f t="shared" si="7"/>
        <v>2.5956507905952813E-2</v>
      </c>
    </row>
    <row r="11" spans="5:25">
      <c r="E11" s="4410">
        <v>45839</v>
      </c>
      <c r="F11" s="4411">
        <v>890490.02699411754</v>
      </c>
      <c r="G11" s="4411">
        <v>569886.21989411756</v>
      </c>
      <c r="H11" s="4411">
        <f t="shared" si="0"/>
        <v>1460376.2468882352</v>
      </c>
      <c r="I11" s="4412">
        <v>43542.46721153846</v>
      </c>
      <c r="J11" s="4412">
        <v>10319.908557692308</v>
      </c>
      <c r="K11" s="4413">
        <f t="shared" si="1"/>
        <v>53862.37576923077</v>
      </c>
      <c r="L11" s="4414">
        <f t="shared" si="2"/>
        <v>4.8897198050064289E-2</v>
      </c>
      <c r="M11" s="4415">
        <f t="shared" si="3"/>
        <v>1.810871749032588E-2</v>
      </c>
      <c r="O11" s="4406">
        <v>17964.850294117648</v>
      </c>
      <c r="P11" s="4412">
        <v>36546.844558823526</v>
      </c>
      <c r="Q11" s="4413">
        <f t="shared" si="4"/>
        <v>54511.694852941175</v>
      </c>
      <c r="R11" s="4414">
        <f t="shared" si="5"/>
        <v>2.017411733936951E-2</v>
      </c>
      <c r="S11" s="4409">
        <f t="shared" si="5"/>
        <v>6.4130072430271745E-2</v>
      </c>
      <c r="U11" s="4406">
        <v>17724.107099607845</v>
      </c>
      <c r="V11" s="4412">
        <v>18677.268848627449</v>
      </c>
      <c r="W11" s="4407">
        <f t="shared" si="6"/>
        <v>36401.375948235291</v>
      </c>
      <c r="X11" s="4414">
        <f t="shared" si="7"/>
        <v>1.9903768220107115E-2</v>
      </c>
      <c r="Y11" s="4415">
        <f t="shared" si="7"/>
        <v>3.2773680423607378E-2</v>
      </c>
    </row>
    <row r="12" spans="5:25">
      <c r="E12" s="4410">
        <v>45870</v>
      </c>
      <c r="F12" s="4411">
        <v>875972.3050980391</v>
      </c>
      <c r="G12" s="4411">
        <v>653082.66918509803</v>
      </c>
      <c r="H12" s="4411">
        <f t="shared" si="0"/>
        <v>1529054.9742831371</v>
      </c>
      <c r="I12" s="4412">
        <v>42737.62653846154</v>
      </c>
      <c r="J12" s="4412">
        <v>4667.9036538461542</v>
      </c>
      <c r="K12" s="4413">
        <f t="shared" si="1"/>
        <v>47405.530192307691</v>
      </c>
      <c r="L12" s="4414">
        <f t="shared" si="2"/>
        <v>4.8788787373452783E-2</v>
      </c>
      <c r="M12" s="4415">
        <f t="shared" si="3"/>
        <v>7.1474927663762082E-3</v>
      </c>
      <c r="O12" s="4406">
        <v>18843.193921568629</v>
      </c>
      <c r="P12" s="4412">
        <v>32350.295882352941</v>
      </c>
      <c r="Q12" s="4413">
        <f t="shared" si="4"/>
        <v>51193.48980392157</v>
      </c>
      <c r="R12" s="4414">
        <f t="shared" si="5"/>
        <v>2.1511175424044592E-2</v>
      </c>
      <c r="S12" s="4409">
        <f t="shared" si="5"/>
        <v>4.9534763987412064E-2</v>
      </c>
      <c r="U12" s="4406">
        <v>11043.783921568627</v>
      </c>
      <c r="V12" s="4412">
        <v>18126.728010980391</v>
      </c>
      <c r="W12" s="4407">
        <f t="shared" si="6"/>
        <v>29170.511932549016</v>
      </c>
      <c r="X12" s="4414">
        <f t="shared" si="7"/>
        <v>1.2607457858308206E-2</v>
      </c>
      <c r="Y12" s="4415">
        <f t="shared" si="7"/>
        <v>2.7755640849570419E-2</v>
      </c>
    </row>
    <row r="13" spans="5:25">
      <c r="E13" s="4410">
        <v>45901</v>
      </c>
      <c r="F13" s="4411">
        <v>924539.75006538467</v>
      </c>
      <c r="G13" s="4411">
        <v>614215.90943846153</v>
      </c>
      <c r="H13" s="4411">
        <f t="shared" si="0"/>
        <v>1538755.6595038462</v>
      </c>
      <c r="I13" s="4412">
        <v>40732.44531153846</v>
      </c>
      <c r="J13" s="4412">
        <v>4127.8137384615384</v>
      </c>
      <c r="K13" s="4413">
        <f t="shared" si="1"/>
        <v>44860.259050000001</v>
      </c>
      <c r="L13" s="4414">
        <f t="shared" si="2"/>
        <v>4.4056997342361764E-2</v>
      </c>
      <c r="M13" s="4415">
        <f t="shared" si="3"/>
        <v>6.7204604684293111E-3</v>
      </c>
      <c r="O13" s="4406">
        <v>30587.559981923077</v>
      </c>
      <c r="P13" s="4412">
        <v>23232.393966923075</v>
      </c>
      <c r="Q13" s="4413">
        <f t="shared" si="4"/>
        <v>53819.953948846152</v>
      </c>
      <c r="R13" s="4414">
        <f t="shared" si="5"/>
        <v>3.3084093982719387E-2</v>
      </c>
      <c r="S13" s="4409">
        <f t="shared" si="5"/>
        <v>3.7824474439554931E-2</v>
      </c>
      <c r="U13" s="4406">
        <v>17067.659436862745</v>
      </c>
      <c r="V13" s="4412">
        <v>22510.446768627451</v>
      </c>
      <c r="W13" s="4407">
        <f t="shared" si="6"/>
        <v>39578.106205490199</v>
      </c>
      <c r="X13" s="4414">
        <f t="shared" si="7"/>
        <v>1.8460709164376869E-2</v>
      </c>
      <c r="Y13" s="4415">
        <f t="shared" si="7"/>
        <v>3.6649077991495395E-2</v>
      </c>
    </row>
    <row r="14" spans="5:25">
      <c r="E14" s="4410">
        <v>45931</v>
      </c>
      <c r="F14" s="4411">
        <v>752355.47491923091</v>
      </c>
      <c r="G14" s="4411">
        <v>647927.69380384625</v>
      </c>
      <c r="H14" s="4411">
        <f t="shared" si="0"/>
        <v>1400283.168723077</v>
      </c>
      <c r="I14" s="4412">
        <v>40644.19898076923</v>
      </c>
      <c r="J14" s="4412">
        <v>4223.9409065384616</v>
      </c>
      <c r="K14" s="4413">
        <f t="shared" si="1"/>
        <v>44868.139887307691</v>
      </c>
      <c r="L14" s="4414">
        <f t="shared" si="2"/>
        <v>5.4022600134773509E-2</v>
      </c>
      <c r="M14" s="4415">
        <f t="shared" si="3"/>
        <v>6.5191547558966024E-3</v>
      </c>
      <c r="O14" s="4406">
        <v>5300.9657326923079</v>
      </c>
      <c r="P14" s="4412">
        <v>30142.032013461539</v>
      </c>
      <c r="Q14" s="4413">
        <f t="shared" si="4"/>
        <v>35442.997746153851</v>
      </c>
      <c r="R14" s="4414">
        <f t="shared" si="5"/>
        <v>7.0458259551595516E-3</v>
      </c>
      <c r="S14" s="4409">
        <f t="shared" si="5"/>
        <v>4.6520672448038231E-2</v>
      </c>
      <c r="U14" s="4406">
        <v>14032.858732307692</v>
      </c>
      <c r="V14" s="4412">
        <v>30306.083006153851</v>
      </c>
      <c r="W14" s="4407">
        <f t="shared" si="6"/>
        <v>44338.941738461544</v>
      </c>
      <c r="X14" s="4414">
        <f t="shared" si="7"/>
        <v>1.8651899534344703E-2</v>
      </c>
      <c r="Y14" s="4415">
        <f t="shared" si="7"/>
        <v>4.6773865812453942E-2</v>
      </c>
    </row>
    <row r="15" spans="5:25">
      <c r="E15" s="4410">
        <v>45962</v>
      </c>
      <c r="F15" s="4411">
        <v>739828.87320769229</v>
      </c>
      <c r="G15" s="4411">
        <v>413852.50311499997</v>
      </c>
      <c r="H15" s="4411">
        <f t="shared" si="0"/>
        <v>1153681.3763226923</v>
      </c>
      <c r="I15" s="4412">
        <v>19941.060000000001</v>
      </c>
      <c r="J15" s="4412">
        <v>7906.6298261538459</v>
      </c>
      <c r="K15" s="4413">
        <f t="shared" si="1"/>
        <v>27847.689826153848</v>
      </c>
      <c r="L15" s="4414">
        <f t="shared" si="2"/>
        <v>2.6953611466312623E-2</v>
      </c>
      <c r="M15" s="4415">
        <f t="shared" si="3"/>
        <v>1.9104946246892164E-2</v>
      </c>
      <c r="O15" s="4406">
        <v>7939.6555096153843</v>
      </c>
      <c r="P15" s="4412">
        <v>29033.289415384614</v>
      </c>
      <c r="Q15" s="4413">
        <f t="shared" si="4"/>
        <v>36972.944924999996</v>
      </c>
      <c r="R15" s="4414">
        <f t="shared" si="5"/>
        <v>1.0731745944425291E-2</v>
      </c>
      <c r="S15" s="4409">
        <f t="shared" si="5"/>
        <v>7.0153712244956354E-2</v>
      </c>
      <c r="U15" s="4406">
        <v>11514.156033692308</v>
      </c>
      <c r="V15" s="4412">
        <v>17748.254358461538</v>
      </c>
      <c r="W15" s="4407">
        <f t="shared" si="6"/>
        <v>29262.410392153848</v>
      </c>
      <c r="X15" s="4414">
        <f t="shared" si="7"/>
        <v>1.5563269359534631E-2</v>
      </c>
      <c r="Y15" s="4415">
        <f t="shared" si="7"/>
        <v>4.2885458526584555E-2</v>
      </c>
    </row>
    <row r="16" spans="5:25" ht="18" thickBot="1">
      <c r="E16" s="4416">
        <v>45992</v>
      </c>
      <c r="F16" s="4417">
        <v>700074.16526153858</v>
      </c>
      <c r="G16" s="4417">
        <v>557909.05254615389</v>
      </c>
      <c r="H16" s="4417">
        <f t="shared" si="0"/>
        <v>1257983.2178076925</v>
      </c>
      <c r="I16" s="4455">
        <v>36251</v>
      </c>
      <c r="J16" s="4418">
        <v>4995.6922076923083</v>
      </c>
      <c r="K16" s="4419">
        <f t="shared" si="1"/>
        <v>41246.692207692307</v>
      </c>
      <c r="L16" s="4420">
        <f t="shared" si="2"/>
        <v>5.1781656571282128E-2</v>
      </c>
      <c r="M16" s="4421">
        <f t="shared" si="3"/>
        <v>8.9543128667535499E-3</v>
      </c>
      <c r="O16" s="4406">
        <v>9740.8048538461535</v>
      </c>
      <c r="P16" s="4418">
        <v>29895.774207692306</v>
      </c>
      <c r="Q16" s="4419">
        <f t="shared" si="4"/>
        <v>39636.579061538461</v>
      </c>
      <c r="R16" s="4420">
        <f t="shared" si="5"/>
        <v>1.391396131609444E-2</v>
      </c>
      <c r="S16" s="4409">
        <f t="shared" si="5"/>
        <v>5.3585390076134554E-2</v>
      </c>
      <c r="U16" s="4406">
        <v>14414.908061538461</v>
      </c>
      <c r="V16" s="4418">
        <v>16791.31340153846</v>
      </c>
      <c r="W16" s="4407">
        <f t="shared" si="6"/>
        <v>31206.221463076923</v>
      </c>
      <c r="X16" s="4420">
        <f t="shared" si="7"/>
        <v>2.0590544226343845E-2</v>
      </c>
      <c r="Y16" s="4421">
        <f t="shared" si="7"/>
        <v>3.0096864936869569E-2</v>
      </c>
    </row>
    <row r="17" spans="5:25" ht="18.600000000000001" thickTop="1" thickBot="1">
      <c r="E17" s="4422" t="s">
        <v>1497</v>
      </c>
      <c r="F17" s="4423">
        <f t="shared" ref="F17:K17" si="8">SUM(F5:F16)</f>
        <v>10343815.393438583</v>
      </c>
      <c r="G17" s="4423">
        <f t="shared" si="8"/>
        <v>6188220.4193120338</v>
      </c>
      <c r="H17" s="4423">
        <f t="shared" si="8"/>
        <v>16532035.812750615</v>
      </c>
      <c r="I17" s="4424">
        <f t="shared" si="8"/>
        <v>452517.16553076921</v>
      </c>
      <c r="J17" s="4424">
        <f t="shared" si="8"/>
        <v>74237.348686538462</v>
      </c>
      <c r="K17" s="4425">
        <f t="shared" si="8"/>
        <v>526754.51421730767</v>
      </c>
      <c r="L17" s="4453">
        <f t="shared" si="2"/>
        <v>4.374760649903086E-2</v>
      </c>
      <c r="M17" s="4454">
        <f t="shared" si="3"/>
        <v>1.1996558567122225E-2</v>
      </c>
      <c r="O17" s="4424">
        <f t="shared" ref="O17:Q17" si="9">SUM(O5:O16)</f>
        <v>188079.50370631221</v>
      </c>
      <c r="P17" s="4424">
        <f t="shared" si="9"/>
        <v>350498.76681687328</v>
      </c>
      <c r="Q17" s="4425">
        <f t="shared" si="9"/>
        <v>538578.27052318549</v>
      </c>
      <c r="R17" s="4453">
        <f t="shared" si="5"/>
        <v>1.8182797792932106E-2</v>
      </c>
      <c r="S17" s="4454">
        <f t="shared" si="5"/>
        <v>5.6639670707760513E-2</v>
      </c>
      <c r="U17" s="4424">
        <f t="shared" ref="U17:W17" si="10">SUM(U5:U16)</f>
        <v>194092.0083723306</v>
      </c>
      <c r="V17" s="4424">
        <f t="shared" si="10"/>
        <v>196194.43364070286</v>
      </c>
      <c r="W17" s="4424">
        <f t="shared" si="10"/>
        <v>390286.44201303349</v>
      </c>
      <c r="X17" s="4453">
        <f t="shared" si="7"/>
        <v>1.8764063451427164E-2</v>
      </c>
      <c r="Y17" s="4454">
        <f t="shared" si="7"/>
        <v>3.1704499896032225E-2</v>
      </c>
    </row>
    <row r="18" spans="5:25" ht="18.600000000000001" thickTop="1" thickBot="1"/>
    <row r="19" spans="5:25" ht="18" thickTop="1">
      <c r="E19" s="7586" t="s">
        <v>1502</v>
      </c>
      <c r="F19" s="7582" t="s">
        <v>1496</v>
      </c>
      <c r="G19" s="7582"/>
      <c r="H19" s="7582" t="s">
        <v>1497</v>
      </c>
      <c r="I19" s="7591" t="s">
        <v>1498</v>
      </c>
      <c r="J19" s="7591"/>
      <c r="K19" s="7593" t="s">
        <v>1497</v>
      </c>
      <c r="L19" s="7582" t="s">
        <v>1499</v>
      </c>
      <c r="M19" s="7583"/>
      <c r="N19" s="4400" t="s">
        <v>1500</v>
      </c>
      <c r="O19" s="7591" t="s">
        <v>1501</v>
      </c>
      <c r="P19" s="7591"/>
      <c r="Q19" s="7593" t="s">
        <v>1497</v>
      </c>
      <c r="R19" s="7582" t="s">
        <v>1499</v>
      </c>
      <c r="S19" s="7583"/>
      <c r="T19" s="4400" t="s">
        <v>1500</v>
      </c>
      <c r="U19" s="7600" t="s">
        <v>375</v>
      </c>
      <c r="V19" s="7601"/>
      <c r="W19" s="7604" t="s">
        <v>1497</v>
      </c>
      <c r="X19" s="7596" t="s">
        <v>1499</v>
      </c>
      <c r="Y19" s="7597"/>
    </row>
    <row r="20" spans="5:25">
      <c r="E20" s="7587"/>
      <c r="F20" s="7584"/>
      <c r="G20" s="7584"/>
      <c r="H20" s="7589"/>
      <c r="I20" s="7592"/>
      <c r="J20" s="7592"/>
      <c r="K20" s="7594"/>
      <c r="L20" s="7584"/>
      <c r="M20" s="7585"/>
      <c r="O20" s="7592"/>
      <c r="P20" s="7592"/>
      <c r="Q20" s="7594"/>
      <c r="R20" s="7584"/>
      <c r="S20" s="7585"/>
      <c r="U20" s="7602"/>
      <c r="V20" s="7603"/>
      <c r="W20" s="7605"/>
      <c r="X20" s="7598"/>
      <c r="Y20" s="7599"/>
    </row>
    <row r="21" spans="5:25" ht="18" thickBot="1">
      <c r="E21" s="7588"/>
      <c r="F21" s="4401" t="s">
        <v>20</v>
      </c>
      <c r="G21" s="4401" t="s">
        <v>887</v>
      </c>
      <c r="H21" s="7590"/>
      <c r="I21" s="4402" t="s">
        <v>20</v>
      </c>
      <c r="J21" s="4402" t="s">
        <v>887</v>
      </c>
      <c r="K21" s="7595"/>
      <c r="L21" s="4402" t="s">
        <v>20</v>
      </c>
      <c r="M21" s="4403" t="s">
        <v>887</v>
      </c>
      <c r="O21" s="4402" t="s">
        <v>20</v>
      </c>
      <c r="P21" s="4402" t="s">
        <v>887</v>
      </c>
      <c r="Q21" s="7595"/>
      <c r="R21" s="4402" t="s">
        <v>20</v>
      </c>
      <c r="S21" s="4403" t="s">
        <v>887</v>
      </c>
      <c r="U21" s="4428" t="s">
        <v>20</v>
      </c>
      <c r="V21" s="4428" t="s">
        <v>887</v>
      </c>
      <c r="W21" s="7606"/>
      <c r="X21" s="4428" t="s">
        <v>20</v>
      </c>
      <c r="Y21" s="4429" t="s">
        <v>887</v>
      </c>
    </row>
    <row r="22" spans="5:25" ht="18" thickTop="1">
      <c r="E22" s="4404">
        <v>46023</v>
      </c>
      <c r="F22" s="4430">
        <v>684168.19917046349</v>
      </c>
      <c r="G22" s="4430">
        <v>534432.64228502149</v>
      </c>
      <c r="H22" s="4430">
        <f t="shared" ref="H22:H33" si="11">SUM(F22:G22)</f>
        <v>1218600.841455485</v>
      </c>
      <c r="I22" s="4431">
        <f t="shared" ref="I22:I33" si="12">+F22*$L$17</f>
        <v>29930.721156460007</v>
      </c>
      <c r="J22" s="4431">
        <f t="shared" ref="J22:J33" si="13">+G22*$M$17</f>
        <v>6411.3524933541421</v>
      </c>
      <c r="K22" s="4432">
        <f t="shared" ref="K22:K33" si="14">SUM(I22:J22)</f>
        <v>36342.073649814149</v>
      </c>
      <c r="L22" s="4433">
        <f>I22/F22</f>
        <v>4.374760649903086E-2</v>
      </c>
      <c r="M22" s="4434">
        <f>J22/G22</f>
        <v>1.1996558567122225E-2</v>
      </c>
      <c r="O22" s="4435">
        <f>+F22*$R$17</f>
        <v>12440.092021871036</v>
      </c>
      <c r="P22" s="4436">
        <f>+G22*$S$17</f>
        <v>30270.088874501984</v>
      </c>
      <c r="Q22" s="4432">
        <f t="shared" ref="Q22" si="15">SUM(O22:P22)</f>
        <v>42710.180896373022</v>
      </c>
      <c r="R22" s="4433">
        <f>O22/F22</f>
        <v>1.8182797792932106E-2</v>
      </c>
      <c r="S22" s="4434">
        <f>P22/G22</f>
        <v>5.6639670707760513E-2</v>
      </c>
      <c r="U22" s="4449">
        <f>+F22*$X$17</f>
        <v>12837.775500683234</v>
      </c>
      <c r="V22" s="4449">
        <f>+G22*$Y$17</f>
        <v>16943.919651761691</v>
      </c>
      <c r="W22" s="4450">
        <f t="shared" ref="W22" si="16">SUM(U22:V22)</f>
        <v>29781.695152444925</v>
      </c>
      <c r="X22" s="4437">
        <f>U22/F22</f>
        <v>1.8764063451427164E-2</v>
      </c>
      <c r="Y22" s="4438">
        <f>V22/G22</f>
        <v>3.1704499896032225E-2</v>
      </c>
    </row>
    <row r="23" spans="5:25">
      <c r="E23" s="4410">
        <v>46055</v>
      </c>
      <c r="F23" s="4411">
        <v>688411.08876618266</v>
      </c>
      <c r="G23" s="4411">
        <v>489570.28880838875</v>
      </c>
      <c r="H23" s="4411">
        <f t="shared" si="11"/>
        <v>1177981.3775745714</v>
      </c>
      <c r="I23" s="4439">
        <f t="shared" si="12"/>
        <v>30116.337420912361</v>
      </c>
      <c r="J23" s="4439">
        <f t="shared" si="13"/>
        <v>5873.1586424127781</v>
      </c>
      <c r="K23" s="4413">
        <f t="shared" si="14"/>
        <v>35989.496063325139</v>
      </c>
      <c r="L23" s="4414">
        <f t="shared" ref="L23:M33" si="17">I23/F23</f>
        <v>4.374760649903086E-2</v>
      </c>
      <c r="M23" s="4415">
        <f t="shared" si="17"/>
        <v>1.1996558567122225E-2</v>
      </c>
      <c r="O23" s="4412">
        <f t="shared" ref="O23:O33" si="18">+F23*$R$17</f>
        <v>12517.239625447733</v>
      </c>
      <c r="P23" s="4412">
        <f t="shared" ref="P23:P33" si="19">+G23*$S$17</f>
        <v>27729.099946410352</v>
      </c>
      <c r="Q23" s="4413">
        <f t="shared" ref="Q23:Q33" si="20">SUM(O23:P23)</f>
        <v>40246.339571858087</v>
      </c>
      <c r="R23" s="4414">
        <f t="shared" ref="R23:S34" si="21">O23/F23</f>
        <v>1.8182797792932106E-2</v>
      </c>
      <c r="S23" s="4415">
        <f t="shared" si="21"/>
        <v>5.6639670707760513E-2</v>
      </c>
      <c r="U23" s="4451">
        <f t="shared" ref="U23:U33" si="22">+F23*$X$17</f>
        <v>12917.389350274709</v>
      </c>
      <c r="V23" s="4451">
        <f t="shared" ref="V23:V33" si="23">+G23*$Y$17</f>
        <v>15521.581170626027</v>
      </c>
      <c r="W23" s="4413">
        <f t="shared" ref="W23:W33" si="24">SUM(U23:V23)</f>
        <v>28438.970520900737</v>
      </c>
      <c r="X23" s="4414">
        <f t="shared" ref="X23:Y34" si="25">U23/F23</f>
        <v>1.8764063451427164E-2</v>
      </c>
      <c r="Y23" s="4415">
        <f t="shared" si="25"/>
        <v>3.1704499896032225E-2</v>
      </c>
    </row>
    <row r="24" spans="5:25">
      <c r="E24" s="4410">
        <v>46083</v>
      </c>
      <c r="F24" s="4411">
        <v>751053.94731952087</v>
      </c>
      <c r="G24" s="4411">
        <v>435642.48927797563</v>
      </c>
      <c r="H24" s="4411">
        <f t="shared" si="11"/>
        <v>1186696.4365974965</v>
      </c>
      <c r="I24" s="4439">
        <f t="shared" si="12"/>
        <v>32856.812546878253</v>
      </c>
      <c r="J24" s="4439">
        <f t="shared" si="13"/>
        <v>5226.2106369501507</v>
      </c>
      <c r="K24" s="4413">
        <f t="shared" si="14"/>
        <v>38083.023183828402</v>
      </c>
      <c r="L24" s="4414">
        <f t="shared" si="17"/>
        <v>4.374760649903086E-2</v>
      </c>
      <c r="M24" s="4415">
        <f t="shared" si="17"/>
        <v>1.1996558567122225E-2</v>
      </c>
      <c r="O24" s="4412">
        <f t="shared" si="18"/>
        <v>13656.262055694331</v>
      </c>
      <c r="P24" s="4412">
        <f t="shared" si="19"/>
        <v>24674.647139013628</v>
      </c>
      <c r="Q24" s="4413">
        <f t="shared" si="20"/>
        <v>38330.909194707958</v>
      </c>
      <c r="R24" s="4414">
        <f t="shared" si="21"/>
        <v>1.8182797792932106E-2</v>
      </c>
      <c r="S24" s="4415">
        <f t="shared" si="21"/>
        <v>5.6639670707760513E-2</v>
      </c>
      <c r="U24" s="4451">
        <f t="shared" si="22"/>
        <v>14092.823922948324</v>
      </c>
      <c r="V24" s="4451">
        <f t="shared" si="23"/>
        <v>13811.827256020799</v>
      </c>
      <c r="W24" s="4413">
        <f t="shared" si="24"/>
        <v>27904.651178969121</v>
      </c>
      <c r="X24" s="4414">
        <f t="shared" si="25"/>
        <v>1.8764063451427164E-2</v>
      </c>
      <c r="Y24" s="4415">
        <f t="shared" si="25"/>
        <v>3.1704499896032225E-2</v>
      </c>
    </row>
    <row r="25" spans="5:25">
      <c r="E25" s="4410">
        <v>46113</v>
      </c>
      <c r="F25" s="4411">
        <v>390130.49665030511</v>
      </c>
      <c r="G25" s="4411">
        <v>615998.44088630565</v>
      </c>
      <c r="H25" s="4411">
        <f t="shared" si="11"/>
        <v>1006128.9375366108</v>
      </c>
      <c r="I25" s="4439">
        <f t="shared" si="12"/>
        <v>17067.275450729026</v>
      </c>
      <c r="J25" s="4439">
        <f t="shared" si="13"/>
        <v>7389.8613733485436</v>
      </c>
      <c r="K25" s="4413">
        <f t="shared" si="14"/>
        <v>24457.13682407757</v>
      </c>
      <c r="L25" s="4414">
        <f t="shared" si="17"/>
        <v>4.3747606499030867E-2</v>
      </c>
      <c r="M25" s="4415">
        <f t="shared" si="17"/>
        <v>1.1996558567122225E-2</v>
      </c>
      <c r="O25" s="4412">
        <f t="shared" si="18"/>
        <v>7093.6639334486745</v>
      </c>
      <c r="P25" s="4412">
        <f t="shared" si="19"/>
        <v>34889.948848294232</v>
      </c>
      <c r="Q25" s="4413">
        <f t="shared" si="20"/>
        <v>41983.612781742908</v>
      </c>
      <c r="R25" s="4414">
        <f t="shared" si="21"/>
        <v>1.8182797792932106E-2</v>
      </c>
      <c r="S25" s="4415">
        <f t="shared" si="21"/>
        <v>5.6639670707760513E-2</v>
      </c>
      <c r="U25" s="4451">
        <f t="shared" si="22"/>
        <v>7320.4333934831175</v>
      </c>
      <c r="V25" s="4451">
        <f t="shared" si="23"/>
        <v>19529.922505035891</v>
      </c>
      <c r="W25" s="4413">
        <f t="shared" si="24"/>
        <v>26850.35589851901</v>
      </c>
      <c r="X25" s="4414">
        <f t="shared" si="25"/>
        <v>1.8764063451427164E-2</v>
      </c>
      <c r="Y25" s="4415">
        <f t="shared" si="25"/>
        <v>3.1704499896032225E-2</v>
      </c>
    </row>
    <row r="26" spans="5:25">
      <c r="E26" s="4410">
        <v>46143</v>
      </c>
      <c r="F26" s="4411">
        <v>265876.15735489799</v>
      </c>
      <c r="G26" s="4411">
        <v>610739.00059087039</v>
      </c>
      <c r="H26" s="4411">
        <f t="shared" si="11"/>
        <v>876615.15794576844</v>
      </c>
      <c r="I26" s="4439">
        <f t="shared" si="12"/>
        <v>11631.445509436488</v>
      </c>
      <c r="J26" s="4439">
        <f t="shared" si="13"/>
        <v>7326.7661898140723</v>
      </c>
      <c r="K26" s="4413">
        <f t="shared" si="14"/>
        <v>18958.211699250562</v>
      </c>
      <c r="L26" s="4414">
        <f t="shared" si="17"/>
        <v>4.374760649903086E-2</v>
      </c>
      <c r="M26" s="4415">
        <f t="shared" si="17"/>
        <v>1.1996558567122225E-2</v>
      </c>
      <c r="O26" s="4412">
        <f t="shared" si="18"/>
        <v>4834.3724071459083</v>
      </c>
      <c r="P26" s="4412">
        <f t="shared" si="19"/>
        <v>34592.055881853652</v>
      </c>
      <c r="Q26" s="4413">
        <f t="shared" si="20"/>
        <v>39426.428288999559</v>
      </c>
      <c r="R26" s="4414">
        <f t="shared" si="21"/>
        <v>1.8182797792932106E-2</v>
      </c>
      <c r="S26" s="4415">
        <f t="shared" si="21"/>
        <v>5.6639670707760513E-2</v>
      </c>
      <c r="U26" s="4451">
        <f t="shared" si="22"/>
        <v>4988.9170868289393</v>
      </c>
      <c r="V26" s="4451">
        <f t="shared" si="23"/>
        <v>19363.174580736075</v>
      </c>
      <c r="W26" s="4413">
        <f t="shared" si="24"/>
        <v>24352.091667565015</v>
      </c>
      <c r="X26" s="4414">
        <f t="shared" si="25"/>
        <v>1.8764063451427164E-2</v>
      </c>
      <c r="Y26" s="4415">
        <f t="shared" si="25"/>
        <v>3.1704499896032225E-2</v>
      </c>
    </row>
    <row r="27" spans="5:25">
      <c r="E27" s="4410">
        <v>46174</v>
      </c>
      <c r="F27" s="4411">
        <v>340451.71417409164</v>
      </c>
      <c r="G27" s="4411">
        <v>761671.54869427276</v>
      </c>
      <c r="H27" s="4411">
        <f t="shared" si="11"/>
        <v>1102123.2628683643</v>
      </c>
      <c r="I27" s="4439">
        <f t="shared" si="12"/>
        <v>14893.947623608688</v>
      </c>
      <c r="J27" s="4439">
        <f t="shared" si="13"/>
        <v>9137.4373428215313</v>
      </c>
      <c r="K27" s="4413">
        <f t="shared" si="14"/>
        <v>24031.384966430218</v>
      </c>
      <c r="L27" s="4414">
        <f t="shared" si="17"/>
        <v>4.374760649903086E-2</v>
      </c>
      <c r="M27" s="4415">
        <f t="shared" si="17"/>
        <v>1.1996558567122225E-2</v>
      </c>
      <c r="O27" s="4412">
        <f t="shared" si="18"/>
        <v>6190.3646770846253</v>
      </c>
      <c r="P27" s="4412">
        <f t="shared" si="19"/>
        <v>43140.825705513584</v>
      </c>
      <c r="Q27" s="4413">
        <f t="shared" si="20"/>
        <v>49331.190382598208</v>
      </c>
      <c r="R27" s="4414">
        <f t="shared" si="21"/>
        <v>1.8182797792932106E-2</v>
      </c>
      <c r="S27" s="4415">
        <f t="shared" si="21"/>
        <v>5.6639670707760513E-2</v>
      </c>
      <c r="U27" s="4451">
        <f t="shared" si="22"/>
        <v>6388.2575669098005</v>
      </c>
      <c r="V27" s="4451">
        <f t="shared" si="23"/>
        <v>24148.415536388275</v>
      </c>
      <c r="W27" s="4413">
        <f t="shared" si="24"/>
        <v>30536.673103298075</v>
      </c>
      <c r="X27" s="4414">
        <f t="shared" si="25"/>
        <v>1.8764063451427164E-2</v>
      </c>
      <c r="Y27" s="4415">
        <f t="shared" si="25"/>
        <v>3.1704499896032225E-2</v>
      </c>
    </row>
    <row r="28" spans="5:25">
      <c r="E28" s="4410">
        <v>46204</v>
      </c>
      <c r="F28" s="4411">
        <v>359817.61042011128</v>
      </c>
      <c r="G28" s="4411">
        <v>585020.99574807263</v>
      </c>
      <c r="H28" s="4411">
        <f t="shared" si="11"/>
        <v>944838.60616818396</v>
      </c>
      <c r="I28" s="4439">
        <f t="shared" si="12"/>
        <v>15741.159232080614</v>
      </c>
      <c r="J28" s="4439">
        <f t="shared" si="13"/>
        <v>7018.2386384879155</v>
      </c>
      <c r="K28" s="4413">
        <f t="shared" si="14"/>
        <v>22759.397870568529</v>
      </c>
      <c r="L28" s="4414">
        <f t="shared" si="17"/>
        <v>4.374760649903086E-2</v>
      </c>
      <c r="M28" s="4415">
        <f t="shared" si="17"/>
        <v>1.1996558567122225E-2</v>
      </c>
      <c r="O28" s="4412">
        <f t="shared" si="18"/>
        <v>6542.4908526049039</v>
      </c>
      <c r="P28" s="4412">
        <f t="shared" si="19"/>
        <v>33135.396556296997</v>
      </c>
      <c r="Q28" s="4413">
        <f t="shared" si="20"/>
        <v>39677.887408901901</v>
      </c>
      <c r="R28" s="4414">
        <f t="shared" si="21"/>
        <v>1.8182797792932106E-2</v>
      </c>
      <c r="S28" s="4415">
        <f t="shared" si="21"/>
        <v>5.6639670707760513E-2</v>
      </c>
      <c r="U28" s="4451">
        <f t="shared" si="22"/>
        <v>6751.6404728638681</v>
      </c>
      <c r="V28" s="4451">
        <f t="shared" si="23"/>
        <v>18547.798098871437</v>
      </c>
      <c r="W28" s="4413">
        <f t="shared" si="24"/>
        <v>25299.438571735307</v>
      </c>
      <c r="X28" s="4414">
        <f t="shared" si="25"/>
        <v>1.8764063451427164E-2</v>
      </c>
      <c r="Y28" s="4415">
        <f t="shared" si="25"/>
        <v>3.1704499896032225E-2</v>
      </c>
    </row>
    <row r="29" spans="5:25">
      <c r="E29" s="4410">
        <v>46235</v>
      </c>
      <c r="F29" s="4411">
        <v>239000.60516288565</v>
      </c>
      <c r="G29" s="4411">
        <v>583304.329081406</v>
      </c>
      <c r="H29" s="4411">
        <f t="shared" si="11"/>
        <v>822304.93424429162</v>
      </c>
      <c r="I29" s="4439">
        <f t="shared" si="12"/>
        <v>10455.704427696164</v>
      </c>
      <c r="J29" s="4439">
        <f t="shared" si="13"/>
        <v>6997.6445462810225</v>
      </c>
      <c r="K29" s="4413">
        <f t="shared" si="14"/>
        <v>17453.348973977187</v>
      </c>
      <c r="L29" s="4414">
        <f t="shared" si="17"/>
        <v>4.374760649903086E-2</v>
      </c>
      <c r="M29" s="4415">
        <f t="shared" si="17"/>
        <v>1.1996558567122225E-2</v>
      </c>
      <c r="O29" s="4412">
        <f t="shared" si="18"/>
        <v>4345.6996760651546</v>
      </c>
      <c r="P29" s="4412">
        <f t="shared" si="19"/>
        <v>33038.165121582009</v>
      </c>
      <c r="Q29" s="4413">
        <f t="shared" si="20"/>
        <v>37383.864797647162</v>
      </c>
      <c r="R29" s="4414">
        <f t="shared" si="21"/>
        <v>1.8182797792932106E-2</v>
      </c>
      <c r="S29" s="4415">
        <f t="shared" si="21"/>
        <v>5.6639670707760513E-2</v>
      </c>
      <c r="U29" s="4451">
        <f t="shared" si="22"/>
        <v>4484.6225202058768</v>
      </c>
      <c r="V29" s="4451">
        <f t="shared" si="23"/>
        <v>18493.372040716582</v>
      </c>
      <c r="W29" s="4413">
        <f t="shared" si="24"/>
        <v>22977.99456092246</v>
      </c>
      <c r="X29" s="4414">
        <f t="shared" si="25"/>
        <v>1.8764063451427164E-2</v>
      </c>
      <c r="Y29" s="4415">
        <f t="shared" si="25"/>
        <v>3.1704499896032225E-2</v>
      </c>
    </row>
    <row r="30" spans="5:25">
      <c r="E30" s="4410">
        <v>46266</v>
      </c>
      <c r="F30" s="4411">
        <v>230926.37576941052</v>
      </c>
      <c r="G30" s="4411">
        <v>583304.329081406</v>
      </c>
      <c r="H30" s="4411">
        <f t="shared" si="11"/>
        <v>814230.70485081652</v>
      </c>
      <c r="I30" s="4439">
        <f t="shared" si="12"/>
        <v>10102.476217407506</v>
      </c>
      <c r="J30" s="4439">
        <f t="shared" si="13"/>
        <v>6997.6445462810225</v>
      </c>
      <c r="K30" s="4413">
        <f t="shared" si="14"/>
        <v>17100.12076368853</v>
      </c>
      <c r="L30" s="4414">
        <f t="shared" si="17"/>
        <v>4.374760649903086E-2</v>
      </c>
      <c r="M30" s="4415">
        <f t="shared" si="17"/>
        <v>1.1996558567122225E-2</v>
      </c>
      <c r="O30" s="4412">
        <f t="shared" si="18"/>
        <v>4198.8875956698475</v>
      </c>
      <c r="P30" s="4412">
        <f t="shared" si="19"/>
        <v>33038.165121582009</v>
      </c>
      <c r="Q30" s="4413">
        <f t="shared" si="20"/>
        <v>37237.052717251856</v>
      </c>
      <c r="R30" s="4414">
        <f t="shared" si="21"/>
        <v>1.8182797792932106E-2</v>
      </c>
      <c r="S30" s="4415">
        <f t="shared" si="21"/>
        <v>5.6639670707760513E-2</v>
      </c>
      <c r="U30" s="4451">
        <f t="shared" si="22"/>
        <v>4333.1171675453315</v>
      </c>
      <c r="V30" s="4451">
        <f t="shared" si="23"/>
        <v>18493.372040716582</v>
      </c>
      <c r="W30" s="4413">
        <f t="shared" si="24"/>
        <v>22826.489208261912</v>
      </c>
      <c r="X30" s="4414">
        <f t="shared" si="25"/>
        <v>1.8764063451427164E-2</v>
      </c>
      <c r="Y30" s="4415">
        <f t="shared" si="25"/>
        <v>3.1704499896032225E-2</v>
      </c>
    </row>
    <row r="31" spans="5:25">
      <c r="E31" s="4410">
        <v>46296</v>
      </c>
      <c r="F31" s="4411">
        <v>216016.15182955234</v>
      </c>
      <c r="G31" s="4411">
        <v>574604.329081406</v>
      </c>
      <c r="H31" s="4411">
        <f t="shared" si="11"/>
        <v>790620.48091095837</v>
      </c>
      <c r="I31" s="4439">
        <f t="shared" si="12"/>
        <v>9450.1896076741614</v>
      </c>
      <c r="J31" s="4439">
        <f t="shared" si="13"/>
        <v>6893.2744867470592</v>
      </c>
      <c r="K31" s="4413">
        <f t="shared" si="14"/>
        <v>16343.464094421221</v>
      </c>
      <c r="L31" s="4414">
        <f t="shared" si="17"/>
        <v>4.374760649903086E-2</v>
      </c>
      <c r="M31" s="4415">
        <f t="shared" si="17"/>
        <v>1.1996558567122225E-2</v>
      </c>
      <c r="O31" s="4412">
        <f t="shared" si="18"/>
        <v>3927.7780087240712</v>
      </c>
      <c r="P31" s="4412">
        <f t="shared" si="19"/>
        <v>32545.399986424494</v>
      </c>
      <c r="Q31" s="4413">
        <f t="shared" si="20"/>
        <v>36473.177995148566</v>
      </c>
      <c r="R31" s="4414">
        <f t="shared" si="21"/>
        <v>1.8182797792932106E-2</v>
      </c>
      <c r="S31" s="4415">
        <f t="shared" si="21"/>
        <v>5.6639670707760513E-2</v>
      </c>
      <c r="U31" s="4451">
        <f t="shared" si="22"/>
        <v>4053.3407794628442</v>
      </c>
      <c r="V31" s="4451">
        <f t="shared" si="23"/>
        <v>18217.542891621102</v>
      </c>
      <c r="W31" s="4413">
        <f t="shared" si="24"/>
        <v>22270.883671083946</v>
      </c>
      <c r="X31" s="4414">
        <f t="shared" si="25"/>
        <v>1.8764063451427164E-2</v>
      </c>
      <c r="Y31" s="4415">
        <f t="shared" si="25"/>
        <v>3.1704499896032225E-2</v>
      </c>
    </row>
    <row r="32" spans="5:25">
      <c r="E32" s="4410">
        <v>46327</v>
      </c>
      <c r="F32" s="4411">
        <v>181429.3450129483</v>
      </c>
      <c r="G32" s="4411">
        <v>574604.329081406</v>
      </c>
      <c r="H32" s="4411">
        <f t="shared" si="11"/>
        <v>756033.67409435427</v>
      </c>
      <c r="I32" s="4439">
        <f t="shared" si="12"/>
        <v>7937.0995930033687</v>
      </c>
      <c r="J32" s="4439">
        <f t="shared" si="13"/>
        <v>6893.2744867470592</v>
      </c>
      <c r="K32" s="4413">
        <f t="shared" si="14"/>
        <v>14830.374079750429</v>
      </c>
      <c r="L32" s="4414">
        <f t="shared" si="17"/>
        <v>4.374760649903086E-2</v>
      </c>
      <c r="M32" s="4415">
        <f t="shared" si="17"/>
        <v>1.1996558567122225E-2</v>
      </c>
      <c r="O32" s="4412">
        <f t="shared" si="18"/>
        <v>3298.893094074554</v>
      </c>
      <c r="P32" s="4412">
        <f t="shared" si="19"/>
        <v>32545.399986424494</v>
      </c>
      <c r="Q32" s="4413">
        <f t="shared" si="20"/>
        <v>35844.293080499046</v>
      </c>
      <c r="R32" s="4414">
        <f t="shared" si="21"/>
        <v>1.8182797792932106E-2</v>
      </c>
      <c r="S32" s="4415">
        <f t="shared" si="21"/>
        <v>5.6639670707760513E-2</v>
      </c>
      <c r="U32" s="4451">
        <f t="shared" si="22"/>
        <v>3404.3517417738321</v>
      </c>
      <c r="V32" s="4451">
        <f t="shared" si="23"/>
        <v>18217.542891621102</v>
      </c>
      <c r="W32" s="4413">
        <f t="shared" si="24"/>
        <v>21621.894633394935</v>
      </c>
      <c r="X32" s="4414">
        <f t="shared" si="25"/>
        <v>1.8764063451427164E-2</v>
      </c>
      <c r="Y32" s="4415">
        <f t="shared" si="25"/>
        <v>3.1704499896032225E-2</v>
      </c>
    </row>
    <row r="33" spans="5:25" ht="18" thickBot="1">
      <c r="E33" s="4416">
        <v>46357</v>
      </c>
      <c r="F33" s="4440">
        <v>225555.92243607718</v>
      </c>
      <c r="G33" s="4440">
        <v>574604.329081406</v>
      </c>
      <c r="H33" s="4440">
        <f t="shared" si="11"/>
        <v>800160.25151748315</v>
      </c>
      <c r="I33" s="4441">
        <f t="shared" si="12"/>
        <v>9867.5317382594312</v>
      </c>
      <c r="J33" s="4441">
        <f t="shared" si="13"/>
        <v>6893.2744867470592</v>
      </c>
      <c r="K33" s="4442">
        <f t="shared" si="14"/>
        <v>16760.80622500649</v>
      </c>
      <c r="L33" s="4443">
        <f t="shared" si="17"/>
        <v>4.3747606499030867E-2</v>
      </c>
      <c r="M33" s="4444">
        <f t="shared" si="17"/>
        <v>1.1996558567122225E-2</v>
      </c>
      <c r="O33" s="4445">
        <f t="shared" si="18"/>
        <v>4101.2377286534693</v>
      </c>
      <c r="P33" s="4445">
        <f t="shared" si="19"/>
        <v>32545.399986424494</v>
      </c>
      <c r="Q33" s="4442">
        <f t="shared" si="20"/>
        <v>36646.637715077966</v>
      </c>
      <c r="R33" s="4443">
        <f t="shared" si="21"/>
        <v>1.8182797792932106E-2</v>
      </c>
      <c r="S33" s="4444">
        <f t="shared" si="21"/>
        <v>5.6639670707760513E-2</v>
      </c>
      <c r="U33" s="4452">
        <f t="shared" si="22"/>
        <v>4232.3456404357357</v>
      </c>
      <c r="V33" s="4452">
        <f t="shared" si="23"/>
        <v>18217.542891621102</v>
      </c>
      <c r="W33" s="4442">
        <f t="shared" si="24"/>
        <v>22449.888532056837</v>
      </c>
      <c r="X33" s="4443">
        <f t="shared" si="25"/>
        <v>1.8764063451427164E-2</v>
      </c>
      <c r="Y33" s="4444">
        <f t="shared" si="25"/>
        <v>3.1704499896032225E-2</v>
      </c>
    </row>
    <row r="34" spans="5:25" ht="18.600000000000001" thickTop="1" thickBot="1">
      <c r="E34" s="4422" t="s">
        <v>1497</v>
      </c>
      <c r="F34" s="4423">
        <f t="shared" ref="F34:K34" si="26">SUM(F22:F33)</f>
        <v>4572837.6140664471</v>
      </c>
      <c r="G34" s="4423">
        <f t="shared" si="26"/>
        <v>6923497.0516979368</v>
      </c>
      <c r="H34" s="4423">
        <f t="shared" si="26"/>
        <v>11496334.665764386</v>
      </c>
      <c r="I34" s="4424">
        <f t="shared" si="26"/>
        <v>200050.70052414606</v>
      </c>
      <c r="J34" s="4424">
        <f t="shared" si="26"/>
        <v>83058.137869992352</v>
      </c>
      <c r="K34" s="4425">
        <f t="shared" si="26"/>
        <v>283108.83839413838</v>
      </c>
      <c r="L34" s="4426">
        <f>I34/F34</f>
        <v>4.374760649903086E-2</v>
      </c>
      <c r="M34" s="4427">
        <f>J34/G34</f>
        <v>1.1996558567122225E-2</v>
      </c>
      <c r="O34" s="4424">
        <f t="shared" ref="O34:Q34" si="27">SUM(O22:O33)</f>
        <v>83146.981676484313</v>
      </c>
      <c r="P34" s="4424">
        <f t="shared" si="27"/>
        <v>392144.59315432189</v>
      </c>
      <c r="Q34" s="4425">
        <f t="shared" si="27"/>
        <v>475291.57483080629</v>
      </c>
      <c r="R34" s="4426">
        <f t="shared" si="21"/>
        <v>1.8182797792932106E-2</v>
      </c>
      <c r="S34" s="4427">
        <f t="shared" si="21"/>
        <v>5.6639670707760513E-2</v>
      </c>
      <c r="U34" s="4446">
        <f t="shared" ref="U34:W34" si="28">SUM(U22:U33)</f>
        <v>85805.015143415614</v>
      </c>
      <c r="V34" s="4446">
        <f t="shared" si="28"/>
        <v>219506.01155573662</v>
      </c>
      <c r="W34" s="4446">
        <f t="shared" si="28"/>
        <v>305311.02669915231</v>
      </c>
      <c r="X34" s="4447">
        <f t="shared" si="25"/>
        <v>1.8764063451427164E-2</v>
      </c>
      <c r="Y34" s="4448">
        <f t="shared" si="25"/>
        <v>3.1704499896032218E-2</v>
      </c>
    </row>
    <row r="35" spans="5:25" ht="18" thickTop="1"/>
  </sheetData>
  <mergeCells count="24">
    <mergeCell ref="X19:Y20"/>
    <mergeCell ref="E19:E21"/>
    <mergeCell ref="F19:G20"/>
    <mergeCell ref="H19:H21"/>
    <mergeCell ref="I19:J20"/>
    <mergeCell ref="K19:K21"/>
    <mergeCell ref="L19:M20"/>
    <mergeCell ref="O19:P20"/>
    <mergeCell ref="Q19:Q21"/>
    <mergeCell ref="R19:S20"/>
    <mergeCell ref="U19:V20"/>
    <mergeCell ref="W19:W21"/>
    <mergeCell ref="X2:Y3"/>
    <mergeCell ref="E2:E4"/>
    <mergeCell ref="F2:G3"/>
    <mergeCell ref="H2:H4"/>
    <mergeCell ref="I2:J3"/>
    <mergeCell ref="K2:K4"/>
    <mergeCell ref="L2:M3"/>
    <mergeCell ref="O2:P3"/>
    <mergeCell ref="Q2:Q4"/>
    <mergeCell ref="R2:S3"/>
    <mergeCell ref="U2:V3"/>
    <mergeCell ref="W2:W4"/>
  </mergeCells>
  <phoneticPr fontId="10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C23"/>
  <sheetViews>
    <sheetView zoomScale="70" zoomScaleNormal="70" workbookViewId="0">
      <pane xSplit="4" ySplit="3" topLeftCell="E4" activePane="bottomRight" state="frozen"/>
      <selection activeCell="Y28" sqref="Y28"/>
      <selection pane="topRight" activeCell="Y28" sqref="Y28"/>
      <selection pane="bottomLeft" activeCell="Y28" sqref="Y28"/>
      <selection pane="bottomRight" activeCell="R6" activeCellId="1" sqref="X5:X12 R6:R10"/>
    </sheetView>
  </sheetViews>
  <sheetFormatPr defaultColWidth="9.09765625" defaultRowHeight="17.399999999999999" outlineLevelCol="1"/>
  <cols>
    <col min="1" max="1" width="2.59765625" style="4234" customWidth="1"/>
    <col min="2" max="2" width="7.8984375" style="4371" customWidth="1"/>
    <col min="3" max="3" width="13.8984375" style="4372" customWidth="1"/>
    <col min="4" max="4" width="37" style="4371" customWidth="1"/>
    <col min="5" max="5" width="25.3984375" style="4371" hidden="1" customWidth="1" outlineLevel="1"/>
    <col min="6" max="6" width="13.59765625" style="4234" hidden="1" customWidth="1" outlineLevel="1"/>
    <col min="7" max="7" width="14.09765625" style="4371" hidden="1" customWidth="1" outlineLevel="1"/>
    <col min="8" max="8" width="9.09765625" style="4382" hidden="1" customWidth="1" outlineLevel="1"/>
    <col min="9" max="11" width="8.69921875" style="4382" hidden="1" customWidth="1" outlineLevel="1"/>
    <col min="12" max="12" width="25.3984375" style="4234" hidden="1" customWidth="1" outlineLevel="1"/>
    <col min="13" max="13" width="22.09765625" style="4379" hidden="1" customWidth="1" outlineLevel="1"/>
    <col min="14" max="14" width="22.09765625" style="4383" hidden="1" customWidth="1" outlineLevel="1"/>
    <col min="15" max="15" width="22.09765625" style="4234" customWidth="1" collapsed="1"/>
    <col min="16" max="16" width="15.69921875" style="4385" customWidth="1"/>
    <col min="17" max="17" width="19.09765625" style="4385" bestFit="1" customWidth="1"/>
    <col min="18" max="19" width="21.3984375" style="4386" customWidth="1"/>
    <col min="20" max="20" width="14.59765625" style="4378" customWidth="1"/>
    <col min="21" max="22" width="9.69921875" style="4378" customWidth="1"/>
    <col min="23" max="23" width="14.09765625" style="4371" customWidth="1"/>
    <col min="24" max="24" width="14.8984375" style="4379" bestFit="1" customWidth="1"/>
    <col min="25" max="25" width="18.09765625" style="4371" customWidth="1"/>
    <col min="26" max="26" width="15.3984375" style="4371" customWidth="1"/>
    <col min="27" max="27" width="14.8984375" style="4371" customWidth="1"/>
    <col min="28" max="28" width="18.09765625" style="4371" customWidth="1"/>
    <col min="29" max="29" width="12.09765625" style="4371" customWidth="1"/>
    <col min="30" max="16384" width="9.09765625" style="4234"/>
  </cols>
  <sheetData>
    <row r="1" spans="1:29" s="4227" customFormat="1" ht="33.75" customHeight="1" thickBot="1">
      <c r="A1" s="4223"/>
      <c r="B1" s="4224"/>
      <c r="C1" s="4225"/>
      <c r="D1" s="4226"/>
      <c r="E1" s="4226"/>
      <c r="G1" s="4226"/>
      <c r="H1" s="4228"/>
      <c r="I1" s="4228"/>
      <c r="J1" s="4228"/>
      <c r="K1" s="4228"/>
      <c r="M1" s="4229"/>
      <c r="N1" s="4230"/>
      <c r="P1" s="4231"/>
      <c r="Q1" s="4231"/>
      <c r="R1" s="4232"/>
      <c r="S1" s="4232"/>
      <c r="T1" s="4233"/>
      <c r="U1" s="4233"/>
      <c r="V1" s="4233"/>
      <c r="W1" s="4226"/>
      <c r="X1" s="4229"/>
      <c r="Y1" s="4394" t="s">
        <v>1436</v>
      </c>
      <c r="Z1" s="4395" t="s">
        <v>1453</v>
      </c>
      <c r="AA1" s="4396" t="s">
        <v>1486</v>
      </c>
      <c r="AB1" s="4395" t="s">
        <v>1487</v>
      </c>
      <c r="AC1" s="4397" t="s">
        <v>1488</v>
      </c>
    </row>
    <row r="2" spans="1:29" ht="39.75" customHeight="1" thickBot="1">
      <c r="B2" s="7610" t="s">
        <v>1454</v>
      </c>
      <c r="C2" s="7612" t="s">
        <v>1455</v>
      </c>
      <c r="D2" s="7614" t="s">
        <v>1456</v>
      </c>
      <c r="E2" s="7616" t="s">
        <v>1457</v>
      </c>
      <c r="F2" s="7616"/>
      <c r="G2" s="7616"/>
      <c r="H2" s="7616"/>
      <c r="I2" s="7616"/>
      <c r="J2" s="7617" t="s">
        <v>1458</v>
      </c>
      <c r="K2" s="7609"/>
      <c r="L2" s="7607" t="s">
        <v>1459</v>
      </c>
      <c r="M2" s="7608"/>
      <c r="N2" s="7609"/>
      <c r="O2" s="4227"/>
      <c r="P2" s="4231"/>
      <c r="Q2" s="4231"/>
      <c r="R2" s="4232"/>
      <c r="S2" s="4232"/>
      <c r="T2" s="4233"/>
      <c r="U2" s="4233"/>
      <c r="V2" s="4233"/>
      <c r="W2" s="4226"/>
      <c r="X2" s="4235" t="s">
        <v>1460</v>
      </c>
      <c r="Y2" s="4236"/>
      <c r="Z2" s="4236"/>
      <c r="AA2" s="4236"/>
      <c r="AB2" s="4236"/>
      <c r="AC2" s="4237"/>
    </row>
    <row r="3" spans="1:29" ht="52.2">
      <c r="B3" s="7611"/>
      <c r="C3" s="7613"/>
      <c r="D3" s="7615"/>
      <c r="E3" s="4238" t="s">
        <v>1461</v>
      </c>
      <c r="F3" s="4239" t="s">
        <v>1462</v>
      </c>
      <c r="G3" s="4239" t="s">
        <v>1463</v>
      </c>
      <c r="H3" s="4240" t="s">
        <v>1464</v>
      </c>
      <c r="I3" s="4241" t="s">
        <v>1465</v>
      </c>
      <c r="J3" s="4242" t="s">
        <v>1466</v>
      </c>
      <c r="K3" s="4241" t="s">
        <v>1467</v>
      </c>
      <c r="L3" s="4238" t="s">
        <v>1461</v>
      </c>
      <c r="M3" s="4243" t="s">
        <v>1478</v>
      </c>
      <c r="N3" s="4243" t="s">
        <v>1479</v>
      </c>
      <c r="O3" s="4244" t="s">
        <v>1468</v>
      </c>
      <c r="P3" s="4245" t="s">
        <v>1481</v>
      </c>
      <c r="Q3" s="4246" t="s">
        <v>1480</v>
      </c>
      <c r="R3" s="4247" t="s">
        <v>1482</v>
      </c>
      <c r="S3" s="4388" t="s">
        <v>1469</v>
      </c>
      <c r="T3" s="4248" t="s">
        <v>1483</v>
      </c>
      <c r="U3" s="4248" t="s">
        <v>1470</v>
      </c>
      <c r="V3" s="4248" t="s">
        <v>1485</v>
      </c>
      <c r="W3" s="4249" t="s">
        <v>1484</v>
      </c>
      <c r="X3" s="4250" t="s">
        <v>1489</v>
      </c>
      <c r="Y3" s="4249" t="s">
        <v>1490</v>
      </c>
      <c r="Z3" s="4249" t="s">
        <v>1491</v>
      </c>
      <c r="AA3" s="4249" t="s">
        <v>1492</v>
      </c>
      <c r="AB3" s="4249" t="s">
        <v>1493</v>
      </c>
      <c r="AC3" s="4249" t="s">
        <v>1494</v>
      </c>
    </row>
    <row r="4" spans="1:29" ht="20.25" customHeight="1">
      <c r="A4" s="4251"/>
      <c r="B4" s="7618">
        <v>1</v>
      </c>
      <c r="C4" s="7620" t="s">
        <v>1384</v>
      </c>
      <c r="D4" s="4252" t="s">
        <v>518</v>
      </c>
      <c r="E4" s="4253">
        <v>21507195038.25</v>
      </c>
      <c r="F4" s="4254" t="s">
        <v>520</v>
      </c>
      <c r="G4" s="4254" t="s">
        <v>1471</v>
      </c>
      <c r="H4" s="4255">
        <v>48</v>
      </c>
      <c r="I4" s="4256">
        <v>8.6400000000000005E-2</v>
      </c>
      <c r="J4" s="4257">
        <v>3.9399999999999998E-2</v>
      </c>
      <c r="K4" s="4256">
        <v>4.7E-2</v>
      </c>
      <c r="L4" s="4258">
        <v>12993930334.25</v>
      </c>
      <c r="M4" s="4259">
        <v>448066563</v>
      </c>
      <c r="N4" s="4260">
        <f>+M4/26000</f>
        <v>17233.329346153845</v>
      </c>
      <c r="O4" s="4261" t="s">
        <v>1446</v>
      </c>
      <c r="P4" s="4262">
        <v>66444.383972014999</v>
      </c>
      <c r="Q4" s="4263">
        <f>2291.18565444712*6</f>
        <v>13747.113926682721</v>
      </c>
      <c r="R4" s="4264">
        <f>+P4-Q4</f>
        <v>52697.270045332276</v>
      </c>
      <c r="S4" s="4265">
        <v>4536.0402367924262</v>
      </c>
      <c r="T4" s="4266">
        <v>18</v>
      </c>
      <c r="U4" s="4266">
        <v>6</v>
      </c>
      <c r="V4" s="4266">
        <f>+T4+U4</f>
        <v>24</v>
      </c>
      <c r="W4" s="4267">
        <f>+H4-V4</f>
        <v>24</v>
      </c>
      <c r="X4" s="4268"/>
      <c r="Y4" s="4269">
        <f>R4*3%</f>
        <v>1580.9181013599682</v>
      </c>
      <c r="Z4" s="4269"/>
      <c r="AA4" s="4269"/>
      <c r="AB4" s="4269"/>
      <c r="AC4" s="4269"/>
    </row>
    <row r="5" spans="1:29" ht="20.25" customHeight="1">
      <c r="A5" s="4251"/>
      <c r="B5" s="7611"/>
      <c r="C5" s="7613"/>
      <c r="D5" s="4270" t="s">
        <v>519</v>
      </c>
      <c r="E5" s="4271"/>
      <c r="F5" s="4272"/>
      <c r="G5" s="4272"/>
      <c r="H5" s="4273"/>
      <c r="I5" s="4274"/>
      <c r="J5" s="4275"/>
      <c r="K5" s="4274"/>
      <c r="L5" s="4276"/>
      <c r="M5" s="4277"/>
      <c r="N5" s="4278"/>
      <c r="O5" s="4279" t="s">
        <v>1446</v>
      </c>
      <c r="P5" s="4280">
        <v>433322.16734529228</v>
      </c>
      <c r="Q5" s="4281">
        <f>14942.143703125*6</f>
        <v>89652.86221875</v>
      </c>
      <c r="R5" s="4282">
        <f t="shared" ref="R5:R10" si="0">+P5-Q5</f>
        <v>343669.30512654228</v>
      </c>
      <c r="S5" s="4283">
        <v>31414.408160694191</v>
      </c>
      <c r="T5" s="4284">
        <v>18</v>
      </c>
      <c r="U5" s="4284">
        <v>6</v>
      </c>
      <c r="V5" s="4284">
        <v>24</v>
      </c>
      <c r="W5" s="4285">
        <v>24</v>
      </c>
      <c r="X5" s="4286"/>
      <c r="Y5" s="4287">
        <f>R5*3%</f>
        <v>10310.079153796269</v>
      </c>
      <c r="Z5" s="4287"/>
      <c r="AA5" s="4287"/>
      <c r="AB5" s="4287"/>
      <c r="AC5" s="4287"/>
    </row>
    <row r="6" spans="1:29" ht="20.25" customHeight="1">
      <c r="A6" s="4251"/>
      <c r="B6" s="7618">
        <v>2</v>
      </c>
      <c r="C6" s="7620" t="s">
        <v>1385</v>
      </c>
      <c r="D6" s="4288" t="s">
        <v>518</v>
      </c>
      <c r="E6" s="4253">
        <v>16360022077.83</v>
      </c>
      <c r="F6" s="4254" t="s">
        <v>521</v>
      </c>
      <c r="G6" s="4254" t="s">
        <v>1471</v>
      </c>
      <c r="H6" s="4255">
        <v>60</v>
      </c>
      <c r="I6" s="4256">
        <v>9.0399999999999994E-2</v>
      </c>
      <c r="J6" s="4257">
        <v>4.2000000000000003E-2</v>
      </c>
      <c r="K6" s="4256">
        <v>4.8399999999999999E-2</v>
      </c>
      <c r="L6" s="4258">
        <v>11452015452.83</v>
      </c>
      <c r="M6" s="4259">
        <v>272667035</v>
      </c>
      <c r="N6" s="4260">
        <f>+M6/26000</f>
        <v>10487.193653846154</v>
      </c>
      <c r="O6" s="4261" t="s">
        <v>1447</v>
      </c>
      <c r="P6" s="4262">
        <v>35271.398017606167</v>
      </c>
      <c r="Q6" s="4263">
        <f>909.77812347*1</f>
        <v>909.77812346999997</v>
      </c>
      <c r="R6" s="4264">
        <f t="shared" si="0"/>
        <v>34361.619894136165</v>
      </c>
      <c r="S6" s="4265">
        <v>5615.8723797065995</v>
      </c>
      <c r="T6" s="4266">
        <v>17</v>
      </c>
      <c r="U6" s="4266">
        <v>1</v>
      </c>
      <c r="V6" s="4266">
        <f t="shared" ref="V6:V15" si="1">+T6+U6</f>
        <v>18</v>
      </c>
      <c r="W6" s="4267">
        <f>+H6-V6</f>
        <v>42</v>
      </c>
      <c r="X6" s="4268">
        <f>+R6*3%</f>
        <v>1030.848596824085</v>
      </c>
      <c r="Y6" s="4269"/>
      <c r="Z6" s="4269"/>
      <c r="AA6" s="4269"/>
      <c r="AB6" s="4269"/>
      <c r="AC6" s="4269"/>
    </row>
    <row r="7" spans="1:29" ht="20.25" customHeight="1">
      <c r="A7" s="4251"/>
      <c r="B7" s="7611"/>
      <c r="C7" s="7613"/>
      <c r="D7" s="4289" t="s">
        <v>519</v>
      </c>
      <c r="E7" s="4290"/>
      <c r="F7" s="4291"/>
      <c r="G7" s="4291"/>
      <c r="H7" s="4292"/>
      <c r="I7" s="4293"/>
      <c r="J7" s="4294"/>
      <c r="K7" s="4293"/>
      <c r="L7" s="4295"/>
      <c r="M7" s="4296"/>
      <c r="N7" s="4297"/>
      <c r="O7" s="4279" t="s">
        <v>1447</v>
      </c>
      <c r="P7" s="4298">
        <v>405190.7347835477</v>
      </c>
      <c r="Q7" s="4299">
        <v>9996.9032617499997</v>
      </c>
      <c r="R7" s="4300">
        <f t="shared" si="0"/>
        <v>395193.83152179769</v>
      </c>
      <c r="S7" s="4301">
        <v>64588.285706880248</v>
      </c>
      <c r="T7" s="4302">
        <v>17</v>
      </c>
      <c r="U7" s="4302">
        <v>1</v>
      </c>
      <c r="V7" s="4302">
        <v>18</v>
      </c>
      <c r="W7" s="4303">
        <v>42</v>
      </c>
      <c r="X7" s="4304">
        <f t="shared" ref="X7:X10" si="2">+R7*3%</f>
        <v>11855.81494565393</v>
      </c>
      <c r="Y7" s="4305"/>
      <c r="Z7" s="4305"/>
      <c r="AA7" s="4305"/>
      <c r="AB7" s="4305"/>
      <c r="AC7" s="4305"/>
    </row>
    <row r="8" spans="1:29" ht="20.25" customHeight="1">
      <c r="A8" s="4251"/>
      <c r="B8" s="7618">
        <v>3</v>
      </c>
      <c r="C8" s="7620" t="s">
        <v>1386</v>
      </c>
      <c r="D8" s="4306" t="s">
        <v>974</v>
      </c>
      <c r="E8" s="4253">
        <v>4212908948.1599998</v>
      </c>
      <c r="F8" s="4254" t="s">
        <v>975</v>
      </c>
      <c r="G8" s="4254" t="s">
        <v>1471</v>
      </c>
      <c r="H8" s="4255">
        <v>48</v>
      </c>
      <c r="I8" s="4256">
        <v>8.7800000000000003E-2</v>
      </c>
      <c r="J8" s="4257">
        <v>3.9399999999999998E-2</v>
      </c>
      <c r="K8" s="4256">
        <v>4.8399999999999999E-2</v>
      </c>
      <c r="L8" s="4258">
        <v>2720837032.1599998</v>
      </c>
      <c r="M8" s="4259">
        <v>87768936</v>
      </c>
      <c r="N8" s="4260">
        <f>+M8/26000</f>
        <v>3375.7283076923077</v>
      </c>
      <c r="O8" s="4261" t="s">
        <v>1447</v>
      </c>
      <c r="P8" s="4262">
        <v>37903.988017661548</v>
      </c>
      <c r="Q8" s="4263">
        <v>1324.6017318000002</v>
      </c>
      <c r="R8" s="4264">
        <f t="shared" si="0"/>
        <v>36579.386285861547</v>
      </c>
      <c r="S8" s="4265">
        <v>4291.1490748790147</v>
      </c>
      <c r="T8" s="4266">
        <v>17</v>
      </c>
      <c r="U8" s="4266">
        <v>1</v>
      </c>
      <c r="V8" s="4266">
        <f t="shared" si="1"/>
        <v>18</v>
      </c>
      <c r="W8" s="4267">
        <f>+H8-V8</f>
        <v>30</v>
      </c>
      <c r="X8" s="4268">
        <f t="shared" si="2"/>
        <v>1097.3815885758463</v>
      </c>
      <c r="Y8" s="4269"/>
      <c r="Z8" s="4269"/>
      <c r="AA8" s="4269"/>
      <c r="AB8" s="4269"/>
      <c r="AC8" s="4269"/>
    </row>
    <row r="9" spans="1:29" ht="20.25" customHeight="1">
      <c r="A9" s="4251"/>
      <c r="B9" s="7619"/>
      <c r="C9" s="7621"/>
      <c r="D9" s="4307" t="s">
        <v>976</v>
      </c>
      <c r="E9" s="4308"/>
      <c r="F9" s="4309"/>
      <c r="G9" s="4309"/>
      <c r="H9" s="4310"/>
      <c r="I9" s="4311"/>
      <c r="J9" s="4312"/>
      <c r="K9" s="4311"/>
      <c r="L9" s="4313"/>
      <c r="M9" s="4314"/>
      <c r="N9" s="4315"/>
      <c r="O9" s="4316" t="s">
        <v>1447</v>
      </c>
      <c r="P9" s="4317">
        <v>45658.516130769211</v>
      </c>
      <c r="Q9" s="4318">
        <v>1586.1557249999998</v>
      </c>
      <c r="R9" s="4319">
        <f t="shared" si="0"/>
        <v>44072.360405769214</v>
      </c>
      <c r="S9" s="4320">
        <v>5170.154225798181</v>
      </c>
      <c r="T9" s="4321">
        <v>17</v>
      </c>
      <c r="U9" s="4321">
        <v>1</v>
      </c>
      <c r="V9" s="4321">
        <v>18</v>
      </c>
      <c r="W9" s="4322">
        <v>30</v>
      </c>
      <c r="X9" s="4323">
        <f t="shared" si="2"/>
        <v>1322.1708121730765</v>
      </c>
      <c r="Y9" s="4324"/>
      <c r="Z9" s="4324"/>
      <c r="AA9" s="4324"/>
      <c r="AB9" s="4324"/>
      <c r="AC9" s="4324"/>
    </row>
    <row r="10" spans="1:29" ht="20.25" customHeight="1">
      <c r="A10" s="4251"/>
      <c r="B10" s="7611"/>
      <c r="C10" s="7613"/>
      <c r="D10" s="4325" t="s">
        <v>977</v>
      </c>
      <c r="E10" s="4290"/>
      <c r="F10" s="4291"/>
      <c r="G10" s="4291"/>
      <c r="H10" s="4292"/>
      <c r="I10" s="4293"/>
      <c r="J10" s="4294"/>
      <c r="K10" s="4293"/>
      <c r="L10" s="4295"/>
      <c r="M10" s="4296"/>
      <c r="N10" s="4297"/>
      <c r="O10" s="4279" t="s">
        <v>1447</v>
      </c>
      <c r="P10" s="4298">
        <v>21085.074011569232</v>
      </c>
      <c r="Q10" s="4299">
        <v>576.92307692307691</v>
      </c>
      <c r="R10" s="4300">
        <f t="shared" si="0"/>
        <v>20508.150934646153</v>
      </c>
      <c r="S10" s="4301">
        <v>2403.1159436797275</v>
      </c>
      <c r="T10" s="4302">
        <v>17</v>
      </c>
      <c r="U10" s="4302">
        <v>1</v>
      </c>
      <c r="V10" s="4302">
        <v>18</v>
      </c>
      <c r="W10" s="4303">
        <v>30</v>
      </c>
      <c r="X10" s="4304">
        <f t="shared" si="2"/>
        <v>615.24452803938459</v>
      </c>
      <c r="Y10" s="4305"/>
      <c r="Z10" s="4305"/>
      <c r="AA10" s="4305"/>
      <c r="AB10" s="4305"/>
      <c r="AC10" s="4305"/>
    </row>
    <row r="11" spans="1:29" ht="20.25" customHeight="1">
      <c r="A11" s="4251"/>
      <c r="B11" s="4326">
        <v>4</v>
      </c>
      <c r="C11" s="4327" t="s">
        <v>1387</v>
      </c>
      <c r="D11" s="4328" t="s">
        <v>806</v>
      </c>
      <c r="E11" s="4329">
        <v>4354311864</v>
      </c>
      <c r="F11" s="4330" t="s">
        <v>807</v>
      </c>
      <c r="G11" s="4330" t="s">
        <v>1472</v>
      </c>
      <c r="H11" s="4331">
        <v>60</v>
      </c>
      <c r="I11" s="4332">
        <v>8.8400000000000006E-2</v>
      </c>
      <c r="J11" s="4333">
        <v>0.04</v>
      </c>
      <c r="K11" s="4332">
        <v>4.8399999999999999E-2</v>
      </c>
      <c r="L11" s="4334">
        <v>3193162034</v>
      </c>
      <c r="M11" s="4335">
        <v>72571864</v>
      </c>
      <c r="N11" s="4260">
        <f>+M11/26000</f>
        <v>2791.2255384615382</v>
      </c>
      <c r="O11" s="4336" t="s">
        <v>1448</v>
      </c>
      <c r="P11" s="4337">
        <v>122813.92438461538</v>
      </c>
      <c r="Q11" s="4338">
        <f>2902.874576*9</f>
        <v>26125.871184000003</v>
      </c>
      <c r="R11" s="4339">
        <f t="shared" ref="R11:R15" si="3">+P11-Q11</f>
        <v>96688.053200615381</v>
      </c>
      <c r="S11" s="4340">
        <v>13379.041996586539</v>
      </c>
      <c r="T11" s="4341">
        <v>15</v>
      </c>
      <c r="U11" s="4341">
        <v>9</v>
      </c>
      <c r="V11" s="4341">
        <f t="shared" si="1"/>
        <v>24</v>
      </c>
      <c r="W11" s="4342">
        <f>+H11-V11</f>
        <v>36</v>
      </c>
      <c r="X11" s="4343"/>
      <c r="Y11" s="4344"/>
      <c r="Z11" s="4344">
        <f>R11*3%</f>
        <v>2900.6415960184613</v>
      </c>
      <c r="AA11" s="4344"/>
      <c r="AB11" s="4344"/>
      <c r="AC11" s="4344"/>
    </row>
    <row r="12" spans="1:29" ht="20.25" customHeight="1">
      <c r="A12" s="4251"/>
      <c r="B12" s="4345">
        <v>5</v>
      </c>
      <c r="C12" s="4346" t="s">
        <v>1388</v>
      </c>
      <c r="D12" s="4347" t="s">
        <v>978</v>
      </c>
      <c r="E12" s="4308">
        <v>6184328000</v>
      </c>
      <c r="F12" s="4309" t="s">
        <v>979</v>
      </c>
      <c r="G12" s="4309" t="s">
        <v>1473</v>
      </c>
      <c r="H12" s="4310">
        <v>60</v>
      </c>
      <c r="I12" s="4311">
        <v>9.1600000000000001E-2</v>
      </c>
      <c r="J12" s="4312">
        <v>0.04</v>
      </c>
      <c r="K12" s="4311">
        <v>5.16E-2</v>
      </c>
      <c r="L12" s="4313">
        <v>4535173865</v>
      </c>
      <c r="M12" s="4314">
        <v>103072133</v>
      </c>
      <c r="N12" s="4315">
        <f>+M12/26000</f>
        <v>3964.3128076923076</v>
      </c>
      <c r="O12" s="4316" t="s">
        <v>1448</v>
      </c>
      <c r="P12" s="4317">
        <v>174429.76403846155</v>
      </c>
      <c r="Q12" s="4318">
        <f>4122.88533333333*9</f>
        <v>37105.967999999972</v>
      </c>
      <c r="R12" s="4319">
        <f t="shared" si="3"/>
        <v>137323.79603846159</v>
      </c>
      <c r="S12" s="4320">
        <v>19001.942498616987</v>
      </c>
      <c r="T12" s="4321">
        <v>15</v>
      </c>
      <c r="U12" s="4321">
        <v>9</v>
      </c>
      <c r="V12" s="4321">
        <f t="shared" si="1"/>
        <v>24</v>
      </c>
      <c r="W12" s="4322">
        <f>+H12-V12</f>
        <v>36</v>
      </c>
      <c r="X12" s="4323"/>
      <c r="Y12" s="4324"/>
      <c r="Z12" s="4324">
        <f>R12*3%</f>
        <v>4119.7138811538471</v>
      </c>
      <c r="AA12" s="4324"/>
      <c r="AB12" s="4324"/>
      <c r="AC12" s="4324"/>
    </row>
    <row r="13" spans="1:29" ht="20.25" customHeight="1">
      <c r="A13" s="4251"/>
      <c r="B13" s="4345">
        <v>6</v>
      </c>
      <c r="C13" s="4346" t="s">
        <v>1389</v>
      </c>
      <c r="D13" s="4347" t="s">
        <v>1132</v>
      </c>
      <c r="E13" s="4308">
        <v>2930374106</v>
      </c>
      <c r="F13" s="4309" t="s">
        <v>1133</v>
      </c>
      <c r="G13" s="4309" t="s">
        <v>1474</v>
      </c>
      <c r="H13" s="4310">
        <v>60</v>
      </c>
      <c r="I13" s="4311">
        <v>8.9099999999999999E-2</v>
      </c>
      <c r="J13" s="4312">
        <v>3.7499999999999999E-2</v>
      </c>
      <c r="K13" s="4311">
        <v>5.16E-2</v>
      </c>
      <c r="L13" s="4313">
        <v>2246620152</v>
      </c>
      <c r="M13" s="4314">
        <v>48839568</v>
      </c>
      <c r="N13" s="4315">
        <f>+M13/26000</f>
        <v>1878.444923076923</v>
      </c>
      <c r="O13" s="4316" t="s">
        <v>1451</v>
      </c>
      <c r="P13" s="4317">
        <v>86408.467384615389</v>
      </c>
      <c r="Q13" s="4318">
        <f>2298.332632*11</f>
        <v>25281.658952000002</v>
      </c>
      <c r="R13" s="4319">
        <f t="shared" si="3"/>
        <v>61126.808432615391</v>
      </c>
      <c r="S13" s="4320">
        <v>9003.8563733461542</v>
      </c>
      <c r="T13" s="4321">
        <v>13</v>
      </c>
      <c r="U13" s="4321">
        <v>11</v>
      </c>
      <c r="V13" s="4321">
        <f t="shared" si="1"/>
        <v>24</v>
      </c>
      <c r="W13" s="4322">
        <f>+H13-V13</f>
        <v>36</v>
      </c>
      <c r="X13" s="4323"/>
      <c r="Y13" s="4324"/>
      <c r="Z13" s="4324"/>
      <c r="AA13" s="4324">
        <f>+R13*3%</f>
        <v>1833.8042529784616</v>
      </c>
      <c r="AB13" s="4324"/>
      <c r="AC13" s="4324"/>
    </row>
    <row r="14" spans="1:29" ht="20.25" customHeight="1">
      <c r="A14" s="4251"/>
      <c r="B14" s="4345">
        <v>7</v>
      </c>
      <c r="C14" s="4346" t="s">
        <v>1390</v>
      </c>
      <c r="D14" s="4347" t="s">
        <v>1168</v>
      </c>
      <c r="E14" s="4308">
        <v>10742167483.299999</v>
      </c>
      <c r="F14" s="4309" t="s">
        <v>1167</v>
      </c>
      <c r="G14" s="4309" t="s">
        <v>1475</v>
      </c>
      <c r="H14" s="4310">
        <v>60</v>
      </c>
      <c r="I14" s="4311">
        <v>8.6099999999999996E-2</v>
      </c>
      <c r="J14" s="4312">
        <v>3.4500000000000003E-2</v>
      </c>
      <c r="K14" s="4311">
        <v>5.16E-2</v>
      </c>
      <c r="L14" s="4313">
        <v>8593733988.2999992</v>
      </c>
      <c r="M14" s="4314">
        <v>179036125</v>
      </c>
      <c r="N14" s="4315">
        <f>+M14/26000</f>
        <v>6886.0048076923076</v>
      </c>
      <c r="O14" s="4316" t="s">
        <v>1449</v>
      </c>
      <c r="P14" s="4317">
        <v>330528.23031923076</v>
      </c>
      <c r="Q14" s="4318">
        <f>5508.80383865385*12</f>
        <v>66105.646063846201</v>
      </c>
      <c r="R14" s="4319">
        <f t="shared" si="3"/>
        <v>264422.58425538457</v>
      </c>
      <c r="S14" s="4320">
        <v>31018.008543637501</v>
      </c>
      <c r="T14" s="4321">
        <v>11</v>
      </c>
      <c r="U14" s="4321">
        <v>12</v>
      </c>
      <c r="V14" s="4348">
        <f t="shared" si="1"/>
        <v>23</v>
      </c>
      <c r="W14" s="4322">
        <f>+H14-V14</f>
        <v>37</v>
      </c>
      <c r="X14" s="4323"/>
      <c r="Y14" s="4324"/>
      <c r="Z14" s="4324"/>
      <c r="AA14" s="4324"/>
      <c r="AB14" s="4324">
        <f>+R14*3%</f>
        <v>7932.6775276615372</v>
      </c>
      <c r="AC14" s="4324"/>
    </row>
    <row r="15" spans="1:29" ht="20.25" customHeight="1">
      <c r="A15" s="4251"/>
      <c r="B15" s="4349">
        <v>8</v>
      </c>
      <c r="C15" s="4350" t="s">
        <v>1391</v>
      </c>
      <c r="D15" s="4351" t="s">
        <v>1179</v>
      </c>
      <c r="E15" s="4290">
        <v>8074069755.4799995</v>
      </c>
      <c r="F15" s="4291" t="s">
        <v>1476</v>
      </c>
      <c r="G15" s="4291" t="s">
        <v>1477</v>
      </c>
      <c r="H15" s="4292">
        <v>60</v>
      </c>
      <c r="I15" s="4293">
        <v>8.6099999999999996E-2</v>
      </c>
      <c r="J15" s="4312">
        <v>3.4500000000000003E-2</v>
      </c>
      <c r="K15" s="4311">
        <v>5.16E-2</v>
      </c>
      <c r="L15" s="4295">
        <v>6593823635.4799995</v>
      </c>
      <c r="M15" s="4296">
        <v>134567829</v>
      </c>
      <c r="N15" s="4297">
        <f>+M15/26000</f>
        <v>5175.6857307692308</v>
      </c>
      <c r="O15" s="4279" t="s">
        <v>1450</v>
      </c>
      <c r="P15" s="4298">
        <v>253608.60136461537</v>
      </c>
      <c r="Q15" s="4299">
        <f>5382.71317*13</f>
        <v>69975.271210000006</v>
      </c>
      <c r="R15" s="4300">
        <f t="shared" si="3"/>
        <v>183633.33015461537</v>
      </c>
      <c r="S15" s="4301">
        <v>23313.876513620002</v>
      </c>
      <c r="T15" s="4302">
        <v>10</v>
      </c>
      <c r="U15" s="4302">
        <v>13</v>
      </c>
      <c r="V15" s="4352">
        <f t="shared" si="1"/>
        <v>23</v>
      </c>
      <c r="W15" s="4303">
        <f>+H15-V15</f>
        <v>37</v>
      </c>
      <c r="X15" s="4304"/>
      <c r="Y15" s="4305"/>
      <c r="Z15" s="4305"/>
      <c r="AA15" s="4305"/>
      <c r="AB15" s="4305"/>
      <c r="AC15" s="4305">
        <f>+R15*3%</f>
        <v>5508.999904638461</v>
      </c>
    </row>
    <row r="16" spans="1:29" ht="20.399999999999999" thickBot="1">
      <c r="A16" s="4353"/>
      <c r="B16" s="4354"/>
      <c r="C16" s="4355"/>
      <c r="D16" s="4356"/>
      <c r="E16" s="4357">
        <f>SUM(E4:E15)</f>
        <v>74365377273.020004</v>
      </c>
      <c r="F16" s="4358"/>
      <c r="G16" s="4358"/>
      <c r="H16" s="4359"/>
      <c r="I16" s="4360"/>
      <c r="J16" s="4361"/>
      <c r="K16" s="4360"/>
      <c r="L16" s="4357">
        <f>SUM(L4:L15)</f>
        <v>52329296494.020004</v>
      </c>
      <c r="M16" s="4362">
        <f>SUM(M4:M15)</f>
        <v>1346590053</v>
      </c>
      <c r="N16" s="4363">
        <f>SUM(N4:N15)</f>
        <v>51791.92511538462</v>
      </c>
      <c r="O16" s="4364"/>
      <c r="P16" s="4365">
        <f>SUM(P4:P15)</f>
        <v>2012665.2497699994</v>
      </c>
      <c r="Q16" s="4365">
        <f t="shared" ref="Q16:S16" si="4">SUM(Q4:Q15)</f>
        <v>342388.75347422191</v>
      </c>
      <c r="R16" s="4366">
        <f t="shared" si="4"/>
        <v>1670276.4962957776</v>
      </c>
      <c r="S16" s="4367">
        <f t="shared" si="4"/>
        <v>213735.75165423754</v>
      </c>
      <c r="T16" s="4368"/>
      <c r="U16" s="4368"/>
      <c r="V16" s="4368"/>
      <c r="W16" s="4369"/>
      <c r="X16" s="4370">
        <f t="shared" ref="X16:AC16" si="5">SUM(X4:X15)</f>
        <v>15921.460471266324</v>
      </c>
      <c r="Y16" s="4370">
        <f t="shared" si="5"/>
        <v>11890.997255156237</v>
      </c>
      <c r="Z16" s="4370">
        <f t="shared" si="5"/>
        <v>7020.3554771723084</v>
      </c>
      <c r="AA16" s="4370">
        <f t="shared" si="5"/>
        <v>1833.8042529784616</v>
      </c>
      <c r="AB16" s="4370">
        <f t="shared" si="5"/>
        <v>7932.6775276615372</v>
      </c>
      <c r="AC16" s="4370">
        <f t="shared" si="5"/>
        <v>5508.999904638461</v>
      </c>
    </row>
    <row r="17" spans="1:29" ht="19.8">
      <c r="E17" s="4373">
        <f>+E16/26000</f>
        <v>2860206.8181930771</v>
      </c>
      <c r="F17" s="4374"/>
      <c r="G17" s="4373"/>
      <c r="H17" s="4373"/>
      <c r="I17" s="4373"/>
      <c r="J17" s="4373"/>
      <c r="K17" s="4373"/>
      <c r="L17" s="4373">
        <f>+L16/26000</f>
        <v>2012665.2497700001</v>
      </c>
      <c r="M17" s="4373">
        <f>+M16/26000</f>
        <v>51791.925115384613</v>
      </c>
      <c r="N17" s="4375"/>
      <c r="P17" s="4376"/>
      <c r="Q17" s="4376"/>
      <c r="R17" s="4377"/>
      <c r="S17" s="4377"/>
    </row>
    <row r="18" spans="1:29" s="4227" customFormat="1" ht="21" customHeight="1">
      <c r="A18" s="4223"/>
      <c r="B18" s="4224"/>
      <c r="C18" s="4223"/>
      <c r="D18" s="4380"/>
      <c r="E18" s="4381"/>
      <c r="G18" s="4226"/>
      <c r="H18" s="4228"/>
      <c r="I18" s="4228"/>
      <c r="J18" s="4228"/>
      <c r="K18" s="4228"/>
      <c r="M18" s="4229"/>
      <c r="N18" s="4230"/>
      <c r="P18" s="4231"/>
      <c r="Q18" s="4231"/>
      <c r="R18" s="4232"/>
      <c r="S18" s="4232"/>
      <c r="T18" s="4233"/>
      <c r="U18" s="4233"/>
      <c r="V18" s="4233"/>
      <c r="W18" s="4226"/>
      <c r="X18" s="4229"/>
      <c r="Y18" s="4226"/>
      <c r="Z18" s="4226"/>
      <c r="AA18" s="4226"/>
      <c r="AB18" s="4226"/>
      <c r="AC18" s="4226"/>
    </row>
    <row r="19" spans="1:29">
      <c r="P19" s="4384"/>
    </row>
    <row r="20" spans="1:29">
      <c r="P20" s="4384"/>
    </row>
    <row r="21" spans="1:29">
      <c r="U21" s="4387"/>
    </row>
    <row r="22" spans="1:29">
      <c r="U22" s="4387"/>
    </row>
    <row r="23" spans="1:29">
      <c r="U23" s="4387"/>
    </row>
  </sheetData>
  <mergeCells count="12">
    <mergeCell ref="B8:B10"/>
    <mergeCell ref="B4:B5"/>
    <mergeCell ref="B6:B7"/>
    <mergeCell ref="C8:C10"/>
    <mergeCell ref="C6:C7"/>
    <mergeCell ref="C4:C5"/>
    <mergeCell ref="L2:N2"/>
    <mergeCell ref="B2:B3"/>
    <mergeCell ref="C2:C3"/>
    <mergeCell ref="D2:D3"/>
    <mergeCell ref="E2:I2"/>
    <mergeCell ref="J2:K2"/>
  </mergeCells>
  <phoneticPr fontId="10" type="noConversion"/>
  <pageMargins left="0.7" right="0.7" top="0.75" bottom="0.75" header="0.3" footer="0.3"/>
  <pageSetup paperSize="8" scale="45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C102"/>
  <sheetViews>
    <sheetView topLeftCell="A8" workbookViewId="0">
      <selection activeCell="I10" sqref="I10"/>
    </sheetView>
  </sheetViews>
  <sheetFormatPr defaultColWidth="9.09765625" defaultRowHeight="17.399999999999999"/>
  <cols>
    <col min="1" max="1" width="9" style="5" customWidth="1"/>
    <col min="2" max="2" width="27.3984375" style="5" customWidth="1"/>
    <col min="3" max="3" width="9.59765625" style="5" customWidth="1"/>
    <col min="4" max="4" width="20.3984375" style="5" customWidth="1"/>
    <col min="5" max="5" width="16.8984375" style="5" customWidth="1"/>
    <col min="6" max="8" width="9.59765625" style="2807" customWidth="1"/>
    <col min="9" max="9" width="9.59765625" style="1695" customWidth="1"/>
    <col min="10" max="10" width="9.59765625" style="2487" customWidth="1"/>
    <col min="11" max="11" width="9.59765625" style="2461" customWidth="1"/>
    <col min="12" max="14" width="9.59765625" style="1532" customWidth="1"/>
    <col min="15" max="15" width="9.59765625" style="5" customWidth="1"/>
    <col min="16" max="16" width="18.3984375" style="1511" hidden="1" customWidth="1"/>
    <col min="17" max="17" width="19.09765625" style="1511" hidden="1" customWidth="1"/>
    <col min="18" max="18" width="11" style="1511" hidden="1" customWidth="1"/>
    <col min="19" max="25" width="9" style="1511" hidden="1" customWidth="1"/>
    <col min="26" max="29" width="0" style="1511" hidden="1" customWidth="1"/>
    <col min="30" max="16384" width="9.09765625" style="1511"/>
  </cols>
  <sheetData>
    <row r="1" spans="1:29" hidden="1">
      <c r="A1" s="5" t="s">
        <v>1012</v>
      </c>
    </row>
    <row r="2" spans="1:29" hidden="1">
      <c r="A2" s="5" t="s">
        <v>1045</v>
      </c>
      <c r="B2" s="1511"/>
      <c r="C2" s="1511"/>
    </row>
    <row r="3" spans="1:29" hidden="1">
      <c r="A3" s="4119" t="s">
        <v>208</v>
      </c>
      <c r="B3" s="4119" t="s">
        <v>1030</v>
      </c>
      <c r="C3" s="4119" t="s">
        <v>1031</v>
      </c>
    </row>
    <row r="4" spans="1:29" hidden="1">
      <c r="A4" s="3514" t="s">
        <v>1032</v>
      </c>
      <c r="B4" s="4602">
        <v>-3110525.9136316306</v>
      </c>
      <c r="C4" s="4603" t="e">
        <v>#REF!</v>
      </c>
    </row>
    <row r="5" spans="1:29" hidden="1">
      <c r="A5" s="3514" t="s">
        <v>1033</v>
      </c>
      <c r="B5" s="4602">
        <v>1055696.6006127601</v>
      </c>
      <c r="C5" s="4603">
        <v>5828713.9710603207</v>
      </c>
    </row>
    <row r="6" spans="1:29" hidden="1">
      <c r="A6" s="2808" t="s">
        <v>1034</v>
      </c>
      <c r="B6" s="1511"/>
      <c r="C6" s="1511"/>
    </row>
    <row r="7" spans="1:29" hidden="1">
      <c r="A7" s="1532"/>
      <c r="B7" s="1532"/>
      <c r="C7" s="1532"/>
      <c r="D7" s="1532"/>
      <c r="E7" s="1532"/>
      <c r="K7" s="1532"/>
      <c r="O7" s="1532"/>
      <c r="Q7" s="1511" t="s">
        <v>1047</v>
      </c>
    </row>
    <row r="8" spans="1:29">
      <c r="A8" s="5" t="s">
        <v>1046</v>
      </c>
      <c r="B8" s="5">
        <v>2</v>
      </c>
      <c r="C8" s="5">
        <v>3</v>
      </c>
      <c r="D8" s="5">
        <v>4</v>
      </c>
      <c r="E8" s="5">
        <v>5</v>
      </c>
      <c r="F8" s="5">
        <v>6</v>
      </c>
      <c r="G8" s="5">
        <v>7</v>
      </c>
      <c r="H8" s="5">
        <v>8</v>
      </c>
      <c r="I8" s="5">
        <v>9</v>
      </c>
      <c r="J8" s="5">
        <v>10</v>
      </c>
      <c r="K8" s="5">
        <v>11</v>
      </c>
      <c r="L8" s="5">
        <v>12</v>
      </c>
      <c r="M8" s="5">
        <v>13</v>
      </c>
      <c r="N8" s="5">
        <v>14</v>
      </c>
      <c r="O8" s="5">
        <v>15</v>
      </c>
      <c r="Q8" s="1511">
        <v>1</v>
      </c>
      <c r="R8" s="1511">
        <v>2</v>
      </c>
      <c r="S8" s="1511">
        <v>3</v>
      </c>
      <c r="T8" s="1511">
        <v>4</v>
      </c>
      <c r="U8" s="1511">
        <v>5</v>
      </c>
      <c r="V8" s="1511">
        <v>6</v>
      </c>
      <c r="W8" s="1511">
        <v>7</v>
      </c>
      <c r="X8" s="1511">
        <v>8</v>
      </c>
      <c r="Y8" s="1511">
        <v>9</v>
      </c>
      <c r="Z8" s="1511">
        <v>10</v>
      </c>
      <c r="AA8" s="1511">
        <v>11</v>
      </c>
      <c r="AB8" s="1511">
        <v>12</v>
      </c>
      <c r="AC8" s="1511">
        <v>13</v>
      </c>
    </row>
    <row r="9" spans="1:29" s="1512" customFormat="1" ht="43.5" customHeight="1">
      <c r="A9" s="4604" t="s">
        <v>1009</v>
      </c>
      <c r="B9" s="4604" t="s">
        <v>100</v>
      </c>
      <c r="C9" s="4604" t="s">
        <v>1035</v>
      </c>
      <c r="D9" s="4604" t="s">
        <v>989</v>
      </c>
      <c r="E9" s="4604" t="s">
        <v>45</v>
      </c>
      <c r="F9" s="4605" t="s">
        <v>88</v>
      </c>
      <c r="G9" s="4605" t="s">
        <v>1013</v>
      </c>
      <c r="H9" s="4605" t="s">
        <v>1014</v>
      </c>
      <c r="I9" s="4606" t="s">
        <v>1027</v>
      </c>
      <c r="J9" s="4607" t="s">
        <v>1028</v>
      </c>
      <c r="K9" s="4608" t="s">
        <v>1029</v>
      </c>
      <c r="L9" s="4609" t="s">
        <v>184</v>
      </c>
      <c r="M9" s="4609" t="s">
        <v>185</v>
      </c>
      <c r="N9" s="4609" t="s">
        <v>186</v>
      </c>
      <c r="O9" s="4604" t="s">
        <v>1015</v>
      </c>
      <c r="Q9" s="4604" t="s">
        <v>100</v>
      </c>
      <c r="R9" s="4604" t="s">
        <v>989</v>
      </c>
      <c r="S9" s="4604" t="s">
        <v>45</v>
      </c>
      <c r="T9" s="4604" t="s">
        <v>88</v>
      </c>
      <c r="U9" s="4604" t="s">
        <v>1013</v>
      </c>
      <c r="V9" s="4604" t="s">
        <v>1014</v>
      </c>
      <c r="W9" s="4604" t="s">
        <v>1027</v>
      </c>
      <c r="X9" s="4610" t="s">
        <v>1028</v>
      </c>
      <c r="Y9" s="4608" t="s">
        <v>1029</v>
      </c>
      <c r="Z9" s="4604" t="s">
        <v>184</v>
      </c>
      <c r="AA9" s="4604" t="s">
        <v>185</v>
      </c>
      <c r="AB9" s="4604" t="s">
        <v>186</v>
      </c>
      <c r="AC9" s="4604" t="s">
        <v>1015</v>
      </c>
    </row>
    <row r="10" spans="1:29">
      <c r="A10" s="3513">
        <v>1</v>
      </c>
      <c r="B10" s="3514" t="s">
        <v>1848</v>
      </c>
      <c r="C10" s="4081">
        <v>1</v>
      </c>
      <c r="D10" s="3514" t="s">
        <v>19</v>
      </c>
      <c r="E10" s="3514" t="s">
        <v>844</v>
      </c>
      <c r="F10" s="3515">
        <v>0.95</v>
      </c>
      <c r="G10" s="3515">
        <v>0.79</v>
      </c>
      <c r="H10" s="3515">
        <f>F10*G10</f>
        <v>0.75049999999999994</v>
      </c>
      <c r="I10" s="3516">
        <f>267/1000</f>
        <v>0.26700000000000002</v>
      </c>
      <c r="J10" s="3517">
        <f>41.5/1000</f>
        <v>4.1500000000000002E-2</v>
      </c>
      <c r="K10" s="3518">
        <v>0.1976842105263158</v>
      </c>
      <c r="L10" s="3519">
        <v>3700</v>
      </c>
      <c r="M10" s="3519">
        <v>350</v>
      </c>
      <c r="N10" s="3519">
        <v>2</v>
      </c>
      <c r="O10" s="3520" t="s">
        <v>1041</v>
      </c>
      <c r="Q10" s="3514" t="s">
        <v>845</v>
      </c>
      <c r="R10" s="3514" t="s">
        <v>844</v>
      </c>
      <c r="S10" s="3514" t="s">
        <v>19</v>
      </c>
      <c r="T10" s="4082">
        <v>0.95</v>
      </c>
      <c r="U10" s="4082">
        <v>0.95</v>
      </c>
      <c r="V10" s="4082">
        <v>0.90249999999999997</v>
      </c>
      <c r="W10" s="4083">
        <v>0.19</v>
      </c>
      <c r="X10" s="4084">
        <v>3.7560000000000003E-2</v>
      </c>
      <c r="Y10" s="4085">
        <v>0.1976842105263158</v>
      </c>
      <c r="Z10" s="4081">
        <v>7000</v>
      </c>
      <c r="AA10" s="4081">
        <v>350</v>
      </c>
      <c r="AB10" s="4081">
        <v>2</v>
      </c>
      <c r="AC10" s="4081" t="s">
        <v>1041</v>
      </c>
    </row>
    <row r="11" spans="1:29">
      <c r="A11" s="3513">
        <v>2</v>
      </c>
      <c r="B11" s="3514" t="s">
        <v>1257</v>
      </c>
      <c r="C11" s="4081">
        <v>2</v>
      </c>
      <c r="D11" s="3514" t="s">
        <v>19</v>
      </c>
      <c r="E11" s="3514" t="s">
        <v>844</v>
      </c>
      <c r="F11" s="3515">
        <v>0.95</v>
      </c>
      <c r="G11" s="3515">
        <v>0.95</v>
      </c>
      <c r="H11" s="3515">
        <f t="shared" ref="H11:H74" si="0">F11*G11</f>
        <v>0.90249999999999997</v>
      </c>
      <c r="I11" s="3516">
        <v>0.19</v>
      </c>
      <c r="J11" s="3517">
        <v>3.7560000000000003E-2</v>
      </c>
      <c r="K11" s="3518">
        <v>0.1976842105263158</v>
      </c>
      <c r="L11" s="3519">
        <v>6000</v>
      </c>
      <c r="M11" s="3519">
        <v>350</v>
      </c>
      <c r="N11" s="3519">
        <v>2</v>
      </c>
      <c r="O11" s="3520" t="s">
        <v>1041</v>
      </c>
      <c r="Q11" s="3514" t="s">
        <v>91</v>
      </c>
      <c r="R11" s="3514" t="s">
        <v>844</v>
      </c>
      <c r="S11" s="3514" t="s">
        <v>19</v>
      </c>
      <c r="T11" s="4082">
        <v>0.95</v>
      </c>
      <c r="U11" s="4082">
        <v>0.99</v>
      </c>
      <c r="V11" s="4082">
        <v>0.9405</v>
      </c>
      <c r="W11" s="4083"/>
      <c r="X11" s="4084"/>
      <c r="Y11" s="4085"/>
      <c r="Z11" s="4081"/>
      <c r="AA11" s="4081"/>
      <c r="AB11" s="4081"/>
      <c r="AC11" s="4081"/>
    </row>
    <row r="12" spans="1:29">
      <c r="A12" s="3513">
        <v>3</v>
      </c>
      <c r="B12" s="3514" t="s">
        <v>1190</v>
      </c>
      <c r="C12" s="4081">
        <v>3</v>
      </c>
      <c r="D12" s="3514" t="s">
        <v>19</v>
      </c>
      <c r="E12" s="3514" t="s">
        <v>844</v>
      </c>
      <c r="F12" s="3515">
        <v>0.95</v>
      </c>
      <c r="G12" s="3515">
        <v>0.95</v>
      </c>
      <c r="H12" s="3515">
        <f t="shared" si="0"/>
        <v>0.90249999999999997</v>
      </c>
      <c r="I12" s="3516">
        <v>0.19</v>
      </c>
      <c r="J12" s="3517">
        <v>3.7560000000000003E-2</v>
      </c>
      <c r="K12" s="3518">
        <v>0.1976842105263158</v>
      </c>
      <c r="L12" s="3519">
        <v>6000</v>
      </c>
      <c r="M12" s="3519">
        <v>350</v>
      </c>
      <c r="N12" s="3519">
        <v>2</v>
      </c>
      <c r="O12" s="3520" t="s">
        <v>1041</v>
      </c>
      <c r="Q12" s="3514" t="s">
        <v>846</v>
      </c>
      <c r="R12" s="3514" t="s">
        <v>844</v>
      </c>
      <c r="S12" s="3514" t="s">
        <v>24</v>
      </c>
      <c r="T12" s="4082">
        <v>1</v>
      </c>
      <c r="U12" s="4082">
        <v>1</v>
      </c>
      <c r="V12" s="4082">
        <v>1</v>
      </c>
      <c r="W12" s="4083"/>
      <c r="X12" s="4084"/>
      <c r="Y12" s="4085"/>
      <c r="Z12" s="4081"/>
      <c r="AA12" s="4081"/>
      <c r="AB12" s="4081"/>
      <c r="AC12" s="4081" t="s">
        <v>1036</v>
      </c>
    </row>
    <row r="13" spans="1:29">
      <c r="A13" s="3513">
        <v>4</v>
      </c>
      <c r="B13" s="3514" t="s">
        <v>1191</v>
      </c>
      <c r="C13" s="4081">
        <v>4</v>
      </c>
      <c r="D13" s="3514" t="s">
        <v>19</v>
      </c>
      <c r="E13" s="3514" t="s">
        <v>844</v>
      </c>
      <c r="F13" s="3515">
        <v>0.95</v>
      </c>
      <c r="G13" s="3515">
        <v>0.95</v>
      </c>
      <c r="H13" s="3515">
        <f t="shared" si="0"/>
        <v>0.90249999999999997</v>
      </c>
      <c r="I13" s="3516">
        <v>0.19</v>
      </c>
      <c r="J13" s="3517">
        <v>3.7560000000000003E-2</v>
      </c>
      <c r="K13" s="3518">
        <v>0.1976842105263158</v>
      </c>
      <c r="L13" s="3519">
        <v>6000</v>
      </c>
      <c r="M13" s="3519">
        <v>350</v>
      </c>
      <c r="N13" s="3519">
        <v>2</v>
      </c>
      <c r="O13" s="3520" t="s">
        <v>1041</v>
      </c>
      <c r="Q13" s="3514" t="s">
        <v>847</v>
      </c>
      <c r="R13" s="3514" t="s">
        <v>844</v>
      </c>
      <c r="S13" s="3514" t="s">
        <v>24</v>
      </c>
      <c r="T13" s="4082">
        <v>1</v>
      </c>
      <c r="U13" s="4082">
        <v>1</v>
      </c>
      <c r="V13" s="4082">
        <v>1</v>
      </c>
      <c r="W13" s="4083"/>
      <c r="X13" s="4084"/>
      <c r="Y13" s="4085"/>
      <c r="Z13" s="4081"/>
      <c r="AA13" s="4081"/>
      <c r="AB13" s="4081"/>
      <c r="AC13" s="4081" t="s">
        <v>1036</v>
      </c>
    </row>
    <row r="14" spans="1:29">
      <c r="A14" s="3513">
        <v>5</v>
      </c>
      <c r="B14" s="3514" t="s">
        <v>1216</v>
      </c>
      <c r="C14" s="4081">
        <v>5</v>
      </c>
      <c r="D14" s="3514" t="s">
        <v>19</v>
      </c>
      <c r="E14" s="3514" t="s">
        <v>844</v>
      </c>
      <c r="F14" s="3515">
        <v>0.95</v>
      </c>
      <c r="G14" s="3515">
        <v>0.95</v>
      </c>
      <c r="H14" s="3515">
        <f t="shared" si="0"/>
        <v>0.90249999999999997</v>
      </c>
      <c r="I14" s="3516">
        <v>0.19</v>
      </c>
      <c r="J14" s="3517">
        <v>3.7560000000000003E-2</v>
      </c>
      <c r="K14" s="3518">
        <v>0.1976842105263158</v>
      </c>
      <c r="L14" s="3519">
        <v>6000</v>
      </c>
      <c r="M14" s="3519">
        <v>350</v>
      </c>
      <c r="N14" s="3519">
        <v>2</v>
      </c>
      <c r="O14" s="3520" t="s">
        <v>1041</v>
      </c>
      <c r="Q14" s="3520" t="s">
        <v>1048</v>
      </c>
      <c r="R14" s="3520" t="s">
        <v>844</v>
      </c>
      <c r="S14" s="3520" t="s">
        <v>24</v>
      </c>
      <c r="T14" s="3515">
        <v>1</v>
      </c>
      <c r="U14" s="3515">
        <v>1</v>
      </c>
      <c r="V14" s="3515">
        <v>1</v>
      </c>
      <c r="W14" s="4611"/>
      <c r="X14" s="4612"/>
      <c r="Y14" s="3518"/>
      <c r="Z14" s="4613"/>
      <c r="AA14" s="4613"/>
      <c r="AB14" s="4613"/>
      <c r="AC14" s="4613" t="s">
        <v>1042</v>
      </c>
    </row>
    <row r="15" spans="1:29">
      <c r="A15" s="3513">
        <v>6</v>
      </c>
      <c r="B15" s="3514" t="s">
        <v>1217</v>
      </c>
      <c r="C15" s="4081">
        <v>6</v>
      </c>
      <c r="D15" s="3514" t="s">
        <v>19</v>
      </c>
      <c r="E15" s="3514" t="s">
        <v>844</v>
      </c>
      <c r="F15" s="3515">
        <v>0.95</v>
      </c>
      <c r="G15" s="3515">
        <v>0.95</v>
      </c>
      <c r="H15" s="3515">
        <f t="shared" si="0"/>
        <v>0.90249999999999997</v>
      </c>
      <c r="I15" s="3516">
        <v>0.19</v>
      </c>
      <c r="J15" s="3517">
        <v>3.7560000000000003E-2</v>
      </c>
      <c r="K15" s="3518">
        <v>0.1976842105263158</v>
      </c>
      <c r="L15" s="3519">
        <v>6000</v>
      </c>
      <c r="M15" s="3519">
        <v>350</v>
      </c>
      <c r="N15" s="3519">
        <v>2</v>
      </c>
      <c r="O15" s="3520" t="s">
        <v>1041</v>
      </c>
      <c r="Q15" s="3520" t="s">
        <v>1049</v>
      </c>
      <c r="R15" s="3520" t="s">
        <v>844</v>
      </c>
      <c r="S15" s="3520" t="s">
        <v>24</v>
      </c>
      <c r="T15" s="3515">
        <v>1</v>
      </c>
      <c r="U15" s="3515">
        <v>1</v>
      </c>
      <c r="V15" s="3515">
        <v>1</v>
      </c>
      <c r="W15" s="4611"/>
      <c r="X15" s="4612"/>
      <c r="Y15" s="3518"/>
      <c r="Z15" s="4613"/>
      <c r="AA15" s="4613"/>
      <c r="AB15" s="4613"/>
      <c r="AC15" s="4613" t="s">
        <v>1042</v>
      </c>
    </row>
    <row r="16" spans="1:29">
      <c r="A16" s="3513">
        <v>7</v>
      </c>
      <c r="B16" s="3514" t="s">
        <v>1218</v>
      </c>
      <c r="C16" s="4081">
        <v>7</v>
      </c>
      <c r="D16" s="3514" t="s">
        <v>19</v>
      </c>
      <c r="E16" s="3514" t="s">
        <v>844</v>
      </c>
      <c r="F16" s="3515">
        <v>0.95</v>
      </c>
      <c r="G16" s="3515">
        <v>0.95</v>
      </c>
      <c r="H16" s="3515">
        <f t="shared" si="0"/>
        <v>0.90249999999999997</v>
      </c>
      <c r="I16" s="3516">
        <v>0.19</v>
      </c>
      <c r="J16" s="3517">
        <v>3.7560000000000003E-2</v>
      </c>
      <c r="K16" s="3518">
        <v>0.1976842105263158</v>
      </c>
      <c r="L16" s="3519">
        <v>6000</v>
      </c>
      <c r="M16" s="3519">
        <v>350</v>
      </c>
      <c r="N16" s="3519">
        <v>2</v>
      </c>
      <c r="O16" s="3520" t="s">
        <v>1041</v>
      </c>
      <c r="Q16" s="3514" t="s">
        <v>392</v>
      </c>
      <c r="R16" s="3514" t="s">
        <v>844</v>
      </c>
      <c r="S16" s="3514" t="s">
        <v>24</v>
      </c>
      <c r="T16" s="4082">
        <v>0.95</v>
      </c>
      <c r="U16" s="4082">
        <v>0.85</v>
      </c>
      <c r="V16" s="4082">
        <v>0.8075</v>
      </c>
      <c r="W16" s="4083"/>
      <c r="X16" s="4084"/>
      <c r="Y16" s="4085"/>
      <c r="Z16" s="4081"/>
      <c r="AA16" s="4081"/>
      <c r="AB16" s="4081"/>
      <c r="AC16" s="4081"/>
    </row>
    <row r="17" spans="1:29">
      <c r="A17" s="3513">
        <v>8</v>
      </c>
      <c r="B17" s="3514" t="s">
        <v>91</v>
      </c>
      <c r="C17" s="4081">
        <v>8</v>
      </c>
      <c r="D17" s="3514" t="s">
        <v>19</v>
      </c>
      <c r="E17" s="3514" t="s">
        <v>844</v>
      </c>
      <c r="F17" s="3515">
        <v>0.95</v>
      </c>
      <c r="G17" s="3515">
        <v>0.95</v>
      </c>
      <c r="H17" s="3515">
        <f t="shared" si="0"/>
        <v>0.90249999999999997</v>
      </c>
      <c r="I17" s="3516"/>
      <c r="J17" s="3517"/>
      <c r="K17" s="3518" t="s">
        <v>1173</v>
      </c>
      <c r="L17" s="3519"/>
      <c r="M17" s="3519"/>
      <c r="N17" s="3519"/>
      <c r="O17" s="3520"/>
      <c r="Q17" s="3514" t="s">
        <v>849</v>
      </c>
      <c r="R17" s="3514" t="s">
        <v>848</v>
      </c>
      <c r="S17" s="3514" t="s">
        <v>20</v>
      </c>
      <c r="T17" s="4082">
        <v>0.95</v>
      </c>
      <c r="U17" s="4082">
        <v>0.85</v>
      </c>
      <c r="V17" s="4082">
        <v>0.8075</v>
      </c>
      <c r="W17" s="4083">
        <v>0.72733999999999999</v>
      </c>
      <c r="X17" s="4612">
        <v>0.33524999999999999</v>
      </c>
      <c r="Y17" s="4085">
        <v>0.47080460413141073</v>
      </c>
      <c r="Z17" s="4081">
        <v>3700</v>
      </c>
      <c r="AA17" s="4081">
        <v>350</v>
      </c>
      <c r="AB17" s="4081">
        <v>2</v>
      </c>
      <c r="AC17" s="4081" t="s">
        <v>1036</v>
      </c>
    </row>
    <row r="18" spans="1:29">
      <c r="A18" s="3513">
        <v>9</v>
      </c>
      <c r="B18" s="3514" t="s">
        <v>846</v>
      </c>
      <c r="C18" s="4081">
        <v>9</v>
      </c>
      <c r="D18" s="3514" t="s">
        <v>24</v>
      </c>
      <c r="E18" s="3514" t="s">
        <v>844</v>
      </c>
      <c r="F18" s="3515">
        <v>1</v>
      </c>
      <c r="G18" s="3515">
        <v>1</v>
      </c>
      <c r="H18" s="3515">
        <f t="shared" si="0"/>
        <v>1</v>
      </c>
      <c r="I18" s="3516">
        <v>0.2</v>
      </c>
      <c r="J18" s="3517">
        <v>0.1</v>
      </c>
      <c r="K18" s="3518">
        <v>0.5</v>
      </c>
      <c r="L18" s="3519">
        <v>3500</v>
      </c>
      <c r="M18" s="3519">
        <v>350</v>
      </c>
      <c r="N18" s="3519">
        <v>1</v>
      </c>
      <c r="O18" s="3520" t="s">
        <v>1036</v>
      </c>
      <c r="Q18" s="3514" t="s">
        <v>850</v>
      </c>
      <c r="R18" s="3514" t="s">
        <v>848</v>
      </c>
      <c r="S18" s="3514" t="s">
        <v>20</v>
      </c>
      <c r="T18" s="4082">
        <v>0.95</v>
      </c>
      <c r="U18" s="4082">
        <v>0.85</v>
      </c>
      <c r="V18" s="4082">
        <v>0.8075</v>
      </c>
      <c r="W18" s="4083">
        <v>0.74354999999999993</v>
      </c>
      <c r="X18" s="4084">
        <v>0.36447000000000002</v>
      </c>
      <c r="Y18" s="4085">
        <v>0.49017550938067384</v>
      </c>
      <c r="Z18" s="4081">
        <v>3700</v>
      </c>
      <c r="AA18" s="4081">
        <v>350</v>
      </c>
      <c r="AB18" s="4081">
        <v>2</v>
      </c>
      <c r="AC18" s="4081" t="s">
        <v>1036</v>
      </c>
    </row>
    <row r="19" spans="1:29">
      <c r="A19" s="3513">
        <v>10</v>
      </c>
      <c r="B19" s="3514" t="s">
        <v>847</v>
      </c>
      <c r="C19" s="4081">
        <v>10</v>
      </c>
      <c r="D19" s="3514" t="s">
        <v>24</v>
      </c>
      <c r="E19" s="3514" t="s">
        <v>844</v>
      </c>
      <c r="F19" s="3515">
        <v>1</v>
      </c>
      <c r="G19" s="3515">
        <v>1</v>
      </c>
      <c r="H19" s="3515">
        <f t="shared" si="0"/>
        <v>1</v>
      </c>
      <c r="I19" s="3516">
        <v>1.7107999999999999</v>
      </c>
      <c r="J19" s="3517">
        <v>0.51861000000000002</v>
      </c>
      <c r="K19" s="3518">
        <v>0.30313888239420156</v>
      </c>
      <c r="L19" s="3519">
        <v>585</v>
      </c>
      <c r="M19" s="3519">
        <v>350</v>
      </c>
      <c r="N19" s="3519">
        <v>1</v>
      </c>
      <c r="O19" s="3520" t="s">
        <v>1036</v>
      </c>
      <c r="Q19" s="3514" t="s">
        <v>851</v>
      </c>
      <c r="R19" s="3514" t="s">
        <v>848</v>
      </c>
      <c r="S19" s="3514" t="s">
        <v>20</v>
      </c>
      <c r="T19" s="4082">
        <v>0.95</v>
      </c>
      <c r="U19" s="4082">
        <v>0.85</v>
      </c>
      <c r="V19" s="4082">
        <v>0.8075</v>
      </c>
      <c r="W19" s="4083">
        <v>0.71501000000000003</v>
      </c>
      <c r="X19" s="4084">
        <v>0.33662999999999998</v>
      </c>
      <c r="Y19" s="4085">
        <v>0.47080460413141073</v>
      </c>
      <c r="Z19" s="4081">
        <v>3700</v>
      </c>
      <c r="AA19" s="4081">
        <v>350</v>
      </c>
      <c r="AB19" s="4081">
        <v>2</v>
      </c>
      <c r="AC19" s="4081" t="s">
        <v>1036</v>
      </c>
    </row>
    <row r="20" spans="1:29">
      <c r="A20" s="3513" t="s">
        <v>1173</v>
      </c>
      <c r="B20" s="3514" t="s">
        <v>1171</v>
      </c>
      <c r="C20" s="4081" t="s">
        <v>1173</v>
      </c>
      <c r="D20" s="3514" t="s">
        <v>24</v>
      </c>
      <c r="E20" s="3514" t="s">
        <v>844</v>
      </c>
      <c r="F20" s="3515">
        <v>1</v>
      </c>
      <c r="G20" s="3515">
        <v>1</v>
      </c>
      <c r="H20" s="3515">
        <f t="shared" si="0"/>
        <v>1</v>
      </c>
      <c r="I20" s="3516">
        <v>2.7107999999999999</v>
      </c>
      <c r="J20" s="3517">
        <v>1.51861</v>
      </c>
      <c r="K20" s="3518">
        <v>0.56020731887265751</v>
      </c>
      <c r="L20" s="3519">
        <v>585</v>
      </c>
      <c r="M20" s="3519">
        <v>350</v>
      </c>
      <c r="N20" s="3519">
        <v>1</v>
      </c>
      <c r="O20" s="3520" t="s">
        <v>1036</v>
      </c>
      <c r="Q20" s="3514" t="s">
        <v>852</v>
      </c>
      <c r="R20" s="3514" t="s">
        <v>848</v>
      </c>
      <c r="S20" s="3514" t="s">
        <v>20</v>
      </c>
      <c r="T20" s="4082">
        <v>0.95</v>
      </c>
      <c r="U20" s="4082">
        <v>0.85</v>
      </c>
      <c r="V20" s="4082">
        <v>0.8075</v>
      </c>
      <c r="W20" s="4083">
        <v>0.74354999999999993</v>
      </c>
      <c r="X20" s="4084">
        <v>0.36447000000000002</v>
      </c>
      <c r="Y20" s="4085">
        <v>0.49017550938067384</v>
      </c>
      <c r="Z20" s="4081">
        <v>3700</v>
      </c>
      <c r="AA20" s="4081">
        <v>350</v>
      </c>
      <c r="AB20" s="4081">
        <v>2</v>
      </c>
      <c r="AC20" s="4081" t="s">
        <v>1036</v>
      </c>
    </row>
    <row r="21" spans="1:29">
      <c r="A21" s="3513">
        <v>11</v>
      </c>
      <c r="B21" s="3514" t="s">
        <v>1048</v>
      </c>
      <c r="C21" s="4081">
        <v>11</v>
      </c>
      <c r="D21" s="3514" t="s">
        <v>24</v>
      </c>
      <c r="E21" s="3514" t="s">
        <v>844</v>
      </c>
      <c r="F21" s="3515">
        <v>1</v>
      </c>
      <c r="G21" s="3515">
        <v>1</v>
      </c>
      <c r="H21" s="3515">
        <f t="shared" si="0"/>
        <v>1</v>
      </c>
      <c r="I21" s="3516">
        <v>2.7107999999999999</v>
      </c>
      <c r="J21" s="3517">
        <v>0.51861000000000002</v>
      </c>
      <c r="K21" s="3518">
        <v>0.19131252766710935</v>
      </c>
      <c r="L21" s="3519">
        <v>585</v>
      </c>
      <c r="M21" s="3519">
        <v>350</v>
      </c>
      <c r="N21" s="3519">
        <v>1</v>
      </c>
      <c r="O21" s="3520" t="s">
        <v>1510</v>
      </c>
      <c r="Q21" s="3514" t="s">
        <v>853</v>
      </c>
      <c r="R21" s="3514" t="s">
        <v>848</v>
      </c>
      <c r="S21" s="3514" t="s">
        <v>20</v>
      </c>
      <c r="T21" s="4082">
        <v>0.95</v>
      </c>
      <c r="U21" s="4082">
        <v>0.7</v>
      </c>
      <c r="V21" s="4082">
        <v>0.66499999999999992</v>
      </c>
      <c r="W21" s="4083">
        <v>1.6369100000000001</v>
      </c>
      <c r="X21" s="4084">
        <v>0.48318</v>
      </c>
      <c r="Y21" s="4085">
        <v>0.29517810997550259</v>
      </c>
      <c r="Z21" s="4081">
        <v>1700</v>
      </c>
      <c r="AA21" s="4081">
        <v>350</v>
      </c>
      <c r="AB21" s="4081">
        <v>1</v>
      </c>
      <c r="AC21" s="4081" t="s">
        <v>1036</v>
      </c>
    </row>
    <row r="22" spans="1:29">
      <c r="A22" s="3513">
        <v>12</v>
      </c>
      <c r="B22" s="3514" t="s">
        <v>1049</v>
      </c>
      <c r="C22" s="4081">
        <v>12</v>
      </c>
      <c r="D22" s="3514" t="s">
        <v>24</v>
      </c>
      <c r="E22" s="3514" t="s">
        <v>844</v>
      </c>
      <c r="F22" s="3515">
        <v>1</v>
      </c>
      <c r="G22" s="3515">
        <v>1</v>
      </c>
      <c r="H22" s="3515">
        <f t="shared" si="0"/>
        <v>1</v>
      </c>
      <c r="I22" s="3516">
        <v>3.7107999999999999</v>
      </c>
      <c r="J22" s="3517">
        <v>0.51861000000000002</v>
      </c>
      <c r="K22" s="3518">
        <v>0.13975692573030074</v>
      </c>
      <c r="L22" s="3519">
        <v>585</v>
      </c>
      <c r="M22" s="3519">
        <v>350</v>
      </c>
      <c r="N22" s="3519">
        <v>1</v>
      </c>
      <c r="O22" s="3520" t="s">
        <v>1510</v>
      </c>
      <c r="Q22" s="3514" t="s">
        <v>854</v>
      </c>
      <c r="R22" s="3514" t="s">
        <v>848</v>
      </c>
      <c r="S22" s="3514" t="s">
        <v>20</v>
      </c>
      <c r="T22" s="4082">
        <v>0.95</v>
      </c>
      <c r="U22" s="4082">
        <v>0.8</v>
      </c>
      <c r="V22" s="4082">
        <v>0.76</v>
      </c>
      <c r="W22" s="4083">
        <v>1.0215099999999999</v>
      </c>
      <c r="X22" s="4084">
        <v>0.40526000000000001</v>
      </c>
      <c r="Y22" s="4085">
        <v>0.41263940520446096</v>
      </c>
      <c r="Z22" s="4081">
        <v>1800</v>
      </c>
      <c r="AA22" s="4081">
        <v>350</v>
      </c>
      <c r="AB22" s="4081">
        <v>1</v>
      </c>
      <c r="AC22" s="4081" t="s">
        <v>1036</v>
      </c>
    </row>
    <row r="23" spans="1:29">
      <c r="A23" s="3513">
        <v>13</v>
      </c>
      <c r="B23" s="3514" t="s">
        <v>392</v>
      </c>
      <c r="C23" s="4081">
        <v>13</v>
      </c>
      <c r="D23" s="3514" t="s">
        <v>24</v>
      </c>
      <c r="E23" s="3514" t="s">
        <v>844</v>
      </c>
      <c r="F23" s="3515">
        <v>1</v>
      </c>
      <c r="G23" s="3515">
        <v>1</v>
      </c>
      <c r="H23" s="3515">
        <f t="shared" si="0"/>
        <v>1</v>
      </c>
      <c r="I23" s="3516">
        <v>3.7107999999999999</v>
      </c>
      <c r="J23" s="3517">
        <v>0.51861000000000002</v>
      </c>
      <c r="K23" s="3518">
        <v>0.13975692573030074</v>
      </c>
      <c r="L23" s="3519">
        <v>585</v>
      </c>
      <c r="M23" s="3519">
        <v>350</v>
      </c>
      <c r="N23" s="3519">
        <v>1</v>
      </c>
      <c r="O23" s="3520" t="s">
        <v>1036</v>
      </c>
      <c r="Q23" s="3514" t="s">
        <v>855</v>
      </c>
      <c r="R23" s="3514" t="s">
        <v>848</v>
      </c>
      <c r="S23" s="3514" t="s">
        <v>20</v>
      </c>
      <c r="T23" s="4082">
        <v>0.95</v>
      </c>
      <c r="U23" s="4082">
        <v>0.8</v>
      </c>
      <c r="V23" s="4082">
        <v>0.76</v>
      </c>
      <c r="W23" s="4083">
        <v>1.1446099999999999</v>
      </c>
      <c r="X23" s="4084">
        <v>0.44851999999999997</v>
      </c>
      <c r="Y23" s="4085">
        <v>0.42455581332513442</v>
      </c>
      <c r="Z23" s="4081">
        <v>6700</v>
      </c>
      <c r="AA23" s="4081">
        <v>350</v>
      </c>
      <c r="AB23" s="4081">
        <v>1</v>
      </c>
      <c r="AC23" s="4081" t="s">
        <v>1036</v>
      </c>
    </row>
    <row r="24" spans="1:29">
      <c r="A24" s="3513">
        <v>14</v>
      </c>
      <c r="B24" s="3514" t="s">
        <v>849</v>
      </c>
      <c r="C24" s="4081">
        <v>14</v>
      </c>
      <c r="D24" s="3514" t="s">
        <v>20</v>
      </c>
      <c r="E24" s="3514" t="s">
        <v>848</v>
      </c>
      <c r="F24" s="3515">
        <v>0.95</v>
      </c>
      <c r="G24" s="3515">
        <v>0.68</v>
      </c>
      <c r="H24" s="3515">
        <f t="shared" si="0"/>
        <v>0.64600000000000002</v>
      </c>
      <c r="I24" s="3516">
        <v>0.71501000000000003</v>
      </c>
      <c r="J24" s="3517">
        <v>0.33662999999999998</v>
      </c>
      <c r="K24" s="3518">
        <v>0.47080460413141073</v>
      </c>
      <c r="L24" s="3519">
        <v>3100</v>
      </c>
      <c r="M24" s="3519">
        <v>350</v>
      </c>
      <c r="N24" s="3519">
        <v>2</v>
      </c>
      <c r="O24" s="3520" t="s">
        <v>1036</v>
      </c>
      <c r="Q24" s="3514" t="s">
        <v>684</v>
      </c>
      <c r="R24" s="3514" t="s">
        <v>848</v>
      </c>
      <c r="S24" s="3514" t="s">
        <v>20</v>
      </c>
      <c r="T24" s="4082">
        <v>0.95</v>
      </c>
      <c r="U24" s="4082">
        <v>0.75</v>
      </c>
      <c r="V24" s="4082">
        <v>0.71249999999999991</v>
      </c>
      <c r="W24" s="4083">
        <v>1.0815899999999998</v>
      </c>
      <c r="X24" s="4084">
        <v>0.45612000000000003</v>
      </c>
      <c r="Y24" s="4085">
        <v>0.42171247885058116</v>
      </c>
      <c r="Z24" s="4081">
        <v>2700</v>
      </c>
      <c r="AA24" s="4081">
        <v>350</v>
      </c>
      <c r="AB24" s="4081">
        <v>1</v>
      </c>
      <c r="AC24" s="4081" t="s">
        <v>1036</v>
      </c>
    </row>
    <row r="25" spans="1:29">
      <c r="A25" s="3513" t="s">
        <v>1173</v>
      </c>
      <c r="B25" s="3514" t="s">
        <v>850</v>
      </c>
      <c r="C25" s="4081" t="s">
        <v>1173</v>
      </c>
      <c r="D25" s="3514" t="s">
        <v>20</v>
      </c>
      <c r="E25" s="3514" t="s">
        <v>848</v>
      </c>
      <c r="F25" s="3515">
        <v>0.95</v>
      </c>
      <c r="G25" s="3515">
        <v>0.68</v>
      </c>
      <c r="H25" s="3515">
        <f t="shared" si="0"/>
        <v>0.64600000000000002</v>
      </c>
      <c r="I25" s="3516">
        <v>0.71501000000000003</v>
      </c>
      <c r="J25" s="3517">
        <v>0.33662999999999998</v>
      </c>
      <c r="K25" s="3518">
        <v>0.47080460413141073</v>
      </c>
      <c r="L25" s="3519">
        <v>3100</v>
      </c>
      <c r="M25" s="3519">
        <v>350</v>
      </c>
      <c r="N25" s="3519">
        <v>2</v>
      </c>
      <c r="O25" s="3520" t="s">
        <v>1036</v>
      </c>
      <c r="Q25" s="3514" t="s">
        <v>856</v>
      </c>
      <c r="R25" s="3514" t="s">
        <v>848</v>
      </c>
      <c r="S25" s="3514" t="s">
        <v>20</v>
      </c>
      <c r="T25" s="4082">
        <v>0.95</v>
      </c>
      <c r="U25" s="4082">
        <v>0.75</v>
      </c>
      <c r="V25" s="4082">
        <v>0.71249999999999991</v>
      </c>
      <c r="W25" s="4083">
        <v>0.63349999999999995</v>
      </c>
      <c r="X25" s="4084">
        <v>0.26606999999999997</v>
      </c>
      <c r="Y25" s="4085">
        <v>0.42</v>
      </c>
      <c r="Z25" s="4081">
        <v>3500</v>
      </c>
      <c r="AA25" s="4081">
        <v>350</v>
      </c>
      <c r="AB25" s="4081">
        <v>2</v>
      </c>
      <c r="AC25" s="4081" t="s">
        <v>1036</v>
      </c>
    </row>
    <row r="26" spans="1:29">
      <c r="A26" s="3513" t="s">
        <v>1173</v>
      </c>
      <c r="B26" s="3514" t="s">
        <v>851</v>
      </c>
      <c r="C26" s="4081" t="s">
        <v>1173</v>
      </c>
      <c r="D26" s="3514" t="s">
        <v>20</v>
      </c>
      <c r="E26" s="3514" t="s">
        <v>848</v>
      </c>
      <c r="F26" s="3515">
        <v>0.95</v>
      </c>
      <c r="G26" s="3515">
        <v>0.68</v>
      </c>
      <c r="H26" s="3515">
        <f t="shared" si="0"/>
        <v>0.64600000000000002</v>
      </c>
      <c r="I26" s="3516">
        <v>0.71501000000000003</v>
      </c>
      <c r="J26" s="3517">
        <v>0.33662999999999998</v>
      </c>
      <c r="K26" s="3518">
        <v>0.47080460413141073</v>
      </c>
      <c r="L26" s="3519">
        <v>3100</v>
      </c>
      <c r="M26" s="3519">
        <v>350</v>
      </c>
      <c r="N26" s="3519">
        <v>2</v>
      </c>
      <c r="O26" s="3520" t="s">
        <v>1036</v>
      </c>
      <c r="Q26" s="3514" t="s">
        <v>858</v>
      </c>
      <c r="R26" s="3514" t="s">
        <v>857</v>
      </c>
      <c r="S26" s="3514" t="s">
        <v>20</v>
      </c>
      <c r="T26" s="4082">
        <v>0.95</v>
      </c>
      <c r="U26" s="4082">
        <v>0.85</v>
      </c>
      <c r="V26" s="4082">
        <v>0.8075</v>
      </c>
      <c r="W26" s="4083">
        <v>0.48707499999999998</v>
      </c>
      <c r="X26" s="4084">
        <v>0.18358000000000002</v>
      </c>
      <c r="Y26" s="4085">
        <v>0.37690294102550947</v>
      </c>
      <c r="Z26" s="4081">
        <v>6400</v>
      </c>
      <c r="AA26" s="4081">
        <v>350</v>
      </c>
      <c r="AB26" s="4081">
        <v>4</v>
      </c>
      <c r="AC26" s="4081" t="s">
        <v>1036</v>
      </c>
    </row>
    <row r="27" spans="1:29">
      <c r="A27" s="3513" t="s">
        <v>1173</v>
      </c>
      <c r="B27" s="3514" t="s">
        <v>1172</v>
      </c>
      <c r="C27" s="4081" t="s">
        <v>1173</v>
      </c>
      <c r="D27" s="3514" t="s">
        <v>20</v>
      </c>
      <c r="E27" s="3514" t="s">
        <v>848</v>
      </c>
      <c r="F27" s="3515">
        <v>0.95</v>
      </c>
      <c r="G27" s="3515">
        <v>0.68</v>
      </c>
      <c r="H27" s="3515">
        <f t="shared" si="0"/>
        <v>0.64600000000000002</v>
      </c>
      <c r="I27" s="3516">
        <v>0.71501000000000003</v>
      </c>
      <c r="J27" s="3517">
        <v>0.33662999999999998</v>
      </c>
      <c r="K27" s="3518">
        <v>0.47080460413141073</v>
      </c>
      <c r="L27" s="3519">
        <v>3100</v>
      </c>
      <c r="M27" s="3519">
        <v>350</v>
      </c>
      <c r="N27" s="3519">
        <v>2</v>
      </c>
      <c r="O27" s="3520" t="s">
        <v>1036</v>
      </c>
      <c r="Q27" s="3514" t="s">
        <v>859</v>
      </c>
      <c r="R27" s="3514" t="s">
        <v>857</v>
      </c>
      <c r="S27" s="3514" t="s">
        <v>20</v>
      </c>
      <c r="T27" s="4082">
        <v>0.95</v>
      </c>
      <c r="U27" s="4082">
        <v>0.85</v>
      </c>
      <c r="V27" s="4082">
        <v>0.8075</v>
      </c>
      <c r="W27" s="4083">
        <v>0.30774499999999999</v>
      </c>
      <c r="X27" s="4084">
        <v>9.826E-2</v>
      </c>
      <c r="Y27" s="4085">
        <v>0.31929032153243758</v>
      </c>
      <c r="Z27" s="4081">
        <v>6000</v>
      </c>
      <c r="AA27" s="4081">
        <v>350</v>
      </c>
      <c r="AB27" s="4081">
        <v>4</v>
      </c>
      <c r="AC27" s="4081" t="s">
        <v>1036</v>
      </c>
    </row>
    <row r="28" spans="1:29">
      <c r="A28" s="3513" t="s">
        <v>1173</v>
      </c>
      <c r="B28" s="3514" t="s">
        <v>853</v>
      </c>
      <c r="C28" s="4081" t="s">
        <v>1173</v>
      </c>
      <c r="D28" s="3514" t="s">
        <v>20</v>
      </c>
      <c r="E28" s="3514" t="s">
        <v>848</v>
      </c>
      <c r="F28" s="3515">
        <v>0.95</v>
      </c>
      <c r="G28" s="3515">
        <v>0.7</v>
      </c>
      <c r="H28" s="3515">
        <f t="shared" si="0"/>
        <v>0.66499999999999992</v>
      </c>
      <c r="I28" s="3516">
        <v>1.1446099999999999</v>
      </c>
      <c r="J28" s="3517">
        <v>0.44851999999999997</v>
      </c>
      <c r="K28" s="3518">
        <v>0.39185399393679943</v>
      </c>
      <c r="L28" s="3519">
        <v>1700</v>
      </c>
      <c r="M28" s="3519">
        <v>350</v>
      </c>
      <c r="N28" s="3519">
        <v>1</v>
      </c>
      <c r="O28" s="3520" t="s">
        <v>1036</v>
      </c>
      <c r="Q28" s="3514" t="s">
        <v>860</v>
      </c>
      <c r="R28" s="3514" t="s">
        <v>857</v>
      </c>
      <c r="S28" s="3514" t="s">
        <v>20</v>
      </c>
      <c r="T28" s="4082">
        <v>0.95</v>
      </c>
      <c r="U28" s="4082">
        <v>0.85</v>
      </c>
      <c r="V28" s="4082">
        <v>0.8075</v>
      </c>
      <c r="W28" s="4083">
        <v>0.97</v>
      </c>
      <c r="X28" s="4084">
        <v>0.40906110448506372</v>
      </c>
      <c r="Y28" s="4085">
        <v>0.42171247885058116</v>
      </c>
      <c r="Z28" s="4081">
        <v>4000</v>
      </c>
      <c r="AA28" s="4081">
        <v>350</v>
      </c>
      <c r="AB28" s="4081">
        <v>2</v>
      </c>
      <c r="AC28" s="4081" t="s">
        <v>1036</v>
      </c>
    </row>
    <row r="29" spans="1:29">
      <c r="A29" s="3513">
        <v>15</v>
      </c>
      <c r="B29" s="3514" t="s">
        <v>1397</v>
      </c>
      <c r="C29" s="4081">
        <v>15</v>
      </c>
      <c r="D29" s="3514" t="s">
        <v>20</v>
      </c>
      <c r="E29" s="3514" t="s">
        <v>848</v>
      </c>
      <c r="F29" s="3515">
        <v>0.95</v>
      </c>
      <c r="G29" s="3515">
        <v>0.79</v>
      </c>
      <c r="H29" s="3515">
        <f t="shared" si="0"/>
        <v>0.75049999999999994</v>
      </c>
      <c r="I29" s="3516">
        <v>1.1446099999999999</v>
      </c>
      <c r="J29" s="3517">
        <v>0.44851999999999997</v>
      </c>
      <c r="K29" s="3518">
        <v>0.39185399393679943</v>
      </c>
      <c r="L29" s="3519">
        <v>1700</v>
      </c>
      <c r="M29" s="3519">
        <v>350</v>
      </c>
      <c r="N29" s="3519">
        <v>1</v>
      </c>
      <c r="O29" s="3520" t="s">
        <v>1036</v>
      </c>
      <c r="Q29" s="3520" t="s">
        <v>950</v>
      </c>
      <c r="R29" s="3520" t="s">
        <v>888</v>
      </c>
      <c r="S29" s="3520" t="s">
        <v>20</v>
      </c>
      <c r="T29" s="3515">
        <v>0.95</v>
      </c>
      <c r="U29" s="3515">
        <v>0.85</v>
      </c>
      <c r="V29" s="3515">
        <v>0.8075</v>
      </c>
      <c r="W29" s="4611">
        <v>0.19533</v>
      </c>
      <c r="X29" s="4612">
        <v>2.1819999999999999E-2</v>
      </c>
      <c r="Y29" s="3518">
        <v>0.11170839092817283</v>
      </c>
      <c r="Z29" s="4613">
        <v>6200</v>
      </c>
      <c r="AA29" s="4613">
        <v>125</v>
      </c>
      <c r="AB29" s="4613">
        <v>2</v>
      </c>
      <c r="AC29" s="4613" t="s">
        <v>1036</v>
      </c>
    </row>
    <row r="30" spans="1:29">
      <c r="A30" s="3513">
        <v>16</v>
      </c>
      <c r="B30" s="3514" t="s">
        <v>1395</v>
      </c>
      <c r="C30" s="4081"/>
      <c r="D30" s="3514" t="s">
        <v>20</v>
      </c>
      <c r="E30" s="3514" t="s">
        <v>848</v>
      </c>
      <c r="F30" s="3515">
        <v>0.95</v>
      </c>
      <c r="G30" s="3515">
        <v>0.79</v>
      </c>
      <c r="H30" s="3515">
        <f t="shared" si="0"/>
        <v>0.75049999999999994</v>
      </c>
      <c r="I30" s="3516">
        <v>1.1446099999999999</v>
      </c>
      <c r="J30" s="3517">
        <v>0.44851999999999997</v>
      </c>
      <c r="K30" s="3518">
        <v>0.39185399393679943</v>
      </c>
      <c r="L30" s="3519">
        <v>1700</v>
      </c>
      <c r="M30" s="3519">
        <v>350</v>
      </c>
      <c r="N30" s="3519">
        <v>1</v>
      </c>
      <c r="O30" s="3520" t="s">
        <v>1036</v>
      </c>
      <c r="Q30" s="3514" t="s">
        <v>861</v>
      </c>
      <c r="R30" s="3514" t="s">
        <v>857</v>
      </c>
      <c r="S30" s="3514" t="s">
        <v>20</v>
      </c>
      <c r="T30" s="4082">
        <v>0.95</v>
      </c>
      <c r="U30" s="4082">
        <v>0.85</v>
      </c>
      <c r="V30" s="4082">
        <v>0.8075</v>
      </c>
      <c r="W30" s="4083">
        <v>0.346225</v>
      </c>
      <c r="X30" s="4084">
        <v>0.14038</v>
      </c>
      <c r="Y30" s="4085">
        <v>0.4054588778973211</v>
      </c>
      <c r="Z30" s="4081">
        <v>6400</v>
      </c>
      <c r="AA30" s="4081">
        <v>350</v>
      </c>
      <c r="AB30" s="4081">
        <v>4</v>
      </c>
      <c r="AC30" s="4081" t="s">
        <v>1036</v>
      </c>
    </row>
    <row r="31" spans="1:29">
      <c r="A31" s="3513">
        <v>17</v>
      </c>
      <c r="B31" s="3514" t="s">
        <v>1407</v>
      </c>
      <c r="C31" s="4081">
        <v>17</v>
      </c>
      <c r="D31" s="3514" t="s">
        <v>20</v>
      </c>
      <c r="E31" s="3514" t="s">
        <v>848</v>
      </c>
      <c r="F31" s="3515">
        <v>0.95</v>
      </c>
      <c r="G31" s="3515">
        <v>0.79</v>
      </c>
      <c r="H31" s="3515">
        <f t="shared" si="0"/>
        <v>0.75049999999999994</v>
      </c>
      <c r="I31" s="3516">
        <v>1.1446099999999999</v>
      </c>
      <c r="J31" s="3517">
        <v>0.44851999999999997</v>
      </c>
      <c r="K31" s="3518">
        <v>0.39185399393679943</v>
      </c>
      <c r="L31" s="3519">
        <v>1700</v>
      </c>
      <c r="M31" s="3519">
        <v>350</v>
      </c>
      <c r="N31" s="3519">
        <v>1</v>
      </c>
      <c r="O31" s="3520" t="s">
        <v>1036</v>
      </c>
      <c r="Q31" s="3514" t="s">
        <v>862</v>
      </c>
      <c r="R31" s="3514" t="s">
        <v>857</v>
      </c>
      <c r="S31" s="3514" t="s">
        <v>20</v>
      </c>
      <c r="T31" s="4082">
        <v>0.95</v>
      </c>
      <c r="U31" s="4082">
        <v>0.85</v>
      </c>
      <c r="V31" s="4082">
        <v>0.8075</v>
      </c>
      <c r="W31" s="4083">
        <v>0.37648000000000004</v>
      </c>
      <c r="X31" s="4084">
        <v>0.14524999999999999</v>
      </c>
      <c r="Y31" s="4085">
        <v>0.38581066723331908</v>
      </c>
      <c r="Z31" s="4081">
        <v>6400</v>
      </c>
      <c r="AA31" s="4081">
        <v>125</v>
      </c>
      <c r="AB31" s="4081">
        <v>4</v>
      </c>
      <c r="AC31" s="4081" t="s">
        <v>1036</v>
      </c>
    </row>
    <row r="32" spans="1:29">
      <c r="A32" s="3513">
        <v>18</v>
      </c>
      <c r="B32" s="3514" t="s">
        <v>1409</v>
      </c>
      <c r="C32" s="4081"/>
      <c r="D32" s="3514" t="s">
        <v>20</v>
      </c>
      <c r="E32" s="3514" t="s">
        <v>848</v>
      </c>
      <c r="F32" s="3515">
        <v>0.95</v>
      </c>
      <c r="G32" s="3515">
        <v>0.79</v>
      </c>
      <c r="H32" s="3515">
        <f t="shared" si="0"/>
        <v>0.75049999999999994</v>
      </c>
      <c r="I32" s="3516">
        <v>1.1446099999999999</v>
      </c>
      <c r="J32" s="3517">
        <v>0.44851999999999997</v>
      </c>
      <c r="K32" s="3518">
        <v>0.39185399393679943</v>
      </c>
      <c r="L32" s="3519">
        <v>1700</v>
      </c>
      <c r="M32" s="3519">
        <v>350</v>
      </c>
      <c r="N32" s="3519">
        <v>1</v>
      </c>
      <c r="O32" s="3520" t="s">
        <v>1036</v>
      </c>
      <c r="Q32" s="3520" t="s">
        <v>951</v>
      </c>
      <c r="R32" s="3520" t="s">
        <v>865</v>
      </c>
      <c r="S32" s="3520" t="s">
        <v>20</v>
      </c>
      <c r="T32" s="3515">
        <v>0.95</v>
      </c>
      <c r="U32" s="3515">
        <v>0.85</v>
      </c>
      <c r="V32" s="3515">
        <v>0.8075</v>
      </c>
      <c r="W32" s="4611">
        <v>0.13100000000000001</v>
      </c>
      <c r="X32" s="4612">
        <v>2.1819999999999999E-2</v>
      </c>
      <c r="Y32" s="3518">
        <v>0.1665648854961832</v>
      </c>
      <c r="Z32" s="4613">
        <v>6750</v>
      </c>
      <c r="AA32" s="4613">
        <v>125</v>
      </c>
      <c r="AB32" s="4613">
        <v>2</v>
      </c>
      <c r="AC32" s="4613" t="s">
        <v>1036</v>
      </c>
    </row>
    <row r="33" spans="1:29">
      <c r="A33" s="3513" t="s">
        <v>1173</v>
      </c>
      <c r="B33" s="3514" t="s">
        <v>680</v>
      </c>
      <c r="C33" s="4081" t="s">
        <v>1173</v>
      </c>
      <c r="D33" s="3514" t="s">
        <v>20</v>
      </c>
      <c r="E33" s="3514" t="s">
        <v>848</v>
      </c>
      <c r="F33" s="3515">
        <v>0.95</v>
      </c>
      <c r="G33" s="3515">
        <v>0.8</v>
      </c>
      <c r="H33" s="3515">
        <f t="shared" si="0"/>
        <v>0.76</v>
      </c>
      <c r="I33" s="3516">
        <v>1.1446099999999999</v>
      </c>
      <c r="J33" s="3517">
        <v>0.44851999999999997</v>
      </c>
      <c r="K33" s="3518">
        <v>0.39185399393679943</v>
      </c>
      <c r="L33" s="3519">
        <v>3200</v>
      </c>
      <c r="M33" s="3519">
        <v>350</v>
      </c>
      <c r="N33" s="3519">
        <v>2</v>
      </c>
      <c r="O33" s="3520" t="s">
        <v>1036</v>
      </c>
      <c r="Q33" s="3514" t="s">
        <v>863</v>
      </c>
      <c r="R33" s="3514" t="s">
        <v>857</v>
      </c>
      <c r="S33" s="3514" t="s">
        <v>20</v>
      </c>
      <c r="T33" s="4082">
        <v>0.95</v>
      </c>
      <c r="U33" s="4082">
        <v>0.85</v>
      </c>
      <c r="V33" s="4082">
        <v>0.8075</v>
      </c>
      <c r="W33" s="4083">
        <v>0.71750000000000003</v>
      </c>
      <c r="X33" s="4084">
        <v>0.27265</v>
      </c>
      <c r="Y33" s="4085">
        <v>0.38</v>
      </c>
      <c r="Z33" s="4081">
        <v>3700</v>
      </c>
      <c r="AA33" s="4081">
        <v>350</v>
      </c>
      <c r="AB33" s="4081">
        <v>2</v>
      </c>
      <c r="AC33" s="4081" t="s">
        <v>1036</v>
      </c>
    </row>
    <row r="34" spans="1:29">
      <c r="A34" s="3513" t="s">
        <v>1173</v>
      </c>
      <c r="B34" s="3514" t="s">
        <v>1255</v>
      </c>
      <c r="C34" s="4081" t="s">
        <v>1173</v>
      </c>
      <c r="D34" s="3514" t="s">
        <v>20</v>
      </c>
      <c r="E34" s="3514" t="s">
        <v>848</v>
      </c>
      <c r="F34" s="3515">
        <v>0.95</v>
      </c>
      <c r="G34" s="3515">
        <v>0.8</v>
      </c>
      <c r="H34" s="3515">
        <f t="shared" si="0"/>
        <v>0.76</v>
      </c>
      <c r="I34" s="3516">
        <v>1.1446099999999999</v>
      </c>
      <c r="J34" s="3517">
        <v>0.44569999999999999</v>
      </c>
      <c r="K34" s="3518">
        <v>0.38939027266929349</v>
      </c>
      <c r="L34" s="3519">
        <v>1700</v>
      </c>
      <c r="M34" s="3519">
        <v>350</v>
      </c>
      <c r="N34" s="3519">
        <v>1</v>
      </c>
      <c r="O34" s="3520" t="s">
        <v>1036</v>
      </c>
      <c r="Q34" s="3514" t="s">
        <v>950</v>
      </c>
      <c r="R34" s="3514" t="s">
        <v>857</v>
      </c>
      <c r="S34" s="3514" t="s">
        <v>20</v>
      </c>
      <c r="T34" s="4082">
        <v>0.95</v>
      </c>
      <c r="U34" s="4082">
        <v>0.85</v>
      </c>
      <c r="V34" s="4082">
        <v>0.8075</v>
      </c>
      <c r="W34" s="4083">
        <v>0.22500000000000001</v>
      </c>
      <c r="X34" s="4084">
        <v>6.1249999999999999E-2</v>
      </c>
      <c r="Y34" s="4085">
        <v>0.2722222222222222</v>
      </c>
      <c r="Z34" s="4081">
        <v>4600</v>
      </c>
      <c r="AA34" s="4081">
        <v>125</v>
      </c>
      <c r="AB34" s="4081">
        <v>2</v>
      </c>
      <c r="AC34" s="4081" t="s">
        <v>1036</v>
      </c>
    </row>
    <row r="35" spans="1:29">
      <c r="A35" s="3513">
        <v>19</v>
      </c>
      <c r="B35" s="3514" t="s">
        <v>858</v>
      </c>
      <c r="C35" s="4081">
        <v>19</v>
      </c>
      <c r="D35" s="3514" t="s">
        <v>20</v>
      </c>
      <c r="E35" s="3514" t="s">
        <v>857</v>
      </c>
      <c r="F35" s="3515">
        <v>0.95</v>
      </c>
      <c r="G35" s="3515">
        <v>0.85</v>
      </c>
      <c r="H35" s="3515">
        <f t="shared" si="0"/>
        <v>0.8075</v>
      </c>
      <c r="I35" s="3516">
        <v>1.1446099999999999</v>
      </c>
      <c r="J35" s="3517">
        <v>0.1162</v>
      </c>
      <c r="K35" s="3518">
        <v>0.10151929478162869</v>
      </c>
      <c r="L35" s="3519">
        <v>6000</v>
      </c>
      <c r="M35" s="3519">
        <v>350</v>
      </c>
      <c r="N35" s="3519">
        <v>4</v>
      </c>
      <c r="O35" s="3520" t="s">
        <v>1036</v>
      </c>
      <c r="Q35" s="3514" t="s">
        <v>864</v>
      </c>
      <c r="R35" s="3514" t="s">
        <v>888</v>
      </c>
      <c r="S35" s="3514" t="s">
        <v>20</v>
      </c>
      <c r="T35" s="4082">
        <v>0.95</v>
      </c>
      <c r="U35" s="4082">
        <v>0.85</v>
      </c>
      <c r="V35" s="4082">
        <v>0.8075</v>
      </c>
      <c r="W35" s="4083">
        <v>0.229325</v>
      </c>
      <c r="X35" s="4084">
        <v>6.0950000000000004E-2</v>
      </c>
      <c r="Y35" s="4085">
        <v>0.11170839092817283</v>
      </c>
      <c r="Z35" s="4081">
        <v>6200</v>
      </c>
      <c r="AA35" s="4081">
        <v>125</v>
      </c>
      <c r="AB35" s="4081">
        <v>2</v>
      </c>
      <c r="AC35" s="4081" t="s">
        <v>1036</v>
      </c>
    </row>
    <row r="36" spans="1:29">
      <c r="A36" s="3513" t="s">
        <v>1173</v>
      </c>
      <c r="B36" s="3514" t="s">
        <v>859</v>
      </c>
      <c r="C36" s="4081" t="s">
        <v>1173</v>
      </c>
      <c r="D36" s="3514" t="s">
        <v>20</v>
      </c>
      <c r="E36" s="3514" t="s">
        <v>857</v>
      </c>
      <c r="F36" s="3515">
        <v>0.95</v>
      </c>
      <c r="G36" s="3515">
        <v>0.85</v>
      </c>
      <c r="H36" s="3515">
        <f t="shared" si="0"/>
        <v>0.8075</v>
      </c>
      <c r="I36" s="3516">
        <v>1.1446099999999999</v>
      </c>
      <c r="J36" s="3517">
        <v>0.1162</v>
      </c>
      <c r="K36" s="3518">
        <v>0.10151929478162869</v>
      </c>
      <c r="L36" s="3519">
        <v>6000</v>
      </c>
      <c r="M36" s="3519">
        <v>350</v>
      </c>
      <c r="N36" s="3519">
        <v>4</v>
      </c>
      <c r="O36" s="3520" t="s">
        <v>1036</v>
      </c>
      <c r="Q36" s="3514" t="s">
        <v>866</v>
      </c>
      <c r="R36" s="3514" t="s">
        <v>865</v>
      </c>
      <c r="S36" s="3514" t="s">
        <v>20</v>
      </c>
      <c r="T36" s="4082">
        <v>0.95</v>
      </c>
      <c r="U36" s="4082">
        <v>0.85</v>
      </c>
      <c r="V36" s="4082">
        <v>0.8075</v>
      </c>
      <c r="W36" s="4083">
        <v>0.13100000000000001</v>
      </c>
      <c r="X36" s="4084">
        <v>2.1819999999999999E-2</v>
      </c>
      <c r="Y36" s="4085">
        <v>0.1665648854961832</v>
      </c>
      <c r="Z36" s="4081">
        <v>6750</v>
      </c>
      <c r="AA36" s="4081">
        <v>125</v>
      </c>
      <c r="AB36" s="4081">
        <v>2</v>
      </c>
      <c r="AC36" s="4081" t="s">
        <v>1036</v>
      </c>
    </row>
    <row r="37" spans="1:29">
      <c r="A37" s="3513">
        <v>20</v>
      </c>
      <c r="B37" s="3514" t="s">
        <v>860</v>
      </c>
      <c r="C37" s="4081">
        <v>20</v>
      </c>
      <c r="D37" s="3514" t="s">
        <v>20</v>
      </c>
      <c r="E37" s="3514" t="s">
        <v>857</v>
      </c>
      <c r="F37" s="3515">
        <v>0.95</v>
      </c>
      <c r="G37" s="3515">
        <v>0.79</v>
      </c>
      <c r="H37" s="3515">
        <f t="shared" si="0"/>
        <v>0.75049999999999994</v>
      </c>
      <c r="I37" s="3516">
        <v>1.1446099999999999</v>
      </c>
      <c r="J37" s="3517">
        <v>0.1162</v>
      </c>
      <c r="K37" s="3518">
        <v>0.10151929478162869</v>
      </c>
      <c r="L37" s="3519">
        <v>3300</v>
      </c>
      <c r="M37" s="3519">
        <v>350</v>
      </c>
      <c r="N37" s="3519">
        <v>2</v>
      </c>
      <c r="O37" s="3520" t="s">
        <v>1036</v>
      </c>
      <c r="Q37" s="3520" t="s">
        <v>952</v>
      </c>
      <c r="R37" s="3520" t="s">
        <v>868</v>
      </c>
      <c r="S37" s="3520" t="s">
        <v>20</v>
      </c>
      <c r="T37" s="3515">
        <v>0.95</v>
      </c>
      <c r="U37" s="3515">
        <v>0.85</v>
      </c>
      <c r="V37" s="3515">
        <v>0.8075</v>
      </c>
      <c r="W37" s="4611">
        <v>4.335E-2</v>
      </c>
      <c r="X37" s="4612">
        <v>2.0099999999999996E-3</v>
      </c>
      <c r="Y37" s="3518">
        <v>4.6366782006920404E-2</v>
      </c>
      <c r="Z37" s="4613">
        <v>14000</v>
      </c>
      <c r="AA37" s="4613">
        <v>125</v>
      </c>
      <c r="AB37" s="4613">
        <v>4</v>
      </c>
      <c r="AC37" s="4613" t="s">
        <v>1036</v>
      </c>
    </row>
    <row r="38" spans="1:29">
      <c r="A38" s="3513" t="s">
        <v>1173</v>
      </c>
      <c r="B38" s="3514" t="s">
        <v>1044</v>
      </c>
      <c r="C38" s="4081" t="s">
        <v>1173</v>
      </c>
      <c r="D38" s="3514" t="s">
        <v>20</v>
      </c>
      <c r="E38" s="3514" t="s">
        <v>857</v>
      </c>
      <c r="F38" s="3515">
        <v>0.95</v>
      </c>
      <c r="G38" s="3515">
        <v>0.85</v>
      </c>
      <c r="H38" s="3515">
        <f t="shared" si="0"/>
        <v>0.8075</v>
      </c>
      <c r="I38" s="3516">
        <v>1.1446099999999999</v>
      </c>
      <c r="J38" s="3517">
        <v>0.1162</v>
      </c>
      <c r="K38" s="3518">
        <v>0.10151929478162869</v>
      </c>
      <c r="L38" s="3519">
        <v>6000</v>
      </c>
      <c r="M38" s="3519">
        <v>350</v>
      </c>
      <c r="N38" s="3519">
        <v>4</v>
      </c>
      <c r="O38" s="3520" t="s">
        <v>1036</v>
      </c>
      <c r="Q38" s="3514" t="s">
        <v>951</v>
      </c>
      <c r="R38" s="3514" t="s">
        <v>865</v>
      </c>
      <c r="S38" s="3514" t="s">
        <v>20</v>
      </c>
      <c r="T38" s="4082">
        <v>0.95</v>
      </c>
      <c r="U38" s="4082">
        <v>0.85</v>
      </c>
      <c r="V38" s="4082">
        <v>0.8075</v>
      </c>
      <c r="W38" s="4083">
        <v>0.14599999999999999</v>
      </c>
      <c r="X38" s="4084">
        <v>2.4820000000000002E-2</v>
      </c>
      <c r="Y38" s="4085">
        <v>0.16382416526543359</v>
      </c>
      <c r="Z38" s="4081">
        <v>14000</v>
      </c>
      <c r="AA38" s="4081">
        <v>125</v>
      </c>
      <c r="AB38" s="4081">
        <v>4</v>
      </c>
      <c r="AC38" s="4081" t="s">
        <v>1036</v>
      </c>
    </row>
    <row r="39" spans="1:29">
      <c r="A39" s="3513">
        <v>21</v>
      </c>
      <c r="B39" s="3514" t="s">
        <v>1399</v>
      </c>
      <c r="C39" s="4081">
        <v>21</v>
      </c>
      <c r="D39" s="3514" t="s">
        <v>20</v>
      </c>
      <c r="E39" s="3514" t="s">
        <v>857</v>
      </c>
      <c r="F39" s="3515">
        <v>0.95</v>
      </c>
      <c r="G39" s="3515">
        <v>0.87</v>
      </c>
      <c r="H39" s="3515">
        <f t="shared" si="0"/>
        <v>0.82650000000000001</v>
      </c>
      <c r="I39" s="3516">
        <v>1.1446099999999999</v>
      </c>
      <c r="J39" s="3517">
        <v>0.1162</v>
      </c>
      <c r="K39" s="3518">
        <v>0.10151929478162869</v>
      </c>
      <c r="L39" s="3519">
        <v>6000</v>
      </c>
      <c r="M39" s="3519">
        <v>350</v>
      </c>
      <c r="N39" s="3519">
        <v>4</v>
      </c>
      <c r="O39" s="3520" t="s">
        <v>1036</v>
      </c>
      <c r="Q39" s="3514"/>
      <c r="R39" s="3514"/>
      <c r="S39" s="3514"/>
      <c r="T39" s="4082"/>
      <c r="U39" s="4082"/>
      <c r="V39" s="4082"/>
      <c r="W39" s="4083"/>
      <c r="X39" s="4084"/>
      <c r="Y39" s="4085"/>
      <c r="Z39" s="4081"/>
      <c r="AA39" s="4081"/>
      <c r="AB39" s="4081"/>
      <c r="AC39" s="4081"/>
    </row>
    <row r="40" spans="1:29">
      <c r="A40" s="3513">
        <v>22</v>
      </c>
      <c r="B40" s="3514" t="s">
        <v>1401</v>
      </c>
      <c r="C40" s="4081"/>
      <c r="D40" s="3514" t="s">
        <v>20</v>
      </c>
      <c r="E40" s="3514" t="s">
        <v>857</v>
      </c>
      <c r="F40" s="3515">
        <v>0.95</v>
      </c>
      <c r="G40" s="3515">
        <v>0.87</v>
      </c>
      <c r="H40" s="3515">
        <f t="shared" si="0"/>
        <v>0.82650000000000001</v>
      </c>
      <c r="I40" s="3516">
        <v>1.1446099999999999</v>
      </c>
      <c r="J40" s="3517">
        <v>0.1162</v>
      </c>
      <c r="K40" s="3518">
        <v>0.10151929478162869</v>
      </c>
      <c r="L40" s="3519">
        <v>6000</v>
      </c>
      <c r="M40" s="3519">
        <v>350</v>
      </c>
      <c r="N40" s="3519">
        <v>4</v>
      </c>
      <c r="O40" s="3520" t="s">
        <v>1036</v>
      </c>
      <c r="Q40" s="3514" t="s">
        <v>867</v>
      </c>
      <c r="R40" s="3514" t="s">
        <v>865</v>
      </c>
      <c r="S40" s="3514" t="s">
        <v>20</v>
      </c>
      <c r="T40" s="4082">
        <v>0.95</v>
      </c>
      <c r="U40" s="4082">
        <v>0.85</v>
      </c>
      <c r="V40" s="4082">
        <v>0.8075</v>
      </c>
      <c r="W40" s="4083">
        <v>6.4329999999999998E-2</v>
      </c>
      <c r="X40" s="4084">
        <v>4.4400000000000004E-3</v>
      </c>
      <c r="Y40" s="4085">
        <v>6.901912016166642E-2</v>
      </c>
      <c r="Z40" s="4081">
        <v>7200</v>
      </c>
      <c r="AA40" s="4081">
        <v>125</v>
      </c>
      <c r="AB40" s="4081">
        <v>2</v>
      </c>
      <c r="AC40" s="4081" t="s">
        <v>1036</v>
      </c>
    </row>
    <row r="41" spans="1:29">
      <c r="A41" s="3513">
        <v>23</v>
      </c>
      <c r="B41" s="3514" t="s">
        <v>1403</v>
      </c>
      <c r="C41" s="4081">
        <v>23</v>
      </c>
      <c r="D41" s="3514" t="s">
        <v>20</v>
      </c>
      <c r="E41" s="3514" t="s">
        <v>857</v>
      </c>
      <c r="F41" s="3515">
        <v>0.95</v>
      </c>
      <c r="G41" s="3515">
        <v>0.87</v>
      </c>
      <c r="H41" s="3515">
        <f t="shared" si="0"/>
        <v>0.82650000000000001</v>
      </c>
      <c r="I41" s="3516">
        <v>1.1446099999999999</v>
      </c>
      <c r="J41" s="3517">
        <v>0.1162</v>
      </c>
      <c r="K41" s="3518">
        <v>0.10151929478162869</v>
      </c>
      <c r="L41" s="3519">
        <v>6000</v>
      </c>
      <c r="M41" s="3519">
        <v>350</v>
      </c>
      <c r="N41" s="3519">
        <v>4</v>
      </c>
      <c r="O41" s="3520" t="s">
        <v>1036</v>
      </c>
      <c r="Q41" s="3514"/>
      <c r="R41" s="3514"/>
      <c r="S41" s="3514"/>
      <c r="T41" s="4082"/>
      <c r="U41" s="4082"/>
      <c r="V41" s="4082"/>
      <c r="W41" s="4083"/>
      <c r="X41" s="4084"/>
      <c r="Y41" s="4085"/>
      <c r="Z41" s="4081"/>
      <c r="AA41" s="4081"/>
      <c r="AB41" s="4081"/>
      <c r="AC41" s="4081"/>
    </row>
    <row r="42" spans="1:29">
      <c r="A42" s="3513">
        <v>24</v>
      </c>
      <c r="B42" s="3514" t="s">
        <v>1405</v>
      </c>
      <c r="C42" s="4081"/>
      <c r="D42" s="3514" t="s">
        <v>20</v>
      </c>
      <c r="E42" s="3514" t="s">
        <v>857</v>
      </c>
      <c r="F42" s="3515">
        <v>0.95</v>
      </c>
      <c r="G42" s="3515">
        <v>0.87</v>
      </c>
      <c r="H42" s="3515">
        <f t="shared" si="0"/>
        <v>0.82650000000000001</v>
      </c>
      <c r="I42" s="3516">
        <v>1.1446099999999999</v>
      </c>
      <c r="J42" s="3517">
        <v>0.1162</v>
      </c>
      <c r="K42" s="3518">
        <v>0.10151929478162869</v>
      </c>
      <c r="L42" s="3519">
        <v>6000</v>
      </c>
      <c r="M42" s="3519">
        <v>350</v>
      </c>
      <c r="N42" s="3519">
        <v>4</v>
      </c>
      <c r="O42" s="3520" t="s">
        <v>1036</v>
      </c>
      <c r="Q42" s="3514" t="s">
        <v>68</v>
      </c>
      <c r="R42" s="3514" t="s">
        <v>865</v>
      </c>
      <c r="S42" s="3514" t="s">
        <v>20</v>
      </c>
      <c r="T42" s="4082">
        <v>0.95</v>
      </c>
      <c r="U42" s="4082">
        <v>0.85</v>
      </c>
      <c r="V42" s="4082">
        <v>0.8075</v>
      </c>
      <c r="W42" s="4083">
        <v>9.8229999999999998E-2</v>
      </c>
      <c r="X42" s="4084">
        <v>1.256E-2</v>
      </c>
      <c r="Y42" s="4085">
        <v>0.12786317825511556</v>
      </c>
      <c r="Z42" s="4081">
        <v>7020</v>
      </c>
      <c r="AA42" s="4081">
        <v>125</v>
      </c>
      <c r="AB42" s="4081">
        <v>2</v>
      </c>
      <c r="AC42" s="4081" t="s">
        <v>1036</v>
      </c>
    </row>
    <row r="43" spans="1:29">
      <c r="A43" s="3513">
        <v>25</v>
      </c>
      <c r="B43" s="3514" t="s">
        <v>863</v>
      </c>
      <c r="C43" s="4081">
        <v>25</v>
      </c>
      <c r="D43" s="3514" t="s">
        <v>20</v>
      </c>
      <c r="E43" s="3514" t="s">
        <v>857</v>
      </c>
      <c r="F43" s="3515">
        <v>0.95</v>
      </c>
      <c r="G43" s="3515">
        <v>0.85</v>
      </c>
      <c r="H43" s="3515">
        <f t="shared" si="0"/>
        <v>0.8075</v>
      </c>
      <c r="I43" s="3516">
        <v>1.1446099999999999</v>
      </c>
      <c r="J43" s="3517">
        <v>0.1162</v>
      </c>
      <c r="K43" s="3518">
        <v>0.10151929478162869</v>
      </c>
      <c r="L43" s="3519">
        <v>6000</v>
      </c>
      <c r="M43" s="3519">
        <v>350</v>
      </c>
      <c r="N43" s="3519">
        <v>4</v>
      </c>
      <c r="O43" s="3520" t="s">
        <v>1036</v>
      </c>
      <c r="Q43" s="3514" t="s">
        <v>869</v>
      </c>
      <c r="R43" s="3514" t="s">
        <v>868</v>
      </c>
      <c r="S43" s="3514" t="s">
        <v>20</v>
      </c>
      <c r="T43" s="4082">
        <v>0.95</v>
      </c>
      <c r="U43" s="4082">
        <v>0.85</v>
      </c>
      <c r="V43" s="4082">
        <v>0.8075</v>
      </c>
      <c r="W43" s="4083">
        <v>4.335E-2</v>
      </c>
      <c r="X43" s="4084">
        <v>2.0099999999999996E-3</v>
      </c>
      <c r="Y43" s="4085">
        <v>4.6366782006920404E-2</v>
      </c>
      <c r="Z43" s="4081">
        <v>14000</v>
      </c>
      <c r="AA43" s="4081">
        <v>125</v>
      </c>
      <c r="AB43" s="4081">
        <v>4</v>
      </c>
      <c r="AC43" s="4081" t="s">
        <v>1036</v>
      </c>
    </row>
    <row r="44" spans="1:29">
      <c r="A44" s="3513" t="s">
        <v>1173</v>
      </c>
      <c r="B44" s="3514" t="s">
        <v>1256</v>
      </c>
      <c r="C44" s="4081" t="s">
        <v>1173</v>
      </c>
      <c r="D44" s="3514" t="s">
        <v>20</v>
      </c>
      <c r="E44" s="3514" t="s">
        <v>857</v>
      </c>
      <c r="F44" s="3515">
        <v>0.95</v>
      </c>
      <c r="G44" s="3515">
        <v>0.85</v>
      </c>
      <c r="H44" s="3515">
        <f t="shared" si="0"/>
        <v>0.8075</v>
      </c>
      <c r="I44" s="3516">
        <v>1.1446099999999999</v>
      </c>
      <c r="J44" s="3517">
        <v>0.1162</v>
      </c>
      <c r="K44" s="3518">
        <v>0.10151929478162869</v>
      </c>
      <c r="L44" s="3519">
        <v>6000</v>
      </c>
      <c r="M44" s="3519">
        <v>350</v>
      </c>
      <c r="N44" s="3519">
        <v>4</v>
      </c>
      <c r="O44" s="3520" t="s">
        <v>1036</v>
      </c>
      <c r="Q44" s="3514" t="s">
        <v>870</v>
      </c>
      <c r="R44" s="3514" t="s">
        <v>868</v>
      </c>
      <c r="S44" s="3514" t="s">
        <v>20</v>
      </c>
      <c r="T44" s="4082">
        <v>0.95</v>
      </c>
      <c r="U44" s="4082">
        <v>0.85</v>
      </c>
      <c r="V44" s="4082">
        <v>0.8075</v>
      </c>
      <c r="W44" s="4083">
        <v>4.163E-2</v>
      </c>
      <c r="X44" s="4084">
        <v>6.8200000000000005E-3</v>
      </c>
      <c r="Y44" s="4085">
        <v>0.16382416526543359</v>
      </c>
      <c r="Z44" s="4081">
        <v>14000</v>
      </c>
      <c r="AA44" s="4081">
        <v>125</v>
      </c>
      <c r="AB44" s="4081">
        <v>4</v>
      </c>
      <c r="AC44" s="4081" t="s">
        <v>1036</v>
      </c>
    </row>
    <row r="45" spans="1:29">
      <c r="A45" s="3513" t="s">
        <v>1173</v>
      </c>
      <c r="B45" s="3514" t="s">
        <v>950</v>
      </c>
      <c r="C45" s="4081" t="s">
        <v>1173</v>
      </c>
      <c r="D45" s="3514" t="s">
        <v>20</v>
      </c>
      <c r="E45" s="3514" t="s">
        <v>888</v>
      </c>
      <c r="F45" s="3515">
        <v>0.95</v>
      </c>
      <c r="G45" s="3515">
        <v>0.9</v>
      </c>
      <c r="H45" s="3515">
        <f t="shared" si="0"/>
        <v>0.85499999999999998</v>
      </c>
      <c r="I45" s="3516">
        <v>6.4329999999999998E-2</v>
      </c>
      <c r="J45" s="3517">
        <v>4.4400000000000004E-3</v>
      </c>
      <c r="K45" s="3518">
        <v>6.901912016166642E-2</v>
      </c>
      <c r="L45" s="3519">
        <v>5500</v>
      </c>
      <c r="M45" s="3519">
        <v>125</v>
      </c>
      <c r="N45" s="3519">
        <v>2</v>
      </c>
      <c r="O45" s="3520" t="s">
        <v>1036</v>
      </c>
      <c r="Q45" s="3514" t="s">
        <v>75</v>
      </c>
      <c r="R45" s="3514" t="s">
        <v>868</v>
      </c>
      <c r="S45" s="3514" t="s">
        <v>20</v>
      </c>
      <c r="T45" s="4082">
        <v>0.95</v>
      </c>
      <c r="U45" s="4082">
        <v>0.8</v>
      </c>
      <c r="V45" s="4082">
        <v>0.76</v>
      </c>
      <c r="W45" s="4083">
        <v>5.8847499999999997E-2</v>
      </c>
      <c r="X45" s="4084">
        <v>1.4267500000000001E-2</v>
      </c>
      <c r="Y45" s="4085">
        <v>0.23064516129032259</v>
      </c>
      <c r="Z45" s="4081">
        <v>14000</v>
      </c>
      <c r="AA45" s="4081">
        <v>125</v>
      </c>
      <c r="AB45" s="4081">
        <v>4</v>
      </c>
      <c r="AC45" s="4081" t="s">
        <v>1036</v>
      </c>
    </row>
    <row r="46" spans="1:29">
      <c r="A46" s="3513">
        <v>26</v>
      </c>
      <c r="B46" s="3514" t="s">
        <v>864</v>
      </c>
      <c r="C46" s="4081">
        <v>26</v>
      </c>
      <c r="D46" s="3514" t="s">
        <v>20</v>
      </c>
      <c r="E46" s="3514" t="s">
        <v>888</v>
      </c>
      <c r="F46" s="3515">
        <v>0.95</v>
      </c>
      <c r="G46" s="3515">
        <v>0.9</v>
      </c>
      <c r="H46" s="3515">
        <f t="shared" si="0"/>
        <v>0.85499999999999998</v>
      </c>
      <c r="I46" s="3516">
        <v>6.4329999999999998E-2</v>
      </c>
      <c r="J46" s="3517">
        <v>4.4400000000000004E-3</v>
      </c>
      <c r="K46" s="3518">
        <v>6.901912016166642E-2</v>
      </c>
      <c r="L46" s="3519">
        <v>5500</v>
      </c>
      <c r="M46" s="3519">
        <v>125</v>
      </c>
      <c r="N46" s="3519">
        <v>2</v>
      </c>
      <c r="O46" s="3520" t="s">
        <v>1036</v>
      </c>
      <c r="Q46" s="3514" t="s">
        <v>952</v>
      </c>
      <c r="R46" s="3514" t="s">
        <v>868</v>
      </c>
      <c r="S46" s="3514" t="s">
        <v>20</v>
      </c>
      <c r="T46" s="4082">
        <v>0.95</v>
      </c>
      <c r="U46" s="4082">
        <v>0.8</v>
      </c>
      <c r="V46" s="4082">
        <v>0.76</v>
      </c>
      <c r="W46" s="4083">
        <v>5.5E-2</v>
      </c>
      <c r="X46" s="4084">
        <v>0.84699999999999998</v>
      </c>
      <c r="Y46" s="4085">
        <v>15.4</v>
      </c>
      <c r="Z46" s="4081">
        <v>9000</v>
      </c>
      <c r="AA46" s="4081">
        <v>125</v>
      </c>
      <c r="AB46" s="4081">
        <v>4</v>
      </c>
      <c r="AC46" s="4081" t="s">
        <v>1036</v>
      </c>
    </row>
    <row r="47" spans="1:29">
      <c r="A47" s="3513">
        <v>27</v>
      </c>
      <c r="B47" s="3514" t="s">
        <v>866</v>
      </c>
      <c r="C47" s="4081">
        <v>27</v>
      </c>
      <c r="D47" s="3514" t="s">
        <v>20</v>
      </c>
      <c r="E47" s="3514" t="s">
        <v>865</v>
      </c>
      <c r="F47" s="3515">
        <v>0.95</v>
      </c>
      <c r="G47" s="3515">
        <v>0.9</v>
      </c>
      <c r="H47" s="3515">
        <f t="shared" si="0"/>
        <v>0.85499999999999998</v>
      </c>
      <c r="I47" s="3516">
        <v>6.4329999999999998E-2</v>
      </c>
      <c r="J47" s="3517">
        <v>4.4400000000000004E-3</v>
      </c>
      <c r="K47" s="3518">
        <v>6.901912016166642E-2</v>
      </c>
      <c r="L47" s="3519">
        <v>7300</v>
      </c>
      <c r="M47" s="3519">
        <v>125</v>
      </c>
      <c r="N47" s="3519">
        <v>2</v>
      </c>
      <c r="O47" s="3520" t="s">
        <v>1036</v>
      </c>
      <c r="Q47" s="3514" t="s">
        <v>396</v>
      </c>
      <c r="R47" s="3514" t="s">
        <v>848</v>
      </c>
      <c r="S47" s="3514" t="s">
        <v>887</v>
      </c>
      <c r="T47" s="4082">
        <v>0.95</v>
      </c>
      <c r="U47" s="4082">
        <v>0.85</v>
      </c>
      <c r="V47" s="4082">
        <v>0.8075</v>
      </c>
      <c r="W47" s="4083">
        <v>1.04026</v>
      </c>
      <c r="X47" s="4084">
        <v>0.45685999999999999</v>
      </c>
      <c r="Y47" s="4085">
        <v>0.4563346130531421</v>
      </c>
      <c r="Z47" s="4081">
        <v>2000</v>
      </c>
      <c r="AA47" s="4081">
        <v>350</v>
      </c>
      <c r="AB47" s="4081">
        <v>1</v>
      </c>
      <c r="AC47" s="4081" t="s">
        <v>1036</v>
      </c>
    </row>
    <row r="48" spans="1:29">
      <c r="A48" s="3513" t="s">
        <v>1173</v>
      </c>
      <c r="B48" s="3514" t="s">
        <v>951</v>
      </c>
      <c r="C48" s="4081" t="s">
        <v>1173</v>
      </c>
      <c r="D48" s="3514" t="s">
        <v>20</v>
      </c>
      <c r="E48" s="3514" t="s">
        <v>865</v>
      </c>
      <c r="F48" s="3515">
        <v>0.95</v>
      </c>
      <c r="G48" s="3515">
        <v>0.9</v>
      </c>
      <c r="H48" s="3515">
        <f t="shared" si="0"/>
        <v>0.85499999999999998</v>
      </c>
      <c r="I48" s="3516">
        <v>6.4329999999999998E-2</v>
      </c>
      <c r="J48" s="3517">
        <v>4.4400000000000004E-3</v>
      </c>
      <c r="K48" s="3518">
        <v>6.901912016166642E-2</v>
      </c>
      <c r="L48" s="3519">
        <v>5500</v>
      </c>
      <c r="M48" s="3519">
        <v>125</v>
      </c>
      <c r="N48" s="3519">
        <v>2</v>
      </c>
      <c r="O48" s="3520" t="s">
        <v>1036</v>
      </c>
      <c r="Q48" s="3514" t="s">
        <v>264</v>
      </c>
      <c r="R48" s="3514" t="s">
        <v>848</v>
      </c>
      <c r="S48" s="3514" t="s">
        <v>887</v>
      </c>
      <c r="T48" s="4082">
        <v>0.95</v>
      </c>
      <c r="U48" s="4082">
        <v>0.85</v>
      </c>
      <c r="V48" s="4082">
        <v>0.8075</v>
      </c>
      <c r="W48" s="4083">
        <v>0.97750000000000004</v>
      </c>
      <c r="X48" s="4084">
        <v>0.44779000000000002</v>
      </c>
      <c r="Y48" s="4085">
        <v>0.45809718670076727</v>
      </c>
      <c r="Z48" s="4081">
        <v>3600</v>
      </c>
      <c r="AA48" s="4081">
        <v>350</v>
      </c>
      <c r="AB48" s="4081">
        <v>2</v>
      </c>
      <c r="AC48" s="4081" t="s">
        <v>1036</v>
      </c>
    </row>
    <row r="49" spans="1:29">
      <c r="A49" s="3513" t="s">
        <v>1173</v>
      </c>
      <c r="B49" s="3514" t="s">
        <v>867</v>
      </c>
      <c r="C49" s="4081" t="s">
        <v>1173</v>
      </c>
      <c r="D49" s="3514" t="s">
        <v>20</v>
      </c>
      <c r="E49" s="3514" t="s">
        <v>865</v>
      </c>
      <c r="F49" s="3515">
        <v>0.95</v>
      </c>
      <c r="G49" s="3515">
        <v>0.85</v>
      </c>
      <c r="H49" s="3515">
        <f t="shared" si="0"/>
        <v>0.8075</v>
      </c>
      <c r="I49" s="3516">
        <v>6.4329999999999998E-2</v>
      </c>
      <c r="J49" s="3517">
        <v>2E-3</v>
      </c>
      <c r="K49" s="3518">
        <v>3.1089693766516401E-2</v>
      </c>
      <c r="L49" s="3519">
        <v>7200</v>
      </c>
      <c r="M49" s="3519">
        <v>125</v>
      </c>
      <c r="N49" s="3519">
        <v>2</v>
      </c>
      <c r="O49" s="3520" t="s">
        <v>1036</v>
      </c>
      <c r="Q49" s="3514"/>
      <c r="R49" s="3514"/>
      <c r="S49" s="3514"/>
      <c r="T49" s="4082"/>
      <c r="U49" s="4082"/>
      <c r="V49" s="4082"/>
      <c r="W49" s="4083"/>
      <c r="X49" s="4084"/>
      <c r="Y49" s="4085"/>
      <c r="Z49" s="4081"/>
      <c r="AA49" s="4081"/>
      <c r="AB49" s="4081"/>
      <c r="AC49" s="4081"/>
    </row>
    <row r="50" spans="1:29">
      <c r="A50" s="3513">
        <v>28</v>
      </c>
      <c r="B50" s="3514" t="s">
        <v>66</v>
      </c>
      <c r="C50" s="4081">
        <v>28</v>
      </c>
      <c r="D50" s="3514" t="s">
        <v>20</v>
      </c>
      <c r="E50" s="3514" t="s">
        <v>865</v>
      </c>
      <c r="F50" s="3515">
        <v>0.95</v>
      </c>
      <c r="G50" s="3515">
        <v>0.74</v>
      </c>
      <c r="H50" s="3515">
        <f t="shared" si="0"/>
        <v>0.70299999999999996</v>
      </c>
      <c r="I50" s="3516">
        <v>6.4329999999999998E-2</v>
      </c>
      <c r="J50" s="3517">
        <v>2E-3</v>
      </c>
      <c r="K50" s="3518">
        <v>3.1089693766516401E-2</v>
      </c>
      <c r="L50" s="3519">
        <v>7200</v>
      </c>
      <c r="M50" s="3519">
        <v>125</v>
      </c>
      <c r="N50" s="3519">
        <v>2</v>
      </c>
      <c r="O50" s="3520" t="s">
        <v>1036</v>
      </c>
      <c r="Q50" s="3514" t="s">
        <v>871</v>
      </c>
      <c r="R50" s="3514" t="s">
        <v>848</v>
      </c>
      <c r="S50" s="3514" t="s">
        <v>887</v>
      </c>
      <c r="T50" s="4082">
        <v>0.95</v>
      </c>
      <c r="U50" s="4082">
        <v>0.7</v>
      </c>
      <c r="V50" s="4082">
        <v>0.66499999999999992</v>
      </c>
      <c r="W50" s="4083">
        <v>1.0724400000000001</v>
      </c>
      <c r="X50" s="4084">
        <v>0.45062000000000002</v>
      </c>
      <c r="Y50" s="4085">
        <v>0.45822352810508993</v>
      </c>
      <c r="Z50" s="4081">
        <v>1700</v>
      </c>
      <c r="AA50" s="4081">
        <v>350</v>
      </c>
      <c r="AB50" s="4081">
        <v>1</v>
      </c>
      <c r="AC50" s="4081" t="s">
        <v>1036</v>
      </c>
    </row>
    <row r="51" spans="1:29">
      <c r="A51" s="3513" t="s">
        <v>1173</v>
      </c>
      <c r="B51" s="3514" t="s">
        <v>869</v>
      </c>
      <c r="C51" s="4081" t="s">
        <v>1173</v>
      </c>
      <c r="D51" s="3514" t="s">
        <v>20</v>
      </c>
      <c r="E51" s="3514" t="s">
        <v>868</v>
      </c>
      <c r="F51" s="3515">
        <v>0.95</v>
      </c>
      <c r="G51" s="3515">
        <v>0.75</v>
      </c>
      <c r="H51" s="3515">
        <f t="shared" si="0"/>
        <v>0.71249999999999991</v>
      </c>
      <c r="I51" s="3516">
        <v>6.4329999999999998E-2</v>
      </c>
      <c r="J51" s="3517">
        <v>2E-3</v>
      </c>
      <c r="K51" s="3518">
        <v>3.1089693766516401E-2</v>
      </c>
      <c r="L51" s="3519">
        <v>7200</v>
      </c>
      <c r="M51" s="3519">
        <v>125</v>
      </c>
      <c r="N51" s="3519">
        <v>2</v>
      </c>
      <c r="O51" s="3520" t="s">
        <v>1036</v>
      </c>
      <c r="Q51" s="3514"/>
      <c r="R51" s="3514"/>
      <c r="S51" s="3514"/>
      <c r="T51" s="4082"/>
      <c r="U51" s="4082"/>
      <c r="V51" s="4082"/>
      <c r="W51" s="4083"/>
      <c r="X51" s="4084"/>
      <c r="Y51" s="4085"/>
      <c r="Z51" s="4081"/>
      <c r="AA51" s="4081"/>
      <c r="AB51" s="4081"/>
      <c r="AC51" s="4081"/>
    </row>
    <row r="52" spans="1:29">
      <c r="A52" s="3513" t="s">
        <v>1173</v>
      </c>
      <c r="B52" s="3514" t="s">
        <v>870</v>
      </c>
      <c r="C52" s="4081" t="s">
        <v>1173</v>
      </c>
      <c r="D52" s="3514" t="s">
        <v>20</v>
      </c>
      <c r="E52" s="3514" t="s">
        <v>868</v>
      </c>
      <c r="F52" s="3515">
        <v>0.95</v>
      </c>
      <c r="G52" s="3515">
        <v>0.75</v>
      </c>
      <c r="H52" s="3515">
        <f t="shared" si="0"/>
        <v>0.71249999999999991</v>
      </c>
      <c r="I52" s="3516">
        <v>6.4329999999999998E-2</v>
      </c>
      <c r="J52" s="3517">
        <v>2E-3</v>
      </c>
      <c r="K52" s="3518">
        <v>3.1089693766516401E-2</v>
      </c>
      <c r="L52" s="3519">
        <v>7200</v>
      </c>
      <c r="M52" s="3519">
        <v>125</v>
      </c>
      <c r="N52" s="3519">
        <v>2</v>
      </c>
      <c r="O52" s="3520" t="s">
        <v>1036</v>
      </c>
      <c r="Q52" s="3514" t="s">
        <v>872</v>
      </c>
      <c r="R52" s="3514" t="s">
        <v>857</v>
      </c>
      <c r="S52" s="3514" t="s">
        <v>887</v>
      </c>
      <c r="T52" s="4082">
        <v>0.95</v>
      </c>
      <c r="U52" s="4082">
        <v>0.85</v>
      </c>
      <c r="V52" s="4082">
        <v>0.8075</v>
      </c>
      <c r="W52" s="4083">
        <v>0.31975999999999999</v>
      </c>
      <c r="X52" s="4084">
        <v>0.12453</v>
      </c>
      <c r="Y52" s="4085">
        <v>0.38468911356398605</v>
      </c>
      <c r="Z52" s="4081">
        <v>4900</v>
      </c>
      <c r="AA52" s="4081">
        <v>350</v>
      </c>
      <c r="AB52" s="4081">
        <v>2</v>
      </c>
      <c r="AC52" s="4081" t="s">
        <v>1036</v>
      </c>
    </row>
    <row r="53" spans="1:29">
      <c r="A53" s="3513">
        <v>29</v>
      </c>
      <c r="B53" s="3514" t="s">
        <v>75</v>
      </c>
      <c r="C53" s="4081">
        <v>29</v>
      </c>
      <c r="D53" s="3514" t="s">
        <v>20</v>
      </c>
      <c r="E53" s="3514" t="s">
        <v>868</v>
      </c>
      <c r="F53" s="3515">
        <v>0.95</v>
      </c>
      <c r="G53" s="3515">
        <v>0.8</v>
      </c>
      <c r="H53" s="3515">
        <f t="shared" si="0"/>
        <v>0.76</v>
      </c>
      <c r="I53" s="3516">
        <v>6.4329999999999998E-2</v>
      </c>
      <c r="J53" s="3517">
        <v>2E-3</v>
      </c>
      <c r="K53" s="3518">
        <v>3.1089693766516401E-2</v>
      </c>
      <c r="L53" s="3519">
        <v>15000</v>
      </c>
      <c r="M53" s="3519">
        <v>125</v>
      </c>
      <c r="N53" s="3519">
        <v>2</v>
      </c>
      <c r="O53" s="3520" t="s">
        <v>1036</v>
      </c>
      <c r="Q53" s="3514" t="s">
        <v>873</v>
      </c>
      <c r="R53" s="3514" t="s">
        <v>857</v>
      </c>
      <c r="S53" s="3514" t="s">
        <v>887</v>
      </c>
      <c r="T53" s="4082">
        <v>0.95</v>
      </c>
      <c r="U53" s="4082">
        <v>0.85</v>
      </c>
      <c r="V53" s="4082">
        <v>0.8075</v>
      </c>
      <c r="W53" s="4083">
        <v>0.67000499999999996</v>
      </c>
      <c r="X53" s="4084">
        <v>0.25529000000000002</v>
      </c>
      <c r="Y53" s="4085">
        <v>0.37720694097143287</v>
      </c>
      <c r="Z53" s="4081">
        <v>3600</v>
      </c>
      <c r="AA53" s="4081">
        <v>350</v>
      </c>
      <c r="AB53" s="4081">
        <v>2</v>
      </c>
      <c r="AC53" s="4081" t="s">
        <v>1036</v>
      </c>
    </row>
    <row r="54" spans="1:29">
      <c r="A54" s="3513" t="s">
        <v>1173</v>
      </c>
      <c r="B54" s="3514" t="s">
        <v>952</v>
      </c>
      <c r="C54" s="4081" t="s">
        <v>1173</v>
      </c>
      <c r="D54" s="3514" t="s">
        <v>20</v>
      </c>
      <c r="E54" s="3514" t="s">
        <v>868</v>
      </c>
      <c r="F54" s="3515">
        <v>0.95</v>
      </c>
      <c r="G54" s="3515">
        <v>0.75</v>
      </c>
      <c r="H54" s="3515">
        <f t="shared" si="0"/>
        <v>0.71249999999999991</v>
      </c>
      <c r="I54" s="3516">
        <v>6.4329999999999998E-2</v>
      </c>
      <c r="J54" s="3517">
        <v>2E-3</v>
      </c>
      <c r="K54" s="3518">
        <v>3.1089693766516401E-2</v>
      </c>
      <c r="L54" s="3519">
        <v>7200</v>
      </c>
      <c r="M54" s="3519">
        <v>125</v>
      </c>
      <c r="N54" s="3519">
        <v>2</v>
      </c>
      <c r="O54" s="3520" t="s">
        <v>1036</v>
      </c>
      <c r="Q54" s="3514" t="s">
        <v>874</v>
      </c>
      <c r="R54" s="3514" t="s">
        <v>857</v>
      </c>
      <c r="S54" s="3514" t="s">
        <v>235</v>
      </c>
      <c r="T54" s="4082">
        <v>0.95</v>
      </c>
      <c r="U54" s="4082">
        <v>0.85</v>
      </c>
      <c r="V54" s="4082">
        <v>0.8075</v>
      </c>
      <c r="W54" s="4083">
        <v>0.74</v>
      </c>
      <c r="X54" s="4084">
        <v>0.25159999999999999</v>
      </c>
      <c r="Y54" s="4085">
        <v>0.33999999999999997</v>
      </c>
      <c r="Z54" s="4081">
        <v>4000</v>
      </c>
      <c r="AA54" s="4081">
        <v>350</v>
      </c>
      <c r="AB54" s="4081">
        <v>2</v>
      </c>
      <c r="AC54" s="4081" t="s">
        <v>1036</v>
      </c>
    </row>
    <row r="55" spans="1:29" ht="16.2" customHeight="1">
      <c r="A55" s="3513">
        <v>30</v>
      </c>
      <c r="B55" s="3514" t="s">
        <v>396</v>
      </c>
      <c r="C55" s="4081">
        <v>30</v>
      </c>
      <c r="D55" s="3514" t="s">
        <v>887</v>
      </c>
      <c r="E55" s="3514" t="s">
        <v>848</v>
      </c>
      <c r="F55" s="3515">
        <v>0.95</v>
      </c>
      <c r="G55" s="3515">
        <v>0.79</v>
      </c>
      <c r="H55" s="3515">
        <f t="shared" si="0"/>
        <v>0.75049999999999994</v>
      </c>
      <c r="I55" s="3516">
        <v>1.0724400000000001</v>
      </c>
      <c r="J55" s="3517">
        <v>0.42599999999999999</v>
      </c>
      <c r="K55" s="3518">
        <v>0.39722501958151502</v>
      </c>
      <c r="L55" s="3519">
        <v>1700</v>
      </c>
      <c r="M55" s="3519">
        <v>350</v>
      </c>
      <c r="N55" s="3519">
        <v>1</v>
      </c>
      <c r="O55" s="3520" t="s">
        <v>1036</v>
      </c>
      <c r="Q55" s="3514" t="s">
        <v>876</v>
      </c>
      <c r="R55" s="3514" t="s">
        <v>875</v>
      </c>
      <c r="S55" s="3514" t="s">
        <v>235</v>
      </c>
      <c r="T55" s="4082">
        <v>0.95</v>
      </c>
      <c r="U55" s="4082">
        <v>0.85</v>
      </c>
      <c r="V55" s="4082">
        <v>0.8075</v>
      </c>
      <c r="W55" s="4083">
        <v>0.37734500000000004</v>
      </c>
      <c r="X55" s="4084">
        <v>0.13162499999999999</v>
      </c>
      <c r="Y55" s="4085">
        <v>0.33811624286455638</v>
      </c>
      <c r="Z55" s="4081">
        <v>4000</v>
      </c>
      <c r="AA55" s="4081">
        <v>350</v>
      </c>
      <c r="AB55" s="4081">
        <v>2</v>
      </c>
      <c r="AC55" s="4081" t="s">
        <v>1036</v>
      </c>
    </row>
    <row r="56" spans="1:29">
      <c r="A56" s="3513">
        <v>31</v>
      </c>
      <c r="B56" s="3514" t="s">
        <v>264</v>
      </c>
      <c r="C56" s="4081">
        <v>31</v>
      </c>
      <c r="D56" s="3514" t="s">
        <v>887</v>
      </c>
      <c r="E56" s="3514" t="s">
        <v>848</v>
      </c>
      <c r="F56" s="3515">
        <v>0.95</v>
      </c>
      <c r="G56" s="3515">
        <v>0.79</v>
      </c>
      <c r="H56" s="3515">
        <f t="shared" si="0"/>
        <v>0.75049999999999994</v>
      </c>
      <c r="I56" s="3516">
        <v>1.0724400000000001</v>
      </c>
      <c r="J56" s="3517">
        <v>0.42599999999999999</v>
      </c>
      <c r="K56" s="3518">
        <v>0.39722501958151502</v>
      </c>
      <c r="L56" s="3519">
        <v>3500</v>
      </c>
      <c r="M56" s="3519">
        <v>350</v>
      </c>
      <c r="N56" s="3519">
        <v>1</v>
      </c>
      <c r="O56" s="3520" t="s">
        <v>1036</v>
      </c>
      <c r="Q56" s="3514" t="s">
        <v>877</v>
      </c>
      <c r="R56" s="3514" t="s">
        <v>848</v>
      </c>
      <c r="S56" s="3514" t="s">
        <v>22</v>
      </c>
      <c r="T56" s="4082">
        <v>0.95</v>
      </c>
      <c r="U56" s="4082">
        <v>0.85</v>
      </c>
      <c r="V56" s="4082">
        <v>0.8075</v>
      </c>
      <c r="W56" s="4083">
        <v>0.25709500000000002</v>
      </c>
      <c r="X56" s="4084">
        <v>7.2260000000000005E-2</v>
      </c>
      <c r="Y56" s="4085">
        <v>0.28590350853411511</v>
      </c>
      <c r="Z56" s="4081">
        <v>4200</v>
      </c>
      <c r="AA56" s="4081">
        <v>350</v>
      </c>
      <c r="AB56" s="4081">
        <v>2</v>
      </c>
      <c r="AC56" s="4081" t="s">
        <v>1042</v>
      </c>
    </row>
    <row r="57" spans="1:29">
      <c r="A57" s="3513">
        <v>32</v>
      </c>
      <c r="B57" s="3514" t="s">
        <v>871</v>
      </c>
      <c r="C57" s="4081">
        <v>32</v>
      </c>
      <c r="D57" s="3514" t="s">
        <v>887</v>
      </c>
      <c r="E57" s="3514" t="s">
        <v>848</v>
      </c>
      <c r="F57" s="3515">
        <v>0.95</v>
      </c>
      <c r="G57" s="3515">
        <v>0.79</v>
      </c>
      <c r="H57" s="3515">
        <f t="shared" si="0"/>
        <v>0.75049999999999994</v>
      </c>
      <c r="I57" s="3516">
        <v>1.0724400000000001</v>
      </c>
      <c r="J57" s="3517">
        <v>0.42599999999999999</v>
      </c>
      <c r="K57" s="3518">
        <v>0.39722501958151502</v>
      </c>
      <c r="L57" s="3519">
        <v>1700</v>
      </c>
      <c r="M57" s="3519">
        <v>350</v>
      </c>
      <c r="N57" s="3519">
        <v>1</v>
      </c>
      <c r="O57" s="3520" t="s">
        <v>1036</v>
      </c>
      <c r="Q57" s="3514" t="s">
        <v>878</v>
      </c>
      <c r="R57" s="3514" t="s">
        <v>848</v>
      </c>
      <c r="S57" s="3514" t="s">
        <v>22</v>
      </c>
      <c r="T57" s="4082">
        <v>0.95</v>
      </c>
      <c r="U57" s="4082">
        <v>0.85</v>
      </c>
      <c r="V57" s="4082">
        <v>0.8075</v>
      </c>
      <c r="W57" s="4083">
        <v>0.210785</v>
      </c>
      <c r="X57" s="4084">
        <v>7.1415000000000006E-2</v>
      </c>
      <c r="Y57" s="4085">
        <v>0.31611597518588586</v>
      </c>
      <c r="Z57" s="4081">
        <v>3800</v>
      </c>
      <c r="AA57" s="4081">
        <v>350</v>
      </c>
      <c r="AB57" s="4081">
        <v>2</v>
      </c>
      <c r="AC57" s="4081" t="s">
        <v>1042</v>
      </c>
    </row>
    <row r="58" spans="1:29">
      <c r="A58" s="3513" t="s">
        <v>1173</v>
      </c>
      <c r="B58" s="3514" t="s">
        <v>1221</v>
      </c>
      <c r="C58" s="4081" t="s">
        <v>1173</v>
      </c>
      <c r="D58" s="3514" t="s">
        <v>887</v>
      </c>
      <c r="E58" s="3514" t="s">
        <v>848</v>
      </c>
      <c r="F58" s="3515">
        <v>0.95</v>
      </c>
      <c r="G58" s="3515">
        <v>0.7</v>
      </c>
      <c r="H58" s="3515">
        <f t="shared" si="0"/>
        <v>0.66499999999999992</v>
      </c>
      <c r="I58" s="3516">
        <v>1.0724400000000001</v>
      </c>
      <c r="J58" s="3517">
        <v>0.42599999999999999</v>
      </c>
      <c r="K58" s="3518">
        <v>0.39722501958151502</v>
      </c>
      <c r="L58" s="3519">
        <v>1700</v>
      </c>
      <c r="M58" s="3519">
        <v>350</v>
      </c>
      <c r="N58" s="3519">
        <v>1</v>
      </c>
      <c r="O58" s="3520" t="s">
        <v>1036</v>
      </c>
      <c r="Q58" s="3514" t="s">
        <v>879</v>
      </c>
      <c r="R58" s="3514" t="s">
        <v>848</v>
      </c>
      <c r="S58" s="3514" t="s">
        <v>22</v>
      </c>
      <c r="T58" s="4082">
        <v>0.95</v>
      </c>
      <c r="U58" s="4082">
        <v>0.85</v>
      </c>
      <c r="V58" s="4082">
        <v>0.8075</v>
      </c>
      <c r="W58" s="4083">
        <v>0.24384500000000001</v>
      </c>
      <c r="X58" s="4084">
        <v>7.2654999999999997E-2</v>
      </c>
      <c r="Y58" s="4085">
        <v>0.32372739671784945</v>
      </c>
      <c r="Z58" s="4081">
        <v>4000</v>
      </c>
      <c r="AA58" s="4081">
        <v>350</v>
      </c>
      <c r="AB58" s="4081">
        <v>2</v>
      </c>
      <c r="AC58" s="4081" t="s">
        <v>1042</v>
      </c>
    </row>
    <row r="59" spans="1:29">
      <c r="A59" s="3513" t="s">
        <v>1173</v>
      </c>
      <c r="B59" s="3514" t="s">
        <v>1222</v>
      </c>
      <c r="C59" s="4081" t="s">
        <v>1173</v>
      </c>
      <c r="D59" s="3514" t="s">
        <v>887</v>
      </c>
      <c r="E59" s="3514" t="s">
        <v>848</v>
      </c>
      <c r="F59" s="3515">
        <v>0.95</v>
      </c>
      <c r="G59" s="3515">
        <v>0.7</v>
      </c>
      <c r="H59" s="3515">
        <f t="shared" si="0"/>
        <v>0.66499999999999992</v>
      </c>
      <c r="I59" s="3516">
        <v>1.0724400000000001</v>
      </c>
      <c r="J59" s="3517">
        <v>0.42599999999999999</v>
      </c>
      <c r="K59" s="3518">
        <v>0.39722501958151502</v>
      </c>
      <c r="L59" s="3519">
        <v>1700</v>
      </c>
      <c r="M59" s="3519">
        <v>350</v>
      </c>
      <c r="N59" s="3519">
        <v>1</v>
      </c>
      <c r="O59" s="3520" t="s">
        <v>1036</v>
      </c>
      <c r="Q59" s="3514" t="s">
        <v>399</v>
      </c>
      <c r="R59" s="3514" t="s">
        <v>857</v>
      </c>
      <c r="S59" s="3514" t="s">
        <v>22</v>
      </c>
      <c r="T59" s="4082">
        <v>0.95</v>
      </c>
      <c r="U59" s="4082">
        <v>0.85</v>
      </c>
      <c r="V59" s="4082">
        <v>0.8075</v>
      </c>
      <c r="W59" s="4083">
        <v>0.14834</v>
      </c>
      <c r="X59" s="4084">
        <v>2.9415E-2</v>
      </c>
      <c r="Y59" s="4085">
        <v>0.19049434489769984</v>
      </c>
      <c r="Z59" s="4081">
        <v>7000</v>
      </c>
      <c r="AA59" s="4081">
        <v>125</v>
      </c>
      <c r="AB59" s="4081">
        <v>2</v>
      </c>
      <c r="AC59" s="4081" t="s">
        <v>1042</v>
      </c>
    </row>
    <row r="60" spans="1:29">
      <c r="A60" s="3513" t="s">
        <v>1173</v>
      </c>
      <c r="B60" s="3514" t="s">
        <v>1223</v>
      </c>
      <c r="C60" s="4081" t="s">
        <v>1173</v>
      </c>
      <c r="D60" s="3514" t="s">
        <v>887</v>
      </c>
      <c r="E60" s="3514" t="s">
        <v>848</v>
      </c>
      <c r="F60" s="3515">
        <v>0.95</v>
      </c>
      <c r="G60" s="3515">
        <v>0.7</v>
      </c>
      <c r="H60" s="3515">
        <f t="shared" si="0"/>
        <v>0.66499999999999992</v>
      </c>
      <c r="I60" s="3516">
        <v>1.0724400000000001</v>
      </c>
      <c r="J60" s="3517">
        <v>0.48799999999999999</v>
      </c>
      <c r="K60" s="3518">
        <v>0.45503711163328481</v>
      </c>
      <c r="L60" s="3519">
        <v>1700</v>
      </c>
      <c r="M60" s="3519">
        <v>350</v>
      </c>
      <c r="N60" s="3519">
        <v>1</v>
      </c>
      <c r="O60" s="3520" t="s">
        <v>1036</v>
      </c>
      <c r="Q60" s="3514" t="s">
        <v>880</v>
      </c>
      <c r="R60" s="3514" t="s">
        <v>857</v>
      </c>
      <c r="S60" s="3514" t="s">
        <v>22</v>
      </c>
      <c r="T60" s="4082">
        <v>0.95</v>
      </c>
      <c r="U60" s="4082">
        <v>0.85</v>
      </c>
      <c r="V60" s="4082">
        <v>0.8075</v>
      </c>
      <c r="W60" s="4083">
        <v>0.14130999999999999</v>
      </c>
      <c r="X60" s="4084">
        <v>2.9250000000000002E-2</v>
      </c>
      <c r="Y60" s="4085">
        <v>0.20699172033118679</v>
      </c>
      <c r="Z60" s="4081">
        <v>6900</v>
      </c>
      <c r="AA60" s="4081">
        <v>125</v>
      </c>
      <c r="AB60" s="4081">
        <v>2</v>
      </c>
      <c r="AC60" s="4081" t="s">
        <v>1042</v>
      </c>
    </row>
    <row r="61" spans="1:29">
      <c r="A61" s="3513">
        <v>33</v>
      </c>
      <c r="B61" s="3514" t="s">
        <v>872</v>
      </c>
      <c r="C61" s="4081">
        <v>33</v>
      </c>
      <c r="D61" s="3514" t="s">
        <v>887</v>
      </c>
      <c r="E61" s="3514" t="s">
        <v>857</v>
      </c>
      <c r="F61" s="3515">
        <v>0.95</v>
      </c>
      <c r="G61" s="3515">
        <v>0.84</v>
      </c>
      <c r="H61" s="3515">
        <f t="shared" si="0"/>
        <v>0.79799999999999993</v>
      </c>
      <c r="I61" s="3516">
        <v>0.3</v>
      </c>
      <c r="J61" s="3517">
        <v>0.13</v>
      </c>
      <c r="K61" s="3518">
        <v>0.43333333333333335</v>
      </c>
      <c r="L61" s="3519">
        <v>5100</v>
      </c>
      <c r="M61" s="3519">
        <v>350</v>
      </c>
      <c r="N61" s="3519">
        <v>4</v>
      </c>
      <c r="O61" s="3520" t="s">
        <v>1036</v>
      </c>
      <c r="Q61" s="3514" t="s">
        <v>881</v>
      </c>
      <c r="R61" s="3514" t="s">
        <v>857</v>
      </c>
      <c r="S61" s="3514" t="s">
        <v>22</v>
      </c>
      <c r="T61" s="4082">
        <v>0.95</v>
      </c>
      <c r="U61" s="4082">
        <v>0.85</v>
      </c>
      <c r="V61" s="4082">
        <v>0.8075</v>
      </c>
      <c r="W61" s="4083">
        <v>0.15474000000000002</v>
      </c>
      <c r="X61" s="4084">
        <v>2.9190000000000001E-2</v>
      </c>
      <c r="Y61" s="4085">
        <v>0.18540409382193743</v>
      </c>
      <c r="Z61" s="4081">
        <v>6600</v>
      </c>
      <c r="AA61" s="4081">
        <v>125</v>
      </c>
      <c r="AB61" s="4081">
        <v>2</v>
      </c>
      <c r="AC61" s="4081" t="s">
        <v>1042</v>
      </c>
    </row>
    <row r="62" spans="1:29">
      <c r="A62" s="3513">
        <v>34</v>
      </c>
      <c r="B62" s="3514" t="s">
        <v>873</v>
      </c>
      <c r="C62" s="4081">
        <v>34</v>
      </c>
      <c r="D62" s="3514" t="s">
        <v>887</v>
      </c>
      <c r="E62" s="3514" t="s">
        <v>857</v>
      </c>
      <c r="F62" s="3515">
        <v>0.95</v>
      </c>
      <c r="G62" s="3515">
        <v>0.93</v>
      </c>
      <c r="H62" s="3515">
        <f t="shared" si="0"/>
        <v>0.88349999999999995</v>
      </c>
      <c r="I62" s="3516">
        <v>0.3</v>
      </c>
      <c r="J62" s="3517">
        <v>0.13</v>
      </c>
      <c r="K62" s="3518">
        <v>0.43333333333333335</v>
      </c>
      <c r="L62" s="3519">
        <v>3400</v>
      </c>
      <c r="M62" s="3519">
        <v>350</v>
      </c>
      <c r="N62" s="3519">
        <v>4</v>
      </c>
      <c r="O62" s="3520" t="s">
        <v>1036</v>
      </c>
      <c r="Q62" s="3514" t="s">
        <v>882</v>
      </c>
      <c r="R62" s="3514" t="s">
        <v>868</v>
      </c>
      <c r="S62" s="3514" t="s">
        <v>22</v>
      </c>
      <c r="T62" s="4082">
        <v>0.95</v>
      </c>
      <c r="U62" s="4082">
        <v>0.85</v>
      </c>
      <c r="V62" s="4082">
        <v>0.8075</v>
      </c>
      <c r="W62" s="4083">
        <v>4.6962499999999997E-2</v>
      </c>
      <c r="X62" s="4084">
        <v>3.1624999999999999E-3</v>
      </c>
      <c r="Y62" s="4085">
        <v>6.2547819433817903E-2</v>
      </c>
      <c r="Z62" s="4081">
        <v>14000</v>
      </c>
      <c r="AA62" s="4081">
        <v>125</v>
      </c>
      <c r="AB62" s="4081">
        <v>4</v>
      </c>
      <c r="AC62" s="4081" t="s">
        <v>1042</v>
      </c>
    </row>
    <row r="63" spans="1:29">
      <c r="A63" s="3513" t="s">
        <v>1173</v>
      </c>
      <c r="B63" s="3514" t="s">
        <v>1224</v>
      </c>
      <c r="C63" s="4081" t="s">
        <v>1173</v>
      </c>
      <c r="D63" s="3514" t="s">
        <v>887</v>
      </c>
      <c r="E63" s="3514" t="s">
        <v>857</v>
      </c>
      <c r="F63" s="3515">
        <v>0.95</v>
      </c>
      <c r="G63" s="3515">
        <v>0.79</v>
      </c>
      <c r="H63" s="3515">
        <f t="shared" si="0"/>
        <v>0.75049999999999994</v>
      </c>
      <c r="I63" s="3516">
        <v>0.67000499999999996</v>
      </c>
      <c r="J63" s="3517">
        <v>0.27400000000000002</v>
      </c>
      <c r="K63" s="3518">
        <v>0.40895217199871647</v>
      </c>
      <c r="L63" s="3519">
        <v>3300</v>
      </c>
      <c r="M63" s="3519">
        <v>350</v>
      </c>
      <c r="N63" s="3519">
        <v>2</v>
      </c>
      <c r="O63" s="3520" t="s">
        <v>1036</v>
      </c>
      <c r="Q63" s="3514" t="s">
        <v>883</v>
      </c>
      <c r="R63" s="3514" t="s">
        <v>875</v>
      </c>
      <c r="S63" s="3514" t="s">
        <v>22</v>
      </c>
      <c r="T63" s="4082">
        <v>0.95</v>
      </c>
      <c r="U63" s="4082">
        <v>0.85</v>
      </c>
      <c r="V63" s="4082">
        <v>0.8075</v>
      </c>
      <c r="W63" s="4083">
        <v>0.6522</v>
      </c>
      <c r="X63" s="4084">
        <v>0.26254500000000003</v>
      </c>
      <c r="Y63" s="4085">
        <v>0.40485968514715948</v>
      </c>
      <c r="Z63" s="4081">
        <v>3400</v>
      </c>
      <c r="AA63" s="4081">
        <v>350</v>
      </c>
      <c r="AB63" s="4081">
        <v>2</v>
      </c>
      <c r="AC63" s="4081" t="s">
        <v>1036</v>
      </c>
    </row>
    <row r="64" spans="1:29">
      <c r="A64" s="3513" t="s">
        <v>1173</v>
      </c>
      <c r="B64" s="3514" t="s">
        <v>1225</v>
      </c>
      <c r="C64" s="4081" t="s">
        <v>1173</v>
      </c>
      <c r="D64" s="3514" t="s">
        <v>887</v>
      </c>
      <c r="E64" s="3514" t="s">
        <v>857</v>
      </c>
      <c r="F64" s="3515">
        <v>0.95</v>
      </c>
      <c r="G64" s="3515">
        <v>0.79</v>
      </c>
      <c r="H64" s="3515">
        <f t="shared" si="0"/>
        <v>0.75049999999999994</v>
      </c>
      <c r="I64" s="3516">
        <v>0.67000499999999996</v>
      </c>
      <c r="J64" s="3517">
        <v>0.29899999999999999</v>
      </c>
      <c r="K64" s="3518">
        <v>0.44626532637816135</v>
      </c>
      <c r="L64" s="3519">
        <v>3300</v>
      </c>
      <c r="M64" s="3519">
        <v>350</v>
      </c>
      <c r="N64" s="3519">
        <v>2</v>
      </c>
      <c r="O64" s="3520" t="s">
        <v>1036</v>
      </c>
      <c r="Q64" s="3514" t="s">
        <v>884</v>
      </c>
      <c r="R64" s="3514" t="s">
        <v>875</v>
      </c>
      <c r="S64" s="3514" t="s">
        <v>22</v>
      </c>
      <c r="T64" s="4082">
        <v>0.95</v>
      </c>
      <c r="U64" s="4082">
        <v>0.8</v>
      </c>
      <c r="V64" s="4082">
        <v>0.76</v>
      </c>
      <c r="W64" s="4083">
        <v>0.38314999999999999</v>
      </c>
      <c r="X64" s="4084">
        <v>0.33673999999999998</v>
      </c>
      <c r="Y64" s="4085">
        <v>0.87887250424115881</v>
      </c>
      <c r="Z64" s="4081">
        <v>1700</v>
      </c>
      <c r="AA64" s="4081">
        <v>350</v>
      </c>
      <c r="AB64" s="4081">
        <v>1</v>
      </c>
      <c r="AC64" s="4081" t="s">
        <v>1036</v>
      </c>
    </row>
    <row r="65" spans="1:29">
      <c r="A65" s="3513">
        <v>35</v>
      </c>
      <c r="B65" s="3514" t="s">
        <v>1226</v>
      </c>
      <c r="C65" s="4081">
        <v>35</v>
      </c>
      <c r="D65" s="3514" t="s">
        <v>887</v>
      </c>
      <c r="E65" s="3514" t="s">
        <v>857</v>
      </c>
      <c r="F65" s="3515">
        <v>0.95</v>
      </c>
      <c r="G65" s="3515">
        <v>0.79</v>
      </c>
      <c r="H65" s="3515">
        <f t="shared" si="0"/>
        <v>0.75049999999999994</v>
      </c>
      <c r="I65" s="3516">
        <v>0.67000499999999996</v>
      </c>
      <c r="J65" s="3517">
        <v>0.27300000000000002</v>
      </c>
      <c r="K65" s="3518">
        <v>0.40745964582353866</v>
      </c>
      <c r="L65" s="3519">
        <v>3300</v>
      </c>
      <c r="M65" s="3519">
        <v>350</v>
      </c>
      <c r="N65" s="3519">
        <v>2</v>
      </c>
      <c r="O65" s="3520" t="s">
        <v>1036</v>
      </c>
      <c r="Q65" s="3514" t="s">
        <v>885</v>
      </c>
      <c r="R65" s="3514" t="s">
        <v>857</v>
      </c>
      <c r="S65" s="3514" t="s">
        <v>886</v>
      </c>
      <c r="T65" s="4082">
        <v>0.95</v>
      </c>
      <c r="U65" s="4082">
        <v>0.9</v>
      </c>
      <c r="V65" s="4082">
        <v>0.85499999999999998</v>
      </c>
      <c r="W65" s="4083">
        <v>0.22936000000000001</v>
      </c>
      <c r="X65" s="4084">
        <v>9.2909999999999993E-2</v>
      </c>
      <c r="Y65" s="4085">
        <v>0.40508371119637249</v>
      </c>
      <c r="Z65" s="4081">
        <v>5100</v>
      </c>
      <c r="AA65" s="4081">
        <v>350</v>
      </c>
      <c r="AB65" s="4081">
        <v>2</v>
      </c>
      <c r="AC65" s="4081" t="s">
        <v>1036</v>
      </c>
    </row>
    <row r="66" spans="1:29">
      <c r="A66" s="3513">
        <v>36</v>
      </c>
      <c r="B66" s="3514" t="s">
        <v>1227</v>
      </c>
      <c r="C66" s="4081">
        <v>36</v>
      </c>
      <c r="D66" s="3514" t="s">
        <v>887</v>
      </c>
      <c r="E66" s="3514" t="s">
        <v>857</v>
      </c>
      <c r="F66" s="3515">
        <v>0.95</v>
      </c>
      <c r="G66" s="3515">
        <v>0.79</v>
      </c>
      <c r="H66" s="3515">
        <f t="shared" si="0"/>
        <v>0.75049999999999994</v>
      </c>
      <c r="I66" s="3516">
        <v>0.67000499999999996</v>
      </c>
      <c r="J66" s="3517">
        <v>0.29899999999999999</v>
      </c>
      <c r="K66" s="3518">
        <v>0.44626532637816135</v>
      </c>
      <c r="L66" s="3519">
        <v>3300</v>
      </c>
      <c r="M66" s="3519">
        <v>350</v>
      </c>
      <c r="N66" s="3519">
        <v>2</v>
      </c>
      <c r="O66" s="3520" t="s">
        <v>1036</v>
      </c>
      <c r="Q66" s="3520" t="s">
        <v>1044</v>
      </c>
      <c r="R66" s="3520" t="s">
        <v>857</v>
      </c>
      <c r="S66" s="3520" t="s">
        <v>20</v>
      </c>
      <c r="T66" s="3515">
        <v>0.95</v>
      </c>
      <c r="U66" s="3515">
        <v>0.85</v>
      </c>
      <c r="V66" s="3515">
        <v>0.8075</v>
      </c>
      <c r="W66" s="4611">
        <v>0.346225</v>
      </c>
      <c r="X66" s="4612">
        <v>0.14038</v>
      </c>
      <c r="Y66" s="3518">
        <v>0.4054588778973211</v>
      </c>
      <c r="Z66" s="4613">
        <v>6400</v>
      </c>
      <c r="AA66" s="4613">
        <v>350</v>
      </c>
      <c r="AB66" s="4613">
        <v>4</v>
      </c>
      <c r="AC66" s="4613" t="s">
        <v>1036</v>
      </c>
    </row>
    <row r="67" spans="1:29">
      <c r="A67" s="3513">
        <v>37</v>
      </c>
      <c r="B67" s="3514" t="s">
        <v>876</v>
      </c>
      <c r="C67" s="4081">
        <v>37</v>
      </c>
      <c r="D67" s="3514" t="s">
        <v>887</v>
      </c>
      <c r="E67" s="3514" t="s">
        <v>875</v>
      </c>
      <c r="F67" s="3515">
        <v>0.95</v>
      </c>
      <c r="G67" s="3515">
        <v>0.89</v>
      </c>
      <c r="H67" s="3515">
        <f t="shared" si="0"/>
        <v>0.84549999999999992</v>
      </c>
      <c r="I67" s="3516">
        <v>0.3</v>
      </c>
      <c r="J67" s="3517">
        <v>0.12</v>
      </c>
      <c r="K67" s="3518">
        <v>0.4</v>
      </c>
      <c r="L67" s="3519">
        <v>4600</v>
      </c>
      <c r="M67" s="3519">
        <v>350</v>
      </c>
      <c r="N67" s="3519">
        <v>2</v>
      </c>
      <c r="O67" s="3520" t="s">
        <v>1036</v>
      </c>
    </row>
    <row r="68" spans="1:29">
      <c r="A68" s="3513">
        <v>41</v>
      </c>
      <c r="B68" s="3514" t="s">
        <v>399</v>
      </c>
      <c r="C68" s="4081">
        <v>41</v>
      </c>
      <c r="D68" s="3514" t="s">
        <v>22</v>
      </c>
      <c r="E68" s="3514" t="s">
        <v>865</v>
      </c>
      <c r="F68" s="6251">
        <v>0.95</v>
      </c>
      <c r="G68" s="6251">
        <v>0.9</v>
      </c>
      <c r="H68" s="6251">
        <f t="shared" si="0"/>
        <v>0.85499999999999998</v>
      </c>
      <c r="I68" s="6252">
        <v>0.08</v>
      </c>
      <c r="J68" s="6253">
        <v>3.2000000000000001E-2</v>
      </c>
      <c r="K68" s="6254">
        <v>0.4</v>
      </c>
      <c r="L68" s="6255">
        <v>7100</v>
      </c>
      <c r="M68" s="6255">
        <v>350</v>
      </c>
      <c r="N68" s="6255">
        <v>4</v>
      </c>
      <c r="O68" s="6256" t="s">
        <v>1510</v>
      </c>
    </row>
    <row r="69" spans="1:29">
      <c r="A69" s="3513">
        <v>42</v>
      </c>
      <c r="B69" s="3514" t="s">
        <v>880</v>
      </c>
      <c r="C69" s="4081">
        <v>42</v>
      </c>
      <c r="D69" s="3514" t="s">
        <v>22</v>
      </c>
      <c r="E69" s="3514" t="s">
        <v>865</v>
      </c>
      <c r="F69" s="6251">
        <v>0.95</v>
      </c>
      <c r="G69" s="6251">
        <v>0.9</v>
      </c>
      <c r="H69" s="6251">
        <f t="shared" si="0"/>
        <v>0.85499999999999998</v>
      </c>
      <c r="I69" s="6252">
        <v>0.08</v>
      </c>
      <c r="J69" s="6253">
        <v>4.0000000000000008E-2</v>
      </c>
      <c r="K69" s="6254">
        <v>0.40000000000000008</v>
      </c>
      <c r="L69" s="6255">
        <v>7100</v>
      </c>
      <c r="M69" s="6255">
        <v>350</v>
      </c>
      <c r="N69" s="6255">
        <v>4</v>
      </c>
      <c r="O69" s="6256" t="s">
        <v>1510</v>
      </c>
    </row>
    <row r="70" spans="1:29">
      <c r="A70" s="3513">
        <v>43</v>
      </c>
      <c r="B70" s="3514" t="s">
        <v>881</v>
      </c>
      <c r="C70" s="4081">
        <v>43</v>
      </c>
      <c r="D70" s="3514" t="s">
        <v>22</v>
      </c>
      <c r="E70" s="3514" t="s">
        <v>865</v>
      </c>
      <c r="F70" s="6251">
        <v>0.95</v>
      </c>
      <c r="G70" s="6251">
        <v>0.9</v>
      </c>
      <c r="H70" s="6251">
        <f t="shared" si="0"/>
        <v>0.85499999999999998</v>
      </c>
      <c r="I70" s="6252">
        <v>0.08</v>
      </c>
      <c r="J70" s="6253">
        <v>3.2000000000000001E-2</v>
      </c>
      <c r="K70" s="6254">
        <v>0.4</v>
      </c>
      <c r="L70" s="6255">
        <v>7100</v>
      </c>
      <c r="M70" s="6255">
        <v>350</v>
      </c>
      <c r="N70" s="6255">
        <v>4</v>
      </c>
      <c r="O70" s="6256" t="s">
        <v>1510</v>
      </c>
    </row>
    <row r="71" spans="1:29">
      <c r="A71" s="3513">
        <v>41</v>
      </c>
      <c r="B71" s="3514" t="s">
        <v>1847</v>
      </c>
      <c r="C71" s="4081">
        <v>41</v>
      </c>
      <c r="D71" s="3514" t="s">
        <v>22</v>
      </c>
      <c r="E71" s="3514" t="s">
        <v>888</v>
      </c>
      <c r="F71" s="6251">
        <v>0.95</v>
      </c>
      <c r="G71" s="6251">
        <v>0.9</v>
      </c>
      <c r="H71" s="6251">
        <f t="shared" ref="H71:H73" si="1">F71*G71</f>
        <v>0.85499999999999998</v>
      </c>
      <c r="I71" s="6252">
        <v>0.1</v>
      </c>
      <c r="J71" s="6253">
        <v>3.2000000000000001E-2</v>
      </c>
      <c r="K71" s="6254">
        <v>0.4</v>
      </c>
      <c r="L71" s="6255">
        <v>7100</v>
      </c>
      <c r="M71" s="6255">
        <v>350</v>
      </c>
      <c r="N71" s="6255">
        <v>4</v>
      </c>
      <c r="O71" s="6256" t="s">
        <v>1510</v>
      </c>
    </row>
    <row r="72" spans="1:29">
      <c r="A72" s="3513">
        <v>42</v>
      </c>
      <c r="B72" s="3514" t="s">
        <v>878</v>
      </c>
      <c r="C72" s="4081">
        <v>42</v>
      </c>
      <c r="D72" s="3514" t="s">
        <v>22</v>
      </c>
      <c r="E72" s="3514" t="s">
        <v>888</v>
      </c>
      <c r="F72" s="6251">
        <v>0.95</v>
      </c>
      <c r="G72" s="6251">
        <v>0.9</v>
      </c>
      <c r="H72" s="6251">
        <f t="shared" si="1"/>
        <v>0.85499999999999998</v>
      </c>
      <c r="I72" s="6252">
        <v>0.1</v>
      </c>
      <c r="J72" s="6253">
        <v>4.0000000000000008E-2</v>
      </c>
      <c r="K72" s="6254">
        <v>0.40000000000000008</v>
      </c>
      <c r="L72" s="6255">
        <v>7100</v>
      </c>
      <c r="M72" s="6255">
        <v>350</v>
      </c>
      <c r="N72" s="6255">
        <v>4</v>
      </c>
      <c r="O72" s="6256" t="s">
        <v>1510</v>
      </c>
    </row>
    <row r="73" spans="1:29">
      <c r="A73" s="3513">
        <v>43</v>
      </c>
      <c r="B73" s="3514" t="s">
        <v>879</v>
      </c>
      <c r="C73" s="4081">
        <v>43</v>
      </c>
      <c r="D73" s="3514" t="s">
        <v>22</v>
      </c>
      <c r="E73" s="3514" t="s">
        <v>888</v>
      </c>
      <c r="F73" s="6251">
        <v>0.95</v>
      </c>
      <c r="G73" s="6251">
        <v>0.9</v>
      </c>
      <c r="H73" s="6251">
        <f t="shared" si="1"/>
        <v>0.85499999999999998</v>
      </c>
      <c r="I73" s="6252">
        <v>0.1</v>
      </c>
      <c r="J73" s="6253">
        <v>3.2000000000000001E-2</v>
      </c>
      <c r="K73" s="6254">
        <v>0.4</v>
      </c>
      <c r="L73" s="6255">
        <v>7100</v>
      </c>
      <c r="M73" s="6255">
        <v>350</v>
      </c>
      <c r="N73" s="6255">
        <v>4</v>
      </c>
      <c r="O73" s="6256" t="s">
        <v>1510</v>
      </c>
    </row>
    <row r="74" spans="1:29">
      <c r="A74" s="3513">
        <v>44</v>
      </c>
      <c r="B74" s="3514" t="s">
        <v>882</v>
      </c>
      <c r="C74" s="4081">
        <v>44</v>
      </c>
      <c r="D74" s="3514" t="s">
        <v>22</v>
      </c>
      <c r="E74" s="3514" t="s">
        <v>868</v>
      </c>
      <c r="F74" s="3515">
        <v>0.95</v>
      </c>
      <c r="G74" s="3515">
        <v>0.79</v>
      </c>
      <c r="H74" s="3515">
        <f t="shared" si="0"/>
        <v>0.75049999999999994</v>
      </c>
      <c r="I74" s="3516">
        <v>8.0000000000000002E-3</v>
      </c>
      <c r="J74" s="3517">
        <v>3.2000000000000002E-3</v>
      </c>
      <c r="K74" s="3518">
        <v>0.4</v>
      </c>
      <c r="L74" s="3519">
        <v>16000</v>
      </c>
      <c r="M74" s="3519">
        <v>125</v>
      </c>
      <c r="N74" s="3519">
        <v>4</v>
      </c>
      <c r="O74" s="3520" t="s">
        <v>1510</v>
      </c>
    </row>
    <row r="75" spans="1:29">
      <c r="A75" s="3513">
        <v>45</v>
      </c>
      <c r="B75" s="3514" t="s">
        <v>883</v>
      </c>
      <c r="C75" s="4081">
        <v>45</v>
      </c>
      <c r="D75" s="3514" t="s">
        <v>22</v>
      </c>
      <c r="E75" s="3514" t="s">
        <v>875</v>
      </c>
      <c r="F75" s="3515">
        <v>0.95</v>
      </c>
      <c r="G75" s="3515">
        <v>0.9</v>
      </c>
      <c r="H75" s="3515">
        <f t="shared" ref="H75:H102" si="2">F75*G75</f>
        <v>0.85499999999999998</v>
      </c>
      <c r="I75" s="3516">
        <v>8.0000000000000002E-3</v>
      </c>
      <c r="J75" s="3517">
        <v>3.2000000000000002E-3</v>
      </c>
      <c r="K75" s="3518">
        <v>0.4</v>
      </c>
      <c r="L75" s="3519">
        <v>1700</v>
      </c>
      <c r="M75" s="3519">
        <v>350</v>
      </c>
      <c r="N75" s="3519">
        <v>2</v>
      </c>
      <c r="O75" s="3520" t="s">
        <v>1036</v>
      </c>
    </row>
    <row r="76" spans="1:29">
      <c r="A76" s="3513">
        <v>46</v>
      </c>
      <c r="B76" s="3514" t="s">
        <v>884</v>
      </c>
      <c r="C76" s="4081">
        <v>46</v>
      </c>
      <c r="D76" s="3514" t="s">
        <v>22</v>
      </c>
      <c r="E76" s="3514" t="s">
        <v>875</v>
      </c>
      <c r="F76" s="3515">
        <v>0.95</v>
      </c>
      <c r="G76" s="3515">
        <v>0.9</v>
      </c>
      <c r="H76" s="3515">
        <f t="shared" si="2"/>
        <v>0.85499999999999998</v>
      </c>
      <c r="I76" s="3516">
        <v>0.6</v>
      </c>
      <c r="J76" s="3517">
        <v>0.33673999999999998</v>
      </c>
      <c r="K76" s="3518">
        <v>0.56123333333333336</v>
      </c>
      <c r="L76" s="3519">
        <v>1700</v>
      </c>
      <c r="M76" s="3519">
        <v>350</v>
      </c>
      <c r="N76" s="3519">
        <v>1</v>
      </c>
      <c r="O76" s="3520" t="s">
        <v>1036</v>
      </c>
    </row>
    <row r="77" spans="1:29">
      <c r="A77" s="3513" t="s">
        <v>1173</v>
      </c>
      <c r="B77" s="3514" t="s">
        <v>1228</v>
      </c>
      <c r="C77" s="4081" t="s">
        <v>1173</v>
      </c>
      <c r="D77" s="3514" t="s">
        <v>22</v>
      </c>
      <c r="E77" s="3514" t="s">
        <v>875</v>
      </c>
      <c r="F77" s="3515">
        <v>0.95</v>
      </c>
      <c r="G77" s="3515">
        <v>0.9</v>
      </c>
      <c r="H77" s="3515">
        <f t="shared" si="2"/>
        <v>0.85499999999999998</v>
      </c>
      <c r="I77" s="3516">
        <v>0.66</v>
      </c>
      <c r="J77" s="3517">
        <v>0.33673999999999998</v>
      </c>
      <c r="K77" s="3518">
        <v>0.51021212121212112</v>
      </c>
      <c r="L77" s="3519">
        <v>1700</v>
      </c>
      <c r="M77" s="3519">
        <v>350</v>
      </c>
      <c r="N77" s="3519">
        <v>1</v>
      </c>
      <c r="O77" s="3520" t="s">
        <v>1036</v>
      </c>
    </row>
    <row r="78" spans="1:29">
      <c r="A78" s="3513" t="s">
        <v>1173</v>
      </c>
      <c r="B78" s="3514" t="s">
        <v>1229</v>
      </c>
      <c r="C78" s="4081" t="s">
        <v>1173</v>
      </c>
      <c r="D78" s="3514" t="s">
        <v>22</v>
      </c>
      <c r="E78" s="3514" t="s">
        <v>875</v>
      </c>
      <c r="F78" s="3515">
        <v>0.95</v>
      </c>
      <c r="G78" s="3515">
        <v>0.9</v>
      </c>
      <c r="H78" s="3515">
        <f t="shared" si="2"/>
        <v>0.85499999999999998</v>
      </c>
      <c r="I78" s="3516">
        <v>0.66</v>
      </c>
      <c r="J78" s="3517">
        <v>0.33673999999999998</v>
      </c>
      <c r="K78" s="3518">
        <v>0.51021212121212112</v>
      </c>
      <c r="L78" s="3519">
        <v>1700</v>
      </c>
      <c r="M78" s="3519">
        <v>350</v>
      </c>
      <c r="N78" s="3519">
        <v>1</v>
      </c>
      <c r="O78" s="3520" t="s">
        <v>1036</v>
      </c>
    </row>
    <row r="79" spans="1:29">
      <c r="A79" s="3513" t="s">
        <v>1173</v>
      </c>
      <c r="B79" s="3514" t="s">
        <v>1230</v>
      </c>
      <c r="C79" s="4081" t="s">
        <v>1173</v>
      </c>
      <c r="D79" s="3514" t="s">
        <v>22</v>
      </c>
      <c r="E79" s="3514" t="s">
        <v>875</v>
      </c>
      <c r="F79" s="3515">
        <v>0.95</v>
      </c>
      <c r="G79" s="3515">
        <v>0.9</v>
      </c>
      <c r="H79" s="3515">
        <f t="shared" si="2"/>
        <v>0.85499999999999998</v>
      </c>
      <c r="I79" s="3516">
        <v>0.66</v>
      </c>
      <c r="J79" s="3517">
        <v>0.33673999999999998</v>
      </c>
      <c r="K79" s="3518">
        <v>0.51021212121212112</v>
      </c>
      <c r="L79" s="3519">
        <v>1700</v>
      </c>
      <c r="M79" s="3519">
        <v>350</v>
      </c>
      <c r="N79" s="3519">
        <v>1</v>
      </c>
      <c r="O79" s="3520" t="s">
        <v>1036</v>
      </c>
    </row>
    <row r="80" spans="1:29">
      <c r="A80" s="3513" t="s">
        <v>1173</v>
      </c>
      <c r="B80" s="3514" t="s">
        <v>1231</v>
      </c>
      <c r="C80" s="4081" t="s">
        <v>1173</v>
      </c>
      <c r="D80" s="3514" t="s">
        <v>1173</v>
      </c>
      <c r="E80" s="3514" t="s">
        <v>1173</v>
      </c>
      <c r="F80" s="3515">
        <v>0.95</v>
      </c>
      <c r="G80" s="3515">
        <v>0.9</v>
      </c>
      <c r="H80" s="3515">
        <f t="shared" si="2"/>
        <v>0.85499999999999998</v>
      </c>
      <c r="I80" s="3516">
        <v>0.66</v>
      </c>
      <c r="J80" s="3517">
        <v>0.33673999999999998</v>
      </c>
      <c r="K80" s="3518">
        <v>0.51021212121212112</v>
      </c>
      <c r="L80" s="3519">
        <v>1700</v>
      </c>
      <c r="M80" s="3519">
        <v>350</v>
      </c>
      <c r="N80" s="3519">
        <v>1</v>
      </c>
      <c r="O80" s="3520" t="s">
        <v>1036</v>
      </c>
    </row>
    <row r="81" spans="1:15">
      <c r="A81" s="3513" t="s">
        <v>1173</v>
      </c>
      <c r="B81" s="3514" t="s">
        <v>1232</v>
      </c>
      <c r="C81" s="4081" t="s">
        <v>1173</v>
      </c>
      <c r="D81" s="3514" t="s">
        <v>1173</v>
      </c>
      <c r="E81" s="3514" t="s">
        <v>1173</v>
      </c>
      <c r="F81" s="3515">
        <v>0.95</v>
      </c>
      <c r="G81" s="3515">
        <v>0.9</v>
      </c>
      <c r="H81" s="3515">
        <f t="shared" si="2"/>
        <v>0.85499999999999998</v>
      </c>
      <c r="I81" s="3516">
        <v>0.66</v>
      </c>
      <c r="J81" s="3517">
        <v>0.33673999999999998</v>
      </c>
      <c r="K81" s="3518">
        <v>0.51021212121212112</v>
      </c>
      <c r="L81" s="3519">
        <v>1700</v>
      </c>
      <c r="M81" s="3519">
        <v>350</v>
      </c>
      <c r="N81" s="3519">
        <v>1</v>
      </c>
      <c r="O81" s="3520" t="s">
        <v>1036</v>
      </c>
    </row>
    <row r="82" spans="1:15">
      <c r="A82" s="3513" t="s">
        <v>1173</v>
      </c>
      <c r="B82" s="3514" t="s">
        <v>1233</v>
      </c>
      <c r="C82" s="4081" t="s">
        <v>1173</v>
      </c>
      <c r="D82" s="3514" t="s">
        <v>1173</v>
      </c>
      <c r="E82" s="3514" t="s">
        <v>1173</v>
      </c>
      <c r="F82" s="3515">
        <v>0.95</v>
      </c>
      <c r="G82" s="3515">
        <v>0.9</v>
      </c>
      <c r="H82" s="3515">
        <f t="shared" si="2"/>
        <v>0.85499999999999998</v>
      </c>
      <c r="I82" s="3516">
        <v>0.1</v>
      </c>
      <c r="J82" s="3517">
        <v>4.1599999999999998E-2</v>
      </c>
      <c r="K82" s="3518">
        <v>0.41599999999999998</v>
      </c>
      <c r="L82" s="3519">
        <v>5000</v>
      </c>
      <c r="M82" s="3519">
        <v>125</v>
      </c>
      <c r="N82" s="3519">
        <v>2</v>
      </c>
      <c r="O82" s="3520" t="s">
        <v>1036</v>
      </c>
    </row>
    <row r="83" spans="1:15">
      <c r="A83" s="3513" t="s">
        <v>1173</v>
      </c>
      <c r="B83" s="3514" t="s">
        <v>1234</v>
      </c>
      <c r="C83" s="4081" t="s">
        <v>1173</v>
      </c>
      <c r="D83" s="3514" t="s">
        <v>1173</v>
      </c>
      <c r="E83" s="3514" t="s">
        <v>1173</v>
      </c>
      <c r="F83" s="3515">
        <v>0.95</v>
      </c>
      <c r="G83" s="3515">
        <v>0.9</v>
      </c>
      <c r="H83" s="3515">
        <f t="shared" si="2"/>
        <v>0.85499999999999998</v>
      </c>
      <c r="I83" s="3516">
        <v>0.69</v>
      </c>
      <c r="J83" s="3517">
        <v>0.33673999999999998</v>
      </c>
      <c r="K83" s="3518">
        <v>0.48802898550724638</v>
      </c>
      <c r="L83" s="3519">
        <v>1700</v>
      </c>
      <c r="M83" s="3519">
        <v>350</v>
      </c>
      <c r="N83" s="3519">
        <v>1</v>
      </c>
      <c r="O83" s="3520" t="s">
        <v>1036</v>
      </c>
    </row>
    <row r="84" spans="1:15" hidden="1">
      <c r="A84" s="3513" t="s">
        <v>1173</v>
      </c>
      <c r="B84" s="3514" t="s">
        <v>1235</v>
      </c>
      <c r="C84" s="4081" t="s">
        <v>1173</v>
      </c>
      <c r="D84" s="3514" t="s">
        <v>1173</v>
      </c>
      <c r="E84" s="3514" t="s">
        <v>1173</v>
      </c>
      <c r="F84" s="3515">
        <v>0.95</v>
      </c>
      <c r="G84" s="3515">
        <v>0.9</v>
      </c>
      <c r="H84" s="3515">
        <f t="shared" si="2"/>
        <v>0.85499999999999998</v>
      </c>
      <c r="I84" s="3516">
        <v>1.4</v>
      </c>
      <c r="J84" s="3517">
        <v>0.71499999999999997</v>
      </c>
      <c r="K84" s="3518">
        <v>0.51071428571428568</v>
      </c>
      <c r="L84" s="3519">
        <v>1600</v>
      </c>
      <c r="M84" s="3519">
        <v>350</v>
      </c>
      <c r="N84" s="3519">
        <v>1</v>
      </c>
      <c r="O84" s="3520" t="s">
        <v>1036</v>
      </c>
    </row>
    <row r="85" spans="1:15" hidden="1">
      <c r="A85" s="3513" t="s">
        <v>1173</v>
      </c>
      <c r="B85" s="3514" t="s">
        <v>1236</v>
      </c>
      <c r="C85" s="4081" t="s">
        <v>1173</v>
      </c>
      <c r="D85" s="3514" t="s">
        <v>1173</v>
      </c>
      <c r="E85" s="3514" t="s">
        <v>1173</v>
      </c>
      <c r="F85" s="3515">
        <v>0.95</v>
      </c>
      <c r="G85" s="3515">
        <v>0.8</v>
      </c>
      <c r="H85" s="3515">
        <f t="shared" si="2"/>
        <v>0.76</v>
      </c>
      <c r="I85" s="3516">
        <v>4.4999999999999998E-2</v>
      </c>
      <c r="J85" s="3517">
        <v>1.6E-2</v>
      </c>
      <c r="K85" s="3518">
        <v>0.35555555555555557</v>
      </c>
      <c r="L85" s="3519">
        <v>5000</v>
      </c>
      <c r="M85" s="3519">
        <v>350</v>
      </c>
      <c r="N85" s="3519">
        <v>2</v>
      </c>
      <c r="O85" s="3520" t="s">
        <v>1036</v>
      </c>
    </row>
    <row r="86" spans="1:15" hidden="1">
      <c r="A86" s="3513" t="s">
        <v>1173</v>
      </c>
      <c r="B86" s="3514" t="s">
        <v>1237</v>
      </c>
      <c r="C86" s="4081" t="s">
        <v>1173</v>
      </c>
      <c r="D86" s="3514" t="s">
        <v>1173</v>
      </c>
      <c r="E86" s="3514" t="s">
        <v>1173</v>
      </c>
      <c r="F86" s="3515">
        <v>0.95</v>
      </c>
      <c r="G86" s="3515">
        <v>0.8</v>
      </c>
      <c r="H86" s="3515">
        <f t="shared" si="2"/>
        <v>0.76</v>
      </c>
      <c r="I86" s="3516">
        <v>4.5999999999999999E-2</v>
      </c>
      <c r="J86" s="3517">
        <v>1.8700000000000001E-2</v>
      </c>
      <c r="K86" s="3518">
        <v>0.40652173913043482</v>
      </c>
      <c r="L86" s="3519">
        <v>5000</v>
      </c>
      <c r="M86" s="3519">
        <v>350</v>
      </c>
      <c r="N86" s="3519">
        <v>2</v>
      </c>
      <c r="O86" s="3520" t="s">
        <v>1036</v>
      </c>
    </row>
    <row r="87" spans="1:15" hidden="1">
      <c r="A87" s="3513" t="s">
        <v>1173</v>
      </c>
      <c r="B87" s="3514" t="s">
        <v>1238</v>
      </c>
      <c r="C87" s="4081" t="s">
        <v>1173</v>
      </c>
      <c r="D87" s="3514" t="s">
        <v>1173</v>
      </c>
      <c r="E87" s="3514" t="s">
        <v>1173</v>
      </c>
      <c r="F87" s="3515">
        <v>0.95</v>
      </c>
      <c r="G87" s="3515">
        <v>0.8</v>
      </c>
      <c r="H87" s="3515">
        <f t="shared" si="2"/>
        <v>0.76</v>
      </c>
      <c r="I87" s="3516">
        <v>0.55000000000000004</v>
      </c>
      <c r="J87" s="3517">
        <v>0.314</v>
      </c>
      <c r="K87" s="3518">
        <v>0.57090909090909081</v>
      </c>
      <c r="L87" s="3519">
        <v>1800</v>
      </c>
      <c r="M87" s="3519">
        <v>350</v>
      </c>
      <c r="N87" s="3519">
        <v>1</v>
      </c>
      <c r="O87" s="3520" t="s">
        <v>1036</v>
      </c>
    </row>
    <row r="88" spans="1:15" hidden="1">
      <c r="A88" s="3513" t="s">
        <v>1173</v>
      </c>
      <c r="B88" s="3514" t="s">
        <v>1239</v>
      </c>
      <c r="C88" s="4081" t="s">
        <v>1173</v>
      </c>
      <c r="D88" s="3514" t="s">
        <v>1173</v>
      </c>
      <c r="E88" s="3514" t="s">
        <v>1173</v>
      </c>
      <c r="F88" s="3515">
        <v>0.95</v>
      </c>
      <c r="G88" s="3515">
        <v>0.8</v>
      </c>
      <c r="H88" s="3515">
        <f t="shared" si="2"/>
        <v>0.76</v>
      </c>
      <c r="I88" s="3516">
        <v>0.62</v>
      </c>
      <c r="J88" s="3517">
        <v>0.35099999999999998</v>
      </c>
      <c r="K88" s="3518">
        <v>0.56612903225806444</v>
      </c>
      <c r="L88" s="3519">
        <v>1800</v>
      </c>
      <c r="M88" s="3519">
        <v>350</v>
      </c>
      <c r="N88" s="3519">
        <v>1</v>
      </c>
      <c r="O88" s="3520" t="s">
        <v>1036</v>
      </c>
    </row>
    <row r="89" spans="1:15" hidden="1">
      <c r="A89" s="3513" t="s">
        <v>1173</v>
      </c>
      <c r="B89" s="3514" t="s">
        <v>1240</v>
      </c>
      <c r="C89" s="4081" t="s">
        <v>1173</v>
      </c>
      <c r="D89" s="3514" t="s">
        <v>1173</v>
      </c>
      <c r="E89" s="3514" t="s">
        <v>1173</v>
      </c>
      <c r="F89" s="3515">
        <v>0.95</v>
      </c>
      <c r="G89" s="3515">
        <v>0.8</v>
      </c>
      <c r="H89" s="3515">
        <f t="shared" si="2"/>
        <v>0.76</v>
      </c>
      <c r="I89" s="3516">
        <v>0.38314999999999999</v>
      </c>
      <c r="J89" s="3517">
        <v>0.16500000000000001</v>
      </c>
      <c r="K89" s="3518">
        <v>0.43064074122406371</v>
      </c>
      <c r="L89" s="3519">
        <v>3600</v>
      </c>
      <c r="M89" s="3519">
        <v>125</v>
      </c>
      <c r="N89" s="3519">
        <v>2</v>
      </c>
      <c r="O89" s="3520" t="s">
        <v>1036</v>
      </c>
    </row>
    <row r="90" spans="1:15" hidden="1">
      <c r="A90" s="3513" t="s">
        <v>1173</v>
      </c>
      <c r="B90" s="3514" t="s">
        <v>1270</v>
      </c>
      <c r="C90" s="4081" t="s">
        <v>1173</v>
      </c>
      <c r="D90" s="3514" t="s">
        <v>1173</v>
      </c>
      <c r="E90" s="3514" t="s">
        <v>1173</v>
      </c>
      <c r="F90" s="3515"/>
      <c r="G90" s="3515">
        <v>0.8</v>
      </c>
      <c r="H90" s="3515">
        <f t="shared" si="2"/>
        <v>0</v>
      </c>
      <c r="I90" s="3516"/>
      <c r="J90" s="3517"/>
      <c r="K90" s="3518"/>
      <c r="L90" s="3519"/>
      <c r="M90" s="3519"/>
      <c r="N90" s="3519"/>
      <c r="O90" s="3520"/>
    </row>
    <row r="91" spans="1:15" hidden="1">
      <c r="A91" s="3513" t="s">
        <v>1173</v>
      </c>
      <c r="B91" s="3514" t="s">
        <v>1263</v>
      </c>
      <c r="C91" s="4081" t="s">
        <v>1173</v>
      </c>
      <c r="D91" s="3514" t="s">
        <v>1173</v>
      </c>
      <c r="E91" s="3514" t="s">
        <v>1173</v>
      </c>
      <c r="F91" s="3515"/>
      <c r="G91" s="3515">
        <v>0.8</v>
      </c>
      <c r="H91" s="3515">
        <f t="shared" si="2"/>
        <v>0</v>
      </c>
      <c r="I91" s="3516"/>
      <c r="J91" s="3517"/>
      <c r="K91" s="3518"/>
      <c r="L91" s="3519"/>
      <c r="M91" s="3519"/>
      <c r="N91" s="3519"/>
      <c r="O91" s="3520"/>
    </row>
    <row r="92" spans="1:15" hidden="1">
      <c r="A92" s="3513" t="s">
        <v>1173</v>
      </c>
      <c r="B92" s="3514" t="s">
        <v>1264</v>
      </c>
      <c r="C92" s="4081" t="s">
        <v>1173</v>
      </c>
      <c r="D92" s="3514" t="s">
        <v>1173</v>
      </c>
      <c r="E92" s="3514" t="s">
        <v>1173</v>
      </c>
      <c r="F92" s="3515"/>
      <c r="G92" s="3515">
        <v>0.8</v>
      </c>
      <c r="H92" s="3515">
        <f t="shared" si="2"/>
        <v>0</v>
      </c>
      <c r="I92" s="3516"/>
      <c r="J92" s="3517"/>
      <c r="K92" s="3518"/>
      <c r="L92" s="3519"/>
      <c r="M92" s="3519"/>
      <c r="N92" s="3519"/>
      <c r="O92" s="3520"/>
    </row>
    <row r="93" spans="1:15" hidden="1">
      <c r="A93" s="3513" t="s">
        <v>1173</v>
      </c>
      <c r="B93" s="3514" t="s">
        <v>1265</v>
      </c>
      <c r="C93" s="4081" t="s">
        <v>1173</v>
      </c>
      <c r="D93" s="3514" t="s">
        <v>1173</v>
      </c>
      <c r="E93" s="3514" t="s">
        <v>1173</v>
      </c>
      <c r="F93" s="3515"/>
      <c r="G93" s="3515">
        <v>0.8</v>
      </c>
      <c r="H93" s="3515">
        <f t="shared" si="2"/>
        <v>0</v>
      </c>
      <c r="I93" s="3516"/>
      <c r="J93" s="3517"/>
      <c r="K93" s="3518"/>
      <c r="L93" s="3519"/>
      <c r="M93" s="3519"/>
      <c r="N93" s="3519"/>
      <c r="O93" s="3520"/>
    </row>
    <row r="94" spans="1:15" hidden="1">
      <c r="A94" s="3513" t="s">
        <v>1173</v>
      </c>
      <c r="B94" s="3514" t="s">
        <v>1266</v>
      </c>
      <c r="C94" s="4081" t="s">
        <v>1173</v>
      </c>
      <c r="D94" s="3514" t="s">
        <v>1173</v>
      </c>
      <c r="E94" s="3514" t="s">
        <v>1173</v>
      </c>
      <c r="F94" s="3515"/>
      <c r="G94" s="3515">
        <v>0.8</v>
      </c>
      <c r="H94" s="3515">
        <f t="shared" si="2"/>
        <v>0</v>
      </c>
      <c r="I94" s="3516"/>
      <c r="J94" s="3517"/>
      <c r="K94" s="3518"/>
      <c r="L94" s="3519"/>
      <c r="M94" s="3519"/>
      <c r="N94" s="3519"/>
      <c r="O94" s="3520"/>
    </row>
    <row r="95" spans="1:15" hidden="1">
      <c r="A95" s="3513" t="s">
        <v>1173</v>
      </c>
      <c r="B95" s="3514" t="s">
        <v>1267</v>
      </c>
      <c r="C95" s="4081" t="s">
        <v>1173</v>
      </c>
      <c r="D95" s="3514" t="s">
        <v>1173</v>
      </c>
      <c r="E95" s="3514" t="s">
        <v>1173</v>
      </c>
      <c r="F95" s="3515"/>
      <c r="G95" s="3515">
        <v>0.8</v>
      </c>
      <c r="H95" s="3515">
        <f t="shared" si="2"/>
        <v>0</v>
      </c>
      <c r="I95" s="3516"/>
      <c r="J95" s="3517"/>
      <c r="K95" s="3518"/>
      <c r="L95" s="3519"/>
      <c r="M95" s="3519"/>
      <c r="N95" s="3519"/>
      <c r="O95" s="3520"/>
    </row>
    <row r="96" spans="1:15" hidden="1">
      <c r="A96" s="3513" t="s">
        <v>1173</v>
      </c>
      <c r="B96" s="3514" t="s">
        <v>1268</v>
      </c>
      <c r="C96" s="4081" t="s">
        <v>1173</v>
      </c>
      <c r="D96" s="3514" t="s">
        <v>1173</v>
      </c>
      <c r="E96" s="3514" t="s">
        <v>1173</v>
      </c>
      <c r="F96" s="3515"/>
      <c r="G96" s="3515">
        <v>0.8</v>
      </c>
      <c r="H96" s="3515">
        <f t="shared" si="2"/>
        <v>0</v>
      </c>
      <c r="I96" s="3516"/>
      <c r="J96" s="3517"/>
      <c r="K96" s="3518"/>
      <c r="L96" s="3519"/>
      <c r="M96" s="3519"/>
      <c r="N96" s="3519"/>
      <c r="O96" s="3520"/>
    </row>
    <row r="97" spans="1:15" hidden="1">
      <c r="A97" s="3513" t="s">
        <v>1173</v>
      </c>
      <c r="B97" s="3514" t="s">
        <v>1269</v>
      </c>
      <c r="C97" s="4081" t="s">
        <v>1173</v>
      </c>
      <c r="D97" s="3514" t="s">
        <v>1173</v>
      </c>
      <c r="E97" s="3514" t="s">
        <v>1173</v>
      </c>
      <c r="F97" s="3515"/>
      <c r="G97" s="3515">
        <v>0.8</v>
      </c>
      <c r="H97" s="3515">
        <f t="shared" si="2"/>
        <v>0</v>
      </c>
      <c r="I97" s="3516"/>
      <c r="J97" s="3517"/>
      <c r="K97" s="3518"/>
      <c r="L97" s="3519"/>
      <c r="M97" s="3519"/>
      <c r="N97" s="3519"/>
      <c r="O97" s="3520"/>
    </row>
    <row r="98" spans="1:15" hidden="1">
      <c r="A98" s="3513" t="s">
        <v>1173</v>
      </c>
      <c r="B98" s="3514" t="s">
        <v>1258</v>
      </c>
      <c r="C98" s="4081" t="s">
        <v>1173</v>
      </c>
      <c r="D98" s="3514" t="s">
        <v>1173</v>
      </c>
      <c r="E98" s="3514" t="s">
        <v>1173</v>
      </c>
      <c r="F98" s="3515">
        <v>0.95</v>
      </c>
      <c r="G98" s="3515">
        <v>0.8</v>
      </c>
      <c r="H98" s="3515">
        <f t="shared" si="2"/>
        <v>0.76</v>
      </c>
      <c r="I98" s="3516">
        <v>0.38314999999999999</v>
      </c>
      <c r="J98" s="3517">
        <v>0.16500000000000001</v>
      </c>
      <c r="K98" s="3518">
        <v>0.43064074122406371</v>
      </c>
      <c r="L98" s="3519">
        <v>3600</v>
      </c>
      <c r="M98" s="3519">
        <v>125</v>
      </c>
      <c r="N98" s="3519">
        <v>2</v>
      </c>
      <c r="O98" s="3520" t="s">
        <v>1036</v>
      </c>
    </row>
    <row r="99" spans="1:15" hidden="1">
      <c r="A99" s="3513" t="s">
        <v>1173</v>
      </c>
      <c r="B99" s="3514" t="s">
        <v>1376</v>
      </c>
      <c r="C99" s="4081" t="s">
        <v>1173</v>
      </c>
      <c r="D99" s="3514" t="s">
        <v>1173</v>
      </c>
      <c r="E99" s="3514" t="s">
        <v>1173</v>
      </c>
      <c r="F99" s="3515">
        <v>0.95</v>
      </c>
      <c r="G99" s="3515">
        <v>0.8</v>
      </c>
      <c r="H99" s="3515">
        <f t="shared" si="2"/>
        <v>0.76</v>
      </c>
      <c r="I99" s="3516"/>
      <c r="J99" s="3517"/>
      <c r="K99" s="3518"/>
      <c r="L99" s="3519"/>
      <c r="M99" s="3519">
        <v>0</v>
      </c>
      <c r="N99" s="3519">
        <v>1</v>
      </c>
      <c r="O99" s="3520" t="s">
        <v>1377</v>
      </c>
    </row>
    <row r="100" spans="1:15">
      <c r="A100" s="3513">
        <v>47</v>
      </c>
      <c r="B100" s="3514" t="s">
        <v>1420</v>
      </c>
      <c r="C100" s="4081">
        <v>47</v>
      </c>
      <c r="D100" s="3514" t="s">
        <v>1326</v>
      </c>
      <c r="E100" s="3514">
        <v>0</v>
      </c>
      <c r="F100" s="3515">
        <v>0.95</v>
      </c>
      <c r="G100" s="3515">
        <v>0.8</v>
      </c>
      <c r="H100" s="3515">
        <f t="shared" si="2"/>
        <v>0.76</v>
      </c>
      <c r="I100" s="3516"/>
      <c r="J100" s="3517"/>
      <c r="K100" s="3518" t="s">
        <v>1173</v>
      </c>
      <c r="L100" s="3519"/>
      <c r="M100" s="3519">
        <v>0</v>
      </c>
      <c r="N100" s="3519">
        <v>1</v>
      </c>
      <c r="O100" s="3520" t="s">
        <v>1511</v>
      </c>
    </row>
    <row r="101" spans="1:15">
      <c r="A101" s="3513">
        <v>48</v>
      </c>
      <c r="B101" s="3514" t="s">
        <v>1421</v>
      </c>
      <c r="C101" s="4081">
        <v>48</v>
      </c>
      <c r="D101" s="3514" t="s">
        <v>1326</v>
      </c>
      <c r="E101" s="3514">
        <v>0</v>
      </c>
      <c r="F101" s="3515">
        <v>0.95</v>
      </c>
      <c r="G101" s="3515">
        <v>0.8</v>
      </c>
      <c r="H101" s="3515">
        <f t="shared" si="2"/>
        <v>0.76</v>
      </c>
      <c r="I101" s="3516"/>
      <c r="J101" s="3517"/>
      <c r="K101" s="3518" t="s">
        <v>1173</v>
      </c>
      <c r="L101" s="3519"/>
      <c r="M101" s="3519">
        <v>0</v>
      </c>
      <c r="N101" s="3519">
        <v>1</v>
      </c>
      <c r="O101" s="3520" t="s">
        <v>1512</v>
      </c>
    </row>
    <row r="102" spans="1:15">
      <c r="A102" s="3513">
        <v>49</v>
      </c>
      <c r="B102" s="3514" t="s">
        <v>1419</v>
      </c>
      <c r="C102" s="4081">
        <v>49</v>
      </c>
      <c r="D102" s="3514" t="s">
        <v>1326</v>
      </c>
      <c r="E102" s="3514">
        <v>0</v>
      </c>
      <c r="F102" s="3515">
        <v>0.95</v>
      </c>
      <c r="G102" s="3515">
        <v>0.8</v>
      </c>
      <c r="H102" s="3515">
        <f t="shared" si="2"/>
        <v>0.76</v>
      </c>
      <c r="I102" s="3516"/>
      <c r="J102" s="3517"/>
      <c r="K102" s="3518" t="s">
        <v>1173</v>
      </c>
      <c r="L102" s="3519"/>
      <c r="M102" s="3519">
        <v>0</v>
      </c>
      <c r="N102" s="3519">
        <v>1</v>
      </c>
      <c r="O102" s="3520" t="s">
        <v>1513</v>
      </c>
    </row>
  </sheetData>
  <autoFilter ref="A9:O9" xr:uid="{00000000-0009-0000-0000-00001A000000}"/>
  <phoneticPr fontId="10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T37"/>
  <sheetViews>
    <sheetView topLeftCell="E12" workbookViewId="0">
      <selection activeCell="L39" sqref="L39"/>
    </sheetView>
  </sheetViews>
  <sheetFormatPr defaultColWidth="9.09765625" defaultRowHeight="13.2"/>
  <cols>
    <col min="1" max="3" width="0" style="611" hidden="1" customWidth="1"/>
    <col min="4" max="4" width="20.69921875" style="611" hidden="1" customWidth="1"/>
    <col min="5" max="5" width="9.09765625" style="611"/>
    <col min="6" max="6" width="13.09765625" style="611" customWidth="1"/>
    <col min="7" max="7" width="14.8984375" style="611" customWidth="1"/>
    <col min="8" max="8" width="14.09765625" style="611" customWidth="1"/>
    <col min="9" max="9" width="17.69921875" style="611" customWidth="1"/>
    <col min="10" max="11" width="14.09765625" style="611" bestFit="1" customWidth="1"/>
    <col min="12" max="12" width="15.69921875" style="611" bestFit="1" customWidth="1"/>
    <col min="13" max="13" width="15" style="611" bestFit="1" customWidth="1"/>
    <col min="14" max="14" width="10.3984375" style="611" bestFit="1" customWidth="1"/>
    <col min="15" max="15" width="16.59765625" style="654" bestFit="1" customWidth="1"/>
    <col min="16" max="16" width="11.3984375" style="611" bestFit="1" customWidth="1"/>
    <col min="17" max="17" width="13.8984375" style="611" customWidth="1"/>
    <col min="18" max="18" width="11" style="611" customWidth="1"/>
    <col min="19" max="19" width="10.09765625" style="611" hidden="1" customWidth="1"/>
    <col min="20" max="20" width="9.09765625" style="611"/>
    <col min="21" max="21" width="10.09765625" style="611" bestFit="1" customWidth="1"/>
    <col min="22" max="16384" width="9.09765625" style="611"/>
  </cols>
  <sheetData>
    <row r="1" spans="6:20" hidden="1">
      <c r="F1" s="610" t="s">
        <v>403</v>
      </c>
      <c r="O1" s="611"/>
      <c r="R1" s="612"/>
    </row>
    <row r="2" spans="6:20" ht="17.399999999999999" hidden="1">
      <c r="F2" s="613"/>
      <c r="G2" s="7629" t="s">
        <v>994</v>
      </c>
      <c r="H2" s="7631" t="s">
        <v>404</v>
      </c>
      <c r="I2" s="7632"/>
      <c r="J2" s="7633"/>
      <c r="K2" s="7632" t="s">
        <v>405</v>
      </c>
      <c r="L2" s="7632"/>
      <c r="M2" s="7632"/>
      <c r="N2" s="7634" t="s">
        <v>406</v>
      </c>
      <c r="O2" s="7636" t="s">
        <v>407</v>
      </c>
      <c r="P2" s="7638" t="s">
        <v>446</v>
      </c>
      <c r="Q2" s="7622" t="s">
        <v>447</v>
      </c>
      <c r="R2" s="7624" t="s">
        <v>408</v>
      </c>
    </row>
    <row r="3" spans="6:20" ht="17.399999999999999" hidden="1">
      <c r="F3" s="614"/>
      <c r="G3" s="7630"/>
      <c r="H3" s="14" t="s">
        <v>409</v>
      </c>
      <c r="I3" s="615" t="s">
        <v>410</v>
      </c>
      <c r="J3" s="13" t="s">
        <v>411</v>
      </c>
      <c r="K3" s="616" t="s">
        <v>409</v>
      </c>
      <c r="L3" s="615" t="s">
        <v>410</v>
      </c>
      <c r="M3" s="617" t="s">
        <v>411</v>
      </c>
      <c r="N3" s="7635"/>
      <c r="O3" s="7637"/>
      <c r="P3" s="7639"/>
      <c r="Q3" s="7623"/>
      <c r="R3" s="7625"/>
    </row>
    <row r="4" spans="6:20" ht="17.399999999999999" hidden="1">
      <c r="F4" s="7626" t="s">
        <v>412</v>
      </c>
      <c r="G4" s="618" t="s">
        <v>413</v>
      </c>
      <c r="H4" s="619">
        <v>5</v>
      </c>
      <c r="I4" s="620">
        <v>5</v>
      </c>
      <c r="J4" s="621">
        <v>5</v>
      </c>
      <c r="K4" s="622">
        <v>35107938</v>
      </c>
      <c r="L4" s="620">
        <v>61225295</v>
      </c>
      <c r="M4" s="623">
        <v>43773147</v>
      </c>
      <c r="N4" s="619">
        <v>15</v>
      </c>
      <c r="O4" s="621">
        <v>140106380</v>
      </c>
      <c r="P4" s="624">
        <f t="shared" ref="P4:P10" si="0">+O4/N4</f>
        <v>9340425.333333334</v>
      </c>
      <c r="Q4" s="625">
        <f>+P4/24500</f>
        <v>381.24185034013607</v>
      </c>
      <c r="R4" s="626">
        <v>0.22064915063591428</v>
      </c>
    </row>
    <row r="5" spans="6:20" ht="17.399999999999999" hidden="1">
      <c r="F5" s="7627"/>
      <c r="G5" s="627" t="s">
        <v>414</v>
      </c>
      <c r="H5" s="628">
        <v>8</v>
      </c>
      <c r="I5" s="629">
        <v>8</v>
      </c>
      <c r="J5" s="630">
        <v>9</v>
      </c>
      <c r="K5" s="631">
        <v>38597957</v>
      </c>
      <c r="L5" s="629">
        <v>62027019</v>
      </c>
      <c r="M5" s="632">
        <v>69835577</v>
      </c>
      <c r="N5" s="628">
        <v>25</v>
      </c>
      <c r="O5" s="630">
        <v>170460553</v>
      </c>
      <c r="P5" s="633">
        <f t="shared" si="0"/>
        <v>6818422.1200000001</v>
      </c>
      <c r="Q5" s="634">
        <f t="shared" ref="Q5:Q10" si="1">+P5/24500</f>
        <v>278.30294367346937</v>
      </c>
      <c r="R5" s="635">
        <v>0.29048412408567759</v>
      </c>
    </row>
    <row r="6" spans="6:20" ht="17.399999999999999" hidden="1">
      <c r="F6" s="7628"/>
      <c r="G6" s="636" t="s">
        <v>360</v>
      </c>
      <c r="H6" s="637">
        <v>54</v>
      </c>
      <c r="I6" s="638">
        <v>52</v>
      </c>
      <c r="J6" s="639">
        <v>57</v>
      </c>
      <c r="K6" s="640">
        <v>113875090</v>
      </c>
      <c r="L6" s="638">
        <v>162050784</v>
      </c>
      <c r="M6" s="641">
        <v>160014852</v>
      </c>
      <c r="N6" s="637">
        <v>163</v>
      </c>
      <c r="O6" s="639">
        <v>435940726</v>
      </c>
      <c r="P6" s="642">
        <f t="shared" si="0"/>
        <v>2674482.981595092</v>
      </c>
      <c r="Q6" s="643">
        <f t="shared" si="1"/>
        <v>109.16257067735069</v>
      </c>
      <c r="R6" s="644">
        <v>0.23652342290231049</v>
      </c>
    </row>
    <row r="7" spans="6:20" ht="17.399999999999999" hidden="1">
      <c r="F7" s="7626" t="s">
        <v>415</v>
      </c>
      <c r="G7" s="618" t="s">
        <v>413</v>
      </c>
      <c r="H7" s="619">
        <v>3</v>
      </c>
      <c r="I7" s="620">
        <v>3</v>
      </c>
      <c r="J7" s="621">
        <v>3</v>
      </c>
      <c r="K7" s="622">
        <v>20683726</v>
      </c>
      <c r="L7" s="620">
        <v>32360625</v>
      </c>
      <c r="M7" s="623">
        <v>25701900</v>
      </c>
      <c r="N7" s="619">
        <v>9</v>
      </c>
      <c r="O7" s="621">
        <v>78746251</v>
      </c>
      <c r="P7" s="624">
        <f t="shared" si="0"/>
        <v>8749583.444444444</v>
      </c>
      <c r="Q7" s="625">
        <f t="shared" si="1"/>
        <v>357.12585487528344</v>
      </c>
      <c r="R7" s="626">
        <v>0.34592010698268122</v>
      </c>
    </row>
    <row r="8" spans="6:20" ht="17.399999999999999" hidden="1">
      <c r="F8" s="7627"/>
      <c r="G8" s="627" t="s">
        <v>414</v>
      </c>
      <c r="H8" s="628">
        <v>7</v>
      </c>
      <c r="I8" s="629">
        <v>7</v>
      </c>
      <c r="J8" s="630">
        <v>7</v>
      </c>
      <c r="K8" s="631">
        <v>67397224</v>
      </c>
      <c r="L8" s="629">
        <v>81093678</v>
      </c>
      <c r="M8" s="632">
        <v>69763557</v>
      </c>
      <c r="N8" s="628">
        <v>21</v>
      </c>
      <c r="O8" s="630">
        <v>218254459</v>
      </c>
      <c r="P8" s="633">
        <f t="shared" si="0"/>
        <v>10393069.476190476</v>
      </c>
      <c r="Q8" s="634">
        <f t="shared" si="1"/>
        <v>424.20691739552962</v>
      </c>
      <c r="R8" s="635">
        <v>0.53551627377185207</v>
      </c>
    </row>
    <row r="9" spans="6:20" ht="17.399999999999999" hidden="1">
      <c r="F9" s="7627"/>
      <c r="G9" s="618" t="s">
        <v>416</v>
      </c>
      <c r="H9" s="619">
        <v>172</v>
      </c>
      <c r="I9" s="620">
        <v>178</v>
      </c>
      <c r="J9" s="621">
        <v>179</v>
      </c>
      <c r="K9" s="622">
        <v>978664277</v>
      </c>
      <c r="L9" s="620">
        <v>1104252462</v>
      </c>
      <c r="M9" s="623">
        <v>1170341138</v>
      </c>
      <c r="N9" s="619">
        <v>529</v>
      </c>
      <c r="O9" s="621">
        <v>3253257877</v>
      </c>
      <c r="P9" s="624">
        <f t="shared" si="0"/>
        <v>6149825.854442344</v>
      </c>
      <c r="Q9" s="625">
        <f t="shared" si="1"/>
        <v>251.01330018132018</v>
      </c>
      <c r="R9" s="635">
        <v>0.56231270780975928</v>
      </c>
    </row>
    <row r="10" spans="6:20" ht="17.399999999999999" hidden="1">
      <c r="F10" s="7628"/>
      <c r="G10" s="636" t="s">
        <v>417</v>
      </c>
      <c r="H10" s="637">
        <v>638</v>
      </c>
      <c r="I10" s="638">
        <v>942</v>
      </c>
      <c r="J10" s="639">
        <v>958</v>
      </c>
      <c r="K10" s="640">
        <v>3184624737</v>
      </c>
      <c r="L10" s="638">
        <v>3227928724</v>
      </c>
      <c r="M10" s="641">
        <v>3931664167</v>
      </c>
      <c r="N10" s="637">
        <v>2864</v>
      </c>
      <c r="O10" s="639">
        <v>10344217628</v>
      </c>
      <c r="P10" s="642">
        <f t="shared" si="0"/>
        <v>3611807.8310055868</v>
      </c>
      <c r="Q10" s="643">
        <f t="shared" si="1"/>
        <v>147.42072779614639</v>
      </c>
      <c r="R10" s="644">
        <v>0.59751855139171162</v>
      </c>
    </row>
    <row r="11" spans="6:20" ht="17.399999999999999" hidden="1">
      <c r="F11" s="645"/>
      <c r="G11" s="646" t="s">
        <v>44</v>
      </c>
      <c r="H11" s="647">
        <f t="shared" ref="H11:N11" si="2">SUM(H4:H10)</f>
        <v>887</v>
      </c>
      <c r="I11" s="648">
        <f t="shared" si="2"/>
        <v>1195</v>
      </c>
      <c r="J11" s="649">
        <f t="shared" si="2"/>
        <v>1218</v>
      </c>
      <c r="K11" s="650">
        <f t="shared" si="2"/>
        <v>4438950949</v>
      </c>
      <c r="L11" s="648">
        <f t="shared" si="2"/>
        <v>4730938587</v>
      </c>
      <c r="M11" s="651">
        <f t="shared" si="2"/>
        <v>5471094338</v>
      </c>
      <c r="N11" s="647">
        <f t="shared" si="2"/>
        <v>3626</v>
      </c>
      <c r="O11" s="649">
        <f>SUM(O4:O10)</f>
        <v>14640983874</v>
      </c>
      <c r="P11" s="650">
        <f>SUM(P4:P10)</f>
        <v>47737617.041011274</v>
      </c>
      <c r="Q11" s="651">
        <f>SUM(Q4:Q10)</f>
        <v>1948.4741649392358</v>
      </c>
      <c r="R11" s="652"/>
    </row>
    <row r="12" spans="6:20" ht="18" thickBot="1">
      <c r="G12" s="653"/>
      <c r="H12" s="653"/>
      <c r="I12" s="653"/>
      <c r="J12" s="653"/>
      <c r="K12" s="653"/>
      <c r="L12" s="653"/>
      <c r="M12" s="653"/>
      <c r="N12" s="653"/>
      <c r="O12" s="653"/>
      <c r="P12" s="679"/>
      <c r="Q12" s="653"/>
      <c r="R12" s="654"/>
    </row>
    <row r="13" spans="6:20" ht="27" thickTop="1">
      <c r="F13" s="610" t="s">
        <v>482</v>
      </c>
      <c r="K13" s="754"/>
      <c r="M13" s="770">
        <v>25000</v>
      </c>
      <c r="O13" s="726" t="s">
        <v>467</v>
      </c>
      <c r="P13" s="727"/>
      <c r="Q13" s="727"/>
      <c r="R13" s="728"/>
      <c r="S13" s="729"/>
      <c r="T13" s="730"/>
    </row>
    <row r="14" spans="6:20" ht="42" customHeight="1">
      <c r="F14" s="655"/>
      <c r="G14" s="655" t="s">
        <v>418</v>
      </c>
      <c r="H14" s="655" t="s">
        <v>419</v>
      </c>
      <c r="I14" s="656" t="s">
        <v>420</v>
      </c>
      <c r="J14" s="656" t="s">
        <v>421</v>
      </c>
      <c r="K14" s="656" t="s">
        <v>422</v>
      </c>
      <c r="L14" s="657" t="s">
        <v>448</v>
      </c>
      <c r="M14" s="658" t="s">
        <v>423</v>
      </c>
      <c r="N14" s="760" t="s">
        <v>424</v>
      </c>
      <c r="O14" s="731" t="s">
        <v>468</v>
      </c>
      <c r="P14" s="721" t="s">
        <v>470</v>
      </c>
      <c r="Q14" s="722" t="s">
        <v>469</v>
      </c>
      <c r="R14" s="737" t="s">
        <v>472</v>
      </c>
      <c r="S14" s="737" t="s">
        <v>471</v>
      </c>
      <c r="T14" s="738" t="s">
        <v>474</v>
      </c>
    </row>
    <row r="15" spans="6:20" ht="17.399999999999999">
      <c r="F15" s="659"/>
      <c r="G15" s="660" t="s">
        <v>413</v>
      </c>
      <c r="H15" s="661">
        <v>5</v>
      </c>
      <c r="I15" s="662">
        <v>243798224.40000001</v>
      </c>
      <c r="J15" s="663">
        <f t="shared" ref="J15:J21" si="3">+I15*70%/12</f>
        <v>14221563.089999998</v>
      </c>
      <c r="K15" s="755">
        <v>49935857</v>
      </c>
      <c r="L15" s="664">
        <f t="shared" ref="L15:L21" si="4">(I15+I15*R4)/$M$13/H15</f>
        <v>2380.7367643232324</v>
      </c>
      <c r="M15" s="761">
        <f t="shared" ref="M15:M21" si="5">+K15/$M$13</f>
        <v>1997.4342799999999</v>
      </c>
      <c r="N15" s="762">
        <f>+K15/I15</f>
        <v>0.20482453111746288</v>
      </c>
      <c r="O15" s="732">
        <v>180000000</v>
      </c>
      <c r="P15" s="718">
        <f t="shared" ref="P15:P21" si="6">+O15/$M$13</f>
        <v>7200</v>
      </c>
      <c r="Q15" s="723">
        <f t="shared" ref="Q15:Q21" si="7">+P15/H15</f>
        <v>1440</v>
      </c>
      <c r="R15" s="739">
        <f>+Q15*21.5%</f>
        <v>309.60000000000002</v>
      </c>
      <c r="S15" s="740">
        <f>+Q15*10.5%</f>
        <v>151.19999999999999</v>
      </c>
      <c r="T15" s="741">
        <v>3</v>
      </c>
    </row>
    <row r="16" spans="6:20" ht="17.399999999999999">
      <c r="F16" s="666" t="s">
        <v>412</v>
      </c>
      <c r="G16" s="667" t="s">
        <v>414</v>
      </c>
      <c r="H16" s="668">
        <v>7</v>
      </c>
      <c r="I16" s="663">
        <v>175885970</v>
      </c>
      <c r="J16" s="663">
        <f t="shared" si="3"/>
        <v>10260014.916666666</v>
      </c>
      <c r="K16" s="755">
        <v>26303581</v>
      </c>
      <c r="L16" s="669">
        <f t="shared" si="4"/>
        <v>1297.0174396251987</v>
      </c>
      <c r="M16" s="763">
        <f t="shared" si="5"/>
        <v>1052.1432400000001</v>
      </c>
      <c r="N16" s="764">
        <f t="shared" ref="N16:N21" si="8">+K16/I16</f>
        <v>0.14954905726704637</v>
      </c>
      <c r="O16" s="733">
        <v>174400000</v>
      </c>
      <c r="P16" s="719">
        <f t="shared" si="6"/>
        <v>6976</v>
      </c>
      <c r="Q16" s="724">
        <f t="shared" si="7"/>
        <v>996.57142857142856</v>
      </c>
      <c r="R16" s="742">
        <f t="shared" ref="R16:R21" si="9">+Q16*21.5%</f>
        <v>214.26285714285714</v>
      </c>
      <c r="S16" s="743">
        <f t="shared" ref="S16:S21" si="10">+Q16*10.5%</f>
        <v>104.64</v>
      </c>
      <c r="T16" s="744">
        <v>3</v>
      </c>
    </row>
    <row r="17" spans="1:20" ht="17.399999999999999">
      <c r="F17" s="670"/>
      <c r="G17" s="671" t="s">
        <v>360</v>
      </c>
      <c r="H17" s="672">
        <v>53</v>
      </c>
      <c r="I17" s="673">
        <v>590631443.31834614</v>
      </c>
      <c r="J17" s="673">
        <f t="shared" si="3"/>
        <v>34453500.860236861</v>
      </c>
      <c r="K17" s="756">
        <v>117640902</v>
      </c>
      <c r="L17" s="674">
        <f t="shared" si="4"/>
        <v>551.19216148357225</v>
      </c>
      <c r="M17" s="765">
        <f t="shared" si="5"/>
        <v>4705.6360800000002</v>
      </c>
      <c r="N17" s="766">
        <f t="shared" si="8"/>
        <v>0.19917819027557662</v>
      </c>
      <c r="O17" s="733">
        <v>554284856.5</v>
      </c>
      <c r="P17" s="719">
        <f t="shared" si="6"/>
        <v>22171.394260000001</v>
      </c>
      <c r="Q17" s="724">
        <f t="shared" si="7"/>
        <v>418.3281935849057</v>
      </c>
      <c r="R17" s="742">
        <f t="shared" si="9"/>
        <v>89.940561620754721</v>
      </c>
      <c r="S17" s="743">
        <f t="shared" si="10"/>
        <v>43.924460326415094</v>
      </c>
      <c r="T17" s="744">
        <v>3</v>
      </c>
    </row>
    <row r="18" spans="1:20" ht="17.399999999999999">
      <c r="F18" s="659"/>
      <c r="G18" s="660" t="s">
        <v>413</v>
      </c>
      <c r="H18" s="661">
        <v>5</v>
      </c>
      <c r="I18" s="662">
        <v>97011500</v>
      </c>
      <c r="J18" s="662">
        <f t="shared" si="3"/>
        <v>5659004.166666667</v>
      </c>
      <c r="K18" s="757">
        <v>38880686</v>
      </c>
      <c r="L18" s="664">
        <f t="shared" si="4"/>
        <v>1044.5578276684032</v>
      </c>
      <c r="M18" s="761">
        <f t="shared" si="5"/>
        <v>1555.2274399999999</v>
      </c>
      <c r="N18" s="762">
        <f t="shared" si="8"/>
        <v>0.4007842987687027</v>
      </c>
      <c r="O18" s="733">
        <v>95461500</v>
      </c>
      <c r="P18" s="719">
        <f t="shared" si="6"/>
        <v>3818.46</v>
      </c>
      <c r="Q18" s="724">
        <f t="shared" si="7"/>
        <v>763.69200000000001</v>
      </c>
      <c r="R18" s="742">
        <f t="shared" si="9"/>
        <v>164.19378</v>
      </c>
      <c r="S18" s="743">
        <f t="shared" si="10"/>
        <v>80.187659999999994</v>
      </c>
      <c r="T18" s="744">
        <v>3</v>
      </c>
    </row>
    <row r="19" spans="1:20" ht="17.399999999999999">
      <c r="F19" s="666" t="s">
        <v>415</v>
      </c>
      <c r="G19" s="667" t="s">
        <v>414</v>
      </c>
      <c r="H19" s="668">
        <v>9</v>
      </c>
      <c r="I19" s="663">
        <v>207765472.59999999</v>
      </c>
      <c r="J19" s="663">
        <f t="shared" si="3"/>
        <v>12119652.568333333</v>
      </c>
      <c r="K19" s="755">
        <v>110534488</v>
      </c>
      <c r="L19" s="669">
        <f t="shared" si="4"/>
        <v>1417.8989524675546</v>
      </c>
      <c r="M19" s="763">
        <f t="shared" si="5"/>
        <v>4421.3795200000004</v>
      </c>
      <c r="N19" s="764">
        <f t="shared" si="8"/>
        <v>0.53201567429255325</v>
      </c>
      <c r="O19" s="733">
        <v>195341900</v>
      </c>
      <c r="P19" s="719">
        <f t="shared" si="6"/>
        <v>7813.6760000000004</v>
      </c>
      <c r="Q19" s="724">
        <f t="shared" si="7"/>
        <v>868.18622222222223</v>
      </c>
      <c r="R19" s="742">
        <f t="shared" si="9"/>
        <v>186.66003777777777</v>
      </c>
      <c r="S19" s="743">
        <f t="shared" si="10"/>
        <v>91.159553333333335</v>
      </c>
      <c r="T19" s="744">
        <v>3</v>
      </c>
    </row>
    <row r="20" spans="1:20" ht="17.399999999999999">
      <c r="F20" s="659"/>
      <c r="G20" s="660" t="s">
        <v>416</v>
      </c>
      <c r="H20" s="661">
        <v>165</v>
      </c>
      <c r="I20" s="662">
        <v>2343173233.9458537</v>
      </c>
      <c r="J20" s="662">
        <f t="shared" si="3"/>
        <v>136685105.31350812</v>
      </c>
      <c r="K20" s="757">
        <v>1494851904</v>
      </c>
      <c r="L20" s="669">
        <f t="shared" si="4"/>
        <v>887.45922908928424</v>
      </c>
      <c r="M20" s="763">
        <f t="shared" si="5"/>
        <v>59794.076159999997</v>
      </c>
      <c r="N20" s="764">
        <f t="shared" si="8"/>
        <v>0.6379604727230096</v>
      </c>
      <c r="O20" s="733">
        <v>2055253549.1700001</v>
      </c>
      <c r="P20" s="719">
        <f t="shared" si="6"/>
        <v>82210.141966800002</v>
      </c>
      <c r="Q20" s="724">
        <f t="shared" si="7"/>
        <v>498.24328464727273</v>
      </c>
      <c r="R20" s="742">
        <f t="shared" si="9"/>
        <v>107.12230619916363</v>
      </c>
      <c r="S20" s="743">
        <f t="shared" si="10"/>
        <v>52.315544887963632</v>
      </c>
      <c r="T20" s="744">
        <v>3</v>
      </c>
    </row>
    <row r="21" spans="1:20" ht="17.399999999999999">
      <c r="F21" s="670"/>
      <c r="G21" s="671" t="s">
        <v>417</v>
      </c>
      <c r="H21" s="672">
        <v>638</v>
      </c>
      <c r="I21" s="673">
        <v>2090896900</v>
      </c>
      <c r="J21" s="673">
        <f t="shared" si="3"/>
        <v>121968985.83333333</v>
      </c>
      <c r="K21" s="756">
        <v>4326098752</v>
      </c>
      <c r="L21" s="674">
        <f t="shared" si="4"/>
        <v>209.41984870203265</v>
      </c>
      <c r="M21" s="1407">
        <f t="shared" si="5"/>
        <v>173043.95008000001</v>
      </c>
      <c r="N21" s="766">
        <f t="shared" si="8"/>
        <v>2.0690158142182908</v>
      </c>
      <c r="O21" s="734">
        <v>4877290000</v>
      </c>
      <c r="P21" s="720">
        <f t="shared" si="6"/>
        <v>195091.6</v>
      </c>
      <c r="Q21" s="725">
        <f t="shared" si="7"/>
        <v>305.78620689655173</v>
      </c>
      <c r="R21" s="745">
        <f t="shared" si="9"/>
        <v>65.744034482758622</v>
      </c>
      <c r="S21" s="743">
        <f t="shared" si="10"/>
        <v>32.107551724137927</v>
      </c>
      <c r="T21" s="746">
        <v>3</v>
      </c>
    </row>
    <row r="22" spans="1:20" ht="13.8" thickBot="1">
      <c r="F22" s="675" t="s">
        <v>44</v>
      </c>
      <c r="G22" s="675"/>
      <c r="H22" s="676">
        <f>SUM(H15:H21)</f>
        <v>882</v>
      </c>
      <c r="I22" s="676">
        <f t="shared" ref="I22:T22" si="11">SUM(I15:I21)</f>
        <v>5749162744.2642002</v>
      </c>
      <c r="J22" s="676"/>
      <c r="K22" s="758">
        <f t="shared" si="11"/>
        <v>6164246170</v>
      </c>
      <c r="L22" s="677">
        <f t="shared" si="11"/>
        <v>7788.2822233592788</v>
      </c>
      <c r="M22" s="767">
        <f t="shared" si="11"/>
        <v>246569.8468</v>
      </c>
      <c r="N22" s="768"/>
      <c r="O22" s="735">
        <f t="shared" si="11"/>
        <v>8132031805.6700001</v>
      </c>
      <c r="P22" s="736">
        <f t="shared" si="11"/>
        <v>325281.27222679998</v>
      </c>
      <c r="Q22" s="736">
        <f t="shared" si="11"/>
        <v>5290.8073359223808</v>
      </c>
      <c r="R22" s="747">
        <f t="shared" si="11"/>
        <v>1137.5235772233118</v>
      </c>
      <c r="S22" s="747">
        <f t="shared" si="11"/>
        <v>555.53477027184999</v>
      </c>
      <c r="T22" s="748">
        <f t="shared" si="11"/>
        <v>21</v>
      </c>
    </row>
    <row r="23" spans="1:20" ht="13.8" thickTop="1">
      <c r="I23" s="705"/>
      <c r="J23" s="705"/>
      <c r="K23" s="759"/>
      <c r="M23" s="769"/>
      <c r="N23" s="769"/>
      <c r="O23" s="611"/>
      <c r="S23" s="654"/>
    </row>
    <row r="24" spans="1:20">
      <c r="I24" s="678"/>
      <c r="J24" s="678"/>
      <c r="K24" s="754"/>
      <c r="M24" s="754"/>
      <c r="N24" s="754"/>
      <c r="O24" s="611"/>
      <c r="R24" s="654"/>
    </row>
    <row r="25" spans="1:20">
      <c r="I25" s="665"/>
      <c r="O25" s="611"/>
      <c r="R25" s="654"/>
    </row>
    <row r="26" spans="1:20">
      <c r="O26" s="611"/>
      <c r="R26" s="654"/>
    </row>
    <row r="28" spans="1:20" ht="17.399999999999999">
      <c r="A28" s="680" t="s">
        <v>415</v>
      </c>
      <c r="B28" s="681" t="s">
        <v>460</v>
      </c>
      <c r="C28" s="682" t="s">
        <v>454</v>
      </c>
      <c r="D28" s="683">
        <v>6250.65</v>
      </c>
      <c r="F28"/>
      <c r="G28"/>
      <c r="H28"/>
    </row>
    <row r="29" spans="1:20" ht="17.399999999999999">
      <c r="A29" s="691" t="s">
        <v>412</v>
      </c>
      <c r="B29" s="681" t="s">
        <v>414</v>
      </c>
      <c r="C29" s="682" t="s">
        <v>455</v>
      </c>
      <c r="D29" s="683">
        <v>6741.23</v>
      </c>
      <c r="F29" s="610" t="s">
        <v>539</v>
      </c>
      <c r="G29"/>
      <c r="H29"/>
      <c r="I29"/>
    </row>
    <row r="30" spans="1:20" ht="17.399999999999999">
      <c r="A30" s="691" t="s">
        <v>412</v>
      </c>
      <c r="B30" s="681" t="s">
        <v>414</v>
      </c>
      <c r="C30" s="682" t="s">
        <v>456</v>
      </c>
      <c r="D30" s="683">
        <v>6596</v>
      </c>
      <c r="F30" s="684" t="s">
        <v>449</v>
      </c>
      <c r="G30" s="684" t="s">
        <v>450</v>
      </c>
      <c r="H30" s="684" t="s">
        <v>404</v>
      </c>
      <c r="I30" s="684" t="s">
        <v>452</v>
      </c>
      <c r="J30" s="685" t="s">
        <v>453</v>
      </c>
      <c r="K30" s="685" t="s">
        <v>473</v>
      </c>
      <c r="L30" s="611" t="s">
        <v>540</v>
      </c>
    </row>
    <row r="31" spans="1:20" ht="17.399999999999999">
      <c r="A31" s="680" t="s">
        <v>412</v>
      </c>
      <c r="B31" s="681" t="s">
        <v>414</v>
      </c>
      <c r="C31" s="682" t="s">
        <v>457</v>
      </c>
      <c r="D31" s="683">
        <v>4572.05</v>
      </c>
      <c r="F31" s="686" t="s">
        <v>412</v>
      </c>
      <c r="G31" s="686" t="s">
        <v>451</v>
      </c>
      <c r="H31" s="687">
        <v>4</v>
      </c>
      <c r="I31" s="793">
        <f>62060.075714229+7866</f>
        <v>69926.075714228995</v>
      </c>
      <c r="J31" s="688">
        <f>+I31/H31</f>
        <v>17481.518928557249</v>
      </c>
      <c r="K31" s="688">
        <f t="shared" ref="K31:K36" si="12">10800000/25000</f>
        <v>432</v>
      </c>
    </row>
    <row r="32" spans="1:20" ht="17.399999999999999">
      <c r="A32" s="680" t="s">
        <v>415</v>
      </c>
      <c r="B32" s="681" t="s">
        <v>414</v>
      </c>
      <c r="C32" s="682" t="s">
        <v>458</v>
      </c>
      <c r="D32" s="683">
        <v>3399.91</v>
      </c>
      <c r="F32" s="689"/>
      <c r="G32" s="689" t="s">
        <v>460</v>
      </c>
      <c r="H32" s="690">
        <v>2</v>
      </c>
      <c r="I32" s="794">
        <v>26966.785391462581</v>
      </c>
      <c r="J32" s="688">
        <v>13483.392695731291</v>
      </c>
      <c r="K32" s="688">
        <f t="shared" si="12"/>
        <v>432</v>
      </c>
      <c r="L32" s="678" t="s">
        <v>541</v>
      </c>
      <c r="M32" s="678"/>
    </row>
    <row r="33" spans="1:11" ht="17.399999999999999">
      <c r="A33" s="694" t="s">
        <v>412</v>
      </c>
      <c r="B33" s="695" t="s">
        <v>414</v>
      </c>
      <c r="C33" s="696" t="s">
        <v>459</v>
      </c>
      <c r="D33" s="697">
        <v>5000</v>
      </c>
      <c r="F33" s="692"/>
      <c r="G33" s="692" t="s">
        <v>414</v>
      </c>
      <c r="H33" s="693">
        <v>3</v>
      </c>
      <c r="I33" s="795">
        <v>26117.205223666988</v>
      </c>
      <c r="J33" s="717">
        <f>+I33/H33</f>
        <v>8705.7350745556632</v>
      </c>
      <c r="K33" s="717">
        <f t="shared" si="12"/>
        <v>432</v>
      </c>
    </row>
    <row r="34" spans="1:11" ht="17.399999999999999">
      <c r="F34" s="686" t="s">
        <v>415</v>
      </c>
      <c r="G34" s="686" t="s">
        <v>451</v>
      </c>
      <c r="H34" s="687">
        <v>2</v>
      </c>
      <c r="I34" s="793">
        <v>21735.048407208164</v>
      </c>
      <c r="J34" s="688">
        <f>+I34/H34</f>
        <v>10867.524203604082</v>
      </c>
      <c r="K34" s="688">
        <f t="shared" si="12"/>
        <v>432</v>
      </c>
    </row>
    <row r="35" spans="1:11" ht="17.399999999999999">
      <c r="F35" s="689"/>
      <c r="G35" s="689" t="s">
        <v>460</v>
      </c>
      <c r="H35" s="690">
        <v>2</v>
      </c>
      <c r="I35" s="794">
        <v>22154.186146861677</v>
      </c>
      <c r="J35" s="688">
        <f>+I35/H35</f>
        <v>11077.093073430839</v>
      </c>
      <c r="K35" s="688">
        <f t="shared" si="12"/>
        <v>432</v>
      </c>
    </row>
    <row r="36" spans="1:11" ht="17.399999999999999">
      <c r="F36" s="692"/>
      <c r="G36" s="692" t="s">
        <v>414</v>
      </c>
      <c r="H36" s="693">
        <v>1</v>
      </c>
      <c r="I36" s="795">
        <v>4534.563022743765</v>
      </c>
      <c r="J36" s="717">
        <f>+I36/H36</f>
        <v>4534.563022743765</v>
      </c>
      <c r="K36" s="717">
        <f t="shared" si="12"/>
        <v>432</v>
      </c>
    </row>
    <row r="37" spans="1:11" ht="17.399999999999999">
      <c r="F37" s="269" t="s">
        <v>44</v>
      </c>
      <c r="G37" s="269"/>
      <c r="H37" s="790">
        <v>14</v>
      </c>
      <c r="I37" s="796">
        <f>SUM(I31:I36)</f>
        <v>171433.86390617216</v>
      </c>
      <c r="J37" s="792">
        <f>SUM(J31:J36)</f>
        <v>66149.826998622884</v>
      </c>
      <c r="K37" s="791"/>
    </row>
  </sheetData>
  <mergeCells count="10">
    <mergeCell ref="Q2:Q3"/>
    <mergeCell ref="R2:R3"/>
    <mergeCell ref="F4:F6"/>
    <mergeCell ref="F7:F10"/>
    <mergeCell ref="G2:G3"/>
    <mergeCell ref="H2:J2"/>
    <mergeCell ref="K2:M2"/>
    <mergeCell ref="N2:N3"/>
    <mergeCell ref="O2:O3"/>
    <mergeCell ref="P2:P3"/>
  </mergeCells>
  <phoneticPr fontId="10" type="noConversion"/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37"/>
  <sheetViews>
    <sheetView topLeftCell="A28" workbookViewId="0">
      <selection activeCell="G14" sqref="G14"/>
    </sheetView>
  </sheetViews>
  <sheetFormatPr defaultRowHeight="17.399999999999999"/>
  <cols>
    <col min="1" max="1" width="3.69921875" customWidth="1"/>
    <col min="2" max="2" width="21" style="1239" customWidth="1"/>
    <col min="3" max="3" width="12.69921875" style="1239" customWidth="1"/>
  </cols>
  <sheetData>
    <row r="1" spans="1:6">
      <c r="A1" t="s">
        <v>925</v>
      </c>
    </row>
    <row r="2" spans="1:6">
      <c r="B2" s="1302" t="s">
        <v>924</v>
      </c>
      <c r="C2" s="1302" t="s">
        <v>923</v>
      </c>
    </row>
    <row r="3" spans="1:6">
      <c r="B3" s="1359" t="s">
        <v>387</v>
      </c>
      <c r="C3" s="1360">
        <v>0.92999999999999994</v>
      </c>
    </row>
    <row r="4" spans="1:6">
      <c r="B4" s="1359" t="s">
        <v>388</v>
      </c>
      <c r="C4" s="1360">
        <v>0.98</v>
      </c>
      <c r="F4" s="1363">
        <v>0.01</v>
      </c>
    </row>
    <row r="5" spans="1:6">
      <c r="B5" s="1359" t="s">
        <v>389</v>
      </c>
      <c r="C5" s="1360">
        <v>0.97</v>
      </c>
    </row>
    <row r="6" spans="1:6">
      <c r="B6" s="1359" t="s">
        <v>335</v>
      </c>
      <c r="C6" s="1360">
        <v>0.94</v>
      </c>
    </row>
    <row r="7" spans="1:6">
      <c r="B7" s="1359" t="s">
        <v>560</v>
      </c>
      <c r="C7" s="1360">
        <v>0.97</v>
      </c>
    </row>
    <row r="8" spans="1:6">
      <c r="B8" s="1359" t="s">
        <v>561</v>
      </c>
      <c r="C8" s="1360">
        <v>0.94</v>
      </c>
    </row>
    <row r="9" spans="1:6">
      <c r="B9" s="1359" t="s">
        <v>562</v>
      </c>
      <c r="C9" s="1360">
        <v>0.97</v>
      </c>
    </row>
    <row r="10" spans="1:6">
      <c r="B10" s="1359" t="s">
        <v>563</v>
      </c>
      <c r="C10" s="1360">
        <v>0.97</v>
      </c>
    </row>
    <row r="11" spans="1:6">
      <c r="B11" s="1359" t="s">
        <v>564</v>
      </c>
      <c r="C11" s="1360">
        <v>0.94</v>
      </c>
    </row>
    <row r="12" spans="1:6">
      <c r="B12" s="1359" t="s">
        <v>565</v>
      </c>
      <c r="C12" s="1360">
        <v>0.94</v>
      </c>
    </row>
    <row r="13" spans="1:6">
      <c r="B13" s="1359" t="s">
        <v>926</v>
      </c>
      <c r="C13" s="1360">
        <v>0.98</v>
      </c>
    </row>
    <row r="14" spans="1:6">
      <c r="B14" s="1359" t="s">
        <v>566</v>
      </c>
      <c r="C14" s="1360">
        <v>0.98</v>
      </c>
    </row>
    <row r="15" spans="1:6">
      <c r="B15" s="1359" t="s">
        <v>567</v>
      </c>
      <c r="C15" s="1360">
        <v>0.98</v>
      </c>
    </row>
    <row r="16" spans="1:6">
      <c r="B16" s="1359" t="s">
        <v>569</v>
      </c>
      <c r="C16" s="1360">
        <v>0.98</v>
      </c>
    </row>
    <row r="17" spans="2:3">
      <c r="B17" s="1359" t="s">
        <v>570</v>
      </c>
      <c r="C17" s="1360">
        <v>0.98</v>
      </c>
    </row>
    <row r="18" spans="2:3">
      <c r="B18" s="1359" t="s">
        <v>571</v>
      </c>
      <c r="C18" s="1360">
        <v>0.98</v>
      </c>
    </row>
    <row r="19" spans="2:3">
      <c r="B19" s="1361" t="s">
        <v>572</v>
      </c>
      <c r="C19" s="1360">
        <v>0.98</v>
      </c>
    </row>
    <row r="20" spans="2:3">
      <c r="B20" s="1361" t="s">
        <v>568</v>
      </c>
      <c r="C20" s="1360">
        <v>0.98</v>
      </c>
    </row>
    <row r="21" spans="2:3">
      <c r="B21" s="1361" t="s">
        <v>573</v>
      </c>
      <c r="C21" s="1360">
        <v>0.98</v>
      </c>
    </row>
    <row r="22" spans="2:3">
      <c r="B22" s="1362" t="s">
        <v>927</v>
      </c>
      <c r="C22" s="1360">
        <v>0.98</v>
      </c>
    </row>
    <row r="23" spans="2:3">
      <c r="B23" s="1362" t="s">
        <v>574</v>
      </c>
      <c r="C23" s="1360">
        <v>0.98</v>
      </c>
    </row>
    <row r="24" spans="2:3">
      <c r="B24" s="1362" t="s">
        <v>575</v>
      </c>
      <c r="C24" s="1360">
        <v>0.98</v>
      </c>
    </row>
    <row r="25" spans="2:3">
      <c r="B25" s="1362" t="s">
        <v>576</v>
      </c>
      <c r="C25" s="1360">
        <v>0.98</v>
      </c>
    </row>
    <row r="26" spans="2:3">
      <c r="B26" s="1362" t="s">
        <v>577</v>
      </c>
      <c r="C26" s="1360">
        <v>0.98</v>
      </c>
    </row>
    <row r="27" spans="2:3">
      <c r="B27" s="1361" t="s">
        <v>578</v>
      </c>
      <c r="C27" s="1360">
        <v>0.98</v>
      </c>
    </row>
    <row r="28" spans="2:3">
      <c r="B28" s="1361" t="s">
        <v>579</v>
      </c>
      <c r="C28" s="1360">
        <v>0.98</v>
      </c>
    </row>
    <row r="29" spans="2:3">
      <c r="B29" s="1361" t="s">
        <v>580</v>
      </c>
      <c r="C29" s="1360">
        <v>0.98</v>
      </c>
    </row>
    <row r="30" spans="2:3">
      <c r="B30" s="1359" t="s">
        <v>581</v>
      </c>
      <c r="C30" s="1360">
        <v>0.98</v>
      </c>
    </row>
    <row r="31" spans="2:3">
      <c r="B31" s="1359" t="s">
        <v>390</v>
      </c>
      <c r="C31" s="1360">
        <v>0.98</v>
      </c>
    </row>
    <row r="32" spans="2:3">
      <c r="B32" s="1359" t="s">
        <v>391</v>
      </c>
      <c r="C32" s="1360">
        <v>0.98</v>
      </c>
    </row>
    <row r="33" spans="2:3">
      <c r="B33" s="1359" t="s">
        <v>582</v>
      </c>
      <c r="C33" s="1360">
        <v>0.98</v>
      </c>
    </row>
    <row r="34" spans="2:3">
      <c r="B34" s="1359" t="s">
        <v>583</v>
      </c>
      <c r="C34" s="1360">
        <v>0.98</v>
      </c>
    </row>
    <row r="35" spans="2:3">
      <c r="B35" s="1359" t="s">
        <v>584</v>
      </c>
      <c r="C35" s="1360">
        <v>0.98</v>
      </c>
    </row>
    <row r="36" spans="2:3">
      <c r="B36" s="1361" t="s">
        <v>585</v>
      </c>
      <c r="C36" s="1360">
        <v>0.98</v>
      </c>
    </row>
    <row r="37" spans="2:3">
      <c r="B37" s="1361" t="s">
        <v>586</v>
      </c>
      <c r="C37" s="1360">
        <v>0.98</v>
      </c>
    </row>
  </sheetData>
  <phoneticPr fontId="10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R63"/>
  <sheetViews>
    <sheetView workbookViewId="0"/>
  </sheetViews>
  <sheetFormatPr defaultColWidth="9.09765625" defaultRowHeight="15.6"/>
  <cols>
    <col min="1" max="1" width="11.69921875" style="122" customWidth="1"/>
    <col min="2" max="2" width="29.69921875" style="118" customWidth="1"/>
    <col min="3" max="5" width="14.09765625" style="226" customWidth="1"/>
    <col min="6" max="10" width="14.09765625" style="119" customWidth="1"/>
    <col min="11" max="11" width="14.09765625" style="226" customWidth="1"/>
    <col min="12" max="15" width="14.09765625" style="119" customWidth="1"/>
    <col min="16" max="16" width="11.09765625" style="120" customWidth="1"/>
    <col min="17" max="17" width="11.09765625" style="121" customWidth="1"/>
    <col min="18" max="18" width="9.8984375" style="122" bestFit="1" customWidth="1"/>
    <col min="19" max="16384" width="9.09765625" style="122"/>
  </cols>
  <sheetData>
    <row r="1" spans="1:17" ht="19.2">
      <c r="A1" s="218" t="s">
        <v>304</v>
      </c>
    </row>
    <row r="2" spans="1:17" ht="16.2" thickBot="1">
      <c r="C2" s="119" t="s">
        <v>330</v>
      </c>
      <c r="D2" s="119" t="s">
        <v>330</v>
      </c>
      <c r="E2" s="119" t="s">
        <v>330</v>
      </c>
      <c r="F2" s="119" t="s">
        <v>330</v>
      </c>
      <c r="G2" s="119" t="s">
        <v>330</v>
      </c>
      <c r="H2" s="119" t="s">
        <v>330</v>
      </c>
      <c r="I2" s="119" t="s">
        <v>345</v>
      </c>
      <c r="J2" s="119" t="s">
        <v>345</v>
      </c>
      <c r="K2" s="119" t="s">
        <v>345</v>
      </c>
      <c r="L2" s="119" t="s">
        <v>345</v>
      </c>
      <c r="M2" s="119" t="s">
        <v>230</v>
      </c>
      <c r="N2" s="119" t="s">
        <v>230</v>
      </c>
      <c r="O2" s="114" t="s">
        <v>86</v>
      </c>
    </row>
    <row r="3" spans="1:17" s="129" customFormat="1" ht="18.75" customHeight="1" thickBot="1">
      <c r="A3" s="123" t="s">
        <v>116</v>
      </c>
      <c r="B3" s="124" t="s">
        <v>115</v>
      </c>
      <c r="C3" s="270" t="s">
        <v>318</v>
      </c>
      <c r="D3" s="271" t="s">
        <v>319</v>
      </c>
      <c r="E3" s="272" t="s">
        <v>320</v>
      </c>
      <c r="F3" s="270" t="s">
        <v>321</v>
      </c>
      <c r="G3" s="271" t="s">
        <v>322</v>
      </c>
      <c r="H3" s="272" t="s">
        <v>323</v>
      </c>
      <c r="I3" s="379" t="s">
        <v>324</v>
      </c>
      <c r="J3" s="271" t="s">
        <v>325</v>
      </c>
      <c r="K3" s="371" t="s">
        <v>326</v>
      </c>
      <c r="L3" s="270" t="s">
        <v>327</v>
      </c>
      <c r="M3" s="125" t="s">
        <v>328</v>
      </c>
      <c r="N3" s="126" t="s">
        <v>329</v>
      </c>
      <c r="O3" s="127" t="s">
        <v>94</v>
      </c>
      <c r="P3" s="128"/>
    </row>
    <row r="4" spans="1:17" s="136" customFormat="1" ht="18.75" customHeight="1">
      <c r="A4" s="130"/>
      <c r="B4" s="131" t="s">
        <v>0</v>
      </c>
      <c r="C4" s="273">
        <v>2382233.4634940429</v>
      </c>
      <c r="D4" s="274">
        <v>3645233.9966791486</v>
      </c>
      <c r="E4" s="275">
        <v>3819447.1811000006</v>
      </c>
      <c r="F4" s="273">
        <v>3459820.0749695627</v>
      </c>
      <c r="G4" s="274">
        <v>3142999.3160617021</v>
      </c>
      <c r="H4" s="275">
        <v>2995835.3464136906</v>
      </c>
      <c r="I4" s="276">
        <v>3939691.1767953201</v>
      </c>
      <c r="J4" s="274">
        <v>4058553.4506052714</v>
      </c>
      <c r="K4" s="372">
        <v>3950745.1369227665</v>
      </c>
      <c r="L4" s="273">
        <v>3953758.9416891676</v>
      </c>
      <c r="M4" s="132">
        <v>3646360.51983921</v>
      </c>
      <c r="N4" s="133">
        <v>3848384.2391816219</v>
      </c>
      <c r="O4" s="134">
        <f>SUM(C4:N4)</f>
        <v>42843062.843751505</v>
      </c>
      <c r="P4" s="135"/>
    </row>
    <row r="5" spans="1:17" s="143" customFormat="1" ht="18.75" customHeight="1">
      <c r="A5" s="137"/>
      <c r="B5" s="138" t="s">
        <v>180</v>
      </c>
      <c r="C5" s="277">
        <f>C16</f>
        <v>1710220.5515372981</v>
      </c>
      <c r="D5" s="278">
        <f>+C12</f>
        <v>1596401.0129682878</v>
      </c>
      <c r="E5" s="279">
        <f t="shared" ref="E5:N5" si="0">+D12</f>
        <v>1398474.9527851688</v>
      </c>
      <c r="F5" s="280">
        <f t="shared" si="0"/>
        <v>1583030.9610108407</v>
      </c>
      <c r="G5" s="281">
        <f t="shared" si="0"/>
        <v>1076354.9459895622</v>
      </c>
      <c r="H5" s="282">
        <f t="shared" si="0"/>
        <v>1889060.1654295642</v>
      </c>
      <c r="I5" s="283">
        <f t="shared" si="0"/>
        <v>1131597.1547912657</v>
      </c>
      <c r="J5" s="278">
        <f t="shared" si="0"/>
        <v>1126976.1390674198</v>
      </c>
      <c r="K5" s="373">
        <f t="shared" si="0"/>
        <v>735966.23387593124</v>
      </c>
      <c r="L5" s="277">
        <f t="shared" si="0"/>
        <v>1257165.6762585705</v>
      </c>
      <c r="M5" s="139">
        <f t="shared" si="0"/>
        <v>1605623.7631316902</v>
      </c>
      <c r="N5" s="140">
        <f t="shared" si="0"/>
        <v>523547.18586368859</v>
      </c>
      <c r="O5" s="141">
        <f>+C5</f>
        <v>1710220.5515372981</v>
      </c>
      <c r="P5" s="142"/>
    </row>
    <row r="6" spans="1:17" s="129" customFormat="1" ht="18.75" customHeight="1">
      <c r="A6" s="144" t="s">
        <v>173</v>
      </c>
      <c r="B6" s="145" t="s">
        <v>174</v>
      </c>
      <c r="C6" s="284">
        <f>C17+C18+C19+C20</f>
        <v>2067283.2955333334</v>
      </c>
      <c r="D6" s="285">
        <f t="shared" ref="D6:N6" si="1">D17+D18+D19+D20</f>
        <v>2563595.3656170219</v>
      </c>
      <c r="E6" s="286">
        <f t="shared" si="1"/>
        <v>3480668.3244680855</v>
      </c>
      <c r="F6" s="284">
        <f t="shared" si="1"/>
        <v>3529522.1245106384</v>
      </c>
      <c r="G6" s="285">
        <f t="shared" si="1"/>
        <v>4095523.8748936169</v>
      </c>
      <c r="H6" s="286">
        <f t="shared" si="1"/>
        <v>3451563.4054042557</v>
      </c>
      <c r="I6" s="287">
        <f t="shared" si="1"/>
        <v>4477303.5183829777</v>
      </c>
      <c r="J6" s="285">
        <f t="shared" si="1"/>
        <v>3471218.41706383</v>
      </c>
      <c r="K6" s="374">
        <f t="shared" si="1"/>
        <v>4410739.5764007084</v>
      </c>
      <c r="L6" s="284">
        <f t="shared" si="1"/>
        <v>4046499.2824999993</v>
      </c>
      <c r="M6" s="146">
        <f t="shared" si="1"/>
        <v>3926093.85787935</v>
      </c>
      <c r="N6" s="147">
        <f t="shared" si="1"/>
        <v>3461692.384767394</v>
      </c>
      <c r="O6" s="148">
        <f t="shared" ref="O6:O11" si="2">SUM(C6:N6)</f>
        <v>42981703.427421205</v>
      </c>
      <c r="P6" s="128"/>
    </row>
    <row r="7" spans="1:17" s="129" customFormat="1" ht="18.75" customHeight="1">
      <c r="A7" s="149"/>
      <c r="B7" s="150" t="s">
        <v>175</v>
      </c>
      <c r="C7" s="277">
        <f>+C21+C22+C23+C24</f>
        <v>3100228.3251666673</v>
      </c>
      <c r="D7" s="278">
        <f t="shared" ref="D7:N7" si="3">+D21+D22+D23+D24</f>
        <v>2089995.8499999999</v>
      </c>
      <c r="E7" s="279">
        <f t="shared" si="3"/>
        <v>2822399.0638297871</v>
      </c>
      <c r="F7" s="277">
        <f t="shared" si="3"/>
        <v>3624526.3986382978</v>
      </c>
      <c r="G7" s="278">
        <f t="shared" si="3"/>
        <v>2796616.2280851062</v>
      </c>
      <c r="H7" s="279">
        <f t="shared" si="3"/>
        <v>3575964.8085106383</v>
      </c>
      <c r="I7" s="288">
        <f t="shared" si="3"/>
        <v>3356586.0212765955</v>
      </c>
      <c r="J7" s="278">
        <f t="shared" si="3"/>
        <v>876321.29787234042</v>
      </c>
      <c r="K7" s="373">
        <f t="shared" si="3"/>
        <v>1479167</v>
      </c>
      <c r="L7" s="277">
        <f t="shared" si="3"/>
        <v>2714068.165541667</v>
      </c>
      <c r="M7" s="139">
        <f t="shared" si="3"/>
        <v>4235000</v>
      </c>
      <c r="N7" s="140">
        <f t="shared" si="3"/>
        <v>250000</v>
      </c>
      <c r="O7" s="141">
        <f t="shared" si="2"/>
        <v>30920873.158921104</v>
      </c>
      <c r="P7" s="128"/>
    </row>
    <row r="8" spans="1:17" s="157" customFormat="1" ht="18.75" customHeight="1">
      <c r="A8" s="151"/>
      <c r="B8" s="152" t="s">
        <v>158</v>
      </c>
      <c r="C8" s="289">
        <f>SUM(C6:C7)</f>
        <v>5167511.6207000008</v>
      </c>
      <c r="D8" s="290">
        <f t="shared" ref="D8:N8" si="4">SUM(D6:D7)</f>
        <v>4653591.2156170215</v>
      </c>
      <c r="E8" s="291">
        <f t="shared" si="4"/>
        <v>6303067.3882978726</v>
      </c>
      <c r="F8" s="289">
        <f t="shared" si="4"/>
        <v>7154048.5231489362</v>
      </c>
      <c r="G8" s="290">
        <f t="shared" si="4"/>
        <v>6892140.1029787231</v>
      </c>
      <c r="H8" s="291">
        <f t="shared" si="4"/>
        <v>7027528.2139148936</v>
      </c>
      <c r="I8" s="292">
        <f t="shared" si="4"/>
        <v>7833889.5396595728</v>
      </c>
      <c r="J8" s="290">
        <f t="shared" si="4"/>
        <v>4347539.7149361707</v>
      </c>
      <c r="K8" s="375">
        <f t="shared" si="4"/>
        <v>5889906.5764007084</v>
      </c>
      <c r="L8" s="289">
        <f t="shared" si="4"/>
        <v>6760567.4480416663</v>
      </c>
      <c r="M8" s="153">
        <f t="shared" si="4"/>
        <v>8161093.85787935</v>
      </c>
      <c r="N8" s="154">
        <f t="shared" si="4"/>
        <v>3711692.384767394</v>
      </c>
      <c r="O8" s="155">
        <f t="shared" si="2"/>
        <v>73902576.58634232</v>
      </c>
      <c r="P8" s="156"/>
    </row>
    <row r="9" spans="1:17" s="129" customFormat="1" ht="18.75" customHeight="1">
      <c r="A9" s="158" t="s">
        <v>176</v>
      </c>
      <c r="B9" s="159" t="s">
        <v>178</v>
      </c>
      <c r="C9" s="284">
        <f t="shared" ref="C9:N9" si="5">SUM(C26:C39)+C43+C44</f>
        <v>2979197.6169338338</v>
      </c>
      <c r="D9" s="285">
        <f t="shared" si="5"/>
        <v>2684550.0684214178</v>
      </c>
      <c r="E9" s="286">
        <f t="shared" si="5"/>
        <v>3276576.3162424136</v>
      </c>
      <c r="F9" s="284">
        <f t="shared" si="5"/>
        <v>3913688.2112765978</v>
      </c>
      <c r="G9" s="285">
        <f t="shared" si="5"/>
        <v>3357092.093842553</v>
      </c>
      <c r="H9" s="286">
        <f t="shared" si="5"/>
        <v>4086461.8612340423</v>
      </c>
      <c r="I9" s="287">
        <f t="shared" si="5"/>
        <v>4387868.9381787293</v>
      </c>
      <c r="J9" s="285">
        <f t="shared" si="5"/>
        <v>3626699.7536085099</v>
      </c>
      <c r="K9" s="374">
        <f t="shared" si="5"/>
        <v>3580160.4511766867</v>
      </c>
      <c r="L9" s="284">
        <f t="shared" si="5"/>
        <v>3778098.5927900001</v>
      </c>
      <c r="M9" s="146">
        <f t="shared" si="5"/>
        <v>6482804.6233086288</v>
      </c>
      <c r="N9" s="147">
        <f t="shared" si="5"/>
        <v>3430858.2314256807</v>
      </c>
      <c r="O9" s="148">
        <f t="shared" si="2"/>
        <v>45584056.758439094</v>
      </c>
      <c r="P9" s="128"/>
    </row>
    <row r="10" spans="1:17" s="129" customFormat="1" ht="18.75" customHeight="1">
      <c r="A10" s="149"/>
      <c r="B10" s="160" t="s">
        <v>177</v>
      </c>
      <c r="C10" s="277">
        <f>SUM(C40:C42)</f>
        <v>2302133.5423351778</v>
      </c>
      <c r="D10" s="278">
        <f t="shared" ref="D10:N10" si="6">SUM(D40:D42)</f>
        <v>2166967.2073787232</v>
      </c>
      <c r="E10" s="279">
        <f t="shared" si="6"/>
        <v>2841935.0638297871</v>
      </c>
      <c r="F10" s="277">
        <f t="shared" si="6"/>
        <v>3747036.3268936169</v>
      </c>
      <c r="G10" s="278">
        <f t="shared" si="6"/>
        <v>2722342.7896961682</v>
      </c>
      <c r="H10" s="279">
        <f t="shared" si="6"/>
        <v>3698529.3633191492</v>
      </c>
      <c r="I10" s="288">
        <f>SUM(I40:I42)</f>
        <v>3450641.6172046894</v>
      </c>
      <c r="J10" s="278">
        <f t="shared" si="6"/>
        <v>1111849.8665191489</v>
      </c>
      <c r="K10" s="373">
        <f t="shared" si="6"/>
        <v>1788546.6828413827</v>
      </c>
      <c r="L10" s="277">
        <f t="shared" si="6"/>
        <v>2634010.7683785465</v>
      </c>
      <c r="M10" s="139">
        <f t="shared" si="6"/>
        <v>2760365.8118387237</v>
      </c>
      <c r="N10" s="140">
        <f t="shared" si="6"/>
        <v>100365.8118387234</v>
      </c>
      <c r="O10" s="141">
        <f t="shared" si="2"/>
        <v>29324724.852073833</v>
      </c>
      <c r="P10" s="128"/>
    </row>
    <row r="11" spans="1:17" s="157" customFormat="1" ht="18.75" customHeight="1" thickBot="1">
      <c r="A11" s="151"/>
      <c r="B11" s="161" t="s">
        <v>158</v>
      </c>
      <c r="C11" s="293">
        <f>SUM(C9:C10)</f>
        <v>5281331.1592690116</v>
      </c>
      <c r="D11" s="294">
        <f t="shared" ref="D11:N11" si="7">SUM(D9:D10)</f>
        <v>4851517.2758001406</v>
      </c>
      <c r="E11" s="295">
        <f t="shared" si="7"/>
        <v>6118511.3800722007</v>
      </c>
      <c r="F11" s="293">
        <f t="shared" si="7"/>
        <v>7660724.5381702147</v>
      </c>
      <c r="G11" s="294">
        <f t="shared" si="7"/>
        <v>6079434.8835387211</v>
      </c>
      <c r="H11" s="295">
        <f t="shared" si="7"/>
        <v>7784991.224553192</v>
      </c>
      <c r="I11" s="296">
        <f t="shared" si="7"/>
        <v>7838510.5553834187</v>
      </c>
      <c r="J11" s="294">
        <f t="shared" si="7"/>
        <v>4738549.6201276593</v>
      </c>
      <c r="K11" s="376">
        <f t="shared" si="7"/>
        <v>5368707.1340180691</v>
      </c>
      <c r="L11" s="293">
        <f t="shared" si="7"/>
        <v>6412109.3611685466</v>
      </c>
      <c r="M11" s="162">
        <f t="shared" si="7"/>
        <v>9243170.4351473525</v>
      </c>
      <c r="N11" s="163">
        <f t="shared" si="7"/>
        <v>3531224.0432644039</v>
      </c>
      <c r="O11" s="164">
        <f t="shared" si="2"/>
        <v>74908781.610512942</v>
      </c>
      <c r="P11" s="156"/>
    </row>
    <row r="12" spans="1:17" s="169" customFormat="1" ht="18.75" customHeight="1" thickBot="1">
      <c r="A12" s="255"/>
      <c r="B12" s="256" t="s">
        <v>179</v>
      </c>
      <c r="C12" s="297">
        <f>+C5+C8-C11</f>
        <v>1596401.0129682878</v>
      </c>
      <c r="D12" s="298">
        <f t="shared" ref="D12:N12" si="8">+D5+D8-D11</f>
        <v>1398474.9527851688</v>
      </c>
      <c r="E12" s="299">
        <f t="shared" si="8"/>
        <v>1583030.9610108407</v>
      </c>
      <c r="F12" s="300">
        <f t="shared" si="8"/>
        <v>1076354.9459895622</v>
      </c>
      <c r="G12" s="301">
        <f t="shared" si="8"/>
        <v>1889060.1654295642</v>
      </c>
      <c r="H12" s="299">
        <f t="shared" si="8"/>
        <v>1131597.1547912657</v>
      </c>
      <c r="I12" s="302">
        <f>+I5+I8-I11</f>
        <v>1126976.1390674198</v>
      </c>
      <c r="J12" s="369">
        <f t="shared" si="8"/>
        <v>735966.23387593124</v>
      </c>
      <c r="K12" s="298">
        <f t="shared" si="8"/>
        <v>1257165.6762585705</v>
      </c>
      <c r="L12" s="297">
        <f t="shared" si="8"/>
        <v>1605623.7631316902</v>
      </c>
      <c r="M12" s="166">
        <f t="shared" si="8"/>
        <v>523547.18586368859</v>
      </c>
      <c r="N12" s="167">
        <f t="shared" si="8"/>
        <v>704015.52736667916</v>
      </c>
      <c r="O12" s="263">
        <f>+O5+O8-O11</f>
        <v>704015.52736668289</v>
      </c>
      <c r="P12" s="168"/>
    </row>
    <row r="13" spans="1:17" s="175" customFormat="1" ht="18.75" customHeight="1">
      <c r="A13" s="170"/>
      <c r="B13" s="171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3"/>
      <c r="Q13" s="174"/>
    </row>
    <row r="14" spans="1:17" ht="18.75" customHeight="1" thickBot="1">
      <c r="A14" s="218" t="s">
        <v>181</v>
      </c>
      <c r="B14" s="122"/>
      <c r="F14" s="226"/>
      <c r="G14" s="176"/>
      <c r="H14" s="226"/>
      <c r="I14" s="176"/>
      <c r="J14" s="176"/>
      <c r="L14" s="176"/>
      <c r="M14" s="176"/>
      <c r="N14" s="176"/>
      <c r="O14" s="114" t="s">
        <v>86</v>
      </c>
      <c r="P14" s="177"/>
    </row>
    <row r="15" spans="1:17" s="117" customFormat="1" ht="20.25" customHeight="1" thickBot="1">
      <c r="A15" s="123" t="s">
        <v>116</v>
      </c>
      <c r="B15" s="124" t="s">
        <v>115</v>
      </c>
      <c r="C15" s="368" t="s">
        <v>318</v>
      </c>
      <c r="D15" s="367" t="s">
        <v>319</v>
      </c>
      <c r="E15" s="303" t="s">
        <v>320</v>
      </c>
      <c r="F15" s="304" t="s">
        <v>321</v>
      </c>
      <c r="G15" s="305" t="s">
        <v>322</v>
      </c>
      <c r="H15" s="303" t="s">
        <v>323</v>
      </c>
      <c r="I15" s="304" t="s">
        <v>324</v>
      </c>
      <c r="J15" s="305" t="s">
        <v>325</v>
      </c>
      <c r="K15" s="303" t="s">
        <v>326</v>
      </c>
      <c r="L15" s="304" t="s">
        <v>327</v>
      </c>
      <c r="M15" s="306" t="s">
        <v>328</v>
      </c>
      <c r="N15" s="307" t="s">
        <v>329</v>
      </c>
      <c r="O15" s="308" t="s">
        <v>342</v>
      </c>
      <c r="P15" s="178"/>
      <c r="Q15" s="179"/>
    </row>
    <row r="16" spans="1:17" ht="20.25" customHeight="1" thickBot="1">
      <c r="A16" s="180" t="s">
        <v>151</v>
      </c>
      <c r="B16" s="165"/>
      <c r="C16" s="309">
        <v>1710220.5515372981</v>
      </c>
      <c r="D16" s="310">
        <f>+C47</f>
        <v>1596401.0129682892</v>
      </c>
      <c r="E16" s="311">
        <f t="shared" ref="E16:N16" si="9">+D47</f>
        <v>1398474.9527851692</v>
      </c>
      <c r="F16" s="309">
        <f t="shared" si="9"/>
        <v>1583030.9610108412</v>
      </c>
      <c r="G16" s="312">
        <f t="shared" si="9"/>
        <v>1076354.9459895627</v>
      </c>
      <c r="H16" s="311">
        <f t="shared" si="9"/>
        <v>1889060.1654295647</v>
      </c>
      <c r="I16" s="309">
        <f t="shared" si="9"/>
        <v>1131597.1547912671</v>
      </c>
      <c r="J16" s="312">
        <f t="shared" si="9"/>
        <v>1126976.1390674221</v>
      </c>
      <c r="K16" s="311">
        <f t="shared" si="9"/>
        <v>735966.2338759345</v>
      </c>
      <c r="L16" s="309">
        <f t="shared" si="9"/>
        <v>1257165.6762585728</v>
      </c>
      <c r="M16" s="181">
        <f t="shared" si="9"/>
        <v>1605623.7631316916</v>
      </c>
      <c r="N16" s="182">
        <f t="shared" si="9"/>
        <v>523547.18586368905</v>
      </c>
      <c r="O16" s="183">
        <f>+C16</f>
        <v>1710220.5515372981</v>
      </c>
      <c r="P16" s="184"/>
    </row>
    <row r="17" spans="1:17" ht="20.25" customHeight="1">
      <c r="A17" s="185" t="s">
        <v>152</v>
      </c>
      <c r="B17" s="186" t="s">
        <v>153</v>
      </c>
      <c r="C17" s="313">
        <v>1936330.3655333335</v>
      </c>
      <c r="D17" s="314">
        <v>2284086.07612766</v>
      </c>
      <c r="E17" s="315">
        <v>3448033.5344680855</v>
      </c>
      <c r="F17" s="313">
        <v>3084757.2245106385</v>
      </c>
      <c r="G17" s="316">
        <v>3828833.5648936168</v>
      </c>
      <c r="H17" s="315">
        <v>2921435.7947234046</v>
      </c>
      <c r="I17" s="313">
        <v>3414597.3620851054</v>
      </c>
      <c r="J17" s="316">
        <v>3103400.0038723405</v>
      </c>
      <c r="K17" s="315">
        <v>4196361.3017907795</v>
      </c>
      <c r="L17" s="313">
        <v>3784884.2824999993</v>
      </c>
      <c r="M17" s="187">
        <v>3711093.85787935</v>
      </c>
      <c r="N17" s="188">
        <v>3261692.384767394</v>
      </c>
      <c r="O17" s="189">
        <f t="shared" ref="O17:O24" si="10">SUM(C17:N17)</f>
        <v>38975505.7531517</v>
      </c>
      <c r="P17" s="230" t="b">
        <v>0</v>
      </c>
    </row>
    <row r="18" spans="1:17" ht="20.25" customHeight="1">
      <c r="A18" s="190"/>
      <c r="B18" s="191" t="s">
        <v>154</v>
      </c>
      <c r="C18" s="313">
        <v>121402</v>
      </c>
      <c r="D18" s="317">
        <v>161402.14000000001</v>
      </c>
      <c r="E18" s="318">
        <v>0</v>
      </c>
      <c r="F18" s="319">
        <v>424722.9</v>
      </c>
      <c r="G18" s="320">
        <v>173340.76</v>
      </c>
      <c r="H18" s="318">
        <v>204082</v>
      </c>
      <c r="I18" s="319"/>
      <c r="J18" s="320">
        <v>240400.63</v>
      </c>
      <c r="K18" s="318">
        <v>200000</v>
      </c>
      <c r="L18" s="319">
        <v>85048</v>
      </c>
      <c r="M18" s="192">
        <v>215000</v>
      </c>
      <c r="N18" s="193">
        <v>200000</v>
      </c>
      <c r="O18" s="189">
        <f t="shared" si="10"/>
        <v>2025398.4300000002</v>
      </c>
      <c r="P18" s="230"/>
    </row>
    <row r="19" spans="1:17" ht="20.25" customHeight="1">
      <c r="A19" s="190"/>
      <c r="B19" s="191" t="s">
        <v>285</v>
      </c>
      <c r="C19" s="313"/>
      <c r="D19" s="317"/>
      <c r="E19" s="318"/>
      <c r="F19" s="319"/>
      <c r="G19" s="320"/>
      <c r="H19" s="321">
        <v>0</v>
      </c>
      <c r="I19" s="348">
        <v>800000</v>
      </c>
      <c r="J19" s="320"/>
      <c r="K19" s="318"/>
      <c r="L19" s="319"/>
      <c r="M19" s="322"/>
      <c r="N19" s="193"/>
      <c r="O19" s="189">
        <f t="shared" si="10"/>
        <v>800000</v>
      </c>
      <c r="P19" s="184"/>
    </row>
    <row r="20" spans="1:17" ht="20.25" customHeight="1">
      <c r="A20" s="190"/>
      <c r="B20" s="191" t="s">
        <v>228</v>
      </c>
      <c r="C20" s="313">
        <v>9550.93</v>
      </c>
      <c r="D20" s="317">
        <v>118107.14948936171</v>
      </c>
      <c r="E20" s="318">
        <v>32634.79</v>
      </c>
      <c r="F20" s="319">
        <v>20042</v>
      </c>
      <c r="G20" s="320">
        <v>93349.55</v>
      </c>
      <c r="H20" s="318">
        <v>326045.61068085104</v>
      </c>
      <c r="I20" s="319">
        <v>262706.15629787231</v>
      </c>
      <c r="J20" s="320">
        <v>127417.78319148936</v>
      </c>
      <c r="K20" s="318">
        <v>14378.274609929078</v>
      </c>
      <c r="L20" s="319">
        <v>176567</v>
      </c>
      <c r="M20" s="322">
        <v>0</v>
      </c>
      <c r="N20" s="193">
        <v>0</v>
      </c>
      <c r="O20" s="189">
        <f t="shared" si="10"/>
        <v>1180799.2442695035</v>
      </c>
      <c r="P20" s="184"/>
    </row>
    <row r="21" spans="1:17" ht="20.25" customHeight="1">
      <c r="A21" s="190"/>
      <c r="B21" s="191" t="s">
        <v>155</v>
      </c>
      <c r="C21" s="319">
        <v>2276056.666666667</v>
      </c>
      <c r="D21" s="320">
        <v>2073872.5899999999</v>
      </c>
      <c r="E21" s="318">
        <v>2822399.0638297871</v>
      </c>
      <c r="F21" s="319">
        <v>3624526.3986382978</v>
      </c>
      <c r="G21" s="320">
        <v>2650858.6193617019</v>
      </c>
      <c r="H21" s="318">
        <v>3575964.8085106383</v>
      </c>
      <c r="I21" s="323">
        <v>3289351.978723404</v>
      </c>
      <c r="J21" s="320">
        <v>876321.29787234042</v>
      </c>
      <c r="K21" s="318">
        <v>1479167</v>
      </c>
      <c r="L21" s="577">
        <v>2453245.8322083335</v>
      </c>
      <c r="M21" s="322">
        <v>2660000</v>
      </c>
      <c r="N21" s="193"/>
      <c r="O21" s="189">
        <f t="shared" si="10"/>
        <v>27781764.25581117</v>
      </c>
      <c r="P21" s="184"/>
    </row>
    <row r="22" spans="1:17" ht="20.25" customHeight="1">
      <c r="A22" s="190"/>
      <c r="B22" s="191" t="s">
        <v>156</v>
      </c>
      <c r="C22" s="319">
        <v>0</v>
      </c>
      <c r="D22" s="317">
        <v>0</v>
      </c>
      <c r="E22" s="318">
        <v>0</v>
      </c>
      <c r="F22" s="319">
        <v>0</v>
      </c>
      <c r="G22" s="320">
        <v>35917.5</v>
      </c>
      <c r="H22" s="318"/>
      <c r="I22" s="323">
        <v>0</v>
      </c>
      <c r="J22" s="320">
        <v>0</v>
      </c>
      <c r="K22" s="318">
        <v>0</v>
      </c>
      <c r="L22" s="577">
        <v>0</v>
      </c>
      <c r="M22" s="322">
        <v>0</v>
      </c>
      <c r="N22" s="193">
        <v>0</v>
      </c>
      <c r="O22" s="189">
        <f t="shared" si="10"/>
        <v>35917.5</v>
      </c>
      <c r="P22" s="184"/>
      <c r="Q22" s="194"/>
    </row>
    <row r="23" spans="1:17" ht="20.25" customHeight="1">
      <c r="A23" s="190"/>
      <c r="B23" s="195" t="s">
        <v>286</v>
      </c>
      <c r="C23" s="324"/>
      <c r="D23" s="325"/>
      <c r="E23" s="326"/>
      <c r="F23" s="324"/>
      <c r="G23" s="320">
        <v>106382.97872340426</v>
      </c>
      <c r="H23" s="318"/>
      <c r="I23" s="320">
        <v>67234.042553191495</v>
      </c>
      <c r="J23" s="370"/>
      <c r="K23" s="326"/>
      <c r="L23" s="578">
        <v>208333.33333333334</v>
      </c>
      <c r="M23" s="327">
        <v>200000</v>
      </c>
      <c r="N23" s="196">
        <v>250000</v>
      </c>
      <c r="O23" s="189">
        <f t="shared" si="10"/>
        <v>831950.35460992914</v>
      </c>
      <c r="P23" s="184"/>
      <c r="Q23" s="194"/>
    </row>
    <row r="24" spans="1:17" ht="20.25" customHeight="1">
      <c r="A24" s="190"/>
      <c r="B24" s="195" t="s">
        <v>157</v>
      </c>
      <c r="C24" s="324">
        <v>824171.65850000037</v>
      </c>
      <c r="D24" s="325">
        <v>16123.26</v>
      </c>
      <c r="E24" s="326">
        <v>0</v>
      </c>
      <c r="F24" s="324">
        <v>0</v>
      </c>
      <c r="G24" s="320">
        <v>3457.1299999997427</v>
      </c>
      <c r="H24" s="318"/>
      <c r="I24" s="328"/>
      <c r="J24" s="370"/>
      <c r="K24" s="377"/>
      <c r="L24" s="579">
        <v>52489</v>
      </c>
      <c r="M24" s="329">
        <v>1375000</v>
      </c>
      <c r="N24" s="196"/>
      <c r="O24" s="197">
        <f t="shared" si="10"/>
        <v>2271241.0485</v>
      </c>
      <c r="P24" s="184"/>
      <c r="Q24" s="194"/>
    </row>
    <row r="25" spans="1:17" ht="20.25" customHeight="1" thickBot="1">
      <c r="A25" s="198"/>
      <c r="B25" s="199" t="s">
        <v>158</v>
      </c>
      <c r="C25" s="330">
        <f t="shared" ref="C25:O25" si="11">SUM(C17:C24)</f>
        <v>5167511.6207000017</v>
      </c>
      <c r="D25" s="331">
        <f t="shared" si="11"/>
        <v>4653591.2156170215</v>
      </c>
      <c r="E25" s="332">
        <f t="shared" si="11"/>
        <v>6303067.3882978726</v>
      </c>
      <c r="F25" s="330">
        <f t="shared" si="11"/>
        <v>7154048.5231489362</v>
      </c>
      <c r="G25" s="333">
        <f t="shared" si="11"/>
        <v>6892140.1029787231</v>
      </c>
      <c r="H25" s="332">
        <f t="shared" si="11"/>
        <v>7027528.2139148936</v>
      </c>
      <c r="I25" s="334">
        <f t="shared" si="11"/>
        <v>7833889.5396595728</v>
      </c>
      <c r="J25" s="333">
        <f t="shared" si="11"/>
        <v>4347539.7149361707</v>
      </c>
      <c r="K25" s="378">
        <f>SUM(K17:K24)</f>
        <v>5889906.5764007084</v>
      </c>
      <c r="L25" s="580">
        <f>SUM(L17:L24)</f>
        <v>6760567.4480416654</v>
      </c>
      <c r="M25" s="335">
        <f>SUM(M17:M24)</f>
        <v>8161093.85787935</v>
      </c>
      <c r="N25" s="201">
        <f t="shared" si="11"/>
        <v>3711692.384767394</v>
      </c>
      <c r="O25" s="202">
        <f t="shared" si="11"/>
        <v>73902576.586342305</v>
      </c>
      <c r="P25" s="184"/>
      <c r="Q25" s="194"/>
    </row>
    <row r="26" spans="1:17" ht="20.25" customHeight="1">
      <c r="A26" s="203" t="s">
        <v>159</v>
      </c>
      <c r="B26" s="336" t="s">
        <v>160</v>
      </c>
      <c r="C26" s="337">
        <f>1218454.11241667-24255.97</f>
        <v>1194198.14241667</v>
      </c>
      <c r="D26" s="338">
        <v>1043064.647319149</v>
      </c>
      <c r="E26" s="339">
        <v>656323.20510638307</v>
      </c>
      <c r="F26" s="313">
        <v>1529981.822680851</v>
      </c>
      <c r="G26" s="316">
        <v>783693.05429787259</v>
      </c>
      <c r="H26" s="315">
        <v>1542881.4429361701</v>
      </c>
      <c r="I26" s="340">
        <f>1297123.49246809+280000</f>
        <v>1577123.49246809</v>
      </c>
      <c r="J26" s="344">
        <f>1139298.77774468-108977.76+1432.1</f>
        <v>1031753.1177446799</v>
      </c>
      <c r="K26" s="345">
        <f>1372798.6292633-45385.74</f>
        <v>1327412.8892633</v>
      </c>
      <c r="L26" s="343">
        <f>1568780.11684-58341.99</f>
        <v>1510438.12684</v>
      </c>
      <c r="M26" s="341">
        <v>964330.95600833336</v>
      </c>
      <c r="N26" s="116">
        <v>965966.42102701659</v>
      </c>
      <c r="O26" s="189">
        <f t="shared" ref="O26:O44" si="12">SUM(C26:N26)</f>
        <v>14127167.318108514</v>
      </c>
      <c r="P26" s="184"/>
      <c r="Q26" s="194"/>
    </row>
    <row r="27" spans="1:17" ht="20.25" customHeight="1">
      <c r="A27" s="204"/>
      <c r="B27" s="342" t="s">
        <v>343</v>
      </c>
      <c r="C27" s="343">
        <v>35094.439350000001</v>
      </c>
      <c r="D27" s="344">
        <v>5071.4842902127666</v>
      </c>
      <c r="E27" s="345">
        <v>5191.484170212766</v>
      </c>
      <c r="F27" s="343">
        <v>35041.129710638299</v>
      </c>
      <c r="G27" s="344">
        <v>4851.0589787234039</v>
      </c>
      <c r="H27" s="345">
        <v>44751.768297872339</v>
      </c>
      <c r="I27" s="346">
        <v>49898.1512</v>
      </c>
      <c r="J27" s="344">
        <v>71744.959794042545</v>
      </c>
      <c r="K27" s="345">
        <v>71656.9397875</v>
      </c>
      <c r="L27" s="343">
        <v>71647.217575000002</v>
      </c>
      <c r="M27" s="341">
        <v>75700</v>
      </c>
      <c r="N27" s="116">
        <v>75700</v>
      </c>
      <c r="O27" s="189">
        <f t="shared" si="12"/>
        <v>546348.63315420214</v>
      </c>
      <c r="P27" s="184"/>
      <c r="Q27" s="194"/>
    </row>
    <row r="28" spans="1:17" ht="20.25" customHeight="1">
      <c r="A28" s="205"/>
      <c r="B28" s="347" t="s">
        <v>161</v>
      </c>
      <c r="C28" s="343">
        <v>169011.91916666666</v>
      </c>
      <c r="D28" s="344">
        <v>2984.4255319148933</v>
      </c>
      <c r="E28" s="345">
        <v>48475.872978723397</v>
      </c>
      <c r="F28" s="343">
        <v>30930.11234042553</v>
      </c>
      <c r="G28" s="344">
        <v>57332.842553191476</v>
      </c>
      <c r="H28" s="345">
        <v>65448.201361702122</v>
      </c>
      <c r="I28" s="346">
        <v>50985.081489361699</v>
      </c>
      <c r="J28" s="344">
        <v>31724.670553191492</v>
      </c>
      <c r="K28" s="345">
        <v>21481.773049645391</v>
      </c>
      <c r="L28" s="343">
        <v>39717.207208333333</v>
      </c>
      <c r="M28" s="341">
        <v>22112.023458333329</v>
      </c>
      <c r="N28" s="116">
        <v>29161.508916666666</v>
      </c>
      <c r="O28" s="189">
        <f t="shared" si="12"/>
        <v>569365.638608156</v>
      </c>
      <c r="P28" s="184"/>
      <c r="Q28" s="194"/>
    </row>
    <row r="29" spans="1:17" ht="20.25" customHeight="1">
      <c r="A29" s="205"/>
      <c r="B29" s="347" t="s">
        <v>162</v>
      </c>
      <c r="C29" s="343">
        <v>134478.65845833332</v>
      </c>
      <c r="D29" s="344">
        <v>14893.753191489361</v>
      </c>
      <c r="E29" s="345">
        <v>239189.3427659575</v>
      </c>
      <c r="F29" s="343">
        <v>280205.37046808511</v>
      </c>
      <c r="G29" s="344">
        <v>274022.88595744676</v>
      </c>
      <c r="H29" s="345">
        <v>194102.84978723404</v>
      </c>
      <c r="I29" s="343">
        <v>298380.96646808513</v>
      </c>
      <c r="J29" s="344">
        <v>234890.14991489361</v>
      </c>
      <c r="K29" s="345">
        <v>229289.41026241134</v>
      </c>
      <c r="L29" s="343">
        <v>180479.81295833332</v>
      </c>
      <c r="M29" s="341">
        <v>294632.93678274995</v>
      </c>
      <c r="N29" s="116">
        <v>321906.73545080825</v>
      </c>
      <c r="O29" s="189">
        <f t="shared" si="12"/>
        <v>2696472.872465828</v>
      </c>
      <c r="P29" s="184"/>
      <c r="Q29" s="194"/>
    </row>
    <row r="30" spans="1:17" ht="20.25" customHeight="1">
      <c r="A30" s="205"/>
      <c r="B30" s="347" t="s">
        <v>163</v>
      </c>
      <c r="C30" s="343">
        <v>381109.93233333336</v>
      </c>
      <c r="D30" s="344">
        <v>304648.4374468085</v>
      </c>
      <c r="E30" s="345">
        <v>274985.23208510643</v>
      </c>
      <c r="F30" s="343">
        <v>445958.84102127666</v>
      </c>
      <c r="G30" s="344">
        <v>454974.34319148934</v>
      </c>
      <c r="H30" s="345">
        <v>739176.71191489359</v>
      </c>
      <c r="I30" s="343">
        <v>471492.83136170212</v>
      </c>
      <c r="J30" s="344">
        <v>715853.87374468078</v>
      </c>
      <c r="K30" s="345">
        <v>432906.83987234044</v>
      </c>
      <c r="L30" s="343">
        <v>481799.66737499996</v>
      </c>
      <c r="M30" s="341">
        <v>617271.9923647102</v>
      </c>
      <c r="N30" s="116">
        <v>608181.55450375797</v>
      </c>
      <c r="O30" s="189">
        <f t="shared" si="12"/>
        <v>5928360.2572150994</v>
      </c>
      <c r="P30" s="184"/>
      <c r="Q30" s="194"/>
    </row>
    <row r="31" spans="1:17" ht="20.25" customHeight="1">
      <c r="A31" s="205"/>
      <c r="B31" s="206" t="s">
        <v>341</v>
      </c>
      <c r="C31" s="343">
        <v>102516.46820833333</v>
      </c>
      <c r="D31" s="344">
        <v>64440.185531914853</v>
      </c>
      <c r="E31" s="345">
        <v>117236.08540425533</v>
      </c>
      <c r="F31" s="343">
        <v>46561.842255319149</v>
      </c>
      <c r="G31" s="344">
        <v>127251.05012765958</v>
      </c>
      <c r="H31" s="345">
        <v>54399.357574468093</v>
      </c>
      <c r="I31" s="343">
        <v>147973.16940425531</v>
      </c>
      <c r="J31" s="344">
        <v>128236.34025531913</v>
      </c>
      <c r="K31" s="345">
        <v>220302.51962322695</v>
      </c>
      <c r="L31" s="343">
        <v>161521.94575000001</v>
      </c>
      <c r="M31" s="341">
        <v>63924.128375</v>
      </c>
      <c r="N31" s="116">
        <v>63924.128375</v>
      </c>
      <c r="O31" s="189">
        <f t="shared" si="12"/>
        <v>1298287.2208847518</v>
      </c>
      <c r="P31" s="184"/>
      <c r="Q31" s="194"/>
    </row>
    <row r="32" spans="1:17" ht="20.25" customHeight="1">
      <c r="A32" s="207"/>
      <c r="B32" s="206" t="s">
        <v>336</v>
      </c>
      <c r="C32" s="348">
        <v>0</v>
      </c>
      <c r="D32" s="349">
        <f>22400+10000+D22</f>
        <v>32400</v>
      </c>
      <c r="E32" s="321">
        <v>55399.4</v>
      </c>
      <c r="F32" s="348">
        <v>85900.774042553181</v>
      </c>
      <c r="G32" s="349">
        <v>231145.4</v>
      </c>
      <c r="H32" s="345">
        <v>261700.04</v>
      </c>
      <c r="I32" s="348">
        <v>63845.32106382979</v>
      </c>
      <c r="J32" s="349">
        <v>95858.489702127656</v>
      </c>
      <c r="K32" s="321">
        <v>84662.45</v>
      </c>
      <c r="L32" s="348">
        <v>133063.38416666666</v>
      </c>
      <c r="M32" s="350">
        <v>309833</v>
      </c>
      <c r="N32" s="229">
        <v>139000</v>
      </c>
      <c r="O32" s="189">
        <f t="shared" si="12"/>
        <v>1492808.2589751773</v>
      </c>
      <c r="P32" s="184"/>
      <c r="Q32" s="194"/>
    </row>
    <row r="33" spans="1:18" ht="20.25" customHeight="1">
      <c r="A33" s="205"/>
      <c r="B33" s="206" t="s">
        <v>164</v>
      </c>
      <c r="C33" s="348">
        <f>889836.112194444-462712</f>
        <v>427124.11219444405</v>
      </c>
      <c r="D33" s="349">
        <v>698277.82932269503</v>
      </c>
      <c r="E33" s="321">
        <v>1292958.9349787235</v>
      </c>
      <c r="F33" s="348">
        <v>762421.34872340434</v>
      </c>
      <c r="G33" s="349">
        <v>605382.71804255317</v>
      </c>
      <c r="H33" s="345">
        <v>570327.57612765953</v>
      </c>
      <c r="I33" s="348">
        <v>567551.88327659573</v>
      </c>
      <c r="J33" s="349">
        <v>613168.31646808505</v>
      </c>
      <c r="K33" s="321">
        <v>607558.79181294329</v>
      </c>
      <c r="L33" s="348">
        <v>617594.18816666666</v>
      </c>
      <c r="M33" s="350">
        <v>717365.43352893624</v>
      </c>
      <c r="N33" s="351">
        <v>807500.86647893628</v>
      </c>
      <c r="O33" s="189">
        <f t="shared" si="12"/>
        <v>8287231.9991216436</v>
      </c>
      <c r="P33" s="184"/>
      <c r="Q33" s="194"/>
      <c r="R33" s="121"/>
    </row>
    <row r="34" spans="1:18" ht="20.25" customHeight="1">
      <c r="A34" s="207"/>
      <c r="B34" s="206" t="s">
        <v>238</v>
      </c>
      <c r="C34" s="343">
        <v>16165.622916666667</v>
      </c>
      <c r="D34" s="344">
        <v>60095.731063829786</v>
      </c>
      <c r="E34" s="321">
        <v>76514.435744680857</v>
      </c>
      <c r="F34" s="348">
        <v>56766.914042553195</v>
      </c>
      <c r="G34" s="349">
        <v>120576.0855319149</v>
      </c>
      <c r="H34" s="345">
        <v>30454.323404255316</v>
      </c>
      <c r="I34" s="343">
        <v>97049.540425531915</v>
      </c>
      <c r="J34" s="344">
        <v>150708.1995319149</v>
      </c>
      <c r="K34" s="345">
        <v>64759.160815602838</v>
      </c>
      <c r="L34" s="343">
        <v>1847.3333333333333</v>
      </c>
      <c r="M34" s="115">
        <v>59392.872280851007</v>
      </c>
      <c r="N34" s="116">
        <v>57314.782608695656</v>
      </c>
      <c r="O34" s="189">
        <f t="shared" si="12"/>
        <v>791645.00169983041</v>
      </c>
      <c r="P34" s="184"/>
      <c r="Q34" s="194"/>
    </row>
    <row r="35" spans="1:18" ht="20.25" customHeight="1">
      <c r="A35" s="207"/>
      <c r="B35" s="206" t="s">
        <v>165</v>
      </c>
      <c r="C35" s="348">
        <v>194061.40875</v>
      </c>
      <c r="D35" s="349">
        <v>228694.21029787231</v>
      </c>
      <c r="E35" s="321">
        <v>253959.50327659576</v>
      </c>
      <c r="F35" s="348">
        <v>250576.28153191489</v>
      </c>
      <c r="G35" s="349">
        <v>246027.26204255322</v>
      </c>
      <c r="H35" s="345">
        <v>260710.65178723403</v>
      </c>
      <c r="I35" s="343">
        <v>313642.09093617031</v>
      </c>
      <c r="J35" s="344">
        <v>293933.83910638298</v>
      </c>
      <c r="K35" s="345">
        <v>264974.29589450354</v>
      </c>
      <c r="L35" s="343">
        <v>292788.48699999996</v>
      </c>
      <c r="M35" s="115">
        <v>267628.65637836198</v>
      </c>
      <c r="N35" s="116">
        <v>283137.38220157899</v>
      </c>
      <c r="O35" s="189">
        <f t="shared" si="12"/>
        <v>3150134.0692031672</v>
      </c>
      <c r="P35" s="184"/>
      <c r="Q35" s="194"/>
    </row>
    <row r="36" spans="1:18" ht="20.25" customHeight="1">
      <c r="A36" s="207"/>
      <c r="B36" s="206" t="s">
        <v>166</v>
      </c>
      <c r="C36" s="348">
        <v>70273.682936170211</v>
      </c>
      <c r="D36" s="349">
        <v>18872.336212765957</v>
      </c>
      <c r="E36" s="321">
        <v>120138.57431914893</v>
      </c>
      <c r="F36" s="348">
        <v>67904.00089361702</v>
      </c>
      <c r="G36" s="349">
        <v>100767.57889361701</v>
      </c>
      <c r="H36" s="345">
        <v>74519.242851063827</v>
      </c>
      <c r="I36" s="343">
        <v>367771.23042553192</v>
      </c>
      <c r="J36" s="344">
        <v>19210.430042553191</v>
      </c>
      <c r="K36" s="345">
        <v>37773.964666666667</v>
      </c>
      <c r="L36" s="343">
        <v>9646.5529166666674</v>
      </c>
      <c r="M36" s="115">
        <v>42931.876583333331</v>
      </c>
      <c r="N36" s="116">
        <v>42931.876583333331</v>
      </c>
      <c r="O36" s="189">
        <f t="shared" si="12"/>
        <v>972741.3473244682</v>
      </c>
      <c r="P36" s="184"/>
      <c r="Q36" s="194"/>
    </row>
    <row r="37" spans="1:18" ht="20.25" customHeight="1">
      <c r="A37" s="207"/>
      <c r="B37" s="206" t="s">
        <v>167</v>
      </c>
      <c r="C37" s="348">
        <v>110774.02166666667</v>
      </c>
      <c r="D37" s="349">
        <v>107782.79</v>
      </c>
      <c r="E37" s="321">
        <v>7925.1971489361704</v>
      </c>
      <c r="F37" s="348">
        <v>109760.68744680852</v>
      </c>
      <c r="G37" s="349">
        <v>230394.23940425529</v>
      </c>
      <c r="H37" s="345">
        <v>110613.79663829788</v>
      </c>
      <c r="I37" s="343">
        <v>102936.70804255319</v>
      </c>
      <c r="J37" s="344">
        <v>116027.30310638298</v>
      </c>
      <c r="K37" s="345">
        <v>122635.80642641845</v>
      </c>
      <c r="L37" s="343">
        <v>106633.43783333333</v>
      </c>
      <c r="M37" s="115">
        <v>100431.16069405107</v>
      </c>
      <c r="N37" s="116">
        <v>99396.761307051085</v>
      </c>
      <c r="O37" s="189">
        <f t="shared" si="12"/>
        <v>1325311.9097147547</v>
      </c>
      <c r="P37" s="184"/>
      <c r="Q37" s="194"/>
    </row>
    <row r="38" spans="1:18" ht="20.25" customHeight="1">
      <c r="A38" s="207"/>
      <c r="B38" s="206" t="s">
        <v>229</v>
      </c>
      <c r="C38" s="348">
        <v>21814.367958333332</v>
      </c>
      <c r="D38" s="349">
        <v>35012.867234042555</v>
      </c>
      <c r="E38" s="321">
        <v>29688.56710638298</v>
      </c>
      <c r="F38" s="348">
        <v>71292.951319148939</v>
      </c>
      <c r="G38" s="349">
        <v>87547.398851063816</v>
      </c>
      <c r="H38" s="345">
        <v>85081.26395744679</v>
      </c>
      <c r="I38" s="348">
        <v>94989.276042553189</v>
      </c>
      <c r="J38" s="349">
        <v>87764.005063829783</v>
      </c>
      <c r="K38" s="321">
        <v>70650.19389184397</v>
      </c>
      <c r="L38" s="348">
        <v>95808.906624999989</v>
      </c>
      <c r="M38" s="235">
        <f>+M27*0.1</f>
        <v>7570</v>
      </c>
      <c r="N38" s="229">
        <v>7570</v>
      </c>
      <c r="O38" s="189">
        <f t="shared" si="12"/>
        <v>694789.79804964527</v>
      </c>
      <c r="P38" s="184"/>
      <c r="Q38" s="194"/>
    </row>
    <row r="39" spans="1:18" ht="20.25" customHeight="1">
      <c r="A39" s="207"/>
      <c r="B39" s="206" t="s">
        <v>168</v>
      </c>
      <c r="C39" s="348">
        <v>51428.885833333334</v>
      </c>
      <c r="D39" s="349">
        <v>14192.720978723404</v>
      </c>
      <c r="E39" s="321">
        <v>72997.896893617028</v>
      </c>
      <c r="F39" s="348">
        <v>60709.54587234043</v>
      </c>
      <c r="G39" s="349">
        <v>33126.175970212767</v>
      </c>
      <c r="H39" s="345">
        <v>45274.634595744683</v>
      </c>
      <c r="I39" s="348">
        <v>112083.00557446812</v>
      </c>
      <c r="J39" s="349">
        <v>35826.058580425532</v>
      </c>
      <c r="K39" s="321">
        <v>24095.415810283688</v>
      </c>
      <c r="L39" s="348">
        <v>45126.325041666663</v>
      </c>
      <c r="M39" s="235">
        <v>48891.036853967846</v>
      </c>
      <c r="N39" s="229">
        <v>48745.213972836325</v>
      </c>
      <c r="O39" s="189">
        <f t="shared" si="12"/>
        <v>592496.91597761982</v>
      </c>
      <c r="P39" s="184"/>
      <c r="Q39" s="194"/>
    </row>
    <row r="40" spans="1:18" ht="20.25" customHeight="1">
      <c r="A40" s="207"/>
      <c r="B40" s="206" t="s">
        <v>169</v>
      </c>
      <c r="C40" s="348">
        <v>2203753.666666667</v>
      </c>
      <c r="D40" s="349">
        <v>2068348</v>
      </c>
      <c r="E40" s="321">
        <v>2750289.0638297871</v>
      </c>
      <c r="F40" s="348">
        <v>3653739.3135319147</v>
      </c>
      <c r="G40" s="349">
        <v>2627233.4893617001</v>
      </c>
      <c r="H40" s="321">
        <v>3608080.5085106385</v>
      </c>
      <c r="I40" s="348">
        <v>3354446.9977246891</v>
      </c>
      <c r="J40" s="349">
        <v>1020089.2602978724</v>
      </c>
      <c r="K40" s="321">
        <v>1688180.8710026594</v>
      </c>
      <c r="L40" s="348">
        <v>2548299.8322083335</v>
      </c>
      <c r="M40" s="235">
        <v>2660000</v>
      </c>
      <c r="N40" s="229"/>
      <c r="O40" s="189">
        <f t="shared" si="12"/>
        <v>28182461.003134258</v>
      </c>
      <c r="P40" s="184"/>
      <c r="Q40" s="194"/>
    </row>
    <row r="41" spans="1:18" ht="20.25" customHeight="1">
      <c r="A41" s="207"/>
      <c r="B41" s="206" t="s">
        <v>170</v>
      </c>
      <c r="C41" s="352">
        <v>23898</v>
      </c>
      <c r="D41" s="353">
        <v>24406</v>
      </c>
      <c r="E41" s="354">
        <v>24406</v>
      </c>
      <c r="F41" s="348">
        <v>25133.468085106386</v>
      </c>
      <c r="G41" s="349">
        <v>25133.468085106386</v>
      </c>
      <c r="H41" s="321">
        <v>25133.468085106386</v>
      </c>
      <c r="I41" s="348">
        <v>25883.936170212764</v>
      </c>
      <c r="J41" s="349">
        <f>I41+$C$22/48</f>
        <v>25883.936170212764</v>
      </c>
      <c r="K41" s="321">
        <v>25883.936170212764</v>
      </c>
      <c r="L41" s="348">
        <f>K41+$C$22/48</f>
        <v>25883.936170212764</v>
      </c>
      <c r="M41" s="235">
        <f>L41+$C$22/48</f>
        <v>25883.936170212764</v>
      </c>
      <c r="N41" s="229">
        <f>M41+$C$22/48</f>
        <v>25883.936170212764</v>
      </c>
      <c r="O41" s="189">
        <f t="shared" si="12"/>
        <v>303414.02127659565</v>
      </c>
      <c r="P41" s="184"/>
      <c r="Q41" s="194"/>
    </row>
    <row r="42" spans="1:18" ht="20.25" customHeight="1">
      <c r="A42" s="207"/>
      <c r="B42" s="206" t="s">
        <v>18</v>
      </c>
      <c r="C42" s="348">
        <v>74481.875668510635</v>
      </c>
      <c r="D42" s="349">
        <v>74213.207378723411</v>
      </c>
      <c r="E42" s="321">
        <v>67240</v>
      </c>
      <c r="F42" s="348">
        <v>68163.545276595745</v>
      </c>
      <c r="G42" s="349">
        <v>69975.832249361687</v>
      </c>
      <c r="H42" s="321">
        <v>65315.386723404255</v>
      </c>
      <c r="I42" s="348">
        <v>70310.68330978723</v>
      </c>
      <c r="J42" s="349">
        <v>65876.670051063818</v>
      </c>
      <c r="K42" s="321">
        <v>74481.875668510635</v>
      </c>
      <c r="L42" s="348">
        <v>59827</v>
      </c>
      <c r="M42" s="235">
        <v>74481.875668510635</v>
      </c>
      <c r="N42" s="229">
        <v>74481.875668510635</v>
      </c>
      <c r="O42" s="239">
        <f t="shared" si="12"/>
        <v>838849.82766297879</v>
      </c>
      <c r="P42" s="184"/>
      <c r="Q42" s="194"/>
    </row>
    <row r="43" spans="1:18" ht="20.25" customHeight="1">
      <c r="A43" s="207"/>
      <c r="B43" s="206" t="s">
        <v>246</v>
      </c>
      <c r="C43" s="360"/>
      <c r="D43" s="361"/>
      <c r="E43" s="362"/>
      <c r="F43" s="360">
        <v>0</v>
      </c>
      <c r="G43" s="361">
        <v>0</v>
      </c>
      <c r="H43" s="362">
        <v>0</v>
      </c>
      <c r="I43" s="360"/>
      <c r="J43" s="361"/>
      <c r="K43" s="362"/>
      <c r="L43" s="360"/>
      <c r="M43" s="358">
        <v>2879122.55</v>
      </c>
      <c r="N43" s="359">
        <v>-200000</v>
      </c>
      <c r="O43" s="239">
        <f t="shared" si="12"/>
        <v>2679122.5499999998</v>
      </c>
      <c r="P43" s="184"/>
      <c r="Q43" s="194"/>
    </row>
    <row r="44" spans="1:18" ht="20.25" customHeight="1">
      <c r="A44" s="207"/>
      <c r="B44" s="237" t="s">
        <v>237</v>
      </c>
      <c r="C44" s="363">
        <v>71145.954744883347</v>
      </c>
      <c r="D44" s="364">
        <v>54118.65</v>
      </c>
      <c r="E44" s="365">
        <v>25592.58426368935</v>
      </c>
      <c r="F44" s="363">
        <v>79676.588927661534</v>
      </c>
      <c r="G44" s="364">
        <v>0</v>
      </c>
      <c r="H44" s="365">
        <v>7020</v>
      </c>
      <c r="I44" s="366">
        <v>72146.19</v>
      </c>
      <c r="J44" s="364"/>
      <c r="K44" s="365"/>
      <c r="L44" s="363">
        <v>29986</v>
      </c>
      <c r="M44" s="251">
        <v>11666</v>
      </c>
      <c r="N44" s="250">
        <f>50000+18755+11666</f>
        <v>80421</v>
      </c>
      <c r="O44" s="239">
        <f t="shared" si="12"/>
        <v>431772.9679362342</v>
      </c>
      <c r="P44" s="184"/>
      <c r="Q44" s="194"/>
    </row>
    <row r="45" spans="1:18" ht="20.25" customHeight="1" thickBot="1">
      <c r="A45" s="205"/>
      <c r="B45" s="199" t="s">
        <v>158</v>
      </c>
      <c r="C45" s="330">
        <f t="shared" ref="C45:O45" si="13">SUM(C26:C44)</f>
        <v>5281331.1592690106</v>
      </c>
      <c r="D45" s="333">
        <f t="shared" si="13"/>
        <v>4851517.2758001415</v>
      </c>
      <c r="E45" s="332">
        <f t="shared" si="13"/>
        <v>6118511.3800722007</v>
      </c>
      <c r="F45" s="330">
        <f t="shared" si="13"/>
        <v>7660724.5381702147</v>
      </c>
      <c r="G45" s="333">
        <f t="shared" si="13"/>
        <v>6079434.8835387211</v>
      </c>
      <c r="H45" s="332">
        <f t="shared" si="13"/>
        <v>7784991.2245531911</v>
      </c>
      <c r="I45" s="330">
        <f t="shared" si="13"/>
        <v>7838510.5553834178</v>
      </c>
      <c r="J45" s="333">
        <f t="shared" si="13"/>
        <v>4738549.6201276584</v>
      </c>
      <c r="K45" s="332">
        <f t="shared" si="13"/>
        <v>5368707.1340180701</v>
      </c>
      <c r="L45" s="330">
        <f t="shared" si="13"/>
        <v>6412109.3611685466</v>
      </c>
      <c r="M45" s="200">
        <f t="shared" si="13"/>
        <v>9243170.4351473525</v>
      </c>
      <c r="N45" s="201">
        <f t="shared" si="13"/>
        <v>3531224.0432644044</v>
      </c>
      <c r="O45" s="202">
        <f t="shared" si="13"/>
        <v>74908781.610512912</v>
      </c>
      <c r="P45" s="184"/>
      <c r="Q45" s="194"/>
    </row>
    <row r="46" spans="1:18" ht="20.25" customHeight="1" thickBot="1">
      <c r="A46" s="253" t="s">
        <v>171</v>
      </c>
      <c r="B46" s="254"/>
      <c r="C46" s="238">
        <f t="shared" ref="C46:O46" si="14">C25-C45</f>
        <v>-113819.53856900893</v>
      </c>
      <c r="D46" s="355">
        <f t="shared" si="14"/>
        <v>-197926.06018311996</v>
      </c>
      <c r="E46" s="356">
        <f t="shared" si="14"/>
        <v>184556.00822567195</v>
      </c>
      <c r="F46" s="238">
        <f t="shared" si="14"/>
        <v>-506676.01502127852</v>
      </c>
      <c r="G46" s="208">
        <f t="shared" si="14"/>
        <v>812705.21944000199</v>
      </c>
      <c r="H46" s="356">
        <f t="shared" si="14"/>
        <v>-757463.01063829754</v>
      </c>
      <c r="I46" s="238">
        <f t="shared" si="14"/>
        <v>-4621.0157238449901</v>
      </c>
      <c r="J46" s="208">
        <f t="shared" si="14"/>
        <v>-391009.90519148763</v>
      </c>
      <c r="K46" s="356">
        <f t="shared" si="14"/>
        <v>521199.44238263834</v>
      </c>
      <c r="L46" s="238">
        <f t="shared" si="14"/>
        <v>348458.08687311877</v>
      </c>
      <c r="M46" s="208">
        <f t="shared" si="14"/>
        <v>-1082076.5772680026</v>
      </c>
      <c r="N46" s="209">
        <f t="shared" si="14"/>
        <v>180468.34150298964</v>
      </c>
      <c r="O46" s="210">
        <f t="shared" si="14"/>
        <v>-1006205.0241706073</v>
      </c>
      <c r="P46" s="184"/>
      <c r="Q46" s="194"/>
    </row>
    <row r="47" spans="1:18" ht="20.25" customHeight="1" thickBot="1">
      <c r="A47" s="48" t="s">
        <v>172</v>
      </c>
      <c r="B47" s="252"/>
      <c r="C47" s="300">
        <f t="shared" ref="C47:O47" si="15">C46+C16</f>
        <v>1596401.0129682892</v>
      </c>
      <c r="D47" s="357">
        <f t="shared" si="15"/>
        <v>1398474.9527851692</v>
      </c>
      <c r="E47" s="299">
        <f t="shared" si="15"/>
        <v>1583030.9610108412</v>
      </c>
      <c r="F47" s="300">
        <f t="shared" si="15"/>
        <v>1076354.9459895627</v>
      </c>
      <c r="G47" s="301">
        <f t="shared" si="15"/>
        <v>1889060.1654295647</v>
      </c>
      <c r="H47" s="299">
        <f t="shared" si="15"/>
        <v>1131597.1547912671</v>
      </c>
      <c r="I47" s="300">
        <f t="shared" si="15"/>
        <v>1126976.1390674221</v>
      </c>
      <c r="J47" s="301">
        <f t="shared" si="15"/>
        <v>735966.2338759345</v>
      </c>
      <c r="K47" s="299">
        <f t="shared" si="15"/>
        <v>1257165.6762585728</v>
      </c>
      <c r="L47" s="300">
        <f t="shared" si="15"/>
        <v>1605623.7631316916</v>
      </c>
      <c r="M47" s="212">
        <f t="shared" si="15"/>
        <v>523547.18586368905</v>
      </c>
      <c r="N47" s="213">
        <f t="shared" si="15"/>
        <v>704015.5273666787</v>
      </c>
      <c r="O47" s="214">
        <f t="shared" si="15"/>
        <v>704015.5273666908</v>
      </c>
      <c r="P47" s="184"/>
      <c r="Q47" s="194"/>
    </row>
    <row r="48" spans="1:18" s="233" customFormat="1" ht="18.75" customHeight="1">
      <c r="A48" s="240"/>
      <c r="B48" s="231"/>
      <c r="C48" s="245"/>
      <c r="D48" s="245"/>
      <c r="E48" s="245"/>
      <c r="F48" s="241"/>
      <c r="G48" s="241"/>
      <c r="H48" s="245"/>
      <c r="I48" s="241"/>
      <c r="J48" s="241"/>
      <c r="K48" s="245"/>
      <c r="L48" s="241"/>
      <c r="M48" s="241"/>
      <c r="N48" s="234"/>
      <c r="O48" s="232"/>
      <c r="P48" s="242"/>
      <c r="Q48" s="243"/>
    </row>
    <row r="49" spans="1:17" s="233" customFormat="1" ht="18.75" customHeight="1">
      <c r="A49" s="240"/>
      <c r="B49" s="231"/>
      <c r="C49" s="245"/>
      <c r="D49" s="245"/>
      <c r="E49" s="245"/>
      <c r="F49" s="241"/>
      <c r="G49" s="241"/>
      <c r="H49" s="245"/>
      <c r="I49" s="241"/>
      <c r="J49" s="241"/>
      <c r="K49" s="245"/>
      <c r="L49" s="241"/>
      <c r="M49" s="241"/>
      <c r="N49" s="241"/>
      <c r="O49" s="232"/>
      <c r="P49" s="242"/>
      <c r="Q49" s="243"/>
    </row>
    <row r="50" spans="1:17" ht="18.75" customHeight="1">
      <c r="A50" s="240"/>
      <c r="B50" s="231"/>
      <c r="C50" s="245"/>
      <c r="D50" s="245"/>
      <c r="E50" s="245"/>
      <c r="F50" s="241"/>
      <c r="G50" s="241"/>
      <c r="H50" s="245"/>
      <c r="I50" s="241"/>
      <c r="J50" s="241"/>
      <c r="K50" s="245"/>
      <c r="L50" s="215"/>
      <c r="M50" s="112"/>
      <c r="N50" s="112"/>
      <c r="O50" s="215"/>
      <c r="P50" s="216"/>
    </row>
    <row r="51" spans="1:17" ht="18.75" customHeight="1">
      <c r="A51" s="240"/>
      <c r="B51" s="231"/>
      <c r="C51" s="245"/>
      <c r="D51" s="245"/>
      <c r="E51" s="245"/>
      <c r="F51" s="241"/>
      <c r="G51" s="241"/>
      <c r="H51" s="245"/>
      <c r="I51" s="241"/>
      <c r="J51" s="241"/>
      <c r="K51" s="245"/>
      <c r="L51" s="215"/>
      <c r="M51" s="217"/>
      <c r="N51" s="217"/>
      <c r="O51" s="112"/>
    </row>
    <row r="52" spans="1:17" ht="16.350000000000001" customHeight="1">
      <c r="A52" s="240"/>
      <c r="B52" s="231"/>
      <c r="C52" s="245"/>
      <c r="D52" s="245"/>
      <c r="E52" s="245"/>
      <c r="F52" s="241"/>
      <c r="G52" s="241"/>
      <c r="H52" s="245"/>
      <c r="I52" s="241"/>
      <c r="J52" s="241"/>
      <c r="K52" s="245"/>
      <c r="L52" s="112"/>
      <c r="M52" s="112"/>
      <c r="N52" s="112"/>
      <c r="O52" s="112"/>
    </row>
    <row r="53" spans="1:17" ht="16.350000000000001" customHeight="1">
      <c r="A53" s="240"/>
      <c r="B53" s="231"/>
      <c r="C53" s="245"/>
      <c r="D53" s="245"/>
      <c r="E53" s="245"/>
      <c r="F53" s="241"/>
      <c r="G53" s="241"/>
      <c r="H53" s="245"/>
      <c r="I53" s="241"/>
      <c r="J53" s="241"/>
      <c r="K53" s="245"/>
      <c r="L53" s="112"/>
      <c r="M53" s="112"/>
      <c r="N53" s="112"/>
      <c r="O53" s="112"/>
    </row>
    <row r="54" spans="1:17">
      <c r="A54" s="240"/>
      <c r="B54" s="231"/>
      <c r="C54" s="245"/>
      <c r="D54" s="245"/>
      <c r="E54" s="245"/>
      <c r="F54" s="241"/>
      <c r="G54" s="241"/>
      <c r="H54" s="245"/>
      <c r="I54" s="241"/>
      <c r="J54" s="241"/>
      <c r="K54" s="245"/>
      <c r="L54" s="112"/>
      <c r="M54" s="112"/>
      <c r="N54" s="112"/>
      <c r="O54" s="112"/>
    </row>
    <row r="55" spans="1:17">
      <c r="A55" s="240"/>
      <c r="B55" s="231"/>
      <c r="C55" s="245"/>
      <c r="D55" s="245"/>
      <c r="E55" s="245"/>
      <c r="F55" s="241"/>
      <c r="G55" s="241"/>
      <c r="H55" s="245"/>
      <c r="I55" s="241"/>
      <c r="J55" s="241"/>
      <c r="K55" s="245"/>
      <c r="L55" s="112"/>
      <c r="M55" s="112"/>
      <c r="N55" s="112"/>
      <c r="O55" s="112"/>
    </row>
    <row r="56" spans="1:17">
      <c r="A56" s="240"/>
      <c r="B56" s="231"/>
      <c r="C56" s="245"/>
      <c r="D56" s="245"/>
      <c r="E56" s="245"/>
      <c r="F56" s="241"/>
      <c r="G56" s="241"/>
      <c r="H56" s="245"/>
      <c r="I56" s="241"/>
      <c r="J56" s="241"/>
      <c r="K56" s="245"/>
      <c r="L56" s="112"/>
      <c r="M56" s="112"/>
      <c r="N56" s="112"/>
      <c r="O56" s="112"/>
    </row>
    <row r="57" spans="1:17">
      <c r="A57" s="240"/>
      <c r="B57" s="231"/>
      <c r="C57" s="245"/>
      <c r="D57" s="245"/>
      <c r="E57" s="245"/>
      <c r="F57" s="241"/>
      <c r="G57" s="241"/>
      <c r="H57" s="245"/>
      <c r="I57" s="241"/>
      <c r="J57" s="241"/>
      <c r="K57" s="245"/>
      <c r="L57" s="112"/>
      <c r="M57" s="112"/>
      <c r="N57" s="112"/>
      <c r="O57" s="112"/>
    </row>
    <row r="58" spans="1:17">
      <c r="A58" s="240"/>
      <c r="B58" s="231"/>
      <c r="C58" s="245"/>
      <c r="D58" s="245"/>
      <c r="E58" s="245"/>
      <c r="F58" s="241"/>
      <c r="G58" s="241"/>
      <c r="H58" s="245"/>
      <c r="I58" s="241"/>
      <c r="J58" s="241"/>
      <c r="K58" s="245"/>
      <c r="L58" s="112"/>
      <c r="M58" s="112"/>
      <c r="N58" s="112"/>
      <c r="O58" s="112"/>
    </row>
    <row r="59" spans="1:17">
      <c r="A59" s="240"/>
      <c r="B59" s="231"/>
      <c r="C59" s="245"/>
      <c r="D59" s="245"/>
      <c r="E59" s="245"/>
      <c r="F59" s="241"/>
      <c r="G59" s="241"/>
      <c r="H59" s="245"/>
      <c r="I59" s="241"/>
      <c r="J59" s="241"/>
      <c r="K59" s="245"/>
      <c r="L59" s="112"/>
      <c r="M59" s="112"/>
      <c r="N59" s="112"/>
      <c r="O59" s="112"/>
    </row>
    <row r="60" spans="1:17">
      <c r="A60" s="240"/>
      <c r="B60" s="231"/>
      <c r="C60" s="245"/>
      <c r="D60" s="245"/>
      <c r="E60" s="245"/>
      <c r="F60" s="241"/>
      <c r="G60" s="241"/>
      <c r="H60" s="245"/>
      <c r="I60" s="241"/>
      <c r="J60" s="241"/>
      <c r="K60" s="245"/>
      <c r="L60" s="112"/>
      <c r="M60" s="112"/>
      <c r="N60" s="112"/>
      <c r="O60" s="112"/>
    </row>
    <row r="61" spans="1:17">
      <c r="A61" s="240"/>
      <c r="B61" s="231"/>
      <c r="C61" s="245"/>
      <c r="D61" s="245"/>
      <c r="E61" s="245"/>
      <c r="F61" s="241"/>
      <c r="G61" s="241"/>
      <c r="H61" s="245"/>
      <c r="I61" s="241"/>
      <c r="J61" s="241"/>
      <c r="K61" s="245"/>
      <c r="L61" s="112"/>
      <c r="M61" s="112"/>
      <c r="N61" s="112"/>
      <c r="O61" s="112"/>
    </row>
    <row r="62" spans="1:17">
      <c r="A62" s="240"/>
      <c r="B62" s="231"/>
      <c r="C62" s="245"/>
      <c r="D62" s="245"/>
      <c r="E62" s="245"/>
      <c r="F62" s="241"/>
      <c r="G62" s="241"/>
      <c r="H62" s="245"/>
      <c r="I62" s="241"/>
      <c r="J62" s="241"/>
      <c r="K62" s="245"/>
      <c r="L62" s="112"/>
      <c r="M62" s="112"/>
      <c r="N62" s="112"/>
      <c r="O62" s="112"/>
    </row>
    <row r="63" spans="1:17">
      <c r="A63" s="240"/>
      <c r="B63" s="231"/>
      <c r="C63" s="245"/>
      <c r="D63" s="245"/>
      <c r="E63" s="245"/>
      <c r="F63" s="241"/>
      <c r="G63" s="241"/>
      <c r="H63" s="245"/>
      <c r="I63" s="241"/>
      <c r="J63" s="241"/>
      <c r="K63" s="245"/>
      <c r="L63" s="112"/>
      <c r="M63" s="112"/>
      <c r="N63" s="112"/>
      <c r="O63" s="112"/>
    </row>
  </sheetData>
  <phoneticPr fontId="10" type="noConversion"/>
  <conditionalFormatting sqref="A3:B3">
    <cfRule type="cellIs" dxfId="10" priority="14" operator="lessThan">
      <formula>0</formula>
    </cfRule>
  </conditionalFormatting>
  <conditionalFormatting sqref="A15:N17 B18:C21">
    <cfRule type="cellIs" dxfId="9" priority="25" operator="lessThan">
      <formula>0</formula>
    </cfRule>
  </conditionalFormatting>
  <conditionalFormatting sqref="B22:O24">
    <cfRule type="cellIs" dxfId="8" priority="1" operator="lessThan">
      <formula>0</formula>
    </cfRule>
  </conditionalFormatting>
  <conditionalFormatting sqref="C47:N47">
    <cfRule type="cellIs" dxfId="7" priority="13" operator="lessThan">
      <formula>600000</formula>
    </cfRule>
  </conditionalFormatting>
  <conditionalFormatting sqref="C25:O46">
    <cfRule type="cellIs" dxfId="6" priority="2" operator="lessThan">
      <formula>0</formula>
    </cfRule>
  </conditionalFormatting>
  <conditionalFormatting sqref="D18:N20">
    <cfRule type="cellIs" dxfId="5" priority="9" operator="lessThan">
      <formula>0</formula>
    </cfRule>
  </conditionalFormatting>
  <conditionalFormatting sqref="D21:O21">
    <cfRule type="cellIs" dxfId="4" priority="12" operator="lessThan">
      <formula>0</formula>
    </cfRule>
  </conditionalFormatting>
  <conditionalFormatting sqref="E12:H12">
    <cfRule type="cellIs" dxfId="3" priority="18" operator="lessThan">
      <formula>0</formula>
    </cfRule>
  </conditionalFormatting>
  <conditionalFormatting sqref="F5:I5">
    <cfRule type="cellIs" dxfId="2" priority="16" operator="lessThan">
      <formula>0</formula>
    </cfRule>
  </conditionalFormatting>
  <conditionalFormatting sqref="O15:O20 A26:B27 O48:O50 L50:L51 M51:O51 L52:O63 C64:O1048576">
    <cfRule type="cellIs" dxfId="1" priority="30" operator="lessThan">
      <formula>0</formula>
    </cfRule>
  </conditionalFormatting>
  <conditionalFormatting sqref="P50">
    <cfRule type="cellIs" dxfId="0" priority="29" operator="lessThan">
      <formula>0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A28"/>
  <sheetViews>
    <sheetView showGridLines="0" zoomScaleNormal="100" workbookViewId="0">
      <selection activeCell="R4" sqref="R4:S4"/>
    </sheetView>
  </sheetViews>
  <sheetFormatPr defaultRowHeight="17.399999999999999"/>
  <cols>
    <col min="1" max="1" width="36.69921875" customWidth="1"/>
    <col min="2" max="13" width="10.8984375" hidden="1" customWidth="1"/>
    <col min="14" max="14" width="13.09765625" hidden="1" customWidth="1"/>
    <col min="15" max="15" width="11.3984375" customWidth="1"/>
    <col min="16" max="26" width="10.3984375" customWidth="1"/>
    <col min="27" max="27" width="11.3984375" customWidth="1"/>
  </cols>
  <sheetData>
    <row r="1" spans="1:27">
      <c r="A1" s="224" t="s">
        <v>188</v>
      </c>
    </row>
    <row r="2" spans="1:27">
      <c r="A2" s="222"/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</row>
    <row r="3" spans="1:27" ht="12.75" customHeight="1">
      <c r="O3" s="222"/>
      <c r="P3" s="7644" t="s">
        <v>815</v>
      </c>
      <c r="Q3" s="7645"/>
      <c r="R3" s="7644" t="s">
        <v>816</v>
      </c>
      <c r="S3" s="7645"/>
      <c r="T3" s="7646" t="s">
        <v>190</v>
      </c>
      <c r="U3" s="7647"/>
    </row>
    <row r="4" spans="1:27" ht="12.75" customHeight="1">
      <c r="O4" s="1487" t="s">
        <v>1056</v>
      </c>
      <c r="P4" s="7640">
        <f>106000*1.03</f>
        <v>109180</v>
      </c>
      <c r="Q4" s="7641"/>
      <c r="R4" s="7640">
        <f>111000*1.13</f>
        <v>125429.99999999999</v>
      </c>
      <c r="S4" s="7641"/>
      <c r="T4" s="7642">
        <f>2236/'1-1.Assumption'!F29*1.045</f>
        <v>8.8508333333333328E-2</v>
      </c>
      <c r="U4" s="7643"/>
    </row>
    <row r="5" spans="1:27" ht="12.75" customHeight="1">
      <c r="H5" s="221"/>
      <c r="I5" s="221"/>
      <c r="J5" s="221"/>
      <c r="K5" s="221"/>
      <c r="L5" s="221"/>
      <c r="O5" s="1487" t="s">
        <v>1057</v>
      </c>
      <c r="P5" s="7640">
        <v>45000</v>
      </c>
      <c r="Q5" s="7641"/>
      <c r="R5" s="7640">
        <f>55000*1.1</f>
        <v>60500.000000000007</v>
      </c>
      <c r="S5" s="7641"/>
      <c r="T5" s="7642">
        <f>2236/'1-1.Assumption'!F29*1.045</f>
        <v>8.8508333333333328E-2</v>
      </c>
      <c r="U5" s="7643"/>
    </row>
    <row r="6" spans="1:27" ht="18" customHeight="1" thickBot="1">
      <c r="A6" s="221"/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</row>
    <row r="7" spans="1:27" ht="17.25" customHeight="1" thickBot="1">
      <c r="A7" s="1207"/>
      <c r="B7" s="1208" t="e">
        <f>'2. S Plan'!#REF!</f>
        <v>#REF!</v>
      </c>
      <c r="C7" s="1208" t="e">
        <f>'2. S Plan'!#REF!</f>
        <v>#REF!</v>
      </c>
      <c r="D7" s="1208" t="e">
        <f>'2. S Plan'!#REF!</f>
        <v>#REF!</v>
      </c>
      <c r="E7" s="1208" t="e">
        <f>'2. S Plan'!#REF!</f>
        <v>#REF!</v>
      </c>
      <c r="F7" s="1208" t="e">
        <f>'2. S Plan'!#REF!</f>
        <v>#REF!</v>
      </c>
      <c r="G7" s="1208" t="e">
        <f>'2. S Plan'!#REF!</f>
        <v>#REF!</v>
      </c>
      <c r="H7" s="1208" t="e">
        <f>'2. S Plan'!#REF!</f>
        <v>#REF!</v>
      </c>
      <c r="I7" s="1208" t="e">
        <f>'2. S Plan'!#REF!</f>
        <v>#REF!</v>
      </c>
      <c r="J7" s="1208" t="e">
        <f>'2. S Plan'!#REF!</f>
        <v>#REF!</v>
      </c>
      <c r="K7" s="1208" t="e">
        <f>'2. S Plan'!#REF!</f>
        <v>#REF!</v>
      </c>
      <c r="L7" s="1208" t="e">
        <f>'2. S Plan'!#REF!</f>
        <v>#REF!</v>
      </c>
      <c r="M7" s="1208" t="e">
        <f>'2. S Plan'!#REF!</f>
        <v>#REF!</v>
      </c>
      <c r="N7" s="1209" t="e">
        <f>'2. S Plan'!#REF!</f>
        <v>#REF!</v>
      </c>
      <c r="O7" s="1208" t="str">
        <f>'2. S Plan'!L4</f>
        <v>Jan.26</v>
      </c>
      <c r="P7" s="1208" t="str">
        <f>'2. S Plan'!M4</f>
        <v>Feb.26</v>
      </c>
      <c r="Q7" s="1208" t="str">
        <f>'2. S Plan'!N4</f>
        <v>Mar.26</v>
      </c>
      <c r="R7" s="1208" t="str">
        <f>'2. S Plan'!O4</f>
        <v>Apr.26</v>
      </c>
      <c r="S7" s="1208" t="str">
        <f>'2. S Plan'!P4</f>
        <v>May.26</v>
      </c>
      <c r="T7" s="1208" t="str">
        <f>'2. S Plan'!Q4</f>
        <v>Jun.26</v>
      </c>
      <c r="U7" s="1208" t="str">
        <f>'2. S Plan'!R4</f>
        <v>Jul.26</v>
      </c>
      <c r="V7" s="1208" t="str">
        <f>'2. S Plan'!S4</f>
        <v>Aug.26</v>
      </c>
      <c r="W7" s="1208" t="str">
        <f>'2. S Plan'!T4</f>
        <v>Sep.26</v>
      </c>
      <c r="X7" s="1208" t="str">
        <f>'2. S Plan'!U4</f>
        <v>Oct.26</v>
      </c>
      <c r="Y7" s="1208" t="str">
        <f>'2. S Plan'!V4</f>
        <v>Nov.26</v>
      </c>
      <c r="Z7" s="1208" t="str">
        <f>'2. S Plan'!W4</f>
        <v>Dec.26</v>
      </c>
      <c r="AA7" s="1209" t="str">
        <f>'2. S Plan'!X4</f>
        <v>2026
Total</v>
      </c>
    </row>
    <row r="8" spans="1:27" ht="17.25" customHeight="1" thickBot="1">
      <c r="A8" s="1179" t="s">
        <v>814</v>
      </c>
      <c r="B8" s="1488">
        <f>($P$4*$T$4*B10)+($P$5*B11*$T$4)</f>
        <v>225813.55425467866</v>
      </c>
      <c r="C8" s="1180">
        <f>($P$4*$T$4*C10)+($P$5*C11*$T$4)</f>
        <v>228344.43760711723</v>
      </c>
      <c r="D8" s="1180">
        <f>($P$4*$T$4*D10)+($P$5*D11*$T$4)</f>
        <v>282522.14033333334</v>
      </c>
      <c r="E8" s="1180">
        <f>($P$4*$T$4*E10)+($P$5*E11*$T$4)</f>
        <v>278539.26533333334</v>
      </c>
      <c r="F8" s="1180">
        <f>($P$4*$T$4*F10)+($P$5*F11*$T$4)</f>
        <v>282522.14033333334</v>
      </c>
      <c r="G8" s="1180">
        <f>($R$4*$T$4*G10)+($R$5*G11*$T$4)</f>
        <v>321554.31533333327</v>
      </c>
      <c r="H8" s="1180">
        <f>($R$4*$T$4*H10)+($R$5*H11*$T$4)</f>
        <v>335366.41940810462</v>
      </c>
      <c r="I8" s="1180">
        <f>($R$4*$T$4*I10)+($R$5*I11*$T$4)</f>
        <v>322071.5639508717</v>
      </c>
      <c r="J8" s="1180">
        <f>($R$4*$T$4*J10)+($R$5*J11*$T$4)</f>
        <v>338010.66974999994</v>
      </c>
      <c r="K8" s="1180">
        <f>($P$4*$T$4*K10)+($P$5*K11*$T$4)</f>
        <v>292185.48016666668</v>
      </c>
      <c r="L8" s="1180">
        <f>($P$4*$T$4*L10)+($P$5*L11*$T$4)</f>
        <v>292185.48016666668</v>
      </c>
      <c r="M8" s="1180">
        <f>($P$4*$T$4*M10)+($P$5*M11*$T$4)</f>
        <v>305831.69500000001</v>
      </c>
      <c r="N8" s="1181">
        <f>SUM(B8:M8)</f>
        <v>3504947.1616374385</v>
      </c>
      <c r="O8" s="1488">
        <f>($P$4*$T$4*O10)+($P$5*O11*$T$4)</f>
        <v>289900.19500000001</v>
      </c>
      <c r="P8" s="1180">
        <f>($P$4*$T$4*P10)+($P$5*P11*$T$4)</f>
        <v>156898.7225</v>
      </c>
      <c r="Q8" s="1180">
        <f>($P$4*$T$4*Q10)+($P$5*Q11*$T$4)</f>
        <v>289900.19500000001</v>
      </c>
      <c r="R8" s="1180">
        <f>($P$4*$T$4*R10)+($P$5*R11*$T$4)</f>
        <v>280236.85516666668</v>
      </c>
      <c r="S8" s="1180">
        <f>($P$4*$T$4*S10)+($P$5*S11*$T$4)</f>
        <v>280236.85516666668</v>
      </c>
      <c r="T8" s="1180">
        <f>($R$4*$T$4*T10)+($R$5*T11*$T$4)</f>
        <v>333048.00749999995</v>
      </c>
      <c r="U8" s="1180">
        <f>($R$4*$T$4*U10)+($R$5*U11*$T$4)</f>
        <v>333048.00749999995</v>
      </c>
      <c r="V8" s="1180">
        <f>($R$4*$T$4*V10)+($R$5*V11*$T$4)</f>
        <v>333048.00749999995</v>
      </c>
      <c r="W8" s="1180">
        <f>($R$4*$T$4*W10)+($R$5*W11*$T$4)</f>
        <v>310844.80699999991</v>
      </c>
      <c r="X8" s="1180">
        <f>($P$4*$T$4*X10)+($P$5*X11*$T$4)</f>
        <v>289900.19500000001</v>
      </c>
      <c r="Y8" s="1180">
        <f>($P$4*$T$4*Y10)+($P$5*Y11*$T$4)</f>
        <v>289900.19500000001</v>
      </c>
      <c r="Z8" s="1180">
        <f>($P$4*$T$4*Z10)+($P$5*Z11*$T$4)</f>
        <v>289900.19500000001</v>
      </c>
      <c r="AA8" s="1181">
        <f>SUM(O8:Z8)</f>
        <v>3476862.2373333327</v>
      </c>
    </row>
    <row r="9" spans="1:27" ht="17.25" customHeight="1">
      <c r="A9" s="5971"/>
      <c r="B9" s="5972"/>
      <c r="C9" s="5973"/>
      <c r="D9" s="5973"/>
      <c r="E9" s="5973"/>
      <c r="F9" s="5973"/>
      <c r="G9" s="5973"/>
      <c r="H9" s="5973"/>
      <c r="I9" s="5973"/>
      <c r="J9" s="5973"/>
      <c r="K9" s="5973"/>
      <c r="L9" s="5973"/>
      <c r="M9" s="5973"/>
      <c r="N9" s="5974"/>
      <c r="O9" s="5972"/>
      <c r="P9" s="5973"/>
      <c r="Q9" s="5973"/>
      <c r="R9" s="5973"/>
      <c r="S9" s="5973"/>
      <c r="T9" s="5973"/>
      <c r="U9" s="5973"/>
      <c r="V9" s="5973"/>
      <c r="W9" s="5973"/>
      <c r="X9" s="5973"/>
      <c r="Y9" s="5973"/>
      <c r="Z9" s="5973"/>
      <c r="AA9" s="5974"/>
    </row>
    <row r="10" spans="1:27" ht="17.25" customHeight="1">
      <c r="A10" s="1182" t="s">
        <v>817</v>
      </c>
      <c r="B10" s="1183">
        <v>21.522676020676361</v>
      </c>
      <c r="C10" s="1183">
        <v>20.565911599625942</v>
      </c>
      <c r="D10" s="1183">
        <v>28</v>
      </c>
      <c r="E10" s="1183">
        <v>28</v>
      </c>
      <c r="F10" s="1183">
        <v>28</v>
      </c>
      <c r="G10" s="1183">
        <v>28</v>
      </c>
      <c r="H10" s="1183">
        <v>28.761813587019105</v>
      </c>
      <c r="I10" s="1183">
        <v>27.564251509675081</v>
      </c>
      <c r="J10" s="1183">
        <v>29</v>
      </c>
      <c r="K10" s="1183">
        <v>29</v>
      </c>
      <c r="L10" s="1183">
        <v>29</v>
      </c>
      <c r="M10" s="1183">
        <v>30</v>
      </c>
      <c r="N10" s="1184">
        <f>SUM(B10:M10)</f>
        <v>327.41465271699644</v>
      </c>
      <c r="O10" s="1183">
        <v>30</v>
      </c>
      <c r="P10" s="1183">
        <v>15</v>
      </c>
      <c r="Q10" s="1183">
        <v>30</v>
      </c>
      <c r="R10" s="1183">
        <v>29</v>
      </c>
      <c r="S10" s="1183">
        <v>29</v>
      </c>
      <c r="T10" s="1183">
        <v>30</v>
      </c>
      <c r="U10" s="1183">
        <v>30</v>
      </c>
      <c r="V10" s="1183">
        <v>30</v>
      </c>
      <c r="W10" s="1183">
        <v>28</v>
      </c>
      <c r="X10" s="1183">
        <v>30</v>
      </c>
      <c r="Y10" s="1183">
        <v>30</v>
      </c>
      <c r="Z10" s="1183">
        <v>30</v>
      </c>
      <c r="AA10" s="1184">
        <f>SUM(O10:Z10)</f>
        <v>341</v>
      </c>
    </row>
    <row r="11" spans="1:27" ht="17.25" customHeight="1">
      <c r="A11" s="1182" t="s">
        <v>1058</v>
      </c>
      <c r="B11" s="1183">
        <f>31-B10-5</f>
        <v>4.4773239793236392</v>
      </c>
      <c r="C11" s="1183">
        <f>28-C10</f>
        <v>7.4340884003740584</v>
      </c>
      <c r="D11" s="1183">
        <f>31-D10</f>
        <v>3</v>
      </c>
      <c r="E11" s="1183">
        <f>30-E10</f>
        <v>2</v>
      </c>
      <c r="F11" s="1183">
        <f>31-F10</f>
        <v>3</v>
      </c>
      <c r="G11" s="1183">
        <f>30-G10</f>
        <v>2</v>
      </c>
      <c r="H11" s="1183">
        <v>3</v>
      </c>
      <c r="I11" s="1183">
        <v>3</v>
      </c>
      <c r="J11" s="1183">
        <v>3</v>
      </c>
      <c r="K11" s="1183">
        <v>3</v>
      </c>
      <c r="L11" s="1183">
        <v>3</v>
      </c>
      <c r="M11" s="1183">
        <v>4</v>
      </c>
      <c r="N11" s="1184">
        <f>SUM(B11:M11)</f>
        <v>40.911412379697694</v>
      </c>
      <c r="O11" s="1183">
        <f>'4. L PLAN'!F108</f>
        <v>0</v>
      </c>
      <c r="P11" s="1183">
        <f>'4. L PLAN'!G108</f>
        <v>3</v>
      </c>
      <c r="Q11" s="1183">
        <f>'4. L PLAN'!H108</f>
        <v>0</v>
      </c>
      <c r="R11" s="1183">
        <f>'4. L PLAN'!I108</f>
        <v>0</v>
      </c>
      <c r="S11" s="1183">
        <f>'4. L PLAN'!J108</f>
        <v>0</v>
      </c>
      <c r="T11" s="1183">
        <f>'4. L PLAN'!K108</f>
        <v>0</v>
      </c>
      <c r="U11" s="1183">
        <f>'4. L PLAN'!L108</f>
        <v>0</v>
      </c>
      <c r="V11" s="1183">
        <f>'4. L PLAN'!M108</f>
        <v>0</v>
      </c>
      <c r="W11" s="1183">
        <f>'4. L PLAN'!N108</f>
        <v>0</v>
      </c>
      <c r="X11" s="1183">
        <f>'4. L PLAN'!O108</f>
        <v>0</v>
      </c>
      <c r="Y11" s="1183">
        <f>'4. L PLAN'!P108</f>
        <v>0</v>
      </c>
      <c r="Z11" s="1183">
        <f>'4. L PLAN'!Q108</f>
        <v>0</v>
      </c>
      <c r="AA11" s="1184">
        <f>SUM(O11:Z11)</f>
        <v>3</v>
      </c>
    </row>
    <row r="12" spans="1:27" ht="17.25" customHeight="1" thickBot="1">
      <c r="A12" s="1185" t="s">
        <v>1059</v>
      </c>
      <c r="B12" s="3646">
        <v>16.161366498288409</v>
      </c>
      <c r="C12" s="3646">
        <v>21.240738309250389</v>
      </c>
      <c r="D12" s="3646">
        <v>25.221663622874168</v>
      </c>
      <c r="E12" s="3646">
        <v>23.220126432344109</v>
      </c>
      <c r="F12" s="3646">
        <v>20.560183360428653</v>
      </c>
      <c r="G12" s="3646">
        <v>20.186033601419371</v>
      </c>
      <c r="H12" s="3646">
        <v>21.795813526428297</v>
      </c>
      <c r="I12" s="3646">
        <v>28</v>
      </c>
      <c r="J12" s="3646">
        <v>26</v>
      </c>
      <c r="K12" s="3646">
        <v>26.271741590349258</v>
      </c>
      <c r="L12" s="3646">
        <v>28</v>
      </c>
      <c r="M12" s="3646">
        <v>28</v>
      </c>
      <c r="N12" s="1187">
        <f>SUM(B12:M12)</f>
        <v>284.65766694138267</v>
      </c>
      <c r="O12" s="1186">
        <f>'3. P PLAN'!J266</f>
        <v>23.739564450527109</v>
      </c>
      <c r="P12" s="1186">
        <f>'3. P PLAN'!K266</f>
        <v>36.201495072488669</v>
      </c>
      <c r="Q12" s="1186">
        <f>'3. P PLAN'!L266</f>
        <v>25.783057542940007</v>
      </c>
      <c r="R12" s="1186">
        <f>'3. P PLAN'!M266</f>
        <v>27.420203727756437</v>
      </c>
      <c r="S12" s="1186">
        <f>'3. P PLAN'!N266</f>
        <v>24.876296792870821</v>
      </c>
      <c r="T12" s="1186">
        <f>'3. P PLAN'!O266</f>
        <v>28.859029605921066</v>
      </c>
      <c r="U12" s="1186">
        <f>'3. P PLAN'!P266</f>
        <v>29.393995319741325</v>
      </c>
      <c r="V12" s="1186">
        <f>'3. P PLAN'!Q266</f>
        <v>27.407258187058812</v>
      </c>
      <c r="W12" s="1186">
        <f>'3. P PLAN'!R266</f>
        <v>24.14520164158747</v>
      </c>
      <c r="X12" s="1186">
        <f>'3. P PLAN'!S266</f>
        <v>19.238747057113496</v>
      </c>
      <c r="Y12" s="1186">
        <f>'3. P PLAN'!T266</f>
        <v>22.953178442869721</v>
      </c>
      <c r="Z12" s="1186">
        <f>'3. P PLAN'!U266</f>
        <v>21.181257484298587</v>
      </c>
      <c r="AA12" s="1187">
        <f>SUM(O12:Z12)</f>
        <v>311.19928532517355</v>
      </c>
    </row>
    <row r="13" spans="1:27" ht="17.25" customHeight="1" thickBot="1">
      <c r="A13" s="1179" t="s">
        <v>1060</v>
      </c>
      <c r="B13" s="1188">
        <f t="shared" ref="B13:M13" si="0">B8*0.6/28*B12</f>
        <v>78202.620226949904</v>
      </c>
      <c r="C13" s="1188">
        <f t="shared" si="0"/>
        <v>103932.95236255137</v>
      </c>
      <c r="D13" s="1188">
        <f t="shared" si="0"/>
        <v>152693.10834646679</v>
      </c>
      <c r="E13" s="1188">
        <f t="shared" si="0"/>
        <v>138593.93480169089</v>
      </c>
      <c r="F13" s="1188">
        <f t="shared" si="0"/>
        <v>124472.29304215903</v>
      </c>
      <c r="G13" s="1188">
        <f t="shared" si="0"/>
        <v>139090.84744285853</v>
      </c>
      <c r="H13" s="1188">
        <f t="shared" si="0"/>
        <v>156633.94158096411</v>
      </c>
      <c r="I13" s="1188">
        <f t="shared" si="0"/>
        <v>193242.93837052301</v>
      </c>
      <c r="J13" s="1188">
        <f t="shared" si="0"/>
        <v>188320.23028928568</v>
      </c>
      <c r="K13" s="1188">
        <f t="shared" si="0"/>
        <v>164490.45924408824</v>
      </c>
      <c r="L13" s="1188">
        <f t="shared" si="0"/>
        <v>175311.28810000001</v>
      </c>
      <c r="M13" s="1188">
        <f t="shared" si="0"/>
        <v>183499.01699999999</v>
      </c>
      <c r="N13" s="1181">
        <f t="shared" ref="N13:N19" si="1">SUM(B13:M13)</f>
        <v>1798483.6308075376</v>
      </c>
      <c r="O13" s="1188">
        <f t="shared" ref="O13:Z13" si="2">O8*0.6/28*O12</f>
        <v>147473.66493049019</v>
      </c>
      <c r="P13" s="1188">
        <f t="shared" si="2"/>
        <v>121713.60705993252</v>
      </c>
      <c r="Q13" s="1188">
        <f t="shared" si="2"/>
        <v>160168.14448702559</v>
      </c>
      <c r="R13" s="1188">
        <f t="shared" si="2"/>
        <v>164660.39272919513</v>
      </c>
      <c r="S13" s="1188">
        <f t="shared" si="2"/>
        <v>149384.03960200187</v>
      </c>
      <c r="T13" s="1188">
        <f t="shared" si="2"/>
        <v>205959.47804218973</v>
      </c>
      <c r="U13" s="1188">
        <f t="shared" si="2"/>
        <v>209777.39086508943</v>
      </c>
      <c r="V13" s="1188">
        <f t="shared" si="2"/>
        <v>195598.55850509997</v>
      </c>
      <c r="W13" s="1188">
        <f t="shared" si="2"/>
        <v>160830.22594832868</v>
      </c>
      <c r="X13" s="1188">
        <f t="shared" si="2"/>
        <v>119513.92550170454</v>
      </c>
      <c r="Y13" s="1188">
        <f t="shared" si="2"/>
        <v>142588.51942409418</v>
      </c>
      <c r="Z13" s="1188">
        <f t="shared" si="2"/>
        <v>131581.08589378648</v>
      </c>
      <c r="AA13" s="1181">
        <f t="shared" ref="AA13" si="3">SUM(O13:Z13)</f>
        <v>1909249.032988938</v>
      </c>
    </row>
    <row r="14" spans="1:27" ht="17.25" customHeight="1" thickBot="1">
      <c r="A14" s="1210"/>
      <c r="B14" s="1211">
        <f t="shared" ref="B14:M14" si="4">B13/B8</f>
        <v>0.34631499639189445</v>
      </c>
      <c r="C14" s="1211">
        <f t="shared" si="4"/>
        <v>0.45515867805536553</v>
      </c>
      <c r="D14" s="1211">
        <f t="shared" si="4"/>
        <v>0.54046422049016063</v>
      </c>
      <c r="E14" s="1211">
        <f t="shared" si="4"/>
        <v>0.49757413783594512</v>
      </c>
      <c r="F14" s="1211">
        <f t="shared" si="4"/>
        <v>0.44057535772347106</v>
      </c>
      <c r="G14" s="1211">
        <f t="shared" si="4"/>
        <v>0.43255786288755793</v>
      </c>
      <c r="H14" s="1211">
        <f t="shared" si="4"/>
        <v>0.46705314699489209</v>
      </c>
      <c r="I14" s="1211">
        <f t="shared" si="4"/>
        <v>0.6</v>
      </c>
      <c r="J14" s="1211">
        <f t="shared" si="4"/>
        <v>0.55714285714285716</v>
      </c>
      <c r="K14" s="1211">
        <f t="shared" si="4"/>
        <v>0.56296589122176977</v>
      </c>
      <c r="L14" s="1211">
        <f t="shared" si="4"/>
        <v>0.6</v>
      </c>
      <c r="M14" s="1211">
        <f t="shared" si="4"/>
        <v>0.6</v>
      </c>
      <c r="N14" s="1212">
        <f>AVERAGE(B14:M14)</f>
        <v>0.50831726239532604</v>
      </c>
      <c r="O14" s="1211">
        <f t="shared" ref="O14:Z14" si="5">O13/O8</f>
        <v>0.50870495251129511</v>
      </c>
      <c r="P14" s="1211">
        <f t="shared" si="5"/>
        <v>0.77574632298190005</v>
      </c>
      <c r="Q14" s="1211">
        <f t="shared" si="5"/>
        <v>0.55249409020585716</v>
      </c>
      <c r="R14" s="1211">
        <f t="shared" si="5"/>
        <v>0.5875757941662092</v>
      </c>
      <c r="S14" s="1211">
        <f t="shared" si="5"/>
        <v>0.53306350270437464</v>
      </c>
      <c r="T14" s="1211">
        <f t="shared" si="5"/>
        <v>0.61840777726973717</v>
      </c>
      <c r="U14" s="1211">
        <f t="shared" si="5"/>
        <v>0.62987132828017134</v>
      </c>
      <c r="V14" s="1211">
        <f t="shared" si="5"/>
        <v>0.58729838972268888</v>
      </c>
      <c r="W14" s="1211">
        <f t="shared" si="5"/>
        <v>0.51739717803401719</v>
      </c>
      <c r="X14" s="1211">
        <f t="shared" si="5"/>
        <v>0.41225886550957486</v>
      </c>
      <c r="Y14" s="1211">
        <f t="shared" si="5"/>
        <v>0.49185382377577969</v>
      </c>
      <c r="Z14" s="1211">
        <f t="shared" si="5"/>
        <v>0.45388408894925536</v>
      </c>
      <c r="AA14" s="1212">
        <f>AVERAGE(O14:Z14)</f>
        <v>0.55571300950923841</v>
      </c>
    </row>
    <row r="15" spans="1:27" ht="17.25" customHeight="1" thickBot="1">
      <c r="A15" s="1198"/>
      <c r="B15" s="1213"/>
      <c r="C15" s="1213"/>
      <c r="D15" s="1213"/>
      <c r="E15" s="1213"/>
      <c r="F15" s="1213"/>
      <c r="G15" s="1213"/>
      <c r="H15" s="1213"/>
      <c r="I15" s="1213"/>
      <c r="J15" s="1213"/>
      <c r="K15" s="1213"/>
      <c r="L15" s="1213"/>
      <c r="M15" s="1213"/>
      <c r="N15" s="1214"/>
      <c r="O15" s="1213"/>
      <c r="P15" s="1213"/>
      <c r="Q15" s="1213"/>
      <c r="R15" s="1213"/>
      <c r="S15" s="1213"/>
      <c r="T15" s="1213"/>
      <c r="U15" s="1213"/>
      <c r="V15" s="1213"/>
      <c r="W15" s="1213"/>
      <c r="X15" s="1213"/>
      <c r="Y15" s="1213"/>
      <c r="Z15" s="1213"/>
      <c r="AA15" s="1214"/>
    </row>
    <row r="16" spans="1:27" ht="17.25" customHeight="1" thickBot="1">
      <c r="A16" s="1215" t="s">
        <v>1061</v>
      </c>
      <c r="B16" s="1216">
        <f>(100-75)*24*30*0.6*$T$4*8</f>
        <v>7647.12</v>
      </c>
      <c r="C16" s="1217">
        <f t="shared" ref="C16:M16" si="6">(100-75)*24*8*$T$4*30*0.6</f>
        <v>7647.119999999999</v>
      </c>
      <c r="D16" s="1217">
        <f t="shared" si="6"/>
        <v>7647.119999999999</v>
      </c>
      <c r="E16" s="1217">
        <f t="shared" si="6"/>
        <v>7647.119999999999</v>
      </c>
      <c r="F16" s="1217">
        <f t="shared" si="6"/>
        <v>7647.119999999999</v>
      </c>
      <c r="G16" s="1217">
        <f t="shared" si="6"/>
        <v>7647.119999999999</v>
      </c>
      <c r="H16" s="1217">
        <f t="shared" si="6"/>
        <v>7647.119999999999</v>
      </c>
      <c r="I16" s="1217">
        <f t="shared" si="6"/>
        <v>7647.119999999999</v>
      </c>
      <c r="J16" s="1217">
        <f t="shared" si="6"/>
        <v>7647.119999999999</v>
      </c>
      <c r="K16" s="1217">
        <f t="shared" si="6"/>
        <v>7647.119999999999</v>
      </c>
      <c r="L16" s="1217">
        <f t="shared" si="6"/>
        <v>7647.119999999999</v>
      </c>
      <c r="M16" s="1217">
        <f t="shared" si="6"/>
        <v>7647.119999999999</v>
      </c>
      <c r="N16" s="1218">
        <f t="shared" si="1"/>
        <v>91765.439999999959</v>
      </c>
      <c r="O16" s="1216"/>
      <c r="P16" s="1217"/>
      <c r="Q16" s="1217"/>
      <c r="R16" s="1217"/>
      <c r="S16" s="1217"/>
      <c r="T16" s="1217"/>
      <c r="U16" s="1217"/>
      <c r="V16" s="1217"/>
      <c r="W16" s="1217"/>
      <c r="X16" s="1217"/>
      <c r="Y16" s="1217"/>
      <c r="Z16" s="1217"/>
      <c r="AA16" s="1218">
        <f t="shared" ref="AA16:AA19" si="7">SUM(O16:Z16)</f>
        <v>0</v>
      </c>
    </row>
    <row r="17" spans="1:27" ht="17.25" customHeight="1">
      <c r="A17" s="1189" t="s">
        <v>1062</v>
      </c>
      <c r="B17" s="1203">
        <f>(95-25)*24*0.8*$T$4*(B12-8-8)*30</f>
        <v>575.86152231592007</v>
      </c>
      <c r="C17" s="1203">
        <f>(95-25)*24*0.8*$T$4*(C12-8-8)*30</f>
        <v>18702.392211736256</v>
      </c>
      <c r="D17" s="1203">
        <f>(95-25)*24*0.6*$T$4*(D12-8-8)*30</f>
        <v>24681.708913313727</v>
      </c>
      <c r="E17" s="1203">
        <f>(95-25)*24*0.6*$T$4*(E12-8-8)*30</f>
        <v>19324.610635157547</v>
      </c>
      <c r="F17" s="1203">
        <f>(95-25)*24*0.6*$T$4*(F12-8-8)*30</f>
        <v>12205.294282720404</v>
      </c>
      <c r="G17" s="1203">
        <f>(95-25)*24*0.6*$T$4*(G12-8-8)*30</f>
        <v>11203.885445930135</v>
      </c>
      <c r="H17" s="1203">
        <f>(95-25)*24*0.6*$T$4*(H12-8-8)*30</f>
        <v>15512.448536977125</v>
      </c>
      <c r="I17" s="1203">
        <f>(95-25)*24*0.6*$T$4*(I12-8-8)*I10</f>
        <v>29510.199460653304</v>
      </c>
      <c r="J17" s="1203">
        <f>(95-25)*24*0.6*$T$4*(J12-8-8)*J10</f>
        <v>25872.756000000001</v>
      </c>
      <c r="K17" s="1203">
        <f>(95-25)*24*0.6*$T$4*(K12-8-8)*K10</f>
        <v>26575.826386215827</v>
      </c>
      <c r="L17" s="1203">
        <f>(95-25)*24*0.6*$T$4*(L12-8-8)*L10</f>
        <v>31047.307199999996</v>
      </c>
      <c r="M17" s="1203">
        <f>(95-25)*24*0.6*$T$4*(M12-8-8)*M10</f>
        <v>32117.903999999995</v>
      </c>
      <c r="N17" s="1190">
        <f t="shared" si="1"/>
        <v>247330.19459502021</v>
      </c>
      <c r="O17" s="1203"/>
      <c r="P17" s="1203"/>
      <c r="Q17" s="1203"/>
      <c r="R17" s="1203"/>
      <c r="S17" s="1203"/>
      <c r="T17" s="1203"/>
      <c r="U17" s="1203"/>
      <c r="V17" s="1203"/>
      <c r="W17" s="1203"/>
      <c r="X17" s="1203"/>
      <c r="Y17" s="1203"/>
      <c r="Z17" s="1203"/>
      <c r="AA17" s="1190">
        <f t="shared" si="7"/>
        <v>0</v>
      </c>
    </row>
    <row r="18" spans="1:27" ht="17.25" customHeight="1">
      <c r="A18" s="1191" t="s">
        <v>1063</v>
      </c>
      <c r="B18" s="1204">
        <f t="shared" ref="B18:H18" si="8">220*24*0.7*$T$4*30</f>
        <v>9813.8039999999983</v>
      </c>
      <c r="C18" s="1204">
        <f t="shared" si="8"/>
        <v>9813.8039999999983</v>
      </c>
      <c r="D18" s="1204">
        <f t="shared" si="8"/>
        <v>9813.8039999999983</v>
      </c>
      <c r="E18" s="1204">
        <f t="shared" si="8"/>
        <v>9813.8039999999983</v>
      </c>
      <c r="F18" s="1204">
        <f t="shared" si="8"/>
        <v>9813.8039999999983</v>
      </c>
      <c r="G18" s="1204">
        <f t="shared" si="8"/>
        <v>9813.8039999999983</v>
      </c>
      <c r="H18" s="1204">
        <f t="shared" si="8"/>
        <v>9813.8039999999983</v>
      </c>
      <c r="I18" s="1204">
        <f>220*24*0.7*$T$4*I10</f>
        <v>9017.0053907551774</v>
      </c>
      <c r="J18" s="1204">
        <f>220*24*0.7*$T$4*J10</f>
        <v>9486.6771999999983</v>
      </c>
      <c r="K18" s="1204">
        <f>220*24*0.7*$T$4*K10</f>
        <v>9486.6771999999983</v>
      </c>
      <c r="L18" s="1204">
        <f>220*24*0.7*$T$4*L10</f>
        <v>9486.6771999999983</v>
      </c>
      <c r="M18" s="1204">
        <f>220*24*0.7*$T$4*M10</f>
        <v>9813.8039999999983</v>
      </c>
      <c r="N18" s="1192">
        <f t="shared" si="1"/>
        <v>115987.46899075518</v>
      </c>
      <c r="O18" s="1204"/>
      <c r="P18" s="1204"/>
      <c r="Q18" s="1204"/>
      <c r="R18" s="1204"/>
      <c r="S18" s="1204"/>
      <c r="T18" s="1204"/>
      <c r="U18" s="1204"/>
      <c r="V18" s="1204"/>
      <c r="W18" s="1204"/>
      <c r="X18" s="1204"/>
      <c r="Y18" s="1204"/>
      <c r="Z18" s="1204"/>
      <c r="AA18" s="1192">
        <f t="shared" si="7"/>
        <v>0</v>
      </c>
    </row>
    <row r="19" spans="1:27" ht="17.25" customHeight="1" thickBot="1">
      <c r="A19" s="1193" t="s">
        <v>1064</v>
      </c>
      <c r="B19" s="1205">
        <f>B17-B18</f>
        <v>-9237.9424776840788</v>
      </c>
      <c r="C19" s="1205">
        <f t="shared" ref="C19:M19" si="9">C17-C18</f>
        <v>8888.588211736258</v>
      </c>
      <c r="D19" s="1205">
        <f t="shared" si="9"/>
        <v>14867.904913313729</v>
      </c>
      <c r="E19" s="1205">
        <f t="shared" si="9"/>
        <v>9510.806635157549</v>
      </c>
      <c r="F19" s="1205">
        <f t="shared" si="9"/>
        <v>2391.490282720406</v>
      </c>
      <c r="G19" s="1205">
        <f t="shared" si="9"/>
        <v>1390.0814459301364</v>
      </c>
      <c r="H19" s="1205">
        <f t="shared" si="9"/>
        <v>5698.6445369771263</v>
      </c>
      <c r="I19" s="1205">
        <f t="shared" si="9"/>
        <v>20493.194069898127</v>
      </c>
      <c r="J19" s="1205">
        <f t="shared" si="9"/>
        <v>16386.078800000003</v>
      </c>
      <c r="K19" s="1205">
        <f t="shared" si="9"/>
        <v>17089.149186215829</v>
      </c>
      <c r="L19" s="1205">
        <f t="shared" si="9"/>
        <v>21560.629999999997</v>
      </c>
      <c r="M19" s="1205">
        <f t="shared" si="9"/>
        <v>22304.1</v>
      </c>
      <c r="N19" s="1194">
        <f t="shared" si="1"/>
        <v>131342.72560426508</v>
      </c>
      <c r="O19" s="1205"/>
      <c r="P19" s="1205"/>
      <c r="Q19" s="1205"/>
      <c r="R19" s="1205"/>
      <c r="S19" s="1205"/>
      <c r="T19" s="1205"/>
      <c r="U19" s="1205"/>
      <c r="V19" s="1205"/>
      <c r="W19" s="1205"/>
      <c r="X19" s="1205"/>
      <c r="Y19" s="1205"/>
      <c r="Z19" s="1205"/>
      <c r="AA19" s="1194">
        <f t="shared" si="7"/>
        <v>0</v>
      </c>
    </row>
    <row r="20" spans="1:27" ht="17.25" customHeight="1">
      <c r="A20" s="1219"/>
      <c r="B20" s="1220"/>
      <c r="C20" s="1220"/>
      <c r="D20" s="1220"/>
      <c r="E20" s="1220"/>
      <c r="F20" s="1220"/>
      <c r="G20" s="1220"/>
      <c r="H20" s="1220"/>
      <c r="I20" s="1220"/>
      <c r="J20" s="1220"/>
      <c r="K20" s="1220"/>
      <c r="L20" s="1220"/>
      <c r="M20" s="1220"/>
      <c r="N20" s="1221"/>
      <c r="O20" s="1220"/>
      <c r="P20" s="1220"/>
      <c r="Q20" s="1220"/>
      <c r="R20" s="1220"/>
      <c r="S20" s="1220"/>
      <c r="T20" s="1220"/>
      <c r="U20" s="1220"/>
      <c r="V20" s="1220"/>
      <c r="W20" s="1220"/>
      <c r="X20" s="1220"/>
      <c r="Y20" s="1220"/>
      <c r="Z20" s="1220"/>
      <c r="AA20" s="1221"/>
    </row>
    <row r="21" spans="1:27" ht="17.25" customHeight="1">
      <c r="A21" s="1195" t="s">
        <v>1065</v>
      </c>
      <c r="B21" s="1196">
        <f t="shared" ref="B21:M21" si="10">B8-B16-B19-B24</f>
        <v>224468.80052705194</v>
      </c>
      <c r="C21" s="1196">
        <f t="shared" si="10"/>
        <v>208840.25170648846</v>
      </c>
      <c r="D21" s="1196">
        <f t="shared" si="10"/>
        <v>256334.32759568631</v>
      </c>
      <c r="E21" s="1196">
        <f t="shared" si="10"/>
        <v>257760.32824884247</v>
      </c>
      <c r="F21" s="1196">
        <f t="shared" si="10"/>
        <v>268810.74222627957</v>
      </c>
      <c r="G21" s="1196">
        <f t="shared" si="10"/>
        <v>308336.9077880698</v>
      </c>
      <c r="H21" s="1196">
        <f t="shared" si="10"/>
        <v>317660.89141882217</v>
      </c>
      <c r="I21" s="1196">
        <f t="shared" si="10"/>
        <v>289744.31954961229</v>
      </c>
      <c r="J21" s="1196">
        <f t="shared" si="10"/>
        <v>309583.33224324993</v>
      </c>
      <c r="K21" s="1196">
        <f t="shared" si="10"/>
        <v>263650.7997382842</v>
      </c>
      <c r="L21" s="1196">
        <f t="shared" si="10"/>
        <v>259179.3189245</v>
      </c>
      <c r="M21" s="1196">
        <f t="shared" si="10"/>
        <v>271904.66296500002</v>
      </c>
      <c r="N21" s="1197">
        <f>SUM(B21:M21)</f>
        <v>3236274.6829318875</v>
      </c>
      <c r="O21" s="1196">
        <f t="shared" ref="O21:Z21" si="11">O8-O16-O19-O24</f>
        <v>286131.49246500002</v>
      </c>
      <c r="P21" s="1196">
        <f t="shared" si="11"/>
        <v>154859.03910749999</v>
      </c>
      <c r="Q21" s="1196">
        <f t="shared" si="11"/>
        <v>286131.49246500002</v>
      </c>
      <c r="R21" s="1196">
        <f t="shared" si="11"/>
        <v>276593.77604949998</v>
      </c>
      <c r="S21" s="1196">
        <f t="shared" si="11"/>
        <v>276593.77604949998</v>
      </c>
      <c r="T21" s="1196">
        <f t="shared" si="11"/>
        <v>328718.38340249995</v>
      </c>
      <c r="U21" s="1196">
        <f t="shared" si="11"/>
        <v>328718.38340249995</v>
      </c>
      <c r="V21" s="1196">
        <f t="shared" si="11"/>
        <v>328718.38340249995</v>
      </c>
      <c r="W21" s="1196">
        <f t="shared" si="11"/>
        <v>306803.82450899994</v>
      </c>
      <c r="X21" s="1196">
        <f t="shared" si="11"/>
        <v>286131.49246500002</v>
      </c>
      <c r="Y21" s="1196">
        <f t="shared" si="11"/>
        <v>286131.49246500002</v>
      </c>
      <c r="Z21" s="1196">
        <f t="shared" si="11"/>
        <v>286131.49246500002</v>
      </c>
      <c r="AA21" s="1197">
        <f>SUM(O21:Z21)</f>
        <v>3431663.028248</v>
      </c>
    </row>
    <row r="22" spans="1:27" ht="17.25" customHeight="1">
      <c r="A22" s="1195" t="s">
        <v>1066</v>
      </c>
      <c r="B22" s="1196">
        <f t="shared" ref="B22:M22" si="12">B13-B16-B19</f>
        <v>79793.442704633984</v>
      </c>
      <c r="C22" s="1196">
        <f t="shared" si="12"/>
        <v>87397.24415081511</v>
      </c>
      <c r="D22" s="1196">
        <f t="shared" si="12"/>
        <v>130178.08343315306</v>
      </c>
      <c r="E22" s="1196">
        <f t="shared" si="12"/>
        <v>121436.00816653334</v>
      </c>
      <c r="F22" s="1196">
        <f t="shared" si="12"/>
        <v>114433.68275943863</v>
      </c>
      <c r="G22" s="1196">
        <f t="shared" si="12"/>
        <v>130053.6459969284</v>
      </c>
      <c r="H22" s="1196">
        <f t="shared" si="12"/>
        <v>143288.17704398697</v>
      </c>
      <c r="I22" s="1196">
        <f t="shared" si="12"/>
        <v>165102.62430062488</v>
      </c>
      <c r="J22" s="1196">
        <f t="shared" si="12"/>
        <v>164287.0314892857</v>
      </c>
      <c r="K22" s="1196">
        <f t="shared" si="12"/>
        <v>139754.19005787242</v>
      </c>
      <c r="L22" s="1196">
        <f t="shared" si="12"/>
        <v>146103.53810000001</v>
      </c>
      <c r="M22" s="1196">
        <f t="shared" si="12"/>
        <v>153547.79699999999</v>
      </c>
      <c r="N22" s="1197"/>
      <c r="O22" s="1196">
        <f t="shared" ref="O22:Z22" si="13">O13-O16-O19</f>
        <v>147473.66493049019</v>
      </c>
      <c r="P22" s="1196">
        <f t="shared" si="13"/>
        <v>121713.60705993252</v>
      </c>
      <c r="Q22" s="1196">
        <f t="shared" si="13"/>
        <v>160168.14448702559</v>
      </c>
      <c r="R22" s="1196">
        <f t="shared" si="13"/>
        <v>164660.39272919513</v>
      </c>
      <c r="S22" s="1196">
        <f t="shared" si="13"/>
        <v>149384.03960200187</v>
      </c>
      <c r="T22" s="1196">
        <f t="shared" si="13"/>
        <v>205959.47804218973</v>
      </c>
      <c r="U22" s="1196">
        <f t="shared" si="13"/>
        <v>209777.39086508943</v>
      </c>
      <c r="V22" s="1196">
        <f t="shared" si="13"/>
        <v>195598.55850509997</v>
      </c>
      <c r="W22" s="1196">
        <f t="shared" si="13"/>
        <v>160830.22594832868</v>
      </c>
      <c r="X22" s="1196">
        <f t="shared" si="13"/>
        <v>119513.92550170454</v>
      </c>
      <c r="Y22" s="1196">
        <f t="shared" si="13"/>
        <v>142588.51942409418</v>
      </c>
      <c r="Z22" s="1196">
        <f t="shared" si="13"/>
        <v>131581.08589378648</v>
      </c>
      <c r="AA22" s="1197"/>
    </row>
    <row r="23" spans="1:27" ht="17.25" customHeight="1">
      <c r="A23" s="1198"/>
      <c r="B23" s="1222">
        <f>B22/B21</f>
        <v>0.35547676344008283</v>
      </c>
      <c r="C23" s="1222">
        <f t="shared" ref="C23:M23" si="14">C22/C21</f>
        <v>0.41848850227228379</v>
      </c>
      <c r="D23" s="1222">
        <f t="shared" si="14"/>
        <v>0.5078449096309946</v>
      </c>
      <c r="E23" s="1222">
        <f t="shared" si="14"/>
        <v>0.47111985382521204</v>
      </c>
      <c r="F23" s="1222">
        <f t="shared" si="14"/>
        <v>0.42570353331754357</v>
      </c>
      <c r="G23" s="1222">
        <f t="shared" si="14"/>
        <v>0.42179071889220149</v>
      </c>
      <c r="H23" s="1222">
        <f t="shared" si="14"/>
        <v>0.45107276632006832</v>
      </c>
      <c r="I23" s="1222">
        <f t="shared" si="14"/>
        <v>0.56982178134593153</v>
      </c>
      <c r="J23" s="1222">
        <f t="shared" si="14"/>
        <v>0.53067143601968825</v>
      </c>
      <c r="K23" s="1222">
        <f t="shared" si="14"/>
        <v>0.53007307467529363</v>
      </c>
      <c r="L23" s="1222">
        <f t="shared" si="14"/>
        <v>0.56371603531592185</v>
      </c>
      <c r="M23" s="1222">
        <f t="shared" si="14"/>
        <v>0.56471189322621107</v>
      </c>
      <c r="N23" s="1199"/>
      <c r="O23" s="1222">
        <f>O22/O21</f>
        <v>0.51540522037618552</v>
      </c>
      <c r="P23" s="1222">
        <f t="shared" ref="P23:Z23" si="15">P22/P21</f>
        <v>0.78596385307183403</v>
      </c>
      <c r="Q23" s="1222">
        <f t="shared" si="15"/>
        <v>0.55977111469691709</v>
      </c>
      <c r="R23" s="1222">
        <f t="shared" si="15"/>
        <v>0.5953148877063924</v>
      </c>
      <c r="S23" s="1222">
        <f t="shared" si="15"/>
        <v>0.54008460253736035</v>
      </c>
      <c r="T23" s="1222">
        <f t="shared" si="15"/>
        <v>0.62655296582546827</v>
      </c>
      <c r="U23" s="1222">
        <f t="shared" si="15"/>
        <v>0.63816750585630322</v>
      </c>
      <c r="V23" s="1222">
        <f t="shared" si="15"/>
        <v>0.59503382950627037</v>
      </c>
      <c r="W23" s="1222">
        <f t="shared" si="15"/>
        <v>0.52421193316516435</v>
      </c>
      <c r="X23" s="1222">
        <f t="shared" si="15"/>
        <v>0.41768882017180836</v>
      </c>
      <c r="Y23" s="1222">
        <f t="shared" si="15"/>
        <v>0.49833214161679806</v>
      </c>
      <c r="Z23" s="1222">
        <f t="shared" si="15"/>
        <v>0.45986229883409863</v>
      </c>
      <c r="AA23" s="1199"/>
    </row>
    <row r="24" spans="1:27" ht="17.25" customHeight="1">
      <c r="A24" s="1200" t="s">
        <v>1067</v>
      </c>
      <c r="B24" s="1177">
        <f t="shared" ref="B24:M24" si="16">B8*0.013</f>
        <v>2935.5762053108224</v>
      </c>
      <c r="C24" s="1177">
        <f t="shared" si="16"/>
        <v>2968.4776888925239</v>
      </c>
      <c r="D24" s="1177">
        <f t="shared" si="16"/>
        <v>3672.7878243333334</v>
      </c>
      <c r="E24" s="1177">
        <f t="shared" si="16"/>
        <v>3621.0104493333333</v>
      </c>
      <c r="F24" s="1177">
        <f t="shared" si="16"/>
        <v>3672.7878243333334</v>
      </c>
      <c r="G24" s="1177">
        <f t="shared" si="16"/>
        <v>4180.2060993333325</v>
      </c>
      <c r="H24" s="1177">
        <f t="shared" si="16"/>
        <v>4359.7634523053594</v>
      </c>
      <c r="I24" s="1177">
        <f t="shared" si="16"/>
        <v>4186.9303313613318</v>
      </c>
      <c r="J24" s="1177">
        <f t="shared" si="16"/>
        <v>4394.1387067499991</v>
      </c>
      <c r="K24" s="1177">
        <f t="shared" si="16"/>
        <v>3798.4112421666664</v>
      </c>
      <c r="L24" s="1177">
        <f t="shared" si="16"/>
        <v>3798.4112421666664</v>
      </c>
      <c r="M24" s="1177">
        <f t="shared" si="16"/>
        <v>3975.8120349999999</v>
      </c>
      <c r="N24" s="1201">
        <f>SUM(B24:M24)</f>
        <v>45564.313101286702</v>
      </c>
      <c r="O24" s="1177">
        <f t="shared" ref="O24:Z24" si="17">O8*0.013</f>
        <v>3768.7025349999999</v>
      </c>
      <c r="P24" s="1177">
        <f t="shared" si="17"/>
        <v>2039.6833924999999</v>
      </c>
      <c r="Q24" s="1177">
        <f t="shared" si="17"/>
        <v>3768.7025349999999</v>
      </c>
      <c r="R24" s="1177">
        <f t="shared" si="17"/>
        <v>3643.0791171666665</v>
      </c>
      <c r="S24" s="1177">
        <f t="shared" si="17"/>
        <v>3643.0791171666665</v>
      </c>
      <c r="T24" s="1177">
        <f t="shared" si="17"/>
        <v>4329.6240974999992</v>
      </c>
      <c r="U24" s="1177">
        <f t="shared" si="17"/>
        <v>4329.6240974999992</v>
      </c>
      <c r="V24" s="1177">
        <f t="shared" si="17"/>
        <v>4329.6240974999992</v>
      </c>
      <c r="W24" s="1177">
        <f t="shared" si="17"/>
        <v>4040.9824909999988</v>
      </c>
      <c r="X24" s="1177">
        <f t="shared" si="17"/>
        <v>3768.7025349999999</v>
      </c>
      <c r="Y24" s="1177">
        <f t="shared" si="17"/>
        <v>3768.7025349999999</v>
      </c>
      <c r="Z24" s="1177">
        <f t="shared" si="17"/>
        <v>3768.7025349999999</v>
      </c>
      <c r="AA24" s="1201">
        <f>SUM(O24:Z24)</f>
        <v>45199.209085333321</v>
      </c>
    </row>
    <row r="25" spans="1:27" ht="17.25" customHeight="1">
      <c r="A25" s="1200" t="s">
        <v>1068</v>
      </c>
      <c r="B25" s="1177">
        <f t="shared" ref="B25:M25" si="18">B24+B21</f>
        <v>227404.37673236275</v>
      </c>
      <c r="C25" s="1177">
        <f t="shared" si="18"/>
        <v>211808.72939538097</v>
      </c>
      <c r="D25" s="1177">
        <f t="shared" si="18"/>
        <v>260007.11542001963</v>
      </c>
      <c r="E25" s="1177">
        <f t="shared" si="18"/>
        <v>261381.33869817579</v>
      </c>
      <c r="F25" s="1177">
        <f t="shared" si="18"/>
        <v>272483.53005061293</v>
      </c>
      <c r="G25" s="1177">
        <f t="shared" si="18"/>
        <v>312517.11388740316</v>
      </c>
      <c r="H25" s="1177">
        <f t="shared" si="18"/>
        <v>322020.65487112751</v>
      </c>
      <c r="I25" s="1177">
        <f t="shared" si="18"/>
        <v>293931.2498809736</v>
      </c>
      <c r="J25" s="1177">
        <f t="shared" si="18"/>
        <v>313977.47094999993</v>
      </c>
      <c r="K25" s="1177">
        <f t="shared" si="18"/>
        <v>267449.21098045085</v>
      </c>
      <c r="L25" s="1177">
        <f t="shared" si="18"/>
        <v>262977.73016666668</v>
      </c>
      <c r="M25" s="1177">
        <f t="shared" si="18"/>
        <v>275880.47500000003</v>
      </c>
      <c r="N25" s="1201">
        <f>SUM(B25:M25)</f>
        <v>3281838.996033174</v>
      </c>
      <c r="O25" s="1177">
        <f t="shared" ref="O25:Z25" si="19">O24+O21</f>
        <v>289900.19500000001</v>
      </c>
      <c r="P25" s="1177">
        <f t="shared" si="19"/>
        <v>156898.7225</v>
      </c>
      <c r="Q25" s="1177">
        <f t="shared" si="19"/>
        <v>289900.19500000001</v>
      </c>
      <c r="R25" s="1177">
        <f t="shared" si="19"/>
        <v>280236.85516666668</v>
      </c>
      <c r="S25" s="1177">
        <f t="shared" si="19"/>
        <v>280236.85516666668</v>
      </c>
      <c r="T25" s="1177">
        <f t="shared" si="19"/>
        <v>333048.00749999995</v>
      </c>
      <c r="U25" s="1177">
        <f t="shared" si="19"/>
        <v>333048.00749999995</v>
      </c>
      <c r="V25" s="1177">
        <f t="shared" si="19"/>
        <v>333048.00749999995</v>
      </c>
      <c r="W25" s="1177">
        <f t="shared" si="19"/>
        <v>310844.80699999991</v>
      </c>
      <c r="X25" s="1177">
        <f t="shared" si="19"/>
        <v>289900.19500000001</v>
      </c>
      <c r="Y25" s="1177">
        <f t="shared" si="19"/>
        <v>289900.19500000001</v>
      </c>
      <c r="Z25" s="1177">
        <f t="shared" si="19"/>
        <v>289900.19500000001</v>
      </c>
      <c r="AA25" s="1201">
        <f>SUM(O25:Z25)</f>
        <v>3476862.2373333327</v>
      </c>
    </row>
    <row r="26" spans="1:27">
      <c r="A26" s="1489" t="s">
        <v>1069</v>
      </c>
      <c r="B26" s="1490">
        <f t="shared" ref="B26:M26" si="20">B8-B25</f>
        <v>-1590.8224776840943</v>
      </c>
      <c r="C26" s="1490">
        <f t="shared" si="20"/>
        <v>16535.708211736259</v>
      </c>
      <c r="D26" s="1490">
        <f t="shared" si="20"/>
        <v>22515.024913313711</v>
      </c>
      <c r="E26" s="1490">
        <f t="shared" si="20"/>
        <v>17157.92663515755</v>
      </c>
      <c r="F26" s="1490">
        <f t="shared" si="20"/>
        <v>10038.610282720416</v>
      </c>
      <c r="G26" s="1490">
        <f t="shared" si="20"/>
        <v>9037.2014459301136</v>
      </c>
      <c r="H26" s="1490">
        <f t="shared" si="20"/>
        <v>13345.764536977105</v>
      </c>
      <c r="I26" s="1490">
        <f t="shared" si="20"/>
        <v>28140.314069898101</v>
      </c>
      <c r="J26" s="1490">
        <f t="shared" si="20"/>
        <v>24033.198800000013</v>
      </c>
      <c r="K26" s="1490">
        <f t="shared" si="20"/>
        <v>24736.269186215824</v>
      </c>
      <c r="L26" s="1490">
        <f t="shared" si="20"/>
        <v>29207.75</v>
      </c>
      <c r="M26" s="1490">
        <f t="shared" si="20"/>
        <v>29951.219999999972</v>
      </c>
      <c r="N26" s="1491">
        <f>SUM(B26:M26)</f>
        <v>223108.16560426497</v>
      </c>
      <c r="O26" s="1490">
        <f t="shared" ref="O26:Z26" si="21">O8-O25</f>
        <v>0</v>
      </c>
      <c r="P26" s="1490">
        <f t="shared" si="21"/>
        <v>0</v>
      </c>
      <c r="Q26" s="1490">
        <f t="shared" si="21"/>
        <v>0</v>
      </c>
      <c r="R26" s="1490">
        <f t="shared" si="21"/>
        <v>0</v>
      </c>
      <c r="S26" s="1490">
        <f t="shared" si="21"/>
        <v>0</v>
      </c>
      <c r="T26" s="1490">
        <f t="shared" si="21"/>
        <v>0</v>
      </c>
      <c r="U26" s="1490">
        <f t="shared" si="21"/>
        <v>0</v>
      </c>
      <c r="V26" s="1490">
        <f t="shared" si="21"/>
        <v>0</v>
      </c>
      <c r="W26" s="1490">
        <f t="shared" si="21"/>
        <v>0</v>
      </c>
      <c r="X26" s="1490">
        <f t="shared" si="21"/>
        <v>0</v>
      </c>
      <c r="Y26" s="1490">
        <f t="shared" si="21"/>
        <v>0</v>
      </c>
      <c r="Z26" s="1490">
        <f t="shared" si="21"/>
        <v>0</v>
      </c>
      <c r="AA26" s="1491">
        <f>SUM(O26:Z26)</f>
        <v>0</v>
      </c>
    </row>
    <row r="27" spans="1:27">
      <c r="N27" s="1206" t="s">
        <v>818</v>
      </c>
      <c r="AA27" s="1206" t="s">
        <v>818</v>
      </c>
    </row>
    <row r="28" spans="1:27">
      <c r="N28" s="1202">
        <f>N26/12</f>
        <v>18592.347133688749</v>
      </c>
      <c r="AA28" s="1202">
        <f>AA26/12</f>
        <v>0</v>
      </c>
    </row>
  </sheetData>
  <mergeCells count="9">
    <mergeCell ref="P5:Q5"/>
    <mergeCell ref="R5:S5"/>
    <mergeCell ref="T5:U5"/>
    <mergeCell ref="P3:Q3"/>
    <mergeCell ref="P4:Q4"/>
    <mergeCell ref="R3:S3"/>
    <mergeCell ref="R4:S4"/>
    <mergeCell ref="T3:U3"/>
    <mergeCell ref="T4:U4"/>
  </mergeCells>
  <phoneticPr fontId="10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ources/>
</file>

<file path=customXml/itemProps1.xml><?xml version="1.0" encoding="utf-8"?>
<ds:datastoreItem xmlns:ds="http://schemas.openxmlformats.org/officeDocument/2006/customXml" ds:itemID="{A4084AD9-9D13-4A18-A632-C700F0B311D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워크시트</vt:lpstr>
      </vt:variant>
      <vt:variant>
        <vt:i4>33</vt:i4>
      </vt:variant>
      <vt:variant>
        <vt:lpstr>차트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35" baseType="lpstr">
      <vt:lpstr>Cover</vt:lpstr>
      <vt:lpstr>Index</vt:lpstr>
      <vt:lpstr>1. Assumption</vt:lpstr>
      <vt:lpstr>1-1.Assumption</vt:lpstr>
      <vt:lpstr>1. Master Plan</vt:lpstr>
      <vt:lpstr>2. S Plan</vt:lpstr>
      <vt:lpstr>요약</vt:lpstr>
      <vt:lpstr>SOP 2024</vt:lpstr>
      <vt:lpstr>3. P PLAN</vt:lpstr>
      <vt:lpstr>3. P PLAN-2</vt:lpstr>
      <vt:lpstr>4. L PLAN a</vt:lpstr>
      <vt:lpstr>4-1. 인원계획</vt:lpstr>
      <vt:lpstr>4. L PLAN</vt:lpstr>
      <vt:lpstr>5. M Plan</vt:lpstr>
      <vt:lpstr>AP Plan</vt:lpstr>
      <vt:lpstr>6. O Plan</vt:lpstr>
      <vt:lpstr>7. E Plan</vt:lpstr>
      <vt:lpstr>8. I Plan</vt:lpstr>
      <vt:lpstr>7-2. S-E Plan</vt:lpstr>
      <vt:lpstr>9. C Plan</vt:lpstr>
      <vt:lpstr>10. IS</vt:lpstr>
      <vt:lpstr>11. CF-2026</vt:lpstr>
      <vt:lpstr>12. FA Loan</vt:lpstr>
      <vt:lpstr>A1. E Plan(계획vs실적)</vt:lpstr>
      <vt:lpstr>A2. IS(계획vs실적)</vt:lpstr>
      <vt:lpstr>상각 기준</vt:lpstr>
      <vt:lpstr>Sorting-Log-WH(Ref) </vt:lpstr>
      <vt:lpstr>Chailease Plan 2026</vt:lpstr>
      <vt:lpstr>B.BasicInfomation</vt:lpstr>
      <vt:lpstr>Sub-L plan</vt:lpstr>
      <vt:lpstr>기준정보</vt:lpstr>
      <vt:lpstr>11. CF-2023</vt:lpstr>
      <vt:lpstr>Utilty_Data</vt:lpstr>
      <vt:lpstr>Chart1</vt:lpstr>
      <vt:lpstr>'Chailease Plan 2026'!Print_Area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MISTOP</dc:creator>
  <cp:lastModifiedBy>임재홍</cp:lastModifiedBy>
  <cp:lastPrinted>2023-11-24T10:39:47Z</cp:lastPrinted>
  <dcterms:created xsi:type="dcterms:W3CDTF">2014-09-20T00:46:24Z</dcterms:created>
  <dcterms:modified xsi:type="dcterms:W3CDTF">2026-06-14T17:04:56Z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{A4084AD9-9D13-4A18-A632-C700F0B311D7}</vt:lpwstr>
  </property>
</Properties>
</file>